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ocumenttasks/documenttask1.xml" ContentType="application/vnd.ms-excel.documenttasks+xml"/>
  <Override PartName="/xl/comments2.xml" ContentType="application/vnd.openxmlformats-officedocument.spreadsheetml.comments+xml"/>
  <Override PartName="/xl/threadedComments/threadedComment2.xml" ContentType="application/vnd.ms-excel.threadedcomments+xml"/>
  <Override PartName="/xl/documenttasks/documenttask2.xml" ContentType="application/vnd.ms-excel.documenttask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totalenvmt.sharepoint.com/sites/pmo/Shared Documents/02 Design/Projects/Contracts/0059_PoaRR/Design Fee 24/Residential/"/>
    </mc:Choice>
  </mc:AlternateContent>
  <xr:revisionPtr revIDLastSave="5608" documentId="13_ncr:1_{15D9B1A1-8BD2-4A59-BAFF-48969639E583}" xr6:coauthVersionLast="47" xr6:coauthVersionMax="47" xr10:uidLastSave="{4F76C606-D1E6-49A9-AC86-0B7D7D97DFE8}"/>
  <bookViews>
    <workbookView xWindow="-120" yWindow="-120" windowWidth="29040" windowHeight="15720" tabRatio="593" firstSheet="3" activeTab="5" xr2:uid="{00000000-000D-0000-FFFF-FFFF00000000}"/>
  </bookViews>
  <sheets>
    <sheet name="Pkgs Summary" sheetId="25" r:id="rId1"/>
    <sheet name="Design Fee" sheetId="20" r:id="rId2"/>
    <sheet name="AR | Drawing List" sheetId="11" r:id="rId3"/>
    <sheet name="ST | Drawing List" sheetId="12" r:id="rId4"/>
    <sheet name="MEP | Drawing List" sheetId="17" r:id="rId5"/>
    <sheet name="LS | Drawing List" sheetId="16" r:id="rId6"/>
    <sheet name="BOQ COST" sheetId="22" r:id="rId7"/>
    <sheet name="old LS" sheetId="23" state="hidden"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 localSheetId="0" hidden="1">'[1]Rate Analysis'!#REF!</definedName>
    <definedName name="_" localSheetId="3" hidden="1">'[1]Rate Analysis'!#REF!</definedName>
    <definedName name="_" hidden="1">'[1]Rate Analysis'!#REF!</definedName>
    <definedName name="__123Graph_A" localSheetId="0" hidden="1">[2]TB!#REF!</definedName>
    <definedName name="__123Graph_A" hidden="1">[2]TB!#REF!</definedName>
    <definedName name="__123Graph_B" localSheetId="0" hidden="1">'[1]Rate Analysis'!#REF!</definedName>
    <definedName name="__123Graph_B" hidden="1">'[1]Rate Analysis'!#REF!</definedName>
    <definedName name="__123Graph_C" localSheetId="0" hidden="1">'[1]Rate Analysis'!#REF!</definedName>
    <definedName name="__123Graph_C" hidden="1">'[1]Rate Analysis'!#REF!</definedName>
    <definedName name="__123Graph_D" hidden="1">'[3]vb 9&amp;10'!#REF!</definedName>
    <definedName name="__123Graph_E" hidden="1">'[1]Rate Analysis'!#REF!</definedName>
    <definedName name="__123Graph_F" hidden="1">'[1]Rate Analysis'!#REF!</definedName>
    <definedName name="__123Graph_X" hidden="1">[2]TB!#REF!</definedName>
    <definedName name="__IntlFixup" hidden="1">TRUE</definedName>
    <definedName name="_Dist_Bin" localSheetId="3" hidden="1">#REF!</definedName>
    <definedName name="_Dist_Bin" hidden="1">#REF!</definedName>
    <definedName name="_Dist_Values" localSheetId="3" hidden="1">#REF!</definedName>
    <definedName name="_Dist_Values" hidden="1">#REF!</definedName>
    <definedName name="_Fill" localSheetId="3" hidden="1">#REF!</definedName>
    <definedName name="_Fill" hidden="1">#REF!</definedName>
    <definedName name="_xlnm._FilterDatabase" localSheetId="2" hidden="1">'AR | Drawing List'!$A$5:$U$2558</definedName>
    <definedName name="_xlnm._FilterDatabase" localSheetId="1" hidden="1">'Design Fee'!$B$2:$FF$231</definedName>
    <definedName name="_xlnm._FilterDatabase" localSheetId="5" hidden="1">'LS | Drawing List'!$A$5:$U$297</definedName>
    <definedName name="_xlnm._FilterDatabase" localSheetId="4" hidden="1">'MEP | Drawing List'!$A$5:$U$987</definedName>
    <definedName name="_xlnm._FilterDatabase" localSheetId="0" hidden="1">'Pkgs Summary'!$K$5:$M$247</definedName>
    <definedName name="_xlnm._FilterDatabase" localSheetId="3" hidden="1">'ST | Drawing List'!$A$5:$U$801</definedName>
    <definedName name="_xlnm._FilterDatabase" hidden="1">'[4]SP Break Up'!$A$6:$I$39</definedName>
    <definedName name="_Key1" localSheetId="0" hidden="1">#REF!</definedName>
    <definedName name="_Key1" hidden="1">#REF!</definedName>
    <definedName name="_Key2" hidden="1">'[5]#REF'!$A$9</definedName>
    <definedName name="_Order1" hidden="1">255</definedName>
    <definedName name="_Parse_In" hidden="1">[6]sum!#REF!</definedName>
    <definedName name="_Parse_Out" localSheetId="0" hidden="1">#REF!</definedName>
    <definedName name="_Parse_Out" localSheetId="3" hidden="1">#REF!</definedName>
    <definedName name="_Parse_Out" hidden="1">#REF!</definedName>
    <definedName name="_Regression_Int" hidden="1">1</definedName>
    <definedName name="_Sort" localSheetId="3" hidden="1">#REF!</definedName>
    <definedName name="_Sort" hidden="1">#REF!</definedName>
    <definedName name="_Table2_In1" hidden="1">#REF!</definedName>
    <definedName name="_Table2_In2" hidden="1">#REF!</definedName>
    <definedName name="_Table2_Out" hidden="1">#REF!</definedName>
    <definedName name="_Table3_In2" hidden="1">#REF!</definedName>
    <definedName name="ALupro" localSheetId="0" hidden="1">{"BSSCHA4",#N/A,FALSE,"sch bs"}</definedName>
    <definedName name="ALupro" localSheetId="3" hidden="1">{"BSSCHA4",#N/A,FALSE,"sch bs"}</definedName>
    <definedName name="ALupro" hidden="1">{"BSSCHA4",#N/A,FALSE,"sch bs"}</definedName>
    <definedName name="annexure" localSheetId="0" hidden="1">{"BSSCHA4",#N/A,FALSE,"sch bs"}</definedName>
    <definedName name="annexure" localSheetId="3" hidden="1">{"BSSCHA4",#N/A,FALSE,"sch bs"}</definedName>
    <definedName name="annexure" hidden="1">{"BSSCHA4",#N/A,FALSE,"sch bs"}</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BG_Del" hidden="1">15</definedName>
    <definedName name="BG_Ins" hidden="1">4</definedName>
    <definedName name="BG_Mod" hidden="1">6</definedName>
    <definedName name="BLPH1" hidden="1">#REF!</definedName>
    <definedName name="depn" localSheetId="3" hidden="1">#REF!</definedName>
    <definedName name="depn" hidden="1">#REF!</definedName>
    <definedName name="Empty" localSheetId="3" hidden="1">#REF!</definedName>
    <definedName name="Empty" hidden="1">#REF!</definedName>
    <definedName name="Empty1" localSheetId="3" hidden="1">#REF!</definedName>
    <definedName name="Empty1" hidden="1">#REF!</definedName>
    <definedName name="Empty2" hidden="1">#REF!</definedName>
    <definedName name="etc" hidden="1">#REF!</definedName>
    <definedName name="EV__LASTREFTIME__" hidden="1">39021.6595138889</definedName>
    <definedName name="EV__MAXEXPCOLS__" hidden="1">100</definedName>
    <definedName name="EV__MAXEXPROWS__" hidden="1">1000</definedName>
    <definedName name="EV__WBEVMODE__" hidden="1">1</definedName>
    <definedName name="EV__WBREFOPTIONS__" hidden="1">134217728</definedName>
    <definedName name="EV__WBVERSION__" hidden="1">0</definedName>
    <definedName name="FA" localSheetId="3" hidden="1">'[7]grp '!#REF!</definedName>
    <definedName name="FA" hidden="1">'[7]grp '!#REF!</definedName>
    <definedName name="fffffffffffffffffffffffffffjjjjjj" localSheetId="0" hidden="1">#REF!</definedName>
    <definedName name="fffffffffffffffffffffffffffjjjjjj" hidden="1">#REF!</definedName>
    <definedName name="fgfg" localSheetId="3" hidden="1">[2]TB!#REF!</definedName>
    <definedName name="fgfg" hidden="1">[2]TB!#REF!</definedName>
    <definedName name="form3cd" hidden="1">'[8]EAW Final Accounts - 99'!$M$175:$M$189</definedName>
    <definedName name="gallup" localSheetId="0" hidden="1">{"a4p&amp;L",#N/A,FALSE,"tr &amp; pl"}</definedName>
    <definedName name="gallup" localSheetId="3" hidden="1">{"a4p&amp;L",#N/A,FALSE,"tr &amp; pl"}</definedName>
    <definedName name="gallup" hidden="1">{"a4p&amp;L",#N/A,FALSE,"tr &amp; pl"}</definedName>
    <definedName name="hgkh" localSheetId="0" hidden="1">{#N/A,#N/A,FALSE,"Aging Summary";#N/A,#N/A,FALSE,"Ratio Analysis";#N/A,#N/A,FALSE,"Test 120 Day Accts";#N/A,#N/A,FALSE,"Tickmarks"}</definedName>
    <definedName name="hgkh" localSheetId="3" hidden="1">{#N/A,#N/A,FALSE,"Aging Summary";#N/A,#N/A,FALSE,"Ratio Analysis";#N/A,#N/A,FALSE,"Test 120 Day Accts";#N/A,#N/A,FALSE,"Tickmarks"}</definedName>
    <definedName name="hgkh" hidden="1">{#N/A,#N/A,FALSE,"Aging Summary";#N/A,#N/A,FALSE,"Ratio Analysis";#N/A,#N/A,FALSE,"Test 120 Day Accts";#N/A,#N/A,FALSE,"Tickmarks"}</definedName>
    <definedName name="HTML_CodePage" hidden="1">1252</definedName>
    <definedName name="HTML_Description" hidden="1">""</definedName>
    <definedName name="HTML_Email" hidden="1">"neerajk@ranbaxy.co.in"</definedName>
    <definedName name="HTML_Header" hidden="1">"September 2000"</definedName>
    <definedName name="HTML_LastUpdate" hidden="1">"10/3/00"</definedName>
    <definedName name="HTML_LineAfter" hidden="1">FALSE</definedName>
    <definedName name="HTML_LineBefore" hidden="1">FALSE</definedName>
    <definedName name="HTML_Name" hidden="1">"Neeraj Kukreti"</definedName>
    <definedName name="HTML_OBDlg2" hidden="1">TRUE</definedName>
    <definedName name="HTML_OBDlg4" hidden="1">TRUE</definedName>
    <definedName name="HTML_OS" hidden="1">0</definedName>
    <definedName name="HTML_PathFile" hidden="1">"C:\WINDOWS\Desktop\cash_flash.htm"</definedName>
    <definedName name="HTML_Title" hidden="1">"cf_SEP2000"</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SIC_EPS_EXCL" hidden="1">"c85"</definedName>
    <definedName name="IQ_BASIC_EPS_INCL" hidden="1">"c86"</definedName>
    <definedName name="IQ_BASIC_NORMAL_EPS" hidden="1">"c1592"</definedName>
    <definedName name="IQ_BASIC_WEIGHT" hidden="1">"c87"</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ROK_COMISSION" hidden="1">"c98"</definedName>
    <definedName name="IQ_BUILDINGS" hidden="1">"c99"</definedName>
    <definedName name="IQ_BUSINESS_DESCRIPTION" hidden="1">"c322"</definedName>
    <definedName name="IQ_BV_OVER_SHARES" hidden="1">"c1349"</definedName>
    <definedName name="IQ_BV_SHARE" hidden="1">"c100"</definedName>
    <definedName name="IQ_CAL_Q" hidden="1">"c101"</definedName>
    <definedName name="IQ_CAL_Y" hidden="1">"c102"</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hidden="1">"c1350"</definedName>
    <definedName name="IQ_CAPITAL_LEASES" hidden="1">"c115"</definedName>
    <definedName name="IQ_CAPITALIZED_INTEREST" hidden="1">"c2076"</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INTEREST" hidden="1">"c120"</definedName>
    <definedName name="IQ_CASH_INVEST" hidden="1">"c121"</definedName>
    <definedName name="IQ_CASH_OPER" hidden="1">"c122"</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WORKING_CAPITAL" hidden="1">"c1909"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ASSA_OUTSTANDING_BS_DATE" hidden="1">"c1971"</definedName>
    <definedName name="IQ_CLASSA_OUTSTANDING_FILING_DATE" hidden="1">"c1973"</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OTHER_COST" hidden="1">"c284"</definedName>
    <definedName name="IQ_DEF_BENEFIT_ROA" hidden="1">"c285"</definedName>
    <definedName name="IQ_DEF_BENEFIT_SERVICE_COST" hidden="1">"c286"</definedName>
    <definedName name="IQ_DEF_BENEFIT_TOTAL_COST" hidden="1">"c287"</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V_PAYMENT_DATE" hidden="1">"c2106"</definedName>
    <definedName name="IQ_DIV_RECORD_DATE" hidden="1">"c2105"</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ST" hidden="1">"c1681"</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hidden="1">"c1370"</definedName>
    <definedName name="IQ_EBITDA_EST" hidden="1">"c369"</definedName>
    <definedName name="IQ_EBITDA_HIGH_EST" hidden="1">"c370"</definedName>
    <definedName name="IQ_EBITDA_INT" hidden="1">"c373"</definedName>
    <definedName name="IQ_EBITDA_LOW_EST" hidden="1">"c371"</definedName>
    <definedName name="IQ_EBITDA_MARGIN" hidden="1">"c372"</definedName>
    <definedName name="IQ_EBITDA_MEDIAN_EST" hidden="1">"c1663"</definedName>
    <definedName name="IQ_EBITDA_NUM_EST" hidden="1">"c374"</definedName>
    <definedName name="IQ_EBITDA_OVER_TOTAL_IE" hidden="1">"c1371"</definedName>
    <definedName name="IQ_EBITDA_STDDEV_EST" hidden="1">"c375"</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hidden="1">"c399"</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LOW_EST" hidden="1">"c401"</definedName>
    <definedName name="IQ_EPS_MEDIAN_EST" hidden="1">"c1661"</definedName>
    <definedName name="IQ_EPS_NORM" hidden="1">"c1902"</definedName>
    <definedName name="IQ_EPS_NUM_EST" hidden="1">"c402"</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TDDEV_EST" hidden="1">"c403"</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REPORTED" hidden="1">"c1750"</definedName>
    <definedName name="IQ_EST_ACT_FFO" hidden="1">"c1666"</definedName>
    <definedName name="IQ_EST_ACT_NAV" hidden="1">"c1757"</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V" hidden="1">"c2113"</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DATE" hidden="1">"c1634"</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STDDEV" hidden="1">"c1660"</definedName>
    <definedName name="IQ_EST_EPS_GROWTH_Q_1YR" hidden="1">"c1641"</definedName>
    <definedName name="IQ_EST_EPS_GW_DIFF" hidden="1">"c1891"</definedName>
    <definedName name="IQ_EST_EPS_GW_SURPRISE_PERCENT" hidden="1">"c1892"</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V_OVER_EMPLOYEE" hidden="1">"c1428"</definedName>
    <definedName name="IQ_EV_OVER_LTM_EBIT" hidden="1">"c1426"</definedName>
    <definedName name="IQ_EV_OVER_LTM_EBITDA" hidden="1">"c1427"</definedName>
    <definedName name="IQ_EV_OVER_LTM_REVENUE" hidden="1">"c1429"</definedName>
    <definedName name="IQ_EXCHANGE" hidden="1">"c405"</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FO" hidden="1">"c1574"</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STDDEV_EST" hidden="1">"c422"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N_DIV_ASSETS_CURRENT" hidden="1">"c427"</definedName>
    <definedName name="IQ_FIN_DIV_ASSETS_LT" hidden="1">"c428"</definedName>
    <definedName name="IQ_FIN_DIV_DEBT_CURRENT" hidden="1">"c429"</definedName>
    <definedName name="IQ_FIN_DIV_DEBT_LT" hidden="1">"c430"</definedName>
    <definedName name="IQ_FIN_DIV_EXP" hidden="1">"c431"</definedName>
    <definedName name="IQ_FIN_DIV_INT_EXP" hidden="1">"c432"</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REV" hidden="1">"c437"</definedName>
    <definedName name="IQ_FINANCING_CASH" hidden="1">"c1405"</definedName>
    <definedName name="IQ_FINANCING_CASH_SUPPL" hidden="1">"c1406"</definedName>
    <definedName name="IQ_FINISHED_INV" hidden="1">"c438"</definedName>
    <definedName name="IQ_FIRST_YEAR_LIFE" hidden="1">"c439"</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DIVID" hidden="1">"c1446"</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ROFIT" hidden="1">"c1378"</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PRICE" hidden="1">"c545"</definedName>
    <definedName name="IQ_HOMEOWNERS_WRITTEN" hidden="1">"c546"</definedName>
    <definedName name="IQ_IMPAIR_OIL" hidden="1">"c547"</definedName>
    <definedName name="IQ_IMPAIRMENT_GW" hidden="1">"c548"</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S_ANNUITY_LIAB" hidden="1">"c563"</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PRD" hidden="1">"c644"</definedName>
    <definedName name="IQ_ISS_DEBT_NET" hidden="1">"c1391"</definedName>
    <definedName name="IQ_ISS_STOCK_NET" hidden="1">"c1601"</definedName>
    <definedName name="IQ_LAND" hidden="1">"c645"</definedName>
    <definedName name="IQ_LAST_SPLIT_DATE" hidden="1">"c2095"</definedName>
    <definedName name="IQ_LAST_SPLIT_FACTOR" hidden="1">"c2093"</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ICENSED_POPS" hidden="1">"c2123"</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W_TARGET_PRICE" hidden="1">"c1652"</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REPAIR" hidden="1">"c2087"</definedName>
    <definedName name="IQ_MARKETCAP" hidden="1">"c712"</definedName>
    <definedName name="IQ_MEDIAN_TARGET_PRICE" hidden="1">"c1650"</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DEBT" hidden="1">"c1584"</definedName>
    <definedName name="IQ_NET_DEBT_EBITDA" hidden="1">"c750"</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FAS" hidden="1">"c795"</definedName>
    <definedName name="IQ_NI_STDDEV_EST" hidden="1">"c1721"</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UTIL_REV" hidden="1">"c2089"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CLOSE_BALANCE_GAS" hidden="1">"c2049"</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OIL" hidden="1">"c2032"</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OIL" hidden="1">"c2035"</definedName>
    <definedName name="IQ_OG_PURCHASES_GAS" hidden="1">"c2045"</definedName>
    <definedName name="IQ_OG_PURCHASES_OIL" hidden="1">"c2033"</definedName>
    <definedName name="IQ_OG_REVISIONS_GAS" hidden="1">"c2042"</definedName>
    <definedName name="IQ_OG_REVISIONS_OIL" hidden="1">"c2030"</definedName>
    <definedName name="IQ_OG_SALES_IN_PLACE_GAS" hidden="1">"c2046"</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OIL_PRODUCTON" hidden="1">"c2059"</definedName>
    <definedName name="IQ_OG_UNDEVELOPED_RESERVES_GAS" hidden="1">"c2051"</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NPRICE" hidden="1">"c848"</definedName>
    <definedName name="IQ_OPER_INC" hidden="1">"c849"</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ISSUED" hidden="1">"c857"</definedName>
    <definedName name="IQ_ORDER_BACKLOG" hidden="1">"c2090"</definedName>
    <definedName name="IQ_OTHER_ADJUST_GROSS_LOANS" hidden="1">"c859"</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UTSTANDING_BS_DATE" hidden="1">"c2128"</definedName>
    <definedName name="IQ_OUTSTANDING_FILING_DATE" hidden="1">"c2127"</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WRITTEN" hidden="1">"c1027"</definedName>
    <definedName name="IQ_PE_EXCL" hidden="1">"c1028"</definedName>
    <definedName name="IQ_PE_EXCL_AVG" hidden="1">"c1029"</definedName>
    <definedName name="IQ_PE_EXCL_FWD" hidden="1">"c1030"</definedName>
    <definedName name="IQ_PE_RATIO" hidden="1">"c1610"</definedName>
    <definedName name="IQ_PEG_FWD" hidden="1">"c1863"</definedName>
    <definedName name="IQ_PENSION" hidden="1">"c1031"</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OVER_BVPS" hidden="1">"c1412"</definedName>
    <definedName name="IQ_PRICE_OVER_LTM_EPS" hidden="1">"c1413"</definedName>
    <definedName name="IQ_PRICE_TARGET" hidden="1">"c82"</definedName>
    <definedName name="IQ_PRICEDATE" hidden="1">"c1069"</definedName>
    <definedName name="IQ_PRICING_DATE" hidden="1">"c1613"</definedName>
    <definedName name="IQ_PRIMARY_INDUSTRY" hidden="1">"c1070"</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QUICK_RATIO" hidden="1">"c1086"</definedName>
    <definedName name="IQ_RATE_COMP_GROWTH_DOMESTIC" hidden="1">"c1087"</definedName>
    <definedName name="IQ_RATE_COMP_GROWTH_FOREIGN" hidden="1">"c1088"</definedName>
    <definedName name="IQ_RAW_INV" hidden="1">"c1089"</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VG_STORE_SIZE_GROSS" hidden="1">"c2066"</definedName>
    <definedName name="IQ_RETAIL_AVG_STORE_SIZE_NET" hidden="1">"c2067"</definedName>
    <definedName name="IQ_RETAIL_CLOSED_STORES" hidden="1">"c2063"</definedName>
    <definedName name="IQ_RETAIL_OPENED_STORES" hidden="1">"c2062"</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Q_FOOTAGE" hidden="1">"c2064"</definedName>
    <definedName name="IQ_RETAIL_STORE_SELLING_AREA" hidden="1">"c2065"</definedName>
    <definedName name="IQ_RETAIL_TOTAL_STORES" hidden="1">"c2061"</definedName>
    <definedName name="IQ_RETAINED_EARN" hidden="1">"c1420"</definedName>
    <definedName name="IQ_RETURN_ASSETS" hidden="1">"c1113"</definedName>
    <definedName name="IQ_RETURN_ASSETS_BANK" hidden="1">"c1114"</definedName>
    <definedName name="IQ_RETURN_ASSETS_BROK" hidden="1">"c1115"</definedName>
    <definedName name="IQ_RETURN_ASSETS_FS" hidden="1">"c1116"</definedName>
    <definedName name="IQ_RETURN_CAPITAL" hidden="1">"c1117"</definedName>
    <definedName name="IQ_RETURN_EQUITY" hidden="1">"c1118"</definedName>
    <definedName name="IQ_RETURN_EQUITY_BANK" hidden="1">"c1119"</definedName>
    <definedName name="IQ_RETURN_EQUITY_BROK" hidden="1">"c1120"</definedName>
    <definedName name="IQ_RETURN_EQUITY_FS" hidden="1">"c1121"</definedName>
    <definedName name="IQ_RETURN_INVESTMENT" hidden="1">"c1421"</definedName>
    <definedName name="IQ_REV" hidden="1">"c1122"</definedName>
    <definedName name="IQ_REV_BEFORE_LL" hidden="1">"c1123"</definedName>
    <definedName name="IQ_REV_STDDEV_EST" hidden="1">"c1124"</definedName>
    <definedName name="IQ_REV_UTI" hidden="1">"c1125"</definedName>
    <definedName name="IQ_REVENUE" hidden="1">"c1422"</definedName>
    <definedName name="IQ_REVENUE_EST" hidden="1">"c1126"</definedName>
    <definedName name="IQ_REVENUE_HIGH_EST" hidden="1">"c1127"</definedName>
    <definedName name="IQ_REVENUE_LOW_EST" hidden="1">"c1128"</definedName>
    <definedName name="IQ_REVENUE_MEDIAN_EST" hidden="1">"c1662"</definedName>
    <definedName name="IQ_REVENUE_NUM_EST" hidden="1">"c1129"</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ME_STORE" hidden="1">"c1149"</definedName>
    <definedName name="IQ_SAVING_DEP" hidden="1">"c1150"</definedName>
    <definedName name="IQ_SECUR_RECEIV" hidden="1">"c1151"</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CF" hidden="1">"c1203"</definedName>
    <definedName name="IQ_STRIKE_PRICE_ISSUED" hidden="1">"c1645"</definedName>
    <definedName name="IQ_STRIKE_PRICE_OS" hidden="1">"c1646"</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STDDEV" hidden="1">"c1654"</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MPLOYEE_AVG" hidden="1">"c1225"</definedName>
    <definedName name="IQ_TEV_TOTAL_REV" hidden="1">"c1226"</definedName>
    <definedName name="IQ_TEV_TOTAL_REV_AVG" hidden="1">"c1227"</definedName>
    <definedName name="IQ_TEV_TOTAL_REV_FWD" hidden="1">"c1228"</definedName>
    <definedName name="IQ_TIER_ONE_RATIO" hidden="1">"c1229"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QUITY" hidden="1">"c1250"</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EXP" hidden="1">"c1291"</definedName>
    <definedName name="IQ_TOTAL_PENSION_OBLIGATION" hidden="1">"c1292"</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S" hidden="1">"c2119"</definedName>
    <definedName name="IQ_TOTAL_UNUSUAL" hidden="1">"c1508"</definedName>
    <definedName name="IQ_TRADE_AR" hidden="1">"c1345"</definedName>
    <definedName name="IQ_TRADE_PRINCIPAL" hidden="1">"c1309"</definedName>
    <definedName name="IQ_TRADING_ASSETS" hidden="1">"c1310"</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USUAL_EXP" hidden="1">"c1456"</definedName>
    <definedName name="IQ_US_GAAP" hidden="1">"c1331"</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EIGHTED_AVG_PRICE" hidden="1">"c1334"</definedName>
    <definedName name="IQ_WIP_INV" hidden="1">"c1335"</definedName>
    <definedName name="IQ_WORKMEN_WRITTEN" hidden="1">"c1336"</definedName>
    <definedName name="IQ_XDIV_DATE" hidden="1">"c2104"</definedName>
    <definedName name="IQ_YEARHIGH" hidden="1">"c1337"</definedName>
    <definedName name="IQ_YEARLOW" hidden="1">"c1338"</definedName>
    <definedName name="IQ_YTD" hidden="1">3000</definedName>
    <definedName name="IQ_Z_SCORE" hidden="1">"c1339"</definedName>
    <definedName name="M" hidden="1">#REF!</definedName>
    <definedName name="_xlnm.Print_Area" localSheetId="1">'Design Fee'!$A$2:$FG$253</definedName>
    <definedName name="_xlnm.Print_Area" localSheetId="0">'Pkgs Summary'!$AU$221</definedName>
    <definedName name="_xlnm.Print_Titles" localSheetId="0">'Pkgs Summary'!$1:$6</definedName>
    <definedName name="Prof" localSheetId="0" hidden="1">#REF!</definedName>
    <definedName name="Prof" hidden="1">#REF!</definedName>
    <definedName name="q" localSheetId="0" hidden="1">'[1]Rate Analysis'!#REF!</definedName>
    <definedName name="q" localSheetId="3" hidden="1">'[1]Rate Analysis'!#REF!</definedName>
    <definedName name="q" hidden="1">'[1]Rate Analysis'!#REF!</definedName>
    <definedName name="SAPBEXdnldView" hidden="1">"431YL7QMJN6KP6IQEL77FEM9L"</definedName>
    <definedName name="SAPBEXsysID" hidden="1">"BP1"</definedName>
    <definedName name="shp" hidden="1">'[1]Rate Analysis'!#REF!</definedName>
    <definedName name="SORT1" localSheetId="3" hidden="1">'[9]#REF'!#REF!</definedName>
    <definedName name="SORT1" hidden="1">'[9]#REF'!#REF!</definedName>
    <definedName name="v" hidden="1">[10]Grouping!$A$1:$A$65536,[10]Grouping!$A$6:$IV$6</definedName>
    <definedName name="vivek1" localSheetId="0" hidden="1">#REF!</definedName>
    <definedName name="vivek1" localSheetId="3" hidden="1">#REF!</definedName>
    <definedName name="vivek1" hidden="1">#REF!</definedName>
    <definedName name="vivek11" localSheetId="3" hidden="1">#REF!</definedName>
    <definedName name="vivek11" hidden="1">#REF!</definedName>
    <definedName name="vivek12" localSheetId="3" hidden="1">#REF!</definedName>
    <definedName name="vivek12" hidden="1">#REF!</definedName>
    <definedName name="vivek13" hidden="1">#REF!</definedName>
    <definedName name="vivek17" hidden="1">#REF!</definedName>
    <definedName name="vivek18" hidden="1">#REF!</definedName>
    <definedName name="vivek2" hidden="1">#REF!</definedName>
    <definedName name="vivek220" hidden="1">#REF!</definedName>
    <definedName name="vivek288888" hidden="1">#REF!</definedName>
    <definedName name="vivek2dddddddddddddddd" hidden="1">#REF!</definedName>
    <definedName name="vivek2oooooooooooooooo" hidden="1">#REF!</definedName>
    <definedName name="vivek3" hidden="1">#REF!</definedName>
    <definedName name="vivek4" hidden="1">#REF!</definedName>
    <definedName name="vivek444" hidden="1">#REF!</definedName>
    <definedName name="vivek5" hidden="1">#REF!</definedName>
    <definedName name="vivek6" hidden="1">#REF!</definedName>
    <definedName name="vivek6666" hidden="1">#REF!</definedName>
    <definedName name="vivek9" hidden="1">#REF!</definedName>
    <definedName name="wrn.A4BSSCH." localSheetId="0" hidden="1">{"BSSCHA4",#N/A,FALSE,"sch bs"}</definedName>
    <definedName name="wrn.A4BSSCH." localSheetId="3" hidden="1">{"BSSCHA4",#N/A,FALSE,"sch bs"}</definedName>
    <definedName name="wrn.A4BSSCH." hidden="1">{"BSSCHA4",#N/A,FALSE,"sch bs"}</definedName>
    <definedName name="wrn.A4PL." localSheetId="0" hidden="1">{"a4p&amp;L",#N/A,FALSE,"tr &amp; pl"}</definedName>
    <definedName name="wrn.A4PL." localSheetId="3" hidden="1">{"a4p&amp;L",#N/A,FALSE,"tr &amp; pl"}</definedName>
    <definedName name="wrn.A4PL." hidden="1">{"a4p&amp;L",#N/A,FALSE,"tr &amp; pl"}</definedName>
    <definedName name="wrn.Aging._.and._.Trend._.Analysis." localSheetId="0" hidden="1">{#N/A,#N/A,FALSE,"Aging Summary";#N/A,#N/A,FALSE,"Ratio Analysis";#N/A,#N/A,FALSE,"Test 120 Day Accts";#N/A,#N/A,FALSE,"Tickmarks"}</definedName>
    <definedName name="wrn.Aging._.and._.Trend._.Analysis." localSheetId="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krutiCMA." localSheetId="0" hidden="1">{#N/A,#N/A,FALSE,"OPSTATE";#N/A,#N/A,FALSE,"BSLIABILITY";#N/A,#N/A,FALSE,"BSASSETS";#N/A,#N/A,FALSE,"Sheet1"}</definedName>
    <definedName name="wrn.AkrutiCMA." localSheetId="3" hidden="1">{#N/A,#N/A,FALSE,"OPSTATE";#N/A,#N/A,FALSE,"BSLIABILITY";#N/A,#N/A,FALSE,"BSASSETS";#N/A,#N/A,FALSE,"Sheet1"}</definedName>
    <definedName name="wrn.AkrutiCMA." hidden="1">{#N/A,#N/A,FALSE,"OPSTATE";#N/A,#N/A,FALSE,"BSLIABILITY";#N/A,#N/A,FALSE,"BSASSETS";#N/A,#N/A,FALSE,"Sheet1"}</definedName>
    <definedName name="wrn.All." localSheetId="0"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localSheetId="3"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All." hidden="1">{#N/A,#N/A,TRUE,"Introduction";#N/A,#N/A,TRUE,"Operating Statistics";#N/A,#N/A,TRUE,"Capex &amp; Depreciation";#N/A,#N/A,TRUE,"Equity";#N/A,#N/A,TRUE,"Debt";#N/A,#N/A,TRUE,"Debt (2)";#N/A,#N/A,TRUE,"Financials";#N/A,#N/A,TRUE,"Market Info";#N/A,#N/A,TRUE,"Company Card";#N/A,#N/A,TRUE,"One Pager";#N/A,#N/A,TRUE,"First Page";#N/A,#N/A,TRUE,"Technical";#N/A,#N/A,TRUE,"Range Names"}</definedName>
    <definedName name="wrn.BSA4." localSheetId="0" hidden="1">{"A4BS",#N/A,FALSE,"bs"}</definedName>
    <definedName name="wrn.BSA4." localSheetId="3" hidden="1">{"A4BS",#N/A,FALSE,"bs"}</definedName>
    <definedName name="wrn.BSA4." hidden="1">{"A4BS",#N/A,FALSE,"bs"}</definedName>
    <definedName name="wrn.capA4." localSheetId="0" hidden="1">{"capA4",#N/A,FALSE,"capt"}</definedName>
    <definedName name="wrn.capA4." localSheetId="3" hidden="1">{"capA4",#N/A,FALSE,"capt"}</definedName>
    <definedName name="wrn.capA4." hidden="1">{"capA4",#N/A,FALSE,"capt"}</definedName>
    <definedName name="wrn.depschA4." localSheetId="0" hidden="1">{"A4depsch",#N/A,FALSE,"fa&amp;dep"}</definedName>
    <definedName name="wrn.depschA4." localSheetId="3" hidden="1">{"A4depsch",#N/A,FALSE,"fa&amp;dep"}</definedName>
    <definedName name="wrn.depschA4." hidden="1">{"A4depsch",#N/A,FALSE,"fa&amp;dep"}</definedName>
    <definedName name="wrn.EVEREST." localSheetId="0" hidden="1">{#N/A,#N/A,FALSE,"BANKLIMITS";#N/A,#N/A,FALSE,"OPSTATE";#N/A,#N/A,FALSE,"BSLIABILITY";#N/A,#N/A,FALSE,"BSASSETS";#N/A,#N/A,FALSE,"CABUILDUP";#N/A,#N/A,FALSE,"WCASSESS";#N/A,#N/A,FALSE,"FUNDFLOW";#N/A,#N/A,FALSE,"DSCR";#N/A,#N/A,FALSE,"RATIOS";#N/A,#N/A,FALSE,"Term loan"}</definedName>
    <definedName name="wrn.EVEREST." localSheetId="3" hidden="1">{#N/A,#N/A,FALSE,"BANKLIMITS";#N/A,#N/A,FALSE,"OPSTATE";#N/A,#N/A,FALSE,"BSLIABILITY";#N/A,#N/A,FALSE,"BSASSETS";#N/A,#N/A,FALSE,"CABUILDUP";#N/A,#N/A,FALSE,"WCASSESS";#N/A,#N/A,FALSE,"FUNDFLOW";#N/A,#N/A,FALSE,"DSCR";#N/A,#N/A,FALSE,"RATIOS";#N/A,#N/A,FALSE,"Term loan"}</definedName>
    <definedName name="wrn.EVEREST." hidden="1">{#N/A,#N/A,FALSE,"BANKLIMITS";#N/A,#N/A,FALSE,"OPSTATE";#N/A,#N/A,FALSE,"BSLIABILITY";#N/A,#N/A,FALSE,"BSASSETS";#N/A,#N/A,FALSE,"CABUILDUP";#N/A,#N/A,FALSE,"WCASSESS";#N/A,#N/A,FALSE,"FUNDFLOW";#N/A,#N/A,FALSE,"DSCR";#N/A,#N/A,FALSE,"RATIOS";#N/A,#N/A,FALSE,"Term loan"}</definedName>
    <definedName name="wrn.Full._.Financials." localSheetId="0" hidden="1">{#N/A,#N/A,TRUE,"Financials";#N/A,#N/A,TRUE,"Operating Statistics";#N/A,#N/A,TRUE,"Capex &amp; Depreciation";#N/A,#N/A,TRUE,"Debt"}</definedName>
    <definedName name="wrn.Full._.Financials." localSheetId="3" hidden="1">{#N/A,#N/A,TRUE,"Financials";#N/A,#N/A,TRUE,"Operating Statistics";#N/A,#N/A,TRUE,"Capex &amp; Depreciation";#N/A,#N/A,TRUE,"Debt"}</definedName>
    <definedName name="wrn.Full._.Financials." hidden="1">{#N/A,#N/A,TRUE,"Financials";#N/A,#N/A,TRUE,"Operating Statistics";#N/A,#N/A,TRUE,"Capex &amp; Depreciation";#N/A,#N/A,TRUE,"Debt"}</definedName>
    <definedName name="wrn.One._.Pager._.plus._.Technicals." localSheetId="0" hidden="1">{#N/A,#N/A,FALSE,"One Pager";#N/A,#N/A,FALSE,"Technical"}</definedName>
    <definedName name="wrn.One._.Pager._.plus._.Technicals." localSheetId="3" hidden="1">{#N/A,#N/A,FALSE,"One Pager";#N/A,#N/A,FALSE,"Technical"}</definedName>
    <definedName name="wrn.One._.Pager._.plus._.Technicals." hidden="1">{#N/A,#N/A,FALSE,"One Pager";#N/A,#N/A,FALSE,"Technical"}</definedName>
    <definedName name="wrn.PLSCHA4." localSheetId="0" hidden="1">{"A4PLSCH",#N/A,FALSE,"sch pl"}</definedName>
    <definedName name="wrn.PLSCHA4." localSheetId="3" hidden="1">{"A4PLSCH",#N/A,FALSE,"sch pl"}</definedName>
    <definedName name="wrn.PLSCHA4." hidden="1">{"A4PLSCH",#N/A,FALSE,"sch pl"}</definedName>
    <definedName name="wrn.Print." localSheetId="0"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localSheetId="3"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 hidden="1">{"scenario",#N/A,FALSE,"Scenarios";"IS",#N/A,FALSE,"IS";"BS",#N/A,FALSE,"BS";"CFS",#N/A,FALSE,"CFS";"Tax",#N/A,FALSE,"Tax";"Debt",#N/A,FALSE,"Debt";"VAS",#N/A,FALSE,"VAS_Rev";"EFS",#N/A,FALSE,"EFS";"EDI",#N/A,FALSE,"EDI";"MMS",#N/A,FALSE,"MMS";"Intra",#N/A,FALSE,"Intranet";"FA",#N/A,FALSE,"Fix_Assets";"PSTN",#N/A,FALSE,"PSTN_Lines";"PreOp",#N/A,FALSE,"Pre-Op";"InterExp",#N/A,FALSE,"Int'l_Exp";"Propcost",#N/A,FALSE,"PROP_COST";"LLCost",#N/A,FALSE,"LL_Cost";"NetCost",#N/A,FALSE,"Inet_Conn";"Phase1",#N/A,FALSE,"Phase1";"Srvrcost",#N/A,FALSE,"SRV_Cost";"DCF",#N/A,FALSE,"DCF";"DCFCO",#N/A,FALSE,"DCF_CO"}</definedName>
    <definedName name="wrn.PrintShort." localSheetId="0" hidden="1">{"scenario",#N/A,FALSE,"Scenarios";"IS",#N/A,FALSE,"IS";"BS",#N/A,FALSE,"BS";"CFS",#N/A,FALSE,"CFS";"Intra",#N/A,FALSE,"Intranet";"MMS",#N/A,FALSE,"MMS";"EDI",#N/A,FALSE,"EDI";"EFS",#N/A,FALSE,"EFS";"DCF",#N/A,FALSE,"DCF";"Tax",#N/A,FALSE,"Tax";"Debt",#N/A,FALSE,"Debt";"VAS",#N/A,FALSE,"VAS_Rev";"FA",#N/A,FALSE,"Fix_Assets";"Summary",#N/A,FALSE,"SUMMARY"}</definedName>
    <definedName name="wrn.PrintShort." localSheetId="3" hidden="1">{"scenario",#N/A,FALSE,"Scenarios";"IS",#N/A,FALSE,"IS";"BS",#N/A,FALSE,"BS";"CFS",#N/A,FALSE,"CFS";"Intra",#N/A,FALSE,"Intranet";"MMS",#N/A,FALSE,"MMS";"EDI",#N/A,FALSE,"EDI";"EFS",#N/A,FALSE,"EFS";"DCF",#N/A,FALSE,"DCF";"Tax",#N/A,FALSE,"Tax";"Debt",#N/A,FALSE,"Debt";"VAS",#N/A,FALSE,"VAS_Rev";"FA",#N/A,FALSE,"Fix_Assets";"Summary",#N/A,FALSE,"SUMMARY"}</definedName>
    <definedName name="wrn.PrintShort." hidden="1">{"scenario",#N/A,FALSE,"Scenarios";"IS",#N/A,FALSE,"IS";"BS",#N/A,FALSE,"BS";"CFS",#N/A,FALSE,"CFS";"Intra",#N/A,FALSE,"Intranet";"MMS",#N/A,FALSE,"MMS";"EDI",#N/A,FALSE,"EDI";"EFS",#N/A,FALSE,"EFS";"DCF",#N/A,FALSE,"DCF";"Tax",#N/A,FALSE,"Tax";"Debt",#N/A,FALSE,"Debt";"VAS",#N/A,FALSE,"VAS_Rev";"FA",#N/A,FALSE,"Fix_Assets";"Summary",#N/A,FALSE,"SUMMARY"}</definedName>
    <definedName name="wrn.Saiwadi." localSheetId="0" hidden="1">{#N/A,#N/A,FALSE,"Sheet1";#N/A,#N/A,FALSE,"cost";#N/A,#N/A,FALSE,"prog";#N/A,#N/A,FALSE,"Nova-Area";#N/A,#N/A,FALSE,"BM-NOVA";#N/A,#N/A,FALSE,"Metropolis";#N/A,#N/A,FALSE,"BM-Metropolis";#N/A,#N/A,FALSE,"monthcf";#N/A,#N/A,FALSE,"Repayment Schedule"}</definedName>
    <definedName name="wrn.Saiwadi." localSheetId="3" hidden="1">{#N/A,#N/A,FALSE,"Sheet1";#N/A,#N/A,FALSE,"cost";#N/A,#N/A,FALSE,"prog";#N/A,#N/A,FALSE,"Nova-Area";#N/A,#N/A,FALSE,"BM-NOVA";#N/A,#N/A,FALSE,"Metropolis";#N/A,#N/A,FALSE,"BM-Metropolis";#N/A,#N/A,FALSE,"monthcf";#N/A,#N/A,FALSE,"Repayment Schedule"}</definedName>
    <definedName name="wrn.Saiwadi." hidden="1">{#N/A,#N/A,FALSE,"Sheet1";#N/A,#N/A,FALSE,"cost";#N/A,#N/A,FALSE,"prog";#N/A,#N/A,FALSE,"Nova-Area";#N/A,#N/A,FALSE,"BM-NOVA";#N/A,#N/A,FALSE,"Metropolis";#N/A,#N/A,FALSE,"BM-Metropolis";#N/A,#N/A,FALSE,"monthcf";#N/A,#N/A,FALSE,"Repayment Schedule"}</definedName>
    <definedName name="wrn.SunSteel." localSheetId="0"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localSheetId="3"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unSteel." hidden="1">{#N/A,#N/A,FALSE,"BANKLIMITS";#N/A,#N/A,FALSE,"OPSTATE";#N/A,#N/A,FALSE,"BEP sales";#N/A,#N/A,FALSE,"Capacity-rolling";#N/A,#N/A,FALSE,"Capacity ingot";#N/A,#N/A,FALSE,"DSCR-TL";#N/A,#N/A,FALSE,"DSCR GROSS";#N/A,#N/A,FALSE,"BSLIABILITY";#N/A,#N/A,FALSE,"BSASSETS";#N/A,#N/A,FALSE,"CABUILDUP";#N/A,#N/A,FALSE,"WCASSESS";#N/A,#N/A,FALSE,"FUNDFLOW";#N/A,#N/A,FALSE,"RATIOS";#N/A,#N/A,FALSE,"Term loan";#N/A,#N/A,FALSE,"Depreciation"}</definedName>
    <definedName name="wrn.SWATINORMAL." localSheetId="0" hidden="1">{#N/A,#N/A,FALSE,"BANKLIMITS";#N/A,#N/A,FALSE,"OPSTATE";#N/A,#N/A,FALSE,"BSLIABILITY";#N/A,#N/A,FALSE,"BSASSETS";#N/A,#N/A,FALSE,"CABUILDUP";#N/A,#N/A,FALSE,"WCASSESS";#N/A,#N/A,FALSE,"FUNDFLOW";#N/A,#N/A,FALSE,"DSCR";#N/A,#N/A,FALSE,"RATIOS";#N/A,#N/A,FALSE,"Dep"}</definedName>
    <definedName name="wrn.SWATINORMAL." localSheetId="3" hidden="1">{#N/A,#N/A,FALSE,"BANKLIMITS";#N/A,#N/A,FALSE,"OPSTATE";#N/A,#N/A,FALSE,"BSLIABILITY";#N/A,#N/A,FALSE,"BSASSETS";#N/A,#N/A,FALSE,"CABUILDUP";#N/A,#N/A,FALSE,"WCASSESS";#N/A,#N/A,FALSE,"FUNDFLOW";#N/A,#N/A,FALSE,"DSCR";#N/A,#N/A,FALSE,"RATIOS";#N/A,#N/A,FALSE,"Dep"}</definedName>
    <definedName name="wrn.SWATINORMAL." hidden="1">{#N/A,#N/A,FALSE,"BANKLIMITS";#N/A,#N/A,FALSE,"OPSTATE";#N/A,#N/A,FALSE,"BSLIABILITY";#N/A,#N/A,FALSE,"BSASSETS";#N/A,#N/A,FALSE,"CABUILDUP";#N/A,#N/A,FALSE,"WCASSESS";#N/A,#N/A,FALSE,"FUNDFLOW";#N/A,#N/A,FALSE,"DSCR";#N/A,#N/A,FALSE,"RATIOS";#N/A,#N/A,FALSE,"Dep"}</definedName>
    <definedName name="XREF_COLUMN_2" hidden="1">[11]BS!#REF!</definedName>
    <definedName name="XREF_COLUMN_3" hidden="1">[11]FA!#REF!</definedName>
    <definedName name="XREF_COLUMN_4" hidden="1">[11]FA!#REF!</definedName>
    <definedName name="XREF_COLUMN_5" hidden="1">[11]FA!#REF!</definedName>
    <definedName name="XREF_COLUMN_6" hidden="1">[11]FA!#REF!</definedName>
    <definedName name="XREF_COLUMN_7" hidden="1">[11]FA!#REF!</definedName>
    <definedName name="XREF_COLUMN_8" hidden="1">[11]FA!#REF!</definedName>
    <definedName name="XREF_COLUMN_9" hidden="1">[11]FA!#REF!</definedName>
    <definedName name="XRefCopyRangeCount" hidden="1">6</definedName>
    <definedName name="XYZ" hidden="1">[12]Grouping!$A$1:$A$65536,[12]Grouping!$A$6:$IV$6</definedName>
    <definedName name="Z_0185ADC1_3830_11D3_88E4_00104B2D4E50_.wvu.FilterData" localSheetId="0" hidden="1">#REF!</definedName>
    <definedName name="Z_0185ADC1_3830_11D3_88E4_00104B2D4E50_.wvu.FilterData" localSheetId="3" hidden="1">#REF!</definedName>
    <definedName name="Z_0185ADC1_3830_11D3_88E4_00104B2D4E50_.wvu.FilterData" hidden="1">#REF!</definedName>
    <definedName name="Z_0185ADC2_3830_11D3_88E4_00104B2D4E50_.wvu.FilterData" localSheetId="3" hidden="1">#REF!</definedName>
    <definedName name="Z_0185ADC2_3830_11D3_88E4_00104B2D4E50_.wvu.FilterData" hidden="1">#REF!</definedName>
    <definedName name="Z_020243C4_4FC9_11D3_88E5_00104B2D4E50_.wvu.FilterData" hidden="1">#REF!</definedName>
    <definedName name="Z_020243C5_4FC9_11D3_88E5_00104B2D4E50_.wvu.FilterData" hidden="1">#REF!</definedName>
    <definedName name="Z_020243D6_4FC9_11D3_88E5_00104B2D4E50_.wvu.FilterData" hidden="1">#REF!</definedName>
    <definedName name="Z_020243D9_4FC9_11D3_88E5_00104B2D4E50_.wvu.FilterData" hidden="1">#REF!</definedName>
    <definedName name="Z_18E867C2_363F_11D3_B384_00104B203064_.wvu.Cols" hidden="1">#REF!</definedName>
    <definedName name="Z_18E867C2_363F_11D3_B384_00104B203064_.wvu.FilterData" hidden="1">#REF!</definedName>
    <definedName name="Z_18E867C6_363F_11D3_B384_00104B203064_.wvu.FilterData" hidden="1">#REF!</definedName>
    <definedName name="Z_2529F30F_675A_11D3_88E6_00104B2D4E50_.wvu.FilterData" hidden="1">#REF!</definedName>
    <definedName name="Z_37C90060_2018_11D3_9FEA_008048EE1BB3_.wvu.Cols" hidden="1">#REF!</definedName>
    <definedName name="Z_37C90060_2018_11D3_9FEA_008048EE1BB3_.wvu.FilterData" hidden="1">#REF!</definedName>
    <definedName name="Z_37C90061_2018_11D3_9FEA_008048EE1BB3_.wvu.FilterData" hidden="1">#REF!</definedName>
    <definedName name="Z_37C90063_2018_11D3_9FEA_008048EE1BB3_.wvu.FilterData" hidden="1">#REF!</definedName>
    <definedName name="Z_42177D60_3622_11D3_B2D2_008048EE2662_.wvu.FilterData" hidden="1">#REF!</definedName>
    <definedName name="Z_87846904_F246_11D2_88E4_00104B2D4E50_.wvu.PrintTitles" hidden="1">#REF!,#REF!</definedName>
    <definedName name="Z_9C36B7A0_8E17_11D3_B2D2_008048EE2662_.wvu.Rows" hidden="1">#REF!,#REF!,#REF!</definedName>
    <definedName name="Z_AF67EA27_37A9_11D3_88E4_00104B2D4E50_.wvu.FilterData" hidden="1">#REF!</definedName>
    <definedName name="Z_CC26C000_67A6_11D3_B801_444553540000_.wvu.FilterData" hidden="1">#REF!</definedName>
    <definedName name="Z_D840F8B1_668B_11D3_88E6_00104B2D4E50_.wvu.FilterData" hidden="1">#REF!</definedName>
    <definedName name="Z_F0339D6F_2232_11D3_88E4_00104B2D4E50_.wvu.FilterData"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58" i="20" l="1"/>
  <c r="D257" i="20"/>
  <c r="D256" i="20"/>
  <c r="H24" i="17" l="1"/>
  <c r="H23" i="17"/>
  <c r="H22" i="17"/>
  <c r="H21" i="17"/>
  <c r="H20" i="17"/>
  <c r="H985" i="17"/>
  <c r="H983" i="17"/>
  <c r="H928" i="17"/>
  <c r="H390" i="17"/>
  <c r="H391" i="17"/>
  <c r="H392" i="17"/>
  <c r="H333" i="11"/>
  <c r="H334" i="11"/>
  <c r="H335" i="11"/>
  <c r="H336" i="11"/>
  <c r="H337" i="11"/>
  <c r="H658" i="17"/>
  <c r="H657" i="17"/>
  <c r="H656" i="17"/>
  <c r="H655" i="17"/>
  <c r="H654" i="17"/>
  <c r="H651" i="17"/>
  <c r="H650" i="17"/>
  <c r="H647" i="17"/>
  <c r="H646" i="17"/>
  <c r="H643" i="17"/>
  <c r="H642" i="17"/>
  <c r="H641" i="17"/>
  <c r="H640" i="17"/>
  <c r="H626" i="17"/>
  <c r="H283" i="16"/>
  <c r="H282" i="16"/>
  <c r="H281" i="16"/>
  <c r="H280" i="16"/>
  <c r="H279" i="16"/>
  <c r="H278" i="16"/>
  <c r="H277" i="16"/>
  <c r="H276" i="16"/>
  <c r="H275" i="16"/>
  <c r="H274" i="16"/>
  <c r="H273" i="16"/>
  <c r="H272" i="16"/>
  <c r="H271" i="16"/>
  <c r="H270" i="16"/>
  <c r="H269" i="16"/>
  <c r="H268" i="16"/>
  <c r="H267" i="16"/>
  <c r="H960" i="11"/>
  <c r="H959" i="11"/>
  <c r="H958" i="11"/>
  <c r="H955" i="11"/>
  <c r="H954" i="11"/>
  <c r="H950" i="11"/>
  <c r="Q967" i="11"/>
  <c r="H953" i="11"/>
  <c r="H949" i="11"/>
  <c r="H948" i="11"/>
  <c r="H947" i="11"/>
  <c r="H944" i="11"/>
  <c r="H1908" i="11"/>
  <c r="H245" i="16"/>
  <c r="AU238" i="25"/>
  <c r="AV238" i="25"/>
  <c r="AW238" i="25"/>
  <c r="H295" i="16"/>
  <c r="H294" i="16"/>
  <c r="H293" i="16"/>
  <c r="H292" i="16"/>
  <c r="H291" i="16"/>
  <c r="H290" i="16"/>
  <c r="H289" i="16"/>
  <c r="H288" i="16"/>
  <c r="H287" i="16"/>
  <c r="H286" i="16"/>
  <c r="H261" i="16"/>
  <c r="H260" i="16"/>
  <c r="H259" i="16"/>
  <c r="H258" i="16"/>
  <c r="H257" i="16"/>
  <c r="H256" i="16"/>
  <c r="H255" i="16"/>
  <c r="H265" i="16"/>
  <c r="H264" i="16"/>
  <c r="H263" i="16"/>
  <c r="H262" i="16"/>
  <c r="H254" i="16"/>
  <c r="H253" i="16"/>
  <c r="H252" i="16"/>
  <c r="H251" i="16"/>
  <c r="H250" i="16"/>
  <c r="H249" i="16"/>
  <c r="H237" i="16"/>
  <c r="H236" i="16"/>
  <c r="H235" i="16"/>
  <c r="H234" i="16"/>
  <c r="H233" i="16"/>
  <c r="H232" i="16"/>
  <c r="H231" i="16"/>
  <c r="H230" i="16"/>
  <c r="H244" i="16"/>
  <c r="H243" i="16"/>
  <c r="H242" i="16"/>
  <c r="H241" i="16"/>
  <c r="H240" i="16"/>
  <c r="H239" i="16"/>
  <c r="H238" i="16"/>
  <c r="H68" i="16"/>
  <c r="H67" i="16"/>
  <c r="H66" i="16"/>
  <c r="H65" i="16"/>
  <c r="H64" i="16"/>
  <c r="H63" i="16"/>
  <c r="H62" i="16"/>
  <c r="H61" i="16"/>
  <c r="H60" i="16"/>
  <c r="H59" i="16"/>
  <c r="H58" i="16"/>
  <c r="H57" i="16"/>
  <c r="H55" i="16"/>
  <c r="H54" i="16"/>
  <c r="H53" i="16"/>
  <c r="H52" i="16"/>
  <c r="H51" i="16"/>
  <c r="H50" i="16"/>
  <c r="H49" i="16"/>
  <c r="H48" i="16"/>
  <c r="H80" i="16"/>
  <c r="H79" i="16"/>
  <c r="H78" i="16"/>
  <c r="H77" i="16"/>
  <c r="H76" i="16"/>
  <c r="H75" i="16"/>
  <c r="H74" i="16"/>
  <c r="H73" i="16"/>
  <c r="H72" i="16"/>
  <c r="H71" i="16"/>
  <c r="H70" i="16"/>
  <c r="H86" i="16"/>
  <c r="H85" i="16"/>
  <c r="H84" i="16"/>
  <c r="H83" i="16"/>
  <c r="H82" i="16"/>
  <c r="H26" i="16"/>
  <c r="H25" i="16"/>
  <c r="H24" i="16"/>
  <c r="H23" i="16"/>
  <c r="H22" i="16"/>
  <c r="H21" i="16"/>
  <c r="H44" i="16"/>
  <c r="H43" i="16"/>
  <c r="H42" i="16"/>
  <c r="H41" i="16"/>
  <c r="H40" i="16"/>
  <c r="H39" i="16"/>
  <c r="H226" i="16"/>
  <c r="H227" i="16"/>
  <c r="H225" i="16"/>
  <c r="H224" i="16"/>
  <c r="H223" i="16"/>
  <c r="H222" i="16"/>
  <c r="H221" i="16"/>
  <c r="H220" i="16"/>
  <c r="H219" i="16"/>
  <c r="H218" i="16"/>
  <c r="H217" i="16"/>
  <c r="H216" i="16"/>
  <c r="H215" i="16"/>
  <c r="H214" i="16"/>
  <c r="H213" i="16"/>
  <c r="H212" i="16"/>
  <c r="H211" i="16"/>
  <c r="H191" i="16"/>
  <c r="H192" i="16"/>
  <c r="AN72" i="22"/>
  <c r="H60" i="11"/>
  <c r="H61" i="11"/>
  <c r="H64" i="11"/>
  <c r="H65" i="11"/>
  <c r="H66" i="11"/>
  <c r="H69" i="11"/>
  <c r="H70" i="11"/>
  <c r="H71" i="11"/>
  <c r="H72" i="11"/>
  <c r="H73" i="11"/>
  <c r="H74" i="11"/>
  <c r="H75" i="11"/>
  <c r="H76" i="11"/>
  <c r="H77" i="11"/>
  <c r="H78" i="11"/>
  <c r="H80" i="11"/>
  <c r="H81" i="11"/>
  <c r="H82" i="11"/>
  <c r="H83" i="11"/>
  <c r="H84" i="11"/>
  <c r="H85" i="11"/>
  <c r="H86" i="11"/>
  <c r="H87" i="11"/>
  <c r="H89" i="11"/>
  <c r="H90" i="11"/>
  <c r="H91" i="11"/>
  <c r="H92" i="11"/>
  <c r="H93" i="11"/>
  <c r="H94" i="11"/>
  <c r="H97" i="11"/>
  <c r="H98" i="11"/>
  <c r="H101" i="11"/>
  <c r="H102" i="11"/>
  <c r="H105" i="11"/>
  <c r="H108" i="11"/>
  <c r="H109" i="11"/>
  <c r="H112" i="11"/>
  <c r="H113" i="11"/>
  <c r="H114" i="11"/>
  <c r="H115" i="11"/>
  <c r="H116" i="11"/>
  <c r="H119" i="11"/>
  <c r="H120" i="11"/>
  <c r="H121" i="11"/>
  <c r="H124" i="11"/>
  <c r="H125" i="11"/>
  <c r="H126" i="11"/>
  <c r="H127" i="11"/>
  <c r="H128" i="11"/>
  <c r="H129" i="11"/>
  <c r="H130" i="11"/>
  <c r="H131" i="11"/>
  <c r="H132" i="11"/>
  <c r="H133" i="11"/>
  <c r="H134" i="11"/>
  <c r="H135" i="11"/>
  <c r="H136" i="11"/>
  <c r="H137" i="11"/>
  <c r="H138" i="11"/>
  <c r="H139" i="11"/>
  <c r="H140" i="11"/>
  <c r="H141" i="11"/>
  <c r="H142" i="11"/>
  <c r="H145" i="11"/>
  <c r="H146" i="11"/>
  <c r="H147" i="11"/>
  <c r="H148" i="11"/>
  <c r="H149" i="11"/>
  <c r="H150" i="11"/>
  <c r="H151" i="11"/>
  <c r="H157" i="11"/>
  <c r="H160" i="11"/>
  <c r="H161" i="11"/>
  <c r="H162" i="11"/>
  <c r="H163" i="11"/>
  <c r="H164" i="11"/>
  <c r="H169" i="11"/>
  <c r="H170" i="11"/>
  <c r="H174" i="11"/>
  <c r="H175" i="11"/>
  <c r="H176" i="11"/>
  <c r="H177" i="11"/>
  <c r="H178" i="11"/>
  <c r="H179" i="11"/>
  <c r="H180" i="11"/>
  <c r="H181" i="11"/>
  <c r="H182" i="11"/>
  <c r="H183" i="11"/>
  <c r="H184" i="11"/>
  <c r="H185" i="11"/>
  <c r="H186" i="11"/>
  <c r="H187" i="11"/>
  <c r="H188" i="11"/>
  <c r="H189" i="11"/>
  <c r="H192" i="11"/>
  <c r="H193" i="11"/>
  <c r="H194" i="11"/>
  <c r="H195" i="11"/>
  <c r="H196" i="11"/>
  <c r="H197" i="11"/>
  <c r="H198" i="11"/>
  <c r="H199" i="11"/>
  <c r="H200" i="11"/>
  <c r="H201" i="11"/>
  <c r="H202" i="11"/>
  <c r="H205" i="11"/>
  <c r="H206" i="11"/>
  <c r="H207" i="11"/>
  <c r="H208" i="11"/>
  <c r="H209" i="11"/>
  <c r="H210" i="11"/>
  <c r="H211" i="11"/>
  <c r="H212" i="11"/>
  <c r="H213" i="11"/>
  <c r="H214" i="11"/>
  <c r="H215" i="11"/>
  <c r="H216" i="11"/>
  <c r="H217" i="11"/>
  <c r="H220" i="11"/>
  <c r="H221" i="11"/>
  <c r="H224" i="11"/>
  <c r="H225" i="11"/>
  <c r="H228" i="11"/>
  <c r="H229" i="11"/>
  <c r="H230" i="11"/>
  <c r="H231" i="11"/>
  <c r="H232" i="11"/>
  <c r="H233" i="11"/>
  <c r="H234" i="11"/>
  <c r="H237" i="11"/>
  <c r="H238" i="11"/>
  <c r="H239" i="11"/>
  <c r="H240" i="11"/>
  <c r="H241" i="11"/>
  <c r="H242" i="11"/>
  <c r="H243" i="11"/>
  <c r="H244" i="11"/>
  <c r="H245" i="11"/>
  <c r="H246" i="11"/>
  <c r="H247" i="11"/>
  <c r="H248" i="11"/>
  <c r="H249" i="11"/>
  <c r="H250" i="11"/>
  <c r="H251" i="11"/>
  <c r="H252" i="11"/>
  <c r="H255" i="11"/>
  <c r="H256" i="11"/>
  <c r="H257" i="11"/>
  <c r="H258" i="11"/>
  <c r="H261" i="11"/>
  <c r="H262" i="11"/>
  <c r="H263" i="11"/>
  <c r="H266" i="11"/>
  <c r="H267" i="11"/>
  <c r="H268" i="11"/>
  <c r="H269" i="11"/>
  <c r="H270" i="11"/>
  <c r="H271" i="11"/>
  <c r="H275" i="11"/>
  <c r="H276" i="11"/>
  <c r="H1146" i="11"/>
  <c r="H1145" i="11"/>
  <c r="H1144" i="11"/>
  <c r="H92" i="16"/>
  <c r="H91" i="16"/>
  <c r="H90" i="16"/>
  <c r="H89" i="16"/>
  <c r="H88" i="16"/>
  <c r="H351" i="11"/>
  <c r="H352" i="11"/>
  <c r="H357" i="11"/>
  <c r="H350" i="11"/>
  <c r="H329" i="11"/>
  <c r="H328" i="11"/>
  <c r="H364" i="11"/>
  <c r="H363" i="11"/>
  <c r="H362" i="11"/>
  <c r="H365" i="11"/>
  <c r="H366" i="11"/>
  <c r="H2069" i="11"/>
  <c r="H2121" i="11"/>
  <c r="H2090" i="11"/>
  <c r="H1100" i="11"/>
  <c r="H1099" i="11"/>
  <c r="H1098" i="11"/>
  <c r="H1102" i="11"/>
  <c r="H1101" i="11"/>
  <c r="H1103" i="11"/>
  <c r="H2272" i="11"/>
  <c r="H2271" i="11"/>
  <c r="H432" i="11"/>
  <c r="H431" i="11"/>
  <c r="H430" i="11"/>
  <c r="H674" i="11"/>
  <c r="H673" i="11"/>
  <c r="H672" i="11"/>
  <c r="H685" i="11"/>
  <c r="H684" i="11"/>
  <c r="H687" i="11"/>
  <c r="H686" i="11"/>
  <c r="H683" i="11"/>
  <c r="H689" i="11"/>
  <c r="H649" i="11"/>
  <c r="H732" i="12"/>
  <c r="H731" i="12"/>
  <c r="H791" i="12"/>
  <c r="H800" i="12"/>
  <c r="H736" i="12"/>
  <c r="H735" i="12"/>
  <c r="H734" i="12"/>
  <c r="H733" i="12"/>
  <c r="H729" i="12"/>
  <c r="H730" i="12"/>
  <c r="H776" i="12"/>
  <c r="H775" i="12"/>
  <c r="H774" i="12"/>
  <c r="H773" i="12"/>
  <c r="H501" i="17"/>
  <c r="H2269" i="11"/>
  <c r="H2268" i="11"/>
  <c r="H2267" i="11"/>
  <c r="H708" i="11"/>
  <c r="BK235" i="20"/>
  <c r="BK233" i="20" s="1"/>
  <c r="BM235" i="20"/>
  <c r="BM233" i="20" s="1"/>
  <c r="AA235" i="20"/>
  <c r="AA233" i="20" s="1"/>
  <c r="AC235" i="20"/>
  <c r="AD235" i="20"/>
  <c r="V19" i="22"/>
  <c r="U19" i="22"/>
  <c r="T19" i="22"/>
  <c r="S19" i="22"/>
  <c r="V18" i="22"/>
  <c r="U18" i="22"/>
  <c r="T18" i="22"/>
  <c r="S18" i="22"/>
  <c r="V17" i="22"/>
  <c r="U17" i="22"/>
  <c r="T17" i="22"/>
  <c r="S17" i="22"/>
  <c r="V16" i="22"/>
  <c r="U16" i="22"/>
  <c r="T16" i="22"/>
  <c r="S16" i="22"/>
  <c r="V15" i="22"/>
  <c r="U15" i="22"/>
  <c r="T15" i="22"/>
  <c r="S15" i="22"/>
  <c r="V14" i="22"/>
  <c r="U14" i="22"/>
  <c r="T14" i="22"/>
  <c r="S14" i="22"/>
  <c r="V13" i="22"/>
  <c r="U13" i="22"/>
  <c r="T13" i="22"/>
  <c r="S13" i="22"/>
  <c r="V12" i="22"/>
  <c r="U12" i="22"/>
  <c r="T12" i="22"/>
  <c r="S12" i="22"/>
  <c r="V11" i="22"/>
  <c r="U11" i="22"/>
  <c r="T11" i="22"/>
  <c r="S11" i="22"/>
  <c r="V10" i="22"/>
  <c r="U10" i="22"/>
  <c r="T10" i="22"/>
  <c r="S10" i="22"/>
  <c r="V9" i="22"/>
  <c r="U9" i="22"/>
  <c r="T9" i="22"/>
  <c r="S9" i="22"/>
  <c r="V8" i="22"/>
  <c r="U8" i="22"/>
  <c r="T8" i="22"/>
  <c r="S8" i="22"/>
  <c r="V7" i="22"/>
  <c r="U7" i="22"/>
  <c r="T7" i="22"/>
  <c r="S7" i="22"/>
  <c r="V6" i="22"/>
  <c r="U6" i="22"/>
  <c r="T6" i="22"/>
  <c r="S6" i="22"/>
  <c r="V4" i="22"/>
  <c r="T4" i="22"/>
  <c r="S4" i="22"/>
  <c r="Q11" i="22"/>
  <c r="Q17" i="22"/>
  <c r="Q14" i="22"/>
  <c r="Q12" i="22"/>
  <c r="Q6" i="22"/>
  <c r="Q19" i="22"/>
  <c r="Q15" i="22"/>
  <c r="Q18" i="22"/>
  <c r="Q13" i="22"/>
  <c r="Q16" i="22"/>
  <c r="V23" i="22"/>
  <c r="V25" i="22"/>
  <c r="S23" i="22"/>
  <c r="S25" i="22"/>
  <c r="Q10" i="22"/>
  <c r="Q9" i="22"/>
  <c r="T23" i="22"/>
  <c r="T25" i="22"/>
  <c r="Q8" i="22"/>
  <c r="Q7" i="22"/>
  <c r="U4" i="22"/>
  <c r="BK233" i="25"/>
  <c r="BI233" i="25"/>
  <c r="BC233" i="25"/>
  <c r="AT233" i="25"/>
  <c r="AR233" i="25"/>
  <c r="AL233" i="25"/>
  <c r="BK224" i="25"/>
  <c r="BI224" i="25"/>
  <c r="BC224" i="25"/>
  <c r="AT224" i="25"/>
  <c r="AR224" i="25"/>
  <c r="AL224" i="25"/>
  <c r="AC224" i="25"/>
  <c r="AA224" i="25"/>
  <c r="U224" i="25"/>
  <c r="BK218" i="25"/>
  <c r="BI218" i="25"/>
  <c r="BC218" i="25"/>
  <c r="AT218" i="25"/>
  <c r="AR218" i="25"/>
  <c r="AL218" i="25"/>
  <c r="AC218" i="25"/>
  <c r="AA218" i="25"/>
  <c r="U218" i="25"/>
  <c r="BK206" i="25"/>
  <c r="BI206" i="25"/>
  <c r="BC206" i="25"/>
  <c r="AT206" i="25"/>
  <c r="AR206" i="25"/>
  <c r="AL206" i="25"/>
  <c r="AC206" i="25"/>
  <c r="AA206" i="25"/>
  <c r="U206" i="25"/>
  <c r="BK201" i="25"/>
  <c r="BI201" i="25"/>
  <c r="BC201" i="25"/>
  <c r="AT201" i="25"/>
  <c r="AR201" i="25"/>
  <c r="AL201" i="25"/>
  <c r="AC201" i="25"/>
  <c r="AA201" i="25"/>
  <c r="U201" i="25"/>
  <c r="BK196" i="25"/>
  <c r="BI196" i="25"/>
  <c r="BC196" i="25"/>
  <c r="AT196" i="25"/>
  <c r="AR196" i="25"/>
  <c r="AL196" i="25"/>
  <c r="AC196" i="25"/>
  <c r="AA196" i="25"/>
  <c r="U196" i="25"/>
  <c r="BK142" i="25"/>
  <c r="BI142" i="25"/>
  <c r="BC142" i="25"/>
  <c r="AT142" i="25"/>
  <c r="AR142" i="25"/>
  <c r="AL142" i="25"/>
  <c r="AC142" i="25"/>
  <c r="AA142" i="25"/>
  <c r="U142" i="25"/>
  <c r="BK130" i="25"/>
  <c r="BI130" i="25"/>
  <c r="BC130" i="25"/>
  <c r="AT130" i="25"/>
  <c r="AR130" i="25"/>
  <c r="AL130" i="25"/>
  <c r="AC130" i="25"/>
  <c r="AA130" i="25"/>
  <c r="U130" i="25"/>
  <c r="BK119" i="25"/>
  <c r="BI119" i="25"/>
  <c r="BC119" i="25"/>
  <c r="AT119" i="25"/>
  <c r="AR119" i="25"/>
  <c r="AL119" i="25"/>
  <c r="AC119" i="25"/>
  <c r="AA119" i="25"/>
  <c r="U119" i="25"/>
  <c r="BK107" i="25"/>
  <c r="BI107" i="25"/>
  <c r="BC107" i="25"/>
  <c r="AT107" i="25"/>
  <c r="AR107" i="25"/>
  <c r="AL107" i="25"/>
  <c r="AC107" i="25"/>
  <c r="AA107" i="25"/>
  <c r="U107" i="25"/>
  <c r="BK96" i="25"/>
  <c r="BI96" i="25"/>
  <c r="BC96" i="25"/>
  <c r="AT96" i="25"/>
  <c r="AR96" i="25"/>
  <c r="AL96" i="25"/>
  <c r="AC96" i="25"/>
  <c r="AA96" i="25"/>
  <c r="U96" i="25"/>
  <c r="BK84" i="25"/>
  <c r="BI84" i="25"/>
  <c r="BC84" i="25"/>
  <c r="AT84" i="25"/>
  <c r="AR84" i="25"/>
  <c r="AL84" i="25"/>
  <c r="AC84" i="25"/>
  <c r="AA84" i="25"/>
  <c r="U84" i="25"/>
  <c r="BK73" i="25"/>
  <c r="BI73" i="25"/>
  <c r="BC73" i="25"/>
  <c r="AT73" i="25"/>
  <c r="AR73" i="25"/>
  <c r="AL73" i="25"/>
  <c r="AC73" i="25"/>
  <c r="AA73" i="25"/>
  <c r="U73" i="25"/>
  <c r="BK61" i="25"/>
  <c r="BI61" i="25"/>
  <c r="BC61" i="25"/>
  <c r="AT61" i="25"/>
  <c r="AR61" i="25"/>
  <c r="AL61" i="25"/>
  <c r="AC61" i="25"/>
  <c r="AA61" i="25"/>
  <c r="U61" i="25"/>
  <c r="BK49" i="25"/>
  <c r="BI49" i="25"/>
  <c r="BC49" i="25"/>
  <c r="AT49" i="25"/>
  <c r="AR49" i="25"/>
  <c r="AL49" i="25"/>
  <c r="AC49" i="25"/>
  <c r="AA49" i="25"/>
  <c r="U49" i="25"/>
  <c r="J224" i="25"/>
  <c r="J218" i="25"/>
  <c r="J206" i="25"/>
  <c r="J201" i="25"/>
  <c r="J196" i="25"/>
  <c r="J142" i="25"/>
  <c r="J130" i="25"/>
  <c r="J119" i="25"/>
  <c r="J107" i="25"/>
  <c r="J96" i="25"/>
  <c r="J84" i="25"/>
  <c r="J73" i="25"/>
  <c r="J61" i="25"/>
  <c r="J49" i="25"/>
  <c r="X238" i="20"/>
  <c r="BH238" i="20"/>
  <c r="CR238" i="20"/>
  <c r="EB238" i="20"/>
  <c r="X239" i="20"/>
  <c r="BH239" i="20"/>
  <c r="CR239" i="20"/>
  <c r="EB239" i="20"/>
  <c r="C240" i="20"/>
  <c r="D240" i="20"/>
  <c r="E240" i="20"/>
  <c r="T240" i="20"/>
  <c r="V240" i="20"/>
  <c r="Y240" i="20"/>
  <c r="BI240" i="20"/>
  <c r="AF237" i="25" s="1"/>
  <c r="BV240" i="20"/>
  <c r="BW240" i="20"/>
  <c r="BX240" i="20"/>
  <c r="BY240" i="20"/>
  <c r="BZ240" i="20"/>
  <c r="CA240" i="20"/>
  <c r="CB240" i="20"/>
  <c r="CC240" i="20"/>
  <c r="CD240" i="20"/>
  <c r="CE240" i="20"/>
  <c r="CF240" i="20"/>
  <c r="CH240" i="20"/>
  <c r="CI240" i="20"/>
  <c r="CJ240" i="20"/>
  <c r="CK240" i="20"/>
  <c r="CL240" i="20"/>
  <c r="DI240" i="20"/>
  <c r="EA240" i="20"/>
  <c r="EA238" i="20" s="1"/>
  <c r="EJ240" i="20"/>
  <c r="BU237" i="25" s="1"/>
  <c r="ES240" i="20"/>
  <c r="C241" i="20"/>
  <c r="D241" i="20"/>
  <c r="E241" i="20"/>
  <c r="AO240" i="20"/>
  <c r="BC240" i="20"/>
  <c r="BE240" i="20"/>
  <c r="BF240" i="20"/>
  <c r="CM240" i="20"/>
  <c r="CO240" i="20"/>
  <c r="CP240" i="20"/>
  <c r="DW240" i="20"/>
  <c r="DY240" i="20"/>
  <c r="DZ240" i="20"/>
  <c r="EC240" i="20"/>
  <c r="BN237" i="25" s="1"/>
  <c r="EE240" i="20"/>
  <c r="EF240" i="20"/>
  <c r="BQ237" i="25" s="1"/>
  <c r="EG240" i="20"/>
  <c r="BR237" i="25" s="1"/>
  <c r="EH240" i="20"/>
  <c r="BS237" i="25" s="1"/>
  <c r="EK240" i="20"/>
  <c r="BV237" i="25" s="1"/>
  <c r="EL240" i="20"/>
  <c r="BW237" i="25" s="1"/>
  <c r="EN240" i="20"/>
  <c r="BY237" i="25" s="1"/>
  <c r="EP240" i="20"/>
  <c r="EQ240" i="20"/>
  <c r="ER240" i="20"/>
  <c r="FG241" i="20"/>
  <c r="C242" i="20"/>
  <c r="D242" i="20"/>
  <c r="E242" i="20"/>
  <c r="ED240" i="20"/>
  <c r="BO237" i="25" s="1"/>
  <c r="EM240" i="20"/>
  <c r="BX237" i="25" s="1"/>
  <c r="FG242" i="20"/>
  <c r="C243" i="20"/>
  <c r="D243" i="20"/>
  <c r="E243" i="20"/>
  <c r="FG243" i="20"/>
  <c r="C244" i="20"/>
  <c r="D244" i="20"/>
  <c r="E244" i="20"/>
  <c r="C245" i="20"/>
  <c r="D245" i="20"/>
  <c r="E245" i="20"/>
  <c r="C246" i="20"/>
  <c r="D246" i="20"/>
  <c r="E246" i="20"/>
  <c r="C247" i="20"/>
  <c r="D247" i="20"/>
  <c r="E247" i="20"/>
  <c r="C248" i="20"/>
  <c r="D248" i="20"/>
  <c r="E248" i="20"/>
  <c r="C249" i="20"/>
  <c r="D249" i="20"/>
  <c r="E249" i="20"/>
  <c r="C250" i="20"/>
  <c r="D250" i="20"/>
  <c r="E250" i="20"/>
  <c r="FG4" i="20"/>
  <c r="FA4" i="20"/>
  <c r="EO4" i="20"/>
  <c r="EI4" i="20"/>
  <c r="DW4" i="20"/>
  <c r="DQ4" i="20"/>
  <c r="DI4" i="20"/>
  <c r="DE4" i="20"/>
  <c r="CY4" i="20"/>
  <c r="CM4" i="20"/>
  <c r="BY4" i="20"/>
  <c r="BU4" i="20"/>
  <c r="BO4" i="20"/>
  <c r="BC4" i="20"/>
  <c r="AO4" i="20"/>
  <c r="AK4" i="20"/>
  <c r="AE4" i="20"/>
  <c r="N4" i="20"/>
  <c r="BY247" i="25"/>
  <c r="BX247" i="25"/>
  <c r="BW247" i="25"/>
  <c r="BV247" i="25"/>
  <c r="BU247" i="25"/>
  <c r="BS247" i="25"/>
  <c r="BR247" i="25"/>
  <c r="BQ247" i="25"/>
  <c r="BP247" i="25"/>
  <c r="BO247" i="25"/>
  <c r="BN247" i="25"/>
  <c r="BL247" i="25"/>
  <c r="BH247" i="25"/>
  <c r="BG247" i="25"/>
  <c r="BF247" i="25"/>
  <c r="BE247" i="25"/>
  <c r="BD247" i="25"/>
  <c r="BB247" i="25"/>
  <c r="BA247" i="25"/>
  <c r="AZ247" i="25"/>
  <c r="AY247" i="25"/>
  <c r="AX247" i="25"/>
  <c r="AW247" i="25"/>
  <c r="AU247" i="25"/>
  <c r="AQ247" i="25"/>
  <c r="AP247" i="25"/>
  <c r="AO247" i="25"/>
  <c r="AN247" i="25"/>
  <c r="AM247" i="25"/>
  <c r="AK247" i="25"/>
  <c r="AJ247" i="25"/>
  <c r="AI247" i="25"/>
  <c r="AH247" i="25"/>
  <c r="AG247" i="25"/>
  <c r="AF247" i="25"/>
  <c r="AD247" i="25"/>
  <c r="Z247" i="25"/>
  <c r="Y247" i="25"/>
  <c r="X247" i="25"/>
  <c r="W247" i="25"/>
  <c r="V247" i="25"/>
  <c r="T247" i="25"/>
  <c r="S247" i="25"/>
  <c r="R247" i="25"/>
  <c r="Q247" i="25"/>
  <c r="P247" i="25"/>
  <c r="O247" i="25"/>
  <c r="M247" i="25"/>
  <c r="BY246" i="25"/>
  <c r="BX246" i="25"/>
  <c r="BW246" i="25"/>
  <c r="BV246" i="25"/>
  <c r="BU246" i="25"/>
  <c r="BS246" i="25"/>
  <c r="BR246" i="25"/>
  <c r="BQ246" i="25"/>
  <c r="BP246" i="25"/>
  <c r="BO246" i="25"/>
  <c r="BN246" i="25"/>
  <c r="BL246" i="25"/>
  <c r="BH246" i="25"/>
  <c r="BG246" i="25"/>
  <c r="BF246" i="25"/>
  <c r="BE246" i="25"/>
  <c r="BD246" i="25"/>
  <c r="BB246" i="25"/>
  <c r="BA246" i="25"/>
  <c r="AZ246" i="25"/>
  <c r="AY246" i="25"/>
  <c r="AX246" i="25"/>
  <c r="AW246" i="25"/>
  <c r="AU246" i="25"/>
  <c r="AQ246" i="25"/>
  <c r="AP246" i="25"/>
  <c r="AO246" i="25"/>
  <c r="AN246" i="25"/>
  <c r="AM246" i="25"/>
  <c r="AK246" i="25"/>
  <c r="AJ246" i="25"/>
  <c r="AI246" i="25"/>
  <c r="AH246" i="25"/>
  <c r="AG246" i="25"/>
  <c r="AF246" i="25"/>
  <c r="AD246" i="25"/>
  <c r="Z246" i="25"/>
  <c r="Y246" i="25"/>
  <c r="X246" i="25"/>
  <c r="W246" i="25"/>
  <c r="V246" i="25"/>
  <c r="T246" i="25"/>
  <c r="S246" i="25"/>
  <c r="R246" i="25"/>
  <c r="Q246" i="25"/>
  <c r="P246" i="25"/>
  <c r="O246" i="25"/>
  <c r="M246" i="25"/>
  <c r="BY245" i="25"/>
  <c r="BX245" i="25"/>
  <c r="BW245" i="25"/>
  <c r="BV245" i="25"/>
  <c r="BU245" i="25"/>
  <c r="BS245" i="25"/>
  <c r="BR245" i="25"/>
  <c r="BQ245" i="25"/>
  <c r="BP245" i="25"/>
  <c r="BO245" i="25"/>
  <c r="BN245" i="25"/>
  <c r="BL245" i="25"/>
  <c r="BH245" i="25"/>
  <c r="BG245" i="25"/>
  <c r="BF245" i="25"/>
  <c r="BE245" i="25"/>
  <c r="BD245" i="25"/>
  <c r="BB245" i="25"/>
  <c r="BA245" i="25"/>
  <c r="AZ245" i="25"/>
  <c r="AY245" i="25"/>
  <c r="AX245" i="25"/>
  <c r="AW245" i="25"/>
  <c r="AU245" i="25"/>
  <c r="AQ245" i="25"/>
  <c r="AP245" i="25"/>
  <c r="AO245" i="25"/>
  <c r="AN245" i="25"/>
  <c r="AM245" i="25"/>
  <c r="AK245" i="25"/>
  <c r="AJ245" i="25"/>
  <c r="AI245" i="25"/>
  <c r="AH245" i="25"/>
  <c r="AG245" i="25"/>
  <c r="AF245" i="25"/>
  <c r="AD245" i="25"/>
  <c r="Z245" i="25"/>
  <c r="Y245" i="25"/>
  <c r="X245" i="25"/>
  <c r="W245" i="25"/>
  <c r="V245" i="25"/>
  <c r="T245" i="25"/>
  <c r="S245" i="25"/>
  <c r="R245" i="25"/>
  <c r="Q245" i="25"/>
  <c r="P245" i="25"/>
  <c r="O245" i="25"/>
  <c r="M245" i="25"/>
  <c r="BY244" i="25"/>
  <c r="BX244" i="25"/>
  <c r="BW244" i="25"/>
  <c r="BV244" i="25"/>
  <c r="BU244" i="25"/>
  <c r="BS244" i="25"/>
  <c r="BR244" i="25"/>
  <c r="BQ244" i="25"/>
  <c r="BP244" i="25"/>
  <c r="BO244" i="25"/>
  <c r="BN244" i="25"/>
  <c r="BL244" i="25"/>
  <c r="BH244" i="25"/>
  <c r="BG244" i="25"/>
  <c r="BF244" i="25"/>
  <c r="BE244" i="25"/>
  <c r="BD244" i="25"/>
  <c r="BB244" i="25"/>
  <c r="BA244" i="25"/>
  <c r="AZ244" i="25"/>
  <c r="AY244" i="25"/>
  <c r="AX244" i="25"/>
  <c r="AW244" i="25"/>
  <c r="AU244" i="25"/>
  <c r="AQ244" i="25"/>
  <c r="AP244" i="25"/>
  <c r="AO244" i="25"/>
  <c r="AN244" i="25"/>
  <c r="AM244" i="25"/>
  <c r="AK244" i="25"/>
  <c r="AJ244" i="25"/>
  <c r="AI244" i="25"/>
  <c r="AH244" i="25"/>
  <c r="AG244" i="25"/>
  <c r="AF244" i="25"/>
  <c r="AD244" i="25"/>
  <c r="Z244" i="25"/>
  <c r="Y244" i="25"/>
  <c r="X244" i="25"/>
  <c r="W244" i="25"/>
  <c r="V244" i="25"/>
  <c r="T244" i="25"/>
  <c r="S244" i="25"/>
  <c r="R244" i="25"/>
  <c r="Q244" i="25"/>
  <c r="P244" i="25"/>
  <c r="O244" i="25"/>
  <c r="M244" i="25"/>
  <c r="BY243" i="25"/>
  <c r="BX243" i="25"/>
  <c r="BW243" i="25"/>
  <c r="BV243" i="25"/>
  <c r="BU243" i="25"/>
  <c r="BS243" i="25"/>
  <c r="BR243" i="25"/>
  <c r="BQ243" i="25"/>
  <c r="BP243" i="25"/>
  <c r="BO243" i="25"/>
  <c r="BN243" i="25"/>
  <c r="BL243" i="25"/>
  <c r="BH243" i="25"/>
  <c r="BG243" i="25"/>
  <c r="BF243" i="25"/>
  <c r="BE243" i="25"/>
  <c r="BD243" i="25"/>
  <c r="BB243" i="25"/>
  <c r="BA243" i="25"/>
  <c r="AZ243" i="25"/>
  <c r="AY243" i="25"/>
  <c r="AX243" i="25"/>
  <c r="AW243" i="25"/>
  <c r="AU243" i="25"/>
  <c r="AQ243" i="25"/>
  <c r="AP243" i="25"/>
  <c r="AO243" i="25"/>
  <c r="AN243" i="25"/>
  <c r="AM243" i="25"/>
  <c r="AK243" i="25"/>
  <c r="AJ243" i="25"/>
  <c r="AI243" i="25"/>
  <c r="AH243" i="25"/>
  <c r="AG243" i="25"/>
  <c r="AF243" i="25"/>
  <c r="AD243" i="25"/>
  <c r="Z243" i="25"/>
  <c r="Y243" i="25"/>
  <c r="X243" i="25"/>
  <c r="W243" i="25"/>
  <c r="V243" i="25"/>
  <c r="T243" i="25"/>
  <c r="S243" i="25"/>
  <c r="R243" i="25"/>
  <c r="Q243" i="25"/>
  <c r="P243" i="25"/>
  <c r="O243" i="25"/>
  <c r="M243" i="25"/>
  <c r="BY242" i="25"/>
  <c r="BX242" i="25"/>
  <c r="BW242" i="25"/>
  <c r="BV242" i="25"/>
  <c r="BU242" i="25"/>
  <c r="BS242" i="25"/>
  <c r="BR242" i="25"/>
  <c r="BQ242" i="25"/>
  <c r="BP242" i="25"/>
  <c r="BO242" i="25"/>
  <c r="BN242" i="25"/>
  <c r="BL242" i="25"/>
  <c r="BH242" i="25"/>
  <c r="BG242" i="25"/>
  <c r="BF242" i="25"/>
  <c r="BE242" i="25"/>
  <c r="BD242" i="25"/>
  <c r="BB242" i="25"/>
  <c r="BA242" i="25"/>
  <c r="AZ242" i="25"/>
  <c r="AY242" i="25"/>
  <c r="AX242" i="25"/>
  <c r="AW242" i="25"/>
  <c r="AU242" i="25"/>
  <c r="AQ242" i="25"/>
  <c r="AP242" i="25"/>
  <c r="AO242" i="25"/>
  <c r="AN242" i="25"/>
  <c r="AM242" i="25"/>
  <c r="AK242" i="25"/>
  <c r="AJ242" i="25"/>
  <c r="AI242" i="25"/>
  <c r="AH242" i="25"/>
  <c r="AG242" i="25"/>
  <c r="AF242" i="25"/>
  <c r="AD242" i="25"/>
  <c r="Z242" i="25"/>
  <c r="Y242" i="25"/>
  <c r="X242" i="25"/>
  <c r="W242" i="25"/>
  <c r="V242" i="25"/>
  <c r="T242" i="25"/>
  <c r="S242" i="25"/>
  <c r="R242" i="25"/>
  <c r="Q242" i="25"/>
  <c r="P242" i="25"/>
  <c r="O242" i="25"/>
  <c r="M242" i="25"/>
  <c r="BY241" i="25"/>
  <c r="BX241" i="25"/>
  <c r="BW241" i="25"/>
  <c r="BV241" i="25"/>
  <c r="BU241" i="25"/>
  <c r="BS241" i="25"/>
  <c r="BR241" i="25"/>
  <c r="BQ241" i="25"/>
  <c r="BP241" i="25"/>
  <c r="BO241" i="25"/>
  <c r="BN241" i="25"/>
  <c r="BL241" i="25"/>
  <c r="BH241" i="25"/>
  <c r="BG241" i="25"/>
  <c r="BF241" i="25"/>
  <c r="BE241" i="25"/>
  <c r="BD241" i="25"/>
  <c r="BB241" i="25"/>
  <c r="BA241" i="25"/>
  <c r="AZ241" i="25"/>
  <c r="AY241" i="25"/>
  <c r="AX241" i="25"/>
  <c r="AW241" i="25"/>
  <c r="AU241" i="25"/>
  <c r="AQ241" i="25"/>
  <c r="AP241" i="25"/>
  <c r="AO241" i="25"/>
  <c r="AN241" i="25"/>
  <c r="AM241" i="25"/>
  <c r="AK241" i="25"/>
  <c r="AJ241" i="25"/>
  <c r="AI241" i="25"/>
  <c r="AH241" i="25"/>
  <c r="AG241" i="25"/>
  <c r="AF241" i="25"/>
  <c r="AD241" i="25"/>
  <c r="Z241" i="25"/>
  <c r="Y241" i="25"/>
  <c r="X241" i="25"/>
  <c r="W241" i="25"/>
  <c r="V241" i="25"/>
  <c r="T241" i="25"/>
  <c r="S241" i="25"/>
  <c r="R241" i="25"/>
  <c r="Q241" i="25"/>
  <c r="P241" i="25"/>
  <c r="O241" i="25"/>
  <c r="M241" i="25"/>
  <c r="AF240" i="25"/>
  <c r="Q240" i="25"/>
  <c r="O240" i="25"/>
  <c r="AH239" i="25"/>
  <c r="AF239" i="25"/>
  <c r="O239" i="25"/>
  <c r="AF238" i="25"/>
  <c r="O238" i="25"/>
  <c r="BY236" i="25"/>
  <c r="BX236" i="25"/>
  <c r="BW236" i="25"/>
  <c r="BV236" i="25"/>
  <c r="BU236" i="25"/>
  <c r="BS236" i="25"/>
  <c r="BR236" i="25"/>
  <c r="BQ236" i="25"/>
  <c r="BP236" i="25"/>
  <c r="BO236" i="25"/>
  <c r="BN236" i="25"/>
  <c r="BY234" i="25"/>
  <c r="BX234" i="25"/>
  <c r="BW234" i="25"/>
  <c r="BV234" i="25"/>
  <c r="BS234" i="25"/>
  <c r="BR234" i="25"/>
  <c r="BP234" i="25"/>
  <c r="BH234" i="25"/>
  <c r="BG234" i="25"/>
  <c r="BF234" i="25"/>
  <c r="BE234" i="25"/>
  <c r="BB234" i="25"/>
  <c r="BA234" i="25"/>
  <c r="AY234" i="25"/>
  <c r="AQ234" i="25"/>
  <c r="AP234" i="25"/>
  <c r="AO234" i="25"/>
  <c r="AM234" i="25"/>
  <c r="AK234" i="25"/>
  <c r="AJ234" i="25"/>
  <c r="AH234" i="25"/>
  <c r="Z234" i="25"/>
  <c r="Y234" i="25"/>
  <c r="X234" i="25"/>
  <c r="W234" i="25"/>
  <c r="T234" i="25"/>
  <c r="S234" i="25"/>
  <c r="S233" i="25" s="1"/>
  <c r="Q234" i="25"/>
  <c r="Z233" i="25"/>
  <c r="Y233" i="25"/>
  <c r="X233" i="25"/>
  <c r="W233" i="25"/>
  <c r="T233" i="25"/>
  <c r="BY231" i="25"/>
  <c r="BX231" i="25"/>
  <c r="BW231" i="25"/>
  <c r="BV231" i="25"/>
  <c r="BU231" i="25"/>
  <c r="AG216" i="25"/>
  <c r="AF216" i="25"/>
  <c r="AD216" i="25"/>
  <c r="AG215" i="25"/>
  <c r="AF215" i="25"/>
  <c r="AD215" i="25"/>
  <c r="AG214" i="25"/>
  <c r="AF214" i="25"/>
  <c r="AD214" i="25"/>
  <c r="AG213" i="25"/>
  <c r="AF213" i="25"/>
  <c r="AD213" i="25"/>
  <c r="AG212" i="25"/>
  <c r="AF212" i="25"/>
  <c r="AD212" i="25"/>
  <c r="AG211" i="25"/>
  <c r="AF211" i="25"/>
  <c r="AD211" i="25"/>
  <c r="AG210" i="25"/>
  <c r="AF210" i="25"/>
  <c r="AD210" i="25"/>
  <c r="AG209" i="25"/>
  <c r="AF209" i="25"/>
  <c r="AD209" i="25"/>
  <c r="AG208" i="25"/>
  <c r="AF208" i="25"/>
  <c r="AD208" i="25"/>
  <c r="AG207" i="25"/>
  <c r="AF207" i="25"/>
  <c r="AD207" i="25"/>
  <c r="BL203" i="25"/>
  <c r="BL202" i="25"/>
  <c r="BL198" i="25"/>
  <c r="BL197" i="25"/>
  <c r="BY194" i="25"/>
  <c r="BX194" i="25"/>
  <c r="BW194" i="25"/>
  <c r="BV194" i="25"/>
  <c r="BU194" i="25"/>
  <c r="BS194" i="25"/>
  <c r="BR194" i="25"/>
  <c r="BQ194" i="25"/>
  <c r="BP194" i="25"/>
  <c r="BO194" i="25"/>
  <c r="BN194" i="25"/>
  <c r="BL194" i="25"/>
  <c r="BH194" i="25"/>
  <c r="BG194" i="25"/>
  <c r="BF194" i="25"/>
  <c r="BE194" i="25"/>
  <c r="BD194" i="25"/>
  <c r="BB194" i="25"/>
  <c r="BA194" i="25"/>
  <c r="AZ194" i="25"/>
  <c r="AY194" i="25"/>
  <c r="AX194" i="25"/>
  <c r="AW194" i="25"/>
  <c r="AU194" i="25"/>
  <c r="Z194" i="25"/>
  <c r="Y194" i="25"/>
  <c r="X194" i="25"/>
  <c r="W194" i="25"/>
  <c r="V194" i="25"/>
  <c r="P194" i="25"/>
  <c r="O194" i="25"/>
  <c r="M194" i="25"/>
  <c r="BY193" i="25"/>
  <c r="BX193" i="25"/>
  <c r="BW193" i="25"/>
  <c r="BV193" i="25"/>
  <c r="BU193" i="25"/>
  <c r="BS193" i="25"/>
  <c r="BR193" i="25"/>
  <c r="BQ193" i="25"/>
  <c r="BP193" i="25"/>
  <c r="BO193" i="25"/>
  <c r="BN193" i="25"/>
  <c r="BL193" i="25"/>
  <c r="BH193" i="25"/>
  <c r="BG193" i="25"/>
  <c r="BF193" i="25"/>
  <c r="BE193" i="25"/>
  <c r="BD193" i="25"/>
  <c r="BB193" i="25"/>
  <c r="BA193" i="25"/>
  <c r="AZ193" i="25"/>
  <c r="AY193" i="25"/>
  <c r="AX193" i="25"/>
  <c r="AW193" i="25"/>
  <c r="AU193" i="25"/>
  <c r="Z193" i="25"/>
  <c r="Y193" i="25"/>
  <c r="X193" i="25"/>
  <c r="W193" i="25"/>
  <c r="V193" i="25"/>
  <c r="P193" i="25"/>
  <c r="O193" i="25"/>
  <c r="M193" i="25"/>
  <c r="BY192" i="25"/>
  <c r="BX192" i="25"/>
  <c r="BW192" i="25"/>
  <c r="BV192" i="25"/>
  <c r="BU192" i="25"/>
  <c r="BS192" i="25"/>
  <c r="BR192" i="25"/>
  <c r="BQ192" i="25"/>
  <c r="BP192" i="25"/>
  <c r="BO192" i="25"/>
  <c r="BN192" i="25"/>
  <c r="BL192" i="25"/>
  <c r="BH192" i="25"/>
  <c r="BG192" i="25"/>
  <c r="BF192" i="25"/>
  <c r="BE192" i="25"/>
  <c r="BD192" i="25"/>
  <c r="BB192" i="25"/>
  <c r="BA192" i="25"/>
  <c r="AZ192" i="25"/>
  <c r="AY192" i="25"/>
  <c r="AX192" i="25"/>
  <c r="AW192" i="25"/>
  <c r="AU192" i="25"/>
  <c r="Z192" i="25"/>
  <c r="Y192" i="25"/>
  <c r="X192" i="25"/>
  <c r="W192" i="25"/>
  <c r="V192" i="25"/>
  <c r="P192" i="25"/>
  <c r="O192" i="25"/>
  <c r="M192" i="25"/>
  <c r="BY191" i="25"/>
  <c r="BX191" i="25"/>
  <c r="BW191" i="25"/>
  <c r="BV191" i="25"/>
  <c r="BU191" i="25"/>
  <c r="BS191" i="25"/>
  <c r="BR191" i="25"/>
  <c r="BQ191" i="25"/>
  <c r="BP191" i="25"/>
  <c r="BO191" i="25"/>
  <c r="BN191" i="25"/>
  <c r="BL191" i="25"/>
  <c r="BH191" i="25"/>
  <c r="BG191" i="25"/>
  <c r="BF191" i="25"/>
  <c r="BE191" i="25"/>
  <c r="BD191" i="25"/>
  <c r="BB191" i="25"/>
  <c r="BA191" i="25"/>
  <c r="AZ191" i="25"/>
  <c r="AY191" i="25"/>
  <c r="AX191" i="25"/>
  <c r="AW191" i="25"/>
  <c r="AU191" i="25"/>
  <c r="AQ191" i="25"/>
  <c r="AP191" i="25"/>
  <c r="AO191" i="25"/>
  <c r="AN191" i="25"/>
  <c r="AG191" i="25"/>
  <c r="AF191" i="25"/>
  <c r="AD191" i="25"/>
  <c r="Z191" i="25"/>
  <c r="Y191" i="25"/>
  <c r="X191" i="25"/>
  <c r="W191" i="25"/>
  <c r="V191" i="25"/>
  <c r="P191" i="25"/>
  <c r="O191" i="25"/>
  <c r="M191" i="25"/>
  <c r="BY190" i="25"/>
  <c r="BX190" i="25"/>
  <c r="BW190" i="25"/>
  <c r="BV190" i="25"/>
  <c r="BU190" i="25"/>
  <c r="BS190" i="25"/>
  <c r="BR190" i="25"/>
  <c r="BQ190" i="25"/>
  <c r="BP190" i="25"/>
  <c r="BO190" i="25"/>
  <c r="BN190" i="25"/>
  <c r="BL190" i="25"/>
  <c r="BH190" i="25"/>
  <c r="BG190" i="25"/>
  <c r="BF190" i="25"/>
  <c r="BE190" i="25"/>
  <c r="BD190" i="25"/>
  <c r="BB190" i="25"/>
  <c r="BA190" i="25"/>
  <c r="AZ190" i="25"/>
  <c r="AY190" i="25"/>
  <c r="AX190" i="25"/>
  <c r="AW190" i="25"/>
  <c r="AU190" i="25"/>
  <c r="Z190" i="25"/>
  <c r="Y190" i="25"/>
  <c r="X190" i="25"/>
  <c r="W190" i="25"/>
  <c r="V190" i="25"/>
  <c r="P190" i="25"/>
  <c r="O190" i="25"/>
  <c r="M190" i="25"/>
  <c r="BY189" i="25"/>
  <c r="BX189" i="25"/>
  <c r="BW189" i="25"/>
  <c r="BV189" i="25"/>
  <c r="BU189" i="25"/>
  <c r="BS189" i="25"/>
  <c r="BR189" i="25"/>
  <c r="BQ189" i="25"/>
  <c r="BP189" i="25"/>
  <c r="BO189" i="25"/>
  <c r="BN189" i="25"/>
  <c r="BL189" i="25"/>
  <c r="BH189" i="25"/>
  <c r="BG189" i="25"/>
  <c r="BF189" i="25"/>
  <c r="BE189" i="25"/>
  <c r="BD189" i="25"/>
  <c r="BB189" i="25"/>
  <c r="BA189" i="25"/>
  <c r="AZ189" i="25"/>
  <c r="AY189" i="25"/>
  <c r="AX189" i="25"/>
  <c r="AW189" i="25"/>
  <c r="AU189" i="25"/>
  <c r="Z189" i="25"/>
  <c r="Y189" i="25"/>
  <c r="X189" i="25"/>
  <c r="W189" i="25"/>
  <c r="V189" i="25"/>
  <c r="P189" i="25"/>
  <c r="O189" i="25"/>
  <c r="M189" i="25"/>
  <c r="BY188" i="25"/>
  <c r="BX188" i="25"/>
  <c r="BW188" i="25"/>
  <c r="BV188" i="25"/>
  <c r="BU188" i="25"/>
  <c r="BS188" i="25"/>
  <c r="BR188" i="25"/>
  <c r="BQ188" i="25"/>
  <c r="BP188" i="25"/>
  <c r="BO188" i="25"/>
  <c r="BN188" i="25"/>
  <c r="BL188" i="25"/>
  <c r="BH188" i="25"/>
  <c r="BG188" i="25"/>
  <c r="BF188" i="25"/>
  <c r="BE188" i="25"/>
  <c r="BD188" i="25"/>
  <c r="BB188" i="25"/>
  <c r="BA188" i="25"/>
  <c r="AZ188" i="25"/>
  <c r="AY188" i="25"/>
  <c r="AX188" i="25"/>
  <c r="AW188" i="25"/>
  <c r="AU188" i="25"/>
  <c r="Z188" i="25"/>
  <c r="Y188" i="25"/>
  <c r="X188" i="25"/>
  <c r="W188" i="25"/>
  <c r="V188" i="25"/>
  <c r="P188" i="25"/>
  <c r="O188" i="25"/>
  <c r="M188" i="25"/>
  <c r="BY187" i="25"/>
  <c r="BX187" i="25"/>
  <c r="BW187" i="25"/>
  <c r="BV187" i="25"/>
  <c r="BU187" i="25"/>
  <c r="BS187" i="25"/>
  <c r="BR187" i="25"/>
  <c r="BQ187" i="25"/>
  <c r="BP187" i="25"/>
  <c r="BO187" i="25"/>
  <c r="BN187" i="25"/>
  <c r="BL187" i="25"/>
  <c r="BH187" i="25"/>
  <c r="BG187" i="25"/>
  <c r="BF187" i="25"/>
  <c r="BE187" i="25"/>
  <c r="BD187" i="25"/>
  <c r="BB187" i="25"/>
  <c r="BA187" i="25"/>
  <c r="AZ187" i="25"/>
  <c r="AY187" i="25"/>
  <c r="AX187" i="25"/>
  <c r="AW187" i="25"/>
  <c r="AU187" i="25"/>
  <c r="AQ187" i="25"/>
  <c r="AP187" i="25"/>
  <c r="AO187" i="25"/>
  <c r="AN187" i="25"/>
  <c r="AG187" i="25"/>
  <c r="AF187" i="25"/>
  <c r="AD187" i="25"/>
  <c r="Z187" i="25"/>
  <c r="Y187" i="25"/>
  <c r="X187" i="25"/>
  <c r="W187" i="25"/>
  <c r="V187" i="25"/>
  <c r="P187" i="25"/>
  <c r="O187" i="25"/>
  <c r="M187" i="25"/>
  <c r="BY186" i="25"/>
  <c r="BX186" i="25"/>
  <c r="BW186" i="25"/>
  <c r="BV186" i="25"/>
  <c r="BU186" i="25"/>
  <c r="BS186" i="25"/>
  <c r="BR186" i="25"/>
  <c r="BQ186" i="25"/>
  <c r="BP186" i="25"/>
  <c r="BO186" i="25"/>
  <c r="BN186" i="25"/>
  <c r="BL186" i="25"/>
  <c r="BH186" i="25"/>
  <c r="BG186" i="25"/>
  <c r="BF186" i="25"/>
  <c r="BE186" i="25"/>
  <c r="BD186" i="25"/>
  <c r="BB186" i="25"/>
  <c r="BA186" i="25"/>
  <c r="AZ186" i="25"/>
  <c r="AY186" i="25"/>
  <c r="AX186" i="25"/>
  <c r="AW186" i="25"/>
  <c r="AU186" i="25"/>
  <c r="Z186" i="25"/>
  <c r="Y186" i="25"/>
  <c r="X186" i="25"/>
  <c r="W186" i="25"/>
  <c r="V186" i="25"/>
  <c r="P186" i="25"/>
  <c r="O186" i="25"/>
  <c r="M186" i="25"/>
  <c r="BY185" i="25"/>
  <c r="BX185" i="25"/>
  <c r="BW185" i="25"/>
  <c r="BV185" i="25"/>
  <c r="BU185" i="25"/>
  <c r="BS185" i="25"/>
  <c r="BR185" i="25"/>
  <c r="BQ185" i="25"/>
  <c r="BP185" i="25"/>
  <c r="BO185" i="25"/>
  <c r="BN185" i="25"/>
  <c r="BL185" i="25"/>
  <c r="BH185" i="25"/>
  <c r="BG185" i="25"/>
  <c r="BF185" i="25"/>
  <c r="BE185" i="25"/>
  <c r="BD185" i="25"/>
  <c r="BB185" i="25"/>
  <c r="BA185" i="25"/>
  <c r="AZ185" i="25"/>
  <c r="AY185" i="25"/>
  <c r="AX185" i="25"/>
  <c r="AW185" i="25"/>
  <c r="AU185" i="25"/>
  <c r="Z185" i="25"/>
  <c r="Y185" i="25"/>
  <c r="X185" i="25"/>
  <c r="W185" i="25"/>
  <c r="V185" i="25"/>
  <c r="P185" i="25"/>
  <c r="O185" i="25"/>
  <c r="M185" i="25"/>
  <c r="BY184" i="25"/>
  <c r="BX184" i="25"/>
  <c r="BW184" i="25"/>
  <c r="BV184" i="25"/>
  <c r="BU184" i="25"/>
  <c r="BS184" i="25"/>
  <c r="BR184" i="25"/>
  <c r="BQ184" i="25"/>
  <c r="BP184" i="25"/>
  <c r="BO184" i="25"/>
  <c r="BN184" i="25"/>
  <c r="BL184" i="25"/>
  <c r="BH184" i="25"/>
  <c r="BG184" i="25"/>
  <c r="BF184" i="25"/>
  <c r="BE184" i="25"/>
  <c r="BD184" i="25"/>
  <c r="BB184" i="25"/>
  <c r="BA184" i="25"/>
  <c r="AZ184" i="25"/>
  <c r="AY184" i="25"/>
  <c r="AX184" i="25"/>
  <c r="AW184" i="25"/>
  <c r="AU184" i="25"/>
  <c r="Z184" i="25"/>
  <c r="Y184" i="25"/>
  <c r="X184" i="25"/>
  <c r="W184" i="25"/>
  <c r="V184" i="25"/>
  <c r="P184" i="25"/>
  <c r="O184" i="25"/>
  <c r="M184" i="25"/>
  <c r="BY183" i="25"/>
  <c r="BX183" i="25"/>
  <c r="BW183" i="25"/>
  <c r="BV183" i="25"/>
  <c r="BU183" i="25"/>
  <c r="BS183" i="25"/>
  <c r="BR183" i="25"/>
  <c r="BQ183" i="25"/>
  <c r="BP183" i="25"/>
  <c r="BO183" i="25"/>
  <c r="BN183" i="25"/>
  <c r="BL183" i="25"/>
  <c r="BH183" i="25"/>
  <c r="BG183" i="25"/>
  <c r="BF183" i="25"/>
  <c r="BE183" i="25"/>
  <c r="BD183" i="25"/>
  <c r="BB183" i="25"/>
  <c r="BA183" i="25"/>
  <c r="AZ183" i="25"/>
  <c r="AY183" i="25"/>
  <c r="AX183" i="25"/>
  <c r="AW183" i="25"/>
  <c r="AU183" i="25"/>
  <c r="AQ183" i="25"/>
  <c r="AP183" i="25"/>
  <c r="AO183" i="25"/>
  <c r="AN183" i="25"/>
  <c r="AG183" i="25"/>
  <c r="AF183" i="25"/>
  <c r="AD183" i="25"/>
  <c r="Z183" i="25"/>
  <c r="Y183" i="25"/>
  <c r="X183" i="25"/>
  <c r="W183" i="25"/>
  <c r="V183" i="25"/>
  <c r="P183" i="25"/>
  <c r="O183" i="25"/>
  <c r="M183" i="25"/>
  <c r="BY182" i="25"/>
  <c r="BX182" i="25"/>
  <c r="BW182" i="25"/>
  <c r="BV182" i="25"/>
  <c r="BU182" i="25"/>
  <c r="BS182" i="25"/>
  <c r="BR182" i="25"/>
  <c r="BQ182" i="25"/>
  <c r="BP182" i="25"/>
  <c r="BO182" i="25"/>
  <c r="BN182" i="25"/>
  <c r="BL182" i="25"/>
  <c r="BH182" i="25"/>
  <c r="BG182" i="25"/>
  <c r="BF182" i="25"/>
  <c r="BE182" i="25"/>
  <c r="BD182" i="25"/>
  <c r="BB182" i="25"/>
  <c r="BA182" i="25"/>
  <c r="AZ182" i="25"/>
  <c r="AY182" i="25"/>
  <c r="AX182" i="25"/>
  <c r="AW182" i="25"/>
  <c r="AU182" i="25"/>
  <c r="Z182" i="25"/>
  <c r="Y182" i="25"/>
  <c r="X182" i="25"/>
  <c r="W182" i="25"/>
  <c r="V182" i="25"/>
  <c r="P182" i="25"/>
  <c r="O182" i="25"/>
  <c r="M182" i="25"/>
  <c r="BY181" i="25"/>
  <c r="BX181" i="25"/>
  <c r="BW181" i="25"/>
  <c r="BV181" i="25"/>
  <c r="BU181" i="25"/>
  <c r="BS181" i="25"/>
  <c r="BR181" i="25"/>
  <c r="BQ181" i="25"/>
  <c r="BP181" i="25"/>
  <c r="BO181" i="25"/>
  <c r="BN181" i="25"/>
  <c r="BL181" i="25"/>
  <c r="BH181" i="25"/>
  <c r="BG181" i="25"/>
  <c r="BF181" i="25"/>
  <c r="BE181" i="25"/>
  <c r="BD181" i="25"/>
  <c r="BB181" i="25"/>
  <c r="BA181" i="25"/>
  <c r="AZ181" i="25"/>
  <c r="AY181" i="25"/>
  <c r="AX181" i="25"/>
  <c r="AW181" i="25"/>
  <c r="AU181" i="25"/>
  <c r="Z181" i="25"/>
  <c r="Y181" i="25"/>
  <c r="X181" i="25"/>
  <c r="W181" i="25"/>
  <c r="V181" i="25"/>
  <c r="P181" i="25"/>
  <c r="O181" i="25"/>
  <c r="M181" i="25"/>
  <c r="BY180" i="25"/>
  <c r="BX180" i="25"/>
  <c r="BW180" i="25"/>
  <c r="BV180" i="25"/>
  <c r="BU180" i="25"/>
  <c r="BS180" i="25"/>
  <c r="BR180" i="25"/>
  <c r="BQ180" i="25"/>
  <c r="BP180" i="25"/>
  <c r="BO180" i="25"/>
  <c r="BN180" i="25"/>
  <c r="BL180" i="25"/>
  <c r="BH180" i="25"/>
  <c r="BG180" i="25"/>
  <c r="BF180" i="25"/>
  <c r="BE180" i="25"/>
  <c r="BD180" i="25"/>
  <c r="BB180" i="25"/>
  <c r="BA180" i="25"/>
  <c r="AZ180" i="25"/>
  <c r="AY180" i="25"/>
  <c r="AX180" i="25"/>
  <c r="AW180" i="25"/>
  <c r="AU180" i="25"/>
  <c r="Z180" i="25"/>
  <c r="Y180" i="25"/>
  <c r="X180" i="25"/>
  <c r="W180" i="25"/>
  <c r="V180" i="25"/>
  <c r="P180" i="25"/>
  <c r="O180" i="25"/>
  <c r="M180" i="25"/>
  <c r="BY179" i="25"/>
  <c r="BX179" i="25"/>
  <c r="BW179" i="25"/>
  <c r="BV179" i="25"/>
  <c r="BU179" i="25"/>
  <c r="BS179" i="25"/>
  <c r="BR179" i="25"/>
  <c r="BQ179" i="25"/>
  <c r="BP179" i="25"/>
  <c r="BO179" i="25"/>
  <c r="BN179" i="25"/>
  <c r="BL179" i="25"/>
  <c r="BH179" i="25"/>
  <c r="BG179" i="25"/>
  <c r="BF179" i="25"/>
  <c r="BE179" i="25"/>
  <c r="BD179" i="25"/>
  <c r="BB179" i="25"/>
  <c r="BA179" i="25"/>
  <c r="AZ179" i="25"/>
  <c r="AY179" i="25"/>
  <c r="AX179" i="25"/>
  <c r="AW179" i="25"/>
  <c r="AU179" i="25"/>
  <c r="AQ179" i="25"/>
  <c r="AP179" i="25"/>
  <c r="AO179" i="25"/>
  <c r="AN179" i="25"/>
  <c r="AG179" i="25"/>
  <c r="AF179" i="25"/>
  <c r="AD179" i="25"/>
  <c r="Z179" i="25"/>
  <c r="Y179" i="25"/>
  <c r="X179" i="25"/>
  <c r="W179" i="25"/>
  <c r="V179" i="25"/>
  <c r="P179" i="25"/>
  <c r="O179" i="25"/>
  <c r="M179" i="25"/>
  <c r="BY178" i="25"/>
  <c r="BX178" i="25"/>
  <c r="BW178" i="25"/>
  <c r="BV178" i="25"/>
  <c r="BU178" i="25"/>
  <c r="BS178" i="25"/>
  <c r="BR178" i="25"/>
  <c r="BQ178" i="25"/>
  <c r="BP178" i="25"/>
  <c r="BO178" i="25"/>
  <c r="BN178" i="25"/>
  <c r="BL178" i="25"/>
  <c r="BH178" i="25"/>
  <c r="BG178" i="25"/>
  <c r="BF178" i="25"/>
  <c r="BE178" i="25"/>
  <c r="BD178" i="25"/>
  <c r="BB178" i="25"/>
  <c r="BA178" i="25"/>
  <c r="AZ178" i="25"/>
  <c r="AY178" i="25"/>
  <c r="AX178" i="25"/>
  <c r="AW178" i="25"/>
  <c r="AU178" i="25"/>
  <c r="Z178" i="25"/>
  <c r="Y178" i="25"/>
  <c r="X178" i="25"/>
  <c r="W178" i="25"/>
  <c r="V178" i="25"/>
  <c r="P178" i="25"/>
  <c r="O178" i="25"/>
  <c r="M178" i="25"/>
  <c r="BY177" i="25"/>
  <c r="BX177" i="25"/>
  <c r="BW177" i="25"/>
  <c r="BV177" i="25"/>
  <c r="BU177" i="25"/>
  <c r="BS177" i="25"/>
  <c r="BR177" i="25"/>
  <c r="BQ177" i="25"/>
  <c r="BP177" i="25"/>
  <c r="BO177" i="25"/>
  <c r="BN177" i="25"/>
  <c r="BL177" i="25"/>
  <c r="BH177" i="25"/>
  <c r="BG177" i="25"/>
  <c r="BF177" i="25"/>
  <c r="BE177" i="25"/>
  <c r="BD177" i="25"/>
  <c r="BB177" i="25"/>
  <c r="BA177" i="25"/>
  <c r="AZ177" i="25"/>
  <c r="AY177" i="25"/>
  <c r="AX177" i="25"/>
  <c r="AW177" i="25"/>
  <c r="AU177" i="25"/>
  <c r="Z177" i="25"/>
  <c r="Y177" i="25"/>
  <c r="X177" i="25"/>
  <c r="W177" i="25"/>
  <c r="V177" i="25"/>
  <c r="P177" i="25"/>
  <c r="O177" i="25"/>
  <c r="M177" i="25"/>
  <c r="BY176" i="25"/>
  <c r="BX176" i="25"/>
  <c r="BW176" i="25"/>
  <c r="BV176" i="25"/>
  <c r="BU176" i="25"/>
  <c r="BS176" i="25"/>
  <c r="BR176" i="25"/>
  <c r="BQ176" i="25"/>
  <c r="BP176" i="25"/>
  <c r="BO176" i="25"/>
  <c r="BN176" i="25"/>
  <c r="BL176" i="25"/>
  <c r="BH176" i="25"/>
  <c r="BG176" i="25"/>
  <c r="BF176" i="25"/>
  <c r="BE176" i="25"/>
  <c r="BD176" i="25"/>
  <c r="BB176" i="25"/>
  <c r="BA176" i="25"/>
  <c r="AZ176" i="25"/>
  <c r="AY176" i="25"/>
  <c r="AX176" i="25"/>
  <c r="AW176" i="25"/>
  <c r="AU176" i="25"/>
  <c r="Z176" i="25"/>
  <c r="Y176" i="25"/>
  <c r="X176" i="25"/>
  <c r="W176" i="25"/>
  <c r="V176" i="25"/>
  <c r="P176" i="25"/>
  <c r="O176" i="25"/>
  <c r="M176" i="25"/>
  <c r="BY175" i="25"/>
  <c r="BX175" i="25"/>
  <c r="BW175" i="25"/>
  <c r="BV175" i="25"/>
  <c r="BU175" i="25"/>
  <c r="BS175" i="25"/>
  <c r="BR175" i="25"/>
  <c r="BQ175" i="25"/>
  <c r="BP175" i="25"/>
  <c r="BO175" i="25"/>
  <c r="BN175" i="25"/>
  <c r="BL175" i="25"/>
  <c r="BH175" i="25"/>
  <c r="BG175" i="25"/>
  <c r="BF175" i="25"/>
  <c r="BE175" i="25"/>
  <c r="BD175" i="25"/>
  <c r="BB175" i="25"/>
  <c r="BA175" i="25"/>
  <c r="AZ175" i="25"/>
  <c r="AY175" i="25"/>
  <c r="AX175" i="25"/>
  <c r="AW175" i="25"/>
  <c r="AU175" i="25"/>
  <c r="AQ175" i="25"/>
  <c r="AP175" i="25"/>
  <c r="AO175" i="25"/>
  <c r="AN175" i="25"/>
  <c r="AG175" i="25"/>
  <c r="AF175" i="25"/>
  <c r="AD175" i="25"/>
  <c r="Z175" i="25"/>
  <c r="Y175" i="25"/>
  <c r="X175" i="25"/>
  <c r="W175" i="25"/>
  <c r="V175" i="25"/>
  <c r="P175" i="25"/>
  <c r="O175" i="25"/>
  <c r="M175" i="25"/>
  <c r="BY174" i="25"/>
  <c r="BX174" i="25"/>
  <c r="BW174" i="25"/>
  <c r="BV174" i="25"/>
  <c r="BU174" i="25"/>
  <c r="BS174" i="25"/>
  <c r="BR174" i="25"/>
  <c r="BQ174" i="25"/>
  <c r="BP174" i="25"/>
  <c r="BO174" i="25"/>
  <c r="BN174" i="25"/>
  <c r="BL174" i="25"/>
  <c r="BH174" i="25"/>
  <c r="BG174" i="25"/>
  <c r="BF174" i="25"/>
  <c r="BE174" i="25"/>
  <c r="BD174" i="25"/>
  <c r="BB174" i="25"/>
  <c r="BA174" i="25"/>
  <c r="AZ174" i="25"/>
  <c r="AY174" i="25"/>
  <c r="AX174" i="25"/>
  <c r="AW174" i="25"/>
  <c r="AU174" i="25"/>
  <c r="Z174" i="25"/>
  <c r="Y174" i="25"/>
  <c r="X174" i="25"/>
  <c r="W174" i="25"/>
  <c r="V174" i="25"/>
  <c r="P174" i="25"/>
  <c r="O174" i="25"/>
  <c r="M174" i="25"/>
  <c r="BY173" i="25"/>
  <c r="BX173" i="25"/>
  <c r="BW173" i="25"/>
  <c r="BV173" i="25"/>
  <c r="BU173" i="25"/>
  <c r="BS173" i="25"/>
  <c r="BR173" i="25"/>
  <c r="BQ173" i="25"/>
  <c r="BP173" i="25"/>
  <c r="BO173" i="25"/>
  <c r="BN173" i="25"/>
  <c r="BL173" i="25"/>
  <c r="BH173" i="25"/>
  <c r="BG173" i="25"/>
  <c r="BF173" i="25"/>
  <c r="BE173" i="25"/>
  <c r="BD173" i="25"/>
  <c r="BB173" i="25"/>
  <c r="BA173" i="25"/>
  <c r="AZ173" i="25"/>
  <c r="AY173" i="25"/>
  <c r="AX173" i="25"/>
  <c r="AW173" i="25"/>
  <c r="AU173" i="25"/>
  <c r="Z173" i="25"/>
  <c r="Y173" i="25"/>
  <c r="X173" i="25"/>
  <c r="W173" i="25"/>
  <c r="V173" i="25"/>
  <c r="P173" i="25"/>
  <c r="O173" i="25"/>
  <c r="M173" i="25"/>
  <c r="BY172" i="25"/>
  <c r="BX172" i="25"/>
  <c r="BW172" i="25"/>
  <c r="BV172" i="25"/>
  <c r="BU172" i="25"/>
  <c r="BS172" i="25"/>
  <c r="BR172" i="25"/>
  <c r="BQ172" i="25"/>
  <c r="BP172" i="25"/>
  <c r="BO172" i="25"/>
  <c r="BN172" i="25"/>
  <c r="BL172" i="25"/>
  <c r="BH172" i="25"/>
  <c r="BG172" i="25"/>
  <c r="BF172" i="25"/>
  <c r="BE172" i="25"/>
  <c r="BD172" i="25"/>
  <c r="BB172" i="25"/>
  <c r="BA172" i="25"/>
  <c r="AZ172" i="25"/>
  <c r="AY172" i="25"/>
  <c r="AX172" i="25"/>
  <c r="AW172" i="25"/>
  <c r="AU172" i="25"/>
  <c r="Z172" i="25"/>
  <c r="Y172" i="25"/>
  <c r="X172" i="25"/>
  <c r="W172" i="25"/>
  <c r="V172" i="25"/>
  <c r="P172" i="25"/>
  <c r="O172" i="25"/>
  <c r="M172" i="25"/>
  <c r="BY171" i="25"/>
  <c r="BX171" i="25"/>
  <c r="BW171" i="25"/>
  <c r="BV171" i="25"/>
  <c r="BU171" i="25"/>
  <c r="BS171" i="25"/>
  <c r="BR171" i="25"/>
  <c r="BQ171" i="25"/>
  <c r="BP171" i="25"/>
  <c r="BO171" i="25"/>
  <c r="BN171" i="25"/>
  <c r="BL171" i="25"/>
  <c r="BH171" i="25"/>
  <c r="BG171" i="25"/>
  <c r="BF171" i="25"/>
  <c r="BE171" i="25"/>
  <c r="BD171" i="25"/>
  <c r="BB171" i="25"/>
  <c r="BA171" i="25"/>
  <c r="AZ171" i="25"/>
  <c r="AY171" i="25"/>
  <c r="AX171" i="25"/>
  <c r="AW171" i="25"/>
  <c r="AU171" i="25"/>
  <c r="AQ171" i="25"/>
  <c r="AP171" i="25"/>
  <c r="AO171" i="25"/>
  <c r="AN171" i="25"/>
  <c r="AG171" i="25"/>
  <c r="AF171" i="25"/>
  <c r="AD171" i="25"/>
  <c r="Z171" i="25"/>
  <c r="Y171" i="25"/>
  <c r="X171" i="25"/>
  <c r="W171" i="25"/>
  <c r="V171" i="25"/>
  <c r="P171" i="25"/>
  <c r="O171" i="25"/>
  <c r="M171" i="25"/>
  <c r="BY170" i="25"/>
  <c r="BX170" i="25"/>
  <c r="BW170" i="25"/>
  <c r="BV170" i="25"/>
  <c r="BU170" i="25"/>
  <c r="BS170" i="25"/>
  <c r="BR170" i="25"/>
  <c r="BQ170" i="25"/>
  <c r="BP170" i="25"/>
  <c r="BO170" i="25"/>
  <c r="BN170" i="25"/>
  <c r="BL170" i="25"/>
  <c r="BH170" i="25"/>
  <c r="BG170" i="25"/>
  <c r="BF170" i="25"/>
  <c r="BE170" i="25"/>
  <c r="BD170" i="25"/>
  <c r="BB170" i="25"/>
  <c r="BA170" i="25"/>
  <c r="AZ170" i="25"/>
  <c r="AY170" i="25"/>
  <c r="AX170" i="25"/>
  <c r="AW170" i="25"/>
  <c r="AU170" i="25"/>
  <c r="Z170" i="25"/>
  <c r="Y170" i="25"/>
  <c r="X170" i="25"/>
  <c r="W170" i="25"/>
  <c r="V170" i="25"/>
  <c r="P170" i="25"/>
  <c r="O170" i="25"/>
  <c r="M170" i="25"/>
  <c r="BY169" i="25"/>
  <c r="BX169" i="25"/>
  <c r="BW169" i="25"/>
  <c r="BV169" i="25"/>
  <c r="BU169" i="25"/>
  <c r="BS169" i="25"/>
  <c r="BR169" i="25"/>
  <c r="BQ169" i="25"/>
  <c r="BP169" i="25"/>
  <c r="BO169" i="25"/>
  <c r="BN169" i="25"/>
  <c r="BL169" i="25"/>
  <c r="BH169" i="25"/>
  <c r="BG169" i="25"/>
  <c r="BF169" i="25"/>
  <c r="BE169" i="25"/>
  <c r="BD169" i="25"/>
  <c r="BB169" i="25"/>
  <c r="BA169" i="25"/>
  <c r="AZ169" i="25"/>
  <c r="AY169" i="25"/>
  <c r="AX169" i="25"/>
  <c r="AW169" i="25"/>
  <c r="AU169" i="25"/>
  <c r="Z169" i="25"/>
  <c r="Y169" i="25"/>
  <c r="X169" i="25"/>
  <c r="W169" i="25"/>
  <c r="V169" i="25"/>
  <c r="P169" i="25"/>
  <c r="O169" i="25"/>
  <c r="M169" i="25"/>
  <c r="BY168" i="25"/>
  <c r="BX168" i="25"/>
  <c r="BW168" i="25"/>
  <c r="BV168" i="25"/>
  <c r="BU168" i="25"/>
  <c r="BS168" i="25"/>
  <c r="BR168" i="25"/>
  <c r="BQ168" i="25"/>
  <c r="BP168" i="25"/>
  <c r="BO168" i="25"/>
  <c r="BN168" i="25"/>
  <c r="BL168" i="25"/>
  <c r="BH168" i="25"/>
  <c r="BG168" i="25"/>
  <c r="BF168" i="25"/>
  <c r="BE168" i="25"/>
  <c r="BD168" i="25"/>
  <c r="BB168" i="25"/>
  <c r="BA168" i="25"/>
  <c r="AZ168" i="25"/>
  <c r="AY168" i="25"/>
  <c r="AX168" i="25"/>
  <c r="AW168" i="25"/>
  <c r="AU168" i="25"/>
  <c r="Z168" i="25"/>
  <c r="Y168" i="25"/>
  <c r="X168" i="25"/>
  <c r="W168" i="25"/>
  <c r="V168" i="25"/>
  <c r="P168" i="25"/>
  <c r="O168" i="25"/>
  <c r="M168" i="25"/>
  <c r="BY167" i="25"/>
  <c r="BX167" i="25"/>
  <c r="BW167" i="25"/>
  <c r="BV167" i="25"/>
  <c r="BU167" i="25"/>
  <c r="BS167" i="25"/>
  <c r="BR167" i="25"/>
  <c r="BQ167" i="25"/>
  <c r="BP167" i="25"/>
  <c r="BO167" i="25"/>
  <c r="BN167" i="25"/>
  <c r="BL167" i="25"/>
  <c r="BH167" i="25"/>
  <c r="BG167" i="25"/>
  <c r="BF167" i="25"/>
  <c r="BE167" i="25"/>
  <c r="BD167" i="25"/>
  <c r="BB167" i="25"/>
  <c r="BA167" i="25"/>
  <c r="AZ167" i="25"/>
  <c r="AY167" i="25"/>
  <c r="AX167" i="25"/>
  <c r="AW167" i="25"/>
  <c r="AU167" i="25"/>
  <c r="AQ167" i="25"/>
  <c r="AP167" i="25"/>
  <c r="AO167" i="25"/>
  <c r="AN167" i="25"/>
  <c r="AG167" i="25"/>
  <c r="AF167" i="25"/>
  <c r="AD167" i="25"/>
  <c r="Z167" i="25"/>
  <c r="Y167" i="25"/>
  <c r="X167" i="25"/>
  <c r="W167" i="25"/>
  <c r="V167" i="25"/>
  <c r="P167" i="25"/>
  <c r="O167" i="25"/>
  <c r="M167" i="25"/>
  <c r="BY166" i="25"/>
  <c r="BX166" i="25"/>
  <c r="BW166" i="25"/>
  <c r="BV166" i="25"/>
  <c r="BU166" i="25"/>
  <c r="BS166" i="25"/>
  <c r="BR166" i="25"/>
  <c r="BQ166" i="25"/>
  <c r="BP166" i="25"/>
  <c r="BO166" i="25"/>
  <c r="BN166" i="25"/>
  <c r="BL166" i="25"/>
  <c r="BH166" i="25"/>
  <c r="BG166" i="25"/>
  <c r="BF166" i="25"/>
  <c r="BE166" i="25"/>
  <c r="BD166" i="25"/>
  <c r="BB166" i="25"/>
  <c r="BA166" i="25"/>
  <c r="AZ166" i="25"/>
  <c r="AY166" i="25"/>
  <c r="AX166" i="25"/>
  <c r="AW166" i="25"/>
  <c r="AU166" i="25"/>
  <c r="Z166" i="25"/>
  <c r="Y166" i="25"/>
  <c r="X166" i="25"/>
  <c r="W166" i="25"/>
  <c r="V166" i="25"/>
  <c r="P166" i="25"/>
  <c r="O166" i="25"/>
  <c r="M166" i="25"/>
  <c r="BY165" i="25"/>
  <c r="BX165" i="25"/>
  <c r="BW165" i="25"/>
  <c r="BV165" i="25"/>
  <c r="BU165" i="25"/>
  <c r="BS165" i="25"/>
  <c r="BR165" i="25"/>
  <c r="BQ165" i="25"/>
  <c r="BP165" i="25"/>
  <c r="BO165" i="25"/>
  <c r="BN165" i="25"/>
  <c r="BL165" i="25"/>
  <c r="BH165" i="25"/>
  <c r="BG165" i="25"/>
  <c r="BF165" i="25"/>
  <c r="BE165" i="25"/>
  <c r="BD165" i="25"/>
  <c r="BB165" i="25"/>
  <c r="BA165" i="25"/>
  <c r="AZ165" i="25"/>
  <c r="AY165" i="25"/>
  <c r="AX165" i="25"/>
  <c r="AW165" i="25"/>
  <c r="AU165" i="25"/>
  <c r="Z165" i="25"/>
  <c r="Y165" i="25"/>
  <c r="X165" i="25"/>
  <c r="W165" i="25"/>
  <c r="V165" i="25"/>
  <c r="P165" i="25"/>
  <c r="O165" i="25"/>
  <c r="M165" i="25"/>
  <c r="BY164" i="25"/>
  <c r="BX164" i="25"/>
  <c r="BW164" i="25"/>
  <c r="BV164" i="25"/>
  <c r="BU164" i="25"/>
  <c r="BS164" i="25"/>
  <c r="BR164" i="25"/>
  <c r="BQ164" i="25"/>
  <c r="BP164" i="25"/>
  <c r="BO164" i="25"/>
  <c r="BN164" i="25"/>
  <c r="BL164" i="25"/>
  <c r="BH164" i="25"/>
  <c r="BG164" i="25"/>
  <c r="BF164" i="25"/>
  <c r="BE164" i="25"/>
  <c r="BD164" i="25"/>
  <c r="BB164" i="25"/>
  <c r="BA164" i="25"/>
  <c r="AZ164" i="25"/>
  <c r="AY164" i="25"/>
  <c r="AX164" i="25"/>
  <c r="AW164" i="25"/>
  <c r="AU164" i="25"/>
  <c r="Z164" i="25"/>
  <c r="Y164" i="25"/>
  <c r="X164" i="25"/>
  <c r="W164" i="25"/>
  <c r="V164" i="25"/>
  <c r="P164" i="25"/>
  <c r="O164" i="25"/>
  <c r="M164" i="25"/>
  <c r="BY163" i="25"/>
  <c r="BX163" i="25"/>
  <c r="BW163" i="25"/>
  <c r="BV163" i="25"/>
  <c r="BU163" i="25"/>
  <c r="BS163" i="25"/>
  <c r="BR163" i="25"/>
  <c r="BQ163" i="25"/>
  <c r="BP163" i="25"/>
  <c r="BO163" i="25"/>
  <c r="BN163" i="25"/>
  <c r="BL163" i="25"/>
  <c r="BH163" i="25"/>
  <c r="BG163" i="25"/>
  <c r="BF163" i="25"/>
  <c r="BE163" i="25"/>
  <c r="BD163" i="25"/>
  <c r="BB163" i="25"/>
  <c r="BA163" i="25"/>
  <c r="AZ163" i="25"/>
  <c r="AY163" i="25"/>
  <c r="AX163" i="25"/>
  <c r="AW163" i="25"/>
  <c r="AU163" i="25"/>
  <c r="AQ163" i="25"/>
  <c r="AP163" i="25"/>
  <c r="AO163" i="25"/>
  <c r="AN163" i="25"/>
  <c r="AG163" i="25"/>
  <c r="AF163" i="25"/>
  <c r="AD163" i="25"/>
  <c r="Z163" i="25"/>
  <c r="Y163" i="25"/>
  <c r="X163" i="25"/>
  <c r="W163" i="25"/>
  <c r="V163" i="25"/>
  <c r="P163" i="25"/>
  <c r="O163" i="25"/>
  <c r="M163" i="25"/>
  <c r="BY162" i="25"/>
  <c r="BX162" i="25"/>
  <c r="BW162" i="25"/>
  <c r="BV162" i="25"/>
  <c r="BU162" i="25"/>
  <c r="BS162" i="25"/>
  <c r="BR162" i="25"/>
  <c r="BQ162" i="25"/>
  <c r="BP162" i="25"/>
  <c r="BO162" i="25"/>
  <c r="BN162" i="25"/>
  <c r="BL162" i="25"/>
  <c r="BH162" i="25"/>
  <c r="BG162" i="25"/>
  <c r="BF162" i="25"/>
  <c r="BE162" i="25"/>
  <c r="BD162" i="25"/>
  <c r="BB162" i="25"/>
  <c r="BA162" i="25"/>
  <c r="AZ162" i="25"/>
  <c r="AY162" i="25"/>
  <c r="AX162" i="25"/>
  <c r="AW162" i="25"/>
  <c r="AU162" i="25"/>
  <c r="Z162" i="25"/>
  <c r="Y162" i="25"/>
  <c r="X162" i="25"/>
  <c r="W162" i="25"/>
  <c r="V162" i="25"/>
  <c r="P162" i="25"/>
  <c r="O162" i="25"/>
  <c r="M162" i="25"/>
  <c r="BY161" i="25"/>
  <c r="BX161" i="25"/>
  <c r="BW161" i="25"/>
  <c r="BV161" i="25"/>
  <c r="BU161" i="25"/>
  <c r="BS161" i="25"/>
  <c r="BR161" i="25"/>
  <c r="BQ161" i="25"/>
  <c r="BP161" i="25"/>
  <c r="BO161" i="25"/>
  <c r="BN161" i="25"/>
  <c r="BL161" i="25"/>
  <c r="BH161" i="25"/>
  <c r="BG161" i="25"/>
  <c r="BF161" i="25"/>
  <c r="BE161" i="25"/>
  <c r="BD161" i="25"/>
  <c r="BB161" i="25"/>
  <c r="BA161" i="25"/>
  <c r="AZ161" i="25"/>
  <c r="AY161" i="25"/>
  <c r="AX161" i="25"/>
  <c r="AW161" i="25"/>
  <c r="AU161" i="25"/>
  <c r="Z161" i="25"/>
  <c r="Y161" i="25"/>
  <c r="X161" i="25"/>
  <c r="W161" i="25"/>
  <c r="V161" i="25"/>
  <c r="P161" i="25"/>
  <c r="O161" i="25"/>
  <c r="M161" i="25"/>
  <c r="BY160" i="25"/>
  <c r="BX160" i="25"/>
  <c r="BW160" i="25"/>
  <c r="BV160" i="25"/>
  <c r="BU160" i="25"/>
  <c r="BS160" i="25"/>
  <c r="BR160" i="25"/>
  <c r="BQ160" i="25"/>
  <c r="BP160" i="25"/>
  <c r="BO160" i="25"/>
  <c r="BN160" i="25"/>
  <c r="BL160" i="25"/>
  <c r="BH160" i="25"/>
  <c r="BG160" i="25"/>
  <c r="BF160" i="25"/>
  <c r="BE160" i="25"/>
  <c r="BD160" i="25"/>
  <c r="BB160" i="25"/>
  <c r="BA160" i="25"/>
  <c r="AZ160" i="25"/>
  <c r="AY160" i="25"/>
  <c r="AX160" i="25"/>
  <c r="AW160" i="25"/>
  <c r="AU160" i="25"/>
  <c r="AQ160" i="25"/>
  <c r="AP160" i="25"/>
  <c r="AO160" i="25"/>
  <c r="AN160" i="25"/>
  <c r="Z160" i="25"/>
  <c r="Y160" i="25"/>
  <c r="X160" i="25"/>
  <c r="W160" i="25"/>
  <c r="V160" i="25"/>
  <c r="P160" i="25"/>
  <c r="O160" i="25"/>
  <c r="M160" i="25"/>
  <c r="BY159" i="25"/>
  <c r="BX159" i="25"/>
  <c r="BW159" i="25"/>
  <c r="BV159" i="25"/>
  <c r="BU159" i="25"/>
  <c r="BS159" i="25"/>
  <c r="BR159" i="25"/>
  <c r="BQ159" i="25"/>
  <c r="BP159" i="25"/>
  <c r="BO159" i="25"/>
  <c r="BN159" i="25"/>
  <c r="BL159" i="25"/>
  <c r="BH159" i="25"/>
  <c r="BG159" i="25"/>
  <c r="BF159" i="25"/>
  <c r="BE159" i="25"/>
  <c r="BD159" i="25"/>
  <c r="BB159" i="25"/>
  <c r="BA159" i="25"/>
  <c r="AZ159" i="25"/>
  <c r="AY159" i="25"/>
  <c r="AX159" i="25"/>
  <c r="AW159" i="25"/>
  <c r="AU159" i="25"/>
  <c r="AQ159" i="25"/>
  <c r="AP159" i="25"/>
  <c r="AO159" i="25"/>
  <c r="AN159" i="25"/>
  <c r="AG159" i="25"/>
  <c r="AF159" i="25"/>
  <c r="AD159" i="25"/>
  <c r="Z159" i="25"/>
  <c r="Y159" i="25"/>
  <c r="X159" i="25"/>
  <c r="W159" i="25"/>
  <c r="V159" i="25"/>
  <c r="P159" i="25"/>
  <c r="O159" i="25"/>
  <c r="M159" i="25"/>
  <c r="BY158" i="25"/>
  <c r="BX158" i="25"/>
  <c r="BW158" i="25"/>
  <c r="BV158" i="25"/>
  <c r="BU158" i="25"/>
  <c r="BS158" i="25"/>
  <c r="BR158" i="25"/>
  <c r="BQ158" i="25"/>
  <c r="BP158" i="25"/>
  <c r="BO158" i="25"/>
  <c r="BN158" i="25"/>
  <c r="BL158" i="25"/>
  <c r="BH158" i="25"/>
  <c r="BG158" i="25"/>
  <c r="BF158" i="25"/>
  <c r="BE158" i="25"/>
  <c r="BD158" i="25"/>
  <c r="BB158" i="25"/>
  <c r="BA158" i="25"/>
  <c r="AZ158" i="25"/>
  <c r="AY158" i="25"/>
  <c r="AX158" i="25"/>
  <c r="AW158" i="25"/>
  <c r="AU158" i="25"/>
  <c r="Z158" i="25"/>
  <c r="Y158" i="25"/>
  <c r="X158" i="25"/>
  <c r="W158" i="25"/>
  <c r="V158" i="25"/>
  <c r="P158" i="25"/>
  <c r="O158" i="25"/>
  <c r="M158" i="25"/>
  <c r="BY157" i="25"/>
  <c r="BX157" i="25"/>
  <c r="BW157" i="25"/>
  <c r="BV157" i="25"/>
  <c r="BU157" i="25"/>
  <c r="BS157" i="25"/>
  <c r="BR157" i="25"/>
  <c r="BQ157" i="25"/>
  <c r="BP157" i="25"/>
  <c r="BO157" i="25"/>
  <c r="BN157" i="25"/>
  <c r="BL157" i="25"/>
  <c r="BH157" i="25"/>
  <c r="BG157" i="25"/>
  <c r="BF157" i="25"/>
  <c r="BE157" i="25"/>
  <c r="BD157" i="25"/>
  <c r="BB157" i="25"/>
  <c r="BA157" i="25"/>
  <c r="AZ157" i="25"/>
  <c r="AY157" i="25"/>
  <c r="AX157" i="25"/>
  <c r="AW157" i="25"/>
  <c r="AU157" i="25"/>
  <c r="Z157" i="25"/>
  <c r="Y157" i="25"/>
  <c r="X157" i="25"/>
  <c r="W157" i="25"/>
  <c r="V157" i="25"/>
  <c r="P157" i="25"/>
  <c r="O157" i="25"/>
  <c r="M157" i="25"/>
  <c r="BY156" i="25"/>
  <c r="BX156" i="25"/>
  <c r="BW156" i="25"/>
  <c r="BV156" i="25"/>
  <c r="BU156" i="25"/>
  <c r="BS156" i="25"/>
  <c r="BR156" i="25"/>
  <c r="BQ156" i="25"/>
  <c r="BP156" i="25"/>
  <c r="BO156" i="25"/>
  <c r="BN156" i="25"/>
  <c r="BL156" i="25"/>
  <c r="BH156" i="25"/>
  <c r="BG156" i="25"/>
  <c r="BF156" i="25"/>
  <c r="BE156" i="25"/>
  <c r="BD156" i="25"/>
  <c r="BB156" i="25"/>
  <c r="BA156" i="25"/>
  <c r="AZ156" i="25"/>
  <c r="AY156" i="25"/>
  <c r="AX156" i="25"/>
  <c r="AW156" i="25"/>
  <c r="AU156" i="25"/>
  <c r="AQ156" i="25"/>
  <c r="AP156" i="25"/>
  <c r="AO156" i="25"/>
  <c r="AN156" i="25"/>
  <c r="Z156" i="25"/>
  <c r="Y156" i="25"/>
  <c r="X156" i="25"/>
  <c r="W156" i="25"/>
  <c r="V156" i="25"/>
  <c r="P156" i="25"/>
  <c r="O156" i="25"/>
  <c r="M156" i="25"/>
  <c r="BY155" i="25"/>
  <c r="BX155" i="25"/>
  <c r="BW155" i="25"/>
  <c r="BV155" i="25"/>
  <c r="BU155" i="25"/>
  <c r="BS155" i="25"/>
  <c r="BR155" i="25"/>
  <c r="BQ155" i="25"/>
  <c r="BP155" i="25"/>
  <c r="BO155" i="25"/>
  <c r="BN155" i="25"/>
  <c r="BL155" i="25"/>
  <c r="BH155" i="25"/>
  <c r="BG155" i="25"/>
  <c r="BF155" i="25"/>
  <c r="BE155" i="25"/>
  <c r="BD155" i="25"/>
  <c r="BB155" i="25"/>
  <c r="BA155" i="25"/>
  <c r="AZ155" i="25"/>
  <c r="AY155" i="25"/>
  <c r="AX155" i="25"/>
  <c r="AW155" i="25"/>
  <c r="AU155" i="25"/>
  <c r="AQ155" i="25"/>
  <c r="AP155" i="25"/>
  <c r="AO155" i="25"/>
  <c r="AN155" i="25"/>
  <c r="AG155" i="25"/>
  <c r="AF155" i="25"/>
  <c r="AD155" i="25"/>
  <c r="Z155" i="25"/>
  <c r="Y155" i="25"/>
  <c r="X155" i="25"/>
  <c r="W155" i="25"/>
  <c r="V155" i="25"/>
  <c r="P155" i="25"/>
  <c r="O155" i="25"/>
  <c r="M155" i="25"/>
  <c r="BY154" i="25"/>
  <c r="BX154" i="25"/>
  <c r="BW154" i="25"/>
  <c r="BV154" i="25"/>
  <c r="BU154" i="25"/>
  <c r="BS154" i="25"/>
  <c r="BR154" i="25"/>
  <c r="BQ154" i="25"/>
  <c r="BP154" i="25"/>
  <c r="BO154" i="25"/>
  <c r="BN154" i="25"/>
  <c r="BL154" i="25"/>
  <c r="BH154" i="25"/>
  <c r="BG154" i="25"/>
  <c r="BF154" i="25"/>
  <c r="BE154" i="25"/>
  <c r="BD154" i="25"/>
  <c r="BB154" i="25"/>
  <c r="BA154" i="25"/>
  <c r="AZ154" i="25"/>
  <c r="AY154" i="25"/>
  <c r="AX154" i="25"/>
  <c r="AW154" i="25"/>
  <c r="AU154" i="25"/>
  <c r="Z154" i="25"/>
  <c r="Y154" i="25"/>
  <c r="X154" i="25"/>
  <c r="W154" i="25"/>
  <c r="V154" i="25"/>
  <c r="P154" i="25"/>
  <c r="O154" i="25"/>
  <c r="M154" i="25"/>
  <c r="BY153" i="25"/>
  <c r="BX153" i="25"/>
  <c r="BW153" i="25"/>
  <c r="BV153" i="25"/>
  <c r="BU153" i="25"/>
  <c r="BS153" i="25"/>
  <c r="BR153" i="25"/>
  <c r="BQ153" i="25"/>
  <c r="BP153" i="25"/>
  <c r="BO153" i="25"/>
  <c r="BN153" i="25"/>
  <c r="BL153" i="25"/>
  <c r="BH153" i="25"/>
  <c r="BG153" i="25"/>
  <c r="BF153" i="25"/>
  <c r="BE153" i="25"/>
  <c r="BD153" i="25"/>
  <c r="BB153" i="25"/>
  <c r="BA153" i="25"/>
  <c r="AZ153" i="25"/>
  <c r="AY153" i="25"/>
  <c r="AX153" i="25"/>
  <c r="AW153" i="25"/>
  <c r="AU153" i="25"/>
  <c r="Z153" i="25"/>
  <c r="Y153" i="25"/>
  <c r="X153" i="25"/>
  <c r="W153" i="25"/>
  <c r="V153" i="25"/>
  <c r="P153" i="25"/>
  <c r="O153" i="25"/>
  <c r="M153" i="25"/>
  <c r="BY152" i="25"/>
  <c r="BX152" i="25"/>
  <c r="BW152" i="25"/>
  <c r="BV152" i="25"/>
  <c r="BU152" i="25"/>
  <c r="BS152" i="25"/>
  <c r="BR152" i="25"/>
  <c r="BQ152" i="25"/>
  <c r="BP152" i="25"/>
  <c r="BO152" i="25"/>
  <c r="BN152" i="25"/>
  <c r="BL152" i="25"/>
  <c r="BH152" i="25"/>
  <c r="BG152" i="25"/>
  <c r="BF152" i="25"/>
  <c r="BE152" i="25"/>
  <c r="BD152" i="25"/>
  <c r="BB152" i="25"/>
  <c r="BA152" i="25"/>
  <c r="AZ152" i="25"/>
  <c r="AY152" i="25"/>
  <c r="AX152" i="25"/>
  <c r="AW152" i="25"/>
  <c r="AU152" i="25"/>
  <c r="AQ152" i="25"/>
  <c r="AP152" i="25"/>
  <c r="AO152" i="25"/>
  <c r="AN152" i="25"/>
  <c r="Z152" i="25"/>
  <c r="Y152" i="25"/>
  <c r="X152" i="25"/>
  <c r="W152" i="25"/>
  <c r="V152" i="25"/>
  <c r="P152" i="25"/>
  <c r="O152" i="25"/>
  <c r="M152" i="25"/>
  <c r="BY151" i="25"/>
  <c r="BX151" i="25"/>
  <c r="BW151" i="25"/>
  <c r="BV151" i="25"/>
  <c r="BU151" i="25"/>
  <c r="BS151" i="25"/>
  <c r="BR151" i="25"/>
  <c r="BQ151" i="25"/>
  <c r="BP151" i="25"/>
  <c r="BO151" i="25"/>
  <c r="BN151" i="25"/>
  <c r="BL151" i="25"/>
  <c r="BH151" i="25"/>
  <c r="BG151" i="25"/>
  <c r="BF151" i="25"/>
  <c r="BE151" i="25"/>
  <c r="BD151" i="25"/>
  <c r="BB151" i="25"/>
  <c r="BA151" i="25"/>
  <c r="AZ151" i="25"/>
  <c r="AY151" i="25"/>
  <c r="AX151" i="25"/>
  <c r="AW151" i="25"/>
  <c r="AU151" i="25"/>
  <c r="AQ151" i="25"/>
  <c r="AP151" i="25"/>
  <c r="AO151" i="25"/>
  <c r="AN151" i="25"/>
  <c r="AG151" i="25"/>
  <c r="AF151" i="25"/>
  <c r="AD151" i="25"/>
  <c r="Z151" i="25"/>
  <c r="Y151" i="25"/>
  <c r="X151" i="25"/>
  <c r="W151" i="25"/>
  <c r="V151" i="25"/>
  <c r="P151" i="25"/>
  <c r="O151" i="25"/>
  <c r="M151" i="25"/>
  <c r="BY150" i="25"/>
  <c r="BX150" i="25"/>
  <c r="BW150" i="25"/>
  <c r="BV150" i="25"/>
  <c r="BU150" i="25"/>
  <c r="BS150" i="25"/>
  <c r="BR150" i="25"/>
  <c r="BQ150" i="25"/>
  <c r="BP150" i="25"/>
  <c r="BO150" i="25"/>
  <c r="BN150" i="25"/>
  <c r="BL150" i="25"/>
  <c r="BH150" i="25"/>
  <c r="BG150" i="25"/>
  <c r="BF150" i="25"/>
  <c r="BE150" i="25"/>
  <c r="BD150" i="25"/>
  <c r="BB150" i="25"/>
  <c r="BA150" i="25"/>
  <c r="AZ150" i="25"/>
  <c r="AY150" i="25"/>
  <c r="AX150" i="25"/>
  <c r="AW150" i="25"/>
  <c r="AU150" i="25"/>
  <c r="Z150" i="25"/>
  <c r="Y150" i="25"/>
  <c r="X150" i="25"/>
  <c r="W150" i="25"/>
  <c r="V150" i="25"/>
  <c r="P150" i="25"/>
  <c r="O150" i="25"/>
  <c r="M150" i="25"/>
  <c r="BY149" i="25"/>
  <c r="BX149" i="25"/>
  <c r="BW149" i="25"/>
  <c r="BV149" i="25"/>
  <c r="BU149" i="25"/>
  <c r="BS149" i="25"/>
  <c r="BR149" i="25"/>
  <c r="BQ149" i="25"/>
  <c r="BP149" i="25"/>
  <c r="BO149" i="25"/>
  <c r="BN149" i="25"/>
  <c r="BL149" i="25"/>
  <c r="BH149" i="25"/>
  <c r="BG149" i="25"/>
  <c r="BF149" i="25"/>
  <c r="BE149" i="25"/>
  <c r="BD149" i="25"/>
  <c r="BB149" i="25"/>
  <c r="BA149" i="25"/>
  <c r="AZ149" i="25"/>
  <c r="AY149" i="25"/>
  <c r="AX149" i="25"/>
  <c r="AW149" i="25"/>
  <c r="AU149" i="25"/>
  <c r="Z149" i="25"/>
  <c r="Y149" i="25"/>
  <c r="X149" i="25"/>
  <c r="W149" i="25"/>
  <c r="V149" i="25"/>
  <c r="P149" i="25"/>
  <c r="O149" i="25"/>
  <c r="M149" i="25"/>
  <c r="BY148" i="25"/>
  <c r="BX148" i="25"/>
  <c r="BW148" i="25"/>
  <c r="BV148" i="25"/>
  <c r="BU148" i="25"/>
  <c r="BS148" i="25"/>
  <c r="BR148" i="25"/>
  <c r="BQ148" i="25"/>
  <c r="BP148" i="25"/>
  <c r="BO148" i="25"/>
  <c r="BN148" i="25"/>
  <c r="BL148" i="25"/>
  <c r="BH148" i="25"/>
  <c r="BG148" i="25"/>
  <c r="BF148" i="25"/>
  <c r="BE148" i="25"/>
  <c r="BD148" i="25"/>
  <c r="BB148" i="25"/>
  <c r="BA148" i="25"/>
  <c r="AZ148" i="25"/>
  <c r="AY148" i="25"/>
  <c r="AX148" i="25"/>
  <c r="AW148" i="25"/>
  <c r="AU148" i="25"/>
  <c r="AQ148" i="25"/>
  <c r="AP148" i="25"/>
  <c r="AO148" i="25"/>
  <c r="AN148" i="25"/>
  <c r="Z148" i="25"/>
  <c r="Y148" i="25"/>
  <c r="X148" i="25"/>
  <c r="W148" i="25"/>
  <c r="V148" i="25"/>
  <c r="P148" i="25"/>
  <c r="O148" i="25"/>
  <c r="M148" i="25"/>
  <c r="BY147" i="25"/>
  <c r="BX147" i="25"/>
  <c r="BW147" i="25"/>
  <c r="BV147" i="25"/>
  <c r="BU147" i="25"/>
  <c r="BS147" i="25"/>
  <c r="BR147" i="25"/>
  <c r="BQ147" i="25"/>
  <c r="BP147" i="25"/>
  <c r="BO147" i="25"/>
  <c r="BN147" i="25"/>
  <c r="BL147" i="25"/>
  <c r="BH147" i="25"/>
  <c r="BG147" i="25"/>
  <c r="BF147" i="25"/>
  <c r="BE147" i="25"/>
  <c r="BD147" i="25"/>
  <c r="BB147" i="25"/>
  <c r="BA147" i="25"/>
  <c r="AZ147" i="25"/>
  <c r="AY147" i="25"/>
  <c r="AX147" i="25"/>
  <c r="AW147" i="25"/>
  <c r="AU147" i="25"/>
  <c r="AG147" i="25"/>
  <c r="AF147" i="25"/>
  <c r="AD147" i="25"/>
  <c r="Z147" i="25"/>
  <c r="Y147" i="25"/>
  <c r="X147" i="25"/>
  <c r="W147" i="25"/>
  <c r="V147" i="25"/>
  <c r="P147" i="25"/>
  <c r="O147" i="25"/>
  <c r="BL146" i="25"/>
  <c r="AG146" i="25"/>
  <c r="AF146" i="25"/>
  <c r="AD146" i="25"/>
  <c r="BL145" i="25"/>
  <c r="AG145" i="25"/>
  <c r="AF145" i="25"/>
  <c r="AD145" i="25"/>
  <c r="BL144" i="25"/>
  <c r="AG144" i="25"/>
  <c r="AF144" i="25"/>
  <c r="AD144" i="25"/>
  <c r="BL143" i="25"/>
  <c r="BY140" i="25"/>
  <c r="BX140" i="25"/>
  <c r="BW140" i="25"/>
  <c r="BV140" i="25"/>
  <c r="BU140" i="25"/>
  <c r="BS140" i="25"/>
  <c r="BR140" i="25"/>
  <c r="BQ140" i="25"/>
  <c r="BP140" i="25"/>
  <c r="BO140" i="25"/>
  <c r="BN140" i="25"/>
  <c r="BL140" i="25"/>
  <c r="BY139" i="25"/>
  <c r="BX139" i="25"/>
  <c r="BW139" i="25"/>
  <c r="BV139" i="25"/>
  <c r="BU139" i="25"/>
  <c r="BS139" i="25"/>
  <c r="BR139" i="25"/>
  <c r="BQ139" i="25"/>
  <c r="BP139" i="25"/>
  <c r="BO139" i="25"/>
  <c r="BN139" i="25"/>
  <c r="BL139" i="25"/>
  <c r="BY138" i="25"/>
  <c r="BX138" i="25"/>
  <c r="BW138" i="25"/>
  <c r="BV138" i="25"/>
  <c r="BU138" i="25"/>
  <c r="BS138" i="25"/>
  <c r="BR138" i="25"/>
  <c r="BQ138" i="25"/>
  <c r="BP138" i="25"/>
  <c r="BO138" i="25"/>
  <c r="BN138" i="25"/>
  <c r="BL138" i="25"/>
  <c r="BY137" i="25"/>
  <c r="BX137" i="25"/>
  <c r="BW137" i="25"/>
  <c r="BV137" i="25"/>
  <c r="BU137" i="25"/>
  <c r="BS137" i="25"/>
  <c r="BR137" i="25"/>
  <c r="BQ137" i="25"/>
  <c r="BP137" i="25"/>
  <c r="BO137" i="25"/>
  <c r="BN137" i="25"/>
  <c r="BL137" i="25"/>
  <c r="BY136" i="25"/>
  <c r="BX136" i="25"/>
  <c r="BW136" i="25"/>
  <c r="BV136" i="25"/>
  <c r="BU136" i="25"/>
  <c r="BS136" i="25"/>
  <c r="BR136" i="25"/>
  <c r="BQ136" i="25"/>
  <c r="BP136" i="25"/>
  <c r="BO136" i="25"/>
  <c r="BN136" i="25"/>
  <c r="BL136" i="25"/>
  <c r="BY135" i="25"/>
  <c r="BX135" i="25"/>
  <c r="BW135" i="25"/>
  <c r="BV135" i="25"/>
  <c r="BU135" i="25"/>
  <c r="BS135" i="25"/>
  <c r="BR135" i="25"/>
  <c r="BQ135" i="25"/>
  <c r="BP135" i="25"/>
  <c r="BO135" i="25"/>
  <c r="BN135" i="25"/>
  <c r="BL135" i="25"/>
  <c r="BY134" i="25"/>
  <c r="BX134" i="25"/>
  <c r="BW134" i="25"/>
  <c r="BV134" i="25"/>
  <c r="BU134" i="25"/>
  <c r="BS134" i="25"/>
  <c r="BR134" i="25"/>
  <c r="BQ134" i="25"/>
  <c r="BP134" i="25"/>
  <c r="BO134" i="25"/>
  <c r="BN134" i="25"/>
  <c r="BL134" i="25"/>
  <c r="BY133" i="25"/>
  <c r="BX133" i="25"/>
  <c r="BW133" i="25"/>
  <c r="BV133" i="25"/>
  <c r="BU133" i="25"/>
  <c r="BS133" i="25"/>
  <c r="BR133" i="25"/>
  <c r="BQ133" i="25"/>
  <c r="BP133" i="25"/>
  <c r="BO133" i="25"/>
  <c r="BN133" i="25"/>
  <c r="BL133" i="25"/>
  <c r="BY132" i="25"/>
  <c r="BX132" i="25"/>
  <c r="BW132" i="25"/>
  <c r="BV132" i="25"/>
  <c r="BU132" i="25"/>
  <c r="BS132" i="25"/>
  <c r="BR132" i="25"/>
  <c r="BQ132" i="25"/>
  <c r="BP132" i="25"/>
  <c r="BO132" i="25"/>
  <c r="BN132" i="25"/>
  <c r="BL132" i="25"/>
  <c r="BY131" i="25"/>
  <c r="BX131" i="25"/>
  <c r="BW131" i="25"/>
  <c r="BV131" i="25"/>
  <c r="BU131" i="25"/>
  <c r="BS131" i="25"/>
  <c r="BR131" i="25"/>
  <c r="BQ131" i="25"/>
  <c r="BP131" i="25"/>
  <c r="BO131" i="25"/>
  <c r="BN131" i="25"/>
  <c r="BL131" i="25"/>
  <c r="BY117" i="25"/>
  <c r="BX117" i="25"/>
  <c r="BW117" i="25"/>
  <c r="BV117" i="25"/>
  <c r="BU117" i="25"/>
  <c r="BS117" i="25"/>
  <c r="BR117" i="25"/>
  <c r="BQ117" i="25"/>
  <c r="BP117" i="25"/>
  <c r="BO117" i="25"/>
  <c r="BN117" i="25"/>
  <c r="BL117" i="25"/>
  <c r="BY116" i="25"/>
  <c r="BX116" i="25"/>
  <c r="BW116" i="25"/>
  <c r="BV116" i="25"/>
  <c r="BU116" i="25"/>
  <c r="BS116" i="25"/>
  <c r="BR116" i="25"/>
  <c r="BQ116" i="25"/>
  <c r="BP116" i="25"/>
  <c r="BO116" i="25"/>
  <c r="BN116" i="25"/>
  <c r="BL116" i="25"/>
  <c r="BY115" i="25"/>
  <c r="BX115" i="25"/>
  <c r="BW115" i="25"/>
  <c r="BV115" i="25"/>
  <c r="BU115" i="25"/>
  <c r="BS115" i="25"/>
  <c r="BR115" i="25"/>
  <c r="BQ115" i="25"/>
  <c r="BP115" i="25"/>
  <c r="BO115" i="25"/>
  <c r="BN115" i="25"/>
  <c r="BL115" i="25"/>
  <c r="BY114" i="25"/>
  <c r="BX114" i="25"/>
  <c r="BW114" i="25"/>
  <c r="BV114" i="25"/>
  <c r="BU114" i="25"/>
  <c r="BS114" i="25"/>
  <c r="BR114" i="25"/>
  <c r="BQ114" i="25"/>
  <c r="BP114" i="25"/>
  <c r="BO114" i="25"/>
  <c r="BN114" i="25"/>
  <c r="BL114" i="25"/>
  <c r="BY113" i="25"/>
  <c r="BX113" i="25"/>
  <c r="BW113" i="25"/>
  <c r="BV113" i="25"/>
  <c r="BU113" i="25"/>
  <c r="BS113" i="25"/>
  <c r="BR113" i="25"/>
  <c r="BQ113" i="25"/>
  <c r="BP113" i="25"/>
  <c r="BO113" i="25"/>
  <c r="BN113" i="25"/>
  <c r="BL113" i="25"/>
  <c r="BY112" i="25"/>
  <c r="BX112" i="25"/>
  <c r="BW112" i="25"/>
  <c r="BV112" i="25"/>
  <c r="BU112" i="25"/>
  <c r="BS112" i="25"/>
  <c r="BR112" i="25"/>
  <c r="BQ112" i="25"/>
  <c r="BP112" i="25"/>
  <c r="BO112" i="25"/>
  <c r="BN112" i="25"/>
  <c r="BL112" i="25"/>
  <c r="BY111" i="25"/>
  <c r="BX111" i="25"/>
  <c r="BW111" i="25"/>
  <c r="BV111" i="25"/>
  <c r="BU111" i="25"/>
  <c r="BS111" i="25"/>
  <c r="BR111" i="25"/>
  <c r="BQ111" i="25"/>
  <c r="BP111" i="25"/>
  <c r="BO111" i="25"/>
  <c r="BN111" i="25"/>
  <c r="BL111" i="25"/>
  <c r="BY110" i="25"/>
  <c r="BX110" i="25"/>
  <c r="BW110" i="25"/>
  <c r="BV110" i="25"/>
  <c r="BU110" i="25"/>
  <c r="BS110" i="25"/>
  <c r="BR110" i="25"/>
  <c r="BQ110" i="25"/>
  <c r="BP110" i="25"/>
  <c r="BO110" i="25"/>
  <c r="BN110" i="25"/>
  <c r="BL110" i="25"/>
  <c r="BY109" i="25"/>
  <c r="BX109" i="25"/>
  <c r="BW109" i="25"/>
  <c r="BV109" i="25"/>
  <c r="BU109" i="25"/>
  <c r="BS109" i="25"/>
  <c r="BR109" i="25"/>
  <c r="BQ109" i="25"/>
  <c r="BP109" i="25"/>
  <c r="BO109" i="25"/>
  <c r="BN109" i="25"/>
  <c r="BL109" i="25"/>
  <c r="BY108" i="25"/>
  <c r="BX108" i="25"/>
  <c r="BW108" i="25"/>
  <c r="BV108" i="25"/>
  <c r="BU108" i="25"/>
  <c r="BS108" i="25"/>
  <c r="BR108" i="25"/>
  <c r="BQ108" i="25"/>
  <c r="BP108" i="25"/>
  <c r="BO108" i="25"/>
  <c r="BN108" i="25"/>
  <c r="BL108" i="25"/>
  <c r="BY94" i="25"/>
  <c r="BX94" i="25"/>
  <c r="BW94" i="25"/>
  <c r="BV94" i="25"/>
  <c r="BU94" i="25"/>
  <c r="BS94" i="25"/>
  <c r="BR94" i="25"/>
  <c r="BQ94" i="25"/>
  <c r="BP94" i="25"/>
  <c r="BO94" i="25"/>
  <c r="BN94" i="25"/>
  <c r="BL94" i="25"/>
  <c r="BY93" i="25"/>
  <c r="BX93" i="25"/>
  <c r="BW93" i="25"/>
  <c r="BV93" i="25"/>
  <c r="BU93" i="25"/>
  <c r="BS93" i="25"/>
  <c r="BR93" i="25"/>
  <c r="BQ93" i="25"/>
  <c r="BP93" i="25"/>
  <c r="BO93" i="25"/>
  <c r="BN93" i="25"/>
  <c r="BL93" i="25"/>
  <c r="BY92" i="25"/>
  <c r="BX92" i="25"/>
  <c r="BW92" i="25"/>
  <c r="BV92" i="25"/>
  <c r="BU92" i="25"/>
  <c r="BS92" i="25"/>
  <c r="BR92" i="25"/>
  <c r="BQ92" i="25"/>
  <c r="BP92" i="25"/>
  <c r="BO92" i="25"/>
  <c r="BN92" i="25"/>
  <c r="BL92" i="25"/>
  <c r="BY91" i="25"/>
  <c r="BX91" i="25"/>
  <c r="BW91" i="25"/>
  <c r="BV91" i="25"/>
  <c r="BU91" i="25"/>
  <c r="BS91" i="25"/>
  <c r="BR91" i="25"/>
  <c r="BQ91" i="25"/>
  <c r="BP91" i="25"/>
  <c r="BO91" i="25"/>
  <c r="BN91" i="25"/>
  <c r="BL91" i="25"/>
  <c r="BY90" i="25"/>
  <c r="BX90" i="25"/>
  <c r="BW90" i="25"/>
  <c r="BV90" i="25"/>
  <c r="BU90" i="25"/>
  <c r="BS90" i="25"/>
  <c r="BR90" i="25"/>
  <c r="BQ90" i="25"/>
  <c r="BP90" i="25"/>
  <c r="BO90" i="25"/>
  <c r="BN90" i="25"/>
  <c r="BL90" i="25"/>
  <c r="BY89" i="25"/>
  <c r="BX89" i="25"/>
  <c r="BW89" i="25"/>
  <c r="BV89" i="25"/>
  <c r="BU89" i="25"/>
  <c r="BS89" i="25"/>
  <c r="BR89" i="25"/>
  <c r="BQ89" i="25"/>
  <c r="BP89" i="25"/>
  <c r="BO89" i="25"/>
  <c r="BN89" i="25"/>
  <c r="BL89" i="25"/>
  <c r="BY88" i="25"/>
  <c r="BX88" i="25"/>
  <c r="BW88" i="25"/>
  <c r="BV88" i="25"/>
  <c r="BU88" i="25"/>
  <c r="BS88" i="25"/>
  <c r="BR88" i="25"/>
  <c r="BQ88" i="25"/>
  <c r="BP88" i="25"/>
  <c r="BO88" i="25"/>
  <c r="BN88" i="25"/>
  <c r="BL88" i="25"/>
  <c r="BY87" i="25"/>
  <c r="BX87" i="25"/>
  <c r="BW87" i="25"/>
  <c r="BV87" i="25"/>
  <c r="BU87" i="25"/>
  <c r="BS87" i="25"/>
  <c r="BR87" i="25"/>
  <c r="BQ87" i="25"/>
  <c r="BP87" i="25"/>
  <c r="BO87" i="25"/>
  <c r="BN87" i="25"/>
  <c r="BL87" i="25"/>
  <c r="BY86" i="25"/>
  <c r="BX86" i="25"/>
  <c r="BW86" i="25"/>
  <c r="BV86" i="25"/>
  <c r="BU86" i="25"/>
  <c r="BS86" i="25"/>
  <c r="BR86" i="25"/>
  <c r="BQ86" i="25"/>
  <c r="BP86" i="25"/>
  <c r="BO86" i="25"/>
  <c r="BN86" i="25"/>
  <c r="BL86" i="25"/>
  <c r="BY85" i="25"/>
  <c r="BX85" i="25"/>
  <c r="BW85" i="25"/>
  <c r="BV85" i="25"/>
  <c r="BU85" i="25"/>
  <c r="BS85" i="25"/>
  <c r="BR85" i="25"/>
  <c r="BQ85" i="25"/>
  <c r="BP85" i="25"/>
  <c r="BO85" i="25"/>
  <c r="BN85" i="25"/>
  <c r="BL85" i="25"/>
  <c r="BY71" i="25"/>
  <c r="BX71" i="25"/>
  <c r="BW71" i="25"/>
  <c r="BV71" i="25"/>
  <c r="BU71" i="25"/>
  <c r="BS71" i="25"/>
  <c r="BR71" i="25"/>
  <c r="BQ71" i="25"/>
  <c r="BP71" i="25"/>
  <c r="BO71" i="25"/>
  <c r="BN71" i="25"/>
  <c r="BL71" i="25"/>
  <c r="BY70" i="25"/>
  <c r="BX70" i="25"/>
  <c r="BW70" i="25"/>
  <c r="BV70" i="25"/>
  <c r="BU70" i="25"/>
  <c r="BS70" i="25"/>
  <c r="BR70" i="25"/>
  <c r="BQ70" i="25"/>
  <c r="BP70" i="25"/>
  <c r="BO70" i="25"/>
  <c r="BN70" i="25"/>
  <c r="BL70" i="25"/>
  <c r="BY69" i="25"/>
  <c r="BX69" i="25"/>
  <c r="BW69" i="25"/>
  <c r="BV69" i="25"/>
  <c r="BU69" i="25"/>
  <c r="BS69" i="25"/>
  <c r="BR69" i="25"/>
  <c r="BQ69" i="25"/>
  <c r="BP69" i="25"/>
  <c r="BO69" i="25"/>
  <c r="BN69" i="25"/>
  <c r="BL69" i="25"/>
  <c r="BY68" i="25"/>
  <c r="BX68" i="25"/>
  <c r="BW68" i="25"/>
  <c r="BV68" i="25"/>
  <c r="BU68" i="25"/>
  <c r="BS68" i="25"/>
  <c r="BR68" i="25"/>
  <c r="BQ68" i="25"/>
  <c r="BP68" i="25"/>
  <c r="BO68" i="25"/>
  <c r="BN68" i="25"/>
  <c r="BL68" i="25"/>
  <c r="BY67" i="25"/>
  <c r="BX67" i="25"/>
  <c r="BW67" i="25"/>
  <c r="BV67" i="25"/>
  <c r="BU67" i="25"/>
  <c r="BS67" i="25"/>
  <c r="BR67" i="25"/>
  <c r="BQ67" i="25"/>
  <c r="BP67" i="25"/>
  <c r="BO67" i="25"/>
  <c r="BN67" i="25"/>
  <c r="BL67" i="25"/>
  <c r="BY66" i="25"/>
  <c r="BX66" i="25"/>
  <c r="BW66" i="25"/>
  <c r="BV66" i="25"/>
  <c r="BU66" i="25"/>
  <c r="BS66" i="25"/>
  <c r="BR66" i="25"/>
  <c r="BQ66" i="25"/>
  <c r="BP66" i="25"/>
  <c r="BO66" i="25"/>
  <c r="BN66" i="25"/>
  <c r="BL66" i="25"/>
  <c r="BY65" i="25"/>
  <c r="BX65" i="25"/>
  <c r="BW65" i="25"/>
  <c r="BV65" i="25"/>
  <c r="BU65" i="25"/>
  <c r="BS65" i="25"/>
  <c r="BR65" i="25"/>
  <c r="BQ65" i="25"/>
  <c r="BP65" i="25"/>
  <c r="BO65" i="25"/>
  <c r="BN65" i="25"/>
  <c r="BL65" i="25"/>
  <c r="BY64" i="25"/>
  <c r="BX64" i="25"/>
  <c r="BW64" i="25"/>
  <c r="BV64" i="25"/>
  <c r="BU64" i="25"/>
  <c r="BS64" i="25"/>
  <c r="BR64" i="25"/>
  <c r="BQ64" i="25"/>
  <c r="BP64" i="25"/>
  <c r="BO64" i="25"/>
  <c r="BN64" i="25"/>
  <c r="BL64" i="25"/>
  <c r="BY63" i="25"/>
  <c r="BX63" i="25"/>
  <c r="BW63" i="25"/>
  <c r="BV63" i="25"/>
  <c r="BU63" i="25"/>
  <c r="BS63" i="25"/>
  <c r="BR63" i="25"/>
  <c r="BQ63" i="25"/>
  <c r="BP63" i="25"/>
  <c r="BO63" i="25"/>
  <c r="BN63" i="25"/>
  <c r="BL63" i="25"/>
  <c r="BY62" i="25"/>
  <c r="BX62" i="25"/>
  <c r="BW62" i="25"/>
  <c r="BV62" i="25"/>
  <c r="BU62" i="25"/>
  <c r="BS62" i="25"/>
  <c r="BR62" i="25"/>
  <c r="BQ62" i="25"/>
  <c r="BP62" i="25"/>
  <c r="BO62" i="25"/>
  <c r="BN62" i="25"/>
  <c r="BL62" i="25"/>
  <c r="BY59" i="25"/>
  <c r="BX59" i="25"/>
  <c r="BW59" i="25"/>
  <c r="BV59" i="25"/>
  <c r="BU59" i="25"/>
  <c r="BS59" i="25"/>
  <c r="BR59" i="25"/>
  <c r="BQ59" i="25"/>
  <c r="BP59" i="25"/>
  <c r="BO59" i="25"/>
  <c r="BN59" i="25"/>
  <c r="BL59" i="25"/>
  <c r="BY58" i="25"/>
  <c r="BX58" i="25"/>
  <c r="BW58" i="25"/>
  <c r="BV58" i="25"/>
  <c r="BU58" i="25"/>
  <c r="BS58" i="25"/>
  <c r="BR58" i="25"/>
  <c r="BQ58" i="25"/>
  <c r="BP58" i="25"/>
  <c r="BO58" i="25"/>
  <c r="BN58" i="25"/>
  <c r="BL58" i="25"/>
  <c r="BY57" i="25"/>
  <c r="BX57" i="25"/>
  <c r="BW57" i="25"/>
  <c r="BV57" i="25"/>
  <c r="BU57" i="25"/>
  <c r="BS57" i="25"/>
  <c r="BR57" i="25"/>
  <c r="BQ57" i="25"/>
  <c r="BP57" i="25"/>
  <c r="BO57" i="25"/>
  <c r="BN57" i="25"/>
  <c r="BL57" i="25"/>
  <c r="BY56" i="25"/>
  <c r="BX56" i="25"/>
  <c r="BW56" i="25"/>
  <c r="BV56" i="25"/>
  <c r="BU56" i="25"/>
  <c r="BS56" i="25"/>
  <c r="BR56" i="25"/>
  <c r="BQ56" i="25"/>
  <c r="BP56" i="25"/>
  <c r="BO56" i="25"/>
  <c r="BN56" i="25"/>
  <c r="BL56" i="25"/>
  <c r="BY55" i="25"/>
  <c r="BX55" i="25"/>
  <c r="BW55" i="25"/>
  <c r="BV55" i="25"/>
  <c r="BU55" i="25"/>
  <c r="BS55" i="25"/>
  <c r="BR55" i="25"/>
  <c r="BQ55" i="25"/>
  <c r="BP55" i="25"/>
  <c r="BO55" i="25"/>
  <c r="BN55" i="25"/>
  <c r="BL55" i="25"/>
  <c r="BY54" i="25"/>
  <c r="BX54" i="25"/>
  <c r="BW54" i="25"/>
  <c r="BV54" i="25"/>
  <c r="BU54" i="25"/>
  <c r="BS54" i="25"/>
  <c r="BR54" i="25"/>
  <c r="BQ54" i="25"/>
  <c r="BP54" i="25"/>
  <c r="BO54" i="25"/>
  <c r="BN54" i="25"/>
  <c r="BL54" i="25"/>
  <c r="BY53" i="25"/>
  <c r="BX53" i="25"/>
  <c r="BW53" i="25"/>
  <c r="BV53" i="25"/>
  <c r="BU53" i="25"/>
  <c r="BS53" i="25"/>
  <c r="BR53" i="25"/>
  <c r="BQ53" i="25"/>
  <c r="BP53" i="25"/>
  <c r="BO53" i="25"/>
  <c r="BN53" i="25"/>
  <c r="BL53" i="25"/>
  <c r="BY52" i="25"/>
  <c r="BX52" i="25"/>
  <c r="BW52" i="25"/>
  <c r="BV52" i="25"/>
  <c r="BU52" i="25"/>
  <c r="BS52" i="25"/>
  <c r="BR52" i="25"/>
  <c r="BQ52" i="25"/>
  <c r="BP52" i="25"/>
  <c r="BO52" i="25"/>
  <c r="BN52" i="25"/>
  <c r="BL52" i="25"/>
  <c r="BY51" i="25"/>
  <c r="BX51" i="25"/>
  <c r="BW51" i="25"/>
  <c r="BV51" i="25"/>
  <c r="BU51" i="25"/>
  <c r="BS51" i="25"/>
  <c r="BR51" i="25"/>
  <c r="BQ51" i="25"/>
  <c r="BP51" i="25"/>
  <c r="BO51" i="25"/>
  <c r="BN51" i="25"/>
  <c r="BL51" i="25"/>
  <c r="BY50" i="25"/>
  <c r="BX50" i="25"/>
  <c r="BW50" i="25"/>
  <c r="BV50" i="25"/>
  <c r="BU50" i="25"/>
  <c r="BS50" i="25"/>
  <c r="BR50" i="25"/>
  <c r="BQ50" i="25"/>
  <c r="BP50" i="25"/>
  <c r="BO50" i="25"/>
  <c r="BN50" i="25"/>
  <c r="BL50" i="25"/>
  <c r="BY45" i="25"/>
  <c r="BX45" i="25"/>
  <c r="BW45" i="25"/>
  <c r="BV45" i="25"/>
  <c r="BU45" i="25"/>
  <c r="BS45" i="25"/>
  <c r="BR45" i="25"/>
  <c r="BQ45" i="25"/>
  <c r="BP45" i="25"/>
  <c r="BO45" i="25"/>
  <c r="BN45" i="25"/>
  <c r="BL45" i="25"/>
  <c r="BH45" i="25"/>
  <c r="BG45" i="25"/>
  <c r="BF45" i="25"/>
  <c r="BE45" i="25"/>
  <c r="BD45" i="25"/>
  <c r="BB45" i="25"/>
  <c r="BA45" i="25"/>
  <c r="AZ45" i="25"/>
  <c r="AY45" i="25"/>
  <c r="AX45" i="25"/>
  <c r="AW45" i="25"/>
  <c r="AU45" i="25"/>
  <c r="AQ45" i="25"/>
  <c r="AP45" i="25"/>
  <c r="AO45" i="25"/>
  <c r="AN45" i="25"/>
  <c r="AM45" i="25"/>
  <c r="AK45" i="25"/>
  <c r="AJ45" i="25"/>
  <c r="AI45" i="25"/>
  <c r="AH45" i="25"/>
  <c r="AG45" i="25"/>
  <c r="AF45" i="25"/>
  <c r="AD45" i="25"/>
  <c r="Z45" i="25"/>
  <c r="Y45" i="25"/>
  <c r="X45" i="25"/>
  <c r="W45" i="25"/>
  <c r="V45" i="25"/>
  <c r="T45" i="25"/>
  <c r="S45" i="25"/>
  <c r="R45" i="25"/>
  <c r="Q45" i="25"/>
  <c r="P45" i="25"/>
  <c r="O45" i="25"/>
  <c r="M45" i="25"/>
  <c r="BY44" i="25"/>
  <c r="BX44" i="25"/>
  <c r="BW44" i="25"/>
  <c r="BV44" i="25"/>
  <c r="BU44" i="25"/>
  <c r="BS44" i="25"/>
  <c r="BR44" i="25"/>
  <c r="BQ44" i="25"/>
  <c r="BP44" i="25"/>
  <c r="BO44" i="25"/>
  <c r="BN44" i="25"/>
  <c r="BL44" i="25"/>
  <c r="BH44" i="25"/>
  <c r="BG44" i="25"/>
  <c r="BF44" i="25"/>
  <c r="BE44" i="25"/>
  <c r="BD44" i="25"/>
  <c r="BB44" i="25"/>
  <c r="BA44" i="25"/>
  <c r="AZ44" i="25"/>
  <c r="AY44" i="25"/>
  <c r="AX44" i="25"/>
  <c r="AW44" i="25"/>
  <c r="AU44" i="25"/>
  <c r="AQ44" i="25"/>
  <c r="AP44" i="25"/>
  <c r="AO44" i="25"/>
  <c r="AN44" i="25"/>
  <c r="AM44" i="25"/>
  <c r="AK44" i="25"/>
  <c r="AJ44" i="25"/>
  <c r="AI44" i="25"/>
  <c r="AH44" i="25"/>
  <c r="AG44" i="25"/>
  <c r="AF44" i="25"/>
  <c r="AD44" i="25"/>
  <c r="Z44" i="25"/>
  <c r="Y44" i="25"/>
  <c r="X44" i="25"/>
  <c r="W44" i="25"/>
  <c r="V44" i="25"/>
  <c r="T44" i="25"/>
  <c r="S44" i="25"/>
  <c r="R44" i="25"/>
  <c r="Q44" i="25"/>
  <c r="P44" i="25"/>
  <c r="O44" i="25"/>
  <c r="M44" i="25"/>
  <c r="BY43" i="25"/>
  <c r="BX43" i="25"/>
  <c r="BW43" i="25"/>
  <c r="BV43" i="25"/>
  <c r="BS43" i="25"/>
  <c r="BR43" i="25"/>
  <c r="BQ43" i="25"/>
  <c r="BP43" i="25"/>
  <c r="BL43" i="25"/>
  <c r="BH43" i="25"/>
  <c r="BG43" i="25"/>
  <c r="BF43" i="25"/>
  <c r="BE43" i="25"/>
  <c r="BD43" i="25"/>
  <c r="BB43" i="25"/>
  <c r="BA43" i="25"/>
  <c r="AZ43" i="25"/>
  <c r="AY43" i="25"/>
  <c r="AX43" i="25"/>
  <c r="AW43" i="25"/>
  <c r="AU43" i="25"/>
  <c r="AQ43" i="25"/>
  <c r="AP43" i="25"/>
  <c r="AO43" i="25"/>
  <c r="AN43" i="25"/>
  <c r="AM43" i="25"/>
  <c r="AK43" i="25"/>
  <c r="AJ43" i="25"/>
  <c r="AI43" i="25"/>
  <c r="AH43" i="25"/>
  <c r="AG43" i="25"/>
  <c r="AF43" i="25"/>
  <c r="AD43" i="25"/>
  <c r="Z43" i="25"/>
  <c r="Y43" i="25"/>
  <c r="X43" i="25"/>
  <c r="W43" i="25"/>
  <c r="V43" i="25"/>
  <c r="T43" i="25"/>
  <c r="S43" i="25"/>
  <c r="R43" i="25"/>
  <c r="Q43" i="25"/>
  <c r="P43" i="25"/>
  <c r="O43" i="25"/>
  <c r="M43" i="25"/>
  <c r="BY42" i="25"/>
  <c r="BX42" i="25"/>
  <c r="BW42" i="25"/>
  <c r="BV42" i="25"/>
  <c r="BS42" i="25"/>
  <c r="BR42" i="25"/>
  <c r="BQ42" i="25"/>
  <c r="BP42" i="25"/>
  <c r="BL42" i="25"/>
  <c r="BH42" i="25"/>
  <c r="BG42" i="25"/>
  <c r="BF42" i="25"/>
  <c r="BE42" i="25"/>
  <c r="BD42" i="25"/>
  <c r="BB42" i="25"/>
  <c r="BA42" i="25"/>
  <c r="AZ42" i="25"/>
  <c r="AY42" i="25"/>
  <c r="AX42" i="25"/>
  <c r="AW42" i="25"/>
  <c r="AU42" i="25"/>
  <c r="AQ42" i="25"/>
  <c r="AP42" i="25"/>
  <c r="AO42" i="25"/>
  <c r="AN42" i="25"/>
  <c r="AM42" i="25"/>
  <c r="AK42" i="25"/>
  <c r="AJ42" i="25"/>
  <c r="AI42" i="25"/>
  <c r="AH42" i="25"/>
  <c r="AG42" i="25"/>
  <c r="AF42" i="25"/>
  <c r="AD42" i="25"/>
  <c r="Z42" i="25"/>
  <c r="Y42" i="25"/>
  <c r="X42" i="25"/>
  <c r="W42" i="25"/>
  <c r="V42" i="25"/>
  <c r="T42" i="25"/>
  <c r="S42" i="25"/>
  <c r="R42" i="25"/>
  <c r="Q42" i="25"/>
  <c r="P42" i="25"/>
  <c r="O42" i="25"/>
  <c r="M42" i="25"/>
  <c r="BY41" i="25"/>
  <c r="BX41" i="25"/>
  <c r="BW41" i="25"/>
  <c r="BV41" i="25"/>
  <c r="BS41" i="25"/>
  <c r="BR41" i="25"/>
  <c r="BQ41" i="25"/>
  <c r="BP41" i="25"/>
  <c r="BL41" i="25"/>
  <c r="BH41" i="25"/>
  <c r="BG41" i="25"/>
  <c r="BF41" i="25"/>
  <c r="BE41" i="25"/>
  <c r="BD41" i="25"/>
  <c r="BB41" i="25"/>
  <c r="BA41" i="25"/>
  <c r="AZ41" i="25"/>
  <c r="AY41" i="25"/>
  <c r="AX41" i="25"/>
  <c r="AW41" i="25"/>
  <c r="AU41" i="25"/>
  <c r="AQ41" i="25"/>
  <c r="AP41" i="25"/>
  <c r="AO41" i="25"/>
  <c r="AN41" i="25"/>
  <c r="AM41" i="25"/>
  <c r="AK41" i="25"/>
  <c r="AJ41" i="25"/>
  <c r="AI41" i="25"/>
  <c r="AH41" i="25"/>
  <c r="AG41" i="25"/>
  <c r="AF41" i="25"/>
  <c r="AD41" i="25"/>
  <c r="Z41" i="25"/>
  <c r="Y41" i="25"/>
  <c r="X41" i="25"/>
  <c r="W41" i="25"/>
  <c r="V41" i="25"/>
  <c r="T41" i="25"/>
  <c r="S41" i="25"/>
  <c r="R41" i="25"/>
  <c r="Q41" i="25"/>
  <c r="P41" i="25"/>
  <c r="O41" i="25"/>
  <c r="M41" i="25"/>
  <c r="BY40" i="25"/>
  <c r="BX40" i="25"/>
  <c r="BW40" i="25"/>
  <c r="BV40" i="25"/>
  <c r="BU40" i="25"/>
  <c r="BS40" i="25"/>
  <c r="BR40" i="25"/>
  <c r="BQ40" i="25"/>
  <c r="BP40" i="25"/>
  <c r="BO40" i="25"/>
  <c r="BN40" i="25"/>
  <c r="BL40" i="25"/>
  <c r="BH40" i="25"/>
  <c r="BG40" i="25"/>
  <c r="BF40" i="25"/>
  <c r="BE40" i="25"/>
  <c r="BD40" i="25"/>
  <c r="BB40" i="25"/>
  <c r="BA40" i="25"/>
  <c r="AZ40" i="25"/>
  <c r="AY40" i="25"/>
  <c r="AX40" i="25"/>
  <c r="AW40" i="25"/>
  <c r="AU40" i="25"/>
  <c r="AQ40" i="25"/>
  <c r="AP40" i="25"/>
  <c r="AO40" i="25"/>
  <c r="AN40" i="25"/>
  <c r="AM40" i="25"/>
  <c r="AK40" i="25"/>
  <c r="AJ40" i="25"/>
  <c r="AI40" i="25"/>
  <c r="AH40" i="25"/>
  <c r="AG40" i="25"/>
  <c r="AF40" i="25"/>
  <c r="AD40" i="25"/>
  <c r="Z40" i="25"/>
  <c r="Y40" i="25"/>
  <c r="X40" i="25"/>
  <c r="W40" i="25"/>
  <c r="V40" i="25"/>
  <c r="T40" i="25"/>
  <c r="S40" i="25"/>
  <c r="R40" i="25"/>
  <c r="Q40" i="25"/>
  <c r="P40" i="25"/>
  <c r="O40" i="25"/>
  <c r="M40" i="25"/>
  <c r="BY39" i="25"/>
  <c r="BX39" i="25"/>
  <c r="BW39" i="25"/>
  <c r="BV39" i="25"/>
  <c r="BU39" i="25"/>
  <c r="BS39" i="25"/>
  <c r="BR39" i="25"/>
  <c r="BQ39" i="25"/>
  <c r="BP39" i="25"/>
  <c r="BO39" i="25"/>
  <c r="BN39" i="25"/>
  <c r="BL39" i="25"/>
  <c r="BH39" i="25"/>
  <c r="BG39" i="25"/>
  <c r="BF39" i="25"/>
  <c r="BE39" i="25"/>
  <c r="BD39" i="25"/>
  <c r="BB39" i="25"/>
  <c r="BA39" i="25"/>
  <c r="AZ39" i="25"/>
  <c r="AY39" i="25"/>
  <c r="AX39" i="25"/>
  <c r="AW39" i="25"/>
  <c r="AU39" i="25"/>
  <c r="AQ39" i="25"/>
  <c r="AP39" i="25"/>
  <c r="AO39" i="25"/>
  <c r="AN39" i="25"/>
  <c r="AM39" i="25"/>
  <c r="AK39" i="25"/>
  <c r="AJ39" i="25"/>
  <c r="AI39" i="25"/>
  <c r="AH39" i="25"/>
  <c r="AG39" i="25"/>
  <c r="AF39" i="25"/>
  <c r="AD39" i="25"/>
  <c r="Z39" i="25"/>
  <c r="Y39" i="25"/>
  <c r="X39" i="25"/>
  <c r="W39" i="25"/>
  <c r="V39" i="25"/>
  <c r="T39" i="25"/>
  <c r="S39" i="25"/>
  <c r="R39" i="25"/>
  <c r="Q39" i="25"/>
  <c r="P39" i="25"/>
  <c r="O39" i="25"/>
  <c r="M39" i="25"/>
  <c r="BY38" i="25"/>
  <c r="BX38" i="25"/>
  <c r="BW38" i="25"/>
  <c r="BV38" i="25"/>
  <c r="BS38" i="25"/>
  <c r="BR38" i="25"/>
  <c r="BQ38" i="25"/>
  <c r="BP38" i="25"/>
  <c r="BL38" i="25"/>
  <c r="BH38" i="25"/>
  <c r="BG38" i="25"/>
  <c r="BF38" i="25"/>
  <c r="BE38" i="25"/>
  <c r="BD38" i="25"/>
  <c r="BB38" i="25"/>
  <c r="BA38" i="25"/>
  <c r="AZ38" i="25"/>
  <c r="AY38" i="25"/>
  <c r="AX38" i="25"/>
  <c r="AW38" i="25"/>
  <c r="AU38" i="25"/>
  <c r="AQ38" i="25"/>
  <c r="AP38" i="25"/>
  <c r="AO38" i="25"/>
  <c r="AN38" i="25"/>
  <c r="AM38" i="25"/>
  <c r="AK38" i="25"/>
  <c r="AJ38" i="25"/>
  <c r="AI38" i="25"/>
  <c r="AH38" i="25"/>
  <c r="AG38" i="25"/>
  <c r="AF38" i="25"/>
  <c r="AD38" i="25"/>
  <c r="Z38" i="25"/>
  <c r="Y38" i="25"/>
  <c r="X38" i="25"/>
  <c r="W38" i="25"/>
  <c r="V38" i="25"/>
  <c r="T38" i="25"/>
  <c r="S38" i="25"/>
  <c r="R38" i="25"/>
  <c r="Q38" i="25"/>
  <c r="P38" i="25"/>
  <c r="O38" i="25"/>
  <c r="M38" i="25"/>
  <c r="BY37" i="25"/>
  <c r="BX37" i="25"/>
  <c r="BW37" i="25"/>
  <c r="BV37" i="25"/>
  <c r="BS37" i="25"/>
  <c r="BR37" i="25"/>
  <c r="BQ37" i="25"/>
  <c r="BP37" i="25"/>
  <c r="BH37" i="25"/>
  <c r="BG37" i="25"/>
  <c r="BF37" i="25"/>
  <c r="BE37" i="25"/>
  <c r="BB37" i="25"/>
  <c r="BA37" i="25"/>
  <c r="AZ37" i="25"/>
  <c r="AY37" i="25"/>
  <c r="AU37" i="25"/>
  <c r="AS37" i="25" s="1"/>
  <c r="AQ37" i="25"/>
  <c r="AP37" i="25"/>
  <c r="AO37" i="25"/>
  <c r="AN37" i="25"/>
  <c r="AK37" i="25"/>
  <c r="AJ37" i="25"/>
  <c r="AI37" i="25"/>
  <c r="AH37" i="25"/>
  <c r="Z37" i="25"/>
  <c r="Y37" i="25"/>
  <c r="X37" i="25"/>
  <c r="W37" i="25"/>
  <c r="T37" i="25"/>
  <c r="S37" i="25"/>
  <c r="R37" i="25"/>
  <c r="Q37" i="25"/>
  <c r="BY35" i="25"/>
  <c r="BX35" i="25"/>
  <c r="BW35" i="25"/>
  <c r="BV35" i="25"/>
  <c r="BU35" i="25"/>
  <c r="BS35" i="25"/>
  <c r="BR35" i="25"/>
  <c r="BQ35" i="25"/>
  <c r="BP35" i="25"/>
  <c r="BO35" i="25"/>
  <c r="BN35" i="25"/>
  <c r="BL35" i="25"/>
  <c r="BH35" i="25"/>
  <c r="BG35" i="25"/>
  <c r="BF35" i="25"/>
  <c r="BE35" i="25"/>
  <c r="BD35" i="25"/>
  <c r="BB35" i="25"/>
  <c r="BA35" i="25"/>
  <c r="AZ35" i="25"/>
  <c r="AY35" i="25"/>
  <c r="AX35" i="25"/>
  <c r="AW35" i="25"/>
  <c r="AQ35" i="25"/>
  <c r="AP35" i="25"/>
  <c r="AO35" i="25"/>
  <c r="AN35" i="25"/>
  <c r="AM35" i="25"/>
  <c r="AK35" i="25"/>
  <c r="AJ35" i="25"/>
  <c r="AI35" i="25"/>
  <c r="AH35" i="25"/>
  <c r="AG35" i="25"/>
  <c r="AF35" i="25"/>
  <c r="AD35" i="25"/>
  <c r="Z35" i="25"/>
  <c r="Y35" i="25"/>
  <c r="X35" i="25"/>
  <c r="W35" i="25"/>
  <c r="V35" i="25"/>
  <c r="T35" i="25"/>
  <c r="S35" i="25"/>
  <c r="R35" i="25"/>
  <c r="Q35" i="25"/>
  <c r="P35" i="25"/>
  <c r="O35" i="25"/>
  <c r="BY34" i="25"/>
  <c r="BX34" i="25"/>
  <c r="BW34" i="25"/>
  <c r="BV34" i="25"/>
  <c r="BU34" i="25"/>
  <c r="BS34" i="25"/>
  <c r="BR34" i="25"/>
  <c r="BQ34" i="25"/>
  <c r="BP34" i="25"/>
  <c r="BO34" i="25"/>
  <c r="BN34" i="25"/>
  <c r="BL34" i="25"/>
  <c r="BH34" i="25"/>
  <c r="BG34" i="25"/>
  <c r="BF34" i="25"/>
  <c r="BE34" i="25"/>
  <c r="BD34" i="25"/>
  <c r="BB34" i="25"/>
  <c r="BA34" i="25"/>
  <c r="AZ34" i="25"/>
  <c r="AY34" i="25"/>
  <c r="AX34" i="25"/>
  <c r="AW34" i="25"/>
  <c r="AU34" i="25"/>
  <c r="AQ34" i="25"/>
  <c r="AP34" i="25"/>
  <c r="AO34" i="25"/>
  <c r="AN34" i="25"/>
  <c r="AM34" i="25"/>
  <c r="AK34" i="25"/>
  <c r="AJ34" i="25"/>
  <c r="AI34" i="25"/>
  <c r="AH34" i="25"/>
  <c r="AG34" i="25"/>
  <c r="AF34" i="25"/>
  <c r="AD34" i="25"/>
  <c r="Z34" i="25"/>
  <c r="Y34" i="25"/>
  <c r="X34" i="25"/>
  <c r="W34" i="25"/>
  <c r="V34" i="25"/>
  <c r="T34" i="25"/>
  <c r="S34" i="25"/>
  <c r="R34" i="25"/>
  <c r="Q34" i="25"/>
  <c r="P34" i="25"/>
  <c r="O34" i="25"/>
  <c r="M34" i="25"/>
  <c r="BY33" i="25"/>
  <c r="BX33" i="25"/>
  <c r="BW33" i="25"/>
  <c r="BV33" i="25"/>
  <c r="BU33" i="25"/>
  <c r="BS33" i="25"/>
  <c r="BR33" i="25"/>
  <c r="BQ33" i="25"/>
  <c r="BP33" i="25"/>
  <c r="BO33" i="25"/>
  <c r="BN33" i="25"/>
  <c r="BL33" i="25"/>
  <c r="BH33" i="25"/>
  <c r="BG33" i="25"/>
  <c r="BF33" i="25"/>
  <c r="BE33" i="25"/>
  <c r="BD33" i="25"/>
  <c r="BB33" i="25"/>
  <c r="BA33" i="25"/>
  <c r="AZ33" i="25"/>
  <c r="AY33" i="25"/>
  <c r="AX33" i="25"/>
  <c r="AW33" i="25"/>
  <c r="AU33" i="25"/>
  <c r="AQ33" i="25"/>
  <c r="AP33" i="25"/>
  <c r="AO33" i="25"/>
  <c r="AN33" i="25"/>
  <c r="AM33" i="25"/>
  <c r="AK33" i="25"/>
  <c r="AJ33" i="25"/>
  <c r="AI33" i="25"/>
  <c r="AH33" i="25"/>
  <c r="AG33" i="25"/>
  <c r="AF33" i="25"/>
  <c r="AD33" i="25"/>
  <c r="Z33" i="25"/>
  <c r="Y33" i="25"/>
  <c r="X33" i="25"/>
  <c r="W33" i="25"/>
  <c r="V33" i="25"/>
  <c r="T33" i="25"/>
  <c r="S33" i="25"/>
  <c r="R33" i="25"/>
  <c r="Q33" i="25"/>
  <c r="P33" i="25"/>
  <c r="O33" i="25"/>
  <c r="M33" i="25"/>
  <c r="BY32" i="25"/>
  <c r="BX32" i="25"/>
  <c r="BW32" i="25"/>
  <c r="BV32" i="25"/>
  <c r="BU32" i="25"/>
  <c r="BS32" i="25"/>
  <c r="BR32" i="25"/>
  <c r="BQ32" i="25"/>
  <c r="BP32" i="25"/>
  <c r="BO32" i="25"/>
  <c r="BN32" i="25"/>
  <c r="BL32" i="25"/>
  <c r="BH32" i="25"/>
  <c r="BG32" i="25"/>
  <c r="BF32" i="25"/>
  <c r="BE32" i="25"/>
  <c r="BD32" i="25"/>
  <c r="BB32" i="25"/>
  <c r="BA32" i="25"/>
  <c r="AZ32" i="25"/>
  <c r="AY32" i="25"/>
  <c r="AX32" i="25"/>
  <c r="AW32" i="25"/>
  <c r="AU32" i="25"/>
  <c r="AQ32" i="25"/>
  <c r="AP32" i="25"/>
  <c r="AO32" i="25"/>
  <c r="AN32" i="25"/>
  <c r="AM32" i="25"/>
  <c r="AK32" i="25"/>
  <c r="AJ32" i="25"/>
  <c r="AI32" i="25"/>
  <c r="AH32" i="25"/>
  <c r="AG32" i="25"/>
  <c r="AF32" i="25"/>
  <c r="AD32" i="25"/>
  <c r="Z32" i="25"/>
  <c r="Y32" i="25"/>
  <c r="X32" i="25"/>
  <c r="W32" i="25"/>
  <c r="V32" i="25"/>
  <c r="T32" i="25"/>
  <c r="S32" i="25"/>
  <c r="R32" i="25"/>
  <c r="Q32" i="25"/>
  <c r="P32" i="25"/>
  <c r="O32" i="25"/>
  <c r="M32" i="25"/>
  <c r="BY31" i="25"/>
  <c r="BX31" i="25"/>
  <c r="BW31" i="25"/>
  <c r="BV31" i="25"/>
  <c r="BU31" i="25"/>
  <c r="BS31" i="25"/>
  <c r="BR31" i="25"/>
  <c r="BQ31" i="25"/>
  <c r="BP31" i="25"/>
  <c r="BO31" i="25"/>
  <c r="BN31" i="25"/>
  <c r="BL31" i="25"/>
  <c r="BH31" i="25"/>
  <c r="BG31" i="25"/>
  <c r="BF31" i="25"/>
  <c r="BE31" i="25"/>
  <c r="BD31" i="25"/>
  <c r="BB31" i="25"/>
  <c r="BA31" i="25"/>
  <c r="AZ31" i="25"/>
  <c r="AY31" i="25"/>
  <c r="AX31" i="25"/>
  <c r="AW31" i="25"/>
  <c r="AU31" i="25"/>
  <c r="AQ31" i="25"/>
  <c r="AP31" i="25"/>
  <c r="AO31" i="25"/>
  <c r="AN31" i="25"/>
  <c r="AM31" i="25"/>
  <c r="AK31" i="25"/>
  <c r="AJ31" i="25"/>
  <c r="AI31" i="25"/>
  <c r="AH31" i="25"/>
  <c r="AG31" i="25"/>
  <c r="AF31" i="25"/>
  <c r="AD31" i="25"/>
  <c r="Z31" i="25"/>
  <c r="Y31" i="25"/>
  <c r="X31" i="25"/>
  <c r="W31" i="25"/>
  <c r="V31" i="25"/>
  <c r="T31" i="25"/>
  <c r="S31" i="25"/>
  <c r="R31" i="25"/>
  <c r="Q31" i="25"/>
  <c r="P31" i="25"/>
  <c r="O31" i="25"/>
  <c r="M31" i="25"/>
  <c r="BY30" i="25"/>
  <c r="BX30" i="25"/>
  <c r="BW30" i="25"/>
  <c r="BV30" i="25"/>
  <c r="BU30" i="25"/>
  <c r="BS30" i="25"/>
  <c r="BR30" i="25"/>
  <c r="BQ30" i="25"/>
  <c r="BP30" i="25"/>
  <c r="BO30" i="25"/>
  <c r="BN30" i="25"/>
  <c r="BL30" i="25"/>
  <c r="BH30" i="25"/>
  <c r="BG30" i="25"/>
  <c r="BF30" i="25"/>
  <c r="BE30" i="25"/>
  <c r="BD30" i="25"/>
  <c r="BB30" i="25"/>
  <c r="BA30" i="25"/>
  <c r="AZ30" i="25"/>
  <c r="AY30" i="25"/>
  <c r="AX30" i="25"/>
  <c r="AW30" i="25"/>
  <c r="AU30" i="25"/>
  <c r="AQ30" i="25"/>
  <c r="AP30" i="25"/>
  <c r="AO30" i="25"/>
  <c r="AN30" i="25"/>
  <c r="AM30" i="25"/>
  <c r="AK30" i="25"/>
  <c r="AJ30" i="25"/>
  <c r="AI30" i="25"/>
  <c r="AH30" i="25"/>
  <c r="AG30" i="25"/>
  <c r="AF30" i="25"/>
  <c r="AD30" i="25"/>
  <c r="Z30" i="25"/>
  <c r="Y30" i="25"/>
  <c r="X30" i="25"/>
  <c r="W30" i="25"/>
  <c r="V30" i="25"/>
  <c r="T30" i="25"/>
  <c r="S30" i="25"/>
  <c r="R30" i="25"/>
  <c r="Q30" i="25"/>
  <c r="P30" i="25"/>
  <c r="O30" i="25"/>
  <c r="M30" i="25"/>
  <c r="BY29" i="25"/>
  <c r="BX29" i="25"/>
  <c r="BW29" i="25"/>
  <c r="BV29" i="25"/>
  <c r="BU29" i="25"/>
  <c r="BS29" i="25"/>
  <c r="BR29" i="25"/>
  <c r="BQ29" i="25"/>
  <c r="BP29" i="25"/>
  <c r="BO29" i="25"/>
  <c r="BN29" i="25"/>
  <c r="BL29" i="25"/>
  <c r="BH29" i="25"/>
  <c r="BG29" i="25"/>
  <c r="BF29" i="25"/>
  <c r="BE29" i="25"/>
  <c r="BD29" i="25"/>
  <c r="BB29" i="25"/>
  <c r="BA29" i="25"/>
  <c r="AZ29" i="25"/>
  <c r="AY29" i="25"/>
  <c r="AX29" i="25"/>
  <c r="AW29" i="25"/>
  <c r="AU29" i="25"/>
  <c r="AQ29" i="25"/>
  <c r="AP29" i="25"/>
  <c r="AO29" i="25"/>
  <c r="AN29" i="25"/>
  <c r="AM29" i="25"/>
  <c r="AK29" i="25"/>
  <c r="AJ29" i="25"/>
  <c r="AI29" i="25"/>
  <c r="AH29" i="25"/>
  <c r="AG29" i="25"/>
  <c r="AF29" i="25"/>
  <c r="AD29" i="25"/>
  <c r="Z29" i="25"/>
  <c r="Y29" i="25"/>
  <c r="X29" i="25"/>
  <c r="W29" i="25"/>
  <c r="V29" i="25"/>
  <c r="T29" i="25"/>
  <c r="S29" i="25"/>
  <c r="R29" i="25"/>
  <c r="Q29" i="25"/>
  <c r="P29" i="25"/>
  <c r="O29" i="25"/>
  <c r="M29" i="25"/>
  <c r="BY28" i="25"/>
  <c r="BX28" i="25"/>
  <c r="BW28" i="25"/>
  <c r="BV28" i="25"/>
  <c r="BS28" i="25"/>
  <c r="BR28" i="25"/>
  <c r="BQ28" i="25"/>
  <c r="BP28" i="25"/>
  <c r="BH28" i="25"/>
  <c r="BG28" i="25"/>
  <c r="BF28" i="25"/>
  <c r="BE28" i="25"/>
  <c r="BB28" i="25"/>
  <c r="BA28" i="25"/>
  <c r="AZ28" i="25"/>
  <c r="AY28" i="25"/>
  <c r="AQ28" i="25"/>
  <c r="AP28" i="25"/>
  <c r="AO28" i="25"/>
  <c r="AN28" i="25"/>
  <c r="AK28" i="25"/>
  <c r="AJ28" i="25"/>
  <c r="AI28" i="25"/>
  <c r="AH28" i="25"/>
  <c r="Z28" i="25"/>
  <c r="Y28" i="25"/>
  <c r="X28" i="25"/>
  <c r="W28" i="25"/>
  <c r="T28" i="25"/>
  <c r="S28" i="25"/>
  <c r="R28" i="25"/>
  <c r="Q28" i="25"/>
  <c r="BY26" i="25"/>
  <c r="BX26" i="25"/>
  <c r="BW26" i="25"/>
  <c r="BV26" i="25"/>
  <c r="BS26" i="25"/>
  <c r="BR26" i="25"/>
  <c r="BQ26" i="25"/>
  <c r="BP26" i="25"/>
  <c r="BL26" i="25"/>
  <c r="BH26" i="25"/>
  <c r="BG26" i="25"/>
  <c r="BF26" i="25"/>
  <c r="BE26" i="25"/>
  <c r="BD26" i="25"/>
  <c r="BB26" i="25"/>
  <c r="BA26" i="25"/>
  <c r="AZ26" i="25"/>
  <c r="AY26" i="25"/>
  <c r="AX26" i="25"/>
  <c r="AW26" i="25"/>
  <c r="AU26" i="25"/>
  <c r="AQ26" i="25"/>
  <c r="AP26" i="25"/>
  <c r="AO26" i="25"/>
  <c r="AN26" i="25"/>
  <c r="AM26" i="25"/>
  <c r="AK26" i="25"/>
  <c r="AJ26" i="25"/>
  <c r="AI26" i="25"/>
  <c r="AH26" i="25"/>
  <c r="AG26" i="25"/>
  <c r="AF26" i="25"/>
  <c r="AD26" i="25"/>
  <c r="Z26" i="25"/>
  <c r="Y26" i="25"/>
  <c r="X26" i="25"/>
  <c r="W26" i="25"/>
  <c r="V26" i="25"/>
  <c r="T26" i="25"/>
  <c r="S26" i="25"/>
  <c r="R26" i="25"/>
  <c r="Q26" i="25"/>
  <c r="P26" i="25"/>
  <c r="O26" i="25"/>
  <c r="M26" i="25"/>
  <c r="BY25" i="25"/>
  <c r="BX25" i="25"/>
  <c r="BW25" i="25"/>
  <c r="BV25" i="25"/>
  <c r="BS25" i="25"/>
  <c r="BR25" i="25"/>
  <c r="BQ25" i="25"/>
  <c r="BP25" i="25"/>
  <c r="BL25" i="25"/>
  <c r="BH25" i="25"/>
  <c r="BG25" i="25"/>
  <c r="BF25" i="25"/>
  <c r="BE25" i="25"/>
  <c r="BD25" i="25"/>
  <c r="BB25" i="25"/>
  <c r="BA25" i="25"/>
  <c r="AZ25" i="25"/>
  <c r="AY25" i="25"/>
  <c r="AX25" i="25"/>
  <c r="AW25" i="25"/>
  <c r="AU25" i="25"/>
  <c r="AQ25" i="25"/>
  <c r="AP25" i="25"/>
  <c r="AO25" i="25"/>
  <c r="AN25" i="25"/>
  <c r="AM25" i="25"/>
  <c r="AK25" i="25"/>
  <c r="AJ25" i="25"/>
  <c r="AI25" i="25"/>
  <c r="AH25" i="25"/>
  <c r="AG25" i="25"/>
  <c r="AF25" i="25"/>
  <c r="AD25" i="25"/>
  <c r="Z25" i="25"/>
  <c r="Y25" i="25"/>
  <c r="X25" i="25"/>
  <c r="W25" i="25"/>
  <c r="V25" i="25"/>
  <c r="T25" i="25"/>
  <c r="S25" i="25"/>
  <c r="R25" i="25"/>
  <c r="Q25" i="25"/>
  <c r="P25" i="25"/>
  <c r="O25" i="25"/>
  <c r="M25" i="25"/>
  <c r="BY24" i="25"/>
  <c r="BX24" i="25"/>
  <c r="BW24" i="25"/>
  <c r="BV24" i="25"/>
  <c r="BS24" i="25"/>
  <c r="BR24" i="25"/>
  <c r="BQ24" i="25"/>
  <c r="BP24" i="25"/>
  <c r="BL24" i="25"/>
  <c r="BH24" i="25"/>
  <c r="BG24" i="25"/>
  <c r="BF24" i="25"/>
  <c r="BE24" i="25"/>
  <c r="BD24" i="25"/>
  <c r="BB24" i="25"/>
  <c r="BA24" i="25"/>
  <c r="AZ24" i="25"/>
  <c r="AY24" i="25"/>
  <c r="AX24" i="25"/>
  <c r="AW24" i="25"/>
  <c r="AU24" i="25"/>
  <c r="AQ24" i="25"/>
  <c r="AP24" i="25"/>
  <c r="AO24" i="25"/>
  <c r="AN24" i="25"/>
  <c r="AM24" i="25"/>
  <c r="AK24" i="25"/>
  <c r="AJ24" i="25"/>
  <c r="AI24" i="25"/>
  <c r="AH24" i="25"/>
  <c r="AG24" i="25"/>
  <c r="AF24" i="25"/>
  <c r="AD24" i="25"/>
  <c r="Z24" i="25"/>
  <c r="Y24" i="25"/>
  <c r="X24" i="25"/>
  <c r="W24" i="25"/>
  <c r="V24" i="25"/>
  <c r="T24" i="25"/>
  <c r="S24" i="25"/>
  <c r="R24" i="25"/>
  <c r="Q24" i="25"/>
  <c r="P24" i="25"/>
  <c r="O24" i="25"/>
  <c r="M24" i="25"/>
  <c r="BY23" i="25"/>
  <c r="BX23" i="25"/>
  <c r="BW23" i="25"/>
  <c r="BV23" i="25"/>
  <c r="BS23" i="25"/>
  <c r="BR23" i="25"/>
  <c r="BQ23" i="25"/>
  <c r="BP23" i="25"/>
  <c r="BL23" i="25"/>
  <c r="BH23" i="25"/>
  <c r="BG23" i="25"/>
  <c r="BF23" i="25"/>
  <c r="BE23" i="25"/>
  <c r="BD23" i="25"/>
  <c r="BB23" i="25"/>
  <c r="BA23" i="25"/>
  <c r="AZ23" i="25"/>
  <c r="AY23" i="25"/>
  <c r="AX23" i="25"/>
  <c r="AW23" i="25"/>
  <c r="AU23" i="25"/>
  <c r="AQ23" i="25"/>
  <c r="AP23" i="25"/>
  <c r="AO23" i="25"/>
  <c r="AN23" i="25"/>
  <c r="AM23" i="25"/>
  <c r="AK23" i="25"/>
  <c r="AJ23" i="25"/>
  <c r="AI23" i="25"/>
  <c r="AH23" i="25"/>
  <c r="AG23" i="25"/>
  <c r="AF23" i="25"/>
  <c r="AD23" i="25"/>
  <c r="Z23" i="25"/>
  <c r="Y23" i="25"/>
  <c r="X23" i="25"/>
  <c r="W23" i="25"/>
  <c r="V23" i="25"/>
  <c r="T23" i="25"/>
  <c r="S23" i="25"/>
  <c r="R23" i="25"/>
  <c r="Q23" i="25"/>
  <c r="P23" i="25"/>
  <c r="O23" i="25"/>
  <c r="M23" i="25"/>
  <c r="BY22" i="25"/>
  <c r="BX22" i="25"/>
  <c r="BW22" i="25"/>
  <c r="BV22" i="25"/>
  <c r="BS22" i="25"/>
  <c r="BR22" i="25"/>
  <c r="BQ22" i="25"/>
  <c r="BP22" i="25"/>
  <c r="BL22" i="25"/>
  <c r="BH22" i="25"/>
  <c r="BG22" i="25"/>
  <c r="BF22" i="25"/>
  <c r="BE22" i="25"/>
  <c r="BD22" i="25"/>
  <c r="BB22" i="25"/>
  <c r="BA22" i="25"/>
  <c r="AZ22" i="25"/>
  <c r="AY22" i="25"/>
  <c r="AX22" i="25"/>
  <c r="AW22" i="25"/>
  <c r="AU22" i="25"/>
  <c r="AQ22" i="25"/>
  <c r="AP22" i="25"/>
  <c r="AO22" i="25"/>
  <c r="AN22" i="25"/>
  <c r="AM22" i="25"/>
  <c r="AK22" i="25"/>
  <c r="AJ22" i="25"/>
  <c r="AI22" i="25"/>
  <c r="AH22" i="25"/>
  <c r="AG22" i="25"/>
  <c r="AF22" i="25"/>
  <c r="AD22" i="25"/>
  <c r="Z22" i="25"/>
  <c r="Y22" i="25"/>
  <c r="X22" i="25"/>
  <c r="W22" i="25"/>
  <c r="V22" i="25"/>
  <c r="T22" i="25"/>
  <c r="S22" i="25"/>
  <c r="R22" i="25"/>
  <c r="Q22" i="25"/>
  <c r="P22" i="25"/>
  <c r="O22" i="25"/>
  <c r="M22" i="25"/>
  <c r="BY21" i="25"/>
  <c r="BX21" i="25"/>
  <c r="BW21" i="25"/>
  <c r="BV21" i="25"/>
  <c r="BS21" i="25"/>
  <c r="BR21" i="25"/>
  <c r="BQ21" i="25"/>
  <c r="BP21" i="25"/>
  <c r="BH21" i="25"/>
  <c r="BG21" i="25"/>
  <c r="BF21" i="25"/>
  <c r="BE21" i="25"/>
  <c r="BB21" i="25"/>
  <c r="BA21" i="25"/>
  <c r="AZ21" i="25"/>
  <c r="AY21" i="25"/>
  <c r="AQ21" i="25"/>
  <c r="AP21" i="25"/>
  <c r="AO21" i="25"/>
  <c r="AN21" i="25"/>
  <c r="AK21" i="25"/>
  <c r="AJ21" i="25"/>
  <c r="AI21" i="25"/>
  <c r="AH21" i="25"/>
  <c r="Z21" i="25"/>
  <c r="Y21" i="25"/>
  <c r="X21" i="25"/>
  <c r="W21" i="25"/>
  <c r="T21" i="25"/>
  <c r="S21" i="25"/>
  <c r="R21" i="25"/>
  <c r="Q21" i="25"/>
  <c r="BY19" i="25"/>
  <c r="BX19" i="25"/>
  <c r="BW19" i="25"/>
  <c r="BV19" i="25"/>
  <c r="BS19" i="25"/>
  <c r="BR19" i="25"/>
  <c r="BQ19" i="25"/>
  <c r="BP19" i="25"/>
  <c r="BL19" i="25"/>
  <c r="BH19" i="25"/>
  <c r="BG19" i="25"/>
  <c r="BF19" i="25"/>
  <c r="BE19" i="25"/>
  <c r="BD19" i="25"/>
  <c r="BB19" i="25"/>
  <c r="BA19" i="25"/>
  <c r="AZ19" i="25"/>
  <c r="AY19" i="25"/>
  <c r="AX19" i="25"/>
  <c r="AW19" i="25"/>
  <c r="AU19" i="25"/>
  <c r="AQ19" i="25"/>
  <c r="AP19" i="25"/>
  <c r="AO19" i="25"/>
  <c r="AN19" i="25"/>
  <c r="AM19" i="25"/>
  <c r="AK19" i="25"/>
  <c r="AJ19" i="25"/>
  <c r="AI19" i="25"/>
  <c r="AH19" i="25"/>
  <c r="AG19" i="25"/>
  <c r="AF19" i="25"/>
  <c r="AD19" i="25"/>
  <c r="Z19" i="25"/>
  <c r="Y19" i="25"/>
  <c r="X19" i="25"/>
  <c r="W19" i="25"/>
  <c r="V19" i="25"/>
  <c r="T19" i="25"/>
  <c r="S19" i="25"/>
  <c r="R19" i="25"/>
  <c r="Q19" i="25"/>
  <c r="P19" i="25"/>
  <c r="O19" i="25"/>
  <c r="M19" i="25"/>
  <c r="BY18" i="25"/>
  <c r="BX18" i="25"/>
  <c r="BW18" i="25"/>
  <c r="BV18" i="25"/>
  <c r="BS18" i="25"/>
  <c r="BR18" i="25"/>
  <c r="BQ18" i="25"/>
  <c r="BP18" i="25"/>
  <c r="BL18" i="25"/>
  <c r="BH18" i="25"/>
  <c r="BG18" i="25"/>
  <c r="BF18" i="25"/>
  <c r="BE18" i="25"/>
  <c r="BD18" i="25"/>
  <c r="BB18" i="25"/>
  <c r="BA18" i="25"/>
  <c r="AZ18" i="25"/>
  <c r="AY18" i="25"/>
  <c r="AX18" i="25"/>
  <c r="AW18" i="25"/>
  <c r="AU18" i="25"/>
  <c r="AQ18" i="25"/>
  <c r="AP18" i="25"/>
  <c r="AO18" i="25"/>
  <c r="AN18" i="25"/>
  <c r="AM18" i="25"/>
  <c r="AK18" i="25"/>
  <c r="AJ18" i="25"/>
  <c r="AI18" i="25"/>
  <c r="AH18" i="25"/>
  <c r="AG18" i="25"/>
  <c r="AF18" i="25"/>
  <c r="AD18" i="25"/>
  <c r="Z18" i="25"/>
  <c r="Y18" i="25"/>
  <c r="X18" i="25"/>
  <c r="W18" i="25"/>
  <c r="V18" i="25"/>
  <c r="T18" i="25"/>
  <c r="S18" i="25"/>
  <c r="R18" i="25"/>
  <c r="Q18" i="25"/>
  <c r="P18" i="25"/>
  <c r="O18" i="25"/>
  <c r="M18" i="25"/>
  <c r="BY17" i="25"/>
  <c r="BX17" i="25"/>
  <c r="BW17" i="25"/>
  <c r="BV17" i="25"/>
  <c r="BS17" i="25"/>
  <c r="BR17" i="25"/>
  <c r="BQ17" i="25"/>
  <c r="BP17" i="25"/>
  <c r="BL17" i="25"/>
  <c r="BH17" i="25"/>
  <c r="BG17" i="25"/>
  <c r="BF17" i="25"/>
  <c r="BE17" i="25"/>
  <c r="BD17" i="25"/>
  <c r="BB17" i="25"/>
  <c r="BA17" i="25"/>
  <c r="AZ17" i="25"/>
  <c r="AY17" i="25"/>
  <c r="AX17" i="25"/>
  <c r="AW17" i="25"/>
  <c r="AU17" i="25"/>
  <c r="AQ17" i="25"/>
  <c r="AP17" i="25"/>
  <c r="AO17" i="25"/>
  <c r="AN17" i="25"/>
  <c r="AM17" i="25"/>
  <c r="AK17" i="25"/>
  <c r="AJ17" i="25"/>
  <c r="AI17" i="25"/>
  <c r="AH17" i="25"/>
  <c r="AG17" i="25"/>
  <c r="AF17" i="25"/>
  <c r="AD17" i="25"/>
  <c r="Z17" i="25"/>
  <c r="Y17" i="25"/>
  <c r="X17" i="25"/>
  <c r="W17" i="25"/>
  <c r="V17" i="25"/>
  <c r="T17" i="25"/>
  <c r="S17" i="25"/>
  <c r="R17" i="25"/>
  <c r="Q17" i="25"/>
  <c r="P17" i="25"/>
  <c r="O17" i="25"/>
  <c r="M17" i="25"/>
  <c r="BY16" i="25"/>
  <c r="BX16" i="25"/>
  <c r="BW16" i="25"/>
  <c r="BV16" i="25"/>
  <c r="BS16" i="25"/>
  <c r="BR16" i="25"/>
  <c r="BQ16" i="25"/>
  <c r="BP16" i="25"/>
  <c r="BL16" i="25"/>
  <c r="BH16" i="25"/>
  <c r="BG16" i="25"/>
  <c r="BF16" i="25"/>
  <c r="BE16" i="25"/>
  <c r="BD16" i="25"/>
  <c r="BB16" i="25"/>
  <c r="BA16" i="25"/>
  <c r="AZ16" i="25"/>
  <c r="AY16" i="25"/>
  <c r="AX16" i="25"/>
  <c r="AW16" i="25"/>
  <c r="AU16" i="25"/>
  <c r="AQ16" i="25"/>
  <c r="AP16" i="25"/>
  <c r="AO16" i="25"/>
  <c r="AN16" i="25"/>
  <c r="AM16" i="25"/>
  <c r="AK16" i="25"/>
  <c r="AJ16" i="25"/>
  <c r="AI16" i="25"/>
  <c r="AH16" i="25"/>
  <c r="AG16" i="25"/>
  <c r="AF16" i="25"/>
  <c r="AD16" i="25"/>
  <c r="Z16" i="25"/>
  <c r="Y16" i="25"/>
  <c r="X16" i="25"/>
  <c r="W16" i="25"/>
  <c r="V16" i="25"/>
  <c r="T16" i="25"/>
  <c r="S16" i="25"/>
  <c r="R16" i="25"/>
  <c r="Q16" i="25"/>
  <c r="P16" i="25"/>
  <c r="O16" i="25"/>
  <c r="M16" i="25"/>
  <c r="BY15" i="25"/>
  <c r="BX15" i="25"/>
  <c r="BW15" i="25"/>
  <c r="BV15" i="25"/>
  <c r="BS15" i="25"/>
  <c r="BR15" i="25"/>
  <c r="BQ15" i="25"/>
  <c r="BP15" i="25"/>
  <c r="BH15" i="25"/>
  <c r="BG15" i="25"/>
  <c r="BF15" i="25"/>
  <c r="BE15" i="25"/>
  <c r="BB15" i="25"/>
  <c r="BA15" i="25"/>
  <c r="AZ15" i="25"/>
  <c r="AY15" i="25"/>
  <c r="AQ15" i="25"/>
  <c r="AP15" i="25"/>
  <c r="AO15" i="25"/>
  <c r="AN15" i="25"/>
  <c r="AK15" i="25"/>
  <c r="AJ15" i="25"/>
  <c r="AI15" i="25"/>
  <c r="AH15" i="25"/>
  <c r="Z15" i="25"/>
  <c r="Y15" i="25"/>
  <c r="X15" i="25"/>
  <c r="W15" i="25"/>
  <c r="T15" i="25"/>
  <c r="S15" i="25"/>
  <c r="R15" i="25"/>
  <c r="Q15" i="25"/>
  <c r="BY13" i="25"/>
  <c r="BX13" i="25"/>
  <c r="BW13" i="25"/>
  <c r="BV13" i="25"/>
  <c r="BS13" i="25"/>
  <c r="BR13" i="25"/>
  <c r="BQ13" i="25"/>
  <c r="BP13" i="25"/>
  <c r="BL13" i="25"/>
  <c r="BH13" i="25"/>
  <c r="BG13" i="25"/>
  <c r="BF13" i="25"/>
  <c r="BE13" i="25"/>
  <c r="BD13" i="25"/>
  <c r="BB13" i="25"/>
  <c r="BA13" i="25"/>
  <c r="AZ13" i="25"/>
  <c r="AY13" i="25"/>
  <c r="AX13" i="25"/>
  <c r="AW13" i="25"/>
  <c r="AU13" i="25"/>
  <c r="AQ13" i="25"/>
  <c r="AP13" i="25"/>
  <c r="AO13" i="25"/>
  <c r="AN13" i="25"/>
  <c r="AM13" i="25"/>
  <c r="AK13" i="25"/>
  <c r="AJ13" i="25"/>
  <c r="AI13" i="25"/>
  <c r="AH13" i="25"/>
  <c r="AG13" i="25"/>
  <c r="AF13" i="25"/>
  <c r="AD13" i="25"/>
  <c r="Z13" i="25"/>
  <c r="Y13" i="25"/>
  <c r="X13" i="25"/>
  <c r="W13" i="25"/>
  <c r="V13" i="25"/>
  <c r="T13" i="25"/>
  <c r="S13" i="25"/>
  <c r="R13" i="25"/>
  <c r="Q13" i="25"/>
  <c r="P13" i="25"/>
  <c r="O13" i="25"/>
  <c r="M13" i="25"/>
  <c r="BY12" i="25"/>
  <c r="BX12" i="25"/>
  <c r="BW12" i="25"/>
  <c r="BV12" i="25"/>
  <c r="BS12" i="25"/>
  <c r="BR12" i="25"/>
  <c r="BQ12" i="25"/>
  <c r="BP12" i="25"/>
  <c r="BL12" i="25"/>
  <c r="BH12" i="25"/>
  <c r="BG12" i="25"/>
  <c r="BF12" i="25"/>
  <c r="BE12" i="25"/>
  <c r="BD12" i="25"/>
  <c r="BB12" i="25"/>
  <c r="BA12" i="25"/>
  <c r="AZ12" i="25"/>
  <c r="AY12" i="25"/>
  <c r="AX12" i="25"/>
  <c r="AW12" i="25"/>
  <c r="AU12" i="25"/>
  <c r="AQ12" i="25"/>
  <c r="AP12" i="25"/>
  <c r="AO12" i="25"/>
  <c r="AN12" i="25"/>
  <c r="AM12" i="25"/>
  <c r="AK12" i="25"/>
  <c r="AJ12" i="25"/>
  <c r="AI12" i="25"/>
  <c r="AH12" i="25"/>
  <c r="AG12" i="25"/>
  <c r="AF12" i="25"/>
  <c r="AD12" i="25"/>
  <c r="Z12" i="25"/>
  <c r="Y12" i="25"/>
  <c r="X12" i="25"/>
  <c r="W12" i="25"/>
  <c r="V12" i="25"/>
  <c r="T12" i="25"/>
  <c r="S12" i="25"/>
  <c r="R12" i="25"/>
  <c r="Q12" i="25"/>
  <c r="P12" i="25"/>
  <c r="O12" i="25"/>
  <c r="M12" i="25"/>
  <c r="BY11" i="25"/>
  <c r="BX11" i="25"/>
  <c r="BW11" i="25"/>
  <c r="BV11" i="25"/>
  <c r="BS11" i="25"/>
  <c r="BR11" i="25"/>
  <c r="BQ11" i="25"/>
  <c r="BP11" i="25"/>
  <c r="BL11" i="25"/>
  <c r="BH11" i="25"/>
  <c r="BG11" i="25"/>
  <c r="BF11" i="25"/>
  <c r="BE11" i="25"/>
  <c r="BD11" i="25"/>
  <c r="BB11" i="25"/>
  <c r="BA11" i="25"/>
  <c r="AZ11" i="25"/>
  <c r="AY11" i="25"/>
  <c r="AX11" i="25"/>
  <c r="AW11" i="25"/>
  <c r="AU11" i="25"/>
  <c r="AQ11" i="25"/>
  <c r="AP11" i="25"/>
  <c r="AO11" i="25"/>
  <c r="AN11" i="25"/>
  <c r="AM11" i="25"/>
  <c r="AK11" i="25"/>
  <c r="AJ11" i="25"/>
  <c r="AI11" i="25"/>
  <c r="AH11" i="25"/>
  <c r="AG11" i="25"/>
  <c r="AF11" i="25"/>
  <c r="AD11" i="25"/>
  <c r="Z11" i="25"/>
  <c r="Y11" i="25"/>
  <c r="X11" i="25"/>
  <c r="W11" i="25"/>
  <c r="V11" i="25"/>
  <c r="T11" i="25"/>
  <c r="S11" i="25"/>
  <c r="R11" i="25"/>
  <c r="Q11" i="25"/>
  <c r="P11" i="25"/>
  <c r="O11" i="25"/>
  <c r="M11" i="25"/>
  <c r="BY10" i="25"/>
  <c r="BX10" i="25"/>
  <c r="BW10" i="25"/>
  <c r="BV10" i="25"/>
  <c r="BS10" i="25"/>
  <c r="BR10" i="25"/>
  <c r="BQ10" i="25"/>
  <c r="BP10" i="25"/>
  <c r="BL10" i="25"/>
  <c r="BH10" i="25"/>
  <c r="BG10" i="25"/>
  <c r="BF10" i="25"/>
  <c r="BE10" i="25"/>
  <c r="BD10" i="25"/>
  <c r="BB10" i="25"/>
  <c r="BA10" i="25"/>
  <c r="AZ10" i="25"/>
  <c r="AY10" i="25"/>
  <c r="AX10" i="25"/>
  <c r="AW10" i="25"/>
  <c r="AU10" i="25"/>
  <c r="AQ10" i="25"/>
  <c r="AP10" i="25"/>
  <c r="AO10" i="25"/>
  <c r="AN10" i="25"/>
  <c r="AM10" i="25"/>
  <c r="AK10" i="25"/>
  <c r="AJ10" i="25"/>
  <c r="AI10" i="25"/>
  <c r="AH10" i="25"/>
  <c r="AG10" i="25"/>
  <c r="AF10" i="25"/>
  <c r="AD10" i="25"/>
  <c r="Z10" i="25"/>
  <c r="Y10" i="25"/>
  <c r="X10" i="25"/>
  <c r="W10" i="25"/>
  <c r="V10" i="25"/>
  <c r="T10" i="25"/>
  <c r="S10" i="25"/>
  <c r="R10" i="25"/>
  <c r="Q10" i="25"/>
  <c r="P10" i="25"/>
  <c r="O10" i="25"/>
  <c r="M10" i="25"/>
  <c r="BY9" i="25"/>
  <c r="BX9" i="25"/>
  <c r="BW9" i="25"/>
  <c r="BV9" i="25"/>
  <c r="BU9" i="25"/>
  <c r="BS9" i="25"/>
  <c r="BR9" i="25"/>
  <c r="BQ9" i="25"/>
  <c r="BP9" i="25"/>
  <c r="BO9" i="25"/>
  <c r="BN9" i="25"/>
  <c r="BL9" i="25"/>
  <c r="BJ9" i="25" s="1"/>
  <c r="BH9" i="25"/>
  <c r="BG9" i="25"/>
  <c r="BF9" i="25"/>
  <c r="BE9" i="25"/>
  <c r="BB9" i="25"/>
  <c r="BA9" i="25"/>
  <c r="AZ9" i="25"/>
  <c r="AY9" i="25"/>
  <c r="AU9" i="25"/>
  <c r="AS9" i="25" s="1"/>
  <c r="AQ9" i="25"/>
  <c r="AP9" i="25"/>
  <c r="AO9" i="25"/>
  <c r="AN9" i="25"/>
  <c r="AK9" i="25"/>
  <c r="AJ9" i="25"/>
  <c r="AI9" i="25"/>
  <c r="AH9" i="25"/>
  <c r="Z9" i="25"/>
  <c r="Y9" i="25"/>
  <c r="X9" i="25"/>
  <c r="W9" i="25"/>
  <c r="T9" i="25"/>
  <c r="S9" i="25"/>
  <c r="R9" i="25"/>
  <c r="Q9" i="25"/>
  <c r="EE235" i="20"/>
  <c r="EG235" i="20"/>
  <c r="EG233" i="20" s="1"/>
  <c r="BR231" i="25" s="1"/>
  <c r="EH235" i="20"/>
  <c r="EH233" i="20" s="1"/>
  <c r="BS231" i="25" s="1"/>
  <c r="CU235" i="20"/>
  <c r="CU233" i="20" s="1"/>
  <c r="CW235" i="20"/>
  <c r="CW233" i="20" s="1"/>
  <c r="CX235" i="20"/>
  <c r="CX233" i="20" s="1"/>
  <c r="U23" i="22"/>
  <c r="U25" i="22"/>
  <c r="EE233" i="20"/>
  <c r="BP231" i="25" s="1"/>
  <c r="S236" i="20"/>
  <c r="R236" i="20"/>
  <c r="Q236" i="20"/>
  <c r="P236" i="20"/>
  <c r="M236" i="20"/>
  <c r="L236" i="20"/>
  <c r="J236" i="20"/>
  <c r="S39" i="20"/>
  <c r="R39" i="20"/>
  <c r="Q39" i="20"/>
  <c r="P39" i="20"/>
  <c r="M39" i="20"/>
  <c r="L39" i="20"/>
  <c r="K39" i="20"/>
  <c r="J39" i="20"/>
  <c r="S30" i="20"/>
  <c r="R30" i="20"/>
  <c r="Q30" i="20"/>
  <c r="P30" i="20"/>
  <c r="M30" i="20"/>
  <c r="L30" i="20"/>
  <c r="K30" i="20"/>
  <c r="J30" i="20"/>
  <c r="S23" i="20"/>
  <c r="R23" i="20"/>
  <c r="Q23" i="20"/>
  <c r="P23" i="20"/>
  <c r="M23" i="20"/>
  <c r="L23" i="20"/>
  <c r="K23" i="20"/>
  <c r="J23" i="20"/>
  <c r="S17" i="20"/>
  <c r="R17" i="20"/>
  <c r="Q17" i="20"/>
  <c r="P17" i="20"/>
  <c r="M17" i="20"/>
  <c r="L17" i="20"/>
  <c r="K17" i="20"/>
  <c r="J17" i="20"/>
  <c r="S11" i="20"/>
  <c r="R11" i="20"/>
  <c r="Q11" i="20"/>
  <c r="P11" i="20"/>
  <c r="M11" i="20"/>
  <c r="L11" i="20"/>
  <c r="K11" i="20"/>
  <c r="J11" i="20"/>
  <c r="EJ236" i="20"/>
  <c r="BU234" i="25" s="1"/>
  <c r="CZ236" i="20"/>
  <c r="BD234" i="25" s="1"/>
  <c r="BP236" i="20"/>
  <c r="DY218" i="20"/>
  <c r="CO218" i="20"/>
  <c r="U218" i="20"/>
  <c r="DY217" i="20"/>
  <c r="CO217" i="20"/>
  <c r="U217" i="20"/>
  <c r="DY216" i="20"/>
  <c r="CO216" i="20"/>
  <c r="U216" i="20"/>
  <c r="DY215" i="20"/>
  <c r="CO215" i="20"/>
  <c r="U215" i="20"/>
  <c r="DY214" i="20"/>
  <c r="CO214" i="20"/>
  <c r="U214" i="20"/>
  <c r="DY213" i="20"/>
  <c r="CO213" i="20"/>
  <c r="U213" i="20"/>
  <c r="DY212" i="20"/>
  <c r="CO212" i="20"/>
  <c r="U212" i="20"/>
  <c r="DY211" i="20"/>
  <c r="CO211" i="20"/>
  <c r="U211" i="20"/>
  <c r="DY210" i="20"/>
  <c r="CO210" i="20"/>
  <c r="BX210" i="20"/>
  <c r="BW210" i="20"/>
  <c r="BV210" i="20"/>
  <c r="U210" i="20"/>
  <c r="DY209" i="20"/>
  <c r="CO209" i="20"/>
  <c r="U209" i="20"/>
  <c r="EB110" i="20"/>
  <c r="BM108" i="25" s="1"/>
  <c r="ES109" i="20"/>
  <c r="EN109" i="20"/>
  <c r="EM109" i="20"/>
  <c r="EL109" i="20"/>
  <c r="EK109" i="20"/>
  <c r="EJ109" i="20"/>
  <c r="EH109" i="20"/>
  <c r="EG109" i="20"/>
  <c r="EF109" i="20"/>
  <c r="EE109" i="20"/>
  <c r="ED109" i="20"/>
  <c r="EC109" i="20"/>
  <c r="DY109" i="20"/>
  <c r="EA109" i="20" s="1"/>
  <c r="DI109" i="20"/>
  <c r="CO109" i="20"/>
  <c r="CQ109" i="20" s="1"/>
  <c r="BY109" i="20"/>
  <c r="BE109" i="20"/>
  <c r="BG109" i="20" s="1"/>
  <c r="AO109" i="20"/>
  <c r="U109" i="20"/>
  <c r="W109" i="20" s="1"/>
  <c r="W118" i="20" s="1"/>
  <c r="M116" i="25" s="1"/>
  <c r="EB108" i="20"/>
  <c r="CR108" i="20"/>
  <c r="BH108" i="20"/>
  <c r="X108" i="20"/>
  <c r="ES98" i="20"/>
  <c r="DY98" i="20"/>
  <c r="EA98" i="20" s="1"/>
  <c r="EA99" i="20" s="1"/>
  <c r="BL97" i="25" s="1"/>
  <c r="DI98" i="20"/>
  <c r="CO98" i="20"/>
  <c r="CQ98" i="20" s="1"/>
  <c r="BY98" i="20"/>
  <c r="BE98" i="20"/>
  <c r="BG98" i="20" s="1"/>
  <c r="AO98" i="20"/>
  <c r="U98" i="20"/>
  <c r="W98" i="20" s="1"/>
  <c r="W102" i="20" s="1"/>
  <c r="EJ45" i="20"/>
  <c r="ED45" i="20"/>
  <c r="BO43" i="25" s="1"/>
  <c r="EC45" i="20"/>
  <c r="BN43" i="25" s="1"/>
  <c r="EJ44" i="20"/>
  <c r="BU42" i="25" s="1"/>
  <c r="ED44" i="20"/>
  <c r="BO42" i="25" s="1"/>
  <c r="EC44" i="20"/>
  <c r="EJ43" i="20"/>
  <c r="BU41" i="25" s="1"/>
  <c r="ED43" i="20"/>
  <c r="BO41" i="25" s="1"/>
  <c r="EC43" i="20"/>
  <c r="BN41" i="25" s="1"/>
  <c r="EJ40" i="20"/>
  <c r="BU38" i="25" s="1"/>
  <c r="ED40" i="20"/>
  <c r="EC40" i="20"/>
  <c r="BN38" i="25" s="1"/>
  <c r="EJ28" i="20"/>
  <c r="BU26" i="25" s="1"/>
  <c r="ED28" i="20"/>
  <c r="BO26" i="25" s="1"/>
  <c r="EC28" i="20"/>
  <c r="BN26" i="25" s="1"/>
  <c r="EJ27" i="20"/>
  <c r="BU25" i="25" s="1"/>
  <c r="ED27" i="20"/>
  <c r="BO25" i="25" s="1"/>
  <c r="EC27" i="20"/>
  <c r="BN25" i="25" s="1"/>
  <c r="EJ26" i="20"/>
  <c r="BU24" i="25" s="1"/>
  <c r="ED26" i="20"/>
  <c r="BO24" i="25" s="1"/>
  <c r="EC26" i="20"/>
  <c r="EJ25" i="20"/>
  <c r="BU23" i="25" s="1"/>
  <c r="ED25" i="20"/>
  <c r="BO23" i="25" s="1"/>
  <c r="EC25" i="20"/>
  <c r="BN23" i="25" s="1"/>
  <c r="EJ24" i="20"/>
  <c r="BU22" i="25" s="1"/>
  <c r="ED24" i="20"/>
  <c r="BO22" i="25" s="1"/>
  <c r="EC24" i="20"/>
  <c r="BN22" i="25" s="1"/>
  <c r="EJ21" i="20"/>
  <c r="BU19" i="25" s="1"/>
  <c r="ED21" i="20"/>
  <c r="BO19" i="25" s="1"/>
  <c r="EC21" i="20"/>
  <c r="BN19" i="25" s="1"/>
  <c r="EJ20" i="20"/>
  <c r="BU18" i="25" s="1"/>
  <c r="ED20" i="20"/>
  <c r="BO18" i="25" s="1"/>
  <c r="EC20" i="20"/>
  <c r="BN18" i="25" s="1"/>
  <c r="EJ19" i="20"/>
  <c r="BU17" i="25" s="1"/>
  <c r="ED19" i="20"/>
  <c r="BO17" i="25" s="1"/>
  <c r="EC19" i="20"/>
  <c r="BN17" i="25" s="1"/>
  <c r="EJ18" i="20"/>
  <c r="BU16" i="25" s="1"/>
  <c r="ED18" i="20"/>
  <c r="BO16" i="25" s="1"/>
  <c r="EC18" i="20"/>
  <c r="BN16" i="25" s="1"/>
  <c r="EJ15" i="20"/>
  <c r="BU13" i="25" s="1"/>
  <c r="ED15" i="20"/>
  <c r="BO13" i="25" s="1"/>
  <c r="EC15" i="20"/>
  <c r="EJ14" i="20"/>
  <c r="BU12" i="25" s="1"/>
  <c r="ED14" i="20"/>
  <c r="BO12" i="25" s="1"/>
  <c r="EC14" i="20"/>
  <c r="EJ13" i="20"/>
  <c r="ED13" i="20"/>
  <c r="BO11" i="25" s="1"/>
  <c r="EC13" i="20"/>
  <c r="BN11" i="25" s="1"/>
  <c r="EJ12" i="20"/>
  <c r="BU10" i="25" s="1"/>
  <c r="ED12" i="20"/>
  <c r="BO10" i="25" s="1"/>
  <c r="EC12" i="20"/>
  <c r="BN10" i="25" s="1"/>
  <c r="EB10" i="20"/>
  <c r="CR10" i="20"/>
  <c r="BH10" i="20"/>
  <c r="X10" i="20"/>
  <c r="H2293" i="11"/>
  <c r="H2243" i="11"/>
  <c r="H2244" i="11"/>
  <c r="H2245" i="11"/>
  <c r="H2246" i="11"/>
  <c r="A229" i="25"/>
  <c r="A228" i="25"/>
  <c r="A227" i="25"/>
  <c r="A226" i="25"/>
  <c r="A225" i="25"/>
  <c r="A121" i="25"/>
  <c r="A122" i="25"/>
  <c r="A123" i="25"/>
  <c r="A124" i="25"/>
  <c r="A125" i="25"/>
  <c r="A126" i="25"/>
  <c r="A127" i="25"/>
  <c r="A128" i="25"/>
  <c r="A120" i="25"/>
  <c r="ES208" i="20"/>
  <c r="DI208" i="20"/>
  <c r="CB208" i="20"/>
  <c r="CA208" i="20"/>
  <c r="BZ208" i="20"/>
  <c r="BY208" i="20"/>
  <c r="BJ208" i="20"/>
  <c r="BI208" i="20"/>
  <c r="AW208" i="20"/>
  <c r="CH208" i="20"/>
  <c r="DQ208" i="20"/>
  <c r="H210" i="16"/>
  <c r="H209" i="16"/>
  <c r="H208" i="16"/>
  <c r="H207" i="16"/>
  <c r="H206" i="16"/>
  <c r="H205" i="16"/>
  <c r="H204" i="16"/>
  <c r="H203" i="16"/>
  <c r="H200" i="16"/>
  <c r="H199" i="16"/>
  <c r="H198" i="16"/>
  <c r="H197" i="16"/>
  <c r="H196" i="16"/>
  <c r="H193" i="16"/>
  <c r="H190" i="16"/>
  <c r="H189" i="16"/>
  <c r="H188" i="16"/>
  <c r="H187" i="16"/>
  <c r="H186" i="16"/>
  <c r="H185" i="16"/>
  <c r="H184" i="16"/>
  <c r="H789" i="17"/>
  <c r="H788" i="17"/>
  <c r="H787" i="17"/>
  <c r="H786" i="17"/>
  <c r="H785" i="17"/>
  <c r="H784" i="17"/>
  <c r="H783" i="17"/>
  <c r="H782" i="17"/>
  <c r="H781" i="17"/>
  <c r="H780" i="17"/>
  <c r="H779" i="17"/>
  <c r="H778" i="17"/>
  <c r="H777" i="17"/>
  <c r="H776" i="17"/>
  <c r="H775" i="17"/>
  <c r="H774" i="17"/>
  <c r="H773" i="17"/>
  <c r="H772" i="17"/>
  <c r="H771" i="17"/>
  <c r="H770" i="17"/>
  <c r="H769" i="17"/>
  <c r="H768" i="17"/>
  <c r="H767" i="17"/>
  <c r="H766" i="17"/>
  <c r="H765" i="17"/>
  <c r="H764" i="17"/>
  <c r="H763" i="17"/>
  <c r="H762" i="17"/>
  <c r="H759" i="17"/>
  <c r="H758" i="17"/>
  <c r="H757" i="17"/>
  <c r="H756" i="17"/>
  <c r="H755" i="17"/>
  <c r="H754" i="17"/>
  <c r="H751" i="17"/>
  <c r="H750" i="17"/>
  <c r="H749" i="17"/>
  <c r="H748" i="17"/>
  <c r="H747" i="17"/>
  <c r="H744" i="17"/>
  <c r="H743" i="17"/>
  <c r="H742" i="17"/>
  <c r="H741" i="17"/>
  <c r="H740" i="17"/>
  <c r="H739" i="17"/>
  <c r="H738" i="17"/>
  <c r="H737" i="17"/>
  <c r="H736" i="17"/>
  <c r="H735" i="17"/>
  <c r="H729" i="17"/>
  <c r="H728" i="17"/>
  <c r="H727" i="17"/>
  <c r="H726" i="17"/>
  <c r="H725" i="17"/>
  <c r="H724" i="17"/>
  <c r="H723" i="17"/>
  <c r="H722" i="17"/>
  <c r="H721" i="17"/>
  <c r="H720" i="17"/>
  <c r="H719" i="17"/>
  <c r="H716" i="17"/>
  <c r="H715" i="17"/>
  <c r="H712" i="17"/>
  <c r="H709" i="17"/>
  <c r="H708" i="17"/>
  <c r="H707" i="17"/>
  <c r="H706" i="17"/>
  <c r="H705" i="17"/>
  <c r="H704" i="17"/>
  <c r="H703" i="17"/>
  <c r="H702" i="17"/>
  <c r="H701" i="17"/>
  <c r="H695" i="17"/>
  <c r="H694" i="17"/>
  <c r="H691" i="17"/>
  <c r="H690" i="17"/>
  <c r="H689" i="17"/>
  <c r="H688" i="17"/>
  <c r="H687" i="17"/>
  <c r="H686" i="17"/>
  <c r="H685" i="17"/>
  <c r="H684" i="17"/>
  <c r="H683" i="17"/>
  <c r="H680" i="17"/>
  <c r="H677" i="17"/>
  <c r="H676" i="17"/>
  <c r="H675" i="17"/>
  <c r="H672" i="17"/>
  <c r="H671" i="17"/>
  <c r="H670" i="17"/>
  <c r="H669" i="17"/>
  <c r="H668" i="17"/>
  <c r="H667" i="17"/>
  <c r="H666" i="17"/>
  <c r="H665" i="17"/>
  <c r="H664" i="17"/>
  <c r="BX218" i="20"/>
  <c r="BW218" i="20"/>
  <c r="BV218" i="20"/>
  <c r="BX217" i="20"/>
  <c r="BW217" i="20"/>
  <c r="BV217" i="20"/>
  <c r="BX216" i="20"/>
  <c r="BW216" i="20"/>
  <c r="BV216" i="20"/>
  <c r="H1850" i="11"/>
  <c r="H1849" i="11"/>
  <c r="H1848" i="11"/>
  <c r="H1847" i="11"/>
  <c r="H1846" i="11"/>
  <c r="H1845" i="11"/>
  <c r="H1844" i="11"/>
  <c r="H1843" i="11"/>
  <c r="H1842" i="11"/>
  <c r="H1841" i="11"/>
  <c r="H1840" i="11"/>
  <c r="H1839" i="11"/>
  <c r="H1838" i="11"/>
  <c r="H1837" i="11"/>
  <c r="H1834" i="11"/>
  <c r="H1833" i="11"/>
  <c r="H1832" i="11"/>
  <c r="H1829" i="11"/>
  <c r="H1828" i="11"/>
  <c r="H1827" i="11"/>
  <c r="H1826" i="11"/>
  <c r="H1825" i="11"/>
  <c r="H1824" i="11"/>
  <c r="H1821" i="11"/>
  <c r="H1820" i="11"/>
  <c r="H1817" i="11"/>
  <c r="H1816" i="11"/>
  <c r="H1815" i="11"/>
  <c r="H1812" i="11"/>
  <c r="H1811" i="11"/>
  <c r="H1809" i="11"/>
  <c r="H1808" i="11"/>
  <c r="H1805" i="11"/>
  <c r="H1804" i="11"/>
  <c r="H1803" i="11"/>
  <c r="H1802" i="11"/>
  <c r="H1799" i="11"/>
  <c r="H1798" i="11"/>
  <c r="H1795" i="11"/>
  <c r="H1794" i="11"/>
  <c r="H1793" i="11"/>
  <c r="H1792" i="11"/>
  <c r="H1791" i="11"/>
  <c r="H1788" i="11"/>
  <c r="H1787" i="11"/>
  <c r="H1786" i="11"/>
  <c r="H1785" i="11"/>
  <c r="H1782" i="11"/>
  <c r="H1781" i="11"/>
  <c r="H1780" i="11"/>
  <c r="H1777" i="11"/>
  <c r="H1776" i="11"/>
  <c r="H1775" i="11"/>
  <c r="H1772" i="11"/>
  <c r="H1771" i="11"/>
  <c r="H1768" i="11"/>
  <c r="H1767" i="11"/>
  <c r="H1766" i="11"/>
  <c r="H1765" i="11"/>
  <c r="H1762" i="11"/>
  <c r="H1761" i="11"/>
  <c r="H1758" i="11"/>
  <c r="H1757" i="11"/>
  <c r="H1756" i="11"/>
  <c r="H1753" i="11"/>
  <c r="H1752" i="11"/>
  <c r="H1751" i="11"/>
  <c r="H1750" i="11"/>
  <c r="H1749" i="11"/>
  <c r="H1748" i="11"/>
  <c r="H1743" i="11"/>
  <c r="H1742" i="11"/>
  <c r="H1741" i="11"/>
  <c r="H1740" i="11"/>
  <c r="H1739" i="11"/>
  <c r="H1738" i="11"/>
  <c r="H1737" i="11"/>
  <c r="H1736" i="11"/>
  <c r="H1735" i="11"/>
  <c r="H1734" i="11"/>
  <c r="H1733" i="11"/>
  <c r="H1732" i="11"/>
  <c r="H1731" i="11"/>
  <c r="H1730" i="11"/>
  <c r="H1727" i="11"/>
  <c r="H1726" i="11"/>
  <c r="H1725" i="11"/>
  <c r="H1722" i="11"/>
  <c r="H1721" i="11"/>
  <c r="H1720" i="11"/>
  <c r="H1719" i="11"/>
  <c r="H1718" i="11"/>
  <c r="H1717" i="11"/>
  <c r="H1714" i="11"/>
  <c r="H1713" i="11"/>
  <c r="H1710" i="11"/>
  <c r="H1709" i="11"/>
  <c r="H1708" i="11"/>
  <c r="H1705" i="11"/>
  <c r="H1704" i="11"/>
  <c r="H1702" i="11"/>
  <c r="H1701" i="11"/>
  <c r="H1698" i="11"/>
  <c r="H1697" i="11"/>
  <c r="H1696" i="11"/>
  <c r="H1695" i="11"/>
  <c r="H1692" i="11"/>
  <c r="H1691" i="11"/>
  <c r="H1688" i="11"/>
  <c r="H1687" i="11"/>
  <c r="H1686" i="11"/>
  <c r="H1685" i="11"/>
  <c r="H1684" i="11"/>
  <c r="H1681" i="11"/>
  <c r="H1680" i="11"/>
  <c r="H1679" i="11"/>
  <c r="H1678" i="11"/>
  <c r="H1675" i="11"/>
  <c r="H1674" i="11"/>
  <c r="H1673" i="11"/>
  <c r="H1670" i="11"/>
  <c r="H1669" i="11"/>
  <c r="H1668" i="11"/>
  <c r="H1665" i="11"/>
  <c r="H1664" i="11"/>
  <c r="H1661" i="11"/>
  <c r="H1660" i="11"/>
  <c r="H1659" i="11"/>
  <c r="H1658" i="11"/>
  <c r="H1655" i="11"/>
  <c r="H1654" i="11"/>
  <c r="H1651" i="11"/>
  <c r="H1650" i="11"/>
  <c r="H1649" i="11"/>
  <c r="H1646" i="11"/>
  <c r="H1645" i="11"/>
  <c r="H1644" i="11"/>
  <c r="H1643" i="11"/>
  <c r="H1642" i="11"/>
  <c r="H1641" i="11"/>
  <c r="H1636" i="11"/>
  <c r="H1635" i="11"/>
  <c r="H1634" i="11"/>
  <c r="H1633" i="11"/>
  <c r="H1632" i="11"/>
  <c r="H1631" i="11"/>
  <c r="H1630" i="11"/>
  <c r="H1629" i="11"/>
  <c r="H1628" i="11"/>
  <c r="H1627" i="11"/>
  <c r="H1626" i="11"/>
  <c r="H1625" i="11"/>
  <c r="H1624" i="11"/>
  <c r="H1623" i="11"/>
  <c r="H1620" i="11"/>
  <c r="H1619" i="11"/>
  <c r="H1618" i="11"/>
  <c r="H1615" i="11"/>
  <c r="H1614" i="11"/>
  <c r="H1613" i="11"/>
  <c r="H1612" i="11"/>
  <c r="H1611" i="11"/>
  <c r="H1610" i="11"/>
  <c r="H1607" i="11"/>
  <c r="H1606" i="11"/>
  <c r="H1603" i="11"/>
  <c r="H1602" i="11"/>
  <c r="H1601" i="11"/>
  <c r="H1598" i="11"/>
  <c r="H1597" i="11"/>
  <c r="H1595" i="11"/>
  <c r="H1594" i="11"/>
  <c r="H1591" i="11"/>
  <c r="H1590" i="11"/>
  <c r="H1589" i="11"/>
  <c r="H1588" i="11"/>
  <c r="H1585" i="11"/>
  <c r="H1584" i="11"/>
  <c r="H1581" i="11"/>
  <c r="H1580" i="11"/>
  <c r="H1579" i="11"/>
  <c r="H1578" i="11"/>
  <c r="H1577" i="11"/>
  <c r="H1574" i="11"/>
  <c r="H1573" i="11"/>
  <c r="H1572" i="11"/>
  <c r="H1571" i="11"/>
  <c r="H1568" i="11"/>
  <c r="H1567" i="11"/>
  <c r="H1566" i="11"/>
  <c r="H1563" i="11"/>
  <c r="H1562" i="11"/>
  <c r="H1561" i="11"/>
  <c r="H1558" i="11"/>
  <c r="H1557" i="11"/>
  <c r="H1554" i="11"/>
  <c r="H1553" i="11"/>
  <c r="H1552" i="11"/>
  <c r="H1551" i="11"/>
  <c r="H1548" i="11"/>
  <c r="H1547" i="11"/>
  <c r="H1544" i="11"/>
  <c r="H1543" i="11"/>
  <c r="H1542" i="11"/>
  <c r="H1539" i="11"/>
  <c r="H1538" i="11"/>
  <c r="H1537" i="11"/>
  <c r="H1536" i="11"/>
  <c r="H1535" i="11"/>
  <c r="H1534" i="11"/>
  <c r="H534" i="11"/>
  <c r="H1936" i="11"/>
  <c r="H1935" i="11"/>
  <c r="H1892" i="11"/>
  <c r="H527" i="11"/>
  <c r="H528" i="11"/>
  <c r="CO208" i="20"/>
  <c r="CQ208" i="20" s="1"/>
  <c r="DY208" i="20"/>
  <c r="EA208" i="20" s="1"/>
  <c r="EA218" i="20" s="1"/>
  <c r="BL216" i="25" s="1"/>
  <c r="H331" i="17"/>
  <c r="H732" i="11"/>
  <c r="H729" i="11"/>
  <c r="H728" i="11"/>
  <c r="H727" i="11"/>
  <c r="H726" i="11"/>
  <c r="H725" i="11"/>
  <c r="H724" i="11"/>
  <c r="H723" i="11"/>
  <c r="H722" i="11"/>
  <c r="H721" i="11"/>
  <c r="H718" i="11"/>
  <c r="H717" i="11"/>
  <c r="H714" i="11"/>
  <c r="H713" i="11"/>
  <c r="H710" i="11"/>
  <c r="H709" i="11"/>
  <c r="H707" i="11"/>
  <c r="H706" i="11"/>
  <c r="H705" i="11"/>
  <c r="H704" i="11"/>
  <c r="H700" i="11"/>
  <c r="H699" i="11"/>
  <c r="H698" i="11"/>
  <c r="H697" i="11"/>
  <c r="H696" i="11"/>
  <c r="H695" i="11"/>
  <c r="H694" i="11"/>
  <c r="H693" i="11"/>
  <c r="H690" i="11"/>
  <c r="H688" i="11"/>
  <c r="H680" i="11"/>
  <c r="H679" i="11"/>
  <c r="H678" i="11"/>
  <c r="H675" i="11"/>
  <c r="H671" i="11"/>
  <c r="H670" i="11"/>
  <c r="H669" i="11"/>
  <c r="H668" i="11"/>
  <c r="H667" i="11"/>
  <c r="H666" i="11"/>
  <c r="H665" i="11"/>
  <c r="H664" i="11"/>
  <c r="H661" i="11"/>
  <c r="H660" i="11"/>
  <c r="H659" i="11"/>
  <c r="H658" i="11"/>
  <c r="H657" i="11"/>
  <c r="H656" i="11"/>
  <c r="H655" i="11"/>
  <c r="H654" i="11"/>
  <c r="H653" i="11"/>
  <c r="H650" i="11"/>
  <c r="H648" i="11"/>
  <c r="H647" i="11"/>
  <c r="H646" i="11"/>
  <c r="H645" i="11"/>
  <c r="H644" i="11"/>
  <c r="H643" i="11"/>
  <c r="H642" i="11"/>
  <c r="H641" i="11"/>
  <c r="H640" i="11"/>
  <c r="H637" i="11"/>
  <c r="H636" i="11"/>
  <c r="H2295" i="11"/>
  <c r="H2296" i="11"/>
  <c r="H2297" i="11"/>
  <c r="H2298" i="11"/>
  <c r="H2294" i="11"/>
  <c r="H2292" i="11"/>
  <c r="H2291" i="11"/>
  <c r="H2290" i="11"/>
  <c r="H2289" i="11"/>
  <c r="H2242" i="11"/>
  <c r="H374" i="11"/>
  <c r="H331" i="11"/>
  <c r="BI11" i="20"/>
  <c r="AF9" i="25" s="1"/>
  <c r="BJ11" i="20"/>
  <c r="BH12" i="20"/>
  <c r="AE10" i="25" s="1"/>
  <c r="BH13" i="20"/>
  <c r="AE11" i="25" s="1"/>
  <c r="BH14" i="20"/>
  <c r="AE12" i="25" s="1"/>
  <c r="BH15" i="20"/>
  <c r="AE13" i="25" s="1"/>
  <c r="BJ17" i="20"/>
  <c r="AG15" i="25" s="1"/>
  <c r="BH18" i="20"/>
  <c r="AE16" i="25" s="1"/>
  <c r="BH19" i="20"/>
  <c r="AE17" i="25" s="1"/>
  <c r="BH20" i="20"/>
  <c r="AE18" i="25" s="1"/>
  <c r="BH21" i="20"/>
  <c r="AE19" i="25" s="1"/>
  <c r="BH22" i="20"/>
  <c r="BH24" i="20"/>
  <c r="AE22" i="25" s="1"/>
  <c r="BH25" i="20"/>
  <c r="AE23" i="25" s="1"/>
  <c r="BH26" i="20"/>
  <c r="AE24" i="25" s="1"/>
  <c r="BH27" i="20"/>
  <c r="AE25" i="25" s="1"/>
  <c r="BH28" i="20"/>
  <c r="AE26" i="25" s="1"/>
  <c r="BH29" i="20"/>
  <c r="BJ30" i="20"/>
  <c r="BJ23" i="20" s="1"/>
  <c r="AG21" i="25" s="1"/>
  <c r="BH31" i="20"/>
  <c r="AE29" i="25" s="1"/>
  <c r="BH32" i="20"/>
  <c r="AE30" i="25" s="1"/>
  <c r="BH33" i="20"/>
  <c r="AE31" i="25" s="1"/>
  <c r="BH34" i="20"/>
  <c r="AE32" i="25" s="1"/>
  <c r="BH35" i="20"/>
  <c r="AE33" i="25" s="1"/>
  <c r="BH36" i="20"/>
  <c r="AE34" i="25" s="1"/>
  <c r="BH37" i="20"/>
  <c r="AE35" i="25" s="1"/>
  <c r="BH38" i="20"/>
  <c r="BI39" i="20"/>
  <c r="AF37" i="25" s="1"/>
  <c r="BJ39" i="20"/>
  <c r="AG37" i="25" s="1"/>
  <c r="BH40" i="20"/>
  <c r="AE38" i="25" s="1"/>
  <c r="BH41" i="20"/>
  <c r="AE39" i="25" s="1"/>
  <c r="BH42" i="20"/>
  <c r="AE40" i="25" s="1"/>
  <c r="BH43" i="20"/>
  <c r="AE41" i="25" s="1"/>
  <c r="BH44" i="20"/>
  <c r="AE42" i="25" s="1"/>
  <c r="BH45" i="20"/>
  <c r="AE43" i="25" s="1"/>
  <c r="BH46" i="20"/>
  <c r="AE44" i="25" s="1"/>
  <c r="BH47" i="20"/>
  <c r="AE45" i="25" s="1"/>
  <c r="BH48" i="20"/>
  <c r="BH50" i="20"/>
  <c r="BH74" i="20"/>
  <c r="BH85" i="20"/>
  <c r="BH97" i="20"/>
  <c r="BH120" i="20"/>
  <c r="BH131" i="20"/>
  <c r="BH143" i="20"/>
  <c r="BK146" i="20"/>
  <c r="BL146" i="20" s="1"/>
  <c r="BM146" i="20" s="1"/>
  <c r="AJ144" i="25" s="1"/>
  <c r="BK147" i="20"/>
  <c r="AH145" i="25" s="1"/>
  <c r="BK148" i="20"/>
  <c r="AH146" i="25" s="1"/>
  <c r="BK149" i="20"/>
  <c r="AH147" i="25" s="1"/>
  <c r="BK153" i="20"/>
  <c r="AH151" i="25" s="1"/>
  <c r="BK157" i="20"/>
  <c r="BK161" i="20"/>
  <c r="AH159" i="25" s="1"/>
  <c r="BK165" i="20"/>
  <c r="BK169" i="20"/>
  <c r="AH167" i="25" s="1"/>
  <c r="BK173" i="20"/>
  <c r="BK177" i="20"/>
  <c r="AH175" i="25" s="1"/>
  <c r="BK181" i="20"/>
  <c r="BK185" i="20"/>
  <c r="BL185" i="20" s="1"/>
  <c r="AI183" i="25" s="1"/>
  <c r="BK189" i="20"/>
  <c r="BK193" i="20"/>
  <c r="BL193" i="20" s="1"/>
  <c r="AI191" i="25" s="1"/>
  <c r="BH197" i="20"/>
  <c r="BH202" i="20"/>
  <c r="BH207" i="20"/>
  <c r="BH219" i="20"/>
  <c r="BH225" i="20"/>
  <c r="BH232" i="20"/>
  <c r="BH234" i="20"/>
  <c r="BH237" i="20"/>
  <c r="AE241" i="25"/>
  <c r="AE242" i="25"/>
  <c r="AE243" i="25"/>
  <c r="AE244" i="25"/>
  <c r="AE245" i="25"/>
  <c r="AE246" i="25"/>
  <c r="AE247" i="25"/>
  <c r="H338" i="11"/>
  <c r="H339" i="11"/>
  <c r="H340" i="11"/>
  <c r="H814" i="17"/>
  <c r="H416" i="12"/>
  <c r="H332" i="11"/>
  <c r="H380" i="11"/>
  <c r="H223" i="17"/>
  <c r="H801" i="12"/>
  <c r="H984" i="17"/>
  <c r="H982" i="17"/>
  <c r="U226" i="20"/>
  <c r="W226" i="20" s="1"/>
  <c r="H533" i="11"/>
  <c r="H532" i="11"/>
  <c r="H531" i="11"/>
  <c r="H530" i="11"/>
  <c r="H508" i="11"/>
  <c r="H507" i="11"/>
  <c r="H506" i="11"/>
  <c r="H505" i="11"/>
  <c r="H509" i="11"/>
  <c r="EB11" i="20"/>
  <c r="BM9" i="25" s="1"/>
  <c r="EB16" i="20"/>
  <c r="EB22" i="20"/>
  <c r="EB29" i="20"/>
  <c r="EB31" i="20"/>
  <c r="BM29" i="25" s="1"/>
  <c r="EB32" i="20"/>
  <c r="BM30" i="25" s="1"/>
  <c r="EB33" i="20"/>
  <c r="BM31" i="25" s="1"/>
  <c r="EB34" i="20"/>
  <c r="BM32" i="25" s="1"/>
  <c r="EB35" i="20"/>
  <c r="BM33" i="25" s="1"/>
  <c r="EB36" i="20"/>
  <c r="BM34" i="25" s="1"/>
  <c r="EB37" i="20"/>
  <c r="BM35" i="25" s="1"/>
  <c r="EB38" i="20"/>
  <c r="EB41" i="20"/>
  <c r="BM39" i="25" s="1"/>
  <c r="EB42" i="20"/>
  <c r="BM40" i="25" s="1"/>
  <c r="EB46" i="20"/>
  <c r="BM44" i="25" s="1"/>
  <c r="EB47" i="20"/>
  <c r="BM45" i="25" s="1"/>
  <c r="EB48" i="20"/>
  <c r="EB50" i="20"/>
  <c r="EB52" i="20"/>
  <c r="BM50" i="25" s="1"/>
  <c r="EB53" i="20"/>
  <c r="BM51" i="25" s="1"/>
  <c r="EB54" i="20"/>
  <c r="BM52" i="25" s="1"/>
  <c r="EB55" i="20"/>
  <c r="BM53" i="25" s="1"/>
  <c r="EB56" i="20"/>
  <c r="BM54" i="25" s="1"/>
  <c r="EB57" i="20"/>
  <c r="BM55" i="25" s="1"/>
  <c r="EB58" i="20"/>
  <c r="BM56" i="25" s="1"/>
  <c r="EB59" i="20"/>
  <c r="BM57" i="25" s="1"/>
  <c r="EB60" i="20"/>
  <c r="BM58" i="25" s="1"/>
  <c r="EB61" i="20"/>
  <c r="BM59" i="25" s="1"/>
  <c r="EB64" i="20"/>
  <c r="BM62" i="25" s="1"/>
  <c r="EB65" i="20"/>
  <c r="BM63" i="25" s="1"/>
  <c r="EB66" i="20"/>
  <c r="BM64" i="25" s="1"/>
  <c r="EB67" i="20"/>
  <c r="BM65" i="25" s="1"/>
  <c r="EB68" i="20"/>
  <c r="BM66" i="25" s="1"/>
  <c r="EB69" i="20"/>
  <c r="BM67" i="25" s="1"/>
  <c r="EB70" i="20"/>
  <c r="BM68" i="25" s="1"/>
  <c r="EB71" i="20"/>
  <c r="BM69" i="25" s="1"/>
  <c r="EB72" i="20"/>
  <c r="BM70" i="25" s="1"/>
  <c r="EB73" i="20"/>
  <c r="BM71" i="25" s="1"/>
  <c r="EB74" i="20"/>
  <c r="EB85" i="20"/>
  <c r="EB87" i="20"/>
  <c r="BM85" i="25" s="1"/>
  <c r="EB88" i="20"/>
  <c r="BM86" i="25" s="1"/>
  <c r="EB89" i="20"/>
  <c r="BM87" i="25" s="1"/>
  <c r="EB90" i="20"/>
  <c r="BM88" i="25" s="1"/>
  <c r="EB91" i="20"/>
  <c r="BM89" i="25" s="1"/>
  <c r="EB92" i="20"/>
  <c r="BM90" i="25" s="1"/>
  <c r="EB93" i="20"/>
  <c r="BM91" i="25" s="1"/>
  <c r="EB94" i="20"/>
  <c r="BM92" i="25" s="1"/>
  <c r="EB95" i="20"/>
  <c r="BM93" i="25" s="1"/>
  <c r="EB96" i="20"/>
  <c r="BM94" i="25" s="1"/>
  <c r="EB97" i="20"/>
  <c r="EB111" i="20"/>
  <c r="BM109" i="25" s="1"/>
  <c r="EB112" i="20"/>
  <c r="BM110" i="25" s="1"/>
  <c r="EB113" i="20"/>
  <c r="BM111" i="25" s="1"/>
  <c r="EB114" i="20"/>
  <c r="BM112" i="25" s="1"/>
  <c r="EB115" i="20"/>
  <c r="BM113" i="25" s="1"/>
  <c r="EB116" i="20"/>
  <c r="BM114" i="25" s="1"/>
  <c r="EB117" i="20"/>
  <c r="BM115" i="25" s="1"/>
  <c r="EB118" i="20"/>
  <c r="BM116" i="25" s="1"/>
  <c r="EB119" i="20"/>
  <c r="BM117" i="25" s="1"/>
  <c r="EB120" i="20"/>
  <c r="EB131" i="20"/>
  <c r="EB133" i="20"/>
  <c r="BM131" i="25" s="1"/>
  <c r="EB134" i="20"/>
  <c r="BM132" i="25" s="1"/>
  <c r="EB135" i="20"/>
  <c r="BM133" i="25" s="1"/>
  <c r="EB136" i="20"/>
  <c r="BM134" i="25" s="1"/>
  <c r="EB137" i="20"/>
  <c r="BM135" i="25" s="1"/>
  <c r="EB138" i="20"/>
  <c r="BM136" i="25" s="1"/>
  <c r="EB139" i="20"/>
  <c r="BM137" i="25" s="1"/>
  <c r="EB140" i="20"/>
  <c r="BM138" i="25" s="1"/>
  <c r="EB141" i="20"/>
  <c r="BM139" i="25" s="1"/>
  <c r="EB142" i="20"/>
  <c r="BM140" i="25" s="1"/>
  <c r="EB143" i="20"/>
  <c r="EB149" i="20"/>
  <c r="BM147" i="25" s="1"/>
  <c r="EB150" i="20"/>
  <c r="BM148" i="25" s="1"/>
  <c r="EB151" i="20"/>
  <c r="BM149" i="25" s="1"/>
  <c r="EB152" i="20"/>
  <c r="BM150" i="25" s="1"/>
  <c r="EB153" i="20"/>
  <c r="BM151" i="25" s="1"/>
  <c r="EB154" i="20"/>
  <c r="BM152" i="25" s="1"/>
  <c r="EB155" i="20"/>
  <c r="BM153" i="25" s="1"/>
  <c r="EB156" i="20"/>
  <c r="BM154" i="25" s="1"/>
  <c r="EB157" i="20"/>
  <c r="BM155" i="25" s="1"/>
  <c r="EB158" i="20"/>
  <c r="BM156" i="25" s="1"/>
  <c r="EB159" i="20"/>
  <c r="BM157" i="25" s="1"/>
  <c r="EB160" i="20"/>
  <c r="BM158" i="25" s="1"/>
  <c r="EB161" i="20"/>
  <c r="BM159" i="25" s="1"/>
  <c r="EB162" i="20"/>
  <c r="BM160" i="25" s="1"/>
  <c r="EB163" i="20"/>
  <c r="BM161" i="25" s="1"/>
  <c r="EB164" i="20"/>
  <c r="BM162" i="25" s="1"/>
  <c r="EB165" i="20"/>
  <c r="BM163" i="25" s="1"/>
  <c r="EB166" i="20"/>
  <c r="BM164" i="25" s="1"/>
  <c r="EB167" i="20"/>
  <c r="BM165" i="25" s="1"/>
  <c r="EB168" i="20"/>
  <c r="BM166" i="25" s="1"/>
  <c r="EB169" i="20"/>
  <c r="BM167" i="25" s="1"/>
  <c r="EB170" i="20"/>
  <c r="BM168" i="25" s="1"/>
  <c r="EB171" i="20"/>
  <c r="BM169" i="25" s="1"/>
  <c r="EB172" i="20"/>
  <c r="BM170" i="25" s="1"/>
  <c r="EB173" i="20"/>
  <c r="BM171" i="25" s="1"/>
  <c r="EB174" i="20"/>
  <c r="BM172" i="25" s="1"/>
  <c r="EB175" i="20"/>
  <c r="BM173" i="25" s="1"/>
  <c r="EB176" i="20"/>
  <c r="BM174" i="25" s="1"/>
  <c r="EB177" i="20"/>
  <c r="BM175" i="25" s="1"/>
  <c r="EB178" i="20"/>
  <c r="BM176" i="25" s="1"/>
  <c r="EB179" i="20"/>
  <c r="BM177" i="25" s="1"/>
  <c r="EB180" i="20"/>
  <c r="BM178" i="25" s="1"/>
  <c r="EB181" i="20"/>
  <c r="BM179" i="25" s="1"/>
  <c r="EB182" i="20"/>
  <c r="BM180" i="25" s="1"/>
  <c r="EB183" i="20"/>
  <c r="BM181" i="25" s="1"/>
  <c r="EB184" i="20"/>
  <c r="BM182" i="25" s="1"/>
  <c r="EB185" i="20"/>
  <c r="BM183" i="25" s="1"/>
  <c r="EB186" i="20"/>
  <c r="BM184" i="25" s="1"/>
  <c r="EB187" i="20"/>
  <c r="BM185" i="25" s="1"/>
  <c r="EB188" i="20"/>
  <c r="BM186" i="25" s="1"/>
  <c r="EB189" i="20"/>
  <c r="BM187" i="25" s="1"/>
  <c r="EB190" i="20"/>
  <c r="BM188" i="25" s="1"/>
  <c r="EB191" i="20"/>
  <c r="BM189" i="25" s="1"/>
  <c r="EB192" i="20"/>
  <c r="BM190" i="25" s="1"/>
  <c r="EB193" i="20"/>
  <c r="BM191" i="25" s="1"/>
  <c r="EB194" i="20"/>
  <c r="BM192" i="25" s="1"/>
  <c r="EB195" i="20"/>
  <c r="BM193" i="25" s="1"/>
  <c r="EB196" i="20"/>
  <c r="BM194" i="25" s="1"/>
  <c r="EB197" i="20"/>
  <c r="EB202" i="20"/>
  <c r="EB207" i="20"/>
  <c r="EB219" i="20"/>
  <c r="EB225" i="20"/>
  <c r="EB232" i="20"/>
  <c r="EB234" i="20"/>
  <c r="EB237" i="20"/>
  <c r="BM241" i="25"/>
  <c r="BM242" i="25"/>
  <c r="BM243" i="25"/>
  <c r="BM244" i="25"/>
  <c r="BM245" i="25"/>
  <c r="BM246" i="25"/>
  <c r="BM247" i="25"/>
  <c r="CR12" i="20"/>
  <c r="AV10" i="25" s="1"/>
  <c r="CR13" i="20"/>
  <c r="AV11" i="25" s="1"/>
  <c r="CR14" i="20"/>
  <c r="AV12" i="25" s="1"/>
  <c r="CR15" i="20"/>
  <c r="AV13" i="25" s="1"/>
  <c r="CR16" i="20"/>
  <c r="CR18" i="20"/>
  <c r="AV16" i="25" s="1"/>
  <c r="CR19" i="20"/>
  <c r="AV17" i="25" s="1"/>
  <c r="CR20" i="20"/>
  <c r="AV18" i="25" s="1"/>
  <c r="CR21" i="20"/>
  <c r="AV19" i="25" s="1"/>
  <c r="CR22" i="20"/>
  <c r="CR24" i="20"/>
  <c r="AV22" i="25" s="1"/>
  <c r="CR25" i="20"/>
  <c r="AV23" i="25" s="1"/>
  <c r="CR26" i="20"/>
  <c r="AV24" i="25" s="1"/>
  <c r="CR27" i="20"/>
  <c r="AV25" i="25" s="1"/>
  <c r="CR28" i="20"/>
  <c r="AV26" i="25" s="1"/>
  <c r="CR29" i="20"/>
  <c r="CR31" i="20"/>
  <c r="AV29" i="25" s="1"/>
  <c r="CR32" i="20"/>
  <c r="AV30" i="25" s="1"/>
  <c r="CR33" i="20"/>
  <c r="AV31" i="25" s="1"/>
  <c r="CR34" i="20"/>
  <c r="AV32" i="25" s="1"/>
  <c r="CR35" i="20"/>
  <c r="AV33" i="25" s="1"/>
  <c r="CR36" i="20"/>
  <c r="AV34" i="25" s="1"/>
  <c r="CR37" i="20"/>
  <c r="AV35" i="25" s="1"/>
  <c r="CR38" i="20"/>
  <c r="CR40" i="20"/>
  <c r="AV38" i="25" s="1"/>
  <c r="CR41" i="20"/>
  <c r="AV39" i="25" s="1"/>
  <c r="CR42" i="20"/>
  <c r="AV40" i="25" s="1"/>
  <c r="CR43" i="20"/>
  <c r="AV41" i="25" s="1"/>
  <c r="CR44" i="20"/>
  <c r="AV42" i="25" s="1"/>
  <c r="CR45" i="20"/>
  <c r="AV43" i="25" s="1"/>
  <c r="CR46" i="20"/>
  <c r="AV44" i="25" s="1"/>
  <c r="CR47" i="20"/>
  <c r="AV45" i="25" s="1"/>
  <c r="CR48" i="20"/>
  <c r="CR50" i="20"/>
  <c r="CR74" i="20"/>
  <c r="CR85" i="20"/>
  <c r="CR97" i="20"/>
  <c r="CR120" i="20"/>
  <c r="CR131" i="20"/>
  <c r="CR143" i="20"/>
  <c r="CR149" i="20"/>
  <c r="AV147" i="25" s="1"/>
  <c r="CR150" i="20"/>
  <c r="AV148" i="25" s="1"/>
  <c r="CR151" i="20"/>
  <c r="AV149" i="25" s="1"/>
  <c r="CR152" i="20"/>
  <c r="AV150" i="25" s="1"/>
  <c r="CR153" i="20"/>
  <c r="AV151" i="25" s="1"/>
  <c r="CR154" i="20"/>
  <c r="AV152" i="25" s="1"/>
  <c r="CR155" i="20"/>
  <c r="AV153" i="25" s="1"/>
  <c r="CR156" i="20"/>
  <c r="AV154" i="25" s="1"/>
  <c r="CR157" i="20"/>
  <c r="AV155" i="25" s="1"/>
  <c r="CR158" i="20"/>
  <c r="AV156" i="25" s="1"/>
  <c r="CR159" i="20"/>
  <c r="AV157" i="25" s="1"/>
  <c r="CR160" i="20"/>
  <c r="AV158" i="25" s="1"/>
  <c r="CR161" i="20"/>
  <c r="AV159" i="25" s="1"/>
  <c r="CR162" i="20"/>
  <c r="AV160" i="25" s="1"/>
  <c r="CR163" i="20"/>
  <c r="AV161" i="25" s="1"/>
  <c r="CR164" i="20"/>
  <c r="AV162" i="25" s="1"/>
  <c r="CR165" i="20"/>
  <c r="AV163" i="25" s="1"/>
  <c r="CR166" i="20"/>
  <c r="AV164" i="25" s="1"/>
  <c r="CR167" i="20"/>
  <c r="AV165" i="25" s="1"/>
  <c r="CR168" i="20"/>
  <c r="AV166" i="25" s="1"/>
  <c r="CR169" i="20"/>
  <c r="AV167" i="25" s="1"/>
  <c r="CR170" i="20"/>
  <c r="AV168" i="25" s="1"/>
  <c r="CR171" i="20"/>
  <c r="AV169" i="25" s="1"/>
  <c r="CR172" i="20"/>
  <c r="AV170" i="25" s="1"/>
  <c r="CR173" i="20"/>
  <c r="AV171" i="25" s="1"/>
  <c r="CR174" i="20"/>
  <c r="AV172" i="25" s="1"/>
  <c r="CR175" i="20"/>
  <c r="AV173" i="25" s="1"/>
  <c r="CR176" i="20"/>
  <c r="AV174" i="25" s="1"/>
  <c r="CR177" i="20"/>
  <c r="AV175" i="25" s="1"/>
  <c r="CR178" i="20"/>
  <c r="AV176" i="25" s="1"/>
  <c r="CR179" i="20"/>
  <c r="AV177" i="25" s="1"/>
  <c r="CR180" i="20"/>
  <c r="AV178" i="25" s="1"/>
  <c r="CR181" i="20"/>
  <c r="AV179" i="25" s="1"/>
  <c r="CR182" i="20"/>
  <c r="AV180" i="25" s="1"/>
  <c r="CR183" i="20"/>
  <c r="AV181" i="25" s="1"/>
  <c r="CR184" i="20"/>
  <c r="AV182" i="25" s="1"/>
  <c r="CR185" i="20"/>
  <c r="AV183" i="25" s="1"/>
  <c r="CR186" i="20"/>
  <c r="AV184" i="25" s="1"/>
  <c r="CR187" i="20"/>
  <c r="AV185" i="25" s="1"/>
  <c r="CR188" i="20"/>
  <c r="AV186" i="25" s="1"/>
  <c r="CR189" i="20"/>
  <c r="AV187" i="25" s="1"/>
  <c r="CR190" i="20"/>
  <c r="AV188" i="25" s="1"/>
  <c r="CR191" i="20"/>
  <c r="AV189" i="25" s="1"/>
  <c r="CR192" i="20"/>
  <c r="AV190" i="25" s="1"/>
  <c r="CR193" i="20"/>
  <c r="AV191" i="25" s="1"/>
  <c r="CR194" i="20"/>
  <c r="AV192" i="25" s="1"/>
  <c r="CR195" i="20"/>
  <c r="AV193" i="25" s="1"/>
  <c r="CR196" i="20"/>
  <c r="AV194" i="25" s="1"/>
  <c r="CR197" i="20"/>
  <c r="CR202" i="20"/>
  <c r="CR207" i="20"/>
  <c r="CR219" i="20"/>
  <c r="CR225" i="20"/>
  <c r="CR232" i="20"/>
  <c r="CR234" i="20"/>
  <c r="CR237" i="20"/>
  <c r="AV241" i="25"/>
  <c r="AV242" i="25"/>
  <c r="AV243" i="25"/>
  <c r="AV244" i="25"/>
  <c r="AV245" i="25"/>
  <c r="AV246" i="25"/>
  <c r="AV247" i="25"/>
  <c r="X12" i="20"/>
  <c r="N10" i="25" s="1"/>
  <c r="X13" i="20"/>
  <c r="N11" i="25" s="1"/>
  <c r="X14" i="20"/>
  <c r="N12" i="25" s="1"/>
  <c r="X15" i="20"/>
  <c r="N13" i="25" s="1"/>
  <c r="X16" i="20"/>
  <c r="X18" i="20"/>
  <c r="N16" i="25" s="1"/>
  <c r="X19" i="20"/>
  <c r="N17" i="25" s="1"/>
  <c r="X20" i="20"/>
  <c r="N18" i="25" s="1"/>
  <c r="X21" i="20"/>
  <c r="N19" i="25" s="1"/>
  <c r="X22" i="20"/>
  <c r="X24" i="20"/>
  <c r="N22" i="25" s="1"/>
  <c r="X25" i="20"/>
  <c r="N23" i="25" s="1"/>
  <c r="X26" i="20"/>
  <c r="N24" i="25" s="1"/>
  <c r="X27" i="20"/>
  <c r="N25" i="25" s="1"/>
  <c r="X28" i="20"/>
  <c r="N26" i="25" s="1"/>
  <c r="X29" i="20"/>
  <c r="X31" i="20"/>
  <c r="N29" i="25" s="1"/>
  <c r="X32" i="20"/>
  <c r="N30" i="25" s="1"/>
  <c r="X33" i="20"/>
  <c r="N31" i="25" s="1"/>
  <c r="X34" i="20"/>
  <c r="N32" i="25" s="1"/>
  <c r="X35" i="20"/>
  <c r="N33" i="25" s="1"/>
  <c r="X36" i="20"/>
  <c r="N34" i="25" s="1"/>
  <c r="X37" i="20"/>
  <c r="N35" i="25" s="1"/>
  <c r="X38" i="20"/>
  <c r="X40" i="20"/>
  <c r="N38" i="25" s="1"/>
  <c r="X41" i="20"/>
  <c r="N39" i="25" s="1"/>
  <c r="X42" i="20"/>
  <c r="N40" i="25" s="1"/>
  <c r="X43" i="20"/>
  <c r="N41" i="25" s="1"/>
  <c r="X44" i="20"/>
  <c r="N42" i="25" s="1"/>
  <c r="X45" i="20"/>
  <c r="N43" i="25" s="1"/>
  <c r="X46" i="20"/>
  <c r="N44" i="25" s="1"/>
  <c r="X47" i="20"/>
  <c r="N45" i="25" s="1"/>
  <c r="X48" i="20"/>
  <c r="X50" i="20"/>
  <c r="X62" i="20"/>
  <c r="X74" i="20"/>
  <c r="X85" i="20"/>
  <c r="X97" i="20"/>
  <c r="X120" i="20"/>
  <c r="X131" i="20"/>
  <c r="X143" i="20"/>
  <c r="X149" i="20"/>
  <c r="X150" i="20"/>
  <c r="N148" i="25" s="1"/>
  <c r="X151" i="20"/>
  <c r="N149" i="25" s="1"/>
  <c r="X152" i="20"/>
  <c r="N150" i="25" s="1"/>
  <c r="X153" i="20"/>
  <c r="N151" i="25" s="1"/>
  <c r="X154" i="20"/>
  <c r="N152" i="25" s="1"/>
  <c r="X155" i="20"/>
  <c r="N153" i="25" s="1"/>
  <c r="X156" i="20"/>
  <c r="N154" i="25" s="1"/>
  <c r="X157" i="20"/>
  <c r="N155" i="25" s="1"/>
  <c r="X158" i="20"/>
  <c r="N156" i="25" s="1"/>
  <c r="X159" i="20"/>
  <c r="N157" i="25" s="1"/>
  <c r="X160" i="20"/>
  <c r="N158" i="25" s="1"/>
  <c r="X161" i="20"/>
  <c r="N159" i="25" s="1"/>
  <c r="X162" i="20"/>
  <c r="N160" i="25" s="1"/>
  <c r="X163" i="20"/>
  <c r="N161" i="25" s="1"/>
  <c r="X164" i="20"/>
  <c r="N162" i="25" s="1"/>
  <c r="X165" i="20"/>
  <c r="N163" i="25" s="1"/>
  <c r="X166" i="20"/>
  <c r="N164" i="25" s="1"/>
  <c r="X167" i="20"/>
  <c r="N165" i="25" s="1"/>
  <c r="X168" i="20"/>
  <c r="N166" i="25" s="1"/>
  <c r="X169" i="20"/>
  <c r="N167" i="25" s="1"/>
  <c r="X170" i="20"/>
  <c r="N168" i="25" s="1"/>
  <c r="X171" i="20"/>
  <c r="N169" i="25" s="1"/>
  <c r="X172" i="20"/>
  <c r="N170" i="25" s="1"/>
  <c r="X173" i="20"/>
  <c r="N171" i="25" s="1"/>
  <c r="X174" i="20"/>
  <c r="N172" i="25" s="1"/>
  <c r="X175" i="20"/>
  <c r="N173" i="25" s="1"/>
  <c r="X176" i="20"/>
  <c r="N174" i="25" s="1"/>
  <c r="X177" i="20"/>
  <c r="N175" i="25" s="1"/>
  <c r="X178" i="20"/>
  <c r="N176" i="25" s="1"/>
  <c r="X179" i="20"/>
  <c r="N177" i="25" s="1"/>
  <c r="X180" i="20"/>
  <c r="N178" i="25" s="1"/>
  <c r="X181" i="20"/>
  <c r="N179" i="25" s="1"/>
  <c r="X182" i="20"/>
  <c r="N180" i="25" s="1"/>
  <c r="X183" i="20"/>
  <c r="N181" i="25" s="1"/>
  <c r="X184" i="20"/>
  <c r="N182" i="25" s="1"/>
  <c r="X185" i="20"/>
  <c r="N183" i="25" s="1"/>
  <c r="X186" i="20"/>
  <c r="N184" i="25" s="1"/>
  <c r="X187" i="20"/>
  <c r="N185" i="25" s="1"/>
  <c r="X188" i="20"/>
  <c r="N186" i="25" s="1"/>
  <c r="X189" i="20"/>
  <c r="N187" i="25" s="1"/>
  <c r="X190" i="20"/>
  <c r="N188" i="25" s="1"/>
  <c r="X191" i="20"/>
  <c r="N189" i="25" s="1"/>
  <c r="X192" i="20"/>
  <c r="N190" i="25" s="1"/>
  <c r="X193" i="20"/>
  <c r="N191" i="25" s="1"/>
  <c r="X194" i="20"/>
  <c r="N192" i="25" s="1"/>
  <c r="X195" i="20"/>
  <c r="N193" i="25" s="1"/>
  <c r="X196" i="20"/>
  <c r="N194" i="25" s="1"/>
  <c r="X197" i="20"/>
  <c r="X202" i="20"/>
  <c r="X207" i="20"/>
  <c r="X219" i="20"/>
  <c r="X225" i="20"/>
  <c r="X232" i="20"/>
  <c r="X234" i="20"/>
  <c r="X237" i="20"/>
  <c r="N241" i="25"/>
  <c r="N242" i="25"/>
  <c r="N243" i="25"/>
  <c r="N244" i="25"/>
  <c r="N245" i="25"/>
  <c r="N246" i="25"/>
  <c r="N247" i="25"/>
  <c r="W208" i="20"/>
  <c r="W214" i="20" s="1"/>
  <c r="BG144" i="20"/>
  <c r="BG145" i="20" s="1"/>
  <c r="H181" i="16"/>
  <c r="H180" i="16"/>
  <c r="H179" i="16"/>
  <c r="H178" i="16"/>
  <c r="H177" i="16"/>
  <c r="H176" i="16"/>
  <c r="H175" i="16"/>
  <c r="H174" i="16"/>
  <c r="H173" i="16"/>
  <c r="H172" i="16"/>
  <c r="H169" i="16"/>
  <c r="H168" i="16"/>
  <c r="H167" i="16"/>
  <c r="H166" i="16"/>
  <c r="H165" i="16"/>
  <c r="H164" i="16"/>
  <c r="H163" i="16"/>
  <c r="H162" i="16"/>
  <c r="H161" i="16"/>
  <c r="H160" i="16"/>
  <c r="H634" i="17"/>
  <c r="H633" i="17"/>
  <c r="H632" i="17"/>
  <c r="H631" i="17"/>
  <c r="H630" i="17"/>
  <c r="H627" i="17"/>
  <c r="H623" i="17"/>
  <c r="H622" i="17"/>
  <c r="H619" i="17"/>
  <c r="H618" i="17"/>
  <c r="H617" i="17"/>
  <c r="H616" i="17"/>
  <c r="H1529" i="11"/>
  <c r="H1528" i="11"/>
  <c r="H1527" i="11"/>
  <c r="H1526" i="11"/>
  <c r="H1525" i="11"/>
  <c r="H1524" i="11"/>
  <c r="H1523" i="11"/>
  <c r="H1522" i="11"/>
  <c r="H1521" i="11"/>
  <c r="H1520" i="11"/>
  <c r="H1519" i="11"/>
  <c r="H1518" i="11"/>
  <c r="H1517" i="11"/>
  <c r="H1516" i="11"/>
  <c r="H1513" i="11"/>
  <c r="H1512" i="11"/>
  <c r="H1511" i="11"/>
  <c r="H1508" i="11"/>
  <c r="H1507" i="11"/>
  <c r="H1506" i="11"/>
  <c r="H1505" i="11"/>
  <c r="H1504" i="11"/>
  <c r="H1503" i="11"/>
  <c r="H1500" i="11"/>
  <c r="H1499" i="11"/>
  <c r="H1496" i="11"/>
  <c r="H1495" i="11"/>
  <c r="H1494" i="11"/>
  <c r="H1491" i="11"/>
  <c r="H1490" i="11"/>
  <c r="H1488" i="11"/>
  <c r="H1487" i="11"/>
  <c r="H1484" i="11"/>
  <c r="H1483" i="11"/>
  <c r="H1482" i="11"/>
  <c r="H1481" i="11"/>
  <c r="H1478" i="11"/>
  <c r="H1477" i="11"/>
  <c r="H1474" i="11"/>
  <c r="H1473" i="11"/>
  <c r="H1472" i="11"/>
  <c r="H1471" i="11"/>
  <c r="H1470" i="11"/>
  <c r="H1467" i="11"/>
  <c r="H1466" i="11"/>
  <c r="H1465" i="11"/>
  <c r="H1464" i="11"/>
  <c r="H1461" i="11"/>
  <c r="H1460" i="11"/>
  <c r="H1459" i="11"/>
  <c r="H1456" i="11"/>
  <c r="H1455" i="11"/>
  <c r="H1454" i="11"/>
  <c r="H1451" i="11"/>
  <c r="H1450" i="11"/>
  <c r="H1447" i="11"/>
  <c r="H1446" i="11"/>
  <c r="H1445" i="11"/>
  <c r="H1444" i="11"/>
  <c r="H1441" i="11"/>
  <c r="H1440" i="11"/>
  <c r="H1437" i="11"/>
  <c r="H1436" i="11"/>
  <c r="H1435" i="11"/>
  <c r="H1432" i="11"/>
  <c r="H1431" i="11"/>
  <c r="H1430" i="11"/>
  <c r="H1429" i="11"/>
  <c r="H1428" i="11"/>
  <c r="H1427" i="11"/>
  <c r="H1423" i="11"/>
  <c r="H1422" i="11"/>
  <c r="H1421" i="11"/>
  <c r="H1420" i="11"/>
  <c r="H1419" i="11"/>
  <c r="H1418" i="11"/>
  <c r="H1417" i="11"/>
  <c r="H1416" i="11"/>
  <c r="H1415" i="11"/>
  <c r="H1414" i="11"/>
  <c r="H1413" i="11"/>
  <c r="H1412" i="11"/>
  <c r="H1411" i="11"/>
  <c r="H1410" i="11"/>
  <c r="H1407" i="11"/>
  <c r="H1406" i="11"/>
  <c r="H1405" i="11"/>
  <c r="H1402" i="11"/>
  <c r="H1401" i="11"/>
  <c r="H1400" i="11"/>
  <c r="H1399" i="11"/>
  <c r="H1398" i="11"/>
  <c r="H1397" i="11"/>
  <c r="H1394" i="11"/>
  <c r="H1393" i="11"/>
  <c r="H1390" i="11"/>
  <c r="H1389" i="11"/>
  <c r="H1388" i="11"/>
  <c r="H1385" i="11"/>
  <c r="H1384" i="11"/>
  <c r="H1382" i="11"/>
  <c r="H1381" i="11"/>
  <c r="H1378" i="11"/>
  <c r="H1377" i="11"/>
  <c r="H1376" i="11"/>
  <c r="H1375" i="11"/>
  <c r="H1372" i="11"/>
  <c r="H1371" i="11"/>
  <c r="H1368" i="11"/>
  <c r="H1367" i="11"/>
  <c r="H1366" i="11"/>
  <c r="H1365" i="11"/>
  <c r="H1364" i="11"/>
  <c r="H1361" i="11"/>
  <c r="H1360" i="11"/>
  <c r="H1359" i="11"/>
  <c r="H1358" i="11"/>
  <c r="H1355" i="11"/>
  <c r="H1354" i="11"/>
  <c r="H1353" i="11"/>
  <c r="H1350" i="11"/>
  <c r="H1349" i="11"/>
  <c r="H1348" i="11"/>
  <c r="H1345" i="11"/>
  <c r="H1344" i="11"/>
  <c r="H1341" i="11"/>
  <c r="H1340" i="11"/>
  <c r="H1339" i="11"/>
  <c r="H1338" i="11"/>
  <c r="H1335" i="11"/>
  <c r="H1334" i="11"/>
  <c r="H1331" i="11"/>
  <c r="H1330" i="11"/>
  <c r="H1329" i="11"/>
  <c r="H1326" i="11"/>
  <c r="H1325" i="11"/>
  <c r="H1324" i="11"/>
  <c r="H1323" i="11"/>
  <c r="H1322" i="11"/>
  <c r="H1321" i="11"/>
  <c r="BX215" i="20"/>
  <c r="BW215" i="20"/>
  <c r="BV215" i="20"/>
  <c r="BX214" i="20"/>
  <c r="BW214" i="20"/>
  <c r="BV214" i="20"/>
  <c r="H614" i="11"/>
  <c r="H377" i="11"/>
  <c r="H367" i="11"/>
  <c r="BY240" i="25"/>
  <c r="BX240" i="25"/>
  <c r="BW240" i="25"/>
  <c r="BV240" i="25"/>
  <c r="BU240" i="25"/>
  <c r="BS240" i="25"/>
  <c r="BR240" i="25"/>
  <c r="BQ240" i="25"/>
  <c r="BP240" i="25"/>
  <c r="BO240" i="25"/>
  <c r="BN240" i="25"/>
  <c r="BL240" i="25"/>
  <c r="BY239" i="25"/>
  <c r="BX239" i="25"/>
  <c r="BW239" i="25"/>
  <c r="BV239" i="25"/>
  <c r="BU239" i="25"/>
  <c r="BS239" i="25"/>
  <c r="BR239" i="25"/>
  <c r="BQ239" i="25"/>
  <c r="BP239" i="25"/>
  <c r="BO239" i="25"/>
  <c r="BN239" i="25"/>
  <c r="BL239" i="25"/>
  <c r="BY238" i="25"/>
  <c r="BX238" i="25"/>
  <c r="BW238" i="25"/>
  <c r="BV238" i="25"/>
  <c r="BU238" i="25"/>
  <c r="BS238" i="25"/>
  <c r="BR238" i="25"/>
  <c r="BQ238" i="25"/>
  <c r="BP238" i="25"/>
  <c r="BO238" i="25"/>
  <c r="BN238" i="25"/>
  <c r="BL238" i="25"/>
  <c r="BM240" i="25"/>
  <c r="BM238" i="25"/>
  <c r="BM239" i="25"/>
  <c r="BP237" i="25"/>
  <c r="H307" i="12"/>
  <c r="CD270" i="20"/>
  <c r="CB270" i="20"/>
  <c r="CC270" i="20"/>
  <c r="H266" i="17"/>
  <c r="H361" i="17"/>
  <c r="H360" i="17"/>
  <c r="H359" i="17"/>
  <c r="H856" i="17"/>
  <c r="H855" i="17"/>
  <c r="H854" i="17"/>
  <c r="H853" i="17"/>
  <c r="H789" i="12"/>
  <c r="H621" i="12"/>
  <c r="AA196" i="20"/>
  <c r="AA195" i="20"/>
  <c r="BX194" i="20"/>
  <c r="BW194" i="20"/>
  <c r="BV194" i="20"/>
  <c r="BE194" i="20"/>
  <c r="AA194" i="20"/>
  <c r="AB194" i="20" s="1"/>
  <c r="R192" i="25" s="1"/>
  <c r="BX193" i="20"/>
  <c r="BW193" i="20"/>
  <c r="BV193" i="20"/>
  <c r="AA193" i="20"/>
  <c r="AB193" i="20" s="1"/>
  <c r="R191" i="25" s="1"/>
  <c r="H93" i="12"/>
  <c r="H92" i="12"/>
  <c r="H91" i="12"/>
  <c r="H90" i="12"/>
  <c r="H89" i="12"/>
  <c r="AA192" i="20"/>
  <c r="Q190" i="25" s="1"/>
  <c r="AA191" i="20"/>
  <c r="Q189" i="25" s="1"/>
  <c r="BX190" i="20"/>
  <c r="BW190" i="20"/>
  <c r="BV190" i="20"/>
  <c r="BE190" i="20"/>
  <c r="AA190" i="20"/>
  <c r="AB190" i="20" s="1"/>
  <c r="R188" i="25" s="1"/>
  <c r="BX189" i="20"/>
  <c r="BW189" i="20"/>
  <c r="BV189" i="20"/>
  <c r="AA189" i="20"/>
  <c r="AB189" i="20" s="1"/>
  <c r="N19" i="22"/>
  <c r="N14" i="22"/>
  <c r="M18" i="22"/>
  <c r="N18" i="22"/>
  <c r="M17" i="22"/>
  <c r="N17" i="22"/>
  <c r="M16" i="22"/>
  <c r="N16" i="22"/>
  <c r="M15" i="22"/>
  <c r="N15" i="22"/>
  <c r="L20" i="22"/>
  <c r="N20" i="22"/>
  <c r="H17" i="22"/>
  <c r="L57" i="11"/>
  <c r="L278" i="11"/>
  <c r="L464" i="11"/>
  <c r="L540" i="11"/>
  <c r="L735" i="11"/>
  <c r="L633" i="11"/>
  <c r="L867" i="11"/>
  <c r="L967" i="11"/>
  <c r="L941" i="11"/>
  <c r="L2159" i="11"/>
  <c r="L1852" i="11"/>
  <c r="AF11" i="20"/>
  <c r="AF17" i="20"/>
  <c r="V15" i="25" s="1"/>
  <c r="AF30" i="20"/>
  <c r="V28" i="25" s="1"/>
  <c r="AF39" i="20"/>
  <c r="V37" i="25" s="1"/>
  <c r="E4" i="22"/>
  <c r="E23" i="22"/>
  <c r="F4" i="22"/>
  <c r="F23" i="22"/>
  <c r="H2282" i="11"/>
  <c r="U2159" i="11"/>
  <c r="T2159" i="11"/>
  <c r="S2159" i="11"/>
  <c r="R2159" i="11"/>
  <c r="Q2159" i="11"/>
  <c r="U1852" i="11"/>
  <c r="T1852" i="11"/>
  <c r="S1852" i="11"/>
  <c r="R1852" i="11"/>
  <c r="Q1852" i="11"/>
  <c r="U967" i="11"/>
  <c r="T967" i="11"/>
  <c r="S967" i="11"/>
  <c r="R967" i="11"/>
  <c r="U941" i="11"/>
  <c r="T941" i="11"/>
  <c r="S941" i="11"/>
  <c r="R941" i="11"/>
  <c r="Q941" i="11"/>
  <c r="U867" i="11"/>
  <c r="T867" i="11"/>
  <c r="S867" i="11"/>
  <c r="R867" i="11"/>
  <c r="Q867" i="11"/>
  <c r="U735" i="11"/>
  <c r="U633" i="11"/>
  <c r="T735" i="11"/>
  <c r="T633" i="11"/>
  <c r="S735" i="11"/>
  <c r="S633" i="11"/>
  <c r="R735" i="11"/>
  <c r="R633" i="11"/>
  <c r="Q735" i="11"/>
  <c r="Q633" i="11"/>
  <c r="U540" i="11"/>
  <c r="T540" i="11"/>
  <c r="S540" i="11"/>
  <c r="R540" i="11"/>
  <c r="Q540" i="11"/>
  <c r="U464" i="11"/>
  <c r="T464" i="11"/>
  <c r="S464" i="11"/>
  <c r="R464" i="11"/>
  <c r="Q464" i="11"/>
  <c r="U278" i="11"/>
  <c r="T278" i="11"/>
  <c r="S278" i="11"/>
  <c r="R278" i="11"/>
  <c r="Q278" i="11"/>
  <c r="U57" i="11"/>
  <c r="T57" i="11"/>
  <c r="S57" i="11"/>
  <c r="R57" i="11"/>
  <c r="Q57" i="11"/>
  <c r="U7" i="11"/>
  <c r="T7" i="11"/>
  <c r="S7" i="11"/>
  <c r="R7" i="11"/>
  <c r="Q7" i="11"/>
  <c r="H604" i="11"/>
  <c r="H605" i="11"/>
  <c r="H606" i="11"/>
  <c r="H20" i="11"/>
  <c r="H19" i="11"/>
  <c r="H19" i="17"/>
  <c r="H18" i="17"/>
  <c r="H17" i="17"/>
  <c r="U779" i="12"/>
  <c r="T779" i="12"/>
  <c r="S779" i="12"/>
  <c r="R779" i="12"/>
  <c r="Q779" i="12"/>
  <c r="P779" i="12"/>
  <c r="O779" i="12"/>
  <c r="L779" i="12"/>
  <c r="H790" i="12"/>
  <c r="H799" i="12"/>
  <c r="H798" i="12"/>
  <c r="H797" i="12"/>
  <c r="H796" i="12"/>
  <c r="H795" i="12"/>
  <c r="H794" i="12"/>
  <c r="H793" i="12"/>
  <c r="U715" i="12"/>
  <c r="T715" i="12"/>
  <c r="S715" i="12"/>
  <c r="R715" i="12"/>
  <c r="Q715" i="12"/>
  <c r="U698" i="12"/>
  <c r="T698" i="12"/>
  <c r="S698" i="12"/>
  <c r="R698" i="12"/>
  <c r="Q698" i="12"/>
  <c r="U681" i="12"/>
  <c r="T681" i="12"/>
  <c r="S681" i="12"/>
  <c r="R681" i="12"/>
  <c r="Q681" i="12"/>
  <c r="U626" i="12"/>
  <c r="T626" i="12"/>
  <c r="S626" i="12"/>
  <c r="R626" i="12"/>
  <c r="Q626" i="12"/>
  <c r="U563" i="12"/>
  <c r="T563" i="12"/>
  <c r="S563" i="12"/>
  <c r="R563" i="12"/>
  <c r="Q563" i="12"/>
  <c r="U465" i="12"/>
  <c r="T465" i="12"/>
  <c r="S465" i="12"/>
  <c r="R465" i="12"/>
  <c r="Q465" i="12"/>
  <c r="U408" i="12"/>
  <c r="T408" i="12"/>
  <c r="S408" i="12"/>
  <c r="R408" i="12"/>
  <c r="Q408" i="12"/>
  <c r="U309" i="12"/>
  <c r="T309" i="12"/>
  <c r="S309" i="12"/>
  <c r="R309" i="12"/>
  <c r="Q309" i="12"/>
  <c r="U245" i="12"/>
  <c r="T245" i="12"/>
  <c r="S245" i="12"/>
  <c r="R245" i="12"/>
  <c r="Q245" i="12"/>
  <c r="U152" i="12"/>
  <c r="T152" i="12"/>
  <c r="S152" i="12"/>
  <c r="R152" i="12"/>
  <c r="Q152" i="12"/>
  <c r="U95" i="12"/>
  <c r="T95" i="12"/>
  <c r="S95" i="12"/>
  <c r="R95" i="12"/>
  <c r="Q95" i="12"/>
  <c r="EJ63" i="20"/>
  <c r="EJ51" i="20"/>
  <c r="EJ30" i="20"/>
  <c r="EJ23" i="20" s="1"/>
  <c r="BU21" i="25" s="1"/>
  <c r="CZ39" i="20"/>
  <c r="BD37" i="25" s="1"/>
  <c r="CZ30" i="20"/>
  <c r="CZ17" i="20"/>
  <c r="BD15" i="25" s="1"/>
  <c r="CZ11" i="20"/>
  <c r="BD9" i="25" s="1"/>
  <c r="BX213" i="20"/>
  <c r="BW213" i="20"/>
  <c r="BV213" i="20"/>
  <c r="BX212" i="20"/>
  <c r="BW212" i="20"/>
  <c r="BV212" i="20"/>
  <c r="BX211" i="20"/>
  <c r="BW211" i="20"/>
  <c r="BV211" i="20"/>
  <c r="BX209" i="20"/>
  <c r="BW209" i="20"/>
  <c r="BV209" i="20"/>
  <c r="BX186" i="20"/>
  <c r="BW186" i="20"/>
  <c r="BV186" i="20"/>
  <c r="BX185" i="20"/>
  <c r="BW185" i="20"/>
  <c r="BV185" i="20"/>
  <c r="BX182" i="20"/>
  <c r="BW182" i="20"/>
  <c r="BV182" i="20"/>
  <c r="BX181" i="20"/>
  <c r="BW181" i="20"/>
  <c r="BV181" i="20"/>
  <c r="BX178" i="20"/>
  <c r="BW178" i="20"/>
  <c r="BV178" i="20"/>
  <c r="BX177" i="20"/>
  <c r="BW177" i="20"/>
  <c r="BV177" i="20"/>
  <c r="BX174" i="20"/>
  <c r="BW174" i="20"/>
  <c r="BV174" i="20"/>
  <c r="BX173" i="20"/>
  <c r="BW173" i="20"/>
  <c r="BV173" i="20"/>
  <c r="BX170" i="20"/>
  <c r="BW170" i="20"/>
  <c r="BV170" i="20"/>
  <c r="BX169" i="20"/>
  <c r="BW169" i="20"/>
  <c r="BV169" i="20"/>
  <c r="BX166" i="20"/>
  <c r="BW166" i="20"/>
  <c r="BV166" i="20"/>
  <c r="BX165" i="20"/>
  <c r="BW165" i="20"/>
  <c r="BV165" i="20"/>
  <c r="BX162" i="20"/>
  <c r="BW162" i="20"/>
  <c r="BV162" i="20"/>
  <c r="BX161" i="20"/>
  <c r="BW161" i="20"/>
  <c r="BV161" i="20"/>
  <c r="BX158" i="20"/>
  <c r="BW158" i="20"/>
  <c r="BV158" i="20"/>
  <c r="BX157" i="20"/>
  <c r="BW157" i="20"/>
  <c r="BV157" i="20"/>
  <c r="BX154" i="20"/>
  <c r="BW154" i="20"/>
  <c r="BV154" i="20"/>
  <c r="BX153" i="20"/>
  <c r="BW153" i="20"/>
  <c r="BV153" i="20"/>
  <c r="BX150" i="20"/>
  <c r="BW150" i="20"/>
  <c r="BV150" i="20"/>
  <c r="BX149" i="20"/>
  <c r="BW149" i="20"/>
  <c r="BV149" i="20"/>
  <c r="BQ149" i="20"/>
  <c r="AN147" i="25" s="1"/>
  <c r="BX148" i="20"/>
  <c r="BW148" i="20"/>
  <c r="BV148" i="20"/>
  <c r="BQ148" i="20"/>
  <c r="AN146" i="25" s="1"/>
  <c r="BX147" i="20"/>
  <c r="BW147" i="20"/>
  <c r="BV147" i="20"/>
  <c r="BQ147" i="20"/>
  <c r="AN145" i="25" s="1"/>
  <c r="BX146" i="20"/>
  <c r="BW146" i="20"/>
  <c r="BV146" i="20"/>
  <c r="BQ146" i="20"/>
  <c r="BP39" i="20"/>
  <c r="AM37" i="25" s="1"/>
  <c r="BP30" i="20"/>
  <c r="AM28" i="25" s="1"/>
  <c r="BP17" i="20"/>
  <c r="AM15" i="25" s="1"/>
  <c r="BP11" i="20"/>
  <c r="AM9" i="25" s="1"/>
  <c r="AX236" i="20"/>
  <c r="AX235" i="20"/>
  <c r="AX143" i="20"/>
  <c r="AX47" i="20"/>
  <c r="AX46" i="20"/>
  <c r="AX45" i="20"/>
  <c r="AX44" i="20"/>
  <c r="AX43" i="20"/>
  <c r="AX42" i="20"/>
  <c r="AX41" i="20"/>
  <c r="AX40" i="20"/>
  <c r="AX39" i="20"/>
  <c r="AX38" i="20"/>
  <c r="AX37" i="20"/>
  <c r="AX36" i="20"/>
  <c r="AX35" i="20"/>
  <c r="AX34" i="20"/>
  <c r="AX33" i="20"/>
  <c r="AX32" i="20"/>
  <c r="AX31" i="20"/>
  <c r="AX30" i="20"/>
  <c r="AX29" i="20"/>
  <c r="AX28" i="20"/>
  <c r="AX27" i="20"/>
  <c r="AX26" i="20"/>
  <c r="AX25" i="20"/>
  <c r="AX24" i="20"/>
  <c r="AX23" i="20"/>
  <c r="AX22" i="20"/>
  <c r="AX21" i="20"/>
  <c r="AX20" i="20"/>
  <c r="AX19" i="20"/>
  <c r="AX18" i="20"/>
  <c r="AX17" i="20"/>
  <c r="AX15" i="20"/>
  <c r="AX14" i="20"/>
  <c r="AX13" i="20"/>
  <c r="AX12" i="20"/>
  <c r="AX11" i="20"/>
  <c r="H561" i="12"/>
  <c r="H87" i="12"/>
  <c r="H86" i="12"/>
  <c r="H85" i="12"/>
  <c r="H84" i="12"/>
  <c r="H83" i="12"/>
  <c r="H82" i="12"/>
  <c r="V626" i="12"/>
  <c r="BC51" i="20"/>
  <c r="O2159" i="11"/>
  <c r="P2159" i="11"/>
  <c r="O1852" i="11"/>
  <c r="P1852" i="11"/>
  <c r="O967" i="11"/>
  <c r="P967" i="11"/>
  <c r="O941" i="11"/>
  <c r="P941" i="11"/>
  <c r="O867" i="11"/>
  <c r="P867" i="11"/>
  <c r="O735" i="11"/>
  <c r="O633" i="11"/>
  <c r="P735" i="11"/>
  <c r="P633" i="11"/>
  <c r="O540" i="11"/>
  <c r="P540" i="11"/>
  <c r="O464" i="11"/>
  <c r="P464" i="11"/>
  <c r="O278" i="11"/>
  <c r="P278" i="11"/>
  <c r="O57" i="11"/>
  <c r="P57" i="11"/>
  <c r="M7" i="11"/>
  <c r="M6" i="11" s="1"/>
  <c r="N7" i="11"/>
  <c r="N6" i="11" s="1"/>
  <c r="O7" i="11"/>
  <c r="P7" i="11"/>
  <c r="L7" i="11"/>
  <c r="H488" i="12"/>
  <c r="H406" i="12"/>
  <c r="H243" i="12"/>
  <c r="L698" i="12"/>
  <c r="O698" i="12"/>
  <c r="P698" i="12"/>
  <c r="L681" i="12"/>
  <c r="O681" i="12"/>
  <c r="P681" i="12"/>
  <c r="L626" i="12"/>
  <c r="O626" i="12"/>
  <c r="P626" i="12"/>
  <c r="L563" i="12"/>
  <c r="O563" i="12"/>
  <c r="P563" i="12"/>
  <c r="L465" i="12"/>
  <c r="O465" i="12"/>
  <c r="P465" i="12"/>
  <c r="L408" i="12"/>
  <c r="O408" i="12"/>
  <c r="P408" i="12"/>
  <c r="L309" i="12"/>
  <c r="O309" i="12"/>
  <c r="P309" i="12"/>
  <c r="L245" i="12"/>
  <c r="O245" i="12"/>
  <c r="P245" i="12"/>
  <c r="L152" i="12"/>
  <c r="O152" i="12"/>
  <c r="P152" i="12"/>
  <c r="L95" i="12"/>
  <c r="O95" i="12"/>
  <c r="P95" i="12"/>
  <c r="DY121" i="20"/>
  <c r="ES123" i="20"/>
  <c r="ES124" i="20"/>
  <c r="ES125" i="20"/>
  <c r="ES126" i="20"/>
  <c r="ES127" i="20"/>
  <c r="ES128" i="20"/>
  <c r="ES129" i="20"/>
  <c r="ES130" i="20"/>
  <c r="ES122" i="20"/>
  <c r="EP121" i="20"/>
  <c r="EQ121" i="20"/>
  <c r="ER121" i="20"/>
  <c r="DY51" i="20"/>
  <c r="DY132" i="20"/>
  <c r="EA132" i="20" s="1"/>
  <c r="DY63" i="20"/>
  <c r="DY86" i="20"/>
  <c r="DZ121" i="20"/>
  <c r="EE97" i="20"/>
  <c r="EF97" i="20" s="1"/>
  <c r="AR11" i="20"/>
  <c r="AR12" i="20"/>
  <c r="AR13" i="20"/>
  <c r="AR14" i="20"/>
  <c r="AR15" i="20"/>
  <c r="AR16" i="20"/>
  <c r="AR17" i="20"/>
  <c r="AR18" i="20"/>
  <c r="AR19" i="20"/>
  <c r="AR20" i="20"/>
  <c r="AR21" i="20"/>
  <c r="AR22" i="20"/>
  <c r="AR23" i="20"/>
  <c r="AR24" i="20"/>
  <c r="AR25" i="20"/>
  <c r="AR26" i="20"/>
  <c r="AR27" i="20"/>
  <c r="AR28" i="20"/>
  <c r="AR29" i="20"/>
  <c r="AR30" i="20"/>
  <c r="AR31" i="20"/>
  <c r="AR32" i="20"/>
  <c r="AR33" i="20"/>
  <c r="AR34" i="20"/>
  <c r="AR35" i="20"/>
  <c r="AR36" i="20"/>
  <c r="AR37" i="20"/>
  <c r="AR38" i="20"/>
  <c r="AR39" i="20"/>
  <c r="AR40" i="20"/>
  <c r="AR41" i="20"/>
  <c r="AR42" i="20"/>
  <c r="AR43" i="20"/>
  <c r="AR44" i="20"/>
  <c r="AR45" i="20"/>
  <c r="AR46" i="20"/>
  <c r="AR47" i="20"/>
  <c r="AR120" i="20"/>
  <c r="AR235" i="20"/>
  <c r="AR236" i="20"/>
  <c r="ES226" i="20"/>
  <c r="ES220" i="20"/>
  <c r="ES203" i="20"/>
  <c r="ES198" i="20"/>
  <c r="ES144" i="20"/>
  <c r="ES132" i="20"/>
  <c r="ES86" i="20"/>
  <c r="ES75" i="20"/>
  <c r="ES121" i="20" s="1"/>
  <c r="ES63" i="20"/>
  <c r="ES51" i="20"/>
  <c r="DI226" i="20"/>
  <c r="DI220" i="20"/>
  <c r="DI203" i="20"/>
  <c r="DI198" i="20"/>
  <c r="DI144" i="20"/>
  <c r="DI132" i="20"/>
  <c r="DI121" i="20"/>
  <c r="DI86" i="20"/>
  <c r="DI75" i="20"/>
  <c r="DI63" i="20"/>
  <c r="DI51" i="20"/>
  <c r="BY226" i="20"/>
  <c r="BY220" i="20"/>
  <c r="BY203" i="20"/>
  <c r="BY198" i="20"/>
  <c r="BY144" i="20"/>
  <c r="BY132" i="20"/>
  <c r="BY121" i="20"/>
  <c r="BY86" i="20"/>
  <c r="BY75" i="20"/>
  <c r="AO226" i="20"/>
  <c r="AO220" i="20"/>
  <c r="AO208" i="20"/>
  <c r="AO203" i="20"/>
  <c r="AO198" i="20"/>
  <c r="AO144" i="20"/>
  <c r="AO132" i="20"/>
  <c r="AO121" i="20"/>
  <c r="AO86" i="20"/>
  <c r="AO75" i="20"/>
  <c r="AO63" i="20"/>
  <c r="AO51" i="20"/>
  <c r="BY63" i="20"/>
  <c r="BY51" i="20"/>
  <c r="AA232" i="20"/>
  <c r="AB232" i="20" s="1"/>
  <c r="AC232" i="20" s="1"/>
  <c r="AD232" i="20" s="1"/>
  <c r="H102" i="16"/>
  <c r="H101" i="16"/>
  <c r="H100" i="16"/>
  <c r="H98" i="16"/>
  <c r="H97" i="16"/>
  <c r="H96" i="16"/>
  <c r="H1876" i="11"/>
  <c r="H1875" i="11"/>
  <c r="H1874" i="11"/>
  <c r="H968" i="17"/>
  <c r="H967" i="17"/>
  <c r="H966" i="17"/>
  <c r="H965" i="17"/>
  <c r="H852" i="17"/>
  <c r="H851" i="17"/>
  <c r="H850" i="17"/>
  <c r="H325" i="17"/>
  <c r="H324" i="17"/>
  <c r="H323" i="17"/>
  <c r="H322" i="17"/>
  <c r="H321" i="17"/>
  <c r="H320" i="17"/>
  <c r="H319" i="17"/>
  <c r="H318" i="17"/>
  <c r="H317" i="17"/>
  <c r="H316" i="17"/>
  <c r="H315" i="17"/>
  <c r="H314" i="17"/>
  <c r="H313" i="17"/>
  <c r="H312" i="17"/>
  <c r="H311" i="17"/>
  <c r="H310" i="17"/>
  <c r="H294" i="17"/>
  <c r="H293" i="17"/>
  <c r="H292" i="17"/>
  <c r="H291" i="17"/>
  <c r="H282" i="17"/>
  <c r="H227" i="17"/>
  <c r="H228" i="17"/>
  <c r="H229" i="17"/>
  <c r="H230" i="17"/>
  <c r="H157" i="17"/>
  <c r="H155" i="17"/>
  <c r="H154" i="17"/>
  <c r="H137" i="17"/>
  <c r="H136" i="17"/>
  <c r="H135" i="17"/>
  <c r="H134" i="17"/>
  <c r="H133" i="17"/>
  <c r="H2558" i="11"/>
  <c r="H2557" i="11"/>
  <c r="H2554" i="11"/>
  <c r="H2553" i="11"/>
  <c r="H2550" i="11"/>
  <c r="H2547" i="11"/>
  <c r="H2544" i="11"/>
  <c r="H2543" i="11"/>
  <c r="H2540" i="11"/>
  <c r="H2539" i="11"/>
  <c r="H2534" i="11"/>
  <c r="H2531" i="11"/>
  <c r="H2528" i="11"/>
  <c r="H2525" i="11"/>
  <c r="H2524" i="11"/>
  <c r="H2523" i="11"/>
  <c r="H2522" i="11"/>
  <c r="H2519" i="11"/>
  <c r="H2516" i="11"/>
  <c r="H2513" i="11"/>
  <c r="H2510" i="11"/>
  <c r="H2507" i="11"/>
  <c r="H2264" i="11"/>
  <c r="H2263" i="11"/>
  <c r="H2262" i="11"/>
  <c r="H2261" i="11"/>
  <c r="H2260" i="11"/>
  <c r="H2259" i="11"/>
  <c r="H2258" i="11"/>
  <c r="H2238" i="11"/>
  <c r="H2228" i="11"/>
  <c r="H2227" i="11"/>
  <c r="H2186" i="11"/>
  <c r="H538" i="11"/>
  <c r="H537" i="11"/>
  <c r="H529" i="11"/>
  <c r="H524" i="11"/>
  <c r="H523" i="11"/>
  <c r="H522" i="11"/>
  <c r="H519" i="11"/>
  <c r="H518" i="11"/>
  <c r="H515" i="11"/>
  <c r="H514" i="11"/>
  <c r="H513" i="11"/>
  <c r="H502" i="11"/>
  <c r="H501" i="11"/>
  <c r="H500" i="11"/>
  <c r="H499" i="11"/>
  <c r="H498" i="11"/>
  <c r="H497" i="11"/>
  <c r="H496" i="11"/>
  <c r="H495" i="11"/>
  <c r="H492" i="11"/>
  <c r="H491" i="11"/>
  <c r="H490" i="11"/>
  <c r="H489" i="11"/>
  <c r="H488" i="11"/>
  <c r="H487" i="11"/>
  <c r="H486" i="11"/>
  <c r="H485" i="11"/>
  <c r="H484" i="11"/>
  <c r="H483" i="11"/>
  <c r="H480" i="11"/>
  <c r="H479" i="11"/>
  <c r="H478" i="11"/>
  <c r="H477" i="11"/>
  <c r="H476" i="11"/>
  <c r="H475" i="11"/>
  <c r="H474" i="11"/>
  <c r="H473" i="11"/>
  <c r="H472" i="11"/>
  <c r="H471" i="11"/>
  <c r="H468" i="11"/>
  <c r="H467" i="11"/>
  <c r="H376" i="11"/>
  <c r="H375" i="11"/>
  <c r="H65" i="17"/>
  <c r="H64" i="17"/>
  <c r="H63" i="17"/>
  <c r="H62" i="17"/>
  <c r="H61" i="17"/>
  <c r="H60" i="17"/>
  <c r="H59" i="17"/>
  <c r="H58" i="17"/>
  <c r="H33" i="17"/>
  <c r="H32" i="17"/>
  <c r="H31" i="17"/>
  <c r="H15" i="17"/>
  <c r="H14" i="17"/>
  <c r="H13" i="17"/>
  <c r="H12" i="17"/>
  <c r="H305" i="11"/>
  <c r="H670" i="12"/>
  <c r="H663" i="12"/>
  <c r="H646" i="12"/>
  <c r="H614" i="12"/>
  <c r="H613" i="12"/>
  <c r="H612" i="12"/>
  <c r="H611" i="12"/>
  <c r="H610" i="12"/>
  <c r="H609" i="12"/>
  <c r="H608" i="12"/>
  <c r="H605" i="12"/>
  <c r="H604" i="12"/>
  <c r="H603" i="12"/>
  <c r="H602" i="12"/>
  <c r="H601" i="12"/>
  <c r="H600" i="12"/>
  <c r="H595" i="12"/>
  <c r="H594" i="12"/>
  <c r="H593" i="12"/>
  <c r="H592" i="12"/>
  <c r="H591" i="12"/>
  <c r="H590" i="12"/>
  <c r="H585" i="12"/>
  <c r="H584" i="12"/>
  <c r="H583" i="12"/>
  <c r="H582" i="12"/>
  <c r="H581" i="12"/>
  <c r="H580" i="12"/>
  <c r="H456" i="12"/>
  <c r="H455" i="12"/>
  <c r="H454" i="12"/>
  <c r="H453" i="12"/>
  <c r="H452" i="12"/>
  <c r="H451" i="12"/>
  <c r="H450" i="12"/>
  <c r="H447" i="12"/>
  <c r="H446" i="12"/>
  <c r="H445" i="12"/>
  <c r="H444" i="12"/>
  <c r="H443" i="12"/>
  <c r="H442" i="12"/>
  <c r="H437" i="12"/>
  <c r="H436" i="12"/>
  <c r="H435" i="12"/>
  <c r="H434" i="12"/>
  <c r="H433" i="12"/>
  <c r="H432" i="12"/>
  <c r="H426" i="12"/>
  <c r="H425" i="12"/>
  <c r="H424" i="12"/>
  <c r="H423" i="12"/>
  <c r="H422" i="12"/>
  <c r="H268" i="12"/>
  <c r="H267" i="12"/>
  <c r="H266" i="12"/>
  <c r="H265" i="12"/>
  <c r="H264" i="12"/>
  <c r="H263" i="12"/>
  <c r="H262" i="12"/>
  <c r="H297" i="12"/>
  <c r="H296" i="12"/>
  <c r="H295" i="12"/>
  <c r="H294" i="12"/>
  <c r="H293" i="12"/>
  <c r="H292" i="12"/>
  <c r="H291" i="12"/>
  <c r="H288" i="12"/>
  <c r="H287" i="12"/>
  <c r="H286" i="12"/>
  <c r="H285" i="12"/>
  <c r="H284" i="12"/>
  <c r="H283" i="12"/>
  <c r="H278" i="12"/>
  <c r="H277" i="12"/>
  <c r="H276" i="12"/>
  <c r="H275" i="12"/>
  <c r="H274" i="12"/>
  <c r="H273" i="12"/>
  <c r="H579" i="12"/>
  <c r="H578" i="12"/>
  <c r="H554" i="12"/>
  <c r="H553" i="12"/>
  <c r="H549" i="12"/>
  <c r="H548" i="12"/>
  <c r="H540" i="12"/>
  <c r="H539" i="12"/>
  <c r="H534" i="12"/>
  <c r="H533" i="12"/>
  <c r="H520" i="12"/>
  <c r="H519" i="12"/>
  <c r="H513" i="12"/>
  <c r="H512" i="12"/>
  <c r="H499" i="12"/>
  <c r="H498" i="12"/>
  <c r="H487" i="12"/>
  <c r="H486" i="12"/>
  <c r="H481" i="12"/>
  <c r="H480" i="12"/>
  <c r="H399" i="12"/>
  <c r="H394" i="12"/>
  <c r="H393" i="12"/>
  <c r="H385" i="12"/>
  <c r="H384" i="12"/>
  <c r="H379" i="12"/>
  <c r="H378" i="12"/>
  <c r="H365" i="12"/>
  <c r="H364" i="12"/>
  <c r="H363" i="12"/>
  <c r="H357" i="12"/>
  <c r="H356" i="12"/>
  <c r="H332" i="12"/>
  <c r="H331" i="12"/>
  <c r="H325" i="12"/>
  <c r="H324" i="12"/>
  <c r="H343" i="12"/>
  <c r="H342" i="12"/>
  <c r="H236" i="12"/>
  <c r="H235" i="12"/>
  <c r="H234" i="12"/>
  <c r="H229" i="12"/>
  <c r="H228" i="12"/>
  <c r="H219" i="12"/>
  <c r="H218" i="12"/>
  <c r="H217" i="12"/>
  <c r="H212" i="12"/>
  <c r="H211" i="12"/>
  <c r="H201" i="12"/>
  <c r="H200" i="12"/>
  <c r="H192" i="12"/>
  <c r="H191" i="12"/>
  <c r="H180" i="12"/>
  <c r="H179" i="12"/>
  <c r="H895" i="17"/>
  <c r="H894" i="17"/>
  <c r="H893" i="17"/>
  <c r="H892" i="17"/>
  <c r="H891" i="17"/>
  <c r="H358" i="17"/>
  <c r="H357" i="17"/>
  <c r="H356" i="17"/>
  <c r="H355" i="17"/>
  <c r="H354" i="17"/>
  <c r="H353" i="17"/>
  <c r="H352" i="17"/>
  <c r="H351" i="17"/>
  <c r="H350" i="17"/>
  <c r="H349" i="17"/>
  <c r="H348" i="17"/>
  <c r="H347" i="17"/>
  <c r="H265" i="17"/>
  <c r="H264" i="17"/>
  <c r="H263" i="17"/>
  <c r="H262" i="17"/>
  <c r="H261" i="17"/>
  <c r="H260" i="17"/>
  <c r="H259" i="17"/>
  <c r="H258" i="17"/>
  <c r="H257" i="17"/>
  <c r="H256" i="17"/>
  <c r="H255" i="17"/>
  <c r="H254" i="17"/>
  <c r="H253" i="17"/>
  <c r="H252" i="17"/>
  <c r="H251" i="17"/>
  <c r="H250" i="17"/>
  <c r="H176" i="17"/>
  <c r="H175" i="17"/>
  <c r="H174" i="17"/>
  <c r="H173" i="17"/>
  <c r="H172" i="17"/>
  <c r="H73" i="17"/>
  <c r="H72" i="17"/>
  <c r="H69" i="17"/>
  <c r="H68" i="17"/>
  <c r="H57" i="17"/>
  <c r="H56" i="17"/>
  <c r="H1907" i="11"/>
  <c r="H1906" i="11"/>
  <c r="H1941" i="11"/>
  <c r="H1940" i="11"/>
  <c r="H1939" i="11"/>
  <c r="H754" i="12"/>
  <c r="H753" i="12"/>
  <c r="H752" i="12"/>
  <c r="H751" i="12"/>
  <c r="H750" i="12"/>
  <c r="H749" i="12"/>
  <c r="H19" i="16"/>
  <c r="H18" i="16"/>
  <c r="H17" i="16"/>
  <c r="H16" i="16"/>
  <c r="H15" i="16"/>
  <c r="H14" i="16"/>
  <c r="H13" i="16"/>
  <c r="H12" i="16"/>
  <c r="H11" i="16"/>
  <c r="H29" i="16"/>
  <c r="H157" i="16"/>
  <c r="H156" i="16"/>
  <c r="H155" i="16"/>
  <c r="H154" i="16"/>
  <c r="H153" i="16"/>
  <c r="H152" i="16"/>
  <c r="H151" i="16"/>
  <c r="H150" i="16"/>
  <c r="H149" i="16"/>
  <c r="H148" i="16"/>
  <c r="H145" i="16"/>
  <c r="H144" i="16"/>
  <c r="H143" i="16"/>
  <c r="H142" i="16"/>
  <c r="H141" i="16"/>
  <c r="H140" i="16"/>
  <c r="H139" i="16"/>
  <c r="H138" i="16"/>
  <c r="H135" i="16"/>
  <c r="H134" i="16"/>
  <c r="H133" i="16"/>
  <c r="H132" i="16"/>
  <c r="H131" i="16"/>
  <c r="H130" i="16"/>
  <c r="H129" i="16"/>
  <c r="H128" i="16"/>
  <c r="H125" i="16"/>
  <c r="H124" i="16"/>
  <c r="H123" i="16"/>
  <c r="H122" i="16"/>
  <c r="H121" i="16"/>
  <c r="H120" i="16"/>
  <c r="H119" i="16"/>
  <c r="H118" i="16"/>
  <c r="H115" i="16"/>
  <c r="H114" i="16"/>
  <c r="H113" i="16"/>
  <c r="H112" i="16"/>
  <c r="H111" i="16"/>
  <c r="H110" i="16"/>
  <c r="H109" i="16"/>
  <c r="H108" i="16"/>
  <c r="H107" i="16"/>
  <c r="H106" i="16"/>
  <c r="H37" i="16"/>
  <c r="H36" i="16"/>
  <c r="H35" i="16"/>
  <c r="H34" i="16"/>
  <c r="H33" i="16"/>
  <c r="H32" i="16"/>
  <c r="H31" i="16"/>
  <c r="H30" i="16"/>
  <c r="H9" i="16"/>
  <c r="H160" i="23"/>
  <c r="H159" i="23"/>
  <c r="H158" i="23"/>
  <c r="H157" i="23"/>
  <c r="H156" i="23"/>
  <c r="H155" i="23"/>
  <c r="H154" i="23"/>
  <c r="H151" i="23"/>
  <c r="H150" i="23"/>
  <c r="H149" i="23"/>
  <c r="H148" i="23"/>
  <c r="H147" i="23"/>
  <c r="H146" i="23"/>
  <c r="H145" i="23"/>
  <c r="H144" i="23"/>
  <c r="H143" i="23"/>
  <c r="H142" i="23"/>
  <c r="H141" i="23"/>
  <c r="H140" i="23"/>
  <c r="H139" i="23"/>
  <c r="H136" i="23"/>
  <c r="H135" i="23"/>
  <c r="H134" i="23"/>
  <c r="H133" i="23"/>
  <c r="H132" i="23"/>
  <c r="H131" i="23"/>
  <c r="H130" i="23"/>
  <c r="H129" i="23"/>
  <c r="H126" i="23"/>
  <c r="H125" i="23"/>
  <c r="H124" i="23"/>
  <c r="H123" i="23"/>
  <c r="H122" i="23"/>
  <c r="H121" i="23"/>
  <c r="H120" i="23"/>
  <c r="H117" i="23"/>
  <c r="H116" i="23"/>
  <c r="H115" i="23"/>
  <c r="H114" i="23"/>
  <c r="H113" i="23"/>
  <c r="H112" i="23"/>
  <c r="H111" i="23"/>
  <c r="H110" i="23"/>
  <c r="H107" i="23"/>
  <c r="H106" i="23"/>
  <c r="H105" i="23"/>
  <c r="H104" i="23"/>
  <c r="H103" i="23"/>
  <c r="H102" i="23"/>
  <c r="H101" i="23"/>
  <c r="H100" i="23"/>
  <c r="H97" i="23"/>
  <c r="H96" i="23"/>
  <c r="H95" i="23"/>
  <c r="H94" i="23"/>
  <c r="H93" i="23"/>
  <c r="H92" i="23"/>
  <c r="H91" i="23"/>
  <c r="H90" i="23"/>
  <c r="H89" i="23"/>
  <c r="H88" i="23"/>
  <c r="H84" i="23"/>
  <c r="H83" i="23"/>
  <c r="H82" i="23"/>
  <c r="H81" i="23"/>
  <c r="H80" i="23"/>
  <c r="H79" i="23"/>
  <c r="H78" i="23"/>
  <c r="H77" i="23"/>
  <c r="H76" i="23"/>
  <c r="H74" i="23"/>
  <c r="H73" i="23"/>
  <c r="H72" i="23"/>
  <c r="H71" i="23"/>
  <c r="H70" i="23"/>
  <c r="H69" i="23"/>
  <c r="H68" i="23"/>
  <c r="H67" i="23"/>
  <c r="H66" i="23"/>
  <c r="H63" i="23"/>
  <c r="H61" i="23"/>
  <c r="H58" i="23"/>
  <c r="H55" i="23"/>
  <c r="H54" i="23"/>
  <c r="H53" i="23"/>
  <c r="H52" i="23"/>
  <c r="H51" i="23"/>
  <c r="H50" i="23"/>
  <c r="H49" i="23"/>
  <c r="H48" i="23"/>
  <c r="H47" i="23"/>
  <c r="H46" i="23"/>
  <c r="H45" i="23"/>
  <c r="H42" i="23"/>
  <c r="H39" i="23"/>
  <c r="H38" i="23"/>
  <c r="H37" i="23"/>
  <c r="H36" i="23"/>
  <c r="H35" i="23"/>
  <c r="H34" i="23"/>
  <c r="H33" i="23"/>
  <c r="H32" i="23"/>
  <c r="H31" i="23"/>
  <c r="H30" i="23"/>
  <c r="H29" i="23"/>
  <c r="H26" i="23"/>
  <c r="H23" i="23"/>
  <c r="H22" i="23"/>
  <c r="H21" i="23"/>
  <c r="H20" i="23"/>
  <c r="H19" i="23"/>
  <c r="H18" i="23"/>
  <c r="H17" i="23"/>
  <c r="H16" i="23"/>
  <c r="H15" i="23"/>
  <c r="H14" i="23"/>
  <c r="H13" i="23"/>
  <c r="H10" i="23"/>
  <c r="H7" i="23"/>
  <c r="H721" i="12"/>
  <c r="H978" i="17"/>
  <c r="H977" i="17"/>
  <c r="H974" i="17"/>
  <c r="H973" i="17"/>
  <c r="H972" i="17"/>
  <c r="H971" i="17"/>
  <c r="H964" i="17"/>
  <c r="H963" i="17"/>
  <c r="H960" i="17"/>
  <c r="H959" i="17"/>
  <c r="H958" i="17"/>
  <c r="H957" i="17"/>
  <c r="H956" i="17"/>
  <c r="H955" i="17"/>
  <c r="H954" i="17"/>
  <c r="H953" i="17"/>
  <c r="H950" i="17"/>
  <c r="H949" i="17"/>
  <c r="H948" i="17"/>
  <c r="H947" i="17"/>
  <c r="H946" i="17"/>
  <c r="H945" i="17"/>
  <c r="H944" i="17"/>
  <c r="H943" i="17"/>
  <c r="H942" i="17"/>
  <c r="H941" i="17"/>
  <c r="H940" i="17"/>
  <c r="H939" i="17"/>
  <c r="H938" i="17"/>
  <c r="H937" i="17"/>
  <c r="H936" i="17"/>
  <c r="H926" i="17"/>
  <c r="H925" i="17"/>
  <c r="H924" i="17"/>
  <c r="H923" i="17"/>
  <c r="H922" i="17"/>
  <c r="H921" i="17"/>
  <c r="H920" i="17"/>
  <c r="H916" i="17"/>
  <c r="H913" i="17"/>
  <c r="H911" i="17"/>
  <c r="H909" i="17"/>
  <c r="H907" i="17"/>
  <c r="H905" i="17"/>
  <c r="H903" i="17"/>
  <c r="H901" i="17"/>
  <c r="H900" i="17"/>
  <c r="H896" i="17"/>
  <c r="H889" i="17"/>
  <c r="H887" i="17"/>
  <c r="H886" i="17"/>
  <c r="H885" i="17"/>
  <c r="H883" i="17"/>
  <c r="H882" i="17"/>
  <c r="H881" i="17"/>
  <c r="H879" i="17"/>
  <c r="H878" i="17"/>
  <c r="H877" i="17"/>
  <c r="H876" i="17"/>
  <c r="H875" i="17"/>
  <c r="H874" i="17"/>
  <c r="H873" i="17"/>
  <c r="H871" i="17"/>
  <c r="H870" i="17"/>
  <c r="H869" i="17"/>
  <c r="H868" i="17"/>
  <c r="H867" i="17"/>
  <c r="H866" i="17"/>
  <c r="H865" i="17"/>
  <c r="H863" i="17"/>
  <c r="H862" i="17"/>
  <c r="H860" i="17"/>
  <c r="H859" i="17"/>
  <c r="H849" i="17"/>
  <c r="H848" i="17"/>
  <c r="H847" i="17"/>
  <c r="H846" i="17"/>
  <c r="H845" i="17"/>
  <c r="H844" i="17"/>
  <c r="H843" i="17"/>
  <c r="H839" i="17"/>
  <c r="H837" i="17"/>
  <c r="H835" i="17"/>
  <c r="H833" i="17"/>
  <c r="H832" i="17"/>
  <c r="H830" i="17"/>
  <c r="H828" i="17"/>
  <c r="H827" i="17"/>
  <c r="H825" i="17"/>
  <c r="H823" i="17"/>
  <c r="H821" i="17"/>
  <c r="H820" i="17"/>
  <c r="H819" i="17"/>
  <c r="H817" i="17"/>
  <c r="H816" i="17"/>
  <c r="H813" i="17"/>
  <c r="H812" i="17"/>
  <c r="H811" i="17"/>
  <c r="H810" i="17"/>
  <c r="H809" i="17"/>
  <c r="H808" i="17"/>
  <c r="H807" i="17"/>
  <c r="H806" i="17"/>
  <c r="H805" i="17"/>
  <c r="H804" i="17"/>
  <c r="H803" i="17"/>
  <c r="H802" i="17"/>
  <c r="H801" i="17"/>
  <c r="H800" i="17"/>
  <c r="H799" i="17"/>
  <c r="H798" i="17"/>
  <c r="H797" i="17"/>
  <c r="H796" i="17"/>
  <c r="H795" i="17"/>
  <c r="H610" i="17"/>
  <c r="H609" i="17"/>
  <c r="H608" i="17"/>
  <c r="H607" i="17"/>
  <c r="H606" i="17"/>
  <c r="H605" i="17"/>
  <c r="H604" i="17"/>
  <c r="H603" i="17"/>
  <c r="H602" i="17"/>
  <c r="H601" i="17"/>
  <c r="H600" i="17"/>
  <c r="H599" i="17"/>
  <c r="H598" i="17"/>
  <c r="H597" i="17"/>
  <c r="H596" i="17"/>
  <c r="H595" i="17"/>
  <c r="H594" i="17"/>
  <c r="H593" i="17"/>
  <c r="H592" i="17"/>
  <c r="H591" i="17"/>
  <c r="H590" i="17"/>
  <c r="H589" i="17"/>
  <c r="H588" i="17"/>
  <c r="H587" i="17"/>
  <c r="H586" i="17"/>
  <c r="H585" i="17"/>
  <c r="H584" i="17"/>
  <c r="H583" i="17"/>
  <c r="H580" i="17"/>
  <c r="H579" i="17"/>
  <c r="H578" i="17"/>
  <c r="H577" i="17"/>
  <c r="H576" i="17"/>
  <c r="H575" i="17"/>
  <c r="H572" i="17"/>
  <c r="H571" i="17"/>
  <c r="H570" i="17"/>
  <c r="H569" i="17"/>
  <c r="H568" i="17"/>
  <c r="H565" i="17"/>
  <c r="H564" i="17"/>
  <c r="H563" i="17"/>
  <c r="H562" i="17"/>
  <c r="H561" i="17"/>
  <c r="H560" i="17"/>
  <c r="H559" i="17"/>
  <c r="H558" i="17"/>
  <c r="H557" i="17"/>
  <c r="H556" i="17"/>
  <c r="H550" i="17"/>
  <c r="H549" i="17"/>
  <c r="H548" i="17"/>
  <c r="H547" i="17"/>
  <c r="H546" i="17"/>
  <c r="H545" i="17"/>
  <c r="H544" i="17"/>
  <c r="H543" i="17"/>
  <c r="H542" i="17"/>
  <c r="H541" i="17"/>
  <c r="H540" i="17"/>
  <c r="H537" i="17"/>
  <c r="H536" i="17"/>
  <c r="H533" i="17"/>
  <c r="H530" i="17"/>
  <c r="H529" i="17"/>
  <c r="H528" i="17"/>
  <c r="H527" i="17"/>
  <c r="H526" i="17"/>
  <c r="H525" i="17"/>
  <c r="H524" i="17"/>
  <c r="H523" i="17"/>
  <c r="H522" i="17"/>
  <c r="H516" i="17"/>
  <c r="H515" i="17"/>
  <c r="H512" i="17"/>
  <c r="H511" i="17"/>
  <c r="H510" i="17"/>
  <c r="H509" i="17"/>
  <c r="H508" i="17"/>
  <c r="H507" i="17"/>
  <c r="H506" i="17"/>
  <c r="H505" i="17"/>
  <c r="H504" i="17"/>
  <c r="H498" i="17"/>
  <c r="H497" i="17"/>
  <c r="H496" i="17"/>
  <c r="H493" i="17"/>
  <c r="H492" i="17"/>
  <c r="H491" i="17"/>
  <c r="H490" i="17"/>
  <c r="H489" i="17"/>
  <c r="H488" i="17"/>
  <c r="H487" i="17"/>
  <c r="H486" i="17"/>
  <c r="H485" i="17"/>
  <c r="H479" i="17"/>
  <c r="H478" i="17"/>
  <c r="H477" i="17"/>
  <c r="H476" i="17"/>
  <c r="H475" i="17"/>
  <c r="H474" i="17"/>
  <c r="H473" i="17"/>
  <c r="H472" i="17"/>
  <c r="H471" i="17"/>
  <c r="H470" i="17"/>
  <c r="H469" i="17"/>
  <c r="H468" i="17"/>
  <c r="H467" i="17"/>
  <c r="H466" i="17"/>
  <c r="H463" i="17"/>
  <c r="H462" i="17"/>
  <c r="H461" i="17"/>
  <c r="H460" i="17"/>
  <c r="H459" i="17"/>
  <c r="H456" i="17"/>
  <c r="H455" i="17"/>
  <c r="H454" i="17"/>
  <c r="H453" i="17"/>
  <c r="H452" i="17"/>
  <c r="H451" i="17"/>
  <c r="H450" i="17"/>
  <c r="H449" i="17"/>
  <c r="H448" i="17"/>
  <c r="H443" i="17"/>
  <c r="H442" i="17"/>
  <c r="H441" i="17"/>
  <c r="H438" i="17"/>
  <c r="H435" i="17"/>
  <c r="H434" i="17"/>
  <c r="H433" i="17"/>
  <c r="H432" i="17"/>
  <c r="H431" i="17"/>
  <c r="H430" i="17"/>
  <c r="H429" i="17"/>
  <c r="H428" i="17"/>
  <c r="H427" i="17"/>
  <c r="H426" i="17"/>
  <c r="H425" i="17"/>
  <c r="H424" i="17"/>
  <c r="H423" i="17"/>
  <c r="H422" i="17"/>
  <c r="H419" i="17"/>
  <c r="H418" i="17"/>
  <c r="H417" i="17"/>
  <c r="H416" i="17"/>
  <c r="H413" i="17"/>
  <c r="H412" i="17"/>
  <c r="H411" i="17"/>
  <c r="H410" i="17"/>
  <c r="H409" i="17"/>
  <c r="H408" i="17"/>
  <c r="H407" i="17"/>
  <c r="H406" i="17"/>
  <c r="H405" i="17"/>
  <c r="H398" i="17"/>
  <c r="H397" i="17"/>
  <c r="H396" i="17"/>
  <c r="H395" i="17"/>
  <c r="H388" i="17"/>
  <c r="H387" i="17"/>
  <c r="H386" i="17"/>
  <c r="H389" i="17"/>
  <c r="H381" i="17"/>
  <c r="H380" i="17"/>
  <c r="H379" i="17"/>
  <c r="H378" i="17"/>
  <c r="H377" i="17"/>
  <c r="H376" i="17"/>
  <c r="H373" i="17"/>
  <c r="H372" i="17"/>
  <c r="H371" i="17"/>
  <c r="H370" i="17"/>
  <c r="H346" i="17"/>
  <c r="H345" i="17"/>
  <c r="H344" i="17"/>
  <c r="H343" i="17"/>
  <c r="H342" i="17"/>
  <c r="H341" i="17"/>
  <c r="H340" i="17"/>
  <c r="H339" i="17"/>
  <c r="H338" i="17"/>
  <c r="H337" i="17"/>
  <c r="H336" i="17"/>
  <c r="H335" i="17"/>
  <c r="H330" i="17"/>
  <c r="H309" i="17"/>
  <c r="H308" i="17"/>
  <c r="H307" i="17"/>
  <c r="H306" i="17"/>
  <c r="H305" i="17"/>
  <c r="H304" i="17"/>
  <c r="H303" i="17"/>
  <c r="H302" i="17"/>
  <c r="H300" i="17"/>
  <c r="H298" i="17"/>
  <c r="H290" i="17"/>
  <c r="H289" i="17"/>
  <c r="H288" i="17"/>
  <c r="H287" i="17"/>
  <c r="H286" i="17"/>
  <c r="H285" i="17"/>
  <c r="H284" i="17"/>
  <c r="H283" i="17"/>
  <c r="H281" i="17"/>
  <c r="H279" i="17"/>
  <c r="H277" i="17"/>
  <c r="H271" i="17"/>
  <c r="H270" i="17"/>
  <c r="H249" i="17"/>
  <c r="H248" i="17"/>
  <c r="H247" i="17"/>
  <c r="H246" i="17"/>
  <c r="H245" i="17"/>
  <c r="H244" i="17"/>
  <c r="H243" i="17"/>
  <c r="H242" i="17"/>
  <c r="H241" i="17"/>
  <c r="H239" i="17"/>
  <c r="H238" i="17"/>
  <c r="H234" i="17"/>
  <c r="H233" i="17"/>
  <c r="H232" i="17"/>
  <c r="H231" i="17"/>
  <c r="H222" i="17"/>
  <c r="H221" i="17"/>
  <c r="H220" i="17"/>
  <c r="H219" i="17"/>
  <c r="H218" i="17"/>
  <c r="H217" i="17"/>
  <c r="H216" i="17"/>
  <c r="H215" i="17"/>
  <c r="H214" i="17"/>
  <c r="H213" i="17"/>
  <c r="H212" i="17"/>
  <c r="H211" i="17"/>
  <c r="H210" i="17"/>
  <c r="H209" i="17"/>
  <c r="H208" i="17"/>
  <c r="H207" i="17"/>
  <c r="H206" i="17"/>
  <c r="H205" i="17"/>
  <c r="H204" i="17"/>
  <c r="H203" i="17"/>
  <c r="H202" i="17"/>
  <c r="H201" i="17"/>
  <c r="H200" i="17"/>
  <c r="H198" i="17"/>
  <c r="H196" i="17"/>
  <c r="H195" i="17"/>
  <c r="H194" i="17"/>
  <c r="H193" i="17"/>
  <c r="H192" i="17"/>
  <c r="H190" i="17"/>
  <c r="H189" i="17"/>
  <c r="H188" i="17"/>
  <c r="H187" i="17"/>
  <c r="H186" i="17"/>
  <c r="H182" i="17"/>
  <c r="H180" i="17"/>
  <c r="H179" i="17"/>
  <c r="H178" i="17"/>
  <c r="H177" i="17"/>
  <c r="H170" i="17"/>
  <c r="H168" i="17"/>
  <c r="H166" i="17"/>
  <c r="H165" i="17"/>
  <c r="H164" i="17"/>
  <c r="H163" i="17"/>
  <c r="H162" i="17"/>
  <c r="H153" i="17"/>
  <c r="H149" i="17"/>
  <c r="H148" i="17"/>
  <c r="H147" i="17"/>
  <c r="H146" i="17"/>
  <c r="H145" i="17"/>
  <c r="H144" i="17"/>
  <c r="H143" i="17"/>
  <c r="H142" i="17"/>
  <c r="H140" i="17"/>
  <c r="H139" i="17"/>
  <c r="H129" i="17"/>
  <c r="H128" i="17"/>
  <c r="H127" i="17"/>
  <c r="H126" i="17"/>
  <c r="H125" i="17"/>
  <c r="H124" i="17"/>
  <c r="H123" i="17"/>
  <c r="H121" i="17"/>
  <c r="H117" i="17"/>
  <c r="H115" i="17"/>
  <c r="H114" i="17"/>
  <c r="H113" i="17"/>
  <c r="H112" i="17"/>
  <c r="H111" i="17"/>
  <c r="H109" i="17"/>
  <c r="H108" i="17"/>
  <c r="H107" i="17"/>
  <c r="H106" i="17"/>
  <c r="H104" i="17"/>
  <c r="H102" i="17"/>
  <c r="H101" i="17"/>
  <c r="H100" i="17"/>
  <c r="H99" i="17"/>
  <c r="H98" i="17"/>
  <c r="H94" i="17"/>
  <c r="H93" i="17"/>
  <c r="H92" i="17"/>
  <c r="H90" i="17"/>
  <c r="H88" i="17"/>
  <c r="H87" i="17"/>
  <c r="H86" i="17"/>
  <c r="H85" i="17"/>
  <c r="H83" i="17"/>
  <c r="H82" i="17"/>
  <c r="H81" i="17"/>
  <c r="H80" i="17"/>
  <c r="H71" i="17"/>
  <c r="H70" i="17"/>
  <c r="H67" i="17"/>
  <c r="H66" i="17"/>
  <c r="H55" i="17"/>
  <c r="H54" i="17"/>
  <c r="H51" i="17"/>
  <c r="H50" i="17"/>
  <c r="H49" i="17"/>
  <c r="H48" i="17"/>
  <c r="H47" i="17"/>
  <c r="H46" i="17"/>
  <c r="H43" i="17"/>
  <c r="H42" i="17"/>
  <c r="H41" i="17"/>
  <c r="H39" i="17"/>
  <c r="H38" i="17"/>
  <c r="H37" i="17"/>
  <c r="H36" i="17"/>
  <c r="H35" i="17"/>
  <c r="H34" i="17"/>
  <c r="H30" i="17"/>
  <c r="H29" i="17"/>
  <c r="H28" i="17"/>
  <c r="H16" i="17"/>
  <c r="H11" i="17"/>
  <c r="H10" i="17"/>
  <c r="H788" i="12"/>
  <c r="H787" i="12"/>
  <c r="H786" i="12"/>
  <c r="H785" i="12"/>
  <c r="H784" i="12"/>
  <c r="H783" i="12"/>
  <c r="H782" i="12"/>
  <c r="H781" i="12"/>
  <c r="H777" i="12"/>
  <c r="H772" i="12"/>
  <c r="H771" i="12"/>
  <c r="H770" i="12"/>
  <c r="H769" i="12"/>
  <c r="H767" i="12"/>
  <c r="H766" i="12"/>
  <c r="H765" i="12"/>
  <c r="H764" i="12"/>
  <c r="H763" i="12"/>
  <c r="H761" i="12"/>
  <c r="H760" i="12"/>
  <c r="H759" i="12"/>
  <c r="H758" i="12"/>
  <c r="H757" i="12"/>
  <c r="H756" i="12"/>
  <c r="H747" i="12"/>
  <c r="H746" i="12"/>
  <c r="H745" i="12"/>
  <c r="H744" i="12"/>
  <c r="H743" i="12"/>
  <c r="H742" i="12"/>
  <c r="H740" i="12"/>
  <c r="H739" i="12"/>
  <c r="H738" i="12"/>
  <c r="H737" i="12"/>
  <c r="H728" i="12"/>
  <c r="H727" i="12"/>
  <c r="H726" i="12"/>
  <c r="H725" i="12"/>
  <c r="H724" i="12"/>
  <c r="H723" i="12"/>
  <c r="H722" i="12"/>
  <c r="H720" i="12"/>
  <c r="H719" i="12"/>
  <c r="H718" i="12"/>
  <c r="H717" i="12"/>
  <c r="H716" i="12"/>
  <c r="H713" i="12"/>
  <c r="H712" i="12"/>
  <c r="H711" i="12"/>
  <c r="H710" i="12"/>
  <c r="H709" i="12"/>
  <c r="H708" i="12"/>
  <c r="H707" i="12"/>
  <c r="H706" i="12"/>
  <c r="H705" i="12"/>
  <c r="H704" i="12"/>
  <c r="H703" i="12"/>
  <c r="H702" i="12"/>
  <c r="H701" i="12"/>
  <c r="H700" i="12"/>
  <c r="H699" i="12"/>
  <c r="H696" i="12"/>
  <c r="H695" i="12"/>
  <c r="H694" i="12"/>
  <c r="H693" i="12"/>
  <c r="H692" i="12"/>
  <c r="H691" i="12"/>
  <c r="H690" i="12"/>
  <c r="H689" i="12"/>
  <c r="H688" i="12"/>
  <c r="H687" i="12"/>
  <c r="H686" i="12"/>
  <c r="H685" i="12"/>
  <c r="H684" i="12"/>
  <c r="H683" i="12"/>
  <c r="H682" i="12"/>
  <c r="H679" i="12"/>
  <c r="H678" i="12"/>
  <c r="H676" i="12"/>
  <c r="H675" i="12"/>
  <c r="H674" i="12"/>
  <c r="H672" i="12"/>
  <c r="H671" i="12"/>
  <c r="H669" i="12"/>
  <c r="H668" i="12"/>
  <c r="H666" i="12"/>
  <c r="H665" i="12"/>
  <c r="H664" i="12"/>
  <c r="H662" i="12"/>
  <c r="H661" i="12"/>
  <c r="H660" i="12"/>
  <c r="H658" i="12"/>
  <c r="H657" i="12"/>
  <c r="H656" i="12"/>
  <c r="H655" i="12"/>
  <c r="H654" i="12"/>
  <c r="H653" i="12"/>
  <c r="H652" i="12"/>
  <c r="H651" i="12"/>
  <c r="H649" i="12"/>
  <c r="H648" i="12"/>
  <c r="H647" i="12"/>
  <c r="H645" i="12"/>
  <c r="H644" i="12"/>
  <c r="H643" i="12"/>
  <c r="H641" i="12"/>
  <c r="H640" i="12"/>
  <c r="H639" i="12"/>
  <c r="H638" i="12"/>
  <c r="H637" i="12"/>
  <c r="H636" i="12"/>
  <c r="H634" i="12"/>
  <c r="H633" i="12"/>
  <c r="H632" i="12"/>
  <c r="H631" i="12"/>
  <c r="H630" i="12"/>
  <c r="H629" i="12"/>
  <c r="H628" i="12"/>
  <c r="H624" i="12"/>
  <c r="H623" i="12"/>
  <c r="H620" i="12"/>
  <c r="H619" i="12"/>
  <c r="H618" i="12"/>
  <c r="H617" i="12"/>
  <c r="H616" i="12"/>
  <c r="H607" i="12"/>
  <c r="H599" i="12"/>
  <c r="H598" i="12"/>
  <c r="H597" i="12"/>
  <c r="H589" i="12"/>
  <c r="H588" i="12"/>
  <c r="H587" i="12"/>
  <c r="H576" i="12"/>
  <c r="H575" i="12"/>
  <c r="H574" i="12"/>
  <c r="H572" i="12"/>
  <c r="H571" i="12"/>
  <c r="H570" i="12"/>
  <c r="H569" i="12"/>
  <c r="H567" i="12"/>
  <c r="H566" i="12"/>
  <c r="H565" i="12"/>
  <c r="H560" i="12"/>
  <c r="H558" i="12"/>
  <c r="H557" i="12"/>
  <c r="H556" i="12"/>
  <c r="H552" i="12"/>
  <c r="H551" i="12"/>
  <c r="H547" i="12"/>
  <c r="H546" i="12"/>
  <c r="H545" i="12"/>
  <c r="H544" i="12"/>
  <c r="H543" i="12"/>
  <c r="H541" i="12"/>
  <c r="H538" i="12"/>
  <c r="H537" i="12"/>
  <c r="H536" i="12"/>
  <c r="H532" i="12"/>
  <c r="H531" i="12"/>
  <c r="H530" i="12"/>
  <c r="H529" i="12"/>
  <c r="H528" i="12"/>
  <c r="H527" i="12"/>
  <c r="H526" i="12"/>
  <c r="H525" i="12"/>
  <c r="H524" i="12"/>
  <c r="H523" i="12"/>
  <c r="H521" i="12"/>
  <c r="H518" i="12"/>
  <c r="H517" i="12"/>
  <c r="H516" i="12"/>
  <c r="H515" i="12"/>
  <c r="H511" i="12"/>
  <c r="H510" i="12"/>
  <c r="H509" i="12"/>
  <c r="H508" i="12"/>
  <c r="H507" i="12"/>
  <c r="H506" i="12"/>
  <c r="H505" i="12"/>
  <c r="H504" i="12"/>
  <c r="H503" i="12"/>
  <c r="H502" i="12"/>
  <c r="H500" i="12"/>
  <c r="H497" i="12"/>
  <c r="H496" i="12"/>
  <c r="H495" i="12"/>
  <c r="H494" i="12"/>
  <c r="H493" i="12"/>
  <c r="H492" i="12"/>
  <c r="H491" i="12"/>
  <c r="H490" i="12"/>
  <c r="H485" i="12"/>
  <c r="H484" i="12"/>
  <c r="H483" i="12"/>
  <c r="H479" i="12"/>
  <c r="H478" i="12"/>
  <c r="H477" i="12"/>
  <c r="H476" i="12"/>
  <c r="H475" i="12"/>
  <c r="H474" i="12"/>
  <c r="H472" i="12"/>
  <c r="H471" i="12"/>
  <c r="H470" i="12"/>
  <c r="H469" i="12"/>
  <c r="H468" i="12"/>
  <c r="H467" i="12"/>
  <c r="H463" i="12"/>
  <c r="H462" i="12"/>
  <c r="H460" i="12"/>
  <c r="H459" i="12"/>
  <c r="H458" i="12"/>
  <c r="H449" i="12"/>
  <c r="H441" i="12"/>
  <c r="H440" i="12"/>
  <c r="H439" i="12"/>
  <c r="H431" i="12"/>
  <c r="H430" i="12"/>
  <c r="H429" i="12"/>
  <c r="H427" i="12"/>
  <c r="H421" i="12"/>
  <c r="H420" i="12"/>
  <c r="H418" i="12"/>
  <c r="H417" i="12"/>
  <c r="H415" i="12"/>
  <c r="H414" i="12"/>
  <c r="H412" i="12"/>
  <c r="H411" i="12"/>
  <c r="H410" i="12"/>
  <c r="H405" i="12"/>
  <c r="H403" i="12"/>
  <c r="H402" i="12"/>
  <c r="H401" i="12"/>
  <c r="H398" i="12"/>
  <c r="H397" i="12"/>
  <c r="H396" i="12"/>
  <c r="H392" i="12"/>
  <c r="H391" i="12"/>
  <c r="H390" i="12"/>
  <c r="H389" i="12"/>
  <c r="H388" i="12"/>
  <c r="H386" i="12"/>
  <c r="H383" i="12"/>
  <c r="H382" i="12"/>
  <c r="H381" i="12"/>
  <c r="H377" i="12"/>
  <c r="H376" i="12"/>
  <c r="H375" i="12"/>
  <c r="H374" i="12"/>
  <c r="H373" i="12"/>
  <c r="H372" i="12"/>
  <c r="H371" i="12"/>
  <c r="H370" i="12"/>
  <c r="H369" i="12"/>
  <c r="H368" i="12"/>
  <c r="H366" i="12"/>
  <c r="H362" i="12"/>
  <c r="H361" i="12"/>
  <c r="H360" i="12"/>
  <c r="H359" i="12"/>
  <c r="H355" i="12"/>
  <c r="H354" i="12"/>
  <c r="H353" i="12"/>
  <c r="H352" i="12"/>
  <c r="H351" i="12"/>
  <c r="H350" i="12"/>
  <c r="H349" i="12"/>
  <c r="H348" i="12"/>
  <c r="H347" i="12"/>
  <c r="H346" i="12"/>
  <c r="H344" i="12"/>
  <c r="H341" i="12"/>
  <c r="H340" i="12"/>
  <c r="H339" i="12"/>
  <c r="H338" i="12"/>
  <c r="H337" i="12"/>
  <c r="H336" i="12"/>
  <c r="H335" i="12"/>
  <c r="H334" i="12"/>
  <c r="H330" i="12"/>
  <c r="H329" i="12"/>
  <c r="H328" i="12"/>
  <c r="H327" i="12"/>
  <c r="H323" i="12"/>
  <c r="H322" i="12"/>
  <c r="H321" i="12"/>
  <c r="H320" i="12"/>
  <c r="H319" i="12"/>
  <c r="H318" i="12"/>
  <c r="H316" i="12"/>
  <c r="H315" i="12"/>
  <c r="H314" i="12"/>
  <c r="H313" i="12"/>
  <c r="H312" i="12"/>
  <c r="H311" i="12"/>
  <c r="H306" i="12"/>
  <c r="H305" i="12"/>
  <c r="H303" i="12"/>
  <c r="H302" i="12"/>
  <c r="H301" i="12"/>
  <c r="H300" i="12"/>
  <c r="H299" i="12"/>
  <c r="H290" i="12"/>
  <c r="H282" i="12"/>
  <c r="H281" i="12"/>
  <c r="H280" i="12"/>
  <c r="H272" i="12"/>
  <c r="H271" i="12"/>
  <c r="H270" i="12"/>
  <c r="H261" i="12"/>
  <c r="H259" i="12"/>
  <c r="H258" i="12"/>
  <c r="H257" i="12"/>
  <c r="H255" i="12"/>
  <c r="H254" i="12"/>
  <c r="H253" i="12"/>
  <c r="H252" i="12"/>
  <c r="H251" i="12"/>
  <c r="H249" i="12"/>
  <c r="H248" i="12"/>
  <c r="H247" i="12"/>
  <c r="H242" i="12"/>
  <c r="H240" i="12"/>
  <c r="H239" i="12"/>
  <c r="H238" i="12"/>
  <c r="H233" i="12"/>
  <c r="H232" i="12"/>
  <c r="H231" i="12"/>
  <c r="H227" i="12"/>
  <c r="H226" i="12"/>
  <c r="H225" i="12"/>
  <c r="H224" i="12"/>
  <c r="H223" i="12"/>
  <c r="H222" i="12"/>
  <c r="H220" i="12"/>
  <c r="H216" i="12"/>
  <c r="H215" i="12"/>
  <c r="H214" i="12"/>
  <c r="H210" i="12"/>
  <c r="H209" i="12"/>
  <c r="H208" i="12"/>
  <c r="H207" i="12"/>
  <c r="H206" i="12"/>
  <c r="H205" i="12"/>
  <c r="H204" i="12"/>
  <c r="H203" i="12"/>
  <c r="H199" i="12"/>
  <c r="H198" i="12"/>
  <c r="H197" i="12"/>
  <c r="H196" i="12"/>
  <c r="H195" i="12"/>
  <c r="H194" i="12"/>
  <c r="H190" i="12"/>
  <c r="H189" i="12"/>
  <c r="H188" i="12"/>
  <c r="H187" i="12"/>
  <c r="H186" i="12"/>
  <c r="H185" i="12"/>
  <c r="H184" i="12"/>
  <c r="H183" i="12"/>
  <c r="H181" i="12"/>
  <c r="H178" i="12"/>
  <c r="H177" i="12"/>
  <c r="H176" i="12"/>
  <c r="H175" i="12"/>
  <c r="H174" i="12"/>
  <c r="H172" i="12"/>
  <c r="H171" i="12"/>
  <c r="H170" i="12"/>
  <c r="H169" i="12"/>
  <c r="H167" i="12"/>
  <c r="H166" i="12"/>
  <c r="H165" i="12"/>
  <c r="H164" i="12"/>
  <c r="H163" i="12"/>
  <c r="H162" i="12"/>
  <c r="H160" i="12"/>
  <c r="H159" i="12"/>
  <c r="H158" i="12"/>
  <c r="H157" i="12"/>
  <c r="H156" i="12"/>
  <c r="H155" i="12"/>
  <c r="H154" i="12"/>
  <c r="H150" i="12"/>
  <c r="H149" i="12"/>
  <c r="H147" i="12"/>
  <c r="H146" i="12"/>
  <c r="H145" i="12"/>
  <c r="H143" i="12"/>
  <c r="H142" i="12"/>
  <c r="H141" i="12"/>
  <c r="H140" i="12"/>
  <c r="H139" i="12"/>
  <c r="H137" i="12"/>
  <c r="H136" i="12"/>
  <c r="H135" i="12"/>
  <c r="H134" i="12"/>
  <c r="H133" i="12"/>
  <c r="H132" i="12"/>
  <c r="H131" i="12"/>
  <c r="H129" i="12"/>
  <c r="H128" i="12"/>
  <c r="H127" i="12"/>
  <c r="H126" i="12"/>
  <c r="H125" i="12"/>
  <c r="H124" i="12"/>
  <c r="H123" i="12"/>
  <c r="H122" i="12"/>
  <c r="H120" i="12"/>
  <c r="H119" i="12"/>
  <c r="H118" i="12"/>
  <c r="H117" i="12"/>
  <c r="H116" i="12"/>
  <c r="H115" i="12"/>
  <c r="H113" i="12"/>
  <c r="H112" i="12"/>
  <c r="H111" i="12"/>
  <c r="H110" i="12"/>
  <c r="H109" i="12"/>
  <c r="H108" i="12"/>
  <c r="H106" i="12"/>
  <c r="H105" i="12"/>
  <c r="H103" i="12"/>
  <c r="H102" i="12"/>
  <c r="H101" i="12"/>
  <c r="H100" i="12"/>
  <c r="H99" i="12"/>
  <c r="H98" i="12"/>
  <c r="H97" i="12"/>
  <c r="H80" i="12"/>
  <c r="H79" i="12"/>
  <c r="H78" i="12"/>
  <c r="H77" i="12"/>
  <c r="H76" i="12"/>
  <c r="H75" i="12"/>
  <c r="H73" i="12"/>
  <c r="H72" i="12"/>
  <c r="H71" i="12"/>
  <c r="H70" i="12"/>
  <c r="H69" i="12"/>
  <c r="H68" i="12"/>
  <c r="H66" i="12"/>
  <c r="H65" i="12"/>
  <c r="H64" i="12"/>
  <c r="H63" i="12"/>
  <c r="H62" i="12"/>
  <c r="H61" i="12"/>
  <c r="H59" i="12"/>
  <c r="H58" i="12"/>
  <c r="H57" i="12"/>
  <c r="H56" i="12"/>
  <c r="H55" i="12"/>
  <c r="H54" i="12"/>
  <c r="H52" i="12"/>
  <c r="H51" i="12"/>
  <c r="H50" i="12"/>
  <c r="H49" i="12"/>
  <c r="H48" i="12"/>
  <c r="H47" i="12"/>
  <c r="H45" i="12"/>
  <c r="H44" i="12"/>
  <c r="H43" i="12"/>
  <c r="H42" i="12"/>
  <c r="H41" i="12"/>
  <c r="H40" i="12"/>
  <c r="H38" i="12"/>
  <c r="H37" i="12"/>
  <c r="H36" i="12"/>
  <c r="H35" i="12"/>
  <c r="H34" i="12"/>
  <c r="H33" i="12"/>
  <c r="H31" i="12"/>
  <c r="H30" i="12"/>
  <c r="H29" i="12"/>
  <c r="H28" i="12"/>
  <c r="H27" i="12"/>
  <c r="H26" i="12"/>
  <c r="H24" i="12"/>
  <c r="H23" i="12"/>
  <c r="H22" i="12"/>
  <c r="H21" i="12"/>
  <c r="H20" i="12"/>
  <c r="H19" i="12"/>
  <c r="H17" i="12"/>
  <c r="H16" i="12"/>
  <c r="H15" i="12"/>
  <c r="H14" i="12"/>
  <c r="H13" i="12"/>
  <c r="H12" i="12"/>
  <c r="H10" i="12"/>
  <c r="H9" i="12"/>
  <c r="H2502" i="11"/>
  <c r="H2501" i="11"/>
  <c r="H2498" i="11"/>
  <c r="H2497" i="11"/>
  <c r="H2494" i="11"/>
  <c r="H2493" i="11"/>
  <c r="H2490" i="11"/>
  <c r="H2489" i="11"/>
  <c r="H2488" i="11"/>
  <c r="H2485" i="11"/>
  <c r="H2484" i="11"/>
  <c r="H2483" i="11"/>
  <c r="H2482" i="11"/>
  <c r="H2479" i="11"/>
  <c r="H2476" i="11"/>
  <c r="H2475" i="11"/>
  <c r="H2472" i="11"/>
  <c r="H2471" i="11"/>
  <c r="H2470" i="11"/>
  <c r="H2469" i="11"/>
  <c r="H2466" i="11"/>
  <c r="H2465" i="11"/>
  <c r="H2462" i="11"/>
  <c r="H2459" i="11"/>
  <c r="H2458" i="11"/>
  <c r="H2455" i="11"/>
  <c r="H2454" i="11"/>
  <c r="H2453" i="11"/>
  <c r="H2452" i="11"/>
  <c r="H2449" i="11"/>
  <c r="H2448" i="11"/>
  <c r="H2445" i="11"/>
  <c r="H2444" i="11"/>
  <c r="H2441" i="11"/>
  <c r="H2440" i="11"/>
  <c r="H2437" i="11"/>
  <c r="H2434" i="11"/>
  <c r="H2429" i="11"/>
  <c r="H2428" i="11"/>
  <c r="H2425" i="11"/>
  <c r="H2422" i="11"/>
  <c r="H2419" i="11"/>
  <c r="H2418" i="11"/>
  <c r="H2415" i="11"/>
  <c r="H2414" i="11"/>
  <c r="H2411" i="11"/>
  <c r="H2408" i="11"/>
  <c r="H2407" i="11"/>
  <c r="H2406" i="11"/>
  <c r="H2403" i="11"/>
  <c r="H2400" i="11"/>
  <c r="H2397" i="11"/>
  <c r="H2394" i="11"/>
  <c r="H2391" i="11"/>
  <c r="H2386" i="11"/>
  <c r="H2385" i="11"/>
  <c r="H2382" i="11"/>
  <c r="H2379" i="11"/>
  <c r="H2376" i="11"/>
  <c r="H2375" i="11"/>
  <c r="H2372" i="11"/>
  <c r="H2371" i="11"/>
  <c r="H2368" i="11"/>
  <c r="H2365" i="11"/>
  <c r="H2364" i="11"/>
  <c r="H2363" i="11"/>
  <c r="H2360" i="11"/>
  <c r="H2357" i="11"/>
  <c r="H2354" i="11"/>
  <c r="H2351" i="11"/>
  <c r="H2348" i="11"/>
  <c r="H2343" i="11"/>
  <c r="H2342" i="11"/>
  <c r="H2339" i="11"/>
  <c r="H2336" i="11"/>
  <c r="H2333" i="11"/>
  <c r="H2332" i="11"/>
  <c r="H2331" i="11"/>
  <c r="H2328" i="11"/>
  <c r="H2327" i="11"/>
  <c r="H2324" i="11"/>
  <c r="H2321" i="11"/>
  <c r="H2320" i="11"/>
  <c r="H2319" i="11"/>
  <c r="H2316" i="11"/>
  <c r="H2313" i="11"/>
  <c r="H2310" i="11"/>
  <c r="H2307" i="11"/>
  <c r="H2304" i="11"/>
  <c r="H2286" i="11"/>
  <c r="H2285" i="11"/>
  <c r="H2281" i="11"/>
  <c r="H2280" i="11"/>
  <c r="H2279" i="11"/>
  <c r="H2278" i="11"/>
  <c r="H2277" i="11"/>
  <c r="H2276" i="11"/>
  <c r="H2273" i="11"/>
  <c r="H2270" i="11"/>
  <c r="H2257" i="11"/>
  <c r="H2256" i="11"/>
  <c r="H2255" i="11"/>
  <c r="H2254" i="11"/>
  <c r="H2251" i="11"/>
  <c r="H2250" i="11"/>
  <c r="H2241" i="11"/>
  <c r="H2237" i="11"/>
  <c r="H2234" i="11"/>
  <c r="H2233" i="11"/>
  <c r="H2232" i="11"/>
  <c r="H2226" i="11"/>
  <c r="H2225" i="11"/>
  <c r="H2224" i="11"/>
  <c r="H2223" i="11"/>
  <c r="H2222" i="11"/>
  <c r="H2221" i="11"/>
  <c r="H2220" i="11"/>
  <c r="H2219" i="11"/>
  <c r="H2218" i="11"/>
  <c r="H2217" i="11"/>
  <c r="H2214" i="11"/>
  <c r="H2213" i="11"/>
  <c r="H2212" i="11"/>
  <c r="H2209" i="11"/>
  <c r="H2206" i="11"/>
  <c r="H2205" i="11"/>
  <c r="H2204" i="11"/>
  <c r="H2203" i="11"/>
  <c r="H2202" i="11"/>
  <c r="H2201" i="11"/>
  <c r="H2198" i="11"/>
  <c r="H2197" i="11"/>
  <c r="H2196" i="11"/>
  <c r="H2195" i="11"/>
  <c r="H2194" i="11"/>
  <c r="H2193" i="11"/>
  <c r="H2192" i="11"/>
  <c r="H2191" i="11"/>
  <c r="H2190" i="11"/>
  <c r="H2189" i="11"/>
  <c r="H2185" i="11"/>
  <c r="H2184" i="11"/>
  <c r="H2181" i="11"/>
  <c r="H2180" i="11"/>
  <c r="H2179" i="11"/>
  <c r="H2178" i="11"/>
  <c r="H2175" i="11"/>
  <c r="H2174" i="11"/>
  <c r="H2173" i="11"/>
  <c r="H2172" i="11"/>
  <c r="H2171" i="11"/>
  <c r="H2170" i="11"/>
  <c r="H2169" i="11"/>
  <c r="H2166" i="11"/>
  <c r="H2163" i="11"/>
  <c r="H2157" i="11"/>
  <c r="H2156" i="11"/>
  <c r="H2155" i="11"/>
  <c r="H2154" i="11"/>
  <c r="H2153" i="11"/>
  <c r="H2152" i="11"/>
  <c r="H2151" i="11"/>
  <c r="H2150" i="11"/>
  <c r="H2149" i="11"/>
  <c r="H2148" i="11"/>
  <c r="H2147" i="11"/>
  <c r="H2146" i="11"/>
  <c r="H2145" i="11"/>
  <c r="H2144" i="11"/>
  <c r="H2143" i="11"/>
  <c r="H2142" i="11"/>
  <c r="H2141" i="11"/>
  <c r="H2140" i="11"/>
  <c r="H2139" i="11"/>
  <c r="H2138" i="11"/>
  <c r="H2137" i="11"/>
  <c r="H2133" i="11"/>
  <c r="H2130" i="11"/>
  <c r="H2127" i="11"/>
  <c r="H2123" i="11"/>
  <c r="H2122" i="11"/>
  <c r="H2120" i="11"/>
  <c r="H2119" i="11"/>
  <c r="H2116" i="11"/>
  <c r="H2115" i="11"/>
  <c r="H2112" i="11"/>
  <c r="H2111" i="11"/>
  <c r="H2108" i="11"/>
  <c r="H2107" i="11"/>
  <c r="H2104" i="11"/>
  <c r="H2103" i="11"/>
  <c r="H2102" i="11"/>
  <c r="H2101" i="11"/>
  <c r="H2098" i="11"/>
  <c r="H2097" i="11"/>
  <c r="H2094" i="11"/>
  <c r="H2091" i="11"/>
  <c r="H2089" i="11"/>
  <c r="H2086" i="11"/>
  <c r="H2083" i="11"/>
  <c r="H2078" i="11"/>
  <c r="H2075" i="11"/>
  <c r="H2072" i="11"/>
  <c r="H2124" i="11"/>
  <c r="H2068" i="11"/>
  <c r="H2067" i="11"/>
  <c r="H2066" i="11"/>
  <c r="H2063" i="11"/>
  <c r="H2062" i="11"/>
  <c r="H2059" i="11"/>
  <c r="H2058" i="11"/>
  <c r="H2055" i="11"/>
  <c r="H2054" i="11"/>
  <c r="H2051" i="11"/>
  <c r="H2050" i="11"/>
  <c r="H2049" i="11"/>
  <c r="H2048" i="11"/>
  <c r="H2045" i="11"/>
  <c r="H2044" i="11"/>
  <c r="H2041" i="11"/>
  <c r="H2038" i="11"/>
  <c r="H2037" i="11"/>
  <c r="H2034" i="11"/>
  <c r="H2031" i="11"/>
  <c r="H2026" i="11"/>
  <c r="H2023" i="11"/>
  <c r="H2022" i="11"/>
  <c r="H2019" i="11"/>
  <c r="H2018" i="11"/>
  <c r="H2015" i="11"/>
  <c r="H2014" i="11"/>
  <c r="H2013" i="11"/>
  <c r="H2012" i="11"/>
  <c r="H2009" i="11"/>
  <c r="H2006" i="11"/>
  <c r="H2005" i="11"/>
  <c r="H2004" i="11"/>
  <c r="H2001" i="11"/>
  <c r="H2000" i="11"/>
  <c r="H1997" i="11"/>
  <c r="H1996" i="11"/>
  <c r="H1993" i="11"/>
  <c r="H1992" i="11"/>
  <c r="H1991" i="11"/>
  <c r="H1990" i="11"/>
  <c r="H1989" i="11"/>
  <c r="H1986" i="11"/>
  <c r="H1985" i="11"/>
  <c r="H1984" i="11"/>
  <c r="H1981" i="11"/>
  <c r="H1980" i="11"/>
  <c r="H1977" i="11"/>
  <c r="H1976" i="11"/>
  <c r="H1975" i="11"/>
  <c r="H1972" i="11"/>
  <c r="H1969" i="11"/>
  <c r="H1964" i="11"/>
  <c r="H1963" i="11"/>
  <c r="H1962" i="11"/>
  <c r="H1961" i="11"/>
  <c r="H1960" i="11"/>
  <c r="H1959" i="11"/>
  <c r="H1958" i="11"/>
  <c r="H1957" i="11"/>
  <c r="H1956" i="11"/>
  <c r="H1955" i="11"/>
  <c r="H1954" i="11"/>
  <c r="H1953" i="11"/>
  <c r="H1952" i="11"/>
  <c r="H1951" i="11"/>
  <c r="H1950" i="11"/>
  <c r="H1949" i="11"/>
  <c r="H1948" i="11"/>
  <c r="H1947" i="11"/>
  <c r="H1946" i="11"/>
  <c r="H1945" i="11"/>
  <c r="H1944" i="11"/>
  <c r="H1934" i="11"/>
  <c r="H1933" i="11"/>
  <c r="H1930" i="11"/>
  <c r="H1929" i="11"/>
  <c r="H1928" i="11"/>
  <c r="H1927" i="11"/>
  <c r="H1926" i="11"/>
  <c r="H1925" i="11"/>
  <c r="H1924" i="11"/>
  <c r="H1923" i="11"/>
  <c r="H1920" i="11"/>
  <c r="H1919" i="11"/>
  <c r="H1916" i="11"/>
  <c r="H1915" i="11"/>
  <c r="H1912" i="11"/>
  <c r="H1911" i="11"/>
  <c r="H1910" i="11"/>
  <c r="H1909" i="11"/>
  <c r="H1903" i="11"/>
  <c r="H1902" i="11"/>
  <c r="H1899" i="11"/>
  <c r="H1898" i="11"/>
  <c r="H1895" i="11"/>
  <c r="H1891" i="11"/>
  <c r="H1890" i="11"/>
  <c r="H1889" i="11"/>
  <c r="H1888" i="11"/>
  <c r="H1887" i="11"/>
  <c r="H1886" i="11"/>
  <c r="H1883" i="11"/>
  <c r="H1882" i="11"/>
  <c r="H1881" i="11"/>
  <c r="H1880" i="11"/>
  <c r="H1872" i="11"/>
  <c r="H1871" i="11"/>
  <c r="H1870" i="11"/>
  <c r="H1869" i="11"/>
  <c r="H1868" i="11"/>
  <c r="H1867" i="11"/>
  <c r="H1866" i="11"/>
  <c r="H1865" i="11"/>
  <c r="H1864" i="11"/>
  <c r="H1863" i="11"/>
  <c r="H1862" i="11"/>
  <c r="H1861" i="11"/>
  <c r="H1860" i="11"/>
  <c r="H1857" i="11"/>
  <c r="H1856" i="11"/>
  <c r="H1855" i="11"/>
  <c r="H1317" i="11"/>
  <c r="H1316" i="11"/>
  <c r="H1315" i="11"/>
  <c r="H1314" i="11"/>
  <c r="H1313" i="11"/>
  <c r="H1312" i="11"/>
  <c r="H1311" i="11"/>
  <c r="H1310" i="11"/>
  <c r="H1309" i="11"/>
  <c r="H1308" i="11"/>
  <c r="H1307" i="11"/>
  <c r="H1306" i="11"/>
  <c r="H1305" i="11"/>
  <c r="H1304" i="11"/>
  <c r="H964" i="11"/>
  <c r="H963" i="11"/>
  <c r="H962" i="11"/>
  <c r="H1300" i="11"/>
  <c r="H1299" i="11"/>
  <c r="H1298" i="11"/>
  <c r="H1297" i="11"/>
  <c r="H1296" i="11"/>
  <c r="H1295" i="11"/>
  <c r="H1292" i="11"/>
  <c r="H1291" i="11"/>
  <c r="H1288" i="11"/>
  <c r="H1287" i="11"/>
  <c r="H1286" i="11"/>
  <c r="H1283" i="11"/>
  <c r="H1282" i="11"/>
  <c r="H1280" i="11"/>
  <c r="H1279" i="11"/>
  <c r="H1276" i="11"/>
  <c r="H1275" i="11"/>
  <c r="H1274" i="11"/>
  <c r="H1273" i="11"/>
  <c r="H1270" i="11"/>
  <c r="H1269" i="11"/>
  <c r="H1266" i="11"/>
  <c r="H1265" i="11"/>
  <c r="H1264" i="11"/>
  <c r="H1263" i="11"/>
  <c r="H1262" i="11"/>
  <c r="H1259" i="11"/>
  <c r="H1258" i="11"/>
  <c r="H1257" i="11"/>
  <c r="H1256" i="11"/>
  <c r="H1253" i="11"/>
  <c r="H1252" i="11"/>
  <c r="H1251" i="11"/>
  <c r="H1248" i="11"/>
  <c r="H1247" i="11"/>
  <c r="H1246" i="11"/>
  <c r="H1243" i="11"/>
  <c r="H1242" i="11"/>
  <c r="H1239" i="11"/>
  <c r="H1238" i="11"/>
  <c r="H1237" i="11"/>
  <c r="H1236" i="11"/>
  <c r="H1233" i="11"/>
  <c r="H1232" i="11"/>
  <c r="H1229" i="11"/>
  <c r="H1228" i="11"/>
  <c r="H1227" i="11"/>
  <c r="H1224" i="11"/>
  <c r="H1223" i="11"/>
  <c r="H1222" i="11"/>
  <c r="H1221" i="11"/>
  <c r="H1220" i="11"/>
  <c r="H1219" i="11"/>
  <c r="H1214" i="11"/>
  <c r="H1213" i="11"/>
  <c r="H1212" i="11"/>
  <c r="H1211" i="11"/>
  <c r="H1210" i="11"/>
  <c r="H1209" i="11"/>
  <c r="H1208" i="11"/>
  <c r="H1207" i="11"/>
  <c r="H1206" i="11"/>
  <c r="H1205" i="11"/>
  <c r="H1204" i="11"/>
  <c r="H1203" i="11"/>
  <c r="H1202" i="11"/>
  <c r="H1201" i="11"/>
  <c r="H1198" i="11"/>
  <c r="H1197" i="11"/>
  <c r="H1196" i="11"/>
  <c r="H1193" i="11"/>
  <c r="H1192" i="11"/>
  <c r="H1191" i="11"/>
  <c r="H1190" i="11"/>
  <c r="H1189" i="11"/>
  <c r="H1188" i="11"/>
  <c r="H1185" i="11"/>
  <c r="H1184" i="11"/>
  <c r="H1181" i="11"/>
  <c r="H1180" i="11"/>
  <c r="H1179" i="11"/>
  <c r="H1176" i="11"/>
  <c r="H1175" i="11"/>
  <c r="H1173" i="11"/>
  <c r="H1172" i="11"/>
  <c r="H1169" i="11"/>
  <c r="H1168" i="11"/>
  <c r="H1167" i="11"/>
  <c r="H1166" i="11"/>
  <c r="H1163" i="11"/>
  <c r="H1162" i="11"/>
  <c r="H1159" i="11"/>
  <c r="H1158" i="11"/>
  <c r="H1157" i="11"/>
  <c r="H1156" i="11"/>
  <c r="H1155" i="11"/>
  <c r="H1152" i="11"/>
  <c r="H1151" i="11"/>
  <c r="H1150" i="11"/>
  <c r="H1149" i="11"/>
  <c r="H1143" i="11"/>
  <c r="H1142" i="11"/>
  <c r="H1141" i="11"/>
  <c r="H1138" i="11"/>
  <c r="H1137" i="11"/>
  <c r="H1136" i="11"/>
  <c r="H1133" i="11"/>
  <c r="H1132" i="11"/>
  <c r="H1129" i="11"/>
  <c r="H1128" i="11"/>
  <c r="H1127" i="11"/>
  <c r="H1126" i="11"/>
  <c r="H1123" i="11"/>
  <c r="H1122" i="11"/>
  <c r="H1119" i="11"/>
  <c r="H1118" i="11"/>
  <c r="H1117" i="11"/>
  <c r="H1114" i="11"/>
  <c r="H1113" i="11"/>
  <c r="H1112" i="11"/>
  <c r="H1111" i="11"/>
  <c r="H1110" i="11"/>
  <c r="H1109" i="11"/>
  <c r="H1104" i="11"/>
  <c r="H1097" i="11"/>
  <c r="H1096" i="11"/>
  <c r="H1095" i="11"/>
  <c r="H1094" i="11"/>
  <c r="H1093" i="11"/>
  <c r="H1092" i="11"/>
  <c r="H1091" i="11"/>
  <c r="H1090" i="11"/>
  <c r="H1089" i="11"/>
  <c r="H1088" i="11"/>
  <c r="H1087" i="11"/>
  <c r="H1086" i="11"/>
  <c r="H1085" i="11"/>
  <c r="H1084" i="11"/>
  <c r="H1083" i="11"/>
  <c r="H1082" i="11"/>
  <c r="H1081" i="11"/>
  <c r="H1078" i="11"/>
  <c r="H1077" i="11"/>
  <c r="H1076" i="11"/>
  <c r="H1075" i="11"/>
  <c r="H1074" i="11"/>
  <c r="H1073" i="11"/>
  <c r="H1072" i="11"/>
  <c r="H1071" i="11"/>
  <c r="H1070" i="11"/>
  <c r="H1069" i="11"/>
  <c r="H1068" i="11"/>
  <c r="H1067" i="11"/>
  <c r="H1066" i="11"/>
  <c r="H1065" i="11"/>
  <c r="H1062" i="11"/>
  <c r="H1061" i="11"/>
  <c r="H1060" i="11"/>
  <c r="H1059" i="11"/>
  <c r="H1056" i="11"/>
  <c r="H1055" i="11"/>
  <c r="H1054" i="11"/>
  <c r="H1053" i="11"/>
  <c r="H1051" i="11"/>
  <c r="H1050" i="11"/>
  <c r="H1049" i="11"/>
  <c r="H1048" i="11"/>
  <c r="H1045" i="11"/>
  <c r="H1044" i="11"/>
  <c r="H1040" i="11"/>
  <c r="H1039" i="11"/>
  <c r="H1038" i="11"/>
  <c r="H1037" i="11"/>
  <c r="H1036" i="11"/>
  <c r="H1035" i="11"/>
  <c r="H1034" i="11"/>
  <c r="H1033" i="11"/>
  <c r="H1028" i="11"/>
  <c r="H1027" i="11"/>
  <c r="H1026" i="11"/>
  <c r="H1025" i="11"/>
  <c r="H1024" i="11"/>
  <c r="H1023" i="11"/>
  <c r="H1022" i="11"/>
  <c r="H1021" i="11"/>
  <c r="H1020" i="11"/>
  <c r="H1019" i="11"/>
  <c r="H1018" i="11"/>
  <c r="H1017" i="11"/>
  <c r="H1016" i="11"/>
  <c r="H1015" i="11"/>
  <c r="H1012" i="11"/>
  <c r="H1011" i="11"/>
  <c r="H1010" i="11"/>
  <c r="H1009" i="11"/>
  <c r="H1008" i="11"/>
  <c r="H1007" i="11"/>
  <c r="H1004" i="11"/>
  <c r="H1003" i="11"/>
  <c r="H1002" i="11"/>
  <c r="H1001" i="11"/>
  <c r="H998" i="11"/>
  <c r="H997" i="11"/>
  <c r="H996" i="11"/>
  <c r="H995" i="11"/>
  <c r="H994" i="11"/>
  <c r="H993" i="11"/>
  <c r="H992" i="11"/>
  <c r="H991" i="11"/>
  <c r="H990" i="11"/>
  <c r="H989" i="11"/>
  <c r="H988" i="11"/>
  <c r="H987" i="11"/>
  <c r="H986" i="11"/>
  <c r="H983" i="11"/>
  <c r="H982" i="11"/>
  <c r="H979" i="11"/>
  <c r="H978" i="11"/>
  <c r="H977" i="11"/>
  <c r="H976" i="11"/>
  <c r="H975" i="11"/>
  <c r="H974" i="11"/>
  <c r="H973" i="11"/>
  <c r="H972" i="11"/>
  <c r="H939" i="11"/>
  <c r="H936" i="11"/>
  <c r="H935" i="11"/>
  <c r="H934" i="11"/>
  <c r="H933" i="11"/>
  <c r="H930" i="11"/>
  <c r="H929" i="11"/>
  <c r="H928" i="11"/>
  <c r="H927" i="11"/>
  <c r="H926" i="11"/>
  <c r="H925" i="11"/>
  <c r="H924" i="11"/>
  <c r="H923" i="11"/>
  <c r="H922" i="11"/>
  <c r="H921" i="11"/>
  <c r="H918" i="11"/>
  <c r="H917" i="11"/>
  <c r="H914" i="11"/>
  <c r="H913" i="11"/>
  <c r="H910" i="11"/>
  <c r="H909" i="11"/>
  <c r="H908" i="11"/>
  <c r="H907" i="11"/>
  <c r="H906" i="11"/>
  <c r="H903" i="11"/>
  <c r="H902" i="11"/>
  <c r="H901" i="11"/>
  <c r="H900" i="11"/>
  <c r="H897" i="11"/>
  <c r="H896" i="11"/>
  <c r="H893" i="11"/>
  <c r="H890" i="11"/>
  <c r="H889" i="11"/>
  <c r="H886" i="11"/>
  <c r="H885" i="11"/>
  <c r="H884" i="11"/>
  <c r="H883" i="11"/>
  <c r="H882" i="11"/>
  <c r="H881" i="11"/>
  <c r="H880" i="11"/>
  <c r="H879" i="11"/>
  <c r="H878" i="11"/>
  <c r="H877" i="11"/>
  <c r="H876" i="11"/>
  <c r="H875" i="11"/>
  <c r="H872" i="11"/>
  <c r="H871" i="11"/>
  <c r="H870" i="11"/>
  <c r="H865" i="11"/>
  <c r="H864" i="11"/>
  <c r="H863" i="11"/>
  <c r="H862" i="11"/>
  <c r="H861" i="11"/>
  <c r="H860" i="11"/>
  <c r="H859" i="11"/>
  <c r="H858" i="11"/>
  <c r="H857" i="11"/>
  <c r="H856" i="11"/>
  <c r="H853" i="11"/>
  <c r="H849" i="11"/>
  <c r="H848" i="11"/>
  <c r="H847" i="11"/>
  <c r="H846" i="11"/>
  <c r="H845" i="11"/>
  <c r="H844" i="11"/>
  <c r="H841" i="11"/>
  <c r="H838" i="11"/>
  <c r="H835" i="11"/>
  <c r="H834" i="11"/>
  <c r="H833" i="11"/>
  <c r="H832" i="11"/>
  <c r="H831" i="11"/>
  <c r="H830" i="11"/>
  <c r="H829" i="11"/>
  <c r="H828" i="11"/>
  <c r="H827" i="11"/>
  <c r="H826" i="11"/>
  <c r="H825" i="11"/>
  <c r="H824" i="11"/>
  <c r="H823" i="11"/>
  <c r="H822" i="11"/>
  <c r="H821" i="11"/>
  <c r="H820" i="11"/>
  <c r="H819" i="11"/>
  <c r="H818" i="11"/>
  <c r="H815" i="11"/>
  <c r="H814" i="11"/>
  <c r="H813" i="11"/>
  <c r="H810" i="11"/>
  <c r="H809" i="11"/>
  <c r="H808" i="11"/>
  <c r="H807" i="11"/>
  <c r="H806" i="11"/>
  <c r="H803" i="11"/>
  <c r="H802" i="11"/>
  <c r="H801" i="11"/>
  <c r="H800" i="11"/>
  <c r="H797" i="11"/>
  <c r="H794" i="11"/>
  <c r="H793" i="11"/>
  <c r="H792" i="11"/>
  <c r="H789" i="11"/>
  <c r="H788" i="11"/>
  <c r="H785" i="11"/>
  <c r="H784" i="11"/>
  <c r="H781" i="11"/>
  <c r="H780" i="11"/>
  <c r="H777" i="11"/>
  <c r="H776" i="11"/>
  <c r="H775" i="11"/>
  <c r="H774" i="11"/>
  <c r="H773" i="11"/>
  <c r="H772" i="11"/>
  <c r="H769" i="11"/>
  <c r="H768" i="11"/>
  <c r="H765" i="11"/>
  <c r="H764" i="11"/>
  <c r="H763" i="11"/>
  <c r="H762" i="11"/>
  <c r="H761" i="11"/>
  <c r="H760" i="11"/>
  <c r="H759" i="11"/>
  <c r="H758" i="11"/>
  <c r="H756" i="11"/>
  <c r="H755" i="11"/>
  <c r="H754" i="11"/>
  <c r="H753" i="11"/>
  <c r="H752" i="11"/>
  <c r="H751" i="11"/>
  <c r="H750" i="11"/>
  <c r="H749" i="11"/>
  <c r="H748" i="11"/>
  <c r="H747" i="11"/>
  <c r="H744" i="11"/>
  <c r="H743" i="11"/>
  <c r="H742" i="11"/>
  <c r="H739" i="11"/>
  <c r="H738" i="11"/>
  <c r="H631" i="11"/>
  <c r="H630" i="11"/>
  <c r="H629" i="11"/>
  <c r="H626" i="11"/>
  <c r="H625" i="11"/>
  <c r="H624" i="11"/>
  <c r="H621" i="11"/>
  <c r="H620" i="11"/>
  <c r="H619" i="11"/>
  <c r="H618" i="11"/>
  <c r="H617" i="11"/>
  <c r="H613" i="11"/>
  <c r="H612" i="11"/>
  <c r="H611" i="11"/>
  <c r="H610" i="11"/>
  <c r="H609" i="11"/>
  <c r="H608" i="11"/>
  <c r="H607" i="11"/>
  <c r="H601" i="11"/>
  <c r="H600" i="11"/>
  <c r="H599" i="11"/>
  <c r="H598" i="11"/>
  <c r="H597" i="11"/>
  <c r="H596" i="11"/>
  <c r="H595" i="11"/>
  <c r="H593" i="11"/>
  <c r="H592" i="11"/>
  <c r="H589" i="11"/>
  <c r="H588" i="11"/>
  <c r="H585" i="11"/>
  <c r="H584" i="11"/>
  <c r="H583" i="11"/>
  <c r="H582" i="11"/>
  <c r="H581" i="11"/>
  <c r="H580" i="11"/>
  <c r="H579" i="11"/>
  <c r="H578" i="11"/>
  <c r="H577" i="11"/>
  <c r="H576" i="11"/>
  <c r="H575" i="11"/>
  <c r="H574" i="11"/>
  <c r="H571" i="11"/>
  <c r="H570" i="11"/>
  <c r="H569" i="11"/>
  <c r="H568" i="11"/>
  <c r="H567" i="11"/>
  <c r="H566" i="11"/>
  <c r="H565" i="11"/>
  <c r="H564" i="11"/>
  <c r="H563" i="11"/>
  <c r="H562" i="11"/>
  <c r="H561" i="11"/>
  <c r="H558" i="11"/>
  <c r="H557" i="11"/>
  <c r="H556" i="11"/>
  <c r="H555" i="11"/>
  <c r="H554" i="11"/>
  <c r="H553" i="11"/>
  <c r="H552" i="11"/>
  <c r="H551" i="11"/>
  <c r="H550" i="11"/>
  <c r="H549" i="11"/>
  <c r="H548" i="11"/>
  <c r="H545" i="11"/>
  <c r="H544" i="11"/>
  <c r="H543" i="11"/>
  <c r="H462" i="11"/>
  <c r="H458" i="11"/>
  <c r="H457" i="11"/>
  <c r="H456" i="11"/>
  <c r="H453" i="11"/>
  <c r="H452" i="11"/>
  <c r="H451" i="11"/>
  <c r="H450" i="11"/>
  <c r="H449" i="11"/>
  <c r="H448" i="11"/>
  <c r="H447" i="11"/>
  <c r="H444" i="11"/>
  <c r="H443" i="11"/>
  <c r="H440" i="11"/>
  <c r="H439" i="11"/>
  <c r="H438" i="11"/>
  <c r="H437" i="11"/>
  <c r="H436" i="11"/>
  <c r="H435" i="11"/>
  <c r="H434" i="11"/>
  <c r="H433" i="11"/>
  <c r="H429" i="11"/>
  <c r="H428" i="11"/>
  <c r="H427" i="11"/>
  <c r="H424" i="11"/>
  <c r="H423" i="11"/>
  <c r="H420" i="11"/>
  <c r="H419" i="11"/>
  <c r="H418" i="11"/>
  <c r="H417" i="11"/>
  <c r="H416" i="11"/>
  <c r="H415" i="11"/>
  <c r="H414" i="11"/>
  <c r="H413" i="11"/>
  <c r="H412" i="11"/>
  <c r="H411" i="11"/>
  <c r="H410" i="11"/>
  <c r="H407" i="11"/>
  <c r="H406" i="11"/>
  <c r="H405" i="11"/>
  <c r="H404" i="11"/>
  <c r="H403" i="11"/>
  <c r="H402" i="11"/>
  <c r="H401" i="11"/>
  <c r="H400" i="11"/>
  <c r="H399" i="11"/>
  <c r="H398" i="11"/>
  <c r="H397" i="11"/>
  <c r="H396" i="11"/>
  <c r="H395" i="11"/>
  <c r="H394" i="11"/>
  <c r="H393" i="11"/>
  <c r="H390" i="11"/>
  <c r="H389" i="11"/>
  <c r="H386" i="11"/>
  <c r="H373" i="11"/>
  <c r="H372" i="11"/>
  <c r="H371" i="11"/>
  <c r="H370" i="11"/>
  <c r="H361" i="11"/>
  <c r="H358" i="11"/>
  <c r="H356" i="11"/>
  <c r="H346" i="11"/>
  <c r="H353" i="11"/>
  <c r="H349" i="11"/>
  <c r="H348" i="11"/>
  <c r="H347" i="11"/>
  <c r="H342" i="11"/>
  <c r="H341" i="11"/>
  <c r="H330" i="11"/>
  <c r="H325" i="11"/>
  <c r="H324" i="11"/>
  <c r="H321" i="11"/>
  <c r="H320" i="11"/>
  <c r="H319" i="11"/>
  <c r="H316" i="11"/>
  <c r="H315" i="11"/>
  <c r="H314" i="11"/>
  <c r="H313" i="11"/>
  <c r="H312" i="11"/>
  <c r="H311" i="11"/>
  <c r="H310" i="11"/>
  <c r="H309" i="11"/>
  <c r="H308" i="11"/>
  <c r="H304" i="11"/>
  <c r="H303" i="11"/>
  <c r="H302" i="11"/>
  <c r="H301" i="11"/>
  <c r="H300" i="11"/>
  <c r="H299" i="11"/>
  <c r="H298" i="11"/>
  <c r="H297" i="11"/>
  <c r="H294" i="11"/>
  <c r="H293" i="11"/>
  <c r="H292" i="11"/>
  <c r="H291" i="11"/>
  <c r="H290" i="11"/>
  <c r="H289" i="11"/>
  <c r="H288" i="11"/>
  <c r="H287" i="11"/>
  <c r="H286" i="11"/>
  <c r="H285" i="11"/>
  <c r="H282" i="11"/>
  <c r="H281" i="11"/>
  <c r="H54" i="11"/>
  <c r="H53" i="11"/>
  <c r="H50" i="11"/>
  <c r="H49" i="11"/>
  <c r="H48" i="11"/>
  <c r="H45" i="11"/>
  <c r="H44" i="11"/>
  <c r="H43" i="11"/>
  <c r="H40" i="11"/>
  <c r="H39" i="11"/>
  <c r="H38" i="11"/>
  <c r="H37" i="11"/>
  <c r="H36" i="11"/>
  <c r="H35" i="11"/>
  <c r="H34" i="11"/>
  <c r="H33" i="11"/>
  <c r="H32" i="11"/>
  <c r="H29" i="11"/>
  <c r="H28" i="11"/>
  <c r="H25" i="11"/>
  <c r="H24" i="11"/>
  <c r="H21" i="11"/>
  <c r="H18" i="11"/>
  <c r="H15" i="11"/>
  <c r="H12" i="11"/>
  <c r="H11" i="11"/>
  <c r="H10" i="11"/>
  <c r="ER236" i="20"/>
  <c r="EQ236" i="20"/>
  <c r="EP236" i="20"/>
  <c r="EC236" i="20" s="1"/>
  <c r="BN234" i="25" s="1"/>
  <c r="DH236" i="20"/>
  <c r="DG236" i="20"/>
  <c r="DF236" i="20"/>
  <c r="CS236" i="20" s="1"/>
  <c r="BX236" i="20"/>
  <c r="BW236" i="20"/>
  <c r="BV236" i="20"/>
  <c r="BI236" i="20" s="1"/>
  <c r="AN236" i="20"/>
  <c r="AL236" i="20"/>
  <c r="Y236" i="20" s="1"/>
  <c r="DY226" i="20"/>
  <c r="EA226" i="20" s="1"/>
  <c r="EA230" i="20" s="1"/>
  <c r="BL228" i="25" s="1"/>
  <c r="CO226" i="20"/>
  <c r="CQ226" i="20" s="1"/>
  <c r="CQ229" i="20" s="1"/>
  <c r="AU227" i="25" s="1"/>
  <c r="BE226" i="20"/>
  <c r="BG226" i="20" s="1"/>
  <c r="DY220" i="20"/>
  <c r="EA220" i="20" s="1"/>
  <c r="EA221" i="20" s="1"/>
  <c r="CO220" i="20"/>
  <c r="CQ220" i="20" s="1"/>
  <c r="BE220" i="20"/>
  <c r="BG220" i="20" s="1"/>
  <c r="U220" i="20"/>
  <c r="W220" i="20" s="1"/>
  <c r="BE208" i="20"/>
  <c r="DY203" i="20"/>
  <c r="EA203" i="20" s="1"/>
  <c r="EA206" i="20" s="1"/>
  <c r="CO203" i="20"/>
  <c r="CQ203" i="20" s="1"/>
  <c r="CQ204" i="20" s="1"/>
  <c r="BE203" i="20"/>
  <c r="BG203" i="20" s="1"/>
  <c r="U203" i="20"/>
  <c r="W203" i="20" s="1"/>
  <c r="DY198" i="20"/>
  <c r="EA198" i="20" s="1"/>
  <c r="EA201" i="20" s="1"/>
  <c r="BL199" i="25" s="1"/>
  <c r="CO198" i="20"/>
  <c r="CQ198" i="20" s="1"/>
  <c r="CQ200" i="20" s="1"/>
  <c r="BE198" i="20"/>
  <c r="BG198" i="20" s="1"/>
  <c r="BG199" i="20" s="1"/>
  <c r="U198" i="20"/>
  <c r="W198" i="20" s="1"/>
  <c r="W199" i="20" s="1"/>
  <c r="M197" i="25" s="1"/>
  <c r="BE186" i="20"/>
  <c r="BE182" i="20"/>
  <c r="BE178" i="20"/>
  <c r="BE174" i="20"/>
  <c r="BE170" i="20"/>
  <c r="BE166" i="20"/>
  <c r="BE162" i="20"/>
  <c r="BE158" i="20"/>
  <c r="BE154" i="20"/>
  <c r="BE150" i="20"/>
  <c r="DY144" i="20"/>
  <c r="CO144" i="20"/>
  <c r="CQ144" i="20" s="1"/>
  <c r="CQ148" i="20" s="1"/>
  <c r="U144" i="20"/>
  <c r="W144" i="20" s="1"/>
  <c r="W145" i="20" s="1"/>
  <c r="M143" i="25" s="1"/>
  <c r="CO132" i="20"/>
  <c r="CQ132" i="20" s="1"/>
  <c r="CQ139" i="20" s="1"/>
  <c r="AU137" i="25" s="1"/>
  <c r="BE132" i="20"/>
  <c r="BG132" i="20" s="1"/>
  <c r="U132" i="20"/>
  <c r="W132" i="20" s="1"/>
  <c r="W142" i="20" s="1"/>
  <c r="M140" i="25" s="1"/>
  <c r="CO121" i="20"/>
  <c r="CQ121" i="20" s="1"/>
  <c r="CQ129" i="20" s="1"/>
  <c r="AU127" i="25" s="1"/>
  <c r="BE121" i="20"/>
  <c r="BG121" i="20" s="1"/>
  <c r="BG128" i="20" s="1"/>
  <c r="AD126" i="25" s="1"/>
  <c r="U121" i="20"/>
  <c r="W121" i="20" s="1"/>
  <c r="W128" i="20" s="1"/>
  <c r="CO86" i="20"/>
  <c r="CQ86" i="20" s="1"/>
  <c r="BE86" i="20"/>
  <c r="BG86" i="20" s="1"/>
  <c r="BG91" i="20" s="1"/>
  <c r="AD89" i="25" s="1"/>
  <c r="U86" i="20"/>
  <c r="W86" i="20" s="1"/>
  <c r="DY75" i="20"/>
  <c r="EA75" i="20" s="1"/>
  <c r="EA82" i="20" s="1"/>
  <c r="CO75" i="20"/>
  <c r="CQ75" i="20" s="1"/>
  <c r="BE75" i="20"/>
  <c r="BG75" i="20" s="1"/>
  <c r="BG82" i="20" s="1"/>
  <c r="AD80" i="25" s="1"/>
  <c r="U75" i="20"/>
  <c r="W75" i="20" s="1"/>
  <c r="W84" i="20" s="1"/>
  <c r="M82" i="25" s="1"/>
  <c r="ED63" i="20"/>
  <c r="CO63" i="20"/>
  <c r="CQ63" i="20" s="1"/>
  <c r="BE63" i="20"/>
  <c r="BG63" i="20" s="1"/>
  <c r="U63" i="20"/>
  <c r="W63" i="20" s="1"/>
  <c r="W71" i="20" s="1"/>
  <c r="M69" i="25" s="1"/>
  <c r="ED51" i="20"/>
  <c r="CO51" i="20"/>
  <c r="CQ51" i="20" s="1"/>
  <c r="CQ56" i="20" s="1"/>
  <c r="AU54" i="25" s="1"/>
  <c r="BE51" i="20"/>
  <c r="BG51" i="20" s="1"/>
  <c r="U51" i="20"/>
  <c r="W51" i="20" s="1"/>
  <c r="W57" i="20" s="1"/>
  <c r="M55" i="25" s="1"/>
  <c r="CT39" i="20"/>
  <c r="AX37" i="25" s="1"/>
  <c r="CS39" i="20"/>
  <c r="AW37" i="25" s="1"/>
  <c r="Z39" i="20"/>
  <c r="ED30" i="20"/>
  <c r="BO28" i="25" s="1"/>
  <c r="CT30" i="20"/>
  <c r="Z30" i="20"/>
  <c r="P28" i="25" s="1"/>
  <c r="CT17" i="20"/>
  <c r="AX15" i="25" s="1"/>
  <c r="Z17" i="20"/>
  <c r="P15" i="25" s="1"/>
  <c r="CT11" i="20"/>
  <c r="AX9" i="25" s="1"/>
  <c r="CS11" i="20"/>
  <c r="AW9" i="25" s="1"/>
  <c r="Z11" i="20"/>
  <c r="AA178" i="20"/>
  <c r="AA162" i="20"/>
  <c r="AA158" i="20"/>
  <c r="AA150" i="20"/>
  <c r="Q148" i="25" s="1"/>
  <c r="EJ132" i="20"/>
  <c r="EC63" i="20"/>
  <c r="AA179" i="20"/>
  <c r="AA152" i="20"/>
  <c r="AA168" i="20"/>
  <c r="Q166" i="25" s="1"/>
  <c r="AA167" i="20"/>
  <c r="AB167" i="20" s="1"/>
  <c r="R165" i="25" s="1"/>
  <c r="AA181" i="20"/>
  <c r="Q179" i="25" s="1"/>
  <c r="AA185" i="20"/>
  <c r="AA175" i="20"/>
  <c r="AA154" i="20"/>
  <c r="Q152" i="25" s="1"/>
  <c r="AA170" i="20"/>
  <c r="Q168" i="25" s="1"/>
  <c r="AA180" i="20"/>
  <c r="AA173" i="20"/>
  <c r="AA163" i="20"/>
  <c r="Q161" i="25" s="1"/>
  <c r="AA156" i="20"/>
  <c r="AB156" i="20" s="1"/>
  <c r="R154" i="25" s="1"/>
  <c r="AA182" i="20"/>
  <c r="AB182" i="20" s="1"/>
  <c r="R180" i="25" s="1"/>
  <c r="AA177" i="20"/>
  <c r="Q175" i="25" s="1"/>
  <c r="AA184" i="20"/>
  <c r="AA183" i="20"/>
  <c r="AA149" i="20"/>
  <c r="Q147" i="25" s="1"/>
  <c r="AA153" i="20"/>
  <c r="AA176" i="20"/>
  <c r="AA160" i="20"/>
  <c r="Q158" i="25" s="1"/>
  <c r="AA186" i="20"/>
  <c r="Q184" i="25" s="1"/>
  <c r="AA187" i="20"/>
  <c r="AB187" i="20" s="1"/>
  <c r="R185" i="25" s="1"/>
  <c r="AA155" i="20"/>
  <c r="AA159" i="20"/>
  <c r="AA166" i="20"/>
  <c r="Q164" i="25" s="1"/>
  <c r="AA172" i="20"/>
  <c r="AA188" i="20"/>
  <c r="AA151" i="20"/>
  <c r="Q149" i="25" s="1"/>
  <c r="AA161" i="20"/>
  <c r="Q159" i="25" s="1"/>
  <c r="AA165" i="20"/>
  <c r="Q163" i="25" s="1"/>
  <c r="AA164" i="20"/>
  <c r="AB164" i="20" s="1"/>
  <c r="AA174" i="20"/>
  <c r="Q172" i="25" s="1"/>
  <c r="AA157" i="20"/>
  <c r="Q155" i="25" s="1"/>
  <c r="AA169" i="20"/>
  <c r="AA171" i="20"/>
  <c r="EJ86" i="20"/>
  <c r="EC132" i="20"/>
  <c r="EC51" i="20"/>
  <c r="EC86" i="20"/>
  <c r="ED86" i="20"/>
  <c r="ED132" i="20"/>
  <c r="EE63" i="20"/>
  <c r="EF63" i="20"/>
  <c r="EF51" i="20"/>
  <c r="EE51" i="20"/>
  <c r="EE86" i="20"/>
  <c r="EF132" i="20"/>
  <c r="EE132" i="20"/>
  <c r="EG51" i="20"/>
  <c r="EH51" i="20"/>
  <c r="EH63" i="20"/>
  <c r="EG63" i="20"/>
  <c r="EG86" i="20"/>
  <c r="EF86" i="20"/>
  <c r="EH86" i="20"/>
  <c r="EH132" i="20"/>
  <c r="EK132" i="20"/>
  <c r="EK86" i="20"/>
  <c r="EK63" i="20"/>
  <c r="EK51" i="20"/>
  <c r="EM63" i="20"/>
  <c r="EG132" i="20"/>
  <c r="EL86" i="20"/>
  <c r="EL51" i="20"/>
  <c r="EN51" i="20"/>
  <c r="EM51" i="20"/>
  <c r="EL63" i="20"/>
  <c r="EM86" i="20"/>
  <c r="EN63" i="20"/>
  <c r="EL132" i="20"/>
  <c r="EM132" i="20"/>
  <c r="EN86" i="20"/>
  <c r="EN132" i="20"/>
  <c r="W235" i="20"/>
  <c r="W236" i="20" s="1"/>
  <c r="Z236" i="20" s="1"/>
  <c r="AB236" i="20" s="1"/>
  <c r="M234" i="25"/>
  <c r="M233" i="25" s="1"/>
  <c r="W17" i="20"/>
  <c r="W11" i="20"/>
  <c r="H4" i="22"/>
  <c r="EA17" i="20"/>
  <c r="EC17" i="20" s="1"/>
  <c r="N21" i="22"/>
  <c r="G17" i="22"/>
  <c r="G4" i="22"/>
  <c r="EA235" i="20"/>
  <c r="EA236" i="20" s="1"/>
  <c r="ED236" i="20" s="1"/>
  <c r="EA30" i="20"/>
  <c r="BL28" i="25" s="1"/>
  <c r="BJ28" i="25" s="1"/>
  <c r="EA39" i="20"/>
  <c r="BL37" i="25" s="1"/>
  <c r="M21" i="22"/>
  <c r="BG235" i="20"/>
  <c r="BG236" i="20" s="1"/>
  <c r="BG30" i="20"/>
  <c r="AD28" i="25" s="1"/>
  <c r="AB28" i="25" s="1"/>
  <c r="BG11" i="20"/>
  <c r="AD9" i="25" s="1"/>
  <c r="AB9" i="25" s="1"/>
  <c r="BG39" i="20"/>
  <c r="AD37" i="25" s="1"/>
  <c r="AB37" i="25" s="1"/>
  <c r="BG23" i="20"/>
  <c r="AD21" i="25" s="1"/>
  <c r="AB21" i="25" s="1"/>
  <c r="BG17" i="20"/>
  <c r="W39" i="20"/>
  <c r="M37" i="25" s="1"/>
  <c r="W23" i="20"/>
  <c r="W30" i="20"/>
  <c r="W37" i="20" s="1"/>
  <c r="M35" i="25" s="1"/>
  <c r="C13" i="22"/>
  <c r="C11" i="22"/>
  <c r="C6" i="22"/>
  <c r="C14" i="22"/>
  <c r="C16" i="22"/>
  <c r="C12" i="22"/>
  <c r="C7" i="22"/>
  <c r="C15" i="22"/>
  <c r="C8" i="22"/>
  <c r="C19" i="22"/>
  <c r="C9" i="22"/>
  <c r="C17" i="22"/>
  <c r="C10" i="22"/>
  <c r="C18" i="22"/>
  <c r="FD240" i="20"/>
  <c r="FC240" i="20"/>
  <c r="EZ240" i="20"/>
  <c r="EW240" i="20"/>
  <c r="EU240" i="20"/>
  <c r="AS240" i="20"/>
  <c r="AT240" i="20"/>
  <c r="DU240" i="20"/>
  <c r="DM240" i="20"/>
  <c r="DJ240" i="20"/>
  <c r="DV240" i="20"/>
  <c r="DK240" i="20"/>
  <c r="H23" i="22"/>
  <c r="EA23" i="20"/>
  <c r="BL21" i="25" s="1"/>
  <c r="BJ21" i="25" s="1"/>
  <c r="FB240" i="20"/>
  <c r="AY240" i="20"/>
  <c r="EY240" i="20"/>
  <c r="EX240" i="20"/>
  <c r="FE240" i="20"/>
  <c r="FF240" i="20"/>
  <c r="DP240" i="20"/>
  <c r="AP240" i="20"/>
  <c r="AU240" i="20"/>
  <c r="DS240" i="20"/>
  <c r="EV240" i="20"/>
  <c r="DR240" i="20"/>
  <c r="DT240" i="20"/>
  <c r="AZ240" i="20"/>
  <c r="AV240" i="20"/>
  <c r="AQ240" i="20"/>
  <c r="DO240" i="20"/>
  <c r="DN240" i="20"/>
  <c r="DL240" i="20"/>
  <c r="BB240" i="20"/>
  <c r="BA240" i="20"/>
  <c r="ET240" i="20"/>
  <c r="CQ235" i="20"/>
  <c r="CQ236" i="20" s="1"/>
  <c r="CQ30" i="20"/>
  <c r="AU28" i="25" s="1"/>
  <c r="AS28" i="25" s="1"/>
  <c r="CQ23" i="20"/>
  <c r="CQ17" i="20"/>
  <c r="G23" i="22"/>
  <c r="AL240" i="20"/>
  <c r="DF240" i="20"/>
  <c r="AX240" i="20"/>
  <c r="AR240" i="20"/>
  <c r="DG240" i="20"/>
  <c r="DH240" i="20"/>
  <c r="M240" i="25"/>
  <c r="AD239" i="25"/>
  <c r="M239" i="25"/>
  <c r="M238" i="25"/>
  <c r="AD240" i="25"/>
  <c r="AU239" i="25"/>
  <c r="AU240" i="25"/>
  <c r="AM240" i="20"/>
  <c r="AD238" i="25"/>
  <c r="W240" i="20"/>
  <c r="W238" i="20" s="1"/>
  <c r="CQ240" i="20"/>
  <c r="CQ238" i="20" s="1"/>
  <c r="AN240" i="20"/>
  <c r="BG240" i="20"/>
  <c r="BG238" i="20" s="1"/>
  <c r="CT240" i="20"/>
  <c r="AX237" i="25" s="1"/>
  <c r="AG240" i="25"/>
  <c r="AG238" i="25"/>
  <c r="AG239" i="25"/>
  <c r="P238" i="25"/>
  <c r="BD240" i="25"/>
  <c r="AW240" i="25"/>
  <c r="AX239" i="25"/>
  <c r="AM240" i="25"/>
  <c r="P239" i="25"/>
  <c r="BD239" i="25"/>
  <c r="AX240" i="25"/>
  <c r="AW239" i="25"/>
  <c r="AX238" i="25"/>
  <c r="BD238" i="25"/>
  <c r="BJ240" i="20"/>
  <c r="AH238" i="25"/>
  <c r="AF240" i="20"/>
  <c r="X240" i="20" s="1"/>
  <c r="Z240" i="20"/>
  <c r="CZ240" i="20"/>
  <c r="BD237" i="25" s="1"/>
  <c r="CS240" i="20"/>
  <c r="AW237" i="25" s="1"/>
  <c r="DA240" i="20"/>
  <c r="BE237" i="25" s="1"/>
  <c r="AM238" i="25"/>
  <c r="AH240" i="25"/>
  <c r="AE240" i="25"/>
  <c r="Q238" i="25"/>
  <c r="AV239" i="25"/>
  <c r="AV240" i="25"/>
  <c r="BE239" i="25"/>
  <c r="AY239" i="25"/>
  <c r="AI239" i="25"/>
  <c r="Q239" i="25"/>
  <c r="P240" i="25"/>
  <c r="V239" i="25"/>
  <c r="W239" i="25"/>
  <c r="W240" i="25"/>
  <c r="V240" i="25"/>
  <c r="AN240" i="25"/>
  <c r="AN238" i="25"/>
  <c r="BE240" i="25"/>
  <c r="AY240" i="25"/>
  <c r="AN239" i="25"/>
  <c r="BE238" i="25"/>
  <c r="AY238" i="25"/>
  <c r="W238" i="25"/>
  <c r="AA240" i="20"/>
  <c r="AG240" i="20"/>
  <c r="CU240" i="20"/>
  <c r="AY237" i="25" s="1"/>
  <c r="BL240" i="20"/>
  <c r="AI237" i="25" s="1"/>
  <c r="BQ240" i="20"/>
  <c r="AN237" i="25" s="1"/>
  <c r="AE238" i="25"/>
  <c r="BP240" i="20"/>
  <c r="AM237" i="25" s="1"/>
  <c r="AM233" i="25" s="1"/>
  <c r="BR240" i="20"/>
  <c r="AO237" i="25" s="1"/>
  <c r="BK240" i="20"/>
  <c r="AH237" i="25" s="1"/>
  <c r="V238" i="25"/>
  <c r="AM239" i="25"/>
  <c r="AO238" i="25"/>
  <c r="X239" i="25"/>
  <c r="N238" i="25"/>
  <c r="AE239" i="25"/>
  <c r="AO239" i="25"/>
  <c r="N240" i="25"/>
  <c r="AO240" i="25"/>
  <c r="AI238" i="25"/>
  <c r="N239" i="25"/>
  <c r="AZ240" i="25"/>
  <c r="AI240" i="25"/>
  <c r="R240" i="25"/>
  <c r="AZ239" i="25"/>
  <c r="BF240" i="25"/>
  <c r="BF239" i="25"/>
  <c r="R238" i="25"/>
  <c r="R239" i="25"/>
  <c r="X240" i="25"/>
  <c r="BF238" i="25"/>
  <c r="X238" i="25"/>
  <c r="AZ238" i="25"/>
  <c r="AB240" i="20"/>
  <c r="DB240" i="20"/>
  <c r="BF237" i="25" s="1"/>
  <c r="CV240" i="20"/>
  <c r="AZ237" i="25" s="1"/>
  <c r="AH240" i="20"/>
  <c r="AJ240" i="25"/>
  <c r="BG240" i="25"/>
  <c r="S239" i="25"/>
  <c r="AP239" i="25"/>
  <c r="BA238" i="25"/>
  <c r="AJ238" i="25"/>
  <c r="BA240" i="25"/>
  <c r="S238" i="25"/>
  <c r="AP238" i="25"/>
  <c r="AP240" i="25"/>
  <c r="BA239" i="25"/>
  <c r="AJ239" i="25"/>
  <c r="Y240" i="25"/>
  <c r="S240" i="25"/>
  <c r="Z239" i="25"/>
  <c r="BG239" i="25"/>
  <c r="Y238" i="25"/>
  <c r="BG238" i="25"/>
  <c r="DC240" i="20"/>
  <c r="BG237" i="25" s="1"/>
  <c r="BT240" i="20"/>
  <c r="Y239" i="25"/>
  <c r="BN240" i="20"/>
  <c r="BH240" i="25"/>
  <c r="DD240" i="20"/>
  <c r="BH237" i="25" s="1"/>
  <c r="AI240" i="20"/>
  <c r="AC240" i="20"/>
  <c r="BM240" i="20"/>
  <c r="AJ237" i="25" s="1"/>
  <c r="CW240" i="20"/>
  <c r="BA237" i="25" s="1"/>
  <c r="BS240" i="20"/>
  <c r="AP237" i="25" s="1"/>
  <c r="BB240" i="25"/>
  <c r="AQ239" i="25"/>
  <c r="AK238" i="25"/>
  <c r="T239" i="25"/>
  <c r="AQ238" i="25"/>
  <c r="AQ240" i="25"/>
  <c r="AK240" i="25"/>
  <c r="T238" i="25"/>
  <c r="BB238" i="25"/>
  <c r="BH239" i="25"/>
  <c r="AK239" i="25"/>
  <c r="BB239" i="25"/>
  <c r="T240" i="25"/>
  <c r="Z240" i="25"/>
  <c r="Z238" i="25"/>
  <c r="BH238" i="25"/>
  <c r="CX240" i="20"/>
  <c r="BB237" i="25" s="1"/>
  <c r="AD240" i="20"/>
  <c r="AJ240" i="20"/>
  <c r="BW49" i="25" l="1"/>
  <c r="BW61" i="25"/>
  <c r="BW130" i="25"/>
  <c r="W83" i="20"/>
  <c r="M81" i="25" s="1"/>
  <c r="BL84" i="25"/>
  <c r="BL107" i="25"/>
  <c r="BW107" i="25"/>
  <c r="Q162" i="25"/>
  <c r="BW84" i="25"/>
  <c r="BG76" i="20"/>
  <c r="AD74" i="25" s="1"/>
  <c r="BX49" i="25"/>
  <c r="BO61" i="25"/>
  <c r="BX61" i="25"/>
  <c r="BX84" i="25"/>
  <c r="BO107" i="25"/>
  <c r="BX107" i="25"/>
  <c r="BO130" i="25"/>
  <c r="BS130" i="25"/>
  <c r="AP233" i="25"/>
  <c r="AO233" i="25"/>
  <c r="W215" i="20"/>
  <c r="M213" i="25" s="1"/>
  <c r="BP185" i="20"/>
  <c r="AM183" i="25" s="1"/>
  <c r="BU49" i="25"/>
  <c r="BU61" i="25"/>
  <c r="BU84" i="25"/>
  <c r="BU107" i="25"/>
  <c r="BU130" i="25"/>
  <c r="BP49" i="25"/>
  <c r="BY130" i="25"/>
  <c r="W211" i="20"/>
  <c r="M209" i="25" s="1"/>
  <c r="BQ49" i="25"/>
  <c r="BQ61" i="25"/>
  <c r="BQ84" i="25"/>
  <c r="BQ107" i="25"/>
  <c r="W209" i="20"/>
  <c r="M207" i="25" s="1"/>
  <c r="BP161" i="20"/>
  <c r="BH161" i="20" s="1"/>
  <c r="AE159" i="25" s="1"/>
  <c r="BS49" i="25"/>
  <c r="BS61" i="25"/>
  <c r="BS84" i="25"/>
  <c r="BS107" i="25"/>
  <c r="BV233" i="25"/>
  <c r="CE59" i="20"/>
  <c r="CE139" i="20"/>
  <c r="CC179" i="20"/>
  <c r="CE137" i="20"/>
  <c r="CC183" i="20"/>
  <c r="CE152" i="20"/>
  <c r="CC231" i="20"/>
  <c r="CC115" i="20"/>
  <c r="CE113" i="20"/>
  <c r="CC172" i="20"/>
  <c r="CC64" i="20"/>
  <c r="CC101" i="20"/>
  <c r="CC134" i="20"/>
  <c r="CC135" i="20"/>
  <c r="CE124" i="20"/>
  <c r="CE68" i="20"/>
  <c r="CD176" i="20"/>
  <c r="CD221" i="20"/>
  <c r="CC92" i="20"/>
  <c r="CC56" i="20"/>
  <c r="CC227" i="20"/>
  <c r="CC91" i="20"/>
  <c r="CE138" i="20"/>
  <c r="CE53" i="20"/>
  <c r="CD168" i="20"/>
  <c r="CI57" i="20"/>
  <c r="CC117" i="20"/>
  <c r="CB100" i="20"/>
  <c r="CC114" i="20"/>
  <c r="CE103" i="20"/>
  <c r="CE70" i="20"/>
  <c r="CD116" i="20"/>
  <c r="CB116" i="20"/>
  <c r="CC94" i="20"/>
  <c r="CL68" i="20"/>
  <c r="CC136" i="20"/>
  <c r="CC60" i="20"/>
  <c r="CC221" i="20"/>
  <c r="CC222" i="20"/>
  <c r="CJ231" i="20"/>
  <c r="CE95" i="20"/>
  <c r="CC212" i="20"/>
  <c r="CJ107" i="20"/>
  <c r="CE163" i="20"/>
  <c r="CL58" i="20"/>
  <c r="CC100" i="20"/>
  <c r="CC230" i="20"/>
  <c r="CC87" i="20"/>
  <c r="CC118" i="20"/>
  <c r="CJ90" i="20"/>
  <c r="CJ124" i="20"/>
  <c r="CE57" i="20"/>
  <c r="CC79" i="20"/>
  <c r="CC52" i="20"/>
  <c r="CC65" i="20"/>
  <c r="CC133" i="20"/>
  <c r="CC171" i="20"/>
  <c r="CE89" i="20"/>
  <c r="CA138" i="20"/>
  <c r="CC128" i="20"/>
  <c r="CC58" i="20"/>
  <c r="CC125" i="20"/>
  <c r="CC180" i="20"/>
  <c r="CC211" i="20"/>
  <c r="BK211" i="20" s="1"/>
  <c r="AH209" i="25" s="1"/>
  <c r="CC229" i="20"/>
  <c r="CE78" i="20"/>
  <c r="CE133" i="20"/>
  <c r="CJ127" i="20"/>
  <c r="CE91" i="20"/>
  <c r="CE118" i="20"/>
  <c r="CJ70" i="20"/>
  <c r="CE67" i="20"/>
  <c r="CC83" i="20"/>
  <c r="CD171" i="20"/>
  <c r="CD83" i="20"/>
  <c r="CC55" i="20"/>
  <c r="CE101" i="20"/>
  <c r="CE179" i="20"/>
  <c r="CE66" i="20"/>
  <c r="CE141" i="20"/>
  <c r="CE88" i="20"/>
  <c r="CJ58" i="20"/>
  <c r="CE117" i="20"/>
  <c r="CJ77" i="20"/>
  <c r="CD206" i="20"/>
  <c r="CD222" i="20"/>
  <c r="CE65" i="20"/>
  <c r="CJ54" i="20"/>
  <c r="CE104" i="20"/>
  <c r="CJ115" i="20"/>
  <c r="CD192" i="20"/>
  <c r="CJ71" i="20"/>
  <c r="CD106" i="20"/>
  <c r="CD81" i="20"/>
  <c r="CD191" i="20"/>
  <c r="CC145" i="20"/>
  <c r="CC144" i="20" s="1"/>
  <c r="CC76" i="20"/>
  <c r="CJ80" i="20"/>
  <c r="CE64" i="20"/>
  <c r="CJ110" i="20"/>
  <c r="CE93" i="20"/>
  <c r="CE205" i="20"/>
  <c r="CJ91" i="20"/>
  <c r="CJ55" i="20"/>
  <c r="CJ99" i="20"/>
  <c r="CD163" i="20"/>
  <c r="CC90" i="20"/>
  <c r="CC111" i="20"/>
  <c r="CC138" i="20"/>
  <c r="CC77" i="20"/>
  <c r="CC89" i="20"/>
  <c r="CC53" i="20"/>
  <c r="CC99" i="20"/>
  <c r="CJ89" i="20"/>
  <c r="CE87" i="20"/>
  <c r="CJ152" i="20"/>
  <c r="CE116" i="20"/>
  <c r="CE204" i="20"/>
  <c r="CJ111" i="20"/>
  <c r="CJ93" i="20"/>
  <c r="CD105" i="20"/>
  <c r="CD102" i="20"/>
  <c r="CJ69" i="20"/>
  <c r="CC78" i="20"/>
  <c r="CC54" i="20"/>
  <c r="CC88" i="20"/>
  <c r="CC123" i="20"/>
  <c r="CC112" i="20"/>
  <c r="CC209" i="20"/>
  <c r="CC164" i="20"/>
  <c r="CE80" i="20"/>
  <c r="CE135" i="20"/>
  <c r="CJ212" i="20"/>
  <c r="CE60" i="20"/>
  <c r="CD104" i="20"/>
  <c r="CJ156" i="20"/>
  <c r="CJ113" i="20"/>
  <c r="CK168" i="20"/>
  <c r="CC205" i="20"/>
  <c r="CE110" i="20"/>
  <c r="CE112" i="20"/>
  <c r="CE114" i="20"/>
  <c r="CE230" i="20"/>
  <c r="CJ209" i="20"/>
  <c r="CE81" i="20"/>
  <c r="CJ118" i="20"/>
  <c r="CJ129" i="20"/>
  <c r="CE92" i="20"/>
  <c r="CJ134" i="20"/>
  <c r="CJ200" i="20"/>
  <c r="CE105" i="20"/>
  <c r="CJ204" i="20"/>
  <c r="CE82" i="20"/>
  <c r="CL53" i="20"/>
  <c r="CD130" i="20"/>
  <c r="CF77" i="20"/>
  <c r="CD200" i="20"/>
  <c r="CH65" i="20"/>
  <c r="CD180" i="20"/>
  <c r="CH137" i="20"/>
  <c r="CI99" i="20"/>
  <c r="CJ66" i="20"/>
  <c r="CL76" i="20"/>
  <c r="CF84" i="20"/>
  <c r="CE52" i="20"/>
  <c r="CC106" i="20"/>
  <c r="CE221" i="20"/>
  <c r="CD152" i="20"/>
  <c r="CD82" i="20"/>
  <c r="CD209" i="20"/>
  <c r="CD213" i="20"/>
  <c r="CD59" i="20"/>
  <c r="CA79" i="20"/>
  <c r="CL64" i="20"/>
  <c r="CA102" i="20"/>
  <c r="CC124" i="20"/>
  <c r="CB145" i="20"/>
  <c r="CB144" i="20" s="1"/>
  <c r="CB115" i="20"/>
  <c r="CC80" i="20"/>
  <c r="CB204" i="20"/>
  <c r="CC167" i="20"/>
  <c r="CC70" i="20"/>
  <c r="CC141" i="20"/>
  <c r="CC199" i="20"/>
  <c r="CE222" i="20"/>
  <c r="CE159" i="20"/>
  <c r="CJ114" i="20"/>
  <c r="CE212" i="20"/>
  <c r="CE90" i="20"/>
  <c r="CC130" i="20"/>
  <c r="CJ106" i="20"/>
  <c r="CJ221" i="20"/>
  <c r="CE180" i="20"/>
  <c r="CJ128" i="20"/>
  <c r="CI104" i="20"/>
  <c r="CJ64" i="20"/>
  <c r="CE71" i="20"/>
  <c r="CD127" i="20"/>
  <c r="CD128" i="20"/>
  <c r="CF231" i="20"/>
  <c r="CD201" i="20"/>
  <c r="CD134" i="20"/>
  <c r="CD230" i="20"/>
  <c r="CD71" i="20"/>
  <c r="CB152" i="20"/>
  <c r="CB183" i="20"/>
  <c r="CB133" i="20"/>
  <c r="CC71" i="20"/>
  <c r="CC103" i="20"/>
  <c r="CC151" i="20"/>
  <c r="CC156" i="20"/>
  <c r="CC93" i="20"/>
  <c r="CC175" i="20"/>
  <c r="CC84" i="20"/>
  <c r="CJ184" i="20"/>
  <c r="CE55" i="20"/>
  <c r="CE115" i="20"/>
  <c r="CC129" i="20"/>
  <c r="CJ213" i="20"/>
  <c r="CH139" i="20"/>
  <c r="CE155" i="20"/>
  <c r="CJ72" i="20"/>
  <c r="CL54" i="20"/>
  <c r="CJ159" i="20"/>
  <c r="CE229" i="20"/>
  <c r="CF156" i="20"/>
  <c r="CH101" i="20"/>
  <c r="CD89" i="20"/>
  <c r="CD112" i="20"/>
  <c r="CI107" i="20"/>
  <c r="CL55" i="20"/>
  <c r="CI88" i="20"/>
  <c r="CC184" i="20"/>
  <c r="CB68" i="20"/>
  <c r="CB88" i="20"/>
  <c r="CC69" i="20"/>
  <c r="CC126" i="20"/>
  <c r="CC210" i="20"/>
  <c r="BK210" i="20" s="1"/>
  <c r="AH208" i="25" s="1"/>
  <c r="CC68" i="20"/>
  <c r="CC139" i="20"/>
  <c r="CC159" i="20"/>
  <c r="CC140" i="20"/>
  <c r="CE72" i="20"/>
  <c r="CE140" i="20"/>
  <c r="CF130" i="20"/>
  <c r="CJ53" i="20"/>
  <c r="CI59" i="20"/>
  <c r="CE183" i="20"/>
  <c r="CJ116" i="20"/>
  <c r="CE69" i="20"/>
  <c r="CJ92" i="20"/>
  <c r="CD175" i="20"/>
  <c r="CF206" i="20"/>
  <c r="CD107" i="20"/>
  <c r="CD167" i="20"/>
  <c r="CH192" i="20"/>
  <c r="CD77" i="20"/>
  <c r="CD79" i="20"/>
  <c r="CH229" i="20"/>
  <c r="CA137" i="20"/>
  <c r="BZ94" i="20"/>
  <c r="CA94" i="20"/>
  <c r="CL78" i="20"/>
  <c r="CC81" i="20"/>
  <c r="CE94" i="20"/>
  <c r="CC155" i="20"/>
  <c r="CJ199" i="20"/>
  <c r="CD124" i="20"/>
  <c r="CD60" i="20"/>
  <c r="CH224" i="20"/>
  <c r="CB91" i="20"/>
  <c r="CL79" i="20"/>
  <c r="BZ64" i="20"/>
  <c r="CB95" i="20"/>
  <c r="BZ113" i="20"/>
  <c r="CA52" i="20"/>
  <c r="CJ95" i="20"/>
  <c r="CE184" i="20"/>
  <c r="CJ79" i="20"/>
  <c r="CD129" i="20"/>
  <c r="CD211" i="20"/>
  <c r="CD151" i="20"/>
  <c r="CD199" i="20"/>
  <c r="CD198" i="20" s="1"/>
  <c r="CD118" i="20"/>
  <c r="CB92" i="20"/>
  <c r="CB140" i="20"/>
  <c r="CB171" i="20"/>
  <c r="CA230" i="20"/>
  <c r="CA106" i="20"/>
  <c r="CA135" i="20"/>
  <c r="CA116" i="20"/>
  <c r="CA179" i="20"/>
  <c r="BZ159" i="20"/>
  <c r="CA88" i="20"/>
  <c r="CB90" i="20"/>
  <c r="CB164" i="20"/>
  <c r="CB163" i="20"/>
  <c r="BZ55" i="20"/>
  <c r="CD125" i="20"/>
  <c r="CK79" i="20"/>
  <c r="CD95" i="20"/>
  <c r="CD65" i="20"/>
  <c r="CI114" i="20"/>
  <c r="CD179" i="20"/>
  <c r="CD67" i="20"/>
  <c r="CD94" i="20"/>
  <c r="CD101" i="20"/>
  <c r="CD52" i="20"/>
  <c r="CD155" i="20"/>
  <c r="CI66" i="20"/>
  <c r="CL100" i="20"/>
  <c r="BZ200" i="20"/>
  <c r="CJ222" i="20"/>
  <c r="CA164" i="20"/>
  <c r="CJ151" i="20"/>
  <c r="BZ175" i="20"/>
  <c r="BZ84" i="20"/>
  <c r="CA205" i="20"/>
  <c r="BZ83" i="20"/>
  <c r="BZ168" i="20"/>
  <c r="CA90" i="20"/>
  <c r="CF142" i="20"/>
  <c r="CI227" i="20"/>
  <c r="CD78" i="20"/>
  <c r="CD111" i="20"/>
  <c r="CD99" i="20"/>
  <c r="CD80" i="20"/>
  <c r="CD84" i="20"/>
  <c r="CD92" i="20"/>
  <c r="CD227" i="20"/>
  <c r="CD141" i="20"/>
  <c r="CD160" i="20"/>
  <c r="CF65" i="20"/>
  <c r="BZ93" i="20"/>
  <c r="CA180" i="20"/>
  <c r="CF105" i="20"/>
  <c r="CE134" i="20"/>
  <c r="CJ167" i="20"/>
  <c r="CE211" i="20"/>
  <c r="CH91" i="20"/>
  <c r="CJ82" i="20"/>
  <c r="BZ106" i="20"/>
  <c r="BZ155" i="20"/>
  <c r="CJ164" i="20"/>
  <c r="CJ138" i="20"/>
  <c r="CA129" i="20"/>
  <c r="CE164" i="20"/>
  <c r="CA168" i="20"/>
  <c r="CB159" i="20"/>
  <c r="CK213" i="20"/>
  <c r="CA159" i="20"/>
  <c r="BZ123" i="20"/>
  <c r="BZ72" i="20"/>
  <c r="CA93" i="20"/>
  <c r="CA134" i="20"/>
  <c r="CA139" i="20"/>
  <c r="BZ102" i="20"/>
  <c r="CA66" i="20"/>
  <c r="CA113" i="20"/>
  <c r="CB96" i="20"/>
  <c r="CD196" i="20"/>
  <c r="CD138" i="20"/>
  <c r="CD135" i="20"/>
  <c r="CD66" i="20"/>
  <c r="CD114" i="20"/>
  <c r="CD228" i="20"/>
  <c r="CF124" i="20"/>
  <c r="CD117" i="20"/>
  <c r="CD164" i="20"/>
  <c r="CD122" i="20"/>
  <c r="CD172" i="20"/>
  <c r="CL200" i="20"/>
  <c r="BZ70" i="20"/>
  <c r="CE79" i="20"/>
  <c r="CE129" i="20"/>
  <c r="CE102" i="20"/>
  <c r="CJ130" i="20"/>
  <c r="CA167" i="20"/>
  <c r="CJ168" i="20"/>
  <c r="CF176" i="20"/>
  <c r="CA176" i="20"/>
  <c r="CJ135" i="20"/>
  <c r="CJ60" i="20"/>
  <c r="BZ127" i="20"/>
  <c r="CA184" i="20"/>
  <c r="CH156" i="20"/>
  <c r="CF179" i="20"/>
  <c r="BZ222" i="20"/>
  <c r="CK180" i="20"/>
  <c r="CF83" i="20"/>
  <c r="CB107" i="20"/>
  <c r="CA206" i="20"/>
  <c r="BZ91" i="20"/>
  <c r="BZ138" i="20"/>
  <c r="CA78" i="20"/>
  <c r="CA115" i="20"/>
  <c r="BZ88" i="20"/>
  <c r="BZ67" i="20"/>
  <c r="BZ53" i="20"/>
  <c r="CA92" i="20"/>
  <c r="BZ231" i="20"/>
  <c r="CA89" i="20"/>
  <c r="CA231" i="20"/>
  <c r="CA141" i="20"/>
  <c r="BZ65" i="20"/>
  <c r="CC168" i="20"/>
  <c r="CC228" i="20"/>
  <c r="CC160" i="20"/>
  <c r="CC95" i="20"/>
  <c r="CC201" i="20"/>
  <c r="CB151" i="20"/>
  <c r="CB57" i="20"/>
  <c r="CB117" i="20"/>
  <c r="CB138" i="20"/>
  <c r="CB76" i="20"/>
  <c r="CB227" i="20"/>
  <c r="CB112" i="20"/>
  <c r="CA99" i="20"/>
  <c r="BZ152" i="20"/>
  <c r="BW152" i="20" s="1"/>
  <c r="CA60" i="20"/>
  <c r="CB201" i="20"/>
  <c r="CB134" i="20"/>
  <c r="CB139" i="20"/>
  <c r="CB58" i="20"/>
  <c r="CB229" i="20"/>
  <c r="CB79" i="20"/>
  <c r="CJ218" i="20"/>
  <c r="CD88" i="20"/>
  <c r="CK228" i="20"/>
  <c r="CH205" i="20"/>
  <c r="CF229" i="20"/>
  <c r="CJ180" i="20"/>
  <c r="CL56" i="20"/>
  <c r="CI87" i="20"/>
  <c r="CF160" i="20"/>
  <c r="CA152" i="20"/>
  <c r="CJ117" i="20"/>
  <c r="CF168" i="20"/>
  <c r="BZ201" i="20"/>
  <c r="CH71" i="20"/>
  <c r="CF107" i="20"/>
  <c r="CC104" i="20"/>
  <c r="CB184" i="20"/>
  <c r="CI64" i="20"/>
  <c r="CB84" i="20"/>
  <c r="BW84" i="20" s="1"/>
  <c r="BZ164" i="20"/>
  <c r="BZ101" i="20"/>
  <c r="CA122" i="20"/>
  <c r="BZ124" i="20"/>
  <c r="CA136" i="20"/>
  <c r="CA227" i="20"/>
  <c r="BZ141" i="20"/>
  <c r="BV141" i="20" s="1"/>
  <c r="CA56" i="20"/>
  <c r="CA77" i="20"/>
  <c r="BZ140" i="20"/>
  <c r="BZ92" i="20"/>
  <c r="BZ230" i="20"/>
  <c r="BZ57" i="20"/>
  <c r="BZ78" i="20"/>
  <c r="CC163" i="20"/>
  <c r="CC122" i="20"/>
  <c r="CB200" i="20"/>
  <c r="CC72" i="20"/>
  <c r="CB175" i="20"/>
  <c r="BW175" i="20" s="1"/>
  <c r="CC200" i="20"/>
  <c r="CB222" i="20"/>
  <c r="CC66" i="20"/>
  <c r="CC110" i="20"/>
  <c r="CC206" i="20"/>
  <c r="CB127" i="20"/>
  <c r="CB103" i="20"/>
  <c r="CC113" i="20"/>
  <c r="CB135" i="20"/>
  <c r="CC67" i="20"/>
  <c r="CB80" i="20"/>
  <c r="CB55" i="20"/>
  <c r="CB102" i="20"/>
  <c r="CB110" i="20"/>
  <c r="CB129" i="20"/>
  <c r="CB126" i="20"/>
  <c r="BZ125" i="20"/>
  <c r="CB141" i="20"/>
  <c r="CI68" i="20"/>
  <c r="CA140" i="20"/>
  <c r="BZ87" i="20"/>
  <c r="BZ77" i="20"/>
  <c r="BZ136" i="20"/>
  <c r="CA125" i="20"/>
  <c r="BZ56" i="20"/>
  <c r="BZ227" i="20"/>
  <c r="CB101" i="20"/>
  <c r="CB179" i="20"/>
  <c r="CB87" i="20"/>
  <c r="BW87" i="20" s="1"/>
  <c r="CB122" i="20"/>
  <c r="CD223" i="20"/>
  <c r="CK67" i="20"/>
  <c r="CD90" i="20"/>
  <c r="CK140" i="20"/>
  <c r="CD93" i="20"/>
  <c r="CD115" i="20"/>
  <c r="CD139" i="20"/>
  <c r="CD64" i="20"/>
  <c r="CD156" i="20"/>
  <c r="CD229" i="20"/>
  <c r="CD56" i="20"/>
  <c r="CI117" i="20"/>
  <c r="CI191" i="20"/>
  <c r="CL65" i="20"/>
  <c r="CF222" i="20"/>
  <c r="CJ145" i="20"/>
  <c r="CJ144" i="20" s="1"/>
  <c r="CH227" i="20"/>
  <c r="CH222" i="20"/>
  <c r="CE128" i="20"/>
  <c r="CA175" i="20"/>
  <c r="BV175" i="20" s="1"/>
  <c r="CC105" i="20"/>
  <c r="CA183" i="20"/>
  <c r="CI77" i="20"/>
  <c r="CK184" i="20"/>
  <c r="CB128" i="20"/>
  <c r="CC82" i="20"/>
  <c r="BZ205" i="20"/>
  <c r="BZ151" i="20"/>
  <c r="CA55" i="20"/>
  <c r="BZ90" i="20"/>
  <c r="CA117" i="20"/>
  <c r="BZ135" i="20"/>
  <c r="BZ115" i="20"/>
  <c r="BZ229" i="20"/>
  <c r="BW229" i="20" s="1"/>
  <c r="CB118" i="20"/>
  <c r="CB81" i="20"/>
  <c r="CD70" i="20"/>
  <c r="CD210" i="20"/>
  <c r="CI200" i="20"/>
  <c r="CD113" i="20"/>
  <c r="CH105" i="20"/>
  <c r="CK139" i="20"/>
  <c r="CE106" i="20"/>
  <c r="CJ103" i="20"/>
  <c r="CE206" i="20"/>
  <c r="CJ101" i="20"/>
  <c r="CA107" i="20"/>
  <c r="CE54" i="20"/>
  <c r="CJ155" i="20"/>
  <c r="CA53" i="20"/>
  <c r="CJ122" i="20"/>
  <c r="CB82" i="20"/>
  <c r="CE213" i="20"/>
  <c r="BZ156" i="20"/>
  <c r="CI71" i="20"/>
  <c r="CJ160" i="20"/>
  <c r="CJ78" i="20"/>
  <c r="BZ82" i="20"/>
  <c r="CA171" i="20"/>
  <c r="CL77" i="20"/>
  <c r="CA127" i="20"/>
  <c r="CA67" i="20"/>
  <c r="BZ59" i="20"/>
  <c r="CA64" i="20"/>
  <c r="BV64" i="20" s="1"/>
  <c r="CA124" i="20"/>
  <c r="BV124" i="20" s="1"/>
  <c r="BI124" i="20" s="1"/>
  <c r="BZ76" i="20"/>
  <c r="CA111" i="20"/>
  <c r="BZ118" i="20"/>
  <c r="BZ122" i="20"/>
  <c r="CA228" i="20"/>
  <c r="BZ95" i="20"/>
  <c r="CA58" i="20"/>
  <c r="BZ114" i="20"/>
  <c r="BZ58" i="20"/>
  <c r="BW58" i="20" s="1"/>
  <c r="BZ126" i="20"/>
  <c r="CC176" i="20"/>
  <c r="CC57" i="20"/>
  <c r="CB168" i="20"/>
  <c r="CC204" i="20"/>
  <c r="CC116" i="20"/>
  <c r="CC137" i="20"/>
  <c r="CC213" i="20"/>
  <c r="BK213" i="20" s="1"/>
  <c r="AH211" i="25" s="1"/>
  <c r="CB206" i="20"/>
  <c r="CB59" i="20"/>
  <c r="CC152" i="20"/>
  <c r="CB71" i="20"/>
  <c r="CB167" i="20"/>
  <c r="CB124" i="20"/>
  <c r="CB60" i="20"/>
  <c r="CB72" i="20"/>
  <c r="BW72" i="20" s="1"/>
  <c r="CB69" i="20"/>
  <c r="CB66" i="20"/>
  <c r="CB111" i="20"/>
  <c r="BZ80" i="20"/>
  <c r="CA76" i="20"/>
  <c r="CI81" i="20"/>
  <c r="CI58" i="20"/>
  <c r="CB156" i="20"/>
  <c r="CB99" i="20"/>
  <c r="CB114" i="20"/>
  <c r="CB93" i="20"/>
  <c r="CB56" i="20"/>
  <c r="CB113" i="20"/>
  <c r="CB89" i="20"/>
  <c r="CB125" i="20"/>
  <c r="BW125" i="20" s="1"/>
  <c r="CA105" i="20"/>
  <c r="CA145" i="20"/>
  <c r="CA144" i="20" s="1"/>
  <c r="CA72" i="20"/>
  <c r="CA110" i="20"/>
  <c r="BZ137" i="20"/>
  <c r="CA103" i="20"/>
  <c r="CA123" i="20"/>
  <c r="CA229" i="20"/>
  <c r="BZ89" i="20"/>
  <c r="BZ68" i="20"/>
  <c r="BZ117" i="20"/>
  <c r="CD55" i="20"/>
  <c r="CK167" i="20"/>
  <c r="CH135" i="20"/>
  <c r="CD204" i="20"/>
  <c r="CH176" i="20"/>
  <c r="CD123" i="20"/>
  <c r="CF135" i="20"/>
  <c r="CD69" i="20"/>
  <c r="CH163" i="20"/>
  <c r="CL201" i="20"/>
  <c r="CL123" i="20"/>
  <c r="BZ107" i="20"/>
  <c r="CJ83" i="20"/>
  <c r="CE168" i="20"/>
  <c r="CJ68" i="20"/>
  <c r="CE171" i="20"/>
  <c r="CL72" i="20"/>
  <c r="CJ179" i="20"/>
  <c r="BZ128" i="20"/>
  <c r="CA200" i="20"/>
  <c r="CE228" i="20"/>
  <c r="CJ126" i="20"/>
  <c r="CA84" i="20"/>
  <c r="CE167" i="20"/>
  <c r="BZ179" i="20"/>
  <c r="BV179" i="20" s="1"/>
  <c r="CL81" i="20"/>
  <c r="CJ133" i="20"/>
  <c r="CJ140" i="20"/>
  <c r="CA128" i="20"/>
  <c r="BV128" i="20" s="1"/>
  <c r="CL95" i="20"/>
  <c r="BZ81" i="20"/>
  <c r="CA160" i="20"/>
  <c r="CA80" i="20"/>
  <c r="CA199" i="20"/>
  <c r="BZ111" i="20"/>
  <c r="CA91" i="20"/>
  <c r="BV91" i="20" s="1"/>
  <c r="BZ139" i="20"/>
  <c r="BX139" i="20" s="1"/>
  <c r="CA65" i="20"/>
  <c r="BV65" i="20" s="1"/>
  <c r="BZ100" i="20"/>
  <c r="BZ69" i="20"/>
  <c r="CA133" i="20"/>
  <c r="BZ103" i="20"/>
  <c r="BZ104" i="20"/>
  <c r="BZ228" i="20"/>
  <c r="CA69" i="20"/>
  <c r="CA95" i="20"/>
  <c r="CA68" i="20"/>
  <c r="CB205" i="20"/>
  <c r="CB53" i="20"/>
  <c r="CB172" i="20"/>
  <c r="CB180" i="20"/>
  <c r="CB123" i="20"/>
  <c r="CB65" i="20"/>
  <c r="CB67" i="20"/>
  <c r="CB78" i="20"/>
  <c r="CB70" i="20"/>
  <c r="CA126" i="20"/>
  <c r="CB54" i="20"/>
  <c r="CB137" i="20"/>
  <c r="CB230" i="20"/>
  <c r="CB221" i="20"/>
  <c r="CB155" i="20"/>
  <c r="BZ110" i="20"/>
  <c r="BZ79" i="20"/>
  <c r="BV79" i="20" s="1"/>
  <c r="BZ99" i="20"/>
  <c r="CA54" i="20"/>
  <c r="BZ71" i="20"/>
  <c r="BZ112" i="20"/>
  <c r="BW112" i="20" s="1"/>
  <c r="BZ176" i="20"/>
  <c r="CB64" i="20"/>
  <c r="BW64" i="20" s="1"/>
  <c r="CB199" i="20"/>
  <c r="CA101" i="20"/>
  <c r="CB52" i="20"/>
  <c r="CB176" i="20"/>
  <c r="CA114" i="20"/>
  <c r="CA112" i="20"/>
  <c r="BV112" i="20" s="1"/>
  <c r="BI112" i="20" s="1"/>
  <c r="AF110" i="25" s="1"/>
  <c r="CA82" i="20"/>
  <c r="CA70" i="20"/>
  <c r="CA87" i="20"/>
  <c r="BZ180" i="20"/>
  <c r="CE151" i="20"/>
  <c r="CB119" i="20"/>
  <c r="DS111" i="20"/>
  <c r="DT54" i="20"/>
  <c r="DU140" i="20"/>
  <c r="DT126" i="20"/>
  <c r="DV146" i="20"/>
  <c r="DV56" i="20"/>
  <c r="DV134" i="20"/>
  <c r="DR103" i="20"/>
  <c r="DP70" i="20"/>
  <c r="DR129" i="20"/>
  <c r="DR210" i="20"/>
  <c r="DS145" i="20"/>
  <c r="DV90" i="20"/>
  <c r="DS205" i="20"/>
  <c r="DR221" i="20"/>
  <c r="DP211" i="20"/>
  <c r="DU212" i="20"/>
  <c r="DP91" i="20"/>
  <c r="DV221" i="20"/>
  <c r="DS87" i="20"/>
  <c r="DR84" i="20"/>
  <c r="DP71" i="20"/>
  <c r="DT104" i="20"/>
  <c r="DT81" i="20"/>
  <c r="DR104" i="20"/>
  <c r="DS69" i="20"/>
  <c r="DV52" i="20"/>
  <c r="DV122" i="20"/>
  <c r="DP204" i="20"/>
  <c r="DP201" i="20"/>
  <c r="DN227" i="20"/>
  <c r="DV60" i="20"/>
  <c r="DV140" i="20"/>
  <c r="DS110" i="20"/>
  <c r="DU210" i="20"/>
  <c r="DP87" i="20"/>
  <c r="DN136" i="20"/>
  <c r="DN105" i="20"/>
  <c r="DV106" i="20"/>
  <c r="DS107" i="20"/>
  <c r="DS102" i="20"/>
  <c r="DU230" i="20"/>
  <c r="DU82" i="20"/>
  <c r="DP122" i="20"/>
  <c r="DV82" i="20"/>
  <c r="DS127" i="20"/>
  <c r="DS135" i="20"/>
  <c r="DN82" i="20"/>
  <c r="DU102" i="20"/>
  <c r="DU141" i="20"/>
  <c r="DV114" i="20"/>
  <c r="DS68" i="20"/>
  <c r="DR204" i="20"/>
  <c r="DN107" i="20"/>
  <c r="DU201" i="20"/>
  <c r="DT102" i="20"/>
  <c r="DT60" i="20"/>
  <c r="DR76" i="20"/>
  <c r="DP76" i="20"/>
  <c r="DT59" i="20"/>
  <c r="DV66" i="20"/>
  <c r="DS65" i="20"/>
  <c r="DS104" i="20"/>
  <c r="DR93" i="20"/>
  <c r="DP77" i="20"/>
  <c r="DR205" i="20"/>
  <c r="DR94" i="20"/>
  <c r="DS122" i="20"/>
  <c r="DV70" i="20"/>
  <c r="DS137" i="20"/>
  <c r="DS52" i="20"/>
  <c r="DV67" i="20"/>
  <c r="DP114" i="20"/>
  <c r="DU54" i="20"/>
  <c r="DT222" i="20"/>
  <c r="DR211" i="20"/>
  <c r="DT124" i="20"/>
  <c r="DU221" i="20"/>
  <c r="DU227" i="20"/>
  <c r="DP102" i="20"/>
  <c r="DU59" i="20"/>
  <c r="DN81" i="20"/>
  <c r="DT79" i="20"/>
  <c r="DR89" i="20"/>
  <c r="DN206" i="20"/>
  <c r="DU228" i="20"/>
  <c r="DR77" i="20"/>
  <c r="DR80" i="20"/>
  <c r="DN146" i="20"/>
  <c r="DV71" i="20"/>
  <c r="DR106" i="20"/>
  <c r="DT110" i="20"/>
  <c r="DN222" i="20"/>
  <c r="DV204" i="20"/>
  <c r="DU64" i="20"/>
  <c r="DR148" i="20"/>
  <c r="DT148" i="20"/>
  <c r="DN135" i="20"/>
  <c r="DT106" i="20"/>
  <c r="DR71" i="20"/>
  <c r="DN113" i="20"/>
  <c r="DR58" i="20"/>
  <c r="DR199" i="20"/>
  <c r="DN54" i="20"/>
  <c r="DS56" i="20"/>
  <c r="DU122" i="20"/>
  <c r="DT146" i="20"/>
  <c r="DT78" i="20"/>
  <c r="DN67" i="20"/>
  <c r="DR139" i="20"/>
  <c r="DV126" i="20"/>
  <c r="DV65" i="20"/>
  <c r="DV69" i="20"/>
  <c r="DS81" i="20"/>
  <c r="DV210" i="20"/>
  <c r="DP72" i="20"/>
  <c r="DP118" i="20"/>
  <c r="DP89" i="20"/>
  <c r="DP227" i="20"/>
  <c r="DT128" i="20"/>
  <c r="DT70" i="20"/>
  <c r="DN205" i="20"/>
  <c r="DU81" i="20"/>
  <c r="DR122" i="20"/>
  <c r="DV138" i="20"/>
  <c r="DV76" i="20"/>
  <c r="DR60" i="20"/>
  <c r="DV88" i="20"/>
  <c r="DV81" i="20"/>
  <c r="DP124" i="20"/>
  <c r="DP221" i="20"/>
  <c r="DN145" i="20"/>
  <c r="DU107" i="20"/>
  <c r="DT55" i="20"/>
  <c r="DV54" i="20"/>
  <c r="DN84" i="20"/>
  <c r="DT206" i="20"/>
  <c r="DN221" i="20"/>
  <c r="DU100" i="20"/>
  <c r="DV130" i="20"/>
  <c r="DU127" i="20"/>
  <c r="DT83" i="20"/>
  <c r="DN104" i="20"/>
  <c r="DN130" i="20"/>
  <c r="DR134" i="20"/>
  <c r="DN118" i="20"/>
  <c r="DP126" i="20"/>
  <c r="DP110" i="20"/>
  <c r="DP229" i="20"/>
  <c r="DR105" i="20"/>
  <c r="DT116" i="20"/>
  <c r="DS116" i="20"/>
  <c r="DN95" i="20"/>
  <c r="DV72" i="20"/>
  <c r="DV57" i="20"/>
  <c r="DV55" i="20"/>
  <c r="DS55" i="20"/>
  <c r="DP136" i="20"/>
  <c r="DU58" i="20"/>
  <c r="DR78" i="20"/>
  <c r="DT136" i="20"/>
  <c r="DT200" i="20"/>
  <c r="DS67" i="20"/>
  <c r="DN57" i="20"/>
  <c r="DS129" i="20"/>
  <c r="DS72" i="20"/>
  <c r="DV94" i="20"/>
  <c r="DS113" i="20"/>
  <c r="DP106" i="20"/>
  <c r="DR79" i="20"/>
  <c r="DR113" i="20"/>
  <c r="DN115" i="20"/>
  <c r="DN124" i="20"/>
  <c r="DU84" i="20"/>
  <c r="DR69" i="20"/>
  <c r="DR53" i="20"/>
  <c r="DT100" i="20"/>
  <c r="DO72" i="20"/>
  <c r="DN88" i="20"/>
  <c r="DV110" i="20"/>
  <c r="DS115" i="20"/>
  <c r="DS64" i="20"/>
  <c r="DP105" i="20"/>
  <c r="DR70" i="20"/>
  <c r="DR222" i="20"/>
  <c r="DP99" i="20"/>
  <c r="DN58" i="20"/>
  <c r="DN99" i="20"/>
  <c r="DU106" i="20"/>
  <c r="DT94" i="20"/>
  <c r="DT52" i="20"/>
  <c r="DU213" i="20"/>
  <c r="DS100" i="20"/>
  <c r="DV200" i="20"/>
  <c r="DP123" i="20"/>
  <c r="DP222" i="20"/>
  <c r="DR116" i="20"/>
  <c r="DP95" i="20"/>
  <c r="DN126" i="20"/>
  <c r="DN59" i="20"/>
  <c r="DU128" i="20"/>
  <c r="DT134" i="20"/>
  <c r="DT90" i="20"/>
  <c r="DV87" i="20"/>
  <c r="DR112" i="20"/>
  <c r="DT69" i="20"/>
  <c r="DV77" i="20"/>
  <c r="DV79" i="20"/>
  <c r="DS59" i="20"/>
  <c r="DV124" i="20"/>
  <c r="DS77" i="20"/>
  <c r="DP60" i="20"/>
  <c r="DP83" i="20"/>
  <c r="DM135" i="20"/>
  <c r="DP145" i="20"/>
  <c r="DN69" i="20"/>
  <c r="DN52" i="20"/>
  <c r="DU200" i="20"/>
  <c r="DT212" i="20"/>
  <c r="DS141" i="20"/>
  <c r="DV92" i="20"/>
  <c r="DR213" i="20"/>
  <c r="DV93" i="20"/>
  <c r="DV59" i="20"/>
  <c r="DS91" i="20"/>
  <c r="DP81" i="20"/>
  <c r="DM138" i="20"/>
  <c r="DR83" i="20"/>
  <c r="DS99" i="20"/>
  <c r="DU211" i="20"/>
  <c r="DT130" i="20"/>
  <c r="DU69" i="20"/>
  <c r="DV212" i="20"/>
  <c r="DV116" i="20"/>
  <c r="DV78" i="20"/>
  <c r="DS84" i="20"/>
  <c r="DP94" i="20"/>
  <c r="DP79" i="20"/>
  <c r="DN231" i="20"/>
  <c r="DU222" i="20"/>
  <c r="DS94" i="20"/>
  <c r="DS101" i="20"/>
  <c r="DU206" i="20"/>
  <c r="DP133" i="20"/>
  <c r="DM145" i="20"/>
  <c r="DP135" i="20"/>
  <c r="DP148" i="20"/>
  <c r="DP200" i="20"/>
  <c r="DL139" i="20"/>
  <c r="DR100" i="20"/>
  <c r="DN127" i="20"/>
  <c r="DS199" i="20"/>
  <c r="DR114" i="20"/>
  <c r="DR65" i="20"/>
  <c r="DO60" i="20"/>
  <c r="DT210" i="20"/>
  <c r="DN111" i="20"/>
  <c r="DN64" i="20"/>
  <c r="DU229" i="20"/>
  <c r="DN229" i="20"/>
  <c r="DV58" i="20"/>
  <c r="DS57" i="20"/>
  <c r="DL118" i="20"/>
  <c r="DL52" i="20"/>
  <c r="DP80" i="20"/>
  <c r="DS79" i="20"/>
  <c r="DS133" i="20"/>
  <c r="DV206" i="20"/>
  <c r="DS88" i="20"/>
  <c r="DV222" i="20"/>
  <c r="DT129" i="20"/>
  <c r="DP73" i="20"/>
  <c r="DK70" i="20"/>
  <c r="DM93" i="20"/>
  <c r="DM56" i="20"/>
  <c r="DR55" i="20"/>
  <c r="DT84" i="20"/>
  <c r="DV139" i="20"/>
  <c r="DU146" i="20"/>
  <c r="DL91" i="20"/>
  <c r="DM205" i="20"/>
  <c r="DM107" i="20"/>
  <c r="DO140" i="20"/>
  <c r="DP134" i="20"/>
  <c r="DP205" i="20"/>
  <c r="DO146" i="20"/>
  <c r="DS123" i="20"/>
  <c r="DS201" i="20"/>
  <c r="DT138" i="20"/>
  <c r="DT65" i="20"/>
  <c r="DV101" i="20"/>
  <c r="DT230" i="20"/>
  <c r="DP92" i="20"/>
  <c r="DP103" i="20"/>
  <c r="DP66" i="20"/>
  <c r="DM106" i="20"/>
  <c r="DS105" i="20"/>
  <c r="DT53" i="20"/>
  <c r="DS71" i="20"/>
  <c r="DN230" i="20"/>
  <c r="DR56" i="20"/>
  <c r="DT67" i="20"/>
  <c r="DU138" i="20"/>
  <c r="DU147" i="20"/>
  <c r="DV135" i="20"/>
  <c r="DP100" i="20"/>
  <c r="DL83" i="20"/>
  <c r="DP78" i="20"/>
  <c r="DP57" i="20"/>
  <c r="DS54" i="20"/>
  <c r="DR145" i="20"/>
  <c r="DP82" i="20"/>
  <c r="DS106" i="20"/>
  <c r="DT77" i="20"/>
  <c r="DS118" i="20"/>
  <c r="DN201" i="20"/>
  <c r="DT140" i="20"/>
  <c r="DU116" i="20"/>
  <c r="DU114" i="20"/>
  <c r="DU204" i="20"/>
  <c r="DU101" i="20"/>
  <c r="DL81" i="20"/>
  <c r="DL128" i="20"/>
  <c r="DP101" i="20"/>
  <c r="DR136" i="20"/>
  <c r="DS83" i="20"/>
  <c r="DR95" i="20"/>
  <c r="DS147" i="20"/>
  <c r="DN133" i="20"/>
  <c r="DT58" i="20"/>
  <c r="DU92" i="20"/>
  <c r="DV128" i="20"/>
  <c r="DU118" i="20"/>
  <c r="DR117" i="20"/>
  <c r="DL84" i="20"/>
  <c r="DP128" i="20"/>
  <c r="DP231" i="20"/>
  <c r="DP58" i="20"/>
  <c r="DS139" i="20"/>
  <c r="DS66" i="20"/>
  <c r="DR138" i="20"/>
  <c r="DV53" i="20"/>
  <c r="DR68" i="20"/>
  <c r="DS89" i="20"/>
  <c r="DN93" i="20"/>
  <c r="DR87" i="20"/>
  <c r="DU68" i="20"/>
  <c r="DT112" i="20"/>
  <c r="DU88" i="20"/>
  <c r="DU130" i="20"/>
  <c r="DV100" i="20"/>
  <c r="DR59" i="20"/>
  <c r="DV118" i="20"/>
  <c r="DN100" i="20"/>
  <c r="DU67" i="20"/>
  <c r="DT66" i="20"/>
  <c r="DT57" i="20"/>
  <c r="DS200" i="20"/>
  <c r="DP53" i="20"/>
  <c r="DO145" i="20"/>
  <c r="DV68" i="20"/>
  <c r="DR90" i="20"/>
  <c r="DV80" i="20"/>
  <c r="DN114" i="20"/>
  <c r="DT228" i="20"/>
  <c r="DU125" i="20"/>
  <c r="DT88" i="20"/>
  <c r="DU145" i="20"/>
  <c r="DT209" i="20"/>
  <c r="DM139" i="20"/>
  <c r="DM210" i="20"/>
  <c r="DS58" i="20"/>
  <c r="DR101" i="20"/>
  <c r="DT122" i="20"/>
  <c r="DN228" i="20"/>
  <c r="DT80" i="20"/>
  <c r="DN138" i="20"/>
  <c r="DV113" i="20"/>
  <c r="DU103" i="20"/>
  <c r="DU205" i="20"/>
  <c r="DO79" i="20"/>
  <c r="DO105" i="20"/>
  <c r="DO67" i="20"/>
  <c r="DO71" i="20"/>
  <c r="DO103" i="20"/>
  <c r="DO126" i="20"/>
  <c r="DN204" i="20"/>
  <c r="DL146" i="20"/>
  <c r="DN140" i="20"/>
  <c r="DN87" i="20"/>
  <c r="DV64" i="20"/>
  <c r="DR82" i="20"/>
  <c r="DV231" i="20"/>
  <c r="DV141" i="20"/>
  <c r="DT92" i="20"/>
  <c r="DR115" i="20"/>
  <c r="DS80" i="20"/>
  <c r="DU139" i="20"/>
  <c r="DO205" i="20"/>
  <c r="DO134" i="20"/>
  <c r="DO59" i="20"/>
  <c r="DP90" i="20"/>
  <c r="DO221" i="20"/>
  <c r="DO82" i="20"/>
  <c r="DP88" i="20"/>
  <c r="DP93" i="20"/>
  <c r="DP147" i="20"/>
  <c r="DP210" i="20"/>
  <c r="DO88" i="20"/>
  <c r="DO135" i="20"/>
  <c r="DL82" i="20"/>
  <c r="DO76" i="20"/>
  <c r="DM81" i="20"/>
  <c r="DO53" i="20"/>
  <c r="DN134" i="20"/>
  <c r="DN213" i="20"/>
  <c r="DN125" i="20"/>
  <c r="DN66" i="20"/>
  <c r="DR118" i="20"/>
  <c r="DS125" i="20"/>
  <c r="DV211" i="20"/>
  <c r="DV89" i="20"/>
  <c r="DV228" i="20"/>
  <c r="DT64" i="20"/>
  <c r="DT91" i="20"/>
  <c r="DS60" i="20"/>
  <c r="DS78" i="20"/>
  <c r="DN122" i="20"/>
  <c r="DN102" i="20"/>
  <c r="DN76" i="20"/>
  <c r="DL229" i="20"/>
  <c r="DV112" i="20"/>
  <c r="DV104" i="20"/>
  <c r="DS70" i="20"/>
  <c r="DU199" i="20"/>
  <c r="DU89" i="20"/>
  <c r="DU148" i="20"/>
  <c r="DU78" i="20"/>
  <c r="DU136" i="20"/>
  <c r="DU55" i="20"/>
  <c r="DT117" i="20"/>
  <c r="DO58" i="20"/>
  <c r="DO206" i="20"/>
  <c r="DO69" i="20"/>
  <c r="DO57" i="20"/>
  <c r="DO212" i="20"/>
  <c r="DP112" i="20"/>
  <c r="DO147" i="20"/>
  <c r="DO87" i="20"/>
  <c r="DO104" i="20"/>
  <c r="DN116" i="20"/>
  <c r="DN92" i="20"/>
  <c r="DN117" i="20"/>
  <c r="DR102" i="20"/>
  <c r="DR110" i="20"/>
  <c r="DS93" i="20"/>
  <c r="DT56" i="20"/>
  <c r="DS117" i="20"/>
  <c r="DU137" i="20"/>
  <c r="DU112" i="20"/>
  <c r="DU83" i="20"/>
  <c r="DU104" i="20"/>
  <c r="DU53" i="20"/>
  <c r="DU135" i="20"/>
  <c r="DP146" i="20"/>
  <c r="DO70" i="20"/>
  <c r="DO141" i="20"/>
  <c r="DO116" i="20"/>
  <c r="DO112" i="20"/>
  <c r="DM209" i="20"/>
  <c r="DM221" i="20"/>
  <c r="DR126" i="20"/>
  <c r="DS92" i="20"/>
  <c r="DR135" i="20"/>
  <c r="DT68" i="20"/>
  <c r="DU113" i="20"/>
  <c r="DU80" i="20"/>
  <c r="DU133" i="20"/>
  <c r="DU76" i="20"/>
  <c r="DV102" i="20"/>
  <c r="DT229" i="20"/>
  <c r="DO91" i="20"/>
  <c r="DO64" i="20"/>
  <c r="DO210" i="20"/>
  <c r="DP137" i="20"/>
  <c r="DP140" i="20"/>
  <c r="DP68" i="20"/>
  <c r="DL88" i="20"/>
  <c r="DO95" i="20"/>
  <c r="DO80" i="20"/>
  <c r="DO231" i="20"/>
  <c r="DO213" i="20"/>
  <c r="DN83" i="20"/>
  <c r="DM137" i="20"/>
  <c r="DN106" i="20"/>
  <c r="DN53" i="20"/>
  <c r="DN129" i="20"/>
  <c r="DN71" i="20"/>
  <c r="DV201" i="20"/>
  <c r="DT118" i="20"/>
  <c r="DS76" i="20"/>
  <c r="DT87" i="20"/>
  <c r="DT82" i="20"/>
  <c r="DU77" i="20"/>
  <c r="DU105" i="20"/>
  <c r="DU79" i="20"/>
  <c r="DS204" i="20"/>
  <c r="DV129" i="20"/>
  <c r="DO129" i="20"/>
  <c r="DO230" i="20"/>
  <c r="DO90" i="20"/>
  <c r="DO136" i="20"/>
  <c r="DO114" i="20"/>
  <c r="DO125" i="20"/>
  <c r="DO111" i="20"/>
  <c r="DM113" i="20"/>
  <c r="DO200" i="20"/>
  <c r="DO99" i="20"/>
  <c r="DO66" i="20"/>
  <c r="DV133" i="20"/>
  <c r="DR52" i="20"/>
  <c r="DR111" i="20"/>
  <c r="DT76" i="20"/>
  <c r="DT71" i="20"/>
  <c r="DS112" i="20"/>
  <c r="DU87" i="20"/>
  <c r="DU65" i="20"/>
  <c r="DU129" i="20"/>
  <c r="DS134" i="20"/>
  <c r="DT147" i="20"/>
  <c r="DO102" i="20"/>
  <c r="DO127" i="20"/>
  <c r="DO77" i="20"/>
  <c r="DL210" i="20"/>
  <c r="DO122" i="20"/>
  <c r="DO199" i="20"/>
  <c r="DO65" i="20"/>
  <c r="DO54" i="20"/>
  <c r="DL58" i="20"/>
  <c r="DM89" i="20"/>
  <c r="DM77" i="20"/>
  <c r="DL141" i="20"/>
  <c r="DR57" i="20"/>
  <c r="DR123" i="20"/>
  <c r="DV145" i="20"/>
  <c r="DR88" i="20"/>
  <c r="DS95" i="20"/>
  <c r="DS90" i="20"/>
  <c r="DU209" i="20"/>
  <c r="DU111" i="20"/>
  <c r="DO133" i="20"/>
  <c r="DO222" i="20"/>
  <c r="DL228" i="20"/>
  <c r="DO81" i="20"/>
  <c r="DO83" i="20"/>
  <c r="DO113" i="20"/>
  <c r="DO52" i="20"/>
  <c r="DL124" i="20"/>
  <c r="DL114" i="20"/>
  <c r="DM59" i="20"/>
  <c r="DL205" i="20"/>
  <c r="DR54" i="20"/>
  <c r="DV117" i="20"/>
  <c r="DS53" i="20"/>
  <c r="DR67" i="20"/>
  <c r="DT139" i="20"/>
  <c r="DP125" i="20"/>
  <c r="DM227" i="20"/>
  <c r="DO139" i="20"/>
  <c r="DP138" i="20"/>
  <c r="DP107" i="20"/>
  <c r="DP129" i="20"/>
  <c r="DP104" i="20"/>
  <c r="DM211" i="20"/>
  <c r="DO138" i="20"/>
  <c r="DM228" i="20"/>
  <c r="DO107" i="20"/>
  <c r="DL105" i="20"/>
  <c r="DO148" i="20"/>
  <c r="DO100" i="20"/>
  <c r="DN212" i="20"/>
  <c r="DN68" i="20"/>
  <c r="DR201" i="20"/>
  <c r="DT221" i="20"/>
  <c r="DV91" i="20"/>
  <c r="DV230" i="20"/>
  <c r="DT204" i="20"/>
  <c r="DT114" i="20"/>
  <c r="DS114" i="20"/>
  <c r="DP113" i="20"/>
  <c r="DL227" i="20"/>
  <c r="DO130" i="20"/>
  <c r="DO92" i="20"/>
  <c r="DL59" i="20"/>
  <c r="DN94" i="20"/>
  <c r="DN200" i="20"/>
  <c r="DL106" i="20"/>
  <c r="DN55" i="20"/>
  <c r="DN147" i="20"/>
  <c r="DR72" i="20"/>
  <c r="DR231" i="20"/>
  <c r="DV127" i="20"/>
  <c r="DV227" i="20"/>
  <c r="DS130" i="20"/>
  <c r="DS146" i="20"/>
  <c r="DU134" i="20"/>
  <c r="DT135" i="20"/>
  <c r="DT123" i="20"/>
  <c r="DN217" i="20"/>
  <c r="DP142" i="20"/>
  <c r="DP111" i="20"/>
  <c r="DO209" i="20"/>
  <c r="DO55" i="20"/>
  <c r="DL206" i="20"/>
  <c r="DO211" i="20"/>
  <c r="DO84" i="20"/>
  <c r="DN110" i="20"/>
  <c r="DN137" i="20"/>
  <c r="DR91" i="20"/>
  <c r="DR81" i="20"/>
  <c r="DR147" i="20"/>
  <c r="DV103" i="20"/>
  <c r="DV105" i="20"/>
  <c r="DV209" i="20"/>
  <c r="DS126" i="20"/>
  <c r="DU60" i="20"/>
  <c r="DT111" i="20"/>
  <c r="DU66" i="20"/>
  <c r="DP64" i="20"/>
  <c r="DO110" i="20"/>
  <c r="DM53" i="20"/>
  <c r="DL231" i="20"/>
  <c r="DR107" i="20"/>
  <c r="DV137" i="20"/>
  <c r="DS103" i="20"/>
  <c r="DU70" i="20"/>
  <c r="DT211" i="20"/>
  <c r="DT137" i="20"/>
  <c r="DT89" i="20"/>
  <c r="DT213" i="20"/>
  <c r="DT201" i="20"/>
  <c r="DP54" i="20"/>
  <c r="DP206" i="20"/>
  <c r="DO123" i="20"/>
  <c r="DL230" i="20"/>
  <c r="DJ81" i="20"/>
  <c r="DS229" i="20"/>
  <c r="DP213" i="20"/>
  <c r="DP84" i="20"/>
  <c r="DN141" i="20"/>
  <c r="DM134" i="20"/>
  <c r="DN91" i="20"/>
  <c r="DL213" i="20"/>
  <c r="DN128" i="20"/>
  <c r="DN103" i="20"/>
  <c r="DN89" i="20"/>
  <c r="DN209" i="20"/>
  <c r="DO101" i="20"/>
  <c r="DR64" i="20"/>
  <c r="DV83" i="20"/>
  <c r="DU110" i="20"/>
  <c r="DR137" i="20"/>
  <c r="DV148" i="20"/>
  <c r="DU95" i="20"/>
  <c r="DT101" i="20"/>
  <c r="DT99" i="20"/>
  <c r="DV84" i="20"/>
  <c r="DU72" i="20"/>
  <c r="DL137" i="20"/>
  <c r="DO68" i="20"/>
  <c r="DM111" i="20"/>
  <c r="DL201" i="20"/>
  <c r="DM84" i="20"/>
  <c r="DN79" i="20"/>
  <c r="DN70" i="20"/>
  <c r="DO128" i="20"/>
  <c r="DM124" i="20"/>
  <c r="DR209" i="20"/>
  <c r="DV213" i="20"/>
  <c r="DU94" i="20"/>
  <c r="DS213" i="20"/>
  <c r="DT141" i="20"/>
  <c r="DU93" i="20"/>
  <c r="DO93" i="20"/>
  <c r="DN72" i="20"/>
  <c r="DR230" i="20"/>
  <c r="DU126" i="20"/>
  <c r="DV136" i="20"/>
  <c r="DT224" i="20"/>
  <c r="DP141" i="20"/>
  <c r="DP55" i="20"/>
  <c r="DP209" i="20"/>
  <c r="DO78" i="20"/>
  <c r="DL70" i="20"/>
  <c r="DO117" i="20"/>
  <c r="DL78" i="20"/>
  <c r="DM112" i="20"/>
  <c r="DN80" i="20"/>
  <c r="DL57" i="20"/>
  <c r="DM140" i="20"/>
  <c r="DN210" i="20"/>
  <c r="DM69" i="20"/>
  <c r="DP115" i="20"/>
  <c r="DR200" i="20"/>
  <c r="DV115" i="20"/>
  <c r="DV107" i="20"/>
  <c r="DS227" i="20"/>
  <c r="DU91" i="20"/>
  <c r="DT72" i="20"/>
  <c r="DS212" i="20"/>
  <c r="DU117" i="20"/>
  <c r="DT93" i="20"/>
  <c r="DL224" i="20"/>
  <c r="DP130" i="20"/>
  <c r="DL222" i="20"/>
  <c r="DM201" i="20"/>
  <c r="DN148" i="20"/>
  <c r="DM52" i="20"/>
  <c r="DR125" i="20"/>
  <c r="DR140" i="20"/>
  <c r="DR141" i="20"/>
  <c r="DR130" i="20"/>
  <c r="DS140" i="20"/>
  <c r="DS222" i="20"/>
  <c r="DS136" i="20"/>
  <c r="DV223" i="20"/>
  <c r="DR66" i="20"/>
  <c r="DV199" i="20"/>
  <c r="DR229" i="20"/>
  <c r="DS206" i="20"/>
  <c r="DT133" i="20"/>
  <c r="DS215" i="20"/>
  <c r="DU218" i="20"/>
  <c r="DM142" i="20"/>
  <c r="DP139" i="20"/>
  <c r="DP212" i="20"/>
  <c r="DP59" i="20"/>
  <c r="DP199" i="20"/>
  <c r="DK80" i="20"/>
  <c r="DO106" i="20"/>
  <c r="DO124" i="20"/>
  <c r="DL87" i="20"/>
  <c r="DM57" i="20"/>
  <c r="DR133" i="20"/>
  <c r="DV205" i="20"/>
  <c r="DV95" i="20"/>
  <c r="DT227" i="20"/>
  <c r="DU231" i="20"/>
  <c r="DP214" i="20"/>
  <c r="DN216" i="20"/>
  <c r="DJ93" i="20"/>
  <c r="DK112" i="20"/>
  <c r="DJ205" i="20"/>
  <c r="DK84" i="20"/>
  <c r="DJ72" i="20"/>
  <c r="DM146" i="20"/>
  <c r="DL93" i="20"/>
  <c r="DM123" i="20"/>
  <c r="DM126" i="20"/>
  <c r="DM100" i="20"/>
  <c r="DL135" i="20"/>
  <c r="DL136" i="20"/>
  <c r="DM72" i="20"/>
  <c r="DL110" i="20"/>
  <c r="DM82" i="20"/>
  <c r="DL104" i="20"/>
  <c r="DL111" i="20"/>
  <c r="DL125" i="20"/>
  <c r="DM147" i="20"/>
  <c r="DM115" i="20"/>
  <c r="DM79" i="20"/>
  <c r="DM206" i="20"/>
  <c r="DL126" i="20"/>
  <c r="DM83" i="20"/>
  <c r="DM78" i="20"/>
  <c r="DL212" i="20"/>
  <c r="DM213" i="20"/>
  <c r="DM101" i="20"/>
  <c r="DM64" i="20"/>
  <c r="DL76" i="20"/>
  <c r="DL127" i="20"/>
  <c r="DM133" i="20"/>
  <c r="DL129" i="20"/>
  <c r="DL199" i="20"/>
  <c r="DM128" i="20"/>
  <c r="DL54" i="20"/>
  <c r="DM80" i="20"/>
  <c r="DM54" i="20"/>
  <c r="DL71" i="20"/>
  <c r="DL102" i="20"/>
  <c r="DM130" i="20"/>
  <c r="DM116" i="20"/>
  <c r="DL79" i="20"/>
  <c r="DL211" i="20"/>
  <c r="DM231" i="20"/>
  <c r="DL92" i="20"/>
  <c r="DL67" i="20"/>
  <c r="DM65" i="20"/>
  <c r="DM127" i="20"/>
  <c r="DL94" i="20"/>
  <c r="DL147" i="20"/>
  <c r="DM229" i="20"/>
  <c r="DM102" i="20"/>
  <c r="DL103" i="20"/>
  <c r="DM230" i="20"/>
  <c r="DL53" i="20"/>
  <c r="DM68" i="20"/>
  <c r="DL122" i="20"/>
  <c r="DL90" i="20"/>
  <c r="DM55" i="20"/>
  <c r="DM104" i="20"/>
  <c r="DL115" i="20"/>
  <c r="DM105" i="20"/>
  <c r="DL95" i="20"/>
  <c r="DL209" i="20"/>
  <c r="DM60" i="20"/>
  <c r="DM70" i="20"/>
  <c r="DM129" i="20"/>
  <c r="DM88" i="20"/>
  <c r="DL123" i="20"/>
  <c r="DM92" i="20"/>
  <c r="DL64" i="20"/>
  <c r="DM95" i="20"/>
  <c r="DL112" i="20"/>
  <c r="DM67" i="20"/>
  <c r="DL145" i="20"/>
  <c r="DM58" i="20"/>
  <c r="DL117" i="20"/>
  <c r="DL60" i="20"/>
  <c r="DM90" i="20"/>
  <c r="DM204" i="20"/>
  <c r="DL140" i="20"/>
  <c r="DM66" i="20"/>
  <c r="DL148" i="20"/>
  <c r="DM117" i="20"/>
  <c r="DL89" i="20"/>
  <c r="DM118" i="20"/>
  <c r="DM222" i="20"/>
  <c r="DM99" i="20"/>
  <c r="DL55" i="20"/>
  <c r="DM71" i="20"/>
  <c r="DM125" i="20"/>
  <c r="DL72" i="20"/>
  <c r="DG72" i="20" s="1"/>
  <c r="DM199" i="20"/>
  <c r="DL77" i="20"/>
  <c r="DM136" i="20"/>
  <c r="DL116" i="20"/>
  <c r="DL130" i="20"/>
  <c r="DM122" i="20"/>
  <c r="DL66" i="20"/>
  <c r="DM103" i="20"/>
  <c r="DM141" i="20"/>
  <c r="DM114" i="20"/>
  <c r="DL100" i="20"/>
  <c r="DM94" i="20"/>
  <c r="DL101" i="20"/>
  <c r="DM200" i="20"/>
  <c r="DL138" i="20"/>
  <c r="DL80" i="20"/>
  <c r="DK103" i="20"/>
  <c r="DK113" i="20"/>
  <c r="DK105" i="20"/>
  <c r="DJ118" i="20"/>
  <c r="DJ141" i="20"/>
  <c r="DK78" i="20"/>
  <c r="DR119" i="20"/>
  <c r="DM216" i="20"/>
  <c r="DS214" i="20"/>
  <c r="DU123" i="20"/>
  <c r="DU90" i="20"/>
  <c r="DT145" i="20"/>
  <c r="DM76" i="20"/>
  <c r="DJ124" i="20"/>
  <c r="DN139" i="20"/>
  <c r="DM91" i="20"/>
  <c r="DN56" i="20"/>
  <c r="DL65" i="20"/>
  <c r="DJ212" i="20"/>
  <c r="DP116" i="20"/>
  <c r="DJ213" i="20"/>
  <c r="DK93" i="20"/>
  <c r="DK94" i="20"/>
  <c r="DK58" i="20"/>
  <c r="DK136" i="20"/>
  <c r="DP52" i="20"/>
  <c r="DK141" i="20"/>
  <c r="DJ115" i="20"/>
  <c r="DJ129" i="20"/>
  <c r="DK221" i="20"/>
  <c r="DJ89" i="20"/>
  <c r="DK137" i="20"/>
  <c r="DJ90" i="20"/>
  <c r="DK138" i="20"/>
  <c r="DJ128" i="20"/>
  <c r="DJ142" i="20"/>
  <c r="DS217" i="20"/>
  <c r="DV214" i="20"/>
  <c r="DT103" i="20"/>
  <c r="DT125" i="20"/>
  <c r="DS221" i="20"/>
  <c r="DV111" i="20"/>
  <c r="DM110" i="20"/>
  <c r="DL204" i="20"/>
  <c r="DL107" i="20"/>
  <c r="DJ60" i="20"/>
  <c r="DL221" i="20"/>
  <c r="DN60" i="20"/>
  <c r="DK55" i="20"/>
  <c r="DK90" i="20"/>
  <c r="DM212" i="20"/>
  <c r="DJ229" i="20"/>
  <c r="DJ78" i="20"/>
  <c r="DH78" i="20" s="1"/>
  <c r="DK114" i="20"/>
  <c r="DO228" i="20"/>
  <c r="DJ80" i="20"/>
  <c r="DK115" i="20"/>
  <c r="DO118" i="20"/>
  <c r="DK77" i="20"/>
  <c r="DK148" i="20"/>
  <c r="DP127" i="20"/>
  <c r="DK133" i="20"/>
  <c r="DK59" i="20"/>
  <c r="DK104" i="20"/>
  <c r="DK204" i="20"/>
  <c r="DK64" i="20"/>
  <c r="DK199" i="20"/>
  <c r="DJ123" i="20"/>
  <c r="DK200" i="20"/>
  <c r="DJ107" i="20"/>
  <c r="DK82" i="20"/>
  <c r="DK119" i="20"/>
  <c r="DJ217" i="20"/>
  <c r="DM214" i="20"/>
  <c r="DU52" i="20"/>
  <c r="DR228" i="20"/>
  <c r="DS231" i="20"/>
  <c r="DS209" i="20"/>
  <c r="DR206" i="20"/>
  <c r="DV147" i="20"/>
  <c r="DL134" i="20"/>
  <c r="DN77" i="20"/>
  <c r="DK72" i="20"/>
  <c r="DJ221" i="20"/>
  <c r="DN112" i="20"/>
  <c r="DN78" i="20"/>
  <c r="DJ95" i="20"/>
  <c r="DK101" i="20"/>
  <c r="DJ58" i="20"/>
  <c r="DK91" i="20"/>
  <c r="DK54" i="20"/>
  <c r="DK126" i="20"/>
  <c r="DJ57" i="20"/>
  <c r="DK135" i="20"/>
  <c r="DJ117" i="20"/>
  <c r="DK212" i="20"/>
  <c r="DK117" i="20"/>
  <c r="DJ100" i="20"/>
  <c r="DP228" i="20"/>
  <c r="DK106" i="20"/>
  <c r="DP56" i="20"/>
  <c r="DK134" i="20"/>
  <c r="DJ52" i="20"/>
  <c r="DK222" i="20"/>
  <c r="DJ88" i="20"/>
  <c r="DK230" i="20"/>
  <c r="DJ82" i="20"/>
  <c r="DR96" i="20"/>
  <c r="DS216" i="20"/>
  <c r="DT107" i="20"/>
  <c r="DT115" i="20"/>
  <c r="DR146" i="20"/>
  <c r="DT113" i="20"/>
  <c r="DV125" i="20"/>
  <c r="DR124" i="20"/>
  <c r="DN123" i="20"/>
  <c r="DJ201" i="20"/>
  <c r="DL68" i="20"/>
  <c r="DK68" i="20"/>
  <c r="DK123" i="20"/>
  <c r="DO204" i="20"/>
  <c r="DJ99" i="20"/>
  <c r="DK102" i="20"/>
  <c r="DO137" i="20"/>
  <c r="DJ77" i="20"/>
  <c r="DK146" i="20"/>
  <c r="DK65" i="20"/>
  <c r="DK147" i="20"/>
  <c r="DJ70" i="20"/>
  <c r="DK228" i="20"/>
  <c r="DK99" i="20"/>
  <c r="DJ66" i="20"/>
  <c r="DH66" i="20" s="1"/>
  <c r="DK118" i="20"/>
  <c r="DJ79" i="20"/>
  <c r="DK229" i="20"/>
  <c r="DK66" i="20"/>
  <c r="DV61" i="20"/>
  <c r="DR223" i="20"/>
  <c r="DT205" i="20"/>
  <c r="DT127" i="20"/>
  <c r="DS128" i="20"/>
  <c r="DV123" i="20"/>
  <c r="DN65" i="20"/>
  <c r="DJ53" i="20"/>
  <c r="DN101" i="20"/>
  <c r="DK209" i="20"/>
  <c r="DN211" i="20"/>
  <c r="DL99" i="20"/>
  <c r="DJ56" i="20"/>
  <c r="DK139" i="20"/>
  <c r="DO227" i="20"/>
  <c r="DJ71" i="20"/>
  <c r="DK124" i="20"/>
  <c r="DO201" i="20"/>
  <c r="DJ102" i="20"/>
  <c r="DK210" i="20"/>
  <c r="DK71" i="20"/>
  <c r="DK211" i="20"/>
  <c r="DJ130" i="20"/>
  <c r="DK60" i="20"/>
  <c r="DK83" i="20"/>
  <c r="DK88" i="20"/>
  <c r="DK69" i="20"/>
  <c r="DJ76" i="20"/>
  <c r="DJ116" i="20"/>
  <c r="DU119" i="20"/>
  <c r="DM224" i="20"/>
  <c r="DU71" i="20"/>
  <c r="DS124" i="20"/>
  <c r="DS82" i="20"/>
  <c r="DS211" i="20"/>
  <c r="DR127" i="20"/>
  <c r="DR92" i="20"/>
  <c r="DR227" i="20"/>
  <c r="DK76" i="20"/>
  <c r="DR128" i="20"/>
  <c r="DO229" i="20"/>
  <c r="DJ140" i="20"/>
  <c r="DM87" i="20"/>
  <c r="DM148" i="20"/>
  <c r="DL69" i="20"/>
  <c r="DJ55" i="20"/>
  <c r="DJ92" i="20"/>
  <c r="DK205" i="20"/>
  <c r="DO115" i="20"/>
  <c r="DK57" i="20"/>
  <c r="DK140" i="20"/>
  <c r="DO56" i="20"/>
  <c r="DJ68" i="20"/>
  <c r="DK110" i="20"/>
  <c r="DJ111" i="20"/>
  <c r="DK227" i="20"/>
  <c r="DP67" i="20"/>
  <c r="DJ110" i="20"/>
  <c r="DJ91" i="20"/>
  <c r="DJ65" i="20"/>
  <c r="DJ137" i="20"/>
  <c r="DN61" i="20"/>
  <c r="DP224" i="20"/>
  <c r="DV215" i="20"/>
  <c r="DT231" i="20"/>
  <c r="DU57" i="20"/>
  <c r="DS228" i="20"/>
  <c r="DU124" i="20"/>
  <c r="DS210" i="20"/>
  <c r="DR99" i="20"/>
  <c r="DV99" i="20"/>
  <c r="DK145" i="20"/>
  <c r="DO89" i="20"/>
  <c r="DN199" i="20"/>
  <c r="DN198" i="20" s="1"/>
  <c r="DJ64" i="20"/>
  <c r="DK92" i="20"/>
  <c r="DJ125" i="20"/>
  <c r="DK231" i="20"/>
  <c r="DO94" i="20"/>
  <c r="DJ228" i="20"/>
  <c r="DJ94" i="20"/>
  <c r="DK206" i="20"/>
  <c r="DK56" i="20"/>
  <c r="DJ83" i="20"/>
  <c r="DK67" i="20"/>
  <c r="DK111" i="20"/>
  <c r="DJ134" i="20"/>
  <c r="DJ106" i="20"/>
  <c r="DJ222" i="20"/>
  <c r="DK81" i="20"/>
  <c r="DK128" i="20"/>
  <c r="DF128" i="20" s="1"/>
  <c r="DJ112" i="20"/>
  <c r="DJ148" i="20"/>
  <c r="DK129" i="20"/>
  <c r="DM217" i="20"/>
  <c r="DK224" i="20"/>
  <c r="DO214" i="20"/>
  <c r="DS138" i="20"/>
  <c r="DU115" i="20"/>
  <c r="DU99" i="20"/>
  <c r="DT105" i="20"/>
  <c r="DV229" i="20"/>
  <c r="DP117" i="20"/>
  <c r="DR212" i="20"/>
  <c r="DK125" i="20"/>
  <c r="DL56" i="20"/>
  <c r="DL133" i="20"/>
  <c r="DJ138" i="20"/>
  <c r="DJ139" i="20"/>
  <c r="DP69" i="20"/>
  <c r="DJ204" i="20"/>
  <c r="DJ206" i="20"/>
  <c r="DJ87" i="20"/>
  <c r="DK95" i="20"/>
  <c r="DK213" i="20"/>
  <c r="DJ114" i="20"/>
  <c r="DP230" i="20"/>
  <c r="DJ84" i="20"/>
  <c r="DK87" i="20"/>
  <c r="DJ227" i="20"/>
  <c r="DJ67" i="20"/>
  <c r="DK100" i="20"/>
  <c r="DU142" i="20"/>
  <c r="DV216" i="20"/>
  <c r="DT214" i="20"/>
  <c r="DS148" i="20"/>
  <c r="DT95" i="20"/>
  <c r="DL113" i="20"/>
  <c r="DN90" i="20"/>
  <c r="DK89" i="20"/>
  <c r="DL200" i="20"/>
  <c r="DJ199" i="20"/>
  <c r="DP65" i="20"/>
  <c r="DJ200" i="20"/>
  <c r="DJ230" i="20"/>
  <c r="DK116" i="20"/>
  <c r="DK201" i="20"/>
  <c r="DJ69" i="20"/>
  <c r="DK127" i="20"/>
  <c r="DK53" i="20"/>
  <c r="DK122" i="20"/>
  <c r="DK130" i="20"/>
  <c r="DJ105" i="20"/>
  <c r="DJ210" i="20"/>
  <c r="DJ133" i="20"/>
  <c r="DJ126" i="20"/>
  <c r="DJ122" i="20"/>
  <c r="DJ113" i="20"/>
  <c r="DJ127" i="20"/>
  <c r="DJ147" i="20"/>
  <c r="DJ103" i="20"/>
  <c r="DJ101" i="20"/>
  <c r="DK52" i="20"/>
  <c r="DK79" i="20"/>
  <c r="DJ136" i="20"/>
  <c r="DJ231" i="20"/>
  <c r="DJ59" i="20"/>
  <c r="DJ54" i="20"/>
  <c r="DJ135" i="20"/>
  <c r="DH135" i="20" s="1"/>
  <c r="DJ209" i="20"/>
  <c r="DJ211" i="20"/>
  <c r="DH211" i="20" s="1"/>
  <c r="DJ104" i="20"/>
  <c r="DJ145" i="20"/>
  <c r="DJ146" i="20"/>
  <c r="DG146" i="20" s="1"/>
  <c r="DK107" i="20"/>
  <c r="DJ214" i="20"/>
  <c r="DL142" i="20"/>
  <c r="DS142" i="20"/>
  <c r="DK142" i="20"/>
  <c r="DO73" i="20"/>
  <c r="DT142" i="20"/>
  <c r="DR224" i="20"/>
  <c r="DJ218" i="20"/>
  <c r="DV217" i="20"/>
  <c r="DN218" i="20"/>
  <c r="DJ96" i="20"/>
  <c r="DR73" i="20"/>
  <c r="DV142" i="20"/>
  <c r="DT119" i="20"/>
  <c r="DM61" i="20"/>
  <c r="DL214" i="20"/>
  <c r="DU214" i="20"/>
  <c r="DU224" i="20"/>
  <c r="DN223" i="20"/>
  <c r="DO216" i="20"/>
  <c r="DS218" i="20"/>
  <c r="DM218" i="20"/>
  <c r="DT96" i="20"/>
  <c r="DK96" i="20"/>
  <c r="DS96" i="20"/>
  <c r="DL119" i="20"/>
  <c r="DO61" i="20"/>
  <c r="DN214" i="20"/>
  <c r="DP215" i="20"/>
  <c r="DJ223" i="20"/>
  <c r="DN224" i="20"/>
  <c r="DP216" i="20"/>
  <c r="DL216" i="20"/>
  <c r="DV218" i="20"/>
  <c r="DV119" i="20"/>
  <c r="DR61" i="20"/>
  <c r="DO142" i="20"/>
  <c r="DN142" i="20"/>
  <c r="DL61" i="20"/>
  <c r="DT199" i="20"/>
  <c r="DU56" i="20"/>
  <c r="DS230" i="20"/>
  <c r="DR215" i="20"/>
  <c r="DK215" i="20"/>
  <c r="DS223" i="20"/>
  <c r="DM223" i="20"/>
  <c r="DP217" i="20"/>
  <c r="DO217" i="20"/>
  <c r="DO218" i="20"/>
  <c r="DP61" i="20"/>
  <c r="DK73" i="20"/>
  <c r="DJ61" i="20"/>
  <c r="DM119" i="20"/>
  <c r="DU61" i="20"/>
  <c r="DT215" i="20"/>
  <c r="DJ224" i="20"/>
  <c r="DO223" i="20"/>
  <c r="DP218" i="20"/>
  <c r="DT216" i="20"/>
  <c r="DK216" i="20"/>
  <c r="DJ73" i="20"/>
  <c r="DT73" i="20"/>
  <c r="DS61" i="20"/>
  <c r="DK61" i="20"/>
  <c r="DN73" i="20"/>
  <c r="DL215" i="20"/>
  <c r="DR214" i="20"/>
  <c r="DS224" i="20"/>
  <c r="DO224" i="20"/>
  <c r="DR216" i="20"/>
  <c r="DT217" i="20"/>
  <c r="DK217" i="20"/>
  <c r="DS73" i="20"/>
  <c r="DM96" i="20"/>
  <c r="DL73" i="20"/>
  <c r="DT61" i="20"/>
  <c r="DP96" i="20"/>
  <c r="DU215" i="20"/>
  <c r="DK214" i="20"/>
  <c r="DU223" i="20"/>
  <c r="DL223" i="20"/>
  <c r="DR217" i="20"/>
  <c r="DK218" i="20"/>
  <c r="DT218" i="20"/>
  <c r="DL96" i="20"/>
  <c r="DV96" i="20"/>
  <c r="DU73" i="20"/>
  <c r="DM73" i="20"/>
  <c r="DJ119" i="20"/>
  <c r="DM215" i="20"/>
  <c r="DO215" i="20"/>
  <c r="DK223" i="20"/>
  <c r="DV224" i="20"/>
  <c r="DR218" i="20"/>
  <c r="DU216" i="20"/>
  <c r="DL217" i="20"/>
  <c r="DU96" i="20"/>
  <c r="DO119" i="20"/>
  <c r="DN96" i="20"/>
  <c r="DV73" i="20"/>
  <c r="DS119" i="20"/>
  <c r="DN215" i="20"/>
  <c r="DJ215" i="20"/>
  <c r="DT223" i="20"/>
  <c r="DP223" i="20"/>
  <c r="DJ216" i="20"/>
  <c r="DL218" i="20"/>
  <c r="DU217" i="20"/>
  <c r="DN119" i="20"/>
  <c r="DR142" i="20"/>
  <c r="DP119" i="20"/>
  <c r="DO96" i="20"/>
  <c r="AH233" i="25"/>
  <c r="W112" i="20"/>
  <c r="M110" i="25" s="1"/>
  <c r="K240" i="20"/>
  <c r="W200" i="20"/>
  <c r="M198" i="25" s="1"/>
  <c r="CQ201" i="20"/>
  <c r="BL148" i="20"/>
  <c r="BM148" i="20" s="1"/>
  <c r="AJ146" i="25" s="1"/>
  <c r="EA227" i="20"/>
  <c r="BL225" i="25" s="1"/>
  <c r="BG90" i="20"/>
  <c r="AD88" i="25" s="1"/>
  <c r="BH240" i="20"/>
  <c r="AE237" i="25" s="1"/>
  <c r="EA84" i="20"/>
  <c r="BL82" i="25" s="1"/>
  <c r="BL149" i="20"/>
  <c r="AI147" i="25" s="1"/>
  <c r="BM193" i="20"/>
  <c r="AJ191" i="25" s="1"/>
  <c r="W213" i="20"/>
  <c r="M211" i="25" s="1"/>
  <c r="AB151" i="20"/>
  <c r="R149" i="25" s="1"/>
  <c r="Q187" i="25"/>
  <c r="BG96" i="20"/>
  <c r="AD94" i="25" s="1"/>
  <c r="BG88" i="20"/>
  <c r="AD86" i="25" s="1"/>
  <c r="BY84" i="25"/>
  <c r="U240" i="20"/>
  <c r="EB86" i="20"/>
  <c r="EA228" i="20"/>
  <c r="BL226" i="25" s="1"/>
  <c r="EA231" i="20"/>
  <c r="BL229" i="25" s="1"/>
  <c r="EA229" i="20"/>
  <c r="BL227" i="25" s="1"/>
  <c r="W91" i="20"/>
  <c r="M89" i="25" s="1"/>
  <c r="W89" i="20"/>
  <c r="M87" i="25" s="1"/>
  <c r="AU198" i="25"/>
  <c r="EA211" i="20"/>
  <c r="BL209" i="25" s="1"/>
  <c r="BX130" i="25"/>
  <c r="AB165" i="20"/>
  <c r="R163" i="25" s="1"/>
  <c r="EA216" i="20"/>
  <c r="BL214" i="25" s="1"/>
  <c r="EB45" i="20"/>
  <c r="BM43" i="25" s="1"/>
  <c r="BP215" i="20"/>
  <c r="AM213" i="25" s="1"/>
  <c r="CQ199" i="20"/>
  <c r="AU197" i="25" s="1"/>
  <c r="AY233" i="25"/>
  <c r="AH183" i="25"/>
  <c r="EB12" i="20"/>
  <c r="BM10" i="25" s="1"/>
  <c r="EB43" i="20"/>
  <c r="BM41" i="25" s="1"/>
  <c r="AB166" i="20"/>
  <c r="AC166" i="20" s="1"/>
  <c r="S164" i="25" s="1"/>
  <c r="BH233" i="25"/>
  <c r="AB181" i="20"/>
  <c r="R179" i="25" s="1"/>
  <c r="W114" i="20"/>
  <c r="M112" i="25" s="1"/>
  <c r="CQ233" i="20"/>
  <c r="W60" i="20"/>
  <c r="M58" i="25" s="1"/>
  <c r="AB161" i="20"/>
  <c r="R159" i="25" s="1"/>
  <c r="BP107" i="25"/>
  <c r="X237" i="25"/>
  <c r="W90" i="20"/>
  <c r="M88" i="25" s="1"/>
  <c r="W148" i="20"/>
  <c r="F148" i="20" s="1"/>
  <c r="ED39" i="20"/>
  <c r="BO37" i="25" s="1"/>
  <c r="BQ130" i="25"/>
  <c r="EB24" i="20"/>
  <c r="BM22" i="25" s="1"/>
  <c r="W233" i="20"/>
  <c r="W212" i="20"/>
  <c r="M210" i="25" s="1"/>
  <c r="BA233" i="25"/>
  <c r="W96" i="20"/>
  <c r="M94" i="25" s="1"/>
  <c r="EA81" i="20"/>
  <c r="BL79" i="25" s="1"/>
  <c r="EB132" i="20"/>
  <c r="BP153" i="20"/>
  <c r="BP169" i="20"/>
  <c r="AM167" i="25" s="1"/>
  <c r="BP177" i="20"/>
  <c r="BH177" i="20" s="1"/>
  <c r="AE175" i="25" s="1"/>
  <c r="BP212" i="20"/>
  <c r="BH212" i="20" s="1"/>
  <c r="AE210" i="25" s="1"/>
  <c r="BL237" i="25"/>
  <c r="CR11" i="20"/>
  <c r="AV9" i="25" s="1"/>
  <c r="BP158" i="20"/>
  <c r="AM156" i="25" s="1"/>
  <c r="AB177" i="20"/>
  <c r="R175" i="25" s="1"/>
  <c r="N237" i="25"/>
  <c r="W92" i="20"/>
  <c r="M90" i="25" s="1"/>
  <c r="AJ233" i="25"/>
  <c r="EA78" i="20"/>
  <c r="BL76" i="25" s="1"/>
  <c r="BG194" i="20"/>
  <c r="BG195" i="20" s="1"/>
  <c r="F195" i="20" s="1"/>
  <c r="CQ55" i="20"/>
  <c r="AU53" i="25" s="1"/>
  <c r="CQ57" i="20"/>
  <c r="AU55" i="25" s="1"/>
  <c r="W73" i="20"/>
  <c r="M71" i="25" s="1"/>
  <c r="BG127" i="20"/>
  <c r="AD125" i="25" s="1"/>
  <c r="EF236" i="20"/>
  <c r="EF235" i="20" s="1"/>
  <c r="EF233" i="20" s="1"/>
  <c r="BQ231" i="25" s="1"/>
  <c r="ED235" i="20"/>
  <c r="ED233" i="20" s="1"/>
  <c r="BO231" i="25" s="1"/>
  <c r="BO234" i="25"/>
  <c r="BO233" i="25" s="1"/>
  <c r="CQ222" i="20"/>
  <c r="AU220" i="25" s="1"/>
  <c r="CQ224" i="20"/>
  <c r="AU222" i="25" s="1"/>
  <c r="CQ223" i="20"/>
  <c r="AU221" i="25" s="1"/>
  <c r="CQ221" i="20"/>
  <c r="AU219" i="25" s="1"/>
  <c r="CQ106" i="20"/>
  <c r="AU104" i="25" s="1"/>
  <c r="CQ100" i="20"/>
  <c r="AU98" i="25" s="1"/>
  <c r="CQ99" i="20"/>
  <c r="AU97" i="25" s="1"/>
  <c r="CQ107" i="20"/>
  <c r="AU105" i="25" s="1"/>
  <c r="CR240" i="20"/>
  <c r="AV237" i="25" s="1"/>
  <c r="BP23" i="20"/>
  <c r="AM21" i="25" s="1"/>
  <c r="V237" i="25"/>
  <c r="BG79" i="20"/>
  <c r="AD77" i="25" s="1"/>
  <c r="W76" i="20"/>
  <c r="M74" i="25" s="1"/>
  <c r="BG233" i="25"/>
  <c r="W146" i="20"/>
  <c r="M144" i="25" s="1"/>
  <c r="CQ230" i="20"/>
  <c r="AU228" i="25" s="1"/>
  <c r="AH144" i="25"/>
  <c r="BN84" i="25"/>
  <c r="BP216" i="20"/>
  <c r="AM214" i="25" s="1"/>
  <c r="BN107" i="25"/>
  <c r="BO49" i="25"/>
  <c r="CQ231" i="20"/>
  <c r="EC30" i="20"/>
  <c r="BN28" i="25" s="1"/>
  <c r="AB170" i="20"/>
  <c r="R168" i="25" s="1"/>
  <c r="ED23" i="20"/>
  <c r="BO21" i="25" s="1"/>
  <c r="BP154" i="20"/>
  <c r="AM152" i="25" s="1"/>
  <c r="W111" i="20"/>
  <c r="M109" i="25" s="1"/>
  <c r="EJ17" i="20"/>
  <c r="BU15" i="25" s="1"/>
  <c r="AF206" i="25"/>
  <c r="BN49" i="25"/>
  <c r="BN61" i="25"/>
  <c r="BN130" i="25"/>
  <c r="BM185" i="20"/>
  <c r="AB174" i="20"/>
  <c r="R172" i="25" s="1"/>
  <c r="EB25" i="20"/>
  <c r="BM23" i="25" s="1"/>
  <c r="W119" i="20"/>
  <c r="M117" i="25" s="1"/>
  <c r="I240" i="20"/>
  <c r="Y39" i="20"/>
  <c r="O37" i="25" s="1"/>
  <c r="BL234" i="25"/>
  <c r="BR148" i="20"/>
  <c r="EB19" i="20"/>
  <c r="BM17" i="25" s="1"/>
  <c r="W110" i="20"/>
  <c r="M108" i="25" s="1"/>
  <c r="Z237" i="25"/>
  <c r="AU237" i="25"/>
  <c r="BI23" i="20"/>
  <c r="AF21" i="25" s="1"/>
  <c r="F236" i="20"/>
  <c r="EB51" i="20"/>
  <c r="BP181" i="20"/>
  <c r="BH181" i="20" s="1"/>
  <c r="AE179" i="25" s="1"/>
  <c r="AH191" i="25"/>
  <c r="BP218" i="20"/>
  <c r="BH218" i="20" s="1"/>
  <c r="AE216" i="25" s="1"/>
  <c r="P240" i="20"/>
  <c r="CQ227" i="20"/>
  <c r="AU225" i="25" s="1"/>
  <c r="EA233" i="20"/>
  <c r="BG178" i="20"/>
  <c r="BG180" i="20" s="1"/>
  <c r="AF23" i="20"/>
  <c r="V21" i="25" s="1"/>
  <c r="Y237" i="25"/>
  <c r="J240" i="20"/>
  <c r="CS30" i="20"/>
  <c r="AW28" i="25" s="1"/>
  <c r="CQ228" i="20"/>
  <c r="AU226" i="25" s="1"/>
  <c r="EC39" i="20"/>
  <c r="BN37" i="25" s="1"/>
  <c r="F39" i="20"/>
  <c r="EB240" i="20"/>
  <c r="BM237" i="25" s="1"/>
  <c r="AU146" i="25"/>
  <c r="CT236" i="20"/>
  <c r="AX234" i="25" s="1"/>
  <c r="AX233" i="25" s="1"/>
  <c r="AU234" i="25"/>
  <c r="BL80" i="25"/>
  <c r="EA128" i="20"/>
  <c r="BL126" i="25" s="1"/>
  <c r="BG53" i="20"/>
  <c r="AD51" i="25" s="1"/>
  <c r="BG57" i="20"/>
  <c r="BG60" i="20"/>
  <c r="AD58" i="25" s="1"/>
  <c r="BG54" i="20"/>
  <c r="AD52" i="25" s="1"/>
  <c r="BG56" i="20"/>
  <c r="AD54" i="25" s="1"/>
  <c r="BG59" i="20"/>
  <c r="AD57" i="25" s="1"/>
  <c r="BG55" i="20"/>
  <c r="AD53" i="25" s="1"/>
  <c r="BG52" i="20"/>
  <c r="AD50" i="25" s="1"/>
  <c r="BG58" i="20"/>
  <c r="AD56" i="25" s="1"/>
  <c r="BG61" i="20"/>
  <c r="AD59" i="25" s="1"/>
  <c r="W204" i="20"/>
  <c r="M202" i="25" s="1"/>
  <c r="W205" i="20"/>
  <c r="M203" i="25" s="1"/>
  <c r="BG204" i="20"/>
  <c r="AD202" i="25" s="1"/>
  <c r="BG206" i="20"/>
  <c r="AD204" i="25" s="1"/>
  <c r="BG205" i="20"/>
  <c r="AD203" i="25" s="1"/>
  <c r="W237" i="25"/>
  <c r="P237" i="25"/>
  <c r="W72" i="20"/>
  <c r="M70" i="25" s="1"/>
  <c r="BI30" i="20"/>
  <c r="AF28" i="25" s="1"/>
  <c r="EA209" i="20"/>
  <c r="BL207" i="25" s="1"/>
  <c r="EG97" i="20"/>
  <c r="EH97" i="20" s="1"/>
  <c r="EK97" i="20" s="1"/>
  <c r="EL97" i="20" s="1"/>
  <c r="BG150" i="20"/>
  <c r="AB168" i="20"/>
  <c r="BU28" i="25"/>
  <c r="S237" i="25"/>
  <c r="R237" i="25"/>
  <c r="CQ37" i="20"/>
  <c r="AU35" i="25" s="1"/>
  <c r="BG233" i="20"/>
  <c r="F11" i="20"/>
  <c r="EA212" i="20"/>
  <c r="BL210" i="25" s="1"/>
  <c r="BG124" i="20"/>
  <c r="AD122" i="25" s="1"/>
  <c r="BG182" i="20"/>
  <c r="AD206" i="25"/>
  <c r="BW233" i="25"/>
  <c r="AC187" i="20"/>
  <c r="S185" i="25" s="1"/>
  <c r="W69" i="20"/>
  <c r="M67" i="25" s="1"/>
  <c r="CQ60" i="20"/>
  <c r="AU58" i="25" s="1"/>
  <c r="CQ54" i="20"/>
  <c r="BG154" i="20"/>
  <c r="AB163" i="20"/>
  <c r="AC163" i="20" s="1"/>
  <c r="S161" i="25" s="1"/>
  <c r="EB21" i="20"/>
  <c r="BM19" i="25" s="1"/>
  <c r="BO84" i="25"/>
  <c r="BP233" i="25"/>
  <c r="CQ59" i="20"/>
  <c r="AU57" i="25" s="1"/>
  <c r="BG122" i="20"/>
  <c r="AD120" i="25" s="1"/>
  <c r="AB160" i="20"/>
  <c r="R158" i="25" s="1"/>
  <c r="BG186" i="20"/>
  <c r="EA214" i="20"/>
  <c r="BL212" i="25" s="1"/>
  <c r="AB150" i="20"/>
  <c r="EB63" i="20"/>
  <c r="Q188" i="25"/>
  <c r="W104" i="20"/>
  <c r="M102" i="25" s="1"/>
  <c r="BS233" i="25"/>
  <c r="BG200" i="20"/>
  <c r="BG123" i="20"/>
  <c r="AD121" i="25" s="1"/>
  <c r="BG166" i="20"/>
  <c r="BG168" i="20" s="1"/>
  <c r="W64" i="20"/>
  <c r="M62" i="25" s="1"/>
  <c r="W99" i="20"/>
  <c r="M97" i="25" s="1"/>
  <c r="BG126" i="20"/>
  <c r="AD124" i="25" s="1"/>
  <c r="AB186" i="20"/>
  <c r="BG170" i="20"/>
  <c r="BG172" i="20" s="1"/>
  <c r="EA215" i="20"/>
  <c r="BL213" i="25" s="1"/>
  <c r="EB18" i="20"/>
  <c r="BM16" i="25" s="1"/>
  <c r="BR49" i="25"/>
  <c r="BR61" i="25"/>
  <c r="BR84" i="25"/>
  <c r="BR107" i="25"/>
  <c r="BR130" i="25"/>
  <c r="EC23" i="20"/>
  <c r="W201" i="20"/>
  <c r="M199" i="25" s="1"/>
  <c r="BG162" i="20"/>
  <c r="BG163" i="20" s="1"/>
  <c r="AD161" i="25" s="1"/>
  <c r="F161" i="25" s="1"/>
  <c r="EA213" i="20"/>
  <c r="BL211" i="25" s="1"/>
  <c r="AB154" i="20"/>
  <c r="EA210" i="20"/>
  <c r="BL208" i="25" s="1"/>
  <c r="BG130" i="20"/>
  <c r="AD128" i="25" s="1"/>
  <c r="Z23" i="20"/>
  <c r="P21" i="25" s="1"/>
  <c r="BG129" i="20"/>
  <c r="AD127" i="25" s="1"/>
  <c r="CQ145" i="20"/>
  <c r="F145" i="20" s="1"/>
  <c r="BG174" i="20"/>
  <c r="EA217" i="20"/>
  <c r="BL215" i="25" s="1"/>
  <c r="AG28" i="25"/>
  <c r="W113" i="20"/>
  <c r="M111" i="25" s="1"/>
  <c r="AD237" i="25"/>
  <c r="Q240" i="20"/>
  <c r="BG125" i="20"/>
  <c r="AD123" i="25" s="1"/>
  <c r="CQ146" i="20"/>
  <c r="AU144" i="25" s="1"/>
  <c r="BG158" i="20"/>
  <c r="BG159" i="20" s="1"/>
  <c r="CQ147" i="20"/>
  <c r="BH11" i="20"/>
  <c r="AE9" i="25" s="1"/>
  <c r="BO38" i="25"/>
  <c r="AB157" i="20"/>
  <c r="R155" i="25" s="1"/>
  <c r="BG190" i="20"/>
  <c r="BG191" i="20" s="1"/>
  <c r="BL177" i="20"/>
  <c r="AI175" i="25" s="1"/>
  <c r="F144" i="20"/>
  <c r="BP211" i="20"/>
  <c r="AM209" i="25" s="1"/>
  <c r="AB192" i="20"/>
  <c r="R190" i="25" s="1"/>
  <c r="BX233" i="25"/>
  <c r="O6" i="11"/>
  <c r="AS199" i="20"/>
  <c r="S6" i="11"/>
  <c r="S240" i="20"/>
  <c r="Q181" i="25"/>
  <c r="AB183" i="20"/>
  <c r="R181" i="25" s="1"/>
  <c r="P9" i="25"/>
  <c r="I11" i="20"/>
  <c r="Q182" i="25"/>
  <c r="AB184" i="20"/>
  <c r="R182" i="25" s="1"/>
  <c r="BB233" i="25"/>
  <c r="BG68" i="20"/>
  <c r="AD66" i="25" s="1"/>
  <c r="BG71" i="20"/>
  <c r="AD69" i="25" s="1"/>
  <c r="BG72" i="20"/>
  <c r="AD70" i="25" s="1"/>
  <c r="BG73" i="20"/>
  <c r="BG70" i="20"/>
  <c r="BG64" i="20"/>
  <c r="BG67" i="20"/>
  <c r="AD65" i="25" s="1"/>
  <c r="BG69" i="20"/>
  <c r="AD67" i="25" s="1"/>
  <c r="BG66" i="20"/>
  <c r="AD64" i="25" s="1"/>
  <c r="BG65" i="20"/>
  <c r="AD63" i="25" s="1"/>
  <c r="R162" i="25"/>
  <c r="AC164" i="20"/>
  <c r="CQ215" i="20"/>
  <c r="F208" i="20"/>
  <c r="AU15" i="25"/>
  <c r="AS15" i="25" s="1"/>
  <c r="CQ9" i="20"/>
  <c r="CS17" i="20"/>
  <c r="BU11" i="25"/>
  <c r="EB13" i="20"/>
  <c r="BM11" i="25" s="1"/>
  <c r="AK237" i="25"/>
  <c r="AK233" i="25" s="1"/>
  <c r="M240" i="20"/>
  <c r="T237" i="25"/>
  <c r="AD197" i="25"/>
  <c r="AH163" i="25"/>
  <c r="BL165" i="20"/>
  <c r="AI163" i="25" s="1"/>
  <c r="O240" i="20"/>
  <c r="CR30" i="20"/>
  <c r="AV28" i="25" s="1"/>
  <c r="BG201" i="20"/>
  <c r="AD199" i="25" s="1"/>
  <c r="F198" i="20"/>
  <c r="BM49" i="25"/>
  <c r="BE233" i="25"/>
  <c r="AG237" i="25"/>
  <c r="M237" i="25"/>
  <c r="EB40" i="20"/>
  <c r="BM38" i="25" s="1"/>
  <c r="AH155" i="25"/>
  <c r="BL157" i="20"/>
  <c r="AI155" i="25" s="1"/>
  <c r="BD28" i="25"/>
  <c r="O30" i="20"/>
  <c r="CZ23" i="20"/>
  <c r="BN15" i="25"/>
  <c r="Y23" i="20"/>
  <c r="F23" i="20"/>
  <c r="M21" i="25"/>
  <c r="BJ37" i="25"/>
  <c r="F37" i="25"/>
  <c r="CQ67" i="20"/>
  <c r="CQ66" i="20"/>
  <c r="CQ64" i="20"/>
  <c r="CQ73" i="20"/>
  <c r="CQ65" i="20"/>
  <c r="AU63" i="25" s="1"/>
  <c r="CQ70" i="20"/>
  <c r="AU68" i="25" s="1"/>
  <c r="F132" i="20"/>
  <c r="W135" i="20"/>
  <c r="W136" i="20"/>
  <c r="W141" i="20"/>
  <c r="M139" i="25" s="1"/>
  <c r="W134" i="20"/>
  <c r="W138" i="20"/>
  <c r="M136" i="25" s="1"/>
  <c r="W139" i="20"/>
  <c r="W137" i="20"/>
  <c r="M135" i="25" s="1"/>
  <c r="W133" i="20"/>
  <c r="M131" i="25" s="1"/>
  <c r="W140" i="20"/>
  <c r="M138" i="25" s="1"/>
  <c r="CQ115" i="20"/>
  <c r="AU113" i="25" s="1"/>
  <c r="CQ117" i="20"/>
  <c r="CQ113" i="20"/>
  <c r="AU111" i="25" s="1"/>
  <c r="CQ110" i="20"/>
  <c r="AU108" i="25" s="1"/>
  <c r="CQ112" i="20"/>
  <c r="CQ111" i="20"/>
  <c r="CQ114" i="20"/>
  <c r="AU112" i="25" s="1"/>
  <c r="CQ118" i="20"/>
  <c r="AU116" i="25" s="1"/>
  <c r="CQ119" i="20"/>
  <c r="AQ237" i="25"/>
  <c r="AQ233" i="25" s="1"/>
  <c r="W129" i="20"/>
  <c r="M127" i="25" s="1"/>
  <c r="W130" i="20"/>
  <c r="W126" i="20"/>
  <c r="M124" i="25" s="1"/>
  <c r="W127" i="20"/>
  <c r="M125" i="25" s="1"/>
  <c r="W125" i="20"/>
  <c r="M123" i="25" s="1"/>
  <c r="W123" i="20"/>
  <c r="M121" i="25" s="1"/>
  <c r="W124" i="20"/>
  <c r="W122" i="20"/>
  <c r="M120" i="25" s="1"/>
  <c r="BG135" i="20"/>
  <c r="AD133" i="25" s="1"/>
  <c r="BG136" i="20"/>
  <c r="AD134" i="25" s="1"/>
  <c r="BG139" i="20"/>
  <c r="AD137" i="25" s="1"/>
  <c r="BG134" i="20"/>
  <c r="AD132" i="25" s="1"/>
  <c r="AW234" i="25"/>
  <c r="AW233" i="25" s="1"/>
  <c r="CR236" i="20"/>
  <c r="AV234" i="25" s="1"/>
  <c r="CS235" i="20"/>
  <c r="L240" i="20"/>
  <c r="AU199" i="25"/>
  <c r="P37" i="25"/>
  <c r="W82" i="20"/>
  <c r="M80" i="25" s="1"/>
  <c r="W78" i="20"/>
  <c r="M76" i="25" s="1"/>
  <c r="F75" i="20"/>
  <c r="W77" i="20"/>
  <c r="M75" i="25" s="1"/>
  <c r="W79" i="20"/>
  <c r="M77" i="25" s="1"/>
  <c r="W81" i="20"/>
  <c r="M79" i="25" s="1"/>
  <c r="W80" i="20"/>
  <c r="M78" i="25" s="1"/>
  <c r="CQ127" i="20"/>
  <c r="CQ124" i="20"/>
  <c r="AU122" i="25" s="1"/>
  <c r="CQ122" i="20"/>
  <c r="CQ130" i="20"/>
  <c r="CQ128" i="20"/>
  <c r="CQ123" i="20"/>
  <c r="AU121" i="25" s="1"/>
  <c r="CQ125" i="20"/>
  <c r="CQ126" i="20"/>
  <c r="R240" i="20"/>
  <c r="Q237" i="25"/>
  <c r="M126" i="25"/>
  <c r="ED17" i="20"/>
  <c r="BG80" i="20"/>
  <c r="AD78" i="25" s="1"/>
  <c r="BG77" i="20"/>
  <c r="AD75" i="25" s="1"/>
  <c r="BG84" i="20"/>
  <c r="AD82" i="25" s="1"/>
  <c r="BG81" i="20"/>
  <c r="AD79" i="25" s="1"/>
  <c r="BG78" i="20"/>
  <c r="AD76" i="25" s="1"/>
  <c r="BG83" i="20"/>
  <c r="AD81" i="25" s="1"/>
  <c r="BP61" i="25"/>
  <c r="BP84" i="25"/>
  <c r="BP130" i="25"/>
  <c r="Q183" i="25"/>
  <c r="AB185" i="20"/>
  <c r="AC185" i="20" s="1"/>
  <c r="S183" i="25" s="1"/>
  <c r="AF236" i="20"/>
  <c r="X236" i="20" s="1"/>
  <c r="N234" i="25" s="1"/>
  <c r="N233" i="25" s="1"/>
  <c r="AM236" i="20"/>
  <c r="AU21" i="25"/>
  <c r="AS21" i="25" s="1"/>
  <c r="CS23" i="20"/>
  <c r="AI144" i="25"/>
  <c r="BN146" i="20"/>
  <c r="AK144" i="25" s="1"/>
  <c r="W54" i="20"/>
  <c r="W59" i="20"/>
  <c r="W52" i="20"/>
  <c r="W56" i="20"/>
  <c r="BN24" i="25"/>
  <c r="EB26" i="20"/>
  <c r="BM24" i="25" s="1"/>
  <c r="AN234" i="25"/>
  <c r="AN233" i="25" s="1"/>
  <c r="BP235" i="20"/>
  <c r="BG224" i="20"/>
  <c r="AD222" i="25" s="1"/>
  <c r="BG223" i="20"/>
  <c r="AD221" i="25" s="1"/>
  <c r="BG222" i="20"/>
  <c r="AD220" i="25" s="1"/>
  <c r="BG221" i="20"/>
  <c r="AD219" i="25" s="1"/>
  <c r="AD234" i="25"/>
  <c r="BJ236" i="20"/>
  <c r="F240" i="20"/>
  <c r="M28" i="25"/>
  <c r="F28" i="25" s="1"/>
  <c r="Y30" i="20"/>
  <c r="W93" i="20"/>
  <c r="M91" i="25" s="1"/>
  <c r="W88" i="20"/>
  <c r="M86" i="25" s="1"/>
  <c r="W95" i="20"/>
  <c r="M93" i="25" s="1"/>
  <c r="Q170" i="25"/>
  <c r="AB172" i="20"/>
  <c r="R170" i="25" s="1"/>
  <c r="Q165" i="25"/>
  <c r="AC167" i="20"/>
  <c r="S165" i="25" s="1"/>
  <c r="CQ138" i="20"/>
  <c r="AU136" i="25" s="1"/>
  <c r="CQ140" i="20"/>
  <c r="CQ136" i="20"/>
  <c r="CQ142" i="20"/>
  <c r="AU140" i="25" s="1"/>
  <c r="CQ135" i="20"/>
  <c r="AU133" i="25" s="1"/>
  <c r="CQ141" i="20"/>
  <c r="BP189" i="20"/>
  <c r="AM187" i="25" s="1"/>
  <c r="BD233" i="25"/>
  <c r="BR233" i="25"/>
  <c r="F30" i="20"/>
  <c r="W94" i="20"/>
  <c r="M92" i="25" s="1"/>
  <c r="W147" i="20"/>
  <c r="M145" i="25" s="1"/>
  <c r="W206" i="20"/>
  <c r="M204" i="25" s="1"/>
  <c r="BG229" i="20"/>
  <c r="AD227" i="25" s="1"/>
  <c r="BG230" i="20"/>
  <c r="AD228" i="25" s="1"/>
  <c r="BL15" i="25"/>
  <c r="BJ15" i="25" s="1"/>
  <c r="EA9" i="20"/>
  <c r="AN144" i="25"/>
  <c r="BR146" i="20"/>
  <c r="BS146" i="20" s="1"/>
  <c r="AP144" i="25" s="1"/>
  <c r="BN12" i="25"/>
  <c r="EB14" i="20"/>
  <c r="BM12" i="25" s="1"/>
  <c r="BG94" i="20"/>
  <c r="AD92" i="25" s="1"/>
  <c r="BG92" i="20"/>
  <c r="AD90" i="25" s="1"/>
  <c r="BG89" i="20"/>
  <c r="AD87" i="25" s="1"/>
  <c r="BG95" i="20"/>
  <c r="AD93" i="25" s="1"/>
  <c r="BG93" i="20"/>
  <c r="AD91" i="25" s="1"/>
  <c r="BG87" i="20"/>
  <c r="AD85" i="25" s="1"/>
  <c r="BP146" i="20"/>
  <c r="BR149" i="20"/>
  <c r="BS149" i="20" s="1"/>
  <c r="AP147" i="25" s="1"/>
  <c r="CQ137" i="20"/>
  <c r="CZ235" i="20"/>
  <c r="CQ134" i="20"/>
  <c r="M9" i="25"/>
  <c r="F9" i="25" s="1"/>
  <c r="W9" i="20"/>
  <c r="Y11" i="20"/>
  <c r="CQ58" i="20"/>
  <c r="CQ53" i="20"/>
  <c r="CQ52" i="20"/>
  <c r="CQ61" i="20"/>
  <c r="BL196" i="25"/>
  <c r="M15" i="25"/>
  <c r="Y17" i="20"/>
  <c r="F17" i="20"/>
  <c r="AH171" i="25"/>
  <c r="BL173" i="20"/>
  <c r="AI171" i="25" s="1"/>
  <c r="BP210" i="20"/>
  <c r="BH210" i="20" s="1"/>
  <c r="AE208" i="25" s="1"/>
  <c r="W87" i="20"/>
  <c r="M85" i="25" s="1"/>
  <c r="CQ133" i="20"/>
  <c r="BL153" i="20"/>
  <c r="AX28" i="25"/>
  <c r="CT23" i="20"/>
  <c r="AX21" i="25" s="1"/>
  <c r="F63" i="20"/>
  <c r="W65" i="20"/>
  <c r="W70" i="20"/>
  <c r="M68" i="25" s="1"/>
  <c r="W67" i="20"/>
  <c r="W66" i="20"/>
  <c r="W68" i="20"/>
  <c r="M66" i="25" s="1"/>
  <c r="ES4" i="20"/>
  <c r="BU233" i="25"/>
  <c r="BL169" i="20"/>
  <c r="BM169" i="20" s="1"/>
  <c r="AJ167" i="25" s="1"/>
  <c r="I30" i="20"/>
  <c r="BM61" i="25"/>
  <c r="CQ102" i="20"/>
  <c r="BV107" i="25"/>
  <c r="EB28" i="20"/>
  <c r="BM26" i="25" s="1"/>
  <c r="BN233" i="25"/>
  <c r="BH39" i="20"/>
  <c r="AE37" i="25" s="1"/>
  <c r="BP162" i="20"/>
  <c r="AM160" i="25" s="1"/>
  <c r="BP213" i="20"/>
  <c r="CQ104" i="20"/>
  <c r="AG206" i="25"/>
  <c r="O237" i="25"/>
  <c r="FG240" i="20"/>
  <c r="BY49" i="25"/>
  <c r="BY61" i="25"/>
  <c r="BY107" i="25"/>
  <c r="BP149" i="20"/>
  <c r="BP157" i="20"/>
  <c r="AM155" i="25" s="1"/>
  <c r="BP165" i="20"/>
  <c r="BP173" i="20"/>
  <c r="BH173" i="20" s="1"/>
  <c r="AE171" i="25" s="1"/>
  <c r="BP209" i="20"/>
  <c r="BH209" i="20" s="1"/>
  <c r="AE207" i="25" s="1"/>
  <c r="AV122" i="20"/>
  <c r="P6" i="11"/>
  <c r="AZ126" i="20"/>
  <c r="AT58" i="20"/>
  <c r="AU66" i="20"/>
  <c r="AS73" i="20"/>
  <c r="BA200" i="20"/>
  <c r="BB123" i="20"/>
  <c r="U6" i="11"/>
  <c r="AY90" i="20"/>
  <c r="BA61" i="20"/>
  <c r="AQ73" i="20"/>
  <c r="AY61" i="20"/>
  <c r="AV96" i="20"/>
  <c r="AZ217" i="20"/>
  <c r="AV216" i="20"/>
  <c r="BB216" i="20"/>
  <c r="BA224" i="20"/>
  <c r="AQ224" i="20"/>
  <c r="AU215" i="20"/>
  <c r="AT201" i="20"/>
  <c r="AS65" i="20"/>
  <c r="AP95" i="20"/>
  <c r="AS55" i="20"/>
  <c r="AP69" i="20"/>
  <c r="AQ200" i="20"/>
  <c r="AQ100" i="20"/>
  <c r="AS91" i="20"/>
  <c r="AU205" i="20"/>
  <c r="AQ103" i="20"/>
  <c r="AP65" i="20"/>
  <c r="AQ229" i="20"/>
  <c r="AS93" i="20"/>
  <c r="AS209" i="20"/>
  <c r="AU123" i="20"/>
  <c r="AU141" i="20"/>
  <c r="AU87" i="20"/>
  <c r="AP60" i="20"/>
  <c r="AP138" i="20"/>
  <c r="AV137" i="20"/>
  <c r="AT67" i="20"/>
  <c r="AP58" i="20"/>
  <c r="AP125" i="20"/>
  <c r="AP93" i="20"/>
  <c r="AT105" i="20"/>
  <c r="AT111" i="20"/>
  <c r="AS117" i="20"/>
  <c r="AQ89" i="20"/>
  <c r="AQ92" i="20"/>
  <c r="AP76" i="20"/>
  <c r="AT68" i="20"/>
  <c r="AV67" i="20"/>
  <c r="AS88" i="20"/>
  <c r="AP139" i="20"/>
  <c r="AS112" i="20"/>
  <c r="AU136" i="20"/>
  <c r="AV59" i="20"/>
  <c r="AV78" i="20"/>
  <c r="AZ204" i="20"/>
  <c r="AZ122" i="20"/>
  <c r="AV111" i="20"/>
  <c r="BB229" i="20"/>
  <c r="BA70" i="20"/>
  <c r="AZ137" i="20"/>
  <c r="AZ95" i="20"/>
  <c r="AP61" i="20"/>
  <c r="AZ61" i="20"/>
  <c r="AT142" i="20"/>
  <c r="AU142" i="20"/>
  <c r="AY217" i="20"/>
  <c r="AU217" i="20"/>
  <c r="AP216" i="20"/>
  <c r="AQ216" i="20"/>
  <c r="AU224" i="20"/>
  <c r="AZ223" i="20"/>
  <c r="AP214" i="20"/>
  <c r="AT138" i="20"/>
  <c r="AS140" i="20"/>
  <c r="AP230" i="20"/>
  <c r="AS72" i="20"/>
  <c r="AP77" i="20"/>
  <c r="AP231" i="20"/>
  <c r="AQ133" i="20"/>
  <c r="AS60" i="20"/>
  <c r="AU53" i="20"/>
  <c r="AP80" i="20"/>
  <c r="AQ115" i="20"/>
  <c r="AP134" i="20"/>
  <c r="AS100" i="20"/>
  <c r="AU140" i="20"/>
  <c r="AV201" i="20"/>
  <c r="AU101" i="20"/>
  <c r="AU52" i="20"/>
  <c r="AQ126" i="20"/>
  <c r="AP99" i="20"/>
  <c r="AP127" i="20"/>
  <c r="AT123" i="20"/>
  <c r="AQ59" i="20"/>
  <c r="AQ125" i="20"/>
  <c r="AQ99" i="20"/>
  <c r="AU81" i="20"/>
  <c r="AT65" i="20"/>
  <c r="AS138" i="20"/>
  <c r="AQ141" i="20"/>
  <c r="AQ205" i="20"/>
  <c r="AP100" i="20"/>
  <c r="AT126" i="20"/>
  <c r="AU59" i="20"/>
  <c r="AT110" i="20"/>
  <c r="AQ71" i="20"/>
  <c r="AS110" i="20"/>
  <c r="AU54" i="20"/>
  <c r="AV118" i="20"/>
  <c r="AQ230" i="20"/>
  <c r="AZ81" i="20"/>
  <c r="AZ71" i="20"/>
  <c r="AV105" i="20"/>
  <c r="AY209" i="20"/>
  <c r="AZ58" i="20"/>
  <c r="AZ199" i="20"/>
  <c r="AQ106" i="20"/>
  <c r="AZ67" i="20"/>
  <c r="AV209" i="20"/>
  <c r="AY141" i="20"/>
  <c r="BB113" i="20"/>
  <c r="AY147" i="20"/>
  <c r="BA221" i="20"/>
  <c r="AZ116" i="20"/>
  <c r="AV133" i="20"/>
  <c r="BB103" i="20"/>
  <c r="BB69" i="20"/>
  <c r="AY124" i="20"/>
  <c r="BA60" i="20"/>
  <c r="AZ92" i="20"/>
  <c r="AV114" i="20"/>
  <c r="AS84" i="20"/>
  <c r="BB127" i="20"/>
  <c r="AY100" i="20"/>
  <c r="BA93" i="20"/>
  <c r="BB66" i="20"/>
  <c r="AY78" i="20"/>
  <c r="BA80" i="20"/>
  <c r="BA117" i="20"/>
  <c r="AV83" i="20"/>
  <c r="AU128" i="20"/>
  <c r="AU112" i="20"/>
  <c r="BB228" i="20"/>
  <c r="BA64" i="20"/>
  <c r="BB101" i="20"/>
  <c r="BB119" i="20"/>
  <c r="AQ119" i="20"/>
  <c r="AV73" i="20"/>
  <c r="AS119" i="20"/>
  <c r="AY210" i="20"/>
  <c r="AU210" i="20"/>
  <c r="BA218" i="20"/>
  <c r="AU218" i="20"/>
  <c r="AS223" i="20"/>
  <c r="AZ224" i="20"/>
  <c r="AY215" i="20"/>
  <c r="AT78" i="20"/>
  <c r="AS139" i="20"/>
  <c r="AP227" i="20"/>
  <c r="AS107" i="20"/>
  <c r="AP56" i="20"/>
  <c r="AQ118" i="20"/>
  <c r="AQ102" i="20"/>
  <c r="AS94" i="20"/>
  <c r="AU110" i="20"/>
  <c r="AQ213" i="20"/>
  <c r="AP112" i="20"/>
  <c r="AQ101" i="20"/>
  <c r="AS57" i="20"/>
  <c r="AU70" i="20"/>
  <c r="AQ80" i="20"/>
  <c r="AU84" i="20"/>
  <c r="AU103" i="20"/>
  <c r="AQ148" i="20"/>
  <c r="AP91" i="20"/>
  <c r="AS106" i="20"/>
  <c r="AT200" i="20"/>
  <c r="AQ210" i="20"/>
  <c r="AQ204" i="20"/>
  <c r="AV64" i="20"/>
  <c r="AU212" i="20"/>
  <c r="AS230" i="20"/>
  <c r="AS68" i="20"/>
  <c r="AQ87" i="20"/>
  <c r="AP57" i="20"/>
  <c r="AQ111" i="20"/>
  <c r="AT72" i="20"/>
  <c r="AQ104" i="20"/>
  <c r="AU133" i="20"/>
  <c r="AP114" i="20"/>
  <c r="AS134" i="20"/>
  <c r="AU116" i="20"/>
  <c r="AV206" i="20"/>
  <c r="AZ83" i="20"/>
  <c r="BA231" i="20"/>
  <c r="AZ113" i="20"/>
  <c r="AZ130" i="20"/>
  <c r="AY81" i="20"/>
  <c r="BA65" i="20"/>
  <c r="BA136" i="20"/>
  <c r="AU106" i="20"/>
  <c r="AZ105" i="20"/>
  <c r="AV79" i="20"/>
  <c r="AY114" i="20"/>
  <c r="BB130" i="20"/>
  <c r="AY222" i="20"/>
  <c r="BA199" i="20"/>
  <c r="AZ221" i="20"/>
  <c r="AS127" i="20"/>
  <c r="BB230" i="20"/>
  <c r="BB89" i="20"/>
  <c r="AY133" i="20"/>
  <c r="BA228" i="20"/>
  <c r="AZ133" i="20"/>
  <c r="AV123" i="20"/>
  <c r="AT61" i="20"/>
  <c r="AZ96" i="20"/>
  <c r="BA119" i="20"/>
  <c r="BA96" i="20"/>
  <c r="AT217" i="20"/>
  <c r="BB210" i="20"/>
  <c r="AP218" i="20"/>
  <c r="AT218" i="20"/>
  <c r="AP224" i="20"/>
  <c r="AV223" i="20"/>
  <c r="BB214" i="20"/>
  <c r="AQ214" i="20"/>
  <c r="AT71" i="20"/>
  <c r="AS231" i="20"/>
  <c r="AV200" i="20"/>
  <c r="AS211" i="20"/>
  <c r="AS115" i="20"/>
  <c r="AT148" i="20"/>
  <c r="AS56" i="20"/>
  <c r="AS89" i="20"/>
  <c r="AT82" i="20"/>
  <c r="AP136" i="20"/>
  <c r="AS78" i="20"/>
  <c r="AP116" i="20"/>
  <c r="AS148" i="20"/>
  <c r="AU57" i="20"/>
  <c r="AS123" i="20"/>
  <c r="AV110" i="20"/>
  <c r="AU102" i="20"/>
  <c r="AQ91" i="20"/>
  <c r="AP199" i="20"/>
  <c r="AT84" i="20"/>
  <c r="AT145" i="20"/>
  <c r="AP209" i="20"/>
  <c r="AP101" i="20"/>
  <c r="AQ129" i="20"/>
  <c r="AU68" i="20"/>
  <c r="AT141" i="20"/>
  <c r="AS118" i="20"/>
  <c r="AQ68" i="20"/>
  <c r="AP111" i="20"/>
  <c r="AP211" i="20"/>
  <c r="AT222" i="20"/>
  <c r="AP117" i="20"/>
  <c r="AP105" i="20"/>
  <c r="AP145" i="20"/>
  <c r="AS77" i="20"/>
  <c r="AU67" i="20"/>
  <c r="AV100" i="20"/>
  <c r="BA91" i="20"/>
  <c r="BA114" i="20"/>
  <c r="BA227" i="20"/>
  <c r="AZ117" i="20"/>
  <c r="BB140" i="20"/>
  <c r="BA102" i="20"/>
  <c r="BA84" i="20"/>
  <c r="AP128" i="20"/>
  <c r="BA209" i="20"/>
  <c r="AV101" i="20"/>
  <c r="BB129" i="20"/>
  <c r="AY58" i="20"/>
  <c r="BA87" i="20"/>
  <c r="AZ110" i="20"/>
  <c r="AV129" i="20"/>
  <c r="AQ128" i="20"/>
  <c r="AY64" i="20"/>
  <c r="BB53" i="20"/>
  <c r="AY115" i="20"/>
  <c r="BA145" i="20"/>
  <c r="AZ69" i="20"/>
  <c r="AV147" i="20"/>
  <c r="AU91" i="20"/>
  <c r="BB146" i="20"/>
  <c r="AY113" i="20"/>
  <c r="AS142" i="20"/>
  <c r="AP119" i="20"/>
  <c r="AU73" i="20"/>
  <c r="AP96" i="20"/>
  <c r="AS217" i="20"/>
  <c r="BA210" i="20"/>
  <c r="AU216" i="20"/>
  <c r="AZ216" i="20"/>
  <c r="AT224" i="20"/>
  <c r="AU223" i="20"/>
  <c r="AT214" i="20"/>
  <c r="AV215" i="20"/>
  <c r="AS116" i="20"/>
  <c r="AQ123" i="20"/>
  <c r="AS137" i="20"/>
  <c r="AS80" i="20"/>
  <c r="AS59" i="20"/>
  <c r="AS79" i="20"/>
  <c r="AS90" i="20"/>
  <c r="AZ119" i="20"/>
  <c r="AY96" i="20"/>
  <c r="AV142" i="20"/>
  <c r="AY73" i="20"/>
  <c r="AZ210" i="20"/>
  <c r="AQ217" i="20"/>
  <c r="AS218" i="20"/>
  <c r="BB223" i="20"/>
  <c r="AY224" i="20"/>
  <c r="BA214" i="20"/>
  <c r="AT215" i="20"/>
  <c r="AT228" i="20"/>
  <c r="AP72" i="20"/>
  <c r="AS70" i="20"/>
  <c r="AS126" i="20"/>
  <c r="AT205" i="20"/>
  <c r="AS71" i="20"/>
  <c r="AS136" i="20"/>
  <c r="AT118" i="20"/>
  <c r="AQ201" i="20"/>
  <c r="AP135" i="20"/>
  <c r="AT136" i="20"/>
  <c r="AP88" i="20"/>
  <c r="AT66" i="20"/>
  <c r="AU105" i="20"/>
  <c r="AU55" i="20"/>
  <c r="AZ205" i="20"/>
  <c r="AT115" i="20"/>
  <c r="AP124" i="20"/>
  <c r="AQ65" i="20"/>
  <c r="AU72" i="20"/>
  <c r="AT231" i="20"/>
  <c r="AQ136" i="20"/>
  <c r="AQ110" i="20"/>
  <c r="AU83" i="20"/>
  <c r="AU92" i="20"/>
  <c r="AT135" i="20"/>
  <c r="AQ57" i="20"/>
  <c r="AP221" i="20"/>
  <c r="AP146" i="20"/>
  <c r="AQ60" i="20"/>
  <c r="AT88" i="20"/>
  <c r="AT73" i="20"/>
  <c r="AT119" i="20"/>
  <c r="BB218" i="20"/>
  <c r="AV224" i="20"/>
  <c r="AZ215" i="20"/>
  <c r="AT102" i="20"/>
  <c r="AQ134" i="20"/>
  <c r="AP103" i="20"/>
  <c r="AT128" i="20"/>
  <c r="AT140" i="20"/>
  <c r="AS200" i="20"/>
  <c r="AP66" i="20"/>
  <c r="AT79" i="20"/>
  <c r="AQ56" i="20"/>
  <c r="AT69" i="20"/>
  <c r="AQ199" i="20"/>
  <c r="AU209" i="20"/>
  <c r="AP148" i="20"/>
  <c r="AP106" i="20"/>
  <c r="AU221" i="20"/>
  <c r="AP210" i="20"/>
  <c r="AP71" i="20"/>
  <c r="AS114" i="20"/>
  <c r="AT87" i="20"/>
  <c r="AQ88" i="20"/>
  <c r="AT76" i="20"/>
  <c r="AV58" i="20"/>
  <c r="AZ111" i="20"/>
  <c r="BA76" i="20"/>
  <c r="AV130" i="20"/>
  <c r="AZ104" i="20"/>
  <c r="AY130" i="20"/>
  <c r="AU77" i="20"/>
  <c r="AZ60" i="20"/>
  <c r="AZ222" i="20"/>
  <c r="BB80" i="20"/>
  <c r="AY125" i="20"/>
  <c r="AZ125" i="20"/>
  <c r="AV53" i="20"/>
  <c r="BB221" i="20"/>
  <c r="BB205" i="20"/>
  <c r="BA100" i="20"/>
  <c r="AZ88" i="20"/>
  <c r="AV60" i="20"/>
  <c r="AU76" i="20"/>
  <c r="AY56" i="20"/>
  <c r="AQ61" i="20"/>
  <c r="BB96" i="20"/>
  <c r="AV217" i="20"/>
  <c r="AQ218" i="20"/>
  <c r="AT223" i="20"/>
  <c r="AP129" i="20"/>
  <c r="AP64" i="20"/>
  <c r="AQ66" i="20"/>
  <c r="AP205" i="20"/>
  <c r="AS205" i="20"/>
  <c r="AT114" i="20"/>
  <c r="AP78" i="20"/>
  <c r="AT146" i="20"/>
  <c r="AS206" i="20"/>
  <c r="AT125" i="20"/>
  <c r="AP89" i="20"/>
  <c r="AS213" i="20"/>
  <c r="AQ146" i="20"/>
  <c r="AU138" i="20"/>
  <c r="AT211" i="20"/>
  <c r="AQ209" i="20"/>
  <c r="AQ206" i="20"/>
  <c r="AT221" i="20"/>
  <c r="AQ135" i="20"/>
  <c r="AT100" i="20"/>
  <c r="AZ140" i="20"/>
  <c r="BA211" i="20"/>
  <c r="BB139" i="20"/>
  <c r="AZ138" i="20"/>
  <c r="BA118" i="20"/>
  <c r="AY79" i="20"/>
  <c r="AU95" i="20"/>
  <c r="BA201" i="20"/>
  <c r="AZ100" i="20"/>
  <c r="BB147" i="20"/>
  <c r="BA101" i="20"/>
  <c r="AZ127" i="20"/>
  <c r="AV93" i="20"/>
  <c r="AY67" i="20"/>
  <c r="BB204" i="20"/>
  <c r="BA124" i="20"/>
  <c r="AZ231" i="20"/>
  <c r="AV103" i="20"/>
  <c r="AU229" i="20"/>
  <c r="AY57" i="20"/>
  <c r="BA53" i="20"/>
  <c r="BB111" i="20"/>
  <c r="AY89" i="20"/>
  <c r="BA90" i="20"/>
  <c r="AZ82" i="20"/>
  <c r="AV89" i="20"/>
  <c r="AU124" i="20"/>
  <c r="BB84" i="20"/>
  <c r="AZ101" i="20"/>
  <c r="BB116" i="20"/>
  <c r="AZ212" i="20"/>
  <c r="AY145" i="20"/>
  <c r="AZ103" i="20"/>
  <c r="AY102" i="20"/>
  <c r="AZ142" i="20"/>
  <c r="AQ96" i="20"/>
  <c r="AV210" i="20"/>
  <c r="AZ218" i="20"/>
  <c r="AQ223" i="20"/>
  <c r="AV214" i="20"/>
  <c r="AS92" i="20"/>
  <c r="AS221" i="20"/>
  <c r="AT99" i="20"/>
  <c r="AS147" i="20"/>
  <c r="AU204" i="20"/>
  <c r="AT134" i="20"/>
  <c r="AQ117" i="20"/>
  <c r="AU114" i="20"/>
  <c r="AT116" i="20"/>
  <c r="AT77" i="20"/>
  <c r="AQ93" i="20"/>
  <c r="AT113" i="20"/>
  <c r="AQ145" i="20"/>
  <c r="AU65" i="20"/>
  <c r="AT89" i="20"/>
  <c r="AP206" i="20"/>
  <c r="AQ67" i="20"/>
  <c r="AS227" i="20"/>
  <c r="AV119" i="20"/>
  <c r="AZ73" i="20"/>
  <c r="AT210" i="20"/>
  <c r="AT216" i="20"/>
  <c r="AS224" i="20"/>
  <c r="AZ214" i="20"/>
  <c r="AV66" i="20"/>
  <c r="AS111" i="20"/>
  <c r="AT230" i="20"/>
  <c r="AT112" i="20"/>
  <c r="AT127" i="20"/>
  <c r="AT81" i="20"/>
  <c r="AP228" i="20"/>
  <c r="AQ113" i="20"/>
  <c r="AT206" i="20"/>
  <c r="AT204" i="20"/>
  <c r="AP110" i="20"/>
  <c r="AT93" i="20"/>
  <c r="AQ147" i="20"/>
  <c r="AU147" i="20"/>
  <c r="AT91" i="20"/>
  <c r="AP222" i="20"/>
  <c r="AQ221" i="20"/>
  <c r="AU200" i="20"/>
  <c r="AQ228" i="20"/>
  <c r="AQ114" i="20"/>
  <c r="AS229" i="20"/>
  <c r="BA146" i="20"/>
  <c r="AY138" i="20"/>
  <c r="AP130" i="20"/>
  <c r="BA55" i="20"/>
  <c r="BB90" i="20"/>
  <c r="BB76" i="20"/>
  <c r="AU82" i="20"/>
  <c r="BA71" i="20"/>
  <c r="AZ65" i="20"/>
  <c r="BB201" i="20"/>
  <c r="BA79" i="20"/>
  <c r="AZ55" i="20"/>
  <c r="AV80" i="20"/>
  <c r="AY101" i="20"/>
  <c r="AY53" i="20"/>
  <c r="BA206" i="20"/>
  <c r="AZ128" i="20"/>
  <c r="AQ82" i="20"/>
  <c r="BB87" i="20"/>
  <c r="AY91" i="20"/>
  <c r="BA148" i="20"/>
  <c r="BB122" i="20"/>
  <c r="AY106" i="20"/>
  <c r="BA58" i="20"/>
  <c r="AZ90" i="20"/>
  <c r="AV146" i="20"/>
  <c r="AU90" i="20"/>
  <c r="BB91" i="20"/>
  <c r="BA205" i="20"/>
  <c r="AY227" i="20"/>
  <c r="AZ56" i="20"/>
  <c r="AY84" i="20"/>
  <c r="AZ200" i="20"/>
  <c r="BB141" i="20"/>
  <c r="AT96" i="20"/>
  <c r="AV61" i="20"/>
  <c r="AS210" i="20"/>
  <c r="AY218" i="20"/>
  <c r="BA223" i="20"/>
  <c r="AY214" i="20"/>
  <c r="AS53" i="20"/>
  <c r="AS125" i="20"/>
  <c r="AT213" i="20"/>
  <c r="AT57" i="20"/>
  <c r="AS124" i="20"/>
  <c r="AV52" i="20"/>
  <c r="AP53" i="20"/>
  <c r="AQ124" i="20"/>
  <c r="BA110" i="20"/>
  <c r="AQ58" i="20"/>
  <c r="AU64" i="20"/>
  <c r="AT137" i="20"/>
  <c r="AQ116" i="20"/>
  <c r="AU206" i="20"/>
  <c r="AS201" i="20"/>
  <c r="AQ76" i="20"/>
  <c r="AP212" i="20"/>
  <c r="AU80" i="20"/>
  <c r="AT147" i="20"/>
  <c r="AP113" i="20"/>
  <c r="AU139" i="20"/>
  <c r="AY201" i="20"/>
  <c r="AY95" i="20"/>
  <c r="AT130" i="20"/>
  <c r="AV95" i="20"/>
  <c r="AY80" i="20"/>
  <c r="AP83" i="20"/>
  <c r="AY129" i="20"/>
  <c r="BA229" i="20"/>
  <c r="AY71" i="20"/>
  <c r="BA54" i="20"/>
  <c r="AZ206" i="20"/>
  <c r="AP81" i="20"/>
  <c r="AY72" i="20"/>
  <c r="AY65" i="20"/>
  <c r="BA147" i="20"/>
  <c r="AZ112" i="20"/>
  <c r="AQ130" i="20"/>
  <c r="BB134" i="20"/>
  <c r="AY104" i="20"/>
  <c r="BA138" i="20"/>
  <c r="BB206" i="20"/>
  <c r="AY110" i="20"/>
  <c r="BA139" i="20"/>
  <c r="AZ94" i="20"/>
  <c r="AV54" i="20"/>
  <c r="AU100" i="20"/>
  <c r="BB73" i="20"/>
  <c r="AQ142" i="20"/>
  <c r="BB217" i="20"/>
  <c r="AP217" i="20"/>
  <c r="AP223" i="20"/>
  <c r="AU214" i="20"/>
  <c r="AT92" i="20"/>
  <c r="AS69" i="20"/>
  <c r="AU69" i="20"/>
  <c r="AU129" i="20"/>
  <c r="AS141" i="20"/>
  <c r="AS76" i="20"/>
  <c r="AQ53" i="20"/>
  <c r="AQ211" i="20"/>
  <c r="AV145" i="20"/>
  <c r="AQ55" i="20"/>
  <c r="AU117" i="20"/>
  <c r="AT101" i="20"/>
  <c r="AQ72" i="20"/>
  <c r="AV136" i="20"/>
  <c r="AS133" i="20"/>
  <c r="AQ122" i="20"/>
  <c r="AQ64" i="20"/>
  <c r="AU71" i="20"/>
  <c r="AT95" i="20"/>
  <c r="AP102" i="20"/>
  <c r="AT106" i="20"/>
  <c r="BB61" i="20"/>
  <c r="BB215" i="20"/>
  <c r="AT227" i="20"/>
  <c r="AP118" i="20"/>
  <c r="AT59" i="20"/>
  <c r="AQ52" i="20"/>
  <c r="AQ212" i="20"/>
  <c r="AP90" i="20"/>
  <c r="AQ112" i="20"/>
  <c r="AU201" i="20"/>
  <c r="AQ222" i="20"/>
  <c r="AS146" i="20"/>
  <c r="AS228" i="20"/>
  <c r="AV117" i="20"/>
  <c r="AV88" i="20"/>
  <c r="AV81" i="20"/>
  <c r="AT83" i="20"/>
  <c r="AV205" i="20"/>
  <c r="BB227" i="20"/>
  <c r="BA230" i="20"/>
  <c r="AV228" i="20"/>
  <c r="AY200" i="20"/>
  <c r="BA56" i="20"/>
  <c r="AV140" i="20"/>
  <c r="BB58" i="20"/>
  <c r="AY139" i="20"/>
  <c r="AZ228" i="20"/>
  <c r="AY204" i="20"/>
  <c r="BA130" i="20"/>
  <c r="AV213" i="20"/>
  <c r="AU222" i="20"/>
  <c r="AV106" i="20"/>
  <c r="AY128" i="20"/>
  <c r="BB104" i="20"/>
  <c r="AY126" i="20"/>
  <c r="BA122" i="20"/>
  <c r="BB105" i="20"/>
  <c r="AY142" i="20"/>
  <c r="BA217" i="20"/>
  <c r="AY223" i="20"/>
  <c r="AS215" i="20"/>
  <c r="AT117" i="20"/>
  <c r="AS105" i="20"/>
  <c r="AT229" i="20"/>
  <c r="AS95" i="20"/>
  <c r="AV141" i="20"/>
  <c r="AU89" i="20"/>
  <c r="AP229" i="20"/>
  <c r="AS54" i="20"/>
  <c r="AP126" i="20"/>
  <c r="AS122" i="20"/>
  <c r="AV135" i="20"/>
  <c r="AV199" i="20"/>
  <c r="AZ147" i="20"/>
  <c r="AV222" i="20"/>
  <c r="AV87" i="20"/>
  <c r="AY76" i="20"/>
  <c r="BA222" i="20"/>
  <c r="BB112" i="20"/>
  <c r="BB59" i="20"/>
  <c r="BA137" i="20"/>
  <c r="AV71" i="20"/>
  <c r="BB124" i="20"/>
  <c r="BA113" i="20"/>
  <c r="BB77" i="20"/>
  <c r="AY148" i="20"/>
  <c r="AZ53" i="20"/>
  <c r="AV90" i="20"/>
  <c r="AU60" i="20"/>
  <c r="AZ118" i="20"/>
  <c r="AY92" i="20"/>
  <c r="BB92" i="20"/>
  <c r="AY66" i="20"/>
  <c r="BA133" i="20"/>
  <c r="AS52" i="20"/>
  <c r="AU119" i="20"/>
  <c r="BB224" i="20"/>
  <c r="AQ137" i="20"/>
  <c r="AQ70" i="20"/>
  <c r="AT94" i="20"/>
  <c r="AS99" i="20"/>
  <c r="AQ127" i="20"/>
  <c r="AU231" i="20"/>
  <c r="AP200" i="20"/>
  <c r="AS204" i="20"/>
  <c r="AP59" i="20"/>
  <c r="AS83" i="20"/>
  <c r="AT70" i="20"/>
  <c r="AV148" i="20"/>
  <c r="AV104" i="20"/>
  <c r="AZ136" i="20"/>
  <c r="AV230" i="20"/>
  <c r="AV84" i="20"/>
  <c r="AS96" i="20"/>
  <c r="AQ79" i="20"/>
  <c r="AS145" i="20"/>
  <c r="BA73" i="20"/>
  <c r="AQ54" i="20"/>
  <c r="AT52" i="20"/>
  <c r="AP82" i="20"/>
  <c r="AT60" i="20"/>
  <c r="AS82" i="20"/>
  <c r="AU56" i="20"/>
  <c r="AP87" i="20"/>
  <c r="AS58" i="20"/>
  <c r="AS103" i="20"/>
  <c r="AT139" i="20"/>
  <c r="AT90" i="20"/>
  <c r="AV65" i="20"/>
  <c r="AV94" i="20"/>
  <c r="BB213" i="20"/>
  <c r="AV77" i="20"/>
  <c r="AZ89" i="20"/>
  <c r="AY103" i="20"/>
  <c r="AZ129" i="20"/>
  <c r="BB55" i="20"/>
  <c r="BB93" i="20"/>
  <c r="AZ93" i="20"/>
  <c r="AU130" i="20"/>
  <c r="BB145" i="20"/>
  <c r="BA78" i="20"/>
  <c r="BB110" i="20"/>
  <c r="AY228" i="20"/>
  <c r="AZ107" i="20"/>
  <c r="AV227" i="20"/>
  <c r="AU213" i="20"/>
  <c r="AZ66" i="20"/>
  <c r="AP73" i="20"/>
  <c r="AU146" i="20"/>
  <c r="AT55" i="20"/>
  <c r="AP204" i="20"/>
  <c r="AT133" i="20"/>
  <c r="AU125" i="20"/>
  <c r="AU99" i="20"/>
  <c r="AP115" i="20"/>
  <c r="AP55" i="20"/>
  <c r="AS113" i="20"/>
  <c r="AT103" i="20"/>
  <c r="AQ81" i="20"/>
  <c r="AV92" i="20"/>
  <c r="AV112" i="20"/>
  <c r="BB95" i="20"/>
  <c r="AV82" i="20"/>
  <c r="BA105" i="20"/>
  <c r="AY105" i="20"/>
  <c r="AZ148" i="20"/>
  <c r="BB70" i="20"/>
  <c r="AY94" i="20"/>
  <c r="AZ64" i="20"/>
  <c r="AU104" i="20"/>
  <c r="AU61" i="20"/>
  <c r="AS216" i="20"/>
  <c r="AU148" i="20"/>
  <c r="AP104" i="20"/>
  <c r="AS102" i="20"/>
  <c r="AP123" i="20"/>
  <c r="AT56" i="20"/>
  <c r="AT129" i="20"/>
  <c r="BA59" i="20"/>
  <c r="BA92" i="20"/>
  <c r="AZ230" i="20"/>
  <c r="BB71" i="20"/>
  <c r="AV221" i="20"/>
  <c r="AY127" i="20"/>
  <c r="AZ80" i="20"/>
  <c r="AU122" i="20"/>
  <c r="BA72" i="20"/>
  <c r="BB148" i="20"/>
  <c r="BA128" i="20"/>
  <c r="AS128" i="20"/>
  <c r="BB83" i="20"/>
  <c r="AY221" i="20"/>
  <c r="AZ52" i="20"/>
  <c r="AV76" i="20"/>
  <c r="AS61" i="20"/>
  <c r="AV218" i="20"/>
  <c r="AS66" i="20"/>
  <c r="BB142" i="20"/>
  <c r="AY216" i="20"/>
  <c r="AS222" i="20"/>
  <c r="AZ70" i="20"/>
  <c r="AP122" i="20"/>
  <c r="AP70" i="20"/>
  <c r="AP133" i="20"/>
  <c r="AT53" i="20"/>
  <c r="AY213" i="20"/>
  <c r="AV57" i="20"/>
  <c r="AV69" i="20"/>
  <c r="BA94" i="20"/>
  <c r="AY82" i="20"/>
  <c r="AV55" i="20"/>
  <c r="BB128" i="20"/>
  <c r="AZ145" i="20"/>
  <c r="BB118" i="20"/>
  <c r="BA127" i="20"/>
  <c r="AY55" i="20"/>
  <c r="AZ115" i="20"/>
  <c r="AQ84" i="20"/>
  <c r="BB67" i="20"/>
  <c r="BB211" i="20"/>
  <c r="BA112" i="20"/>
  <c r="AV212" i="20"/>
  <c r="BB100" i="20"/>
  <c r="BA216" i="20"/>
  <c r="AQ77" i="20"/>
  <c r="AQ69" i="20"/>
  <c r="AP92" i="20"/>
  <c r="AP94" i="20"/>
  <c r="AP147" i="20"/>
  <c r="AP67" i="20"/>
  <c r="AZ229" i="20"/>
  <c r="AZ79" i="20"/>
  <c r="AV102" i="20"/>
  <c r="AY117" i="20"/>
  <c r="AY123" i="20"/>
  <c r="AV91" i="20"/>
  <c r="AY93" i="20"/>
  <c r="AV229" i="20"/>
  <c r="BB135" i="20"/>
  <c r="AZ68" i="20"/>
  <c r="AY87" i="20"/>
  <c r="AZ84" i="20"/>
  <c r="AP107" i="20"/>
  <c r="AV126" i="20"/>
  <c r="BB81" i="20"/>
  <c r="BA123" i="20"/>
  <c r="AV127" i="20"/>
  <c r="BB94" i="20"/>
  <c r="AU227" i="20"/>
  <c r="AQ227" i="20"/>
  <c r="AP137" i="20"/>
  <c r="AU127" i="20"/>
  <c r="AS101" i="20"/>
  <c r="AQ78" i="20"/>
  <c r="BA82" i="20"/>
  <c r="AY229" i="20"/>
  <c r="AY77" i="20"/>
  <c r="AY107" i="20"/>
  <c r="AV138" i="20"/>
  <c r="AY137" i="20"/>
  <c r="AV128" i="20"/>
  <c r="BB212" i="20"/>
  <c r="AZ146" i="20"/>
  <c r="AY212" i="20"/>
  <c r="AZ91" i="20"/>
  <c r="AT107" i="20"/>
  <c r="AZ209" i="20"/>
  <c r="AY136" i="20"/>
  <c r="BA115" i="20"/>
  <c r="BA57" i="20"/>
  <c r="AP140" i="20"/>
  <c r="AT122" i="20"/>
  <c r="AQ140" i="20"/>
  <c r="AU199" i="20"/>
  <c r="AS67" i="20"/>
  <c r="AP79" i="20"/>
  <c r="AQ107" i="20"/>
  <c r="AZ106" i="20"/>
  <c r="BB106" i="20"/>
  <c r="BA89" i="20"/>
  <c r="BB117" i="20"/>
  <c r="AY205" i="20"/>
  <c r="AV72" i="20"/>
  <c r="BB231" i="20"/>
  <c r="AZ102" i="20"/>
  <c r="AY135" i="20"/>
  <c r="AZ124" i="20"/>
  <c r="AS81" i="20"/>
  <c r="AZ139" i="20"/>
  <c r="AS214" i="20"/>
  <c r="BA215" i="20"/>
  <c r="AT80" i="20"/>
  <c r="AU94" i="20"/>
  <c r="AP68" i="20"/>
  <c r="AP141" i="20"/>
  <c r="AV70" i="20"/>
  <c r="AZ54" i="20"/>
  <c r="BB72" i="20"/>
  <c r="BB138" i="20"/>
  <c r="AZ211" i="20"/>
  <c r="BA67" i="20"/>
  <c r="BA66" i="20"/>
  <c r="AU78" i="20"/>
  <c r="AY211" i="20"/>
  <c r="AY231" i="20"/>
  <c r="BA83" i="20"/>
  <c r="AQ215" i="20"/>
  <c r="AU126" i="20"/>
  <c r="AY88" i="20"/>
  <c r="AU93" i="20"/>
  <c r="AQ105" i="20"/>
  <c r="AV124" i="20"/>
  <c r="BB82" i="20"/>
  <c r="BB222" i="20"/>
  <c r="AV204" i="20"/>
  <c r="BA104" i="20"/>
  <c r="BA81" i="20"/>
  <c r="AP215" i="20"/>
  <c r="AS87" i="20"/>
  <c r="AQ95" i="20"/>
  <c r="AU79" i="20"/>
  <c r="AT64" i="20"/>
  <c r="AV56" i="20"/>
  <c r="AY230" i="20"/>
  <c r="BB65" i="20"/>
  <c r="AY69" i="20"/>
  <c r="AS104" i="20"/>
  <c r="BA140" i="20"/>
  <c r="BA213" i="20"/>
  <c r="AU211" i="20"/>
  <c r="AY199" i="20"/>
  <c r="BB133" i="20"/>
  <c r="AY118" i="20"/>
  <c r="AZ201" i="20"/>
  <c r="AT209" i="20"/>
  <c r="AU228" i="20"/>
  <c r="AQ231" i="20"/>
  <c r="BA126" i="20"/>
  <c r="AY134" i="20"/>
  <c r="AY68" i="20"/>
  <c r="AY99" i="20"/>
  <c r="AU145" i="20"/>
  <c r="AQ139" i="20"/>
  <c r="AZ141" i="20"/>
  <c r="AS212" i="20"/>
  <c r="AT199" i="20"/>
  <c r="BB199" i="20"/>
  <c r="AY70" i="20"/>
  <c r="BA68" i="20"/>
  <c r="AY116" i="20"/>
  <c r="AU113" i="20"/>
  <c r="BB107" i="20"/>
  <c r="AZ87" i="20"/>
  <c r="BB64" i="20"/>
  <c r="AY83" i="20"/>
  <c r="AV231" i="20"/>
  <c r="BB114" i="20"/>
  <c r="AT124" i="20"/>
  <c r="AP52" i="20"/>
  <c r="AZ227" i="20"/>
  <c r="AV99" i="20"/>
  <c r="BB60" i="20"/>
  <c r="AU58" i="20"/>
  <c r="AQ138" i="20"/>
  <c r="AP84" i="20"/>
  <c r="AZ213" i="20"/>
  <c r="BA129" i="20"/>
  <c r="AY111" i="20"/>
  <c r="AV211" i="20"/>
  <c r="BA99" i="20"/>
  <c r="AV115" i="20"/>
  <c r="AP54" i="20"/>
  <c r="AQ94" i="20"/>
  <c r="AS129" i="20"/>
  <c r="AU135" i="20"/>
  <c r="AU118" i="20"/>
  <c r="BA69" i="20"/>
  <c r="BA106" i="20"/>
  <c r="BB136" i="20"/>
  <c r="AV134" i="20"/>
  <c r="AY112" i="20"/>
  <c r="AT212" i="20"/>
  <c r="AU107" i="20"/>
  <c r="BB137" i="20"/>
  <c r="BA134" i="20"/>
  <c r="BB125" i="20"/>
  <c r="AS130" i="20"/>
  <c r="AY60" i="20"/>
  <c r="AZ59" i="20"/>
  <c r="AU115" i="20"/>
  <c r="AT104" i="20"/>
  <c r="BA212" i="20"/>
  <c r="BB52" i="20"/>
  <c r="AV139" i="20"/>
  <c r="BB126" i="20"/>
  <c r="AY206" i="20"/>
  <c r="AU134" i="20"/>
  <c r="AU111" i="20"/>
  <c r="AQ90" i="20"/>
  <c r="AQ83" i="20"/>
  <c r="BA52" i="20"/>
  <c r="AY59" i="20"/>
  <c r="AV113" i="20"/>
  <c r="AZ99" i="20"/>
  <c r="AY52" i="20"/>
  <c r="AZ76" i="20"/>
  <c r="AY122" i="20"/>
  <c r="AZ57" i="20"/>
  <c r="AU88" i="20"/>
  <c r="AZ123" i="20"/>
  <c r="AY146" i="20"/>
  <c r="AU230" i="20"/>
  <c r="BA88" i="20"/>
  <c r="BB78" i="20"/>
  <c r="BB88" i="20"/>
  <c r="AV68" i="20"/>
  <c r="AT54" i="20"/>
  <c r="AZ134" i="20"/>
  <c r="BB79" i="20"/>
  <c r="BB57" i="20"/>
  <c r="BA111" i="20"/>
  <c r="BB200" i="20"/>
  <c r="AS135" i="20"/>
  <c r="BB102" i="20"/>
  <c r="AY140" i="20"/>
  <c r="BB99" i="20"/>
  <c r="AS64" i="20"/>
  <c r="BA77" i="20"/>
  <c r="AZ78" i="20"/>
  <c r="AY54" i="20"/>
  <c r="AP213" i="20"/>
  <c r="BB115" i="20"/>
  <c r="BA141" i="20"/>
  <c r="BA116" i="20"/>
  <c r="AP201" i="20"/>
  <c r="BB56" i="20"/>
  <c r="BA125" i="20"/>
  <c r="AZ72" i="20"/>
  <c r="AV107" i="20"/>
  <c r="BA107" i="20"/>
  <c r="AZ114" i="20"/>
  <c r="AV116" i="20"/>
  <c r="BA95" i="20"/>
  <c r="AZ77" i="20"/>
  <c r="BA142" i="20"/>
  <c r="AP142" i="20"/>
  <c r="AV125" i="20"/>
  <c r="BB54" i="20"/>
  <c r="BB68" i="20"/>
  <c r="BA135" i="20"/>
  <c r="AU137" i="20"/>
  <c r="BB209" i="20"/>
  <c r="BA103" i="20"/>
  <c r="BA204" i="20"/>
  <c r="AZ135" i="20"/>
  <c r="T6" i="11"/>
  <c r="AU96" i="20"/>
  <c r="AY119" i="20"/>
  <c r="L6" i="11"/>
  <c r="R6" i="11"/>
  <c r="Q6" i="11"/>
  <c r="BZ204" i="20"/>
  <c r="BZ163" i="20"/>
  <c r="BW163" i="20" s="1"/>
  <c r="CE127" i="20"/>
  <c r="CJ183" i="20"/>
  <c r="CJ59" i="20"/>
  <c r="CK200" i="20"/>
  <c r="CE231" i="20"/>
  <c r="CE156" i="20"/>
  <c r="CB83" i="20"/>
  <c r="CJ56" i="20"/>
  <c r="CK204" i="20"/>
  <c r="CE77" i="20"/>
  <c r="CE201" i="20"/>
  <c r="CJ65" i="20"/>
  <c r="CH111" i="20"/>
  <c r="CA155" i="20"/>
  <c r="CB105" i="20"/>
  <c r="CJ67" i="20"/>
  <c r="CC102" i="20"/>
  <c r="CI94" i="20"/>
  <c r="CF180" i="20"/>
  <c r="CF204" i="20"/>
  <c r="CF211" i="20"/>
  <c r="CF88" i="20"/>
  <c r="CL115" i="20"/>
  <c r="CJ191" i="20"/>
  <c r="CL130" i="20"/>
  <c r="CI65" i="20"/>
  <c r="CH64" i="20"/>
  <c r="BX64" i="20" s="1"/>
  <c r="CI127" i="20"/>
  <c r="CH58" i="20"/>
  <c r="CH117" i="20"/>
  <c r="CI100" i="20"/>
  <c r="CH138" i="20"/>
  <c r="CH199" i="20"/>
  <c r="CH168" i="20"/>
  <c r="CH142" i="20"/>
  <c r="CC188" i="20"/>
  <c r="CC73" i="20"/>
  <c r="CL216" i="20"/>
  <c r="BZ223" i="20"/>
  <c r="CI215" i="20"/>
  <c r="BQ215" i="20" s="1"/>
  <c r="AN213" i="25" s="1"/>
  <c r="CK151" i="20"/>
  <c r="CK196" i="20"/>
  <c r="CD58" i="20"/>
  <c r="CD133" i="20"/>
  <c r="CI204" i="20"/>
  <c r="CK93" i="20"/>
  <c r="CK221" i="20"/>
  <c r="CD53" i="20"/>
  <c r="CK104" i="20"/>
  <c r="CH55" i="20"/>
  <c r="CI159" i="20"/>
  <c r="CD140" i="20"/>
  <c r="CK113" i="20"/>
  <c r="CH116" i="20"/>
  <c r="CH159" i="20"/>
  <c r="CK118" i="20"/>
  <c r="CH151" i="20"/>
  <c r="CK134" i="20"/>
  <c r="CH54" i="20"/>
  <c r="CK137" i="20"/>
  <c r="CI205" i="20"/>
  <c r="CK136" i="20"/>
  <c r="CH107" i="20"/>
  <c r="CH228" i="20"/>
  <c r="CI209" i="20"/>
  <c r="CI55" i="20"/>
  <c r="CI184" i="20"/>
  <c r="CH127" i="20"/>
  <c r="CI76" i="20"/>
  <c r="CI228" i="20"/>
  <c r="CK78" i="20"/>
  <c r="CH141" i="20"/>
  <c r="BX141" i="20" s="1"/>
  <c r="CH125" i="20"/>
  <c r="BX125" i="20" s="1"/>
  <c r="CI156" i="20"/>
  <c r="CK103" i="20"/>
  <c r="CI231" i="20"/>
  <c r="CI221" i="20"/>
  <c r="CA71" i="20"/>
  <c r="CK227" i="20"/>
  <c r="CI60" i="20"/>
  <c r="CJ192" i="20"/>
  <c r="CC191" i="20"/>
  <c r="CF102" i="20"/>
  <c r="CF145" i="20"/>
  <c r="CF144" i="20" s="1"/>
  <c r="CL164" i="20"/>
  <c r="CF114" i="20"/>
  <c r="CL171" i="20"/>
  <c r="CL52" i="20"/>
  <c r="CF116" i="20"/>
  <c r="CK212" i="20"/>
  <c r="CH172" i="20"/>
  <c r="CL66" i="20"/>
  <c r="CF55" i="20"/>
  <c r="CL179" i="20"/>
  <c r="CL70" i="20"/>
  <c r="CF129" i="20"/>
  <c r="CL129" i="20"/>
  <c r="CA83" i="20"/>
  <c r="CL155" i="20"/>
  <c r="CL137" i="20"/>
  <c r="CB136" i="20"/>
  <c r="CB231" i="20"/>
  <c r="CL67" i="20"/>
  <c r="CJ125" i="20"/>
  <c r="CJ104" i="20"/>
  <c r="CE142" i="20"/>
  <c r="CA119" i="20"/>
  <c r="CH61" i="20"/>
  <c r="CD217" i="20"/>
  <c r="CF122" i="20"/>
  <c r="CD195" i="20"/>
  <c r="CD145" i="20"/>
  <c r="CD144" i="20" s="1"/>
  <c r="CK107" i="20"/>
  <c r="CD110" i="20"/>
  <c r="CI211" i="20"/>
  <c r="CD57" i="20"/>
  <c r="CD103" i="20"/>
  <c r="CK171" i="20"/>
  <c r="CI183" i="20"/>
  <c r="CD76" i="20"/>
  <c r="CD184" i="20"/>
  <c r="CK81" i="20"/>
  <c r="CI133" i="20"/>
  <c r="CD212" i="20"/>
  <c r="CK92" i="20"/>
  <c r="CH89" i="20"/>
  <c r="CK100" i="20"/>
  <c r="CH231" i="20"/>
  <c r="BX231" i="20" s="1"/>
  <c r="CF100" i="20"/>
  <c r="CK105" i="20"/>
  <c r="CI175" i="20"/>
  <c r="CK77" i="20"/>
  <c r="CH84" i="20"/>
  <c r="CI110" i="20"/>
  <c r="CH95" i="20"/>
  <c r="CI123" i="20"/>
  <c r="CA100" i="20"/>
  <c r="CI206" i="20"/>
  <c r="CH79" i="20"/>
  <c r="CF138" i="20"/>
  <c r="CH129" i="20"/>
  <c r="CK83" i="20"/>
  <c r="CH179" i="20"/>
  <c r="CH78" i="20"/>
  <c r="CI213" i="20"/>
  <c r="BQ213" i="20" s="1"/>
  <c r="CK141" i="20"/>
  <c r="CI180" i="20"/>
  <c r="CH100" i="20"/>
  <c r="CF67" i="20"/>
  <c r="CH90" i="20"/>
  <c r="BX90" i="20" s="1"/>
  <c r="CL101" i="20"/>
  <c r="CA192" i="20"/>
  <c r="CF192" i="20"/>
  <c r="CF52" i="20"/>
  <c r="CF212" i="20"/>
  <c r="CL113" i="20"/>
  <c r="CF115" i="20"/>
  <c r="CL210" i="20"/>
  <c r="CL71" i="20"/>
  <c r="CF139" i="20"/>
  <c r="CL122" i="20"/>
  <c r="CL222" i="20"/>
  <c r="CI67" i="20"/>
  <c r="CF69" i="20"/>
  <c r="CK222" i="20"/>
  <c r="CI78" i="20"/>
  <c r="CL106" i="20"/>
  <c r="CL94" i="20"/>
  <c r="CF159" i="20"/>
  <c r="CH184" i="20"/>
  <c r="CL83" i="20"/>
  <c r="BZ116" i="20"/>
  <c r="BZ133" i="20"/>
  <c r="CI102" i="20"/>
  <c r="CJ105" i="20"/>
  <c r="CE130" i="20"/>
  <c r="CE172" i="20"/>
  <c r="CA204" i="20"/>
  <c r="CL59" i="20"/>
  <c r="CH128" i="20"/>
  <c r="CJ88" i="20"/>
  <c r="CE210" i="20"/>
  <c r="CA172" i="20"/>
  <c r="CI54" i="20"/>
  <c r="CJ139" i="20"/>
  <c r="CJ205" i="20"/>
  <c r="BZ129" i="20"/>
  <c r="CE176" i="20"/>
  <c r="CA201" i="20"/>
  <c r="CA198" i="20" s="1"/>
  <c r="CL91" i="20"/>
  <c r="CJ96" i="20"/>
  <c r="CL61" i="20"/>
  <c r="CJ216" i="20"/>
  <c r="CJ224" i="20"/>
  <c r="CK214" i="20"/>
  <c r="CD231" i="20"/>
  <c r="CF196" i="20"/>
  <c r="CK69" i="20"/>
  <c r="CI168" i="20"/>
  <c r="CK163" i="20"/>
  <c r="CD126" i="20"/>
  <c r="CD54" i="20"/>
  <c r="CK130" i="20"/>
  <c r="CH130" i="20"/>
  <c r="CD87" i="20"/>
  <c r="CD159" i="20"/>
  <c r="CK106" i="20"/>
  <c r="CI137" i="20"/>
  <c r="CD205" i="20"/>
  <c r="CK116" i="20"/>
  <c r="CI163" i="20"/>
  <c r="CK199" i="20"/>
  <c r="CH183" i="20"/>
  <c r="CK82" i="20"/>
  <c r="CH72" i="20"/>
  <c r="BX72" i="20" s="1"/>
  <c r="CK84" i="20"/>
  <c r="CH66" i="20"/>
  <c r="CI152" i="20"/>
  <c r="CH204" i="20"/>
  <c r="CI129" i="20"/>
  <c r="CK230" i="20"/>
  <c r="CH81" i="20"/>
  <c r="CE76" i="20"/>
  <c r="CI141" i="20"/>
  <c r="CK57" i="20"/>
  <c r="CK133" i="20"/>
  <c r="CI222" i="20"/>
  <c r="CH167" i="20"/>
  <c r="CI145" i="20"/>
  <c r="CI144" i="20" s="1"/>
  <c r="CK95" i="20"/>
  <c r="CK102" i="20"/>
  <c r="CH82" i="20"/>
  <c r="CI138" i="20"/>
  <c r="CF90" i="20"/>
  <c r="CK176" i="20"/>
  <c r="CI95" i="20"/>
  <c r="CE191" i="20"/>
  <c r="CK191" i="20"/>
  <c r="CF87" i="20"/>
  <c r="CL204" i="20"/>
  <c r="CL213" i="20"/>
  <c r="CF140" i="20"/>
  <c r="CL212" i="20"/>
  <c r="CF91" i="20"/>
  <c r="CF117" i="20"/>
  <c r="CL140" i="20"/>
  <c r="CL168" i="20"/>
  <c r="CF60" i="20"/>
  <c r="CF95" i="20"/>
  <c r="CL229" i="20"/>
  <c r="CC59" i="20"/>
  <c r="CL126" i="20"/>
  <c r="CI52" i="20"/>
  <c r="CF205" i="20"/>
  <c r="CH59" i="20"/>
  <c r="CI56" i="20"/>
  <c r="CA118" i="20"/>
  <c r="BZ52" i="20"/>
  <c r="BV52" i="20" s="1"/>
  <c r="CL60" i="20"/>
  <c r="CJ87" i="20"/>
  <c r="CE175" i="20"/>
  <c r="BZ171" i="20"/>
  <c r="CI105" i="20"/>
  <c r="CJ176" i="20"/>
  <c r="CJ175" i="20"/>
  <c r="CB130" i="20"/>
  <c r="CE199" i="20"/>
  <c r="BZ61" i="20"/>
  <c r="CA61" i="20"/>
  <c r="CL217" i="20"/>
  <c r="BZ224" i="20"/>
  <c r="CJ214" i="20"/>
  <c r="CI82" i="20"/>
  <c r="CK195" i="20"/>
  <c r="CH124" i="20"/>
  <c r="BX124" i="20" s="1"/>
  <c r="CK58" i="20"/>
  <c r="CH115" i="20"/>
  <c r="CK52" i="20"/>
  <c r="CK160" i="20"/>
  <c r="CK90" i="20"/>
  <c r="CK68" i="20"/>
  <c r="CH114" i="20"/>
  <c r="CI139" i="20"/>
  <c r="CK71" i="20"/>
  <c r="CI212" i="20"/>
  <c r="BQ212" i="20" s="1"/>
  <c r="AN210" i="25" s="1"/>
  <c r="CK56" i="20"/>
  <c r="CH57" i="20"/>
  <c r="CK115" i="20"/>
  <c r="CI179" i="20"/>
  <c r="CI101" i="20"/>
  <c r="CK231" i="20"/>
  <c r="CI176" i="20"/>
  <c r="CK129" i="20"/>
  <c r="CH122" i="20"/>
  <c r="CI128" i="20"/>
  <c r="CI130" i="20"/>
  <c r="CK88" i="20"/>
  <c r="CK101" i="20"/>
  <c r="CI151" i="20"/>
  <c r="CH152" i="20"/>
  <c r="CI134" i="20"/>
  <c r="CK66" i="20"/>
  <c r="CK111" i="20"/>
  <c r="CH175" i="20"/>
  <c r="BX175" i="20" s="1"/>
  <c r="CI167" i="20"/>
  <c r="CE99" i="20"/>
  <c r="CF183" i="20"/>
  <c r="CL145" i="20"/>
  <c r="CL144" i="20" s="1"/>
  <c r="CC192" i="20"/>
  <c r="CI192" i="20"/>
  <c r="CB191" i="20"/>
  <c r="CF110" i="20"/>
  <c r="CL114" i="20"/>
  <c r="CL221" i="20"/>
  <c r="CF171" i="20"/>
  <c r="CL156" i="20"/>
  <c r="CF57" i="20"/>
  <c r="CL175" i="20"/>
  <c r="CL209" i="20"/>
  <c r="CF137" i="20"/>
  <c r="CD188" i="20"/>
  <c r="CC187" i="20"/>
  <c r="CE216" i="20"/>
  <c r="CK223" i="20"/>
  <c r="CI214" i="20"/>
  <c r="CI126" i="20"/>
  <c r="CE196" i="20"/>
  <c r="CD183" i="20"/>
  <c r="CK155" i="20"/>
  <c r="CH106" i="20"/>
  <c r="CK110" i="20"/>
  <c r="CK125" i="20"/>
  <c r="CD136" i="20"/>
  <c r="CK94" i="20"/>
  <c r="CH88" i="20"/>
  <c r="BX88" i="20" s="1"/>
  <c r="CD91" i="20"/>
  <c r="CK117" i="20"/>
  <c r="CH56" i="20"/>
  <c r="BX56" i="20" s="1"/>
  <c r="CK201" i="20"/>
  <c r="CK127" i="20"/>
  <c r="CH94" i="20"/>
  <c r="CI69" i="20"/>
  <c r="CK123" i="20"/>
  <c r="CI155" i="20"/>
  <c r="CK128" i="20"/>
  <c r="CI103" i="20"/>
  <c r="CF64" i="20"/>
  <c r="CK60" i="20"/>
  <c r="CI201" i="20"/>
  <c r="CI113" i="20"/>
  <c r="CH126" i="20"/>
  <c r="BX126" i="20" s="1"/>
  <c r="CI106" i="20"/>
  <c r="CH76" i="20"/>
  <c r="CH201" i="20"/>
  <c r="CI136" i="20"/>
  <c r="CI125" i="20"/>
  <c r="CK114" i="20"/>
  <c r="CK99" i="20"/>
  <c r="CK210" i="20"/>
  <c r="CI210" i="20"/>
  <c r="CI171" i="20"/>
  <c r="CK124" i="20"/>
  <c r="CK156" i="20"/>
  <c r="CH67" i="20"/>
  <c r="CI124" i="20"/>
  <c r="CF103" i="20"/>
  <c r="CF164" i="20"/>
  <c r="CL152" i="20"/>
  <c r="CH191" i="20"/>
  <c r="CE192" i="20"/>
  <c r="CF133" i="20"/>
  <c r="CL134" i="20"/>
  <c r="CL93" i="20"/>
  <c r="CF175" i="20"/>
  <c r="CL133" i="20"/>
  <c r="CF94" i="20"/>
  <c r="CK211" i="20"/>
  <c r="CL111" i="20"/>
  <c r="CF54" i="20"/>
  <c r="CF141" i="20"/>
  <c r="CF221" i="20"/>
  <c r="CL230" i="20"/>
  <c r="CF172" i="20"/>
  <c r="CL183" i="20"/>
  <c r="CL80" i="20"/>
  <c r="CF201" i="20"/>
  <c r="CH221" i="20"/>
  <c r="CL84" i="20"/>
  <c r="CE122" i="20"/>
  <c r="CB106" i="20"/>
  <c r="CJ210" i="20"/>
  <c r="CJ229" i="20"/>
  <c r="CA81" i="20"/>
  <c r="CB73" i="20"/>
  <c r="BZ142" i="20"/>
  <c r="CJ188" i="20"/>
  <c r="CE217" i="20"/>
  <c r="CA223" i="20"/>
  <c r="CD214" i="20"/>
  <c r="CK135" i="20"/>
  <c r="CF195" i="20"/>
  <c r="CD137" i="20"/>
  <c r="CK76" i="20"/>
  <c r="CK72" i="20"/>
  <c r="CD72" i="20"/>
  <c r="CK152" i="20"/>
  <c r="CD68" i="20"/>
  <c r="CK53" i="20"/>
  <c r="CK175" i="20"/>
  <c r="CI111" i="20"/>
  <c r="CD100" i="20"/>
  <c r="CK87" i="20"/>
  <c r="CH164" i="20"/>
  <c r="CI160" i="20"/>
  <c r="CK179" i="20"/>
  <c r="CH180" i="20"/>
  <c r="CK55" i="20"/>
  <c r="CI199" i="20"/>
  <c r="CH103" i="20"/>
  <c r="BX103" i="20" s="1"/>
  <c r="CK59" i="20"/>
  <c r="CK209" i="20"/>
  <c r="CH112" i="20"/>
  <c r="CH53" i="20"/>
  <c r="CI70" i="20"/>
  <c r="CH160" i="20"/>
  <c r="CH136" i="20"/>
  <c r="CI83" i="20"/>
  <c r="CI84" i="20"/>
  <c r="CK159" i="20"/>
  <c r="CH93" i="20"/>
  <c r="CH230" i="20"/>
  <c r="BX230" i="20" s="1"/>
  <c r="CI140" i="20"/>
  <c r="CK205" i="20"/>
  <c r="CI229" i="20"/>
  <c r="CH206" i="20"/>
  <c r="CI112" i="20"/>
  <c r="CL199" i="20"/>
  <c r="CL198" i="20" s="1"/>
  <c r="CL89" i="20"/>
  <c r="CF191" i="20"/>
  <c r="CL191" i="20"/>
  <c r="CF167" i="20"/>
  <c r="CK229" i="20"/>
  <c r="CF53" i="20"/>
  <c r="CL138" i="20"/>
  <c r="CL92" i="20"/>
  <c r="CF93" i="20"/>
  <c r="CF82" i="20"/>
  <c r="CH155" i="20"/>
  <c r="CI80" i="20"/>
  <c r="CF71" i="20"/>
  <c r="CL124" i="20"/>
  <c r="CL107" i="20"/>
  <c r="CF213" i="20"/>
  <c r="CL135" i="20"/>
  <c r="CL90" i="20"/>
  <c r="CA156" i="20"/>
  <c r="BV156" i="20" s="1"/>
  <c r="CE83" i="20"/>
  <c r="CJ84" i="20"/>
  <c r="CJ123" i="20"/>
  <c r="CI92" i="20"/>
  <c r="BZ199" i="20"/>
  <c r="CC127" i="20"/>
  <c r="CK172" i="20"/>
  <c r="CA59" i="20"/>
  <c r="CL139" i="20"/>
  <c r="CL82" i="20"/>
  <c r="CL117" i="20"/>
  <c r="CL99" i="20"/>
  <c r="CF58" i="20"/>
  <c r="CL163" i="20"/>
  <c r="CH145" i="20"/>
  <c r="CH144" i="20" s="1"/>
  <c r="CF80" i="20"/>
  <c r="CK112" i="20"/>
  <c r="CH200" i="20"/>
  <c r="CH77" i="20"/>
  <c r="CK126" i="20"/>
  <c r="CH99" i="20"/>
  <c r="CK80" i="20"/>
  <c r="CI217" i="20"/>
  <c r="BQ217" i="20" s="1"/>
  <c r="AN215" i="25" s="1"/>
  <c r="CE123" i="20"/>
  <c r="BZ183" i="20"/>
  <c r="BV183" i="20" s="1"/>
  <c r="CE145" i="20"/>
  <c r="CE144" i="20" s="1"/>
  <c r="BZ105" i="20"/>
  <c r="CF184" i="20"/>
  <c r="CJ100" i="20"/>
  <c r="CJ137" i="20"/>
  <c r="CA57" i="20"/>
  <c r="BZ172" i="20"/>
  <c r="BW172" i="20" s="1"/>
  <c r="CE84" i="20"/>
  <c r="CF128" i="20"/>
  <c r="CJ81" i="20"/>
  <c r="CL57" i="20"/>
  <c r="CA151" i="20"/>
  <c r="CB104" i="20"/>
  <c r="BW104" i="20" s="1"/>
  <c r="CJ171" i="20"/>
  <c r="CJ141" i="20"/>
  <c r="CE58" i="20"/>
  <c r="BZ184" i="20"/>
  <c r="BV184" i="20" s="1"/>
  <c r="CJ230" i="20"/>
  <c r="CB94" i="20"/>
  <c r="CH80" i="20"/>
  <c r="BX80" i="20" s="1"/>
  <c r="CI90" i="20"/>
  <c r="CL180" i="20"/>
  <c r="CH52" i="20"/>
  <c r="CL102" i="20"/>
  <c r="CF209" i="20"/>
  <c r="CB192" i="20"/>
  <c r="CH104" i="20"/>
  <c r="BX104" i="20" s="1"/>
  <c r="CI93" i="20"/>
  <c r="CK183" i="20"/>
  <c r="CH92" i="20"/>
  <c r="CF111" i="20"/>
  <c r="CK145" i="20"/>
  <c r="CK144" i="20" s="1"/>
  <c r="CK54" i="20"/>
  <c r="CH68" i="20"/>
  <c r="BX68" i="20" s="1"/>
  <c r="BZ145" i="20"/>
  <c r="CJ94" i="20"/>
  <c r="CI135" i="20"/>
  <c r="CB228" i="20"/>
  <c r="CL128" i="20"/>
  <c r="CH70" i="20"/>
  <c r="CH171" i="20"/>
  <c r="CL227" i="20"/>
  <c r="CL160" i="20"/>
  <c r="CF136" i="20"/>
  <c r="CK192" i="20"/>
  <c r="CH123" i="20"/>
  <c r="CI118" i="20"/>
  <c r="CI79" i="20"/>
  <c r="CK138" i="20"/>
  <c r="CI172" i="20"/>
  <c r="CK89" i="20"/>
  <c r="CE195" i="20"/>
  <c r="BZ119" i="20"/>
  <c r="CL87" i="20"/>
  <c r="BZ60" i="20"/>
  <c r="BV60" i="20" s="1"/>
  <c r="CA221" i="20"/>
  <c r="CA130" i="20"/>
  <c r="CF127" i="20"/>
  <c r="CJ136" i="20"/>
  <c r="CJ206" i="20"/>
  <c r="CE100" i="20"/>
  <c r="CA163" i="20"/>
  <c r="BV163" i="20" s="1"/>
  <c r="CC107" i="20"/>
  <c r="CJ102" i="20"/>
  <c r="CJ172" i="20"/>
  <c r="CE126" i="20"/>
  <c r="BZ160" i="20"/>
  <c r="CJ76" i="20"/>
  <c r="CK206" i="20"/>
  <c r="CE111" i="20"/>
  <c r="CE160" i="20"/>
  <c r="CJ201" i="20"/>
  <c r="CI72" i="20"/>
  <c r="CL110" i="20"/>
  <c r="CL231" i="20"/>
  <c r="CL104" i="20"/>
  <c r="CF227" i="20"/>
  <c r="CF155" i="20"/>
  <c r="CL118" i="20"/>
  <c r="CL105" i="20"/>
  <c r="CK122" i="20"/>
  <c r="CI230" i="20"/>
  <c r="CI115" i="20"/>
  <c r="CI164" i="20"/>
  <c r="CK65" i="20"/>
  <c r="CF123" i="20"/>
  <c r="CH134" i="20"/>
  <c r="CH113" i="20"/>
  <c r="CH87" i="20"/>
  <c r="BX87" i="20" s="1"/>
  <c r="CK91" i="20"/>
  <c r="CI195" i="20"/>
  <c r="CE214" i="20"/>
  <c r="CK142" i="20"/>
  <c r="BW159" i="20"/>
  <c r="CE227" i="20"/>
  <c r="CA222" i="20"/>
  <c r="BV222" i="20" s="1"/>
  <c r="CE107" i="20"/>
  <c r="CF152" i="20"/>
  <c r="CJ57" i="20"/>
  <c r="CI91" i="20"/>
  <c r="BZ167" i="20"/>
  <c r="BZ221" i="20"/>
  <c r="CE209" i="20"/>
  <c r="CJ112" i="20"/>
  <c r="CJ52" i="20"/>
  <c r="CH110" i="20"/>
  <c r="CE125" i="20"/>
  <c r="CB160" i="20"/>
  <c r="CA104" i="20"/>
  <c r="CJ211" i="20"/>
  <c r="CK164" i="20"/>
  <c r="CE56" i="20"/>
  <c r="BZ206" i="20"/>
  <c r="BZ130" i="20"/>
  <c r="CJ227" i="20"/>
  <c r="CJ228" i="20"/>
  <c r="CE136" i="20"/>
  <c r="CE200" i="20"/>
  <c r="CJ163" i="20"/>
  <c r="CI53" i="20"/>
  <c r="CF104" i="20"/>
  <c r="CL151" i="20"/>
  <c r="CF106" i="20"/>
  <c r="CF118" i="20"/>
  <c r="CF210" i="20"/>
  <c r="CF81" i="20"/>
  <c r="CA191" i="20"/>
  <c r="CL103" i="20"/>
  <c r="CF126" i="20"/>
  <c r="CK64" i="20"/>
  <c r="CH140" i="20"/>
  <c r="CI89" i="20"/>
  <c r="CI122" i="20"/>
  <c r="CH69" i="20"/>
  <c r="BX69" i="20" s="1"/>
  <c r="CH83" i="20"/>
  <c r="CH133" i="20"/>
  <c r="CH118" i="20"/>
  <c r="CK70" i="20"/>
  <c r="CI116" i="20"/>
  <c r="CC215" i="20"/>
  <c r="BK215" i="20" s="1"/>
  <c r="AH213" i="25" s="1"/>
  <c r="CF73" i="20"/>
  <c r="CI73" i="20"/>
  <c r="ET206" i="20"/>
  <c r="EX107" i="20"/>
  <c r="FF227" i="20"/>
  <c r="EX113" i="20"/>
  <c r="FC206" i="20"/>
  <c r="FC133" i="20"/>
  <c r="FB116" i="20"/>
  <c r="EU211" i="20"/>
  <c r="FD69" i="20"/>
  <c r="FC76" i="20"/>
  <c r="EY94" i="20"/>
  <c r="FF205" i="20"/>
  <c r="EU82" i="20"/>
  <c r="EV54" i="20"/>
  <c r="EW140" i="20"/>
  <c r="EY71" i="20"/>
  <c r="EZ96" i="20"/>
  <c r="FD119" i="20"/>
  <c r="EX73" i="20"/>
  <c r="EW96" i="20"/>
  <c r="EV96" i="20"/>
  <c r="FD142" i="20"/>
  <c r="ET142" i="20"/>
  <c r="ET73" i="20"/>
  <c r="ET218" i="20"/>
  <c r="EZ218" i="20"/>
  <c r="EX218" i="20"/>
  <c r="EW216" i="20"/>
  <c r="EY217" i="20"/>
  <c r="EW224" i="20"/>
  <c r="ET223" i="20"/>
  <c r="EY224" i="20"/>
  <c r="ET53" i="20"/>
  <c r="FF214" i="20"/>
  <c r="FD214" i="20"/>
  <c r="EZ214" i="20"/>
  <c r="ET77" i="20"/>
  <c r="ET123" i="20" s="1"/>
  <c r="FC210" i="20"/>
  <c r="ET89" i="20"/>
  <c r="EV70" i="20"/>
  <c r="EY92" i="20"/>
  <c r="ET78" i="20"/>
  <c r="ET124" i="20" s="1"/>
  <c r="EV140" i="20"/>
  <c r="FB77" i="20"/>
  <c r="FB94" i="20"/>
  <c r="FC145" i="20"/>
  <c r="FE200" i="20"/>
  <c r="FE54" i="20"/>
  <c r="FE206" i="20"/>
  <c r="EW84" i="20"/>
  <c r="EW130" i="20" s="1"/>
  <c r="EZ205" i="20"/>
  <c r="EY209" i="20"/>
  <c r="EW103" i="20"/>
  <c r="FF211" i="20"/>
  <c r="FB227" i="20"/>
  <c r="FB103" i="20"/>
  <c r="FC135" i="20"/>
  <c r="FC201" i="20"/>
  <c r="EY81" i="20"/>
  <c r="EY127" i="20" s="1"/>
  <c r="EX104" i="20"/>
  <c r="EY147" i="20"/>
  <c r="EW205" i="20"/>
  <c r="EY204" i="20"/>
  <c r="FF67" i="20"/>
  <c r="FE111" i="20"/>
  <c r="FD146" i="20"/>
  <c r="FB92" i="20"/>
  <c r="FE137" i="20"/>
  <c r="FF58" i="20"/>
  <c r="EV84" i="20"/>
  <c r="EY213" i="20"/>
  <c r="EY114" i="20"/>
  <c r="EW133" i="20"/>
  <c r="EY200" i="20"/>
  <c r="FE107" i="20"/>
  <c r="FE93" i="20"/>
  <c r="FC55" i="20"/>
  <c r="FE76" i="20"/>
  <c r="EZ81" i="20"/>
  <c r="EZ127" i="20" s="1"/>
  <c r="EV106" i="20"/>
  <c r="EZ70" i="20"/>
  <c r="EX68" i="20"/>
  <c r="EZ90" i="20"/>
  <c r="FD54" i="20"/>
  <c r="FE52" i="20"/>
  <c r="FB100" i="20"/>
  <c r="FD71" i="20"/>
  <c r="FD91" i="20"/>
  <c r="FC91" i="20"/>
  <c r="EX83" i="20"/>
  <c r="EX129" i="20" s="1"/>
  <c r="EZ211" i="20"/>
  <c r="EY139" i="20"/>
  <c r="EW116" i="20"/>
  <c r="FB146" i="20"/>
  <c r="FE141" i="20"/>
  <c r="FD138" i="20"/>
  <c r="FE73" i="20"/>
  <c r="EU119" i="20"/>
  <c r="EX142" i="20"/>
  <c r="FB73" i="20"/>
  <c r="EZ73" i="20"/>
  <c r="EU142" i="20"/>
  <c r="FB142" i="20"/>
  <c r="EX217" i="20"/>
  <c r="FE217" i="20"/>
  <c r="FC217" i="20"/>
  <c r="FE218" i="20"/>
  <c r="FD216" i="20"/>
  <c r="FD224" i="20"/>
  <c r="FB224" i="20"/>
  <c r="EX224" i="20"/>
  <c r="FB60" i="20"/>
  <c r="ET113" i="20"/>
  <c r="EW214" i="20"/>
  <c r="EU214" i="20"/>
  <c r="EX215" i="20"/>
  <c r="EV147" i="20"/>
  <c r="EU199" i="20"/>
  <c r="EU201" i="20"/>
  <c r="EW88" i="20"/>
  <c r="EU102" i="20"/>
  <c r="FF213" i="20"/>
  <c r="FE146" i="20"/>
  <c r="FB113" i="20"/>
  <c r="FB112" i="20"/>
  <c r="FD230" i="20"/>
  <c r="FC72" i="20"/>
  <c r="EZ135" i="20"/>
  <c r="EX201" i="20"/>
  <c r="EW80" i="20"/>
  <c r="EW126" i="20" s="1"/>
  <c r="FF138" i="20"/>
  <c r="FB84" i="20"/>
  <c r="FD148" i="20"/>
  <c r="FB102" i="20"/>
  <c r="FC212" i="20"/>
  <c r="FF60" i="20"/>
  <c r="EY212" i="20"/>
  <c r="EY116" i="20"/>
  <c r="EW135" i="20"/>
  <c r="FD66" i="20"/>
  <c r="FB90" i="20"/>
  <c r="FF91" i="20"/>
  <c r="FD115" i="20"/>
  <c r="FF221" i="20"/>
  <c r="FC137" i="20"/>
  <c r="FE133" i="20"/>
  <c r="EW82" i="20"/>
  <c r="EZ231" i="20"/>
  <c r="EX229" i="20"/>
  <c r="EW99" i="20"/>
  <c r="FD64" i="20"/>
  <c r="FF65" i="20"/>
  <c r="FF89" i="20"/>
  <c r="FD55" i="20"/>
  <c r="FE114" i="20"/>
  <c r="FF56" i="20"/>
  <c r="EV105" i="20"/>
  <c r="EX52" i="20"/>
  <c r="EW231" i="20"/>
  <c r="EZ65" i="20"/>
  <c r="FB228" i="20"/>
  <c r="FB145" i="20"/>
  <c r="FE81" i="20"/>
  <c r="FE127" i="20" s="1"/>
  <c r="FD53" i="20"/>
  <c r="FC71" i="20"/>
  <c r="FF72" i="20"/>
  <c r="EX213" i="20"/>
  <c r="EY229" i="20"/>
  <c r="EW93" i="20"/>
  <c r="FD227" i="20"/>
  <c r="FF222" i="20"/>
  <c r="FE65" i="20"/>
  <c r="FD107" i="20"/>
  <c r="EV73" i="20"/>
  <c r="EY96" i="20"/>
  <c r="FC119" i="20"/>
  <c r="EW61" i="20"/>
  <c r="FE61" i="20"/>
  <c r="EY119" i="20"/>
  <c r="FF119" i="20"/>
  <c r="FC216" i="20"/>
  <c r="EV217" i="20"/>
  <c r="ET217" i="20"/>
  <c r="EV218" i="20"/>
  <c r="EQ218" i="20" s="1"/>
  <c r="EU216" i="20"/>
  <c r="FF224" i="20"/>
  <c r="FC223" i="20"/>
  <c r="EZ224" i="20"/>
  <c r="EY214" i="20"/>
  <c r="FD215" i="20"/>
  <c r="FB215" i="20"/>
  <c r="EY201" i="20"/>
  <c r="EV115" i="20"/>
  <c r="EY110" i="20"/>
  <c r="EV58" i="20"/>
  <c r="EY138" i="20"/>
  <c r="EY76" i="20"/>
  <c r="EU90" i="20"/>
  <c r="FF140" i="20"/>
  <c r="FE115" i="20"/>
  <c r="FF228" i="20"/>
  <c r="FE228" i="20"/>
  <c r="FD201" i="20"/>
  <c r="FC79" i="20"/>
  <c r="FC125" i="20" s="1"/>
  <c r="EU81" i="20"/>
  <c r="EZ101" i="20"/>
  <c r="EX133" i="20"/>
  <c r="FF107" i="20"/>
  <c r="FD222" i="20"/>
  <c r="FD117" i="20"/>
  <c r="FC148" i="20"/>
  <c r="FB111" i="20"/>
  <c r="FE145" i="20"/>
  <c r="EW83" i="20"/>
  <c r="EW129" i="20" s="1"/>
  <c r="EX211" i="20"/>
  <c r="EX231" i="20"/>
  <c r="EW101" i="20"/>
  <c r="FC204" i="20"/>
  <c r="FD76" i="20"/>
  <c r="FE71" i="20"/>
  <c r="FE95" i="20"/>
  <c r="FC146" i="20"/>
  <c r="FB101" i="20"/>
  <c r="FC116" i="20"/>
  <c r="EZ199" i="20"/>
  <c r="EX147" i="20"/>
  <c r="EW76" i="20"/>
  <c r="FC147" i="20"/>
  <c r="FB52" i="20"/>
  <c r="FE69" i="20"/>
  <c r="FE112" i="20"/>
  <c r="FC112" i="20"/>
  <c r="FE110" i="20"/>
  <c r="EX84" i="20"/>
  <c r="EX130" i="20" s="1"/>
  <c r="EW210" i="20"/>
  <c r="EY141" i="20"/>
  <c r="EW199" i="20"/>
  <c r="EU53" i="20"/>
  <c r="FD229" i="20"/>
  <c r="FB56" i="20"/>
  <c r="FE100" i="20"/>
  <c r="FC53" i="20"/>
  <c r="FF54" i="20"/>
  <c r="ET83" i="20"/>
  <c r="ET129" i="20" s="1"/>
  <c r="EZ227" i="20"/>
  <c r="EX141" i="20"/>
  <c r="EZ228" i="20"/>
  <c r="FF148" i="20"/>
  <c r="FB135" i="20"/>
  <c r="FC230" i="20"/>
  <c r="FE89" i="20"/>
  <c r="FC107" i="20"/>
  <c r="FB71" i="20"/>
  <c r="EZ61" i="20"/>
  <c r="FD73" i="20"/>
  <c r="ET119" i="20"/>
  <c r="ET61" i="20"/>
  <c r="EV61" i="20"/>
  <c r="FD96" i="20"/>
  <c r="EW119" i="20"/>
  <c r="ET216" i="20"/>
  <c r="EZ216" i="20"/>
  <c r="EX216" i="20"/>
  <c r="EZ217" i="20"/>
  <c r="FE224" i="20"/>
  <c r="FC224" i="20"/>
  <c r="FE223" i="20"/>
  <c r="FF215" i="20"/>
  <c r="EU215" i="20"/>
  <c r="FC214" i="20"/>
  <c r="FC65" i="20"/>
  <c r="EV94" i="20"/>
  <c r="EY87" i="20"/>
  <c r="EW71" i="20"/>
  <c r="EV81" i="20"/>
  <c r="EW56" i="20"/>
  <c r="FF111" i="20"/>
  <c r="FF95" i="20"/>
  <c r="FF199" i="20"/>
  <c r="FE199" i="20"/>
  <c r="FF133" i="20"/>
  <c r="EZ105" i="20"/>
  <c r="EZ78" i="20"/>
  <c r="EZ124" i="20" s="1"/>
  <c r="EX99" i="20"/>
  <c r="EZ204" i="20"/>
  <c r="FC90" i="20"/>
  <c r="FE113" i="20"/>
  <c r="FD99" i="20"/>
  <c r="FC117" i="20"/>
  <c r="FD228" i="20"/>
  <c r="FC141" i="20"/>
  <c r="EZ201" i="20"/>
  <c r="EX199" i="20"/>
  <c r="EW78" i="20"/>
  <c r="EW124" i="20" s="1"/>
  <c r="FB57" i="20"/>
  <c r="FE53" i="20"/>
  <c r="EX96" i="20"/>
  <c r="EU73" i="20"/>
  <c r="FF142" i="20"/>
  <c r="FE142" i="20"/>
  <c r="EU96" i="20"/>
  <c r="EY73" i="20"/>
  <c r="FB96" i="20"/>
  <c r="FB218" i="20"/>
  <c r="ER218" i="20" s="1"/>
  <c r="EY218" i="20"/>
  <c r="FF218" i="20"/>
  <c r="FE216" i="20"/>
  <c r="EV224" i="20"/>
  <c r="ET224" i="20"/>
  <c r="EV223" i="20"/>
  <c r="EQ223" i="20" s="1"/>
  <c r="EW215" i="20"/>
  <c r="FE214" i="20"/>
  <c r="ET214" i="20"/>
  <c r="ET211" i="20"/>
  <c r="EP211" i="20" s="1"/>
  <c r="EY90" i="20"/>
  <c r="FE222" i="20"/>
  <c r="EX204" i="20"/>
  <c r="EW113" i="20"/>
  <c r="EW222" i="20"/>
  <c r="FC92" i="20"/>
  <c r="FC77" i="20"/>
  <c r="FC123" i="20" s="1"/>
  <c r="FD101" i="20"/>
  <c r="FC101" i="20"/>
  <c r="FF102" i="20"/>
  <c r="EZ84" i="20"/>
  <c r="EZ130" i="20" s="1"/>
  <c r="EY106" i="20"/>
  <c r="EX76" i="20"/>
  <c r="EZ134" i="20"/>
  <c r="FF69" i="20"/>
  <c r="FF93" i="20"/>
  <c r="FD80" i="20"/>
  <c r="FD126" i="20" s="1"/>
  <c r="FC99" i="20"/>
  <c r="FD199" i="20"/>
  <c r="FC54" i="20"/>
  <c r="ET84" i="20"/>
  <c r="ET130" i="20" s="1"/>
  <c r="EZ133" i="20"/>
  <c r="EX118" i="20"/>
  <c r="FF209" i="20"/>
  <c r="FB222" i="20"/>
  <c r="EZ142" i="20"/>
  <c r="EX61" i="20"/>
  <c r="EY61" i="20"/>
  <c r="EW142" i="20"/>
  <c r="EV142" i="20"/>
  <c r="FD61" i="20"/>
  <c r="EU61" i="20"/>
  <c r="FF73" i="20"/>
  <c r="FF217" i="20"/>
  <c r="FD217" i="20"/>
  <c r="EW218" i="20"/>
  <c r="EV216" i="20"/>
  <c r="EZ223" i="20"/>
  <c r="EX223" i="20"/>
  <c r="FD223" i="20"/>
  <c r="EX214" i="20"/>
  <c r="EV214" i="20"/>
  <c r="EZ215" i="20"/>
  <c r="EU88" i="20"/>
  <c r="EX92" i="20"/>
  <c r="EV227" i="20"/>
  <c r="EU67" i="20"/>
  <c r="EV112" i="20"/>
  <c r="EZ71" i="20"/>
  <c r="FE84" i="20"/>
  <c r="FE130" i="20" s="1"/>
  <c r="FF71" i="20"/>
  <c r="FC82" i="20"/>
  <c r="FC128" i="20" s="1"/>
  <c r="FC80" i="20"/>
  <c r="FC126" i="20" s="1"/>
  <c r="FF81" i="20"/>
  <c r="FF127" i="20" s="1"/>
  <c r="EX105" i="20"/>
  <c r="EZ58" i="20"/>
  <c r="EX56" i="20"/>
  <c r="FD72" i="20"/>
  <c r="FB118" i="20"/>
  <c r="FE55" i="20"/>
  <c r="FD78" i="20"/>
  <c r="FD124" i="20" s="1"/>
  <c r="FF118" i="20"/>
  <c r="FC60" i="20"/>
  <c r="EZ99" i="20"/>
  <c r="EX95" i="20"/>
  <c r="EZ200" i="20"/>
  <c r="FF136" i="20"/>
  <c r="FB76" i="20"/>
  <c r="FC104" i="20"/>
  <c r="FD57" i="20"/>
  <c r="FF76" i="20"/>
  <c r="FC95" i="20"/>
  <c r="EY104" i="20"/>
  <c r="EZ72" i="20"/>
  <c r="EX70" i="20"/>
  <c r="EZ92" i="20"/>
  <c r="FF134" i="20"/>
  <c r="FB66" i="20"/>
  <c r="FB83" i="20"/>
  <c r="FC213" i="20"/>
  <c r="FF145" i="20"/>
  <c r="EZ147" i="20"/>
  <c r="EX145" i="20"/>
  <c r="EZ230" i="20"/>
  <c r="EX146" i="20"/>
  <c r="FE82" i="20"/>
  <c r="FE128" i="20" s="1"/>
  <c r="FE105" i="20"/>
  <c r="FD140" i="20"/>
  <c r="FC211" i="20"/>
  <c r="FF212" i="20"/>
  <c r="FC66" i="20"/>
  <c r="EV104" i="20"/>
  <c r="EZ91" i="20"/>
  <c r="EX66" i="20"/>
  <c r="EY230" i="20"/>
  <c r="FF80" i="20"/>
  <c r="FF126" i="20" s="1"/>
  <c r="FE134" i="20"/>
  <c r="FF88" i="20"/>
  <c r="EV119" i="20"/>
  <c r="EY142" i="20"/>
  <c r="FF61" i="20"/>
  <c r="FF96" i="20"/>
  <c r="FE96" i="20"/>
  <c r="FC96" i="20"/>
  <c r="FC142" i="20"/>
  <c r="FB61" i="20"/>
  <c r="FC218" i="20"/>
  <c r="FB216" i="20"/>
  <c r="ER216" i="20" s="1"/>
  <c r="EY216" i="20"/>
  <c r="FF216" i="20"/>
  <c r="EU218" i="20"/>
  <c r="EP218" i="20" s="1"/>
  <c r="EC218" i="20" s="1"/>
  <c r="EY223" i="20"/>
  <c r="EW223" i="20"/>
  <c r="FB223" i="20"/>
  <c r="ER223" i="20" s="1"/>
  <c r="EV215" i="20"/>
  <c r="ET215" i="20"/>
  <c r="EY215" i="20"/>
  <c r="EW228" i="20"/>
  <c r="EX67" i="20"/>
  <c r="ET116" i="20"/>
  <c r="EV91" i="20"/>
  <c r="ET72" i="20"/>
  <c r="ET204" i="20"/>
  <c r="FB68" i="20"/>
  <c r="FC102" i="20"/>
  <c r="FE139" i="20"/>
  <c r="FE210" i="20"/>
  <c r="FD221" i="20"/>
  <c r="FD220" i="20" s="1"/>
  <c r="FF64" i="20"/>
  <c r="EZ213" i="20"/>
  <c r="EY118" i="20"/>
  <c r="EW137" i="20"/>
  <c r="FB67" i="20"/>
  <c r="FC118" i="20"/>
  <c r="FE147" i="20"/>
  <c r="FC59" i="20"/>
  <c r="FF79" i="20"/>
  <c r="FF125" i="20" s="1"/>
  <c r="EY105" i="20"/>
  <c r="EZ56" i="20"/>
  <c r="EX54" i="20"/>
  <c r="EZ69" i="20"/>
  <c r="FC88" i="20"/>
  <c r="FE140" i="20"/>
  <c r="FC222" i="20"/>
  <c r="FC110" i="20"/>
  <c r="FC57" i="20"/>
  <c r="EX212" i="20"/>
  <c r="EY145" i="20"/>
  <c r="EW201" i="20"/>
  <c r="EU57" i="20"/>
  <c r="FC84" i="20"/>
  <c r="FC130" i="20" s="1"/>
  <c r="FE138" i="20"/>
  <c r="FD113" i="20"/>
  <c r="FD93" i="20"/>
  <c r="FC93" i="20"/>
  <c r="EW104" i="20"/>
  <c r="EZ93" i="20"/>
  <c r="EX91" i="20"/>
  <c r="EZ115" i="20"/>
  <c r="FB231" i="20"/>
  <c r="FE204" i="20"/>
  <c r="FE67" i="20"/>
  <c r="FE91" i="20"/>
  <c r="FC111" i="20"/>
  <c r="FF112" i="20"/>
  <c r="EV83" i="20"/>
  <c r="EU106" i="20"/>
  <c r="EU59" i="20"/>
  <c r="EW147" i="20"/>
  <c r="FB209" i="20"/>
  <c r="FF59" i="20"/>
  <c r="FD82" i="20"/>
  <c r="FD128" i="20" s="1"/>
  <c r="FB119" i="20"/>
  <c r="EU223" i="20"/>
  <c r="EP223" i="20" s="1"/>
  <c r="FB214" i="20"/>
  <c r="ER214" i="20" s="1"/>
  <c r="ET212" i="20"/>
  <c r="FE116" i="20"/>
  <c r="EZ94" i="20"/>
  <c r="FC115" i="20"/>
  <c r="EZ82" i="20"/>
  <c r="EZ128" i="20" s="1"/>
  <c r="EX93" i="20"/>
  <c r="FE60" i="20"/>
  <c r="FC113" i="20"/>
  <c r="EW81" i="20"/>
  <c r="EW127" i="20" s="1"/>
  <c r="EW118" i="20"/>
  <c r="FB72" i="20"/>
  <c r="EW229" i="20"/>
  <c r="FE205" i="20"/>
  <c r="FB201" i="20"/>
  <c r="FF90" i="20"/>
  <c r="FF52" i="20"/>
  <c r="EX82" i="20"/>
  <c r="EX128" i="20" s="1"/>
  <c r="EZ141" i="20"/>
  <c r="EX139" i="20"/>
  <c r="EZ140" i="20"/>
  <c r="FB136" i="20"/>
  <c r="FB114" i="20"/>
  <c r="FB55" i="20"/>
  <c r="FB141" i="20"/>
  <c r="FB80" i="20"/>
  <c r="EZ212" i="20"/>
  <c r="EY135" i="20"/>
  <c r="EW112" i="20"/>
  <c r="EV230" i="20"/>
  <c r="EV221" i="20"/>
  <c r="ET209" i="20"/>
  <c r="EU222" i="20"/>
  <c r="EY102" i="20"/>
  <c r="EX206" i="20"/>
  <c r="ET103" i="20"/>
  <c r="ET227" i="20"/>
  <c r="EU64" i="20"/>
  <c r="ET60" i="20"/>
  <c r="EY88" i="20"/>
  <c r="EZ100" i="20"/>
  <c r="FF135" i="20"/>
  <c r="EV211" i="20"/>
  <c r="EQ211" i="20" s="1"/>
  <c r="ET69" i="20"/>
  <c r="EV88" i="20"/>
  <c r="ET59" i="20"/>
  <c r="EU52" i="20"/>
  <c r="EY146" i="20"/>
  <c r="FD103" i="20"/>
  <c r="EU138" i="20"/>
  <c r="ET147" i="20"/>
  <c r="ER147" i="20" s="1"/>
  <c r="ET76" i="20"/>
  <c r="EW58" i="20"/>
  <c r="EW53" i="20"/>
  <c r="EX140" i="20"/>
  <c r="FB53" i="20"/>
  <c r="EU116" i="20"/>
  <c r="EU89" i="20"/>
  <c r="EU146" i="20"/>
  <c r="EW64" i="20"/>
  <c r="EY65" i="20"/>
  <c r="FE64" i="20"/>
  <c r="ET94" i="20"/>
  <c r="EV95" i="20"/>
  <c r="EV92" i="20"/>
  <c r="ET111" i="20"/>
  <c r="EW69" i="20"/>
  <c r="EZ53" i="20"/>
  <c r="FE148" i="20"/>
  <c r="EV65" i="20"/>
  <c r="EU103" i="20"/>
  <c r="ET52" i="20"/>
  <c r="EW67" i="20"/>
  <c r="EZ119" i="20"/>
  <c r="EU92" i="20"/>
  <c r="FD59" i="20"/>
  <c r="FF105" i="20"/>
  <c r="FD95" i="20"/>
  <c r="EW107" i="20"/>
  <c r="EZ52" i="20"/>
  <c r="FB205" i="20"/>
  <c r="FB91" i="20"/>
  <c r="EV107" i="20"/>
  <c r="EW95" i="20"/>
  <c r="FE209" i="20"/>
  <c r="FC140" i="20"/>
  <c r="EU107" i="20"/>
  <c r="EZ113" i="20"/>
  <c r="FE103" i="20"/>
  <c r="FB64" i="20"/>
  <c r="FB212" i="20"/>
  <c r="ER212" i="20" s="1"/>
  <c r="FC83" i="20"/>
  <c r="FC129" i="20" s="1"/>
  <c r="EU84" i="20"/>
  <c r="EZ112" i="20"/>
  <c r="EX110" i="20"/>
  <c r="EZ111" i="20"/>
  <c r="FF146" i="20"/>
  <c r="FC229" i="20"/>
  <c r="FD205" i="20"/>
  <c r="FB54" i="20"/>
  <c r="FE79" i="20"/>
  <c r="FE125" i="20" s="1"/>
  <c r="FF68" i="20"/>
  <c r="EX81" i="20"/>
  <c r="EX127" i="20" s="1"/>
  <c r="EZ222" i="20"/>
  <c r="EX209" i="20"/>
  <c r="EW89" i="20"/>
  <c r="EV229" i="20"/>
  <c r="EV145" i="20"/>
  <c r="EV113" i="20"/>
  <c r="EU72" i="20"/>
  <c r="EY93" i="20"/>
  <c r="EW90" i="20"/>
  <c r="EY140" i="20"/>
  <c r="FD65" i="20"/>
  <c r="EU229" i="20"/>
  <c r="EU145" i="20"/>
  <c r="EV68" i="20"/>
  <c r="EY111" i="20"/>
  <c r="EW92" i="20"/>
  <c r="EX78" i="20"/>
  <c r="EX124" i="20" s="1"/>
  <c r="FC103" i="20"/>
  <c r="EV199" i="20"/>
  <c r="EU205" i="20"/>
  <c r="EU58" i="20"/>
  <c r="ET55" i="20"/>
  <c r="EZ136" i="20"/>
  <c r="FF78" i="20"/>
  <c r="FF124" i="20" s="1"/>
  <c r="ET229" i="20"/>
  <c r="EV102" i="20"/>
  <c r="EY58" i="20"/>
  <c r="EY117" i="20"/>
  <c r="EX228" i="20"/>
  <c r="FE201" i="20"/>
  <c r="EV69" i="20"/>
  <c r="ET65" i="20"/>
  <c r="ET68" i="20"/>
  <c r="EY68" i="20"/>
  <c r="EY60" i="20"/>
  <c r="EX111" i="20"/>
  <c r="FB140" i="20"/>
  <c r="EU200" i="20"/>
  <c r="EU71" i="20"/>
  <c r="EV210" i="20"/>
  <c r="EU115" i="20"/>
  <c r="EY59" i="20"/>
  <c r="EW102" i="20"/>
  <c r="EW110" i="20"/>
  <c r="FF113" i="20"/>
  <c r="ET200" i="20"/>
  <c r="ET213" i="20"/>
  <c r="ET137" i="20"/>
  <c r="EY69" i="20"/>
  <c r="EX119" i="20"/>
  <c r="ET90" i="20"/>
  <c r="EY82" i="20"/>
  <c r="EY128" i="20" s="1"/>
  <c r="FE213" i="20"/>
  <c r="EW106" i="20"/>
  <c r="EZ148" i="20"/>
  <c r="FE211" i="20"/>
  <c r="FE221" i="20"/>
  <c r="FE220" i="20" s="1"/>
  <c r="EW211" i="20"/>
  <c r="EZ146" i="20"/>
  <c r="FE136" i="20"/>
  <c r="FE102" i="20"/>
  <c r="EU105" i="20"/>
  <c r="EZ88" i="20"/>
  <c r="FE70" i="20"/>
  <c r="FC209" i="20"/>
  <c r="FC208" i="20" s="1"/>
  <c r="FC56" i="20"/>
  <c r="ET107" i="20"/>
  <c r="EZ89" i="20"/>
  <c r="EX87" i="20"/>
  <c r="EZ79" i="20"/>
  <c r="EZ125" i="20" s="1"/>
  <c r="FF115" i="20"/>
  <c r="FC200" i="20"/>
  <c r="FD136" i="20"/>
  <c r="FC205" i="20"/>
  <c r="FB70" i="20"/>
  <c r="EZ139" i="20"/>
  <c r="EX137" i="20"/>
  <c r="EZ221" i="20"/>
  <c r="ET210" i="20"/>
  <c r="ET114" i="20"/>
  <c r="ET87" i="20"/>
  <c r="EV205" i="20"/>
  <c r="EW66" i="20"/>
  <c r="EW115" i="20"/>
  <c r="EX58" i="20"/>
  <c r="FC199" i="20"/>
  <c r="EV136" i="20"/>
  <c r="EU95" i="20"/>
  <c r="EU210" i="20"/>
  <c r="EY103" i="20"/>
  <c r="EW117" i="20"/>
  <c r="FF83" i="20"/>
  <c r="FF129" i="20" s="1"/>
  <c r="EU140" i="20"/>
  <c r="ET102" i="20"/>
  <c r="EV222" i="20"/>
  <c r="EW55" i="20"/>
  <c r="ET56" i="20"/>
  <c r="EX101" i="20"/>
  <c r="ET146" i="20"/>
  <c r="ER146" i="20" s="1"/>
  <c r="EU77" i="20"/>
  <c r="ET100" i="20"/>
  <c r="ET135" i="20"/>
  <c r="EY54" i="20"/>
  <c r="EW134" i="20"/>
  <c r="EY206" i="20"/>
  <c r="FD134" i="20"/>
  <c r="EU206" i="20"/>
  <c r="ET145" i="20"/>
  <c r="EU68" i="20"/>
  <c r="EY64" i="20"/>
  <c r="EW57" i="20"/>
  <c r="EY221" i="20"/>
  <c r="FE230" i="20"/>
  <c r="EU209" i="20"/>
  <c r="EU117" i="20"/>
  <c r="EV52" i="20"/>
  <c r="EW138" i="20"/>
  <c r="EY222" i="20"/>
  <c r="ET118" i="20"/>
  <c r="EV117" i="20"/>
  <c r="EV99" i="20"/>
  <c r="EW52" i="20"/>
  <c r="EZ55" i="20"/>
  <c r="FB206" i="20"/>
  <c r="ER206" i="20" s="1"/>
  <c r="FD70" i="20"/>
  <c r="FB95" i="20"/>
  <c r="FD114" i="20"/>
  <c r="FD58" i="20"/>
  <c r="FE231" i="20"/>
  <c r="FC61" i="20"/>
  <c r="EW217" i="20"/>
  <c r="FD83" i="20"/>
  <c r="FD129" i="20" s="1"/>
  <c r="EX210" i="20"/>
  <c r="FF100" i="20"/>
  <c r="FE104" i="20"/>
  <c r="FF147" i="20"/>
  <c r="EW105" i="20"/>
  <c r="EZ117" i="20"/>
  <c r="FB199" i="20"/>
  <c r="FF114" i="20"/>
  <c r="EZ229" i="20"/>
  <c r="EY148" i="20"/>
  <c r="FF87" i="20"/>
  <c r="FB81" i="20"/>
  <c r="EZ145" i="20"/>
  <c r="FD145" i="20"/>
  <c r="FB204" i="20"/>
  <c r="FC138" i="20"/>
  <c r="FF210" i="20"/>
  <c r="FC81" i="20"/>
  <c r="FC127" i="20" s="1"/>
  <c r="EU104" i="20"/>
  <c r="EZ66" i="20"/>
  <c r="EX64" i="20"/>
  <c r="FD77" i="20"/>
  <c r="FD123" i="20" s="1"/>
  <c r="FE101" i="20"/>
  <c r="FD105" i="20"/>
  <c r="FC136" i="20"/>
  <c r="FB200" i="20"/>
  <c r="ER200" i="20" s="1"/>
  <c r="FE72" i="20"/>
  <c r="EU83" i="20"/>
  <c r="EZ110" i="20"/>
  <c r="EX103" i="20"/>
  <c r="EZ138" i="20"/>
  <c r="EV110" i="20"/>
  <c r="EV89" i="20"/>
  <c r="ET66" i="20"/>
  <c r="EV78" i="20"/>
  <c r="EY55" i="20"/>
  <c r="EW146" i="20"/>
  <c r="EZ60" i="20"/>
  <c r="FC114" i="20"/>
  <c r="EV77" i="20"/>
  <c r="ET71" i="20"/>
  <c r="EV66" i="20"/>
  <c r="EW70" i="20"/>
  <c r="EW148" i="20"/>
  <c r="EZ80" i="20"/>
  <c r="EZ126" i="20" s="1"/>
  <c r="ET110" i="20"/>
  <c r="ET141" i="20"/>
  <c r="EV141" i="20"/>
  <c r="EY53" i="20"/>
  <c r="EW94" i="20"/>
  <c r="EZ103" i="20"/>
  <c r="FF55" i="20"/>
  <c r="ET99" i="20"/>
  <c r="ET133" i="20"/>
  <c r="EV76" i="20"/>
  <c r="EW59" i="20"/>
  <c r="EW204" i="20"/>
  <c r="EZ206" i="20"/>
  <c r="FE99" i="20"/>
  <c r="EU136" i="20"/>
  <c r="EV80" i="20"/>
  <c r="EW65" i="20"/>
  <c r="EW100" i="20"/>
  <c r="EW87" i="20"/>
  <c r="FF201" i="20"/>
  <c r="EU114" i="20"/>
  <c r="ET136" i="20"/>
  <c r="EV103" i="20"/>
  <c r="EQ103" i="20" s="1"/>
  <c r="EU141" i="20"/>
  <c r="EY67" i="20"/>
  <c r="EW221" i="20"/>
  <c r="EW220" i="20" s="1"/>
  <c r="EZ106" i="20"/>
  <c r="ET228" i="20"/>
  <c r="EW73" i="20"/>
  <c r="EU217" i="20"/>
  <c r="EY199" i="20"/>
  <c r="EY198" i="20" s="1"/>
  <c r="EZ83" i="20"/>
  <c r="EZ129" i="20" s="1"/>
  <c r="FB93" i="20"/>
  <c r="FF116" i="20"/>
  <c r="EZ118" i="20"/>
  <c r="EZ67" i="20"/>
  <c r="FF92" i="20"/>
  <c r="FC100" i="20"/>
  <c r="EZ116" i="20"/>
  <c r="EX230" i="20"/>
  <c r="FB221" i="20"/>
  <c r="FF141" i="20"/>
  <c r="EZ114" i="20"/>
  <c r="FF117" i="20"/>
  <c r="FB65" i="20"/>
  <c r="FD89" i="20"/>
  <c r="FF139" i="20"/>
  <c r="ET104" i="20"/>
  <c r="EU55" i="20"/>
  <c r="EW227" i="20"/>
  <c r="EZ59" i="20"/>
  <c r="FE80" i="20"/>
  <c r="FE126" i="20" s="1"/>
  <c r="FE87" i="20"/>
  <c r="FC105" i="20"/>
  <c r="FF206" i="20"/>
  <c r="FC52" i="20"/>
  <c r="EZ107" i="20"/>
  <c r="EZ87" i="20"/>
  <c r="EX80" i="20"/>
  <c r="EX126" i="20" s="1"/>
  <c r="EZ102" i="20"/>
  <c r="ET88" i="20"/>
  <c r="EU65" i="20"/>
  <c r="EU70" i="20"/>
  <c r="EU133" i="20"/>
  <c r="EY89" i="20"/>
  <c r="EW230" i="20"/>
  <c r="EY83" i="20"/>
  <c r="EY129" i="20" s="1"/>
  <c r="FB87" i="20"/>
  <c r="EV201" i="20"/>
  <c r="EU111" i="20"/>
  <c r="ET54" i="20"/>
  <c r="EX53" i="20"/>
  <c r="FE59" i="20"/>
  <c r="EU79" i="20"/>
  <c r="EU139" i="20"/>
  <c r="EV135" i="20"/>
  <c r="EY112" i="20"/>
  <c r="EW200" i="20"/>
  <c r="EY210" i="20"/>
  <c r="FE92" i="20"/>
  <c r="EV206" i="20"/>
  <c r="EQ206" i="20" s="1"/>
  <c r="EU213" i="20"/>
  <c r="EP213" i="20" s="1"/>
  <c r="EC213" i="20" s="1"/>
  <c r="BN211" i="25" s="1"/>
  <c r="EU78" i="20"/>
  <c r="EY99" i="20"/>
  <c r="EX57" i="20"/>
  <c r="EX135" i="20"/>
  <c r="EU228" i="20"/>
  <c r="EP228" i="20" s="1"/>
  <c r="EV100" i="20"/>
  <c r="EQ100" i="20" s="1"/>
  <c r="ET95" i="20"/>
  <c r="EU60" i="20"/>
  <c r="EW136" i="20"/>
  <c r="FE117" i="20"/>
  <c r="EV67" i="20"/>
  <c r="EU87" i="20"/>
  <c r="EU137" i="20"/>
  <c r="EU101" i="20"/>
  <c r="EY115" i="20"/>
  <c r="EX88" i="20"/>
  <c r="FC228" i="20"/>
  <c r="ET222" i="20"/>
  <c r="EU69" i="20"/>
  <c r="FE119" i="20"/>
  <c r="FB217" i="20"/>
  <c r="ER217" i="20" s="1"/>
  <c r="EU110" i="20"/>
  <c r="FF53" i="20"/>
  <c r="EW209" i="20"/>
  <c r="EZ104" i="20"/>
  <c r="FE78" i="20"/>
  <c r="FE124" i="20" s="1"/>
  <c r="FC78" i="20"/>
  <c r="FC124" i="20" s="1"/>
  <c r="EZ95" i="20"/>
  <c r="FD231" i="20"/>
  <c r="FD213" i="20"/>
  <c r="FF82" i="20"/>
  <c r="FF128" i="20" s="1"/>
  <c r="EY231" i="20"/>
  <c r="EX115" i="20"/>
  <c r="FD211" i="20"/>
  <c r="FF94" i="20"/>
  <c r="EZ68" i="20"/>
  <c r="FF99" i="20"/>
  <c r="FD209" i="20"/>
  <c r="FC69" i="20"/>
  <c r="FF110" i="20"/>
  <c r="FF109" i="20" s="1"/>
  <c r="FD88" i="20"/>
  <c r="ET105" i="20"/>
  <c r="EY137" i="20"/>
  <c r="EW145" i="20"/>
  <c r="EW144" i="20" s="1"/>
  <c r="EY228" i="20"/>
  <c r="FF57" i="20"/>
  <c r="FD67" i="20"/>
  <c r="FD87" i="20"/>
  <c r="FF137" i="20"/>
  <c r="FC64" i="20"/>
  <c r="ET106" i="20"/>
  <c r="EZ77" i="20"/>
  <c r="EZ123" i="20" s="1"/>
  <c r="EV138" i="20"/>
  <c r="EU147" i="20"/>
  <c r="ET70" i="20"/>
  <c r="EY100" i="20"/>
  <c r="EW60" i="20"/>
  <c r="EX69" i="20"/>
  <c r="EU230" i="20"/>
  <c r="EV213" i="20"/>
  <c r="EQ213" i="20" s="1"/>
  <c r="EV111" i="20"/>
  <c r="EU66" i="20"/>
  <c r="ET58" i="20"/>
  <c r="EX71" i="20"/>
  <c r="EY211" i="20"/>
  <c r="FE106" i="20"/>
  <c r="EV146" i="20"/>
  <c r="EQ146" i="20" s="1"/>
  <c r="EU94" i="20"/>
  <c r="EY77" i="20"/>
  <c r="EY123" i="20" s="1"/>
  <c r="EX55" i="20"/>
  <c r="FC68" i="20"/>
  <c r="EU231" i="20"/>
  <c r="EU118" i="20"/>
  <c r="ET140" i="20"/>
  <c r="ET139" i="20"/>
  <c r="FC73" i="20"/>
  <c r="FF223" i="20"/>
  <c r="FC215" i="20"/>
  <c r="FB104" i="20"/>
  <c r="ER104" i="20" s="1"/>
  <c r="FF84" i="20"/>
  <c r="FF130" i="20" s="1"/>
  <c r="EX72" i="20"/>
  <c r="FE135" i="20"/>
  <c r="FD84" i="20"/>
  <c r="FD130" i="20" s="1"/>
  <c r="EX116" i="20"/>
  <c r="FF103" i="20"/>
  <c r="FB82" i="20"/>
  <c r="EX114" i="20"/>
  <c r="FF101" i="20"/>
  <c r="FB213" i="20"/>
  <c r="ER213" i="20" s="1"/>
  <c r="FC58" i="20"/>
  <c r="EX89" i="20"/>
  <c r="FC231" i="20"/>
  <c r="FB139" i="20"/>
  <c r="FF70" i="20"/>
  <c r="EZ210" i="20"/>
  <c r="EX222" i="20"/>
  <c r="EW91" i="20"/>
  <c r="FB147" i="20"/>
  <c r="FC139" i="20"/>
  <c r="FE58" i="20"/>
  <c r="FE68" i="20"/>
  <c r="FC67" i="20"/>
  <c r="FC87" i="20"/>
  <c r="EY84" i="20"/>
  <c r="EY130" i="20" s="1"/>
  <c r="EW213" i="20"/>
  <c r="EY205" i="20"/>
  <c r="EW141" i="20"/>
  <c r="EZ57" i="20"/>
  <c r="EU100" i="20"/>
  <c r="EP100" i="20" s="1"/>
  <c r="EV101" i="20"/>
  <c r="EV59" i="20"/>
  <c r="EY79" i="20"/>
  <c r="EY125" i="20" s="1"/>
  <c r="EX134" i="20"/>
  <c r="FE83" i="20"/>
  <c r="FE129" i="20" s="1"/>
  <c r="EV200" i="20"/>
  <c r="EQ200" i="20" s="1"/>
  <c r="EV87" i="20"/>
  <c r="EU148" i="20"/>
  <c r="EV57" i="20"/>
  <c r="EV55" i="20"/>
  <c r="EX221" i="20"/>
  <c r="EX220" i="20" s="1"/>
  <c r="EV134" i="20"/>
  <c r="EU93" i="20"/>
  <c r="ET64" i="20"/>
  <c r="EY56" i="20"/>
  <c r="EX138" i="20"/>
  <c r="FC134" i="20"/>
  <c r="ET231" i="20"/>
  <c r="EV209" i="20"/>
  <c r="ET67" i="20"/>
  <c r="EU135" i="20"/>
  <c r="EY52" i="20"/>
  <c r="EX102" i="20"/>
  <c r="FD90" i="20"/>
  <c r="EV204" i="20"/>
  <c r="ET138" i="20"/>
  <c r="ET115" i="20"/>
  <c r="ET205" i="20"/>
  <c r="EY95" i="20"/>
  <c r="EX79" i="20"/>
  <c r="EX125" i="20" s="1"/>
  <c r="EY107" i="20"/>
  <c r="EV116" i="20"/>
  <c r="EU134" i="20"/>
  <c r="ET93" i="20"/>
  <c r="ET230" i="20"/>
  <c r="EY72" i="20"/>
  <c r="EW77" i="20"/>
  <c r="EW123" i="20" s="1"/>
  <c r="EY134" i="20"/>
  <c r="FF230" i="20"/>
  <c r="EU112" i="20"/>
  <c r="ET79" i="20"/>
  <c r="ET125" i="20" s="1"/>
  <c r="EV90" i="20"/>
  <c r="EY101" i="20"/>
  <c r="FE57" i="20"/>
  <c r="FE77" i="20"/>
  <c r="FE123" i="20" s="1"/>
  <c r="FB211" i="20"/>
  <c r="ER211" i="20" s="1"/>
  <c r="FE212" i="20"/>
  <c r="EZ64" i="20"/>
  <c r="EZ63" i="20" s="1"/>
  <c r="EX94" i="20"/>
  <c r="ET81" i="20"/>
  <c r="ET127" i="20" s="1"/>
  <c r="ET101" i="20"/>
  <c r="EX77" i="20"/>
  <c r="EX123" i="20" s="1"/>
  <c r="ET117" i="20"/>
  <c r="ET221" i="20"/>
  <c r="ET220" i="20" s="1"/>
  <c r="EX148" i="20"/>
  <c r="ET91" i="20"/>
  <c r="EV56" i="20"/>
  <c r="EX65" i="20"/>
  <c r="FF66" i="20"/>
  <c r="FE94" i="20"/>
  <c r="FF77" i="20"/>
  <c r="FF123" i="20" s="1"/>
  <c r="FD60" i="20"/>
  <c r="FD133" i="20"/>
  <c r="FB78" i="20"/>
  <c r="FB107" i="20"/>
  <c r="ER107" i="20" s="1"/>
  <c r="FB138" i="20"/>
  <c r="FB58" i="20"/>
  <c r="EX227" i="20"/>
  <c r="EX226" i="20" s="1"/>
  <c r="FC89" i="20"/>
  <c r="FB110" i="20"/>
  <c r="EX60" i="20"/>
  <c r="FF104" i="20"/>
  <c r="ET148" i="20"/>
  <c r="ER148" i="20" s="1"/>
  <c r="EV71" i="20"/>
  <c r="EV64" i="20"/>
  <c r="EX205" i="20"/>
  <c r="EU212" i="20"/>
  <c r="EP212" i="20" s="1"/>
  <c r="FE66" i="20"/>
  <c r="ET80" i="20"/>
  <c r="ET126" i="20" s="1"/>
  <c r="EU56" i="20"/>
  <c r="EX90" i="20"/>
  <c r="FE56" i="20"/>
  <c r="FB88" i="20"/>
  <c r="FD147" i="20"/>
  <c r="FD116" i="20"/>
  <c r="FD79" i="20"/>
  <c r="FD125" i="20" s="1"/>
  <c r="FD206" i="20"/>
  <c r="FB148" i="20"/>
  <c r="FE215" i="20"/>
  <c r="EZ76" i="20"/>
  <c r="FD200" i="20"/>
  <c r="ET82" i="20"/>
  <c r="ET128" i="20" s="1"/>
  <c r="EU227" i="20"/>
  <c r="EU221" i="20"/>
  <c r="EU91" i="20"/>
  <c r="EZ137" i="20"/>
  <c r="EU113" i="20"/>
  <c r="EZ209" i="20"/>
  <c r="FB133" i="20"/>
  <c r="ET199" i="20"/>
  <c r="EV60" i="20"/>
  <c r="EX117" i="20"/>
  <c r="FB134" i="20"/>
  <c r="FD52" i="20"/>
  <c r="FB229" i="20"/>
  <c r="ER229" i="20" s="1"/>
  <c r="FF200" i="20"/>
  <c r="FD100" i="20"/>
  <c r="FB79" i="20"/>
  <c r="FD68" i="20"/>
  <c r="FD137" i="20"/>
  <c r="FB210" i="20"/>
  <c r="ER210" i="20" s="1"/>
  <c r="FD111" i="20"/>
  <c r="EW212" i="20"/>
  <c r="FF106" i="20"/>
  <c r="EV79" i="20"/>
  <c r="ET112" i="20"/>
  <c r="EV72" i="20"/>
  <c r="EV212" i="20"/>
  <c r="EQ212" i="20" s="1"/>
  <c r="EX106" i="20"/>
  <c r="EU99" i="20"/>
  <c r="FC94" i="20"/>
  <c r="EW68" i="20"/>
  <c r="EV114" i="20"/>
  <c r="EY78" i="20"/>
  <c r="EY124" i="20" s="1"/>
  <c r="EX200" i="20"/>
  <c r="FC227" i="20"/>
  <c r="FC226" i="20" s="1"/>
  <c r="FE90" i="20"/>
  <c r="FE227" i="20"/>
  <c r="FB105" i="20"/>
  <c r="ER105" i="20" s="1"/>
  <c r="FD118" i="20"/>
  <c r="FD104" i="20"/>
  <c r="FE88" i="20"/>
  <c r="FD210" i="20"/>
  <c r="FD218" i="20"/>
  <c r="EU224" i="20"/>
  <c r="FC70" i="20"/>
  <c r="FD92" i="20"/>
  <c r="EY227" i="20"/>
  <c r="EV148" i="20"/>
  <c r="EY80" i="20"/>
  <c r="EY126" i="20" s="1"/>
  <c r="EV133" i="20"/>
  <c r="EV228" i="20"/>
  <c r="EQ228" i="20" s="1"/>
  <c r="EW54" i="20"/>
  <c r="EV231" i="20"/>
  <c r="EQ231" i="20" s="1"/>
  <c r="EY91" i="20"/>
  <c r="ET92" i="20"/>
  <c r="EV137" i="20"/>
  <c r="EY136" i="20"/>
  <c r="FB99" i="20"/>
  <c r="FD110" i="20"/>
  <c r="FB106" i="20"/>
  <c r="ER106" i="20" s="1"/>
  <c r="FD204" i="20"/>
  <c r="FD135" i="20"/>
  <c r="FD106" i="20"/>
  <c r="FF229" i="20"/>
  <c r="ET96" i="20"/>
  <c r="EZ54" i="20"/>
  <c r="EX112" i="20"/>
  <c r="EW114" i="20"/>
  <c r="EV82" i="20"/>
  <c r="EU76" i="20"/>
  <c r="ET57" i="20"/>
  <c r="ET201" i="20"/>
  <c r="EV118" i="20"/>
  <c r="EY113" i="20"/>
  <c r="EU204" i="20"/>
  <c r="EV53" i="20"/>
  <c r="EV93" i="20"/>
  <c r="EV139" i="20"/>
  <c r="EW79" i="20"/>
  <c r="EW125" i="20" s="1"/>
  <c r="EW139" i="20"/>
  <c r="FB59" i="20"/>
  <c r="FD141" i="20"/>
  <c r="FC106" i="20"/>
  <c r="FB115" i="20"/>
  <c r="FD81" i="20"/>
  <c r="FD127" i="20" s="1"/>
  <c r="FD212" i="20"/>
  <c r="FD139" i="20"/>
  <c r="FB117" i="20"/>
  <c r="FC221" i="20"/>
  <c r="FC220" i="20" s="1"/>
  <c r="FE229" i="20"/>
  <c r="EY133" i="20"/>
  <c r="EY66" i="20"/>
  <c r="EY70" i="20"/>
  <c r="FD94" i="20"/>
  <c r="EU128" i="20"/>
  <c r="FB89" i="20"/>
  <c r="FD56" i="20"/>
  <c r="EW111" i="20"/>
  <c r="FF204" i="20"/>
  <c r="FF203" i="20" s="1"/>
  <c r="EY57" i="20"/>
  <c r="FD102" i="20"/>
  <c r="FB69" i="20"/>
  <c r="EW72" i="20"/>
  <c r="EX100" i="20"/>
  <c r="FB230" i="20"/>
  <c r="ER230" i="20" s="1"/>
  <c r="EU80" i="20"/>
  <c r="EX59" i="20"/>
  <c r="EX136" i="20"/>
  <c r="FE118" i="20"/>
  <c r="FC122" i="20"/>
  <c r="FF231" i="20"/>
  <c r="FB137" i="20"/>
  <c r="ET134" i="20"/>
  <c r="EW206" i="20"/>
  <c r="EU54" i="20"/>
  <c r="FD112" i="20"/>
  <c r="BV81" i="20"/>
  <c r="BI81" i="20" s="1"/>
  <c r="CL112" i="20"/>
  <c r="CF92" i="20"/>
  <c r="CL127" i="20"/>
  <c r="CL167" i="20"/>
  <c r="CL206" i="20"/>
  <c r="CF68" i="20"/>
  <c r="BZ66" i="20"/>
  <c r="BX66" i="20" s="1"/>
  <c r="CF89" i="20"/>
  <c r="CH60" i="20"/>
  <c r="CB195" i="20"/>
  <c r="BZ196" i="20"/>
  <c r="CB196" i="20"/>
  <c r="CE215" i="20"/>
  <c r="CI223" i="20"/>
  <c r="CB224" i="20"/>
  <c r="BW224" i="20" s="1"/>
  <c r="CE223" i="20"/>
  <c r="CF218" i="20"/>
  <c r="CK218" i="20"/>
  <c r="CD218" i="20"/>
  <c r="CA142" i="20"/>
  <c r="CI119" i="20"/>
  <c r="CD96" i="20"/>
  <c r="CE73" i="20"/>
  <c r="CL188" i="20"/>
  <c r="BZ96" i="20"/>
  <c r="CC96" i="20"/>
  <c r="CC119" i="20"/>
  <c r="CL187" i="20"/>
  <c r="CK96" i="20"/>
  <c r="BX91" i="20"/>
  <c r="CF134" i="20"/>
  <c r="CF76" i="20"/>
  <c r="CL184" i="20"/>
  <c r="BZ134" i="20"/>
  <c r="CB77" i="20"/>
  <c r="CL172" i="20"/>
  <c r="CF112" i="20"/>
  <c r="CF79" i="20"/>
  <c r="CI196" i="20"/>
  <c r="BZ195" i="20"/>
  <c r="CD215" i="20"/>
  <c r="CD224" i="20"/>
  <c r="CF224" i="20"/>
  <c r="CA224" i="20"/>
  <c r="CF216" i="20"/>
  <c r="CK217" i="20"/>
  <c r="CD216" i="20"/>
  <c r="CE187" i="20"/>
  <c r="CB142" i="20"/>
  <c r="CI188" i="20"/>
  <c r="CH96" i="20"/>
  <c r="CA73" i="20"/>
  <c r="CI96" i="20"/>
  <c r="CH188" i="20"/>
  <c r="CL119" i="20"/>
  <c r="CI61" i="20"/>
  <c r="CD119" i="20"/>
  <c r="CF125" i="20"/>
  <c r="CL125" i="20"/>
  <c r="CF72" i="20"/>
  <c r="CL176" i="20"/>
  <c r="CL205" i="20"/>
  <c r="CF66" i="20"/>
  <c r="CF151" i="20"/>
  <c r="CA196" i="20"/>
  <c r="CH195" i="20"/>
  <c r="CL214" i="20"/>
  <c r="CJ223" i="20"/>
  <c r="CI224" i="20"/>
  <c r="CH223" i="20"/>
  <c r="CC217" i="20"/>
  <c r="CJ73" i="20"/>
  <c r="CB61" i="20"/>
  <c r="CF187" i="20"/>
  <c r="CH119" i="20"/>
  <c r="CJ119" i="20"/>
  <c r="CD187" i="20"/>
  <c r="CK119" i="20"/>
  <c r="CK73" i="20"/>
  <c r="CA187" i="20"/>
  <c r="CE96" i="20"/>
  <c r="CB187" i="20"/>
  <c r="BW102" i="20"/>
  <c r="BZ192" i="20"/>
  <c r="CL228" i="20"/>
  <c r="CL88" i="20"/>
  <c r="CL116" i="20"/>
  <c r="CL141" i="20"/>
  <c r="CF78" i="20"/>
  <c r="CF200" i="20"/>
  <c r="CF56" i="20"/>
  <c r="CF99" i="20"/>
  <c r="CF70" i="20"/>
  <c r="CC195" i="20"/>
  <c r="CC196" i="20"/>
  <c r="CK215" i="20"/>
  <c r="CF215" i="20"/>
  <c r="CE224" i="20"/>
  <c r="CF223" i="20"/>
  <c r="CC224" i="20"/>
  <c r="CE218" i="20"/>
  <c r="CI218" i="20"/>
  <c r="BQ218" i="20" s="1"/>
  <c r="AN216" i="25" s="1"/>
  <c r="CJ217" i="20"/>
  <c r="CF119" i="20"/>
  <c r="CK61" i="20"/>
  <c r="CB188" i="20"/>
  <c r="CJ142" i="20"/>
  <c r="CC142" i="20"/>
  <c r="CJ61" i="20"/>
  <c r="CD142" i="20"/>
  <c r="CE61" i="20"/>
  <c r="CJ187" i="20"/>
  <c r="CF61" i="20"/>
  <c r="CK187" i="20"/>
  <c r="CF199" i="20"/>
  <c r="CF101" i="20"/>
  <c r="CL136" i="20"/>
  <c r="CF59" i="20"/>
  <c r="CF113" i="20"/>
  <c r="CA195" i="20"/>
  <c r="CL195" i="20"/>
  <c r="CL196" i="20"/>
  <c r="CC214" i="20"/>
  <c r="CL215" i="20"/>
  <c r="CB223" i="20"/>
  <c r="CL224" i="20"/>
  <c r="CI216" i="20"/>
  <c r="CC216" i="20"/>
  <c r="BK216" i="20" s="1"/>
  <c r="AH214" i="25" s="1"/>
  <c r="CL218" i="20"/>
  <c r="CI142" i="20"/>
  <c r="CD73" i="20"/>
  <c r="CK188" i="20"/>
  <c r="CA188" i="20"/>
  <c r="CL142" i="20"/>
  <c r="CL73" i="20"/>
  <c r="BZ187" i="20"/>
  <c r="CH73" i="20"/>
  <c r="CE188" i="20"/>
  <c r="BZ73" i="20"/>
  <c r="CF188" i="20"/>
  <c r="BZ191" i="20"/>
  <c r="CL192" i="20"/>
  <c r="CL211" i="20"/>
  <c r="CL159" i="20"/>
  <c r="BZ54" i="20"/>
  <c r="CL69" i="20"/>
  <c r="CF230" i="20"/>
  <c r="CF228" i="20"/>
  <c r="CF163" i="20"/>
  <c r="CH102" i="20"/>
  <c r="CJ195" i="20"/>
  <c r="CH196" i="20"/>
  <c r="CJ196" i="20"/>
  <c r="CJ215" i="20"/>
  <c r="CF214" i="20"/>
  <c r="CK224" i="20"/>
  <c r="CL223" i="20"/>
  <c r="CC223" i="20"/>
  <c r="CK216" i="20"/>
  <c r="CF217" i="20"/>
  <c r="CC218" i="20"/>
  <c r="BK218" i="20" s="1"/>
  <c r="AH216" i="25" s="1"/>
  <c r="BZ188" i="20"/>
  <c r="CF96" i="20"/>
  <c r="CE119" i="20"/>
  <c r="CC61" i="20"/>
  <c r="CH187" i="20"/>
  <c r="CD61" i="20"/>
  <c r="CI187" i="20"/>
  <c r="CA96" i="20"/>
  <c r="CL96" i="20"/>
  <c r="BK209" i="20"/>
  <c r="AH207" i="25" s="1"/>
  <c r="BV90" i="20"/>
  <c r="BK212" i="20"/>
  <c r="AH210" i="25" s="1"/>
  <c r="BV68" i="20"/>
  <c r="BV103" i="20"/>
  <c r="BV100" i="20"/>
  <c r="BW100" i="20"/>
  <c r="BV111" i="20"/>
  <c r="BV205" i="20"/>
  <c r="BI205" i="20" s="1"/>
  <c r="BW81" i="20"/>
  <c r="BV137" i="20"/>
  <c r="AB149" i="20"/>
  <c r="R147" i="25" s="1"/>
  <c r="Q153" i="25"/>
  <c r="AB155" i="20"/>
  <c r="AC155" i="20" s="1"/>
  <c r="Q169" i="25"/>
  <c r="AB171" i="20"/>
  <c r="AC171" i="20" s="1"/>
  <c r="Q167" i="25"/>
  <c r="AB169" i="20"/>
  <c r="R167" i="25" s="1"/>
  <c r="Q173" i="25"/>
  <c r="AB175" i="20"/>
  <c r="Q176" i="25"/>
  <c r="AB178" i="20"/>
  <c r="Q180" i="25"/>
  <c r="AC182" i="20"/>
  <c r="S180" i="25" s="1"/>
  <c r="Q177" i="25"/>
  <c r="AB179" i="20"/>
  <c r="R177" i="25" s="1"/>
  <c r="AB196" i="20"/>
  <c r="Q194" i="25"/>
  <c r="Q154" i="25"/>
  <c r="AC156" i="20"/>
  <c r="Q192" i="25"/>
  <c r="AD143" i="25"/>
  <c r="AH179" i="25"/>
  <c r="BL181" i="20"/>
  <c r="BM181" i="20" s="1"/>
  <c r="AJ179" i="25" s="1"/>
  <c r="BL161" i="20"/>
  <c r="AI159" i="25" s="1"/>
  <c r="BP147" i="20"/>
  <c r="AB191" i="20"/>
  <c r="AC191" i="20" s="1"/>
  <c r="BP193" i="20"/>
  <c r="Q185" i="25"/>
  <c r="BP148" i="20"/>
  <c r="BP150" i="20"/>
  <c r="R234" i="25"/>
  <c r="AB235" i="20"/>
  <c r="O234" i="25"/>
  <c r="Y235" i="20"/>
  <c r="EC235" i="20"/>
  <c r="EC233" i="20" s="1"/>
  <c r="BN231" i="25" s="1"/>
  <c r="Z235" i="20"/>
  <c r="Z233" i="20" s="1"/>
  <c r="P234" i="25"/>
  <c r="P233" i="25" s="1"/>
  <c r="EB236" i="20"/>
  <c r="BM234" i="25" s="1"/>
  <c r="BF233" i="25"/>
  <c r="BY233" i="25"/>
  <c r="BG227" i="20"/>
  <c r="BG228" i="20"/>
  <c r="BG231" i="20"/>
  <c r="ES49" i="20"/>
  <c r="BL219" i="25"/>
  <c r="W223" i="20"/>
  <c r="F220" i="20"/>
  <c r="W221" i="20"/>
  <c r="W224" i="20"/>
  <c r="W222" i="20"/>
  <c r="EA223" i="20"/>
  <c r="BL221" i="25" s="1"/>
  <c r="AO49" i="20"/>
  <c r="CQ213" i="20"/>
  <c r="CQ210" i="20"/>
  <c r="CQ217" i="20"/>
  <c r="CQ218" i="20"/>
  <c r="AU216" i="25" s="1"/>
  <c r="CQ216" i="20"/>
  <c r="CQ211" i="20"/>
  <c r="CQ212" i="20"/>
  <c r="CQ209" i="20"/>
  <c r="CQ214" i="20"/>
  <c r="BL204" i="25"/>
  <c r="BL201" i="25" s="1"/>
  <c r="AU202" i="25"/>
  <c r="BG49" i="20"/>
  <c r="BY49" i="20"/>
  <c r="F203" i="20"/>
  <c r="DI49" i="20"/>
  <c r="M212" i="25"/>
  <c r="W231" i="20"/>
  <c r="W49" i="20"/>
  <c r="F226" i="20"/>
  <c r="W228" i="20"/>
  <c r="W227" i="20"/>
  <c r="W229" i="20"/>
  <c r="W230" i="20"/>
  <c r="R187" i="25"/>
  <c r="AC189" i="20"/>
  <c r="S187" i="25" s="1"/>
  <c r="CQ90" i="20"/>
  <c r="CQ93" i="20"/>
  <c r="CQ88" i="20"/>
  <c r="CQ89" i="20"/>
  <c r="CQ87" i="20"/>
  <c r="CQ92" i="20"/>
  <c r="CQ94" i="20"/>
  <c r="CQ95" i="20"/>
  <c r="CQ91" i="20"/>
  <c r="CQ49" i="20"/>
  <c r="CQ96" i="20"/>
  <c r="AG232" i="20"/>
  <c r="AH232" i="20" s="1"/>
  <c r="AD15" i="25"/>
  <c r="BI17" i="20"/>
  <c r="BG9" i="20"/>
  <c r="Q157" i="25"/>
  <c r="AB159" i="20"/>
  <c r="Q150" i="25"/>
  <c r="AB152" i="20"/>
  <c r="V9" i="25"/>
  <c r="O11" i="20"/>
  <c r="F86" i="20"/>
  <c r="F51" i="20"/>
  <c r="W61" i="20"/>
  <c r="W53" i="20"/>
  <c r="W55" i="20"/>
  <c r="W58" i="20"/>
  <c r="CQ68" i="20"/>
  <c r="CQ72" i="20"/>
  <c r="CQ71" i="20"/>
  <c r="CQ69" i="20"/>
  <c r="BG102" i="20"/>
  <c r="BG101" i="20"/>
  <c r="BG103" i="20"/>
  <c r="BG106" i="20"/>
  <c r="BG105" i="20"/>
  <c r="BG100" i="20"/>
  <c r="BG104" i="20"/>
  <c r="BG99" i="20"/>
  <c r="BG107" i="20"/>
  <c r="F98" i="20"/>
  <c r="Q186" i="25"/>
  <c r="AB188" i="20"/>
  <c r="Q171" i="25"/>
  <c r="AB173" i="20"/>
  <c r="BN13" i="25"/>
  <c r="EB15" i="20"/>
  <c r="BM13" i="25" s="1"/>
  <c r="AB180" i="20"/>
  <c r="Q178" i="25"/>
  <c r="EA222" i="20"/>
  <c r="EA224" i="20"/>
  <c r="CQ83" i="20"/>
  <c r="CQ82" i="20"/>
  <c r="CQ77" i="20"/>
  <c r="CQ79" i="20"/>
  <c r="CQ78" i="20"/>
  <c r="CQ76" i="20"/>
  <c r="CQ84" i="20"/>
  <c r="CQ80" i="20"/>
  <c r="CQ81" i="20"/>
  <c r="CQ205" i="20"/>
  <c r="CQ206" i="20"/>
  <c r="BH236" i="20"/>
  <c r="BI235" i="20"/>
  <c r="AF234" i="25"/>
  <c r="Q193" i="25"/>
  <c r="AB195" i="20"/>
  <c r="AC195" i="20" s="1"/>
  <c r="BU43" i="25"/>
  <c r="EJ39" i="20"/>
  <c r="Q174" i="25"/>
  <c r="AB176" i="20"/>
  <c r="Q156" i="25"/>
  <c r="AB158" i="20"/>
  <c r="EA79" i="20"/>
  <c r="EA80" i="20"/>
  <c r="EA76" i="20"/>
  <c r="EA83" i="20"/>
  <c r="EA77" i="20"/>
  <c r="EA121" i="20"/>
  <c r="BN42" i="25"/>
  <c r="EB44" i="20"/>
  <c r="BM42" i="25" s="1"/>
  <c r="M100" i="25"/>
  <c r="EA105" i="20"/>
  <c r="EA104" i="20"/>
  <c r="EA103" i="20"/>
  <c r="EA102" i="20"/>
  <c r="EA106" i="20"/>
  <c r="EA100" i="20"/>
  <c r="EA107" i="20"/>
  <c r="EA101" i="20"/>
  <c r="BG112" i="20"/>
  <c r="BG110" i="20"/>
  <c r="BG111" i="20"/>
  <c r="BG118" i="20"/>
  <c r="BG117" i="20"/>
  <c r="BG116" i="20"/>
  <c r="BG119" i="20"/>
  <c r="BG115" i="20"/>
  <c r="BG113" i="20"/>
  <c r="BG114" i="20"/>
  <c r="AB153" i="20"/>
  <c r="Q151" i="25"/>
  <c r="Q160" i="25"/>
  <c r="AB162" i="20"/>
  <c r="BG138" i="20"/>
  <c r="BG140" i="20"/>
  <c r="BG142" i="20"/>
  <c r="BG133" i="20"/>
  <c r="BG137" i="20"/>
  <c r="BG141" i="20"/>
  <c r="W216" i="20"/>
  <c r="W217" i="20"/>
  <c r="AC193" i="20"/>
  <c r="S191" i="25" s="1"/>
  <c r="W218" i="20"/>
  <c r="BP217" i="20"/>
  <c r="CQ101" i="20"/>
  <c r="CQ105" i="20"/>
  <c r="CQ103" i="20"/>
  <c r="BR147" i="20"/>
  <c r="W210" i="20"/>
  <c r="BM130" i="25"/>
  <c r="W107" i="20"/>
  <c r="W106" i="20"/>
  <c r="W105" i="20"/>
  <c r="W103" i="20"/>
  <c r="W100" i="20"/>
  <c r="EB27" i="20"/>
  <c r="BM25" i="25" s="1"/>
  <c r="CR39" i="20"/>
  <c r="AC194" i="20"/>
  <c r="BM84" i="25"/>
  <c r="EJ235" i="20"/>
  <c r="BP214" i="20"/>
  <c r="BM107" i="25"/>
  <c r="EB109" i="20"/>
  <c r="BL147" i="20"/>
  <c r="AC190" i="20"/>
  <c r="AH187" i="25"/>
  <c r="BL189" i="20"/>
  <c r="W101" i="20"/>
  <c r="EB20" i="20"/>
  <c r="BM18" i="25" s="1"/>
  <c r="Q191" i="25"/>
  <c r="BJ9" i="20"/>
  <c r="AG9" i="25"/>
  <c r="BL49" i="25"/>
  <c r="BV49" i="25"/>
  <c r="BL61" i="25"/>
  <c r="BV61" i="25"/>
  <c r="BL130" i="25"/>
  <c r="BV130" i="25"/>
  <c r="BL142" i="25"/>
  <c r="CQ116" i="20"/>
  <c r="W117" i="20"/>
  <c r="F109" i="20"/>
  <c r="W115" i="20"/>
  <c r="W116" i="20"/>
  <c r="BV84" i="25"/>
  <c r="Q233" i="25"/>
  <c r="BG171" i="20" l="1"/>
  <c r="I39" i="20"/>
  <c r="BM177" i="20"/>
  <c r="AJ175" i="25" s="1"/>
  <c r="BH189" i="20"/>
  <c r="AE187" i="25" s="1"/>
  <c r="BP9" i="20"/>
  <c r="AC181" i="20"/>
  <c r="S179" i="25" s="1"/>
  <c r="BH185" i="20"/>
  <c r="AE183" i="25" s="1"/>
  <c r="EC211" i="20"/>
  <c r="BN209" i="25" s="1"/>
  <c r="BP141" i="20"/>
  <c r="AM139" i="25" s="1"/>
  <c r="EJ223" i="20"/>
  <c r="BU221" i="25" s="1"/>
  <c r="H37" i="25"/>
  <c r="BH30" i="20"/>
  <c r="AE28" i="25" s="1"/>
  <c r="BG196" i="20"/>
  <c r="AD194" i="25" s="1"/>
  <c r="F194" i="25" s="1"/>
  <c r="EC223" i="20"/>
  <c r="AC174" i="20"/>
  <c r="S172" i="25" s="1"/>
  <c r="F144" i="25"/>
  <c r="BM173" i="20"/>
  <c r="AJ171" i="25" s="1"/>
  <c r="AM159" i="25"/>
  <c r="BH169" i="20"/>
  <c r="AE167" i="25" s="1"/>
  <c r="F118" i="20"/>
  <c r="EC212" i="20"/>
  <c r="BN210" i="25" s="1"/>
  <c r="F111" i="20"/>
  <c r="BN193" i="20"/>
  <c r="AK191" i="25" s="1"/>
  <c r="F209" i="20"/>
  <c r="AC151" i="20"/>
  <c r="S149" i="25" s="1"/>
  <c r="AI146" i="25"/>
  <c r="AM210" i="25"/>
  <c r="EA124" i="20"/>
  <c r="BL122" i="25" s="1"/>
  <c r="AC170" i="20"/>
  <c r="AD170" i="20" s="1"/>
  <c r="T168" i="25" s="1"/>
  <c r="F200" i="20"/>
  <c r="BL233" i="25"/>
  <c r="BM233" i="25"/>
  <c r="AM175" i="25"/>
  <c r="BI60" i="20"/>
  <c r="BQ60" i="20" s="1"/>
  <c r="BR60" i="20" s="1"/>
  <c r="BL224" i="25"/>
  <c r="BV92" i="20"/>
  <c r="BI92" i="20" s="1"/>
  <c r="BW168" i="20"/>
  <c r="BX137" i="20"/>
  <c r="BP137" i="20" s="1"/>
  <c r="BV229" i="20"/>
  <c r="BI229" i="20" s="1"/>
  <c r="AF227" i="25" s="1"/>
  <c r="BW103" i="20"/>
  <c r="BJ103" i="20" s="1"/>
  <c r="BV53" i="20"/>
  <c r="BI53" i="20" s="1"/>
  <c r="BV102" i="20"/>
  <c r="BJ102" i="20" s="1"/>
  <c r="BV200" i="20"/>
  <c r="BI200" i="20" s="1"/>
  <c r="AF198" i="25" s="1"/>
  <c r="BX200" i="20"/>
  <c r="BX168" i="20"/>
  <c r="BX192" i="20"/>
  <c r="BL211" i="20"/>
  <c r="AI209" i="25" s="1"/>
  <c r="BV168" i="20"/>
  <c r="BI168" i="20" s="1"/>
  <c r="AF166" i="25" s="1"/>
  <c r="H166" i="25" s="1"/>
  <c r="BQ205" i="20"/>
  <c r="AN203" i="25" s="1"/>
  <c r="BW223" i="20"/>
  <c r="BV224" i="20"/>
  <c r="BJ224" i="20" s="1"/>
  <c r="AG222" i="25" s="1"/>
  <c r="BV101" i="20"/>
  <c r="BI101" i="20" s="1"/>
  <c r="BQ101" i="20" s="1"/>
  <c r="BV95" i="20"/>
  <c r="BI95" i="20" s="1"/>
  <c r="BX222" i="20"/>
  <c r="BP222" i="20" s="1"/>
  <c r="AM220" i="25" s="1"/>
  <c r="BX136" i="20"/>
  <c r="BX201" i="20"/>
  <c r="BX114" i="20"/>
  <c r="BV83" i="20"/>
  <c r="BI83" i="20" s="1"/>
  <c r="AF81" i="25" s="1"/>
  <c r="CC226" i="20"/>
  <c r="AL211" i="20"/>
  <c r="Y211" i="20" s="1"/>
  <c r="DH71" i="20"/>
  <c r="DH134" i="20"/>
  <c r="AL58" i="20"/>
  <c r="Y58" i="20" s="1"/>
  <c r="AV203" i="20"/>
  <c r="AR61" i="20"/>
  <c r="AM61" i="20" s="1"/>
  <c r="AL61" i="20"/>
  <c r="Y61" i="20" s="1"/>
  <c r="EQ214" i="20"/>
  <c r="DH116" i="20"/>
  <c r="DH138" i="20"/>
  <c r="BW155" i="20"/>
  <c r="BW126" i="20"/>
  <c r="BV230" i="20"/>
  <c r="BI230" i="20" s="1"/>
  <c r="AF228" i="25" s="1"/>
  <c r="BW110" i="20"/>
  <c r="BX83" i="20"/>
  <c r="BW191" i="20"/>
  <c r="BW139" i="20"/>
  <c r="BX82" i="20"/>
  <c r="BV123" i="20"/>
  <c r="BW92" i="20"/>
  <c r="BV114" i="20"/>
  <c r="BV76" i="20"/>
  <c r="BI76" i="20" s="1"/>
  <c r="BK76" i="20" s="1"/>
  <c r="AH74" i="25" s="1"/>
  <c r="BV56" i="20"/>
  <c r="BP56" i="20" s="1"/>
  <c r="AM54" i="25" s="1"/>
  <c r="BW171" i="20"/>
  <c r="CF203" i="20"/>
  <c r="BX81" i="20"/>
  <c r="BP81" i="20" s="1"/>
  <c r="AM79" i="25" s="1"/>
  <c r="BX89" i="20"/>
  <c r="BW231" i="20"/>
  <c r="BW56" i="20"/>
  <c r="BX155" i="20"/>
  <c r="BW164" i="20"/>
  <c r="BX123" i="20"/>
  <c r="BX53" i="20"/>
  <c r="BX93" i="20"/>
  <c r="BX112" i="20"/>
  <c r="BP112" i="20" s="1"/>
  <c r="AM110" i="25" s="1"/>
  <c r="BW106" i="20"/>
  <c r="BV139" i="20"/>
  <c r="BI139" i="20" s="1"/>
  <c r="BX140" i="20"/>
  <c r="BZ198" i="20"/>
  <c r="BX115" i="20"/>
  <c r="BV201" i="20"/>
  <c r="BI201" i="20" s="1"/>
  <c r="BQ201" i="20" s="1"/>
  <c r="BR201" i="20" s="1"/>
  <c r="AO199" i="25" s="1"/>
  <c r="BW133" i="20"/>
  <c r="BW136" i="20"/>
  <c r="BW83" i="20"/>
  <c r="BV126" i="20"/>
  <c r="BP126" i="20" s="1"/>
  <c r="BW53" i="20"/>
  <c r="BV127" i="20"/>
  <c r="BI127" i="20" s="1"/>
  <c r="BV231" i="20"/>
  <c r="BI231" i="20" s="1"/>
  <c r="AF229" i="25" s="1"/>
  <c r="BV113" i="20"/>
  <c r="BW221" i="20"/>
  <c r="BW123" i="20"/>
  <c r="BW200" i="20"/>
  <c r="BX110" i="20"/>
  <c r="BV145" i="20"/>
  <c r="BI145" i="20" s="1"/>
  <c r="AF143" i="25" s="1"/>
  <c r="BX100" i="20"/>
  <c r="BP100" i="20" s="1"/>
  <c r="BX127" i="20"/>
  <c r="BV155" i="20"/>
  <c r="BV180" i="20"/>
  <c r="BI180" i="20" s="1"/>
  <c r="BW222" i="20"/>
  <c r="BJ222" i="20" s="1"/>
  <c r="AG220" i="25" s="1"/>
  <c r="BW129" i="20"/>
  <c r="BW91" i="20"/>
  <c r="BJ91" i="20" s="1"/>
  <c r="BW94" i="20"/>
  <c r="BL213" i="20"/>
  <c r="AI211" i="25" s="1"/>
  <c r="BW70" i="20"/>
  <c r="BV84" i="20"/>
  <c r="BX70" i="20"/>
  <c r="BV70" i="20"/>
  <c r="BI70" i="20" s="1"/>
  <c r="BK70" i="20" s="1"/>
  <c r="BL70" i="20" s="1"/>
  <c r="AI68" i="25" s="1"/>
  <c r="BV59" i="20"/>
  <c r="BX59" i="20"/>
  <c r="BX95" i="20"/>
  <c r="BX159" i="20"/>
  <c r="BX102" i="20"/>
  <c r="BX94" i="20"/>
  <c r="BX84" i="20"/>
  <c r="BX176" i="20"/>
  <c r="BV171" i="20"/>
  <c r="BW57" i="20"/>
  <c r="BV204" i="20"/>
  <c r="BI204" i="20" s="1"/>
  <c r="AF202" i="25" s="1"/>
  <c r="BW61" i="20"/>
  <c r="BW160" i="20"/>
  <c r="CE86" i="20"/>
  <c r="BW142" i="20"/>
  <c r="BV142" i="20"/>
  <c r="BX113" i="20"/>
  <c r="BW71" i="20"/>
  <c r="BW137" i="20"/>
  <c r="BJ137" i="20" s="1"/>
  <c r="BW205" i="20"/>
  <c r="BJ205" i="20" s="1"/>
  <c r="AG203" i="25" s="1"/>
  <c r="BW117" i="20"/>
  <c r="BW118" i="20"/>
  <c r="BW141" i="20"/>
  <c r="BJ141" i="20" s="1"/>
  <c r="AG139" i="25" s="1"/>
  <c r="BW65" i="20"/>
  <c r="BJ65" i="20" s="1"/>
  <c r="AG63" i="25" s="1"/>
  <c r="BW89" i="20"/>
  <c r="BW124" i="20"/>
  <c r="BJ124" i="20" s="1"/>
  <c r="AG122" i="25" s="1"/>
  <c r="BV58" i="20"/>
  <c r="BI58" i="20" s="1"/>
  <c r="BK58" i="20" s="1"/>
  <c r="AH56" i="25" s="1"/>
  <c r="BW127" i="20"/>
  <c r="BJ127" i="20" s="1"/>
  <c r="CD86" i="20"/>
  <c r="BV82" i="20"/>
  <c r="BI82" i="20" s="1"/>
  <c r="BQ82" i="20" s="1"/>
  <c r="AN80" i="25" s="1"/>
  <c r="CB226" i="20"/>
  <c r="BW228" i="20"/>
  <c r="CH203" i="20"/>
  <c r="BV67" i="20"/>
  <c r="BI67" i="20" s="1"/>
  <c r="BQ67" i="20" s="1"/>
  <c r="AN65" i="25" s="1"/>
  <c r="BW140" i="20"/>
  <c r="CE226" i="20"/>
  <c r="BW90" i="20"/>
  <c r="BJ90" i="20" s="1"/>
  <c r="BX77" i="20"/>
  <c r="BW93" i="20"/>
  <c r="CE203" i="20"/>
  <c r="CA226" i="20"/>
  <c r="BX101" i="20"/>
  <c r="CC75" i="20"/>
  <c r="CC203" i="20"/>
  <c r="CC86" i="20"/>
  <c r="CB198" i="20"/>
  <c r="CL208" i="20"/>
  <c r="BX171" i="20"/>
  <c r="BX106" i="20"/>
  <c r="BW82" i="20"/>
  <c r="BJ175" i="20"/>
  <c r="AG173" i="25" s="1"/>
  <c r="BV93" i="20"/>
  <c r="BV228" i="20"/>
  <c r="BI228" i="20" s="1"/>
  <c r="AF226" i="25" s="1"/>
  <c r="CE51" i="20"/>
  <c r="BL210" i="20"/>
  <c r="AI208" i="25" s="1"/>
  <c r="CD220" i="20"/>
  <c r="BX205" i="20"/>
  <c r="BP205" i="20" s="1"/>
  <c r="BH205" i="20" s="1"/>
  <c r="AE203" i="25" s="1"/>
  <c r="BX76" i="20"/>
  <c r="CD203" i="20"/>
  <c r="BW67" i="20"/>
  <c r="CL86" i="20"/>
  <c r="CH226" i="20"/>
  <c r="BX92" i="20"/>
  <c r="BX224" i="20"/>
  <c r="BX107" i="20"/>
  <c r="BV159" i="20"/>
  <c r="BI159" i="20" s="1"/>
  <c r="BX164" i="20"/>
  <c r="BX135" i="20"/>
  <c r="BX65" i="20"/>
  <c r="BP65" i="20" s="1"/>
  <c r="BV94" i="20"/>
  <c r="BI94" i="20" s="1"/>
  <c r="BK94" i="20" s="1"/>
  <c r="AH92" i="25" s="1"/>
  <c r="BZ86" i="20"/>
  <c r="BX67" i="20"/>
  <c r="BW114" i="20"/>
  <c r="BV138" i="20"/>
  <c r="BI138" i="20" s="1"/>
  <c r="BW113" i="20"/>
  <c r="BX228" i="20"/>
  <c r="CE109" i="20"/>
  <c r="CC109" i="20"/>
  <c r="BX99" i="20"/>
  <c r="BX229" i="20"/>
  <c r="BR213" i="20"/>
  <c r="AO211" i="25" s="1"/>
  <c r="CD226" i="20"/>
  <c r="BX128" i="20"/>
  <c r="BP128" i="20" s="1"/>
  <c r="BW88" i="20"/>
  <c r="CJ198" i="20"/>
  <c r="BV69" i="20"/>
  <c r="CA63" i="20"/>
  <c r="BW59" i="20"/>
  <c r="BZ226" i="20"/>
  <c r="BV89" i="20"/>
  <c r="CD121" i="20"/>
  <c r="BV129" i="20"/>
  <c r="BI129" i="20" s="1"/>
  <c r="BV164" i="20"/>
  <c r="BW55" i="20"/>
  <c r="BV135" i="20"/>
  <c r="BI135" i="20" s="1"/>
  <c r="BW95" i="20"/>
  <c r="CE63" i="20"/>
  <c r="BW68" i="20"/>
  <c r="BJ68" i="20" s="1"/>
  <c r="CB132" i="20"/>
  <c r="CK198" i="20"/>
  <c r="BX130" i="20"/>
  <c r="BX111" i="20"/>
  <c r="BP111" i="20" s="1"/>
  <c r="BV87" i="20"/>
  <c r="BJ87" i="20" s="1"/>
  <c r="AG85" i="25" s="1"/>
  <c r="BV191" i="20"/>
  <c r="BI191" i="20" s="1"/>
  <c r="CE208" i="20"/>
  <c r="BV122" i="20"/>
  <c r="BI122" i="20" s="1"/>
  <c r="AF120" i="25" s="1"/>
  <c r="BV71" i="20"/>
  <c r="BI71" i="20" s="1"/>
  <c r="BQ71" i="20" s="1"/>
  <c r="BR71" i="20" s="1"/>
  <c r="AO69" i="25" s="1"/>
  <c r="BV80" i="20"/>
  <c r="BP80" i="20" s="1"/>
  <c r="BX179" i="20"/>
  <c r="BP179" i="20" s="1"/>
  <c r="BX163" i="20"/>
  <c r="BP163" i="20" s="1"/>
  <c r="BW80" i="20"/>
  <c r="BV72" i="20"/>
  <c r="BJ72" i="20" s="1"/>
  <c r="AG70" i="25" s="1"/>
  <c r="CA98" i="20"/>
  <c r="BV167" i="20"/>
  <c r="CJ121" i="20"/>
  <c r="BX204" i="20"/>
  <c r="BX79" i="20"/>
  <c r="BP79" i="20" s="1"/>
  <c r="AM77" i="25" s="1"/>
  <c r="BX138" i="20"/>
  <c r="BV125" i="20"/>
  <c r="BI125" i="20" s="1"/>
  <c r="AF123" i="25" s="1"/>
  <c r="CC198" i="20"/>
  <c r="CL75" i="20"/>
  <c r="BX55" i="20"/>
  <c r="BZ75" i="20"/>
  <c r="CC132" i="20"/>
  <c r="BX151" i="20"/>
  <c r="BJ64" i="20"/>
  <c r="AG62" i="25" s="1"/>
  <c r="BW69" i="20"/>
  <c r="BW115" i="20"/>
  <c r="BX227" i="20"/>
  <c r="BW79" i="20"/>
  <c r="BJ79" i="20" s="1"/>
  <c r="AG77" i="25" s="1"/>
  <c r="CJ63" i="20"/>
  <c r="CL203" i="20"/>
  <c r="CB203" i="20"/>
  <c r="BX117" i="20"/>
  <c r="BX60" i="20"/>
  <c r="BP60" i="20" s="1"/>
  <c r="BV118" i="20"/>
  <c r="BI118" i="20" s="1"/>
  <c r="BV57" i="20"/>
  <c r="BX180" i="20"/>
  <c r="BP175" i="20"/>
  <c r="O175" i="20" s="1"/>
  <c r="CD75" i="20"/>
  <c r="BX58" i="20"/>
  <c r="BJ112" i="20"/>
  <c r="AG110" i="25" s="1"/>
  <c r="BW230" i="20"/>
  <c r="BW138" i="20"/>
  <c r="CL121" i="20"/>
  <c r="CA86" i="20"/>
  <c r="CK51" i="20"/>
  <c r="BX118" i="20"/>
  <c r="BX206" i="20"/>
  <c r="BZ109" i="20"/>
  <c r="BX57" i="20"/>
  <c r="BW196" i="20"/>
  <c r="CB63" i="20"/>
  <c r="BV117" i="20"/>
  <c r="BI117" i="20" s="1"/>
  <c r="CH63" i="20"/>
  <c r="BX134" i="20"/>
  <c r="BW66" i="20"/>
  <c r="CI109" i="20"/>
  <c r="BV160" i="20"/>
  <c r="CC121" i="20"/>
  <c r="BW176" i="20"/>
  <c r="CL51" i="20"/>
  <c r="BV61" i="20"/>
  <c r="BI61" i="20" s="1"/>
  <c r="AF59" i="25" s="1"/>
  <c r="CJ86" i="20"/>
  <c r="CI220" i="20"/>
  <c r="BZ98" i="20"/>
  <c r="CA132" i="20"/>
  <c r="CA109" i="20"/>
  <c r="CB109" i="20"/>
  <c r="BZ121" i="20"/>
  <c r="BV55" i="20"/>
  <c r="BI55" i="20" s="1"/>
  <c r="CC98" i="20"/>
  <c r="CC63" i="20"/>
  <c r="BW78" i="20"/>
  <c r="BV227" i="20"/>
  <c r="BI227" i="20" s="1"/>
  <c r="BW151" i="20"/>
  <c r="BV78" i="20"/>
  <c r="BI78" i="20" s="1"/>
  <c r="AF76" i="25" s="1"/>
  <c r="CD98" i="20"/>
  <c r="BX78" i="20"/>
  <c r="BZ144" i="20"/>
  <c r="BX122" i="20"/>
  <c r="BV110" i="20"/>
  <c r="BI110" i="20" s="1"/>
  <c r="CI121" i="20"/>
  <c r="CI63" i="20"/>
  <c r="BV130" i="20"/>
  <c r="BI130" i="20" s="1"/>
  <c r="BK130" i="20" s="1"/>
  <c r="BX152" i="20"/>
  <c r="BV116" i="20"/>
  <c r="BI116" i="20" s="1"/>
  <c r="AF114" i="25" s="1"/>
  <c r="BV136" i="20"/>
  <c r="BV99" i="20"/>
  <c r="BX156" i="20"/>
  <c r="BP156" i="20" s="1"/>
  <c r="O156" i="20" s="1"/>
  <c r="BW111" i="20"/>
  <c r="BJ111" i="20" s="1"/>
  <c r="BW145" i="20"/>
  <c r="CH86" i="20"/>
  <c r="BW99" i="20"/>
  <c r="BW135" i="20"/>
  <c r="BV106" i="20"/>
  <c r="CA51" i="20"/>
  <c r="BW96" i="20"/>
  <c r="BX145" i="20"/>
  <c r="CK226" i="20"/>
  <c r="CK98" i="20"/>
  <c r="BW156" i="20"/>
  <c r="BJ156" i="20" s="1"/>
  <c r="I156" i="20" s="1"/>
  <c r="BX71" i="20"/>
  <c r="BW227" i="20"/>
  <c r="BW122" i="20"/>
  <c r="BW179" i="20"/>
  <c r="BJ179" i="20" s="1"/>
  <c r="AG177" i="25" s="1"/>
  <c r="BW128" i="20"/>
  <c r="BJ128" i="20" s="1"/>
  <c r="BV140" i="20"/>
  <c r="BI140" i="20" s="1"/>
  <c r="BW101" i="20"/>
  <c r="BW76" i="20"/>
  <c r="BW107" i="20"/>
  <c r="CE121" i="20"/>
  <c r="BX221" i="20"/>
  <c r="BV221" i="20"/>
  <c r="BV77" i="20"/>
  <c r="BI77" i="20" s="1"/>
  <c r="BV88" i="20"/>
  <c r="BZ132" i="20"/>
  <c r="BV133" i="20"/>
  <c r="CK220" i="20"/>
  <c r="CA121" i="20"/>
  <c r="CD63" i="20"/>
  <c r="CC208" i="20"/>
  <c r="BW134" i="20"/>
  <c r="BZ220" i="20"/>
  <c r="BX133" i="20"/>
  <c r="BW180" i="20"/>
  <c r="BV107" i="20"/>
  <c r="BW201" i="20"/>
  <c r="BV176" i="20"/>
  <c r="BV199" i="20"/>
  <c r="BI199" i="20" s="1"/>
  <c r="BV152" i="20"/>
  <c r="BV115" i="20"/>
  <c r="BI115" i="20" s="1"/>
  <c r="CL98" i="20"/>
  <c r="BW167" i="20"/>
  <c r="CI198" i="20"/>
  <c r="CK121" i="20"/>
  <c r="CE98" i="20"/>
  <c r="CI98" i="20"/>
  <c r="BW130" i="20"/>
  <c r="CK132" i="20"/>
  <c r="CK109" i="20"/>
  <c r="CD51" i="20"/>
  <c r="CJ203" i="20"/>
  <c r="BX184" i="20"/>
  <c r="BP184" i="20" s="1"/>
  <c r="O184" i="20" s="1"/>
  <c r="CK75" i="20"/>
  <c r="CE132" i="20"/>
  <c r="CK208" i="20"/>
  <c r="CF220" i="20"/>
  <c r="BW199" i="20"/>
  <c r="CK63" i="20"/>
  <c r="CF121" i="20"/>
  <c r="BW183" i="20"/>
  <c r="BJ183" i="20" s="1"/>
  <c r="AG181" i="25" s="1"/>
  <c r="CE75" i="20"/>
  <c r="CB86" i="20"/>
  <c r="BV104" i="20"/>
  <c r="BI104" i="20" s="1"/>
  <c r="BQ104" i="20" s="1"/>
  <c r="CB51" i="20"/>
  <c r="CK86" i="20"/>
  <c r="AT203" i="20"/>
  <c r="FD203" i="20"/>
  <c r="EZ144" i="20"/>
  <c r="DH125" i="20"/>
  <c r="DP203" i="20"/>
  <c r="DN203" i="20"/>
  <c r="DH204" i="20"/>
  <c r="DR203" i="20"/>
  <c r="DH84" i="20"/>
  <c r="DH58" i="20"/>
  <c r="DG206" i="20"/>
  <c r="DF106" i="20"/>
  <c r="CS106" i="20" s="1"/>
  <c r="AW104" i="25" s="1"/>
  <c r="DH53" i="20"/>
  <c r="DV144" i="20"/>
  <c r="DH209" i="20"/>
  <c r="DH105" i="20"/>
  <c r="DP198" i="20"/>
  <c r="DH103" i="20"/>
  <c r="DF53" i="20"/>
  <c r="CS53" i="20" s="1"/>
  <c r="AW51" i="25" s="1"/>
  <c r="DL203" i="20"/>
  <c r="DH93" i="20"/>
  <c r="DF107" i="20"/>
  <c r="CS107" i="20" s="1"/>
  <c r="DA107" i="20" s="1"/>
  <c r="BE105" i="25" s="1"/>
  <c r="DT198" i="20"/>
  <c r="DH64" i="20"/>
  <c r="DH133" i="20"/>
  <c r="DF201" i="20"/>
  <c r="CS201" i="20" s="1"/>
  <c r="AW199" i="25" s="1"/>
  <c r="DH222" i="20"/>
  <c r="AR67" i="20"/>
  <c r="AM67" i="20" s="1"/>
  <c r="AL146" i="20"/>
  <c r="Y146" i="20" s="1"/>
  <c r="AA146" i="20" s="1"/>
  <c r="AR146" i="20"/>
  <c r="AM146" i="20" s="1"/>
  <c r="AL228" i="20"/>
  <c r="Y228" i="20" s="1"/>
  <c r="O226" i="25" s="1"/>
  <c r="AX80" i="20"/>
  <c r="AN80" i="20" s="1"/>
  <c r="AX123" i="20"/>
  <c r="AN123" i="20" s="1"/>
  <c r="AX140" i="20"/>
  <c r="AN140" i="20" s="1"/>
  <c r="AL55" i="20"/>
  <c r="Y55" i="20" s="1"/>
  <c r="AR222" i="20"/>
  <c r="AM222" i="20" s="1"/>
  <c r="AT144" i="20"/>
  <c r="DF67" i="20"/>
  <c r="CS67" i="20" s="1"/>
  <c r="DH129" i="20"/>
  <c r="DH148" i="20"/>
  <c r="DF72" i="20"/>
  <c r="CS72" i="20" s="1"/>
  <c r="DS144" i="20"/>
  <c r="DG87" i="20"/>
  <c r="DG70" i="20"/>
  <c r="DU203" i="20"/>
  <c r="DH89" i="20"/>
  <c r="DH104" i="20"/>
  <c r="DO198" i="20"/>
  <c r="DH67" i="20"/>
  <c r="DH56" i="20"/>
  <c r="DH101" i="20"/>
  <c r="DH114" i="20"/>
  <c r="DH112" i="20"/>
  <c r="DG228" i="20"/>
  <c r="DH69" i="20"/>
  <c r="DH60" i="20"/>
  <c r="DH68" i="20"/>
  <c r="DH201" i="20"/>
  <c r="DU198" i="20"/>
  <c r="DH65" i="20"/>
  <c r="DF111" i="20"/>
  <c r="CS111" i="20" s="1"/>
  <c r="DU98" i="20"/>
  <c r="DS86" i="20"/>
  <c r="DH91" i="20"/>
  <c r="DH81" i="20"/>
  <c r="DH94" i="20"/>
  <c r="DR198" i="20"/>
  <c r="DT226" i="20"/>
  <c r="DG57" i="20"/>
  <c r="DH90" i="20"/>
  <c r="DU226" i="20"/>
  <c r="DG60" i="20"/>
  <c r="DH77" i="20"/>
  <c r="DH130" i="20"/>
  <c r="DF229" i="20"/>
  <c r="CS229" i="20" s="1"/>
  <c r="AW227" i="25" s="1"/>
  <c r="DH79" i="20"/>
  <c r="DV198" i="20"/>
  <c r="DH221" i="20"/>
  <c r="DM203" i="20"/>
  <c r="DU144" i="20"/>
  <c r="DF116" i="20"/>
  <c r="CS116" i="20" s="1"/>
  <c r="AW114" i="25" s="1"/>
  <c r="DM220" i="20"/>
  <c r="DF88" i="20"/>
  <c r="CS88" i="20" s="1"/>
  <c r="DH57" i="20"/>
  <c r="DG201" i="20"/>
  <c r="DH106" i="20"/>
  <c r="DG210" i="20"/>
  <c r="DF60" i="20"/>
  <c r="CS60" i="20" s="1"/>
  <c r="CU60" i="20" s="1"/>
  <c r="DT220" i="20"/>
  <c r="DF222" i="20"/>
  <c r="CS222" i="20" s="1"/>
  <c r="AW220" i="25" s="1"/>
  <c r="DF87" i="20"/>
  <c r="DH95" i="20"/>
  <c r="DF129" i="20"/>
  <c r="CS129" i="20" s="1"/>
  <c r="DA129" i="20" s="1"/>
  <c r="BE127" i="25" s="1"/>
  <c r="DF90" i="20"/>
  <c r="CS90" i="20" s="1"/>
  <c r="DG124" i="20"/>
  <c r="DG112" i="20"/>
  <c r="DF112" i="20"/>
  <c r="CS112" i="20" s="1"/>
  <c r="AW110" i="25" s="1"/>
  <c r="DH54" i="20"/>
  <c r="DP75" i="20"/>
  <c r="DH70" i="20"/>
  <c r="DG106" i="20"/>
  <c r="DF57" i="20"/>
  <c r="CS57" i="20" s="1"/>
  <c r="AW55" i="25" s="1"/>
  <c r="DF213" i="20"/>
  <c r="CS213" i="20" s="1"/>
  <c r="AW211" i="25" s="1"/>
  <c r="DH111" i="20"/>
  <c r="DS75" i="20"/>
  <c r="DH100" i="20"/>
  <c r="DG205" i="20"/>
  <c r="DS98" i="20"/>
  <c r="DG58" i="20"/>
  <c r="DU75" i="20"/>
  <c r="DR144" i="20"/>
  <c r="DS121" i="20"/>
  <c r="DG118" i="20"/>
  <c r="DN121" i="20"/>
  <c r="DG218" i="20"/>
  <c r="DF218" i="20"/>
  <c r="CS218" i="20" s="1"/>
  <c r="AW216" i="25" s="1"/>
  <c r="DH147" i="20"/>
  <c r="DH140" i="20"/>
  <c r="DH218" i="20"/>
  <c r="DF70" i="20"/>
  <c r="CS70" i="20" s="1"/>
  <c r="CU70" i="20" s="1"/>
  <c r="CV70" i="20" s="1"/>
  <c r="DH76" i="20"/>
  <c r="DO132" i="20"/>
  <c r="DF205" i="20"/>
  <c r="CS205" i="20" s="1"/>
  <c r="CU205" i="20" s="1"/>
  <c r="DH229" i="20"/>
  <c r="DF217" i="20"/>
  <c r="CS217" i="20" s="1"/>
  <c r="AW215" i="25" s="1"/>
  <c r="DP98" i="20"/>
  <c r="DR75" i="20"/>
  <c r="DP144" i="20"/>
  <c r="DU121" i="20"/>
  <c r="DF227" i="20"/>
  <c r="CS227" i="20" s="1"/>
  <c r="DT144" i="20"/>
  <c r="DG222" i="20"/>
  <c r="DH117" i="20"/>
  <c r="DN98" i="20"/>
  <c r="DO203" i="20"/>
  <c r="DH205" i="20"/>
  <c r="DH87" i="20"/>
  <c r="DP86" i="20"/>
  <c r="DF113" i="20"/>
  <c r="DT132" i="20"/>
  <c r="DV203" i="20"/>
  <c r="DN226" i="20"/>
  <c r="DN109" i="20"/>
  <c r="DG142" i="20"/>
  <c r="DV98" i="20"/>
  <c r="DG217" i="20"/>
  <c r="DS63" i="20"/>
  <c r="DO63" i="20"/>
  <c r="DH110" i="20"/>
  <c r="DH55" i="20"/>
  <c r="DT109" i="20"/>
  <c r="DH102" i="20"/>
  <c r="DG128" i="20"/>
  <c r="CT128" i="20" s="1"/>
  <c r="AX126" i="25" s="1"/>
  <c r="DV75" i="20"/>
  <c r="DV132" i="20"/>
  <c r="DV226" i="20"/>
  <c r="DF93" i="20"/>
  <c r="CS93" i="20" s="1"/>
  <c r="AW91" i="25" s="1"/>
  <c r="DT86" i="20"/>
  <c r="DT121" i="20"/>
  <c r="DF80" i="20"/>
  <c r="CS80" i="20" s="1"/>
  <c r="DS109" i="20"/>
  <c r="DU132" i="20"/>
  <c r="DF140" i="20"/>
  <c r="DO226" i="20"/>
  <c r="DR109" i="20"/>
  <c r="DH200" i="20"/>
  <c r="DV121" i="20"/>
  <c r="DG93" i="20"/>
  <c r="DH217" i="20"/>
  <c r="DN86" i="20"/>
  <c r="DT51" i="20"/>
  <c r="DV51" i="20"/>
  <c r="DH142" i="20"/>
  <c r="DV86" i="20"/>
  <c r="DS51" i="20"/>
  <c r="DH115" i="20"/>
  <c r="DH118" i="20"/>
  <c r="DH72" i="20"/>
  <c r="DS198" i="20"/>
  <c r="DO86" i="20"/>
  <c r="DS226" i="20"/>
  <c r="DT75" i="20"/>
  <c r="DG127" i="20"/>
  <c r="DO121" i="20"/>
  <c r="DO144" i="20"/>
  <c r="DO75" i="20"/>
  <c r="DR86" i="20"/>
  <c r="DH123" i="20"/>
  <c r="DL121" i="20"/>
  <c r="DH230" i="20"/>
  <c r="DU109" i="20"/>
  <c r="DK75" i="20"/>
  <c r="DR121" i="20"/>
  <c r="DH141" i="20"/>
  <c r="DU63" i="20"/>
  <c r="DF66" i="20"/>
  <c r="DO109" i="20"/>
  <c r="DG133" i="20"/>
  <c r="DF56" i="20"/>
  <c r="DF102" i="20"/>
  <c r="CS102" i="20" s="1"/>
  <c r="CU102" i="20" s="1"/>
  <c r="DP226" i="20"/>
  <c r="DS203" i="20"/>
  <c r="DG56" i="20"/>
  <c r="DT63" i="20"/>
  <c r="DN144" i="20"/>
  <c r="DH126" i="20"/>
  <c r="DM144" i="20"/>
  <c r="DN51" i="20"/>
  <c r="DN132" i="20"/>
  <c r="DP121" i="20"/>
  <c r="DL226" i="20"/>
  <c r="DG101" i="20"/>
  <c r="DP132" i="20"/>
  <c r="DO51" i="20"/>
  <c r="DP109" i="20"/>
  <c r="DF52" i="20"/>
  <c r="CS52" i="20" s="1"/>
  <c r="DF115" i="20"/>
  <c r="DG107" i="20"/>
  <c r="DG81" i="20"/>
  <c r="DO98" i="20"/>
  <c r="DT203" i="20"/>
  <c r="DF92" i="20"/>
  <c r="CS92" i="20" s="1"/>
  <c r="AW90" i="25" s="1"/>
  <c r="DM109" i="20"/>
  <c r="DU86" i="20"/>
  <c r="DJ51" i="20"/>
  <c r="DH223" i="20"/>
  <c r="DP63" i="20"/>
  <c r="DK63" i="20"/>
  <c r="DS208" i="20"/>
  <c r="DF127" i="20"/>
  <c r="DG134" i="20"/>
  <c r="DM86" i="20"/>
  <c r="DG200" i="20"/>
  <c r="DM98" i="20"/>
  <c r="DJ121" i="20"/>
  <c r="DF130" i="20"/>
  <c r="CS130" i="20" s="1"/>
  <c r="AW128" i="25" s="1"/>
  <c r="DF89" i="20"/>
  <c r="CS89" i="20" s="1"/>
  <c r="DF206" i="20"/>
  <c r="CS206" i="20" s="1"/>
  <c r="AW204" i="25" s="1"/>
  <c r="DF211" i="20"/>
  <c r="CS211" i="20" s="1"/>
  <c r="DF209" i="20"/>
  <c r="DJ98" i="20"/>
  <c r="DN75" i="20"/>
  <c r="DF133" i="20"/>
  <c r="CS133" i="20" s="1"/>
  <c r="DV208" i="20"/>
  <c r="DM226" i="20"/>
  <c r="DH80" i="20"/>
  <c r="DP220" i="20"/>
  <c r="DG105" i="20"/>
  <c r="DV220" i="20"/>
  <c r="DF118" i="20"/>
  <c r="CS118" i="20" s="1"/>
  <c r="DA118" i="20" s="1"/>
  <c r="BE116" i="25" s="1"/>
  <c r="DF117" i="20"/>
  <c r="DM121" i="20"/>
  <c r="DU51" i="20"/>
  <c r="DK109" i="20"/>
  <c r="DJ144" i="20"/>
  <c r="DH212" i="20"/>
  <c r="DF212" i="20"/>
  <c r="CS212" i="20" s="1"/>
  <c r="DO208" i="20"/>
  <c r="DF105" i="20"/>
  <c r="DV109" i="20"/>
  <c r="DS132" i="20"/>
  <c r="DF95" i="20"/>
  <c r="DF81" i="20"/>
  <c r="CS81" i="20" s="1"/>
  <c r="DH107" i="20"/>
  <c r="DG138" i="20"/>
  <c r="DG148" i="20"/>
  <c r="DG64" i="20"/>
  <c r="DG54" i="20"/>
  <c r="DM75" i="20"/>
  <c r="DG136" i="20"/>
  <c r="DH59" i="20"/>
  <c r="DG59" i="20"/>
  <c r="DJ198" i="20"/>
  <c r="DH199" i="20"/>
  <c r="DJ226" i="20"/>
  <c r="DG227" i="20"/>
  <c r="DH83" i="20"/>
  <c r="DG83" i="20"/>
  <c r="DF145" i="20"/>
  <c r="DK144" i="20"/>
  <c r="DH127" i="20"/>
  <c r="DG99" i="20"/>
  <c r="DL98" i="20"/>
  <c r="DH146" i="20"/>
  <c r="DF101" i="20"/>
  <c r="DH228" i="20"/>
  <c r="DF104" i="20"/>
  <c r="CS104" i="20" s="1"/>
  <c r="DF103" i="20"/>
  <c r="CS103" i="20" s="1"/>
  <c r="DG130" i="20"/>
  <c r="DG89" i="20"/>
  <c r="DG115" i="20"/>
  <c r="DG94" i="20"/>
  <c r="DG212" i="20"/>
  <c r="DG110" i="20"/>
  <c r="DG231" i="20"/>
  <c r="DH231" i="20"/>
  <c r="DG113" i="20"/>
  <c r="DH113" i="20"/>
  <c r="DF59" i="20"/>
  <c r="DT98" i="20"/>
  <c r="DF141" i="20"/>
  <c r="CS141" i="20" s="1"/>
  <c r="DF78" i="20"/>
  <c r="DG80" i="20"/>
  <c r="DG116" i="20"/>
  <c r="DH210" i="20"/>
  <c r="DP208" i="20"/>
  <c r="DF136" i="20"/>
  <c r="CS136" i="20" s="1"/>
  <c r="DH136" i="20"/>
  <c r="DF122" i="20"/>
  <c r="CS122" i="20" s="1"/>
  <c r="DF125" i="20"/>
  <c r="CS125" i="20" s="1"/>
  <c r="CU125" i="20" s="1"/>
  <c r="DG69" i="20"/>
  <c r="DF71" i="20"/>
  <c r="DF55" i="20"/>
  <c r="DG77" i="20"/>
  <c r="DG90" i="20"/>
  <c r="DG67" i="20"/>
  <c r="DG126" i="20"/>
  <c r="DG135" i="20"/>
  <c r="DH99" i="20"/>
  <c r="DR98" i="20"/>
  <c r="DH145" i="20"/>
  <c r="DJ208" i="20"/>
  <c r="DP51" i="20"/>
  <c r="DF79" i="20"/>
  <c r="CS79" i="20" s="1"/>
  <c r="AW77" i="25" s="1"/>
  <c r="DK226" i="20"/>
  <c r="DF210" i="20"/>
  <c r="CS210" i="20" s="1"/>
  <c r="DF123" i="20"/>
  <c r="DF148" i="20"/>
  <c r="DF58" i="20"/>
  <c r="CS58" i="20" s="1"/>
  <c r="DM198" i="20"/>
  <c r="DG140" i="20"/>
  <c r="DG123" i="20"/>
  <c r="DG122" i="20"/>
  <c r="DG92" i="20"/>
  <c r="DG199" i="20"/>
  <c r="DL198" i="20"/>
  <c r="DF84" i="20"/>
  <c r="DH122" i="20"/>
  <c r="DK4" i="20"/>
  <c r="DU220" i="20"/>
  <c r="DJ63" i="20"/>
  <c r="DL51" i="20"/>
  <c r="DG84" i="20"/>
  <c r="DF99" i="20"/>
  <c r="DF68" i="20"/>
  <c r="DH82" i="20"/>
  <c r="DG82" i="20"/>
  <c r="DF82" i="20"/>
  <c r="CS82" i="20" s="1"/>
  <c r="DF77" i="20"/>
  <c r="DG221" i="20"/>
  <c r="DH128" i="20"/>
  <c r="CZ128" i="20" s="1"/>
  <c r="BD126" i="25" s="1"/>
  <c r="DF94" i="20"/>
  <c r="DG129" i="20"/>
  <c r="DN220" i="20"/>
  <c r="DF231" i="20"/>
  <c r="DF110" i="20"/>
  <c r="CS110" i="20" s="1"/>
  <c r="DF228" i="20"/>
  <c r="CS228" i="20" s="1"/>
  <c r="AW226" i="25" s="1"/>
  <c r="DG68" i="20"/>
  <c r="DF230" i="20"/>
  <c r="DF135" i="20"/>
  <c r="DF138" i="20"/>
  <c r="CS138" i="20" s="1"/>
  <c r="DG100" i="20"/>
  <c r="DG53" i="20"/>
  <c r="DG211" i="20"/>
  <c r="DM132" i="20"/>
  <c r="DG141" i="20"/>
  <c r="DG78" i="20"/>
  <c r="DM208" i="20"/>
  <c r="DF124" i="20"/>
  <c r="DH88" i="20"/>
  <c r="DG88" i="20"/>
  <c r="DF200" i="20"/>
  <c r="DH213" i="20"/>
  <c r="DG213" i="20"/>
  <c r="DG79" i="20"/>
  <c r="DK121" i="20"/>
  <c r="DU208" i="20"/>
  <c r="DJ75" i="20"/>
  <c r="DF147" i="20"/>
  <c r="DF126" i="20"/>
  <c r="CS126" i="20" s="1"/>
  <c r="DG204" i="20"/>
  <c r="DF137" i="20"/>
  <c r="DG230" i="20"/>
  <c r="DG55" i="20"/>
  <c r="DG117" i="20"/>
  <c r="DG103" i="20"/>
  <c r="DG76" i="20"/>
  <c r="DL75" i="20"/>
  <c r="DG125" i="20"/>
  <c r="DG114" i="20"/>
  <c r="DL132" i="20"/>
  <c r="DV4" i="20"/>
  <c r="DM63" i="20"/>
  <c r="DO220" i="20"/>
  <c r="DL144" i="20"/>
  <c r="DJ203" i="20"/>
  <c r="DF76" i="20"/>
  <c r="CS76" i="20" s="1"/>
  <c r="DF69" i="20"/>
  <c r="DF65" i="20"/>
  <c r="CS65" i="20" s="1"/>
  <c r="AW63" i="25" s="1"/>
  <c r="DH124" i="20"/>
  <c r="DG52" i="20"/>
  <c r="DH52" i="20"/>
  <c r="DF54" i="20"/>
  <c r="DH206" i="20"/>
  <c r="DF199" i="20"/>
  <c r="CS199" i="20" s="1"/>
  <c r="AW197" i="25" s="1"/>
  <c r="DK198" i="20"/>
  <c r="DG209" i="20"/>
  <c r="DG111" i="20"/>
  <c r="DJ220" i="20"/>
  <c r="DF100" i="20"/>
  <c r="DH227" i="20"/>
  <c r="DF139" i="20"/>
  <c r="DF146" i="20"/>
  <c r="CS146" i="20" s="1"/>
  <c r="AW144" i="25" s="1"/>
  <c r="DF134" i="20"/>
  <c r="DF91" i="20"/>
  <c r="DF64" i="20"/>
  <c r="CS64" i="20" s="1"/>
  <c r="DF114" i="20"/>
  <c r="DF221" i="20"/>
  <c r="DG65" i="20"/>
  <c r="DK98" i="20"/>
  <c r="DG66" i="20"/>
  <c r="DG145" i="20"/>
  <c r="DG95" i="20"/>
  <c r="DG102" i="20"/>
  <c r="DG104" i="20"/>
  <c r="DG229" i="20"/>
  <c r="DM51" i="20"/>
  <c r="DJ132" i="20"/>
  <c r="DH139" i="20"/>
  <c r="DG139" i="20"/>
  <c r="DH137" i="20"/>
  <c r="DG137" i="20"/>
  <c r="DH92" i="20"/>
  <c r="DF83" i="20"/>
  <c r="CS83" i="20" s="1"/>
  <c r="DK203" i="20"/>
  <c r="DF204" i="20"/>
  <c r="DR226" i="20"/>
  <c r="DG147" i="20"/>
  <c r="DG71" i="20"/>
  <c r="DG91" i="20"/>
  <c r="DS220" i="20"/>
  <c r="DG96" i="20"/>
  <c r="DL86" i="20"/>
  <c r="DR208" i="20"/>
  <c r="DH214" i="20"/>
  <c r="DG224" i="20"/>
  <c r="DF224" i="20"/>
  <c r="DF215" i="20"/>
  <c r="DH61" i="20"/>
  <c r="DH73" i="20"/>
  <c r="DM4" i="20"/>
  <c r="DR51" i="20"/>
  <c r="DG215" i="20"/>
  <c r="DT208" i="20"/>
  <c r="DH215" i="20"/>
  <c r="DH96" i="20"/>
  <c r="DJ86" i="20"/>
  <c r="DN63" i="20"/>
  <c r="DN4" i="20"/>
  <c r="DG216" i="20"/>
  <c r="DR4" i="20"/>
  <c r="DF142" i="20"/>
  <c r="DK132" i="20"/>
  <c r="DF223" i="20"/>
  <c r="DK220" i="20"/>
  <c r="DL220" i="20"/>
  <c r="DG223" i="20"/>
  <c r="DL63" i="20"/>
  <c r="DG73" i="20"/>
  <c r="DF61" i="20"/>
  <c r="DK51" i="20"/>
  <c r="DS4" i="20"/>
  <c r="DF73" i="20"/>
  <c r="DH224" i="20"/>
  <c r="DR132" i="20"/>
  <c r="DK208" i="20"/>
  <c r="DF214" i="20"/>
  <c r="DL208" i="20"/>
  <c r="DG214" i="20"/>
  <c r="DP4" i="20"/>
  <c r="DO4" i="20"/>
  <c r="DV63" i="20"/>
  <c r="DJ109" i="20"/>
  <c r="DF119" i="20"/>
  <c r="DH119" i="20"/>
  <c r="DL4" i="20"/>
  <c r="DF216" i="20"/>
  <c r="CS216" i="20" s="1"/>
  <c r="CU216" i="20" s="1"/>
  <c r="DN208" i="20"/>
  <c r="DG119" i="20"/>
  <c r="DL109" i="20"/>
  <c r="DR63" i="20"/>
  <c r="DH216" i="20"/>
  <c r="DG61" i="20"/>
  <c r="DT4" i="20"/>
  <c r="DJ4" i="20"/>
  <c r="DU4" i="20"/>
  <c r="DK86" i="20"/>
  <c r="DF96" i="20"/>
  <c r="DR220" i="20"/>
  <c r="F212" i="20"/>
  <c r="BH215" i="20"/>
  <c r="AE213" i="25" s="1"/>
  <c r="AC161" i="20"/>
  <c r="BG179" i="20"/>
  <c r="AD177" i="25" s="1"/>
  <c r="F177" i="25" s="1"/>
  <c r="F215" i="20"/>
  <c r="AU218" i="25"/>
  <c r="BH216" i="20"/>
  <c r="AE214" i="25" s="1"/>
  <c r="AC165" i="20"/>
  <c r="S163" i="25" s="1"/>
  <c r="AC192" i="20"/>
  <c r="AD192" i="20" s="1"/>
  <c r="T190" i="25" s="1"/>
  <c r="O23" i="20"/>
  <c r="AD163" i="20"/>
  <c r="T161" i="25" s="1"/>
  <c r="BM149" i="20"/>
  <c r="BN149" i="20" s="1"/>
  <c r="AK147" i="25" s="1"/>
  <c r="F211" i="20"/>
  <c r="ED218" i="20"/>
  <c r="BO216" i="25" s="1"/>
  <c r="BP124" i="20"/>
  <c r="BH124" i="20" s="1"/>
  <c r="AF9" i="20"/>
  <c r="R161" i="25"/>
  <c r="W5" i="20"/>
  <c r="E24" i="22" s="1"/>
  <c r="E25" i="22" s="1"/>
  <c r="BQ234" i="25"/>
  <c r="BQ233" i="25" s="1"/>
  <c r="BH157" i="20"/>
  <c r="AE155" i="25" s="1"/>
  <c r="EA130" i="20"/>
  <c r="BL128" i="25" s="1"/>
  <c r="EC228" i="20"/>
  <c r="BN226" i="25" s="1"/>
  <c r="EA127" i="20"/>
  <c r="BL125" i="25" s="1"/>
  <c r="AD193" i="25"/>
  <c r="F193" i="25" s="1"/>
  <c r="F204" i="20"/>
  <c r="AD198" i="25"/>
  <c r="F198" i="25" s="1"/>
  <c r="AU213" i="25"/>
  <c r="F213" i="25" s="1"/>
  <c r="AU196" i="25"/>
  <c r="CV236" i="20"/>
  <c r="F199" i="20"/>
  <c r="R164" i="25"/>
  <c r="BM157" i="20"/>
  <c r="AJ155" i="25" s="1"/>
  <c r="F147" i="20"/>
  <c r="AV233" i="25"/>
  <c r="AM207" i="25"/>
  <c r="AU229" i="25"/>
  <c r="AU224" i="25" s="1"/>
  <c r="AC177" i="20"/>
  <c r="S175" i="25" s="1"/>
  <c r="I236" i="20"/>
  <c r="CT235" i="20"/>
  <c r="CT233" i="20" s="1"/>
  <c r="AU145" i="25"/>
  <c r="F145" i="25" s="1"/>
  <c r="BG164" i="20"/>
  <c r="F164" i="20" s="1"/>
  <c r="M201" i="25"/>
  <c r="F60" i="20"/>
  <c r="Z9" i="20"/>
  <c r="M196" i="25"/>
  <c r="F58" i="25"/>
  <c r="BH211" i="20"/>
  <c r="AE209" i="25" s="1"/>
  <c r="EB17" i="20"/>
  <c r="BM15" i="25" s="1"/>
  <c r="AD193" i="20"/>
  <c r="T191" i="25" s="1"/>
  <c r="BL218" i="20"/>
  <c r="AI216" i="25" s="1"/>
  <c r="AU233" i="25"/>
  <c r="AM151" i="25"/>
  <c r="BH153" i="20"/>
  <c r="AE151" i="25" s="1"/>
  <c r="M146" i="25"/>
  <c r="F146" i="25" s="1"/>
  <c r="O17" i="20"/>
  <c r="M84" i="25"/>
  <c r="BG167" i="20"/>
  <c r="AD166" i="25"/>
  <c r="F166" i="25" s="1"/>
  <c r="F168" i="20"/>
  <c r="AU215" i="25"/>
  <c r="BR217" i="20"/>
  <c r="AO215" i="25" s="1"/>
  <c r="AD119" i="25"/>
  <c r="X39" i="20"/>
  <c r="N37" i="25" s="1"/>
  <c r="BL206" i="25"/>
  <c r="BG192" i="20"/>
  <c r="AD190" i="25" s="1"/>
  <c r="F190" i="25" s="1"/>
  <c r="AO146" i="25"/>
  <c r="BS148" i="20"/>
  <c r="AP146" i="25" s="1"/>
  <c r="EK213" i="20"/>
  <c r="BV211" i="25" s="1"/>
  <c r="BM165" i="20"/>
  <c r="AJ163" i="25" s="1"/>
  <c r="BG5" i="20"/>
  <c r="F24" i="22" s="1"/>
  <c r="F25" i="22" s="1"/>
  <c r="AD218" i="25"/>
  <c r="EB30" i="20"/>
  <c r="BM28" i="25" s="1"/>
  <c r="BN185" i="20"/>
  <c r="AK183" i="25" s="1"/>
  <c r="AJ183" i="25"/>
  <c r="F146" i="20"/>
  <c r="AM179" i="25"/>
  <c r="AM216" i="25"/>
  <c r="EJ213" i="20"/>
  <c r="BU211" i="25" s="1"/>
  <c r="EM97" i="20"/>
  <c r="EN97" i="20" s="1"/>
  <c r="F201" i="20"/>
  <c r="EC9" i="20"/>
  <c r="BH23" i="20"/>
  <c r="AE21" i="25" s="1"/>
  <c r="G240" i="20"/>
  <c r="H240" i="20" s="1"/>
  <c r="CQ5" i="20"/>
  <c r="G24" i="22" s="1"/>
  <c r="G25" i="22" s="1"/>
  <c r="BL212" i="20"/>
  <c r="AI210" i="25" s="1"/>
  <c r="AD73" i="25"/>
  <c r="AD187" i="20"/>
  <c r="T185" i="25" s="1"/>
  <c r="AD166" i="20"/>
  <c r="T164" i="25" s="1"/>
  <c r="BG160" i="20"/>
  <c r="AD158" i="25" s="1"/>
  <c r="F158" i="25" s="1"/>
  <c r="F70" i="20"/>
  <c r="AC183" i="20"/>
  <c r="R148" i="25"/>
  <c r="AC150" i="20"/>
  <c r="BG183" i="20"/>
  <c r="BI183" i="20" s="1"/>
  <c r="BQ183" i="20" s="1"/>
  <c r="BR183" i="20" s="1"/>
  <c r="BS183" i="20" s="1"/>
  <c r="BG184" i="20"/>
  <c r="BI184" i="20" s="1"/>
  <c r="R166" i="25"/>
  <c r="AC168" i="20"/>
  <c r="BG151" i="20"/>
  <c r="BG152" i="20"/>
  <c r="F57" i="20"/>
  <c r="AD55" i="25"/>
  <c r="F55" i="25" s="1"/>
  <c r="M73" i="25"/>
  <c r="BG176" i="20"/>
  <c r="BG175" i="20"/>
  <c r="BG187" i="20"/>
  <c r="BG188" i="20"/>
  <c r="AC157" i="20"/>
  <c r="AM208" i="25"/>
  <c r="ED213" i="20"/>
  <c r="BO211" i="25" s="1"/>
  <c r="BI222" i="20"/>
  <c r="AF220" i="25" s="1"/>
  <c r="AU143" i="25"/>
  <c r="F143" i="25" s="1"/>
  <c r="AC160" i="20"/>
  <c r="AD160" i="20" s="1"/>
  <c r="BG155" i="20"/>
  <c r="BG156" i="20"/>
  <c r="EE213" i="20"/>
  <c r="BP211" i="25" s="1"/>
  <c r="F128" i="20"/>
  <c r="F21" i="25"/>
  <c r="AU52" i="25"/>
  <c r="F163" i="20"/>
  <c r="BN21" i="25"/>
  <c r="EB23" i="20"/>
  <c r="BM21" i="25" s="1"/>
  <c r="AD167" i="20"/>
  <c r="T165" i="25" s="1"/>
  <c r="AC172" i="20"/>
  <c r="S170" i="25" s="1"/>
  <c r="R152" i="25"/>
  <c r="AC154" i="20"/>
  <c r="R184" i="25"/>
  <c r="AC186" i="20"/>
  <c r="S184" i="25" s="1"/>
  <c r="EZ208" i="20"/>
  <c r="FC132" i="20"/>
  <c r="EY226" i="20"/>
  <c r="AX115" i="20"/>
  <c r="AN115" i="20" s="1"/>
  <c r="AX82" i="20"/>
  <c r="AN82" i="20" s="1"/>
  <c r="AL53" i="20"/>
  <c r="Y53" i="20" s="1"/>
  <c r="BB220" i="20"/>
  <c r="AX81" i="20"/>
  <c r="AN81" i="20" s="1"/>
  <c r="AX228" i="20"/>
  <c r="AN228" i="20" s="1"/>
  <c r="CR23" i="20"/>
  <c r="AV21" i="25" s="1"/>
  <c r="AW21" i="25"/>
  <c r="AM163" i="25"/>
  <c r="BH165" i="20"/>
  <c r="AE163" i="25" s="1"/>
  <c r="AU56" i="25"/>
  <c r="F136" i="20"/>
  <c r="M134" i="25"/>
  <c r="O9" i="25"/>
  <c r="H9" i="25" s="1"/>
  <c r="Y9" i="20"/>
  <c r="X11" i="20"/>
  <c r="AM144" i="25"/>
  <c r="BH146" i="20"/>
  <c r="AE144" i="25" s="1"/>
  <c r="AU138" i="25"/>
  <c r="F135" i="20"/>
  <c r="M133" i="25"/>
  <c r="F133" i="25" s="1"/>
  <c r="O21" i="25"/>
  <c r="X23" i="20"/>
  <c r="AM147" i="25"/>
  <c r="BH149" i="20"/>
  <c r="AE147" i="25" s="1"/>
  <c r="M65" i="25"/>
  <c r="F67" i="20"/>
  <c r="AD84" i="25"/>
  <c r="AU124" i="25"/>
  <c r="AD170" i="25"/>
  <c r="F170" i="25" s="1"/>
  <c r="F172" i="20"/>
  <c r="BD21" i="25"/>
  <c r="CZ9" i="20"/>
  <c r="S162" i="25"/>
  <c r="AD164" i="20"/>
  <c r="T162" i="25" s="1"/>
  <c r="BH213" i="20"/>
  <c r="AE211" i="25" s="1"/>
  <c r="AM211" i="25"/>
  <c r="AO147" i="25"/>
  <c r="BT149" i="20"/>
  <c r="AQ147" i="25" s="1"/>
  <c r="AU134" i="25"/>
  <c r="AD71" i="25"/>
  <c r="F73" i="20"/>
  <c r="F104" i="20"/>
  <c r="BR212" i="20"/>
  <c r="AO210" i="25" s="1"/>
  <c r="M64" i="25"/>
  <c r="F66" i="20"/>
  <c r="BN148" i="20"/>
  <c r="AK146" i="25" s="1"/>
  <c r="BL215" i="20"/>
  <c r="AI213" i="25" s="1"/>
  <c r="BJ163" i="20"/>
  <c r="CT9" i="20"/>
  <c r="BO15" i="25"/>
  <c r="I17" i="20"/>
  <c r="ED9" i="20"/>
  <c r="AU123" i="25"/>
  <c r="AD169" i="25"/>
  <c r="F169" i="25" s="1"/>
  <c r="F171" i="20"/>
  <c r="EJ211" i="20"/>
  <c r="AU117" i="25"/>
  <c r="AU71" i="25"/>
  <c r="EB235" i="20"/>
  <c r="EB233" i="20" s="1"/>
  <c r="BP64" i="20"/>
  <c r="AM62" i="25" s="1"/>
  <c r="M50" i="25"/>
  <c r="F52" i="20"/>
  <c r="AU128" i="25"/>
  <c r="M122" i="25"/>
  <c r="AU62" i="25"/>
  <c r="F197" i="25"/>
  <c r="AD195" i="20"/>
  <c r="T193" i="25" s="1"/>
  <c r="AD68" i="25"/>
  <c r="F68" i="25" s="1"/>
  <c r="ED223" i="20"/>
  <c r="BO221" i="25" s="1"/>
  <c r="AI167" i="25"/>
  <c r="BI64" i="20"/>
  <c r="BK64" i="20" s="1"/>
  <c r="BL64" i="20" s="1"/>
  <c r="BM64" i="20" s="1"/>
  <c r="BI65" i="20"/>
  <c r="BK65" i="20" s="1"/>
  <c r="BL65" i="20" s="1"/>
  <c r="BI163" i="20"/>
  <c r="M57" i="25"/>
  <c r="F57" i="25" s="1"/>
  <c r="F59" i="20"/>
  <c r="O236" i="20"/>
  <c r="V234" i="25"/>
  <c r="AF235" i="20"/>
  <c r="V233" i="25" s="1"/>
  <c r="AU120" i="25"/>
  <c r="AU109" i="25"/>
  <c r="AU64" i="25"/>
  <c r="F199" i="25"/>
  <c r="AD157" i="25"/>
  <c r="F157" i="25" s="1"/>
  <c r="F159" i="20"/>
  <c r="AC184" i="20"/>
  <c r="AU51" i="25"/>
  <c r="M128" i="25"/>
  <c r="AU115" i="25"/>
  <c r="O15" i="25"/>
  <c r="X17" i="20"/>
  <c r="N15" i="25" s="1"/>
  <c r="F234" i="25"/>
  <c r="AD233" i="25"/>
  <c r="F141" i="20"/>
  <c r="AI151" i="25"/>
  <c r="BM153" i="20"/>
  <c r="M52" i="25"/>
  <c r="F54" i="20"/>
  <c r="AU110" i="25"/>
  <c r="M137" i="25"/>
  <c r="F137" i="25" s="1"/>
  <c r="F139" i="20"/>
  <c r="AU65" i="25"/>
  <c r="AU102" i="25"/>
  <c r="AU132" i="25"/>
  <c r="AG234" i="25"/>
  <c r="AG233" i="25" s="1"/>
  <c r="I233" i="25" s="1"/>
  <c r="BL236" i="20"/>
  <c r="K236" i="20" s="1"/>
  <c r="BJ235" i="20"/>
  <c r="BJ233" i="20" s="1"/>
  <c r="AO144" i="25"/>
  <c r="BT146" i="20"/>
  <c r="AQ144" i="25" s="1"/>
  <c r="M54" i="25"/>
  <c r="F54" i="25" s="1"/>
  <c r="F56" i="20"/>
  <c r="AD155" i="20"/>
  <c r="T153" i="25" s="1"/>
  <c r="BJ81" i="20"/>
  <c r="AG79" i="25" s="1"/>
  <c r="EJ212" i="20"/>
  <c r="BU210" i="25" s="1"/>
  <c r="AU100" i="25"/>
  <c r="AU59" i="25"/>
  <c r="AU139" i="25"/>
  <c r="R183" i="25"/>
  <c r="AD185" i="20"/>
  <c r="T183" i="25" s="1"/>
  <c r="AU125" i="25"/>
  <c r="I23" i="20"/>
  <c r="AW15" i="25"/>
  <c r="CS9" i="20"/>
  <c r="CR17" i="20"/>
  <c r="AV15" i="25" s="1"/>
  <c r="M63" i="25"/>
  <c r="F65" i="20"/>
  <c r="ED211" i="20"/>
  <c r="BO209" i="25" s="1"/>
  <c r="AU126" i="25"/>
  <c r="F126" i="25" s="1"/>
  <c r="CS128" i="20"/>
  <c r="AU135" i="25"/>
  <c r="AM171" i="25"/>
  <c r="AU131" i="25"/>
  <c r="AU50" i="25"/>
  <c r="O28" i="25"/>
  <c r="H28" i="25" s="1"/>
  <c r="X30" i="20"/>
  <c r="CS233" i="20"/>
  <c r="CR235" i="20"/>
  <c r="CR233" i="20" s="1"/>
  <c r="F134" i="20"/>
  <c r="M132" i="25"/>
  <c r="AD62" i="25"/>
  <c r="F64" i="20"/>
  <c r="AL230" i="20"/>
  <c r="Y230" i="20" s="1"/>
  <c r="O228" i="25" s="1"/>
  <c r="AV198" i="20"/>
  <c r="BB198" i="20"/>
  <c r="AT51" i="20"/>
  <c r="AR83" i="20"/>
  <c r="AM83" i="20" s="1"/>
  <c r="AT226" i="20"/>
  <c r="AR124" i="20"/>
  <c r="AM124" i="20" s="1"/>
  <c r="AX102" i="20"/>
  <c r="AN102" i="20" s="1"/>
  <c r="AT220" i="20"/>
  <c r="AU75" i="20"/>
  <c r="AP220" i="20"/>
  <c r="AR126" i="20"/>
  <c r="AM126" i="20" s="1"/>
  <c r="AV121" i="20"/>
  <c r="AV208" i="20"/>
  <c r="AL100" i="20"/>
  <c r="Y100" i="20" s="1"/>
  <c r="AP51" i="20"/>
  <c r="AT208" i="20"/>
  <c r="AL105" i="20"/>
  <c r="Y105" i="20" s="1"/>
  <c r="BA203" i="20"/>
  <c r="AX54" i="20"/>
  <c r="AN54" i="20" s="1"/>
  <c r="AZ75" i="20"/>
  <c r="BA98" i="20"/>
  <c r="AT198" i="20"/>
  <c r="AP121" i="20"/>
  <c r="AX142" i="20"/>
  <c r="AN142" i="20" s="1"/>
  <c r="AX139" i="20"/>
  <c r="AN139" i="20" s="1"/>
  <c r="AX104" i="20"/>
  <c r="AN104" i="20" s="1"/>
  <c r="AX84" i="20"/>
  <c r="AN84" i="20" s="1"/>
  <c r="AX91" i="20"/>
  <c r="AN91" i="20" s="1"/>
  <c r="AU203" i="20"/>
  <c r="AR205" i="20"/>
  <c r="AM205" i="20" s="1"/>
  <c r="AX130" i="20"/>
  <c r="AN130" i="20" s="1"/>
  <c r="AR70" i="20"/>
  <c r="AM70" i="20" s="1"/>
  <c r="AX96" i="20"/>
  <c r="AN96" i="20" s="1"/>
  <c r="AR78" i="20"/>
  <c r="AM78" i="20" s="1"/>
  <c r="BB51" i="20"/>
  <c r="AX112" i="20"/>
  <c r="AN112" i="20" s="1"/>
  <c r="AX88" i="20"/>
  <c r="AN88" i="20" s="1"/>
  <c r="AU226" i="20"/>
  <c r="AX93" i="20"/>
  <c r="AN93" i="20" s="1"/>
  <c r="AX66" i="20"/>
  <c r="AN66" i="20" s="1"/>
  <c r="AR228" i="20"/>
  <c r="AM228" i="20" s="1"/>
  <c r="AR201" i="20"/>
  <c r="AM201" i="20" s="1"/>
  <c r="BB86" i="20"/>
  <c r="AX57" i="20"/>
  <c r="AN57" i="20" s="1"/>
  <c r="AP144" i="20"/>
  <c r="AU132" i="20"/>
  <c r="AL204" i="20"/>
  <c r="AQ203" i="20"/>
  <c r="AL227" i="20"/>
  <c r="Y227" i="20" s="1"/>
  <c r="AQ226" i="20"/>
  <c r="BA132" i="20"/>
  <c r="AU220" i="20"/>
  <c r="AL210" i="20"/>
  <c r="AX52" i="20"/>
  <c r="AY51" i="20"/>
  <c r="AR212" i="20"/>
  <c r="AM212" i="20" s="1"/>
  <c r="AL140" i="20"/>
  <c r="AX105" i="20"/>
  <c r="AN105" i="20" s="1"/>
  <c r="AR147" i="20"/>
  <c r="AM147" i="20" s="1"/>
  <c r="AL92" i="20"/>
  <c r="AX137" i="20"/>
  <c r="AN137" i="20" s="1"/>
  <c r="AL66" i="20"/>
  <c r="AL104" i="20"/>
  <c r="AL139" i="20"/>
  <c r="AL116" i="20"/>
  <c r="Y116" i="20" s="1"/>
  <c r="AR221" i="20"/>
  <c r="AM221" i="20" s="1"/>
  <c r="AS220" i="20"/>
  <c r="AU208" i="20"/>
  <c r="AR79" i="20"/>
  <c r="AM79" i="20" s="1"/>
  <c r="AR89" i="20"/>
  <c r="AM89" i="20" s="1"/>
  <c r="AX59" i="20"/>
  <c r="AN59" i="20" s="1"/>
  <c r="AU121" i="20"/>
  <c r="AR103" i="20"/>
  <c r="AM103" i="20" s="1"/>
  <c r="AL145" i="20"/>
  <c r="AQ144" i="20"/>
  <c r="AR59" i="20"/>
  <c r="AM59" i="20" s="1"/>
  <c r="AP198" i="20"/>
  <c r="AL148" i="20"/>
  <c r="AL126" i="20"/>
  <c r="AS208" i="20"/>
  <c r="AR209" i="20"/>
  <c r="AR65" i="20"/>
  <c r="AM65" i="20" s="1"/>
  <c r="BA51" i="20"/>
  <c r="AZ86" i="20"/>
  <c r="AY98" i="20"/>
  <c r="AX99" i="20"/>
  <c r="AX231" i="20"/>
  <c r="AN231" i="20" s="1"/>
  <c r="AX77" i="20"/>
  <c r="AN77" i="20" s="1"/>
  <c r="AR66" i="20"/>
  <c r="AM66" i="20" s="1"/>
  <c r="AR58" i="20"/>
  <c r="AM58" i="20" s="1"/>
  <c r="AS98" i="20"/>
  <c r="AR99" i="20"/>
  <c r="AM99" i="20" s="1"/>
  <c r="AY75" i="20"/>
  <c r="AX76" i="20"/>
  <c r="AR95" i="20"/>
  <c r="AM95" i="20" s="1"/>
  <c r="AX128" i="20"/>
  <c r="AN128" i="20" s="1"/>
  <c r="AL112" i="20"/>
  <c r="AR76" i="20"/>
  <c r="AM76" i="20" s="1"/>
  <c r="AS75" i="20"/>
  <c r="AX65" i="20"/>
  <c r="AN65" i="20" s="1"/>
  <c r="AX95" i="20"/>
  <c r="AN95" i="20" s="1"/>
  <c r="AU63" i="20"/>
  <c r="AX53" i="20"/>
  <c r="AN53" i="20" s="1"/>
  <c r="AR213" i="20"/>
  <c r="AM213" i="20" s="1"/>
  <c r="AL136" i="20"/>
  <c r="AX224" i="20"/>
  <c r="AN224" i="20" s="1"/>
  <c r="AR80" i="20"/>
  <c r="AM80" i="20" s="1"/>
  <c r="AY63" i="20"/>
  <c r="AX64" i="20"/>
  <c r="AL91" i="20"/>
  <c r="AR127" i="20"/>
  <c r="AM127" i="20" s="1"/>
  <c r="AR119" i="20"/>
  <c r="AM119" i="20" s="1"/>
  <c r="AX78" i="20"/>
  <c r="AN78" i="20" s="1"/>
  <c r="AV132" i="20"/>
  <c r="AL205" i="20"/>
  <c r="AU51" i="20"/>
  <c r="AR93" i="20"/>
  <c r="AM93" i="20" s="1"/>
  <c r="AS121" i="20"/>
  <c r="AR122" i="20"/>
  <c r="AM122" i="20" s="1"/>
  <c r="AX135" i="20"/>
  <c r="AN135" i="20" s="1"/>
  <c r="AQ75" i="20"/>
  <c r="AL76" i="20"/>
  <c r="AL67" i="20"/>
  <c r="AR77" i="20"/>
  <c r="AM77" i="20" s="1"/>
  <c r="AP75" i="20"/>
  <c r="AL77" i="20"/>
  <c r="AL216" i="20"/>
  <c r="Y216" i="20" s="1"/>
  <c r="O214" i="25" s="1"/>
  <c r="BB208" i="20"/>
  <c r="AL95" i="20"/>
  <c r="AT132" i="20"/>
  <c r="AL82" i="20"/>
  <c r="AX124" i="20"/>
  <c r="AN124" i="20" s="1"/>
  <c r="AL89" i="20"/>
  <c r="AS86" i="20"/>
  <c r="AR87" i="20"/>
  <c r="AM87" i="20" s="1"/>
  <c r="AX92" i="20"/>
  <c r="AN92" i="20" s="1"/>
  <c r="AR53" i="20"/>
  <c r="AM53" i="20" s="1"/>
  <c r="AR111" i="20"/>
  <c r="AM111" i="20" s="1"/>
  <c r="AX214" i="20"/>
  <c r="AN214" i="20" s="1"/>
  <c r="AR92" i="20"/>
  <c r="AM92" i="20" s="1"/>
  <c r="AX210" i="20"/>
  <c r="AN210" i="20" s="1"/>
  <c r="AX217" i="20"/>
  <c r="AN217" i="20" s="1"/>
  <c r="AX90" i="20"/>
  <c r="AN90" i="20" s="1"/>
  <c r="AR199" i="20"/>
  <c r="AM199" i="20" s="1"/>
  <c r="AL83" i="20"/>
  <c r="AX60" i="20"/>
  <c r="AN60" i="20" s="1"/>
  <c r="AL138" i="20"/>
  <c r="AX68" i="20"/>
  <c r="AN68" i="20" s="1"/>
  <c r="AX211" i="20"/>
  <c r="AN211" i="20" s="1"/>
  <c r="AX136" i="20"/>
  <c r="AN136" i="20" s="1"/>
  <c r="AX229" i="20"/>
  <c r="AN229" i="20" s="1"/>
  <c r="AX127" i="20"/>
  <c r="AN127" i="20" s="1"/>
  <c r="AR216" i="20"/>
  <c r="AM216" i="20" s="1"/>
  <c r="AP86" i="20"/>
  <c r="AV86" i="20"/>
  <c r="AQ63" i="20"/>
  <c r="AL64" i="20"/>
  <c r="AR141" i="20"/>
  <c r="AM141" i="20" s="1"/>
  <c r="AX72" i="20"/>
  <c r="AN72" i="20" s="1"/>
  <c r="AX201" i="20"/>
  <c r="AN201" i="20" s="1"/>
  <c r="AX218" i="20"/>
  <c r="AN218" i="20" s="1"/>
  <c r="AX101" i="20"/>
  <c r="AN101" i="20" s="1"/>
  <c r="AX138" i="20"/>
  <c r="AN138" i="20" s="1"/>
  <c r="AP109" i="20"/>
  <c r="AR224" i="20"/>
  <c r="AM224" i="20" s="1"/>
  <c r="AL93" i="20"/>
  <c r="AL223" i="20"/>
  <c r="BB203" i="20"/>
  <c r="AL218" i="20"/>
  <c r="Y218" i="20" s="1"/>
  <c r="O216" i="25" s="1"/>
  <c r="AT75" i="20"/>
  <c r="AL56" i="20"/>
  <c r="AL201" i="20"/>
  <c r="AR137" i="20"/>
  <c r="AM137" i="20" s="1"/>
  <c r="AL128" i="20"/>
  <c r="AR115" i="20"/>
  <c r="AM115" i="20" s="1"/>
  <c r="AZ220" i="20"/>
  <c r="AL87" i="20"/>
  <c r="AQ86" i="20"/>
  <c r="AR107" i="20"/>
  <c r="AM107" i="20" s="1"/>
  <c r="AL141" i="20"/>
  <c r="AR72" i="20"/>
  <c r="AM72" i="20" s="1"/>
  <c r="AL229" i="20"/>
  <c r="AS226" i="20"/>
  <c r="AR227" i="20"/>
  <c r="AM227" i="20" s="1"/>
  <c r="AL125" i="20"/>
  <c r="AL69" i="20"/>
  <c r="AL54" i="20"/>
  <c r="AL221" i="20"/>
  <c r="Y221" i="20" s="1"/>
  <c r="AG221" i="20" s="1"/>
  <c r="AQ220" i="20"/>
  <c r="AL213" i="20"/>
  <c r="AL71" i="20"/>
  <c r="AR54" i="20"/>
  <c r="AM54" i="20" s="1"/>
  <c r="BA208" i="20"/>
  <c r="AZ98" i="20"/>
  <c r="BB132" i="20"/>
  <c r="AT121" i="20"/>
  <c r="BB144" i="20"/>
  <c r="AV144" i="20"/>
  <c r="AY226" i="20"/>
  <c r="AX227" i="20"/>
  <c r="AT98" i="20"/>
  <c r="AL73" i="20"/>
  <c r="AR64" i="20"/>
  <c r="AM64" i="20" s="1"/>
  <c r="AS63" i="20"/>
  <c r="AX216" i="20"/>
  <c r="AN216" i="20" s="1"/>
  <c r="AX126" i="20"/>
  <c r="AN126" i="20" s="1"/>
  <c r="AL142" i="20"/>
  <c r="AZ203" i="20"/>
  <c r="AU144" i="20"/>
  <c r="AX205" i="20"/>
  <c r="AN205" i="20" s="1"/>
  <c r="AR96" i="20"/>
  <c r="AM96" i="20" s="1"/>
  <c r="AR217" i="20"/>
  <c r="AM217" i="20" s="1"/>
  <c r="AV220" i="20"/>
  <c r="AL81" i="20"/>
  <c r="AL70" i="20"/>
  <c r="AR105" i="20"/>
  <c r="AM105" i="20" s="1"/>
  <c r="BB226" i="20"/>
  <c r="AL212" i="20"/>
  <c r="AL122" i="20"/>
  <c r="AQ121" i="20"/>
  <c r="BA109" i="20"/>
  <c r="AR210" i="20"/>
  <c r="AM210" i="20" s="1"/>
  <c r="AX67" i="20"/>
  <c r="AN67" i="20" s="1"/>
  <c r="AX125" i="20"/>
  <c r="AN125" i="20" s="1"/>
  <c r="AL88" i="20"/>
  <c r="AR218" i="20"/>
  <c r="AM218" i="20" s="1"/>
  <c r="AL123" i="20"/>
  <c r="BA226" i="20"/>
  <c r="AL68" i="20"/>
  <c r="AV109" i="20"/>
  <c r="AR211" i="20"/>
  <c r="AM211" i="20" s="1"/>
  <c r="BA198" i="20"/>
  <c r="AR68" i="20"/>
  <c r="AM68" i="20" s="1"/>
  <c r="AL80" i="20"/>
  <c r="AP226" i="20"/>
  <c r="AL119" i="20"/>
  <c r="BA220" i="20"/>
  <c r="AR138" i="20"/>
  <c r="AM138" i="20" s="1"/>
  <c r="AR112" i="20"/>
  <c r="AM112" i="20" s="1"/>
  <c r="AL224" i="20"/>
  <c r="AL129" i="20"/>
  <c r="AR134" i="20"/>
  <c r="AM134" i="20" s="1"/>
  <c r="AX129" i="20"/>
  <c r="AN129" i="20" s="1"/>
  <c r="AR223" i="20"/>
  <c r="AM223" i="20" s="1"/>
  <c r="AL59" i="20"/>
  <c r="AX118" i="20"/>
  <c r="AN118" i="20" s="1"/>
  <c r="AZ144" i="20"/>
  <c r="AX145" i="20"/>
  <c r="AY144" i="20"/>
  <c r="AP208" i="20"/>
  <c r="AL106" i="20"/>
  <c r="AR125" i="20"/>
  <c r="AM125" i="20" s="1"/>
  <c r="AR90" i="20"/>
  <c r="AM90" i="20" s="1"/>
  <c r="AR106" i="20"/>
  <c r="AM106" i="20" s="1"/>
  <c r="AZ121" i="20"/>
  <c r="AX83" i="20"/>
  <c r="AN83" i="20" s="1"/>
  <c r="AP203" i="20"/>
  <c r="AP63" i="20"/>
  <c r="AX107" i="20"/>
  <c r="AN107" i="20" s="1"/>
  <c r="AL147" i="20"/>
  <c r="AX146" i="20"/>
  <c r="AN146" i="20" s="1"/>
  <c r="AR104" i="20"/>
  <c r="AM104" i="20" s="1"/>
  <c r="AZ208" i="20"/>
  <c r="AX119" i="20"/>
  <c r="AN119" i="20" s="1"/>
  <c r="AR129" i="20"/>
  <c r="AM129" i="20" s="1"/>
  <c r="AX116" i="20"/>
  <c r="AN116" i="20" s="1"/>
  <c r="AX69" i="20"/>
  <c r="AN69" i="20" s="1"/>
  <c r="AR214" i="20"/>
  <c r="AM214" i="20" s="1"/>
  <c r="AL78" i="20"/>
  <c r="AL84" i="20"/>
  <c r="AX213" i="20"/>
  <c r="AN213" i="20" s="1"/>
  <c r="AV75" i="20"/>
  <c r="AX103" i="20"/>
  <c r="AN103" i="20" s="1"/>
  <c r="AR82" i="20"/>
  <c r="AM82" i="20" s="1"/>
  <c r="AL137" i="20"/>
  <c r="AX148" i="20"/>
  <c r="AN148" i="20" s="1"/>
  <c r="AQ51" i="20"/>
  <c r="AL52" i="20"/>
  <c r="AS132" i="20"/>
  <c r="AR133" i="20"/>
  <c r="AM133" i="20" s="1"/>
  <c r="AL124" i="20"/>
  <c r="AR229" i="20"/>
  <c r="AM229" i="20" s="1"/>
  <c r="AR206" i="20"/>
  <c r="AM206" i="20" s="1"/>
  <c r="AT86" i="20"/>
  <c r="AL65" i="20"/>
  <c r="AR136" i="20"/>
  <c r="AM136" i="20" s="1"/>
  <c r="AL217" i="20"/>
  <c r="AR116" i="20"/>
  <c r="AM116" i="20" s="1"/>
  <c r="AR142" i="20"/>
  <c r="AM142" i="20" s="1"/>
  <c r="AZ109" i="20"/>
  <c r="AR118" i="20"/>
  <c r="AM118" i="20" s="1"/>
  <c r="AR123" i="20"/>
  <c r="AM123" i="20" s="1"/>
  <c r="AX222" i="20"/>
  <c r="AN222" i="20" s="1"/>
  <c r="AR230" i="20"/>
  <c r="AM230" i="20" s="1"/>
  <c r="AR139" i="20"/>
  <c r="AM139" i="20" s="1"/>
  <c r="AX100" i="20"/>
  <c r="AN100" i="20" s="1"/>
  <c r="AX147" i="20"/>
  <c r="AN147" i="20" s="1"/>
  <c r="AR140" i="20"/>
  <c r="AM140" i="20" s="1"/>
  <c r="AL103" i="20"/>
  <c r="Y103" i="20" s="1"/>
  <c r="AR73" i="20"/>
  <c r="AM73" i="20" s="1"/>
  <c r="AY121" i="20"/>
  <c r="AX122" i="20"/>
  <c r="AL214" i="20"/>
  <c r="AR110" i="20"/>
  <c r="AM110" i="20" s="1"/>
  <c r="AS109" i="20"/>
  <c r="AU198" i="20"/>
  <c r="AU98" i="20"/>
  <c r="AL206" i="20"/>
  <c r="AL57" i="20"/>
  <c r="AZ132" i="20"/>
  <c r="AL200" i="20"/>
  <c r="AL134" i="20"/>
  <c r="AX61" i="20"/>
  <c r="AN61" i="20" s="1"/>
  <c r="BA144" i="20"/>
  <c r="AX133" i="20"/>
  <c r="AY132" i="20"/>
  <c r="AR60" i="20"/>
  <c r="AM60" i="20" s="1"/>
  <c r="AL215" i="20"/>
  <c r="AR102" i="20"/>
  <c r="AM102" i="20" s="1"/>
  <c r="AL79" i="20"/>
  <c r="BA75" i="20"/>
  <c r="AP98" i="20"/>
  <c r="AR117" i="20"/>
  <c r="AM117" i="20" s="1"/>
  <c r="BB98" i="20"/>
  <c r="AX117" i="20"/>
  <c r="AN117" i="20" s="1"/>
  <c r="AL127" i="20"/>
  <c r="AX200" i="20"/>
  <c r="AN200" i="20" s="1"/>
  <c r="AQ198" i="20"/>
  <c r="AL199" i="20"/>
  <c r="AL118" i="20"/>
  <c r="AS198" i="20"/>
  <c r="AR135" i="20"/>
  <c r="AM135" i="20" s="1"/>
  <c r="AR130" i="20"/>
  <c r="AM130" i="20" s="1"/>
  <c r="AL94" i="20"/>
  <c r="Y94" i="20" s="1"/>
  <c r="AA94" i="20" s="1"/>
  <c r="AV98" i="20"/>
  <c r="AL231" i="20"/>
  <c r="Y231" i="20" s="1"/>
  <c r="AG231" i="20" s="1"/>
  <c r="W229" i="25" s="1"/>
  <c r="AL107" i="20"/>
  <c r="Y107" i="20" s="1"/>
  <c r="AR101" i="20"/>
  <c r="AM101" i="20" s="1"/>
  <c r="AY86" i="20"/>
  <c r="AX87" i="20"/>
  <c r="AZ51" i="20"/>
  <c r="AZ63" i="20"/>
  <c r="AR113" i="20"/>
  <c r="AM113" i="20" s="1"/>
  <c r="AV226" i="20"/>
  <c r="AR215" i="20"/>
  <c r="AM215" i="20" s="1"/>
  <c r="AR69" i="20"/>
  <c r="AM69" i="20" s="1"/>
  <c r="AX110" i="20"/>
  <c r="AY109" i="20"/>
  <c r="AX106" i="20"/>
  <c r="AN106" i="20" s="1"/>
  <c r="AL114" i="20"/>
  <c r="AL113" i="20"/>
  <c r="AL96" i="20"/>
  <c r="AR114" i="20"/>
  <c r="AM114" i="20" s="1"/>
  <c r="AR200" i="20"/>
  <c r="AM200" i="20" s="1"/>
  <c r="AL60" i="20"/>
  <c r="AR71" i="20"/>
  <c r="AM71" i="20" s="1"/>
  <c r="AX113" i="20"/>
  <c r="AN113" i="20" s="1"/>
  <c r="BA86" i="20"/>
  <c r="AR231" i="20"/>
  <c r="AM231" i="20" s="1"/>
  <c r="AR57" i="20"/>
  <c r="AM57" i="20" s="1"/>
  <c r="AR100" i="20"/>
  <c r="AM100" i="20" s="1"/>
  <c r="AR88" i="20"/>
  <c r="AM88" i="20" s="1"/>
  <c r="AS51" i="20"/>
  <c r="AR52" i="20"/>
  <c r="AM52" i="20" s="1"/>
  <c r="AL115" i="20"/>
  <c r="AT63" i="20"/>
  <c r="AR128" i="20"/>
  <c r="AM128" i="20" s="1"/>
  <c r="BB109" i="20"/>
  <c r="AR204" i="20"/>
  <c r="AM204" i="20" s="1"/>
  <c r="AS203" i="20"/>
  <c r="AQ208" i="20"/>
  <c r="AL209" i="20"/>
  <c r="AU109" i="20"/>
  <c r="AT109" i="20"/>
  <c r="AU86" i="20"/>
  <c r="AX111" i="20"/>
  <c r="AN111" i="20" s="1"/>
  <c r="AS144" i="20"/>
  <c r="AR145" i="20"/>
  <c r="AM145" i="20" s="1"/>
  <c r="BA121" i="20"/>
  <c r="AL130" i="20"/>
  <c r="BB75" i="20"/>
  <c r="AR94" i="20"/>
  <c r="AM94" i="20" s="1"/>
  <c r="AZ198" i="20"/>
  <c r="AR55" i="20"/>
  <c r="AM55" i="20" s="1"/>
  <c r="AY198" i="20"/>
  <c r="AX199" i="20"/>
  <c r="AL222" i="20"/>
  <c r="AX79" i="20"/>
  <c r="AN79" i="20" s="1"/>
  <c r="AL102" i="20"/>
  <c r="AQ132" i="20"/>
  <c r="AL133" i="20"/>
  <c r="BB63" i="20"/>
  <c r="AL110" i="20"/>
  <c r="AQ109" i="20"/>
  <c r="AR56" i="20"/>
  <c r="AM56" i="20" s="1"/>
  <c r="AL111" i="20"/>
  <c r="AX209" i="20"/>
  <c r="AY208" i="20"/>
  <c r="AL90" i="20"/>
  <c r="AX134" i="20"/>
  <c r="AN134" i="20" s="1"/>
  <c r="AX206" i="20"/>
  <c r="AN206" i="20" s="1"/>
  <c r="AZ226" i="20"/>
  <c r="AX70" i="20"/>
  <c r="AN70" i="20" s="1"/>
  <c r="AX230" i="20"/>
  <c r="AN230" i="20" s="1"/>
  <c r="AR81" i="20"/>
  <c r="AM81" i="20" s="1"/>
  <c r="AX212" i="20"/>
  <c r="AN212" i="20" s="1"/>
  <c r="AX55" i="20"/>
  <c r="AN55" i="20" s="1"/>
  <c r="AP132" i="20"/>
  <c r="AX221" i="20"/>
  <c r="AY220" i="20"/>
  <c r="AX94" i="20"/>
  <c r="AN94" i="20" s="1"/>
  <c r="AX223" i="20"/>
  <c r="AN223" i="20" s="1"/>
  <c r="AY203" i="20"/>
  <c r="AX204" i="20"/>
  <c r="AL72" i="20"/>
  <c r="AX71" i="20"/>
  <c r="AN71" i="20" s="1"/>
  <c r="AV51" i="20"/>
  <c r="BB121" i="20"/>
  <c r="AL117" i="20"/>
  <c r="Y117" i="20" s="1"/>
  <c r="AX89" i="20"/>
  <c r="AN89" i="20" s="1"/>
  <c r="AL135" i="20"/>
  <c r="AX56" i="20"/>
  <c r="AN56" i="20" s="1"/>
  <c r="AX73" i="20"/>
  <c r="AN73" i="20" s="1"/>
  <c r="AX58" i="20"/>
  <c r="AN58" i="20" s="1"/>
  <c r="AR148" i="20"/>
  <c r="AM148" i="20" s="1"/>
  <c r="AX114" i="20"/>
  <c r="AN114" i="20" s="1"/>
  <c r="AV63" i="20"/>
  <c r="AL101" i="20"/>
  <c r="AX215" i="20"/>
  <c r="AN215" i="20" s="1"/>
  <c r="BA63" i="20"/>
  <c r="AR84" i="20"/>
  <c r="AM84" i="20" s="1"/>
  <c r="AX141" i="20"/>
  <c r="AN141" i="20" s="1"/>
  <c r="AQ98" i="20"/>
  <c r="AL99" i="20"/>
  <c r="AR91" i="20"/>
  <c r="AM91" i="20" s="1"/>
  <c r="CJ109" i="20"/>
  <c r="CJ132" i="20"/>
  <c r="CJ226" i="20"/>
  <c r="CJ98" i="20"/>
  <c r="CH75" i="20"/>
  <c r="BX196" i="20"/>
  <c r="CJ75" i="20"/>
  <c r="CF132" i="20"/>
  <c r="CH132" i="20"/>
  <c r="BI79" i="20"/>
  <c r="BQ79" i="20" s="1"/>
  <c r="AN77" i="25" s="1"/>
  <c r="CE198" i="20"/>
  <c r="BQ211" i="20"/>
  <c r="BR211" i="20" s="1"/>
  <c r="AO209" i="25" s="1"/>
  <c r="BX172" i="20"/>
  <c r="BX142" i="20"/>
  <c r="BW52" i="20"/>
  <c r="BJ52" i="20" s="1"/>
  <c r="BW116" i="20"/>
  <c r="CB98" i="20"/>
  <c r="BX191" i="20"/>
  <c r="BV196" i="20"/>
  <c r="BX187" i="20"/>
  <c r="CD109" i="20"/>
  <c r="BW195" i="20"/>
  <c r="BW119" i="20"/>
  <c r="BV151" i="20"/>
  <c r="CI75" i="20"/>
  <c r="BX160" i="20"/>
  <c r="BQ209" i="20"/>
  <c r="CI208" i="20"/>
  <c r="BX199" i="20"/>
  <c r="CH198" i="20"/>
  <c r="CK203" i="20"/>
  <c r="CJ220" i="20"/>
  <c r="BV119" i="20"/>
  <c r="BI119" i="20" s="1"/>
  <c r="BQ210" i="20"/>
  <c r="BR210" i="20" s="1"/>
  <c r="AO208" i="25" s="1"/>
  <c r="CL132" i="20"/>
  <c r="CB220" i="20"/>
  <c r="CJ51" i="20"/>
  <c r="CL226" i="20"/>
  <c r="BX119" i="20"/>
  <c r="CL109" i="20"/>
  <c r="BL216" i="20"/>
  <c r="AI214" i="25" s="1"/>
  <c r="BW206" i="20"/>
  <c r="CF86" i="20"/>
  <c r="BI52" i="20"/>
  <c r="BQ52" i="20" s="1"/>
  <c r="BX105" i="20"/>
  <c r="BV105" i="20"/>
  <c r="BI105" i="20" s="1"/>
  <c r="CJ208" i="20"/>
  <c r="BV172" i="20"/>
  <c r="BV223" i="20"/>
  <c r="BI223" i="20" s="1"/>
  <c r="BK223" i="20" s="1"/>
  <c r="BW105" i="20"/>
  <c r="BZ203" i="20"/>
  <c r="BW204" i="20"/>
  <c r="CB121" i="20"/>
  <c r="BL209" i="20"/>
  <c r="AI207" i="25" s="1"/>
  <c r="CF208" i="20"/>
  <c r="BW73" i="20"/>
  <c r="CF198" i="20"/>
  <c r="CF98" i="20"/>
  <c r="BW187" i="20"/>
  <c r="BX195" i="20"/>
  <c r="CF63" i="20"/>
  <c r="CH121" i="20"/>
  <c r="CI226" i="20"/>
  <c r="BX116" i="20"/>
  <c r="BW60" i="20"/>
  <c r="BJ60" i="20" s="1"/>
  <c r="CD132" i="20"/>
  <c r="CL63" i="20"/>
  <c r="CI132" i="20"/>
  <c r="CF51" i="20"/>
  <c r="CI86" i="20"/>
  <c r="BQ214" i="20"/>
  <c r="BR214" i="20" s="1"/>
  <c r="AO212" i="25" s="1"/>
  <c r="BX183" i="20"/>
  <c r="BP183" i="20" s="1"/>
  <c r="BX129" i="20"/>
  <c r="CI203" i="20"/>
  <c r="BW184" i="20"/>
  <c r="BJ184" i="20" s="1"/>
  <c r="CL220" i="20"/>
  <c r="BK205" i="20"/>
  <c r="AH203" i="25" s="1"/>
  <c r="BR218" i="20"/>
  <c r="AO216" i="25" s="1"/>
  <c r="CH51" i="20"/>
  <c r="CA203" i="20"/>
  <c r="CA75" i="20"/>
  <c r="BV206" i="20"/>
  <c r="BI206" i="20" s="1"/>
  <c r="BX52" i="20"/>
  <c r="BP52" i="20" s="1"/>
  <c r="AM50" i="25" s="1"/>
  <c r="BX167" i="20"/>
  <c r="BX61" i="20"/>
  <c r="ED228" i="20"/>
  <c r="BO226" i="25" s="1"/>
  <c r="EP82" i="20"/>
  <c r="EC82" i="20" s="1"/>
  <c r="EE82" i="20" s="1"/>
  <c r="EQ148" i="20"/>
  <c r="EJ218" i="20"/>
  <c r="BU216" i="25" s="1"/>
  <c r="FF226" i="20"/>
  <c r="EY132" i="20"/>
  <c r="FD109" i="20"/>
  <c r="ED212" i="20"/>
  <c r="BO210" i="25" s="1"/>
  <c r="FC198" i="20"/>
  <c r="EZ220" i="20"/>
  <c r="EQ215" i="20"/>
  <c r="ET198" i="20"/>
  <c r="EP229" i="20"/>
  <c r="EC229" i="20" s="1"/>
  <c r="EQ229" i="20"/>
  <c r="FE203" i="20"/>
  <c r="FC75" i="20"/>
  <c r="FC121" i="20" s="1"/>
  <c r="FD132" i="20"/>
  <c r="EV86" i="20"/>
  <c r="EU86" i="20"/>
  <c r="FE98" i="20"/>
  <c r="EP104" i="20"/>
  <c r="EJ104" i="20" s="1"/>
  <c r="BU102" i="25" s="1"/>
  <c r="FF86" i="20"/>
  <c r="EQ222" i="20"/>
  <c r="EQ230" i="20"/>
  <c r="EY144" i="20"/>
  <c r="EQ104" i="20"/>
  <c r="EQ217" i="20"/>
  <c r="EX51" i="20"/>
  <c r="EW98" i="20"/>
  <c r="ER102" i="20"/>
  <c r="ER224" i="20"/>
  <c r="ER100" i="20"/>
  <c r="EJ100" i="20" s="1"/>
  <c r="BU98" i="25" s="1"/>
  <c r="FC144" i="20"/>
  <c r="FB109" i="20"/>
  <c r="EY51" i="20"/>
  <c r="EQ201" i="20"/>
  <c r="FE86" i="20"/>
  <c r="EP105" i="20"/>
  <c r="FE208" i="20"/>
  <c r="ET226" i="20"/>
  <c r="ET203" i="20"/>
  <c r="EX144" i="20"/>
  <c r="FD198" i="20"/>
  <c r="EX203" i="20"/>
  <c r="EX198" i="20"/>
  <c r="EZ203" i="20"/>
  <c r="EZ226" i="20"/>
  <c r="EW198" i="20"/>
  <c r="FB51" i="20"/>
  <c r="FE144" i="20"/>
  <c r="EQ105" i="20"/>
  <c r="EQ147" i="20"/>
  <c r="FE51" i="20"/>
  <c r="EV132" i="20"/>
  <c r="FC63" i="20"/>
  <c r="EY98" i="20"/>
  <c r="FB86" i="20"/>
  <c r="EW203" i="20"/>
  <c r="EX86" i="20"/>
  <c r="FC98" i="20"/>
  <c r="EQ224" i="20"/>
  <c r="EX98" i="20"/>
  <c r="EY208" i="20"/>
  <c r="EW86" i="20"/>
  <c r="EV109" i="20"/>
  <c r="EV51" i="20"/>
  <c r="EW109" i="20"/>
  <c r="EP205" i="20"/>
  <c r="EC205" i="20" s="1"/>
  <c r="EE205" i="20" s="1"/>
  <c r="BP203" i="25" s="1"/>
  <c r="EQ107" i="20"/>
  <c r="FC109" i="20"/>
  <c r="FF144" i="20"/>
  <c r="ER222" i="20"/>
  <c r="FB132" i="20"/>
  <c r="FD86" i="20"/>
  <c r="EW208" i="20"/>
  <c r="EZ86" i="20"/>
  <c r="EW226" i="20"/>
  <c r="ER231" i="20"/>
  <c r="EZ98" i="20"/>
  <c r="FF208" i="20"/>
  <c r="FC203" i="20"/>
  <c r="EY109" i="20"/>
  <c r="FD226" i="20"/>
  <c r="FB144" i="20"/>
  <c r="FE132" i="20"/>
  <c r="FC4" i="20"/>
  <c r="FC86" i="20"/>
  <c r="ET132" i="20"/>
  <c r="ET109" i="20"/>
  <c r="FD144" i="20"/>
  <c r="EW51" i="20"/>
  <c r="EQ205" i="20"/>
  <c r="EQ102" i="20"/>
  <c r="EX208" i="20"/>
  <c r="ER205" i="20"/>
  <c r="EP222" i="20"/>
  <c r="FF51" i="20"/>
  <c r="EP106" i="20"/>
  <c r="EC106" i="20" s="1"/>
  <c r="EK106" i="20" s="1"/>
  <c r="FF132" i="20"/>
  <c r="EY86" i="20"/>
  <c r="FE109" i="20"/>
  <c r="EZ198" i="20"/>
  <c r="EP216" i="20"/>
  <c r="EC216" i="20" s="1"/>
  <c r="ER228" i="20"/>
  <c r="EJ228" i="20" s="1"/>
  <c r="EP102" i="20"/>
  <c r="EW132" i="20"/>
  <c r="EQ101" i="20"/>
  <c r="FD208" i="20"/>
  <c r="EU109" i="20"/>
  <c r="EP101" i="20"/>
  <c r="EC101" i="20" s="1"/>
  <c r="EU132" i="20"/>
  <c r="FC51" i="20"/>
  <c r="ET98" i="20"/>
  <c r="EZ109" i="20"/>
  <c r="EX63" i="20"/>
  <c r="ET86" i="20"/>
  <c r="EZ51" i="20"/>
  <c r="ET51" i="20"/>
  <c r="ET208" i="20"/>
  <c r="EZ132" i="20"/>
  <c r="FD98" i="20"/>
  <c r="FE198" i="20"/>
  <c r="FF220" i="20"/>
  <c r="EQ106" i="20"/>
  <c r="ER103" i="20"/>
  <c r="FE226" i="20"/>
  <c r="FD51" i="20"/>
  <c r="FF98" i="20"/>
  <c r="EY220" i="20"/>
  <c r="EQ210" i="20"/>
  <c r="EX109" i="20"/>
  <c r="EP103" i="20"/>
  <c r="EU51" i="20"/>
  <c r="ER201" i="20"/>
  <c r="EQ216" i="20"/>
  <c r="FF198" i="20"/>
  <c r="ER101" i="20"/>
  <c r="EX132" i="20"/>
  <c r="ER215" i="20"/>
  <c r="EY203" i="20"/>
  <c r="EP80" i="20"/>
  <c r="EU126" i="20"/>
  <c r="EP126" i="20" s="1"/>
  <c r="EP128" i="20"/>
  <c r="EU203" i="20"/>
  <c r="EP204" i="20"/>
  <c r="EC204" i="20" s="1"/>
  <c r="EP76" i="20"/>
  <c r="EU75" i="20"/>
  <c r="EU121" i="20" s="1"/>
  <c r="EU122" i="20"/>
  <c r="EV128" i="20"/>
  <c r="EQ128" i="20" s="1"/>
  <c r="EQ82" i="20"/>
  <c r="ER99" i="20"/>
  <c r="FB98" i="20"/>
  <c r="EP224" i="20"/>
  <c r="EC224" i="20" s="1"/>
  <c r="BN222" i="25" s="1"/>
  <c r="EP99" i="20"/>
  <c r="EU98" i="20"/>
  <c r="EV125" i="20"/>
  <c r="EQ125" i="20" s="1"/>
  <c r="EQ79" i="20"/>
  <c r="ER79" i="20"/>
  <c r="FB125" i="20"/>
  <c r="ER125" i="20" s="1"/>
  <c r="EU220" i="20"/>
  <c r="EP221" i="20"/>
  <c r="EP227" i="20"/>
  <c r="EU226" i="20"/>
  <c r="EZ122" i="20"/>
  <c r="EZ4" i="20" s="1"/>
  <c r="EZ75" i="20"/>
  <c r="EZ121" i="20" s="1"/>
  <c r="EV63" i="20"/>
  <c r="FB124" i="20"/>
  <c r="ER124" i="20" s="1"/>
  <c r="ER78" i="20"/>
  <c r="EV203" i="20"/>
  <c r="EQ204" i="20"/>
  <c r="EQ209" i="20"/>
  <c r="EV208" i="20"/>
  <c r="ET63" i="20"/>
  <c r="EJ148" i="20"/>
  <c r="BU146" i="25" s="1"/>
  <c r="EP148" i="20"/>
  <c r="EC148" i="20" s="1"/>
  <c r="EC100" i="20"/>
  <c r="EE100" i="20" s="1"/>
  <c r="ED100" i="20"/>
  <c r="BO98" i="25" s="1"/>
  <c r="FB128" i="20"/>
  <c r="ER128" i="20" s="1"/>
  <c r="ER82" i="20"/>
  <c r="EP231" i="20"/>
  <c r="EP230" i="20"/>
  <c r="EJ147" i="20"/>
  <c r="BU145" i="25" s="1"/>
  <c r="EP147" i="20"/>
  <c r="EP78" i="20"/>
  <c r="EU124" i="20"/>
  <c r="EU125" i="20"/>
  <c r="EP125" i="20" s="1"/>
  <c r="EP79" i="20"/>
  <c r="EC79" i="20" s="1"/>
  <c r="FB220" i="20"/>
  <c r="ER221" i="20"/>
  <c r="EP217" i="20"/>
  <c r="EJ217" i="20" s="1"/>
  <c r="EV126" i="20"/>
  <c r="EQ126" i="20" s="1"/>
  <c r="EQ80" i="20"/>
  <c r="EV122" i="20"/>
  <c r="EV75" i="20"/>
  <c r="EV121" i="20" s="1"/>
  <c r="EQ76" i="20"/>
  <c r="EQ77" i="20"/>
  <c r="EV123" i="20"/>
  <c r="EQ123" i="20" s="1"/>
  <c r="EV124" i="20"/>
  <c r="EQ124" i="20" s="1"/>
  <c r="EQ78" i="20"/>
  <c r="EP83" i="20"/>
  <c r="EU129" i="20"/>
  <c r="EP129" i="20" s="1"/>
  <c r="ER204" i="20"/>
  <c r="FB203" i="20"/>
  <c r="FB127" i="20"/>
  <c r="ER127" i="20" s="1"/>
  <c r="ER81" i="20"/>
  <c r="ER199" i="20"/>
  <c r="FB198" i="20"/>
  <c r="EV98" i="20"/>
  <c r="EQ99" i="20"/>
  <c r="EU208" i="20"/>
  <c r="EP209" i="20"/>
  <c r="EC209" i="20" s="1"/>
  <c r="EK209" i="20" s="1"/>
  <c r="EL209" i="20" s="1"/>
  <c r="EY63" i="20"/>
  <c r="ER145" i="20"/>
  <c r="ET144" i="20"/>
  <c r="EP206" i="20"/>
  <c r="EP77" i="20"/>
  <c r="EU123" i="20"/>
  <c r="EP123" i="20" s="1"/>
  <c r="EP210" i="20"/>
  <c r="EP200" i="20"/>
  <c r="EV198" i="20"/>
  <c r="EQ199" i="20"/>
  <c r="EJ145" i="20"/>
  <c r="EU144" i="20"/>
  <c r="EP145" i="20"/>
  <c r="EC145" i="20" s="1"/>
  <c r="EV144" i="20"/>
  <c r="EQ145" i="20"/>
  <c r="EP84" i="20"/>
  <c r="EU130" i="20"/>
  <c r="FB63" i="20"/>
  <c r="EP107" i="20"/>
  <c r="EC107" i="20" s="1"/>
  <c r="BN105" i="25" s="1"/>
  <c r="FE63" i="20"/>
  <c r="EW63" i="20"/>
  <c r="EJ146" i="20"/>
  <c r="BU144" i="25" s="1"/>
  <c r="EP146" i="20"/>
  <c r="ET122" i="20"/>
  <c r="ET4" i="20" s="1"/>
  <c r="ET75" i="20"/>
  <c r="ET121" i="20" s="1"/>
  <c r="EU63" i="20"/>
  <c r="EQ221" i="20"/>
  <c r="EV220" i="20"/>
  <c r="ER80" i="20"/>
  <c r="FB126" i="20"/>
  <c r="ER126" i="20" s="1"/>
  <c r="FB208" i="20"/>
  <c r="ER209" i="20"/>
  <c r="EV129" i="20"/>
  <c r="EQ129" i="20" s="1"/>
  <c r="EQ83" i="20"/>
  <c r="FF63" i="20"/>
  <c r="FB129" i="20"/>
  <c r="ER129" i="20" s="1"/>
  <c r="ER83" i="20"/>
  <c r="FF122" i="20"/>
  <c r="FF4" i="20" s="1"/>
  <c r="FF75" i="20"/>
  <c r="FF121" i="20" s="1"/>
  <c r="FB75" i="20"/>
  <c r="FB121" i="20" s="1"/>
  <c r="FB122" i="20"/>
  <c r="ER76" i="20"/>
  <c r="EV226" i="20"/>
  <c r="EQ227" i="20"/>
  <c r="EX122" i="20"/>
  <c r="EX4" i="20" s="1"/>
  <c r="EX75" i="20"/>
  <c r="EV127" i="20"/>
  <c r="EQ127" i="20" s="1"/>
  <c r="EQ81" i="20"/>
  <c r="EP215" i="20"/>
  <c r="EW122" i="20"/>
  <c r="EW75" i="20"/>
  <c r="EW121" i="20" s="1"/>
  <c r="FD122" i="20"/>
  <c r="FD4" i="20" s="1"/>
  <c r="FD75" i="20"/>
  <c r="FD121" i="20" s="1"/>
  <c r="EP81" i="20"/>
  <c r="EU127" i="20"/>
  <c r="EY122" i="20"/>
  <c r="EY4" i="20" s="1"/>
  <c r="EY75" i="20"/>
  <c r="EY121" i="20" s="1"/>
  <c r="FD63" i="20"/>
  <c r="EW128" i="20"/>
  <c r="FB130" i="20"/>
  <c r="ER130" i="20" s="1"/>
  <c r="ER84" i="20"/>
  <c r="EC102" i="20"/>
  <c r="EK102" i="20" s="1"/>
  <c r="EP201" i="20"/>
  <c r="EU198" i="20"/>
  <c r="EP199" i="20"/>
  <c r="EP214" i="20"/>
  <c r="FE75" i="20"/>
  <c r="FE121" i="20" s="1"/>
  <c r="FE122" i="20"/>
  <c r="FE4" i="20" s="1"/>
  <c r="EV130" i="20"/>
  <c r="EQ130" i="20" s="1"/>
  <c r="EQ84" i="20"/>
  <c r="FB226" i="20"/>
  <c r="ER227" i="20"/>
  <c r="FB123" i="20"/>
  <c r="ER123" i="20" s="1"/>
  <c r="ER77" i="20"/>
  <c r="BK214" i="20"/>
  <c r="BL214" i="20" s="1"/>
  <c r="AI212" i="25" s="1"/>
  <c r="BX96" i="20"/>
  <c r="BZ63" i="20"/>
  <c r="CF226" i="20"/>
  <c r="CF109" i="20"/>
  <c r="BV192" i="20"/>
  <c r="BR215" i="20"/>
  <c r="BS215" i="20" s="1"/>
  <c r="AP213" i="25" s="1"/>
  <c r="BX188" i="20"/>
  <c r="BW77" i="20"/>
  <c r="CB75" i="20"/>
  <c r="CE220" i="20"/>
  <c r="CH98" i="20"/>
  <c r="BZ51" i="20"/>
  <c r="BV54" i="20"/>
  <c r="BX54" i="20"/>
  <c r="BX73" i="20"/>
  <c r="BW188" i="20"/>
  <c r="BV187" i="20"/>
  <c r="CF75" i="20"/>
  <c r="BW54" i="20"/>
  <c r="BV66" i="20"/>
  <c r="CA220" i="20"/>
  <c r="CD208" i="20"/>
  <c r="BV195" i="20"/>
  <c r="BK217" i="20"/>
  <c r="AH215" i="25" s="1"/>
  <c r="BV73" i="20"/>
  <c r="CI51" i="20"/>
  <c r="BV134" i="20"/>
  <c r="BQ216" i="20"/>
  <c r="AN214" i="25" s="1"/>
  <c r="BX223" i="20"/>
  <c r="CH220" i="20"/>
  <c r="CC220" i="20"/>
  <c r="BV96" i="20"/>
  <c r="CC51" i="20"/>
  <c r="BV188" i="20"/>
  <c r="BW192" i="20"/>
  <c r="CH109" i="20"/>
  <c r="BI128" i="20"/>
  <c r="BP91" i="20"/>
  <c r="BI91" i="20"/>
  <c r="BP103" i="20"/>
  <c r="BI90" i="20"/>
  <c r="BP90" i="20"/>
  <c r="BJ100" i="20"/>
  <c r="BI68" i="20"/>
  <c r="BP68" i="20"/>
  <c r="AN211" i="25"/>
  <c r="AF203" i="25"/>
  <c r="AF122" i="25"/>
  <c r="BK124" i="20"/>
  <c r="BQ124" i="20"/>
  <c r="BR124" i="20" s="1"/>
  <c r="BS124" i="20" s="1"/>
  <c r="AD189" i="20"/>
  <c r="T187" i="25" s="1"/>
  <c r="BM161" i="20"/>
  <c r="AJ159" i="25" s="1"/>
  <c r="S154" i="25"/>
  <c r="R169" i="25"/>
  <c r="AD171" i="20"/>
  <c r="S169" i="25"/>
  <c r="F191" i="20"/>
  <c r="AD189" i="25"/>
  <c r="F189" i="25" s="1"/>
  <c r="AD156" i="20"/>
  <c r="R176" i="25"/>
  <c r="AC178" i="20"/>
  <c r="AM145" i="25"/>
  <c r="BH147" i="20"/>
  <c r="AE145" i="25" s="1"/>
  <c r="AI179" i="25"/>
  <c r="BN181" i="20"/>
  <c r="AK179" i="25" s="1"/>
  <c r="AD182" i="20"/>
  <c r="T180" i="25" s="1"/>
  <c r="S153" i="25"/>
  <c r="BN177" i="20"/>
  <c r="AK175" i="25" s="1"/>
  <c r="R194" i="25"/>
  <c r="AC179" i="20"/>
  <c r="S177" i="25" s="1"/>
  <c r="AM191" i="25"/>
  <c r="BH193" i="20"/>
  <c r="AE191" i="25" s="1"/>
  <c r="BN169" i="20"/>
  <c r="AK167" i="25" s="1"/>
  <c r="R173" i="25"/>
  <c r="AC175" i="20"/>
  <c r="AD175" i="20" s="1"/>
  <c r="R153" i="25"/>
  <c r="AM146" i="25"/>
  <c r="BH148" i="20"/>
  <c r="AE146" i="25" s="1"/>
  <c r="R189" i="25"/>
  <c r="AC196" i="20"/>
  <c r="S194" i="25" s="1"/>
  <c r="AM148" i="25"/>
  <c r="AC169" i="20"/>
  <c r="S167" i="25" s="1"/>
  <c r="AC149" i="20"/>
  <c r="S147" i="25" s="1"/>
  <c r="O233" i="25"/>
  <c r="Y233" i="20"/>
  <c r="AZ234" i="25"/>
  <c r="AZ233" i="25" s="1"/>
  <c r="CV235" i="20"/>
  <c r="CV233" i="20" s="1"/>
  <c r="R233" i="25"/>
  <c r="AB233" i="20"/>
  <c r="AD229" i="25"/>
  <c r="AD226" i="25"/>
  <c r="AD225" i="25"/>
  <c r="M219" i="25"/>
  <c r="F221" i="20"/>
  <c r="M221" i="25"/>
  <c r="F221" i="25" s="1"/>
  <c r="F223" i="20"/>
  <c r="M220" i="25"/>
  <c r="M222" i="25"/>
  <c r="AU210" i="25"/>
  <c r="F210" i="25" s="1"/>
  <c r="BN216" i="25"/>
  <c r="EE218" i="20"/>
  <c r="BP216" i="25" s="1"/>
  <c r="EK218" i="20"/>
  <c r="AU214" i="25"/>
  <c r="AU209" i="25"/>
  <c r="F209" i="25" s="1"/>
  <c r="AU207" i="25"/>
  <c r="F207" i="25" s="1"/>
  <c r="AU208" i="25"/>
  <c r="AU212" i="25"/>
  <c r="F212" i="25" s="1"/>
  <c r="F214" i="20"/>
  <c r="AU211" i="25"/>
  <c r="F211" i="25" s="1"/>
  <c r="F213" i="20"/>
  <c r="F202" i="25"/>
  <c r="AD201" i="25"/>
  <c r="M216" i="25"/>
  <c r="F216" i="25" s="1"/>
  <c r="F218" i="20"/>
  <c r="M214" i="25"/>
  <c r="F216" i="20"/>
  <c r="AD136" i="25"/>
  <c r="F136" i="25" s="1"/>
  <c r="F138" i="20"/>
  <c r="BL105" i="25"/>
  <c r="AE234" i="25"/>
  <c r="G236" i="20"/>
  <c r="H236" i="20" s="1"/>
  <c r="AU88" i="25"/>
  <c r="F88" i="25" s="1"/>
  <c r="F90" i="20"/>
  <c r="AF79" i="25"/>
  <c r="BK81" i="20"/>
  <c r="BL81" i="20" s="1"/>
  <c r="BM81" i="20" s="1"/>
  <c r="BQ81" i="20"/>
  <c r="BR81" i="20" s="1"/>
  <c r="AD114" i="25"/>
  <c r="S188" i="25"/>
  <c r="AD190" i="20"/>
  <c r="T188" i="25" s="1"/>
  <c r="M208" i="25"/>
  <c r="F210" i="20"/>
  <c r="AD115" i="25"/>
  <c r="BL104" i="25"/>
  <c r="BL77" i="25"/>
  <c r="EA125" i="20"/>
  <c r="R193" i="25"/>
  <c r="AU203" i="25"/>
  <c r="F205" i="20"/>
  <c r="AU80" i="25"/>
  <c r="F80" i="25" s="1"/>
  <c r="F82" i="20"/>
  <c r="R171" i="25"/>
  <c r="AC173" i="20"/>
  <c r="S171" i="25" s="1"/>
  <c r="AD98" i="25"/>
  <c r="BI100" i="20"/>
  <c r="AU70" i="25"/>
  <c r="F70" i="25" s="1"/>
  <c r="F72" i="20"/>
  <c r="AF15" i="25"/>
  <c r="BI9" i="20"/>
  <c r="BH17" i="20"/>
  <c r="AU92" i="25"/>
  <c r="F92" i="25" s="1"/>
  <c r="F94" i="20"/>
  <c r="AD117" i="25"/>
  <c r="AC162" i="20"/>
  <c r="S160" i="25" s="1"/>
  <c r="R160" i="25"/>
  <c r="BL78" i="25"/>
  <c r="EA126" i="20"/>
  <c r="AU204" i="25"/>
  <c r="F204" i="25" s="1"/>
  <c r="F206" i="20"/>
  <c r="F116" i="20"/>
  <c r="M114" i="25"/>
  <c r="AD116" i="25"/>
  <c r="F116" i="25" s="1"/>
  <c r="AU79" i="25"/>
  <c r="F79" i="25" s="1"/>
  <c r="F81" i="20"/>
  <c r="F15" i="25"/>
  <c r="AB15" i="25"/>
  <c r="BL74" i="25"/>
  <c r="EA122" i="20"/>
  <c r="AU77" i="25"/>
  <c r="F79" i="20"/>
  <c r="F99" i="20"/>
  <c r="AD97" i="25"/>
  <c r="AU67" i="25"/>
  <c r="F67" i="25" s="1"/>
  <c r="F69" i="20"/>
  <c r="M225" i="25"/>
  <c r="F227" i="20"/>
  <c r="AU75" i="25"/>
  <c r="F77" i="20"/>
  <c r="F228" i="20"/>
  <c r="M226" i="25"/>
  <c r="AU81" i="25"/>
  <c r="F83" i="20"/>
  <c r="AD103" i="25"/>
  <c r="AU90" i="25"/>
  <c r="F90" i="25" s="1"/>
  <c r="F92" i="20"/>
  <c r="M101" i="25"/>
  <c r="F103" i="20"/>
  <c r="AU89" i="25"/>
  <c r="F89" i="25" s="1"/>
  <c r="F91" i="20"/>
  <c r="BL98" i="25"/>
  <c r="AO145" i="25"/>
  <c r="BS147" i="20"/>
  <c r="BT147" i="20" s="1"/>
  <c r="AU66" i="25"/>
  <c r="F68" i="20"/>
  <c r="CQ4" i="20"/>
  <c r="AU78" i="25"/>
  <c r="F80" i="20"/>
  <c r="BL222" i="25"/>
  <c r="F224" i="20"/>
  <c r="AD104" i="25"/>
  <c r="F101" i="20"/>
  <c r="M99" i="25"/>
  <c r="M103" i="25"/>
  <c r="F105" i="20"/>
  <c r="AU103" i="25"/>
  <c r="AD131" i="25"/>
  <c r="F133" i="20"/>
  <c r="AD112" i="25"/>
  <c r="F112" i="25" s="1"/>
  <c r="AD108" i="25"/>
  <c r="F110" i="20"/>
  <c r="BL102" i="25"/>
  <c r="F121" i="20"/>
  <c r="EA49" i="20"/>
  <c r="EA5" i="20" s="1"/>
  <c r="H24" i="22" s="1"/>
  <c r="H25" i="22" s="1"/>
  <c r="R174" i="25"/>
  <c r="AC176" i="20"/>
  <c r="AD176" i="20" s="1"/>
  <c r="AU82" i="25"/>
  <c r="F82" i="25" s="1"/>
  <c r="F84" i="20"/>
  <c r="BL220" i="25"/>
  <c r="F222" i="20"/>
  <c r="AD101" i="25"/>
  <c r="BI103" i="20"/>
  <c r="M53" i="25"/>
  <c r="F53" i="25" s="1"/>
  <c r="F55" i="20"/>
  <c r="AI232" i="20"/>
  <c r="AJ232" i="20" s="1"/>
  <c r="F89" i="20"/>
  <c r="AU87" i="25"/>
  <c r="F87" i="25" s="1"/>
  <c r="AU114" i="25"/>
  <c r="AI187" i="25"/>
  <c r="BM189" i="20"/>
  <c r="AJ187" i="25" s="1"/>
  <c r="AD102" i="25"/>
  <c r="AU69" i="25"/>
  <c r="F69" i="25" s="1"/>
  <c r="F71" i="20"/>
  <c r="AU93" i="25"/>
  <c r="F93" i="25" s="1"/>
  <c r="F95" i="20"/>
  <c r="S189" i="25"/>
  <c r="AC158" i="20"/>
  <c r="S156" i="25" s="1"/>
  <c r="R156" i="25"/>
  <c r="M113" i="25"/>
  <c r="F115" i="20"/>
  <c r="AD135" i="25"/>
  <c r="F137" i="20"/>
  <c r="BI137" i="20"/>
  <c r="M56" i="25"/>
  <c r="F58" i="20"/>
  <c r="S192" i="25"/>
  <c r="AD194" i="20"/>
  <c r="T192" i="25" s="1"/>
  <c r="M104" i="25"/>
  <c r="F106" i="20"/>
  <c r="AU99" i="25"/>
  <c r="BL103" i="25"/>
  <c r="BH214" i="20"/>
  <c r="AE212" i="25" s="1"/>
  <c r="AM212" i="25"/>
  <c r="BP208" i="20"/>
  <c r="BH208" i="20" s="1"/>
  <c r="AD191" i="20"/>
  <c r="M98" i="25"/>
  <c r="F100" i="20"/>
  <c r="AD139" i="25"/>
  <c r="BI141" i="20"/>
  <c r="BL100" i="25"/>
  <c r="AD178" i="25"/>
  <c r="F178" i="25" s="1"/>
  <c r="F180" i="20"/>
  <c r="AI145" i="25"/>
  <c r="BM147" i="20"/>
  <c r="BN147" i="20" s="1"/>
  <c r="AU101" i="25"/>
  <c r="AC153" i="20"/>
  <c r="S151" i="25" s="1"/>
  <c r="R151" i="25"/>
  <c r="AD109" i="25"/>
  <c r="BI111" i="20"/>
  <c r="BL101" i="25"/>
  <c r="S193" i="25"/>
  <c r="AC188" i="20"/>
  <c r="AD188" i="20" s="1"/>
  <c r="R186" i="25"/>
  <c r="R150" i="25"/>
  <c r="AC152" i="20"/>
  <c r="AD152" i="20" s="1"/>
  <c r="F87" i="20"/>
  <c r="AU85" i="25"/>
  <c r="M229" i="25"/>
  <c r="F231" i="20"/>
  <c r="AD140" i="25"/>
  <c r="F140" i="25" s="1"/>
  <c r="F142" i="20"/>
  <c r="AD111" i="25"/>
  <c r="F111" i="25" s="1"/>
  <c r="F113" i="20"/>
  <c r="AD110" i="25"/>
  <c r="F112" i="20"/>
  <c r="BK112" i="20"/>
  <c r="BQ112" i="20"/>
  <c r="BL75" i="25"/>
  <c r="EA123" i="20"/>
  <c r="H234" i="25"/>
  <c r="AF233" i="25"/>
  <c r="AU74" i="25"/>
  <c r="F76" i="20"/>
  <c r="AD99" i="25"/>
  <c r="M51" i="25"/>
  <c r="F53" i="20"/>
  <c r="W4" i="20"/>
  <c r="R157" i="25"/>
  <c r="AC159" i="20"/>
  <c r="AD159" i="20" s="1"/>
  <c r="AU94" i="25"/>
  <c r="F94" i="25" s="1"/>
  <c r="F96" i="20"/>
  <c r="F88" i="20"/>
  <c r="AU86" i="25"/>
  <c r="F86" i="25" s="1"/>
  <c r="M228" i="25"/>
  <c r="F228" i="25" s="1"/>
  <c r="F230" i="20"/>
  <c r="F117" i="20"/>
  <c r="M115" i="25"/>
  <c r="F114" i="20"/>
  <c r="F119" i="20"/>
  <c r="AV37" i="25"/>
  <c r="F107" i="20"/>
  <c r="M105" i="25"/>
  <c r="BH217" i="20"/>
  <c r="AM215" i="25"/>
  <c r="M215" i="25"/>
  <c r="F217" i="20"/>
  <c r="AD138" i="25"/>
  <c r="F140" i="20"/>
  <c r="AD113" i="25"/>
  <c r="BL99" i="25"/>
  <c r="F102" i="20"/>
  <c r="BL81" i="25"/>
  <c r="EA129" i="20"/>
  <c r="O39" i="20"/>
  <c r="BU37" i="25"/>
  <c r="EJ9" i="20"/>
  <c r="EB39" i="20"/>
  <c r="BM37" i="25" s="1"/>
  <c r="BI233" i="20"/>
  <c r="BH235" i="20"/>
  <c r="BH233" i="20" s="1"/>
  <c r="AU76" i="25"/>
  <c r="F76" i="25" s="1"/>
  <c r="F78" i="20"/>
  <c r="R178" i="25"/>
  <c r="AC180" i="20"/>
  <c r="AD180" i="20" s="1"/>
  <c r="AD105" i="25"/>
  <c r="AD100" i="25"/>
  <c r="M59" i="25"/>
  <c r="F61" i="20"/>
  <c r="AU91" i="25"/>
  <c r="F91" i="25" s="1"/>
  <c r="F93" i="20"/>
  <c r="M227" i="25"/>
  <c r="F227" i="25" s="1"/>
  <c r="F229" i="20"/>
  <c r="BI171" i="20" l="1"/>
  <c r="EK211" i="20"/>
  <c r="BV209" i="25" s="1"/>
  <c r="AD181" i="20"/>
  <c r="T179" i="25" s="1"/>
  <c r="AD151" i="20"/>
  <c r="T149" i="25" s="1"/>
  <c r="BN173" i="20"/>
  <c r="AK171" i="25" s="1"/>
  <c r="EB211" i="20"/>
  <c r="BM209" i="25" s="1"/>
  <c r="EE211" i="20"/>
  <c r="BP209" i="25" s="1"/>
  <c r="F215" i="25"/>
  <c r="BI196" i="20"/>
  <c r="BK196" i="20" s="1"/>
  <c r="BL196" i="20" s="1"/>
  <c r="AI194" i="25" s="1"/>
  <c r="EE212" i="20"/>
  <c r="BP210" i="25" s="1"/>
  <c r="F110" i="25"/>
  <c r="EB223" i="20"/>
  <c r="BM221" i="25" s="1"/>
  <c r="EE223" i="20"/>
  <c r="BP221" i="25" s="1"/>
  <c r="S168" i="25"/>
  <c r="F196" i="20"/>
  <c r="EK212" i="20"/>
  <c r="BV210" i="25" s="1"/>
  <c r="EK223" i="20"/>
  <c r="BV221" i="25" s="1"/>
  <c r="BJ59" i="20"/>
  <c r="AG57" i="25" s="1"/>
  <c r="BI179" i="20"/>
  <c r="BI178" i="20" s="1"/>
  <c r="BN221" i="25"/>
  <c r="BJ229" i="20"/>
  <c r="AG227" i="25" s="1"/>
  <c r="AF58" i="20"/>
  <c r="V56" i="25" s="1"/>
  <c r="AD174" i="20"/>
  <c r="T172" i="25" s="1"/>
  <c r="BI192" i="20"/>
  <c r="BQ192" i="20" s="1"/>
  <c r="BR192" i="20" s="1"/>
  <c r="BI59" i="20"/>
  <c r="AF57" i="25" s="1"/>
  <c r="F109" i="25"/>
  <c r="BM211" i="20"/>
  <c r="BN211" i="20" s="1"/>
  <c r="Z58" i="20"/>
  <c r="P56" i="25" s="1"/>
  <c r="BP67" i="20"/>
  <c r="AM65" i="25" s="1"/>
  <c r="BK60" i="20"/>
  <c r="BL60" i="20" s="1"/>
  <c r="AF58" i="25"/>
  <c r="AD177" i="20"/>
  <c r="T175" i="25" s="1"/>
  <c r="H15" i="25"/>
  <c r="BP230" i="20"/>
  <c r="AM228" i="25" s="1"/>
  <c r="BJ114" i="20"/>
  <c r="AG112" i="25" s="1"/>
  <c r="ED214" i="20"/>
  <c r="BO212" i="25" s="1"/>
  <c r="BJ53" i="20"/>
  <c r="AG51" i="25" s="1"/>
  <c r="BI224" i="20"/>
  <c r="BK224" i="20" s="1"/>
  <c r="AH222" i="25" s="1"/>
  <c r="BP229" i="20"/>
  <c r="AM227" i="25" s="1"/>
  <c r="BP224" i="20"/>
  <c r="AM222" i="25" s="1"/>
  <c r="BJ123" i="20"/>
  <c r="AG121" i="25" s="1"/>
  <c r="CU53" i="20"/>
  <c r="AY51" i="25" s="1"/>
  <c r="F124" i="20"/>
  <c r="F122" i="25"/>
  <c r="CZ53" i="20"/>
  <c r="BD51" i="25" s="1"/>
  <c r="BI160" i="20"/>
  <c r="BI158" i="20" s="1"/>
  <c r="BJ230" i="20"/>
  <c r="AG228" i="25" s="1"/>
  <c r="BP92" i="20"/>
  <c r="AM90" i="25" s="1"/>
  <c r="BJ168" i="20"/>
  <c r="I168" i="20" s="1"/>
  <c r="F56" i="25"/>
  <c r="F117" i="25"/>
  <c r="Z211" i="20"/>
  <c r="P209" i="25" s="1"/>
  <c r="AF53" i="20"/>
  <c r="V51" i="25" s="1"/>
  <c r="BJ106" i="20"/>
  <c r="AG104" i="25" s="1"/>
  <c r="AD165" i="20"/>
  <c r="T163" i="25" s="1"/>
  <c r="BN161" i="20"/>
  <c r="AK159" i="25" s="1"/>
  <c r="AF211" i="20"/>
  <c r="X211" i="20" s="1"/>
  <c r="N209" i="25" s="1"/>
  <c r="AD61" i="25"/>
  <c r="X9" i="20"/>
  <c r="AJ147" i="25"/>
  <c r="S190" i="25"/>
  <c r="DA53" i="20"/>
  <c r="BE51" i="25" s="1"/>
  <c r="BJ92" i="20"/>
  <c r="AG90" i="25" s="1"/>
  <c r="BP83" i="20"/>
  <c r="AM81" i="25" s="1"/>
  <c r="BP200" i="20"/>
  <c r="AM198" i="25" s="1"/>
  <c r="BI102" i="20"/>
  <c r="AF100" i="25" s="1"/>
  <c r="BQ76" i="20"/>
  <c r="AN74" i="25" s="1"/>
  <c r="BI56" i="20"/>
  <c r="BK56" i="20" s="1"/>
  <c r="BL56" i="20" s="1"/>
  <c r="BP102" i="20"/>
  <c r="BP127" i="20"/>
  <c r="BH127" i="20" s="1"/>
  <c r="BP76" i="20"/>
  <c r="AM74" i="25" s="1"/>
  <c r="BJ145" i="20"/>
  <c r="AG143" i="25" s="1"/>
  <c r="BQ204" i="20"/>
  <c r="BR204" i="20" s="1"/>
  <c r="AO202" i="25" s="1"/>
  <c r="BJ83" i="20"/>
  <c r="AG81" i="25" s="1"/>
  <c r="BP123" i="20"/>
  <c r="AM121" i="25" s="1"/>
  <c r="BP168" i="20"/>
  <c r="O168" i="20" s="1"/>
  <c r="BR205" i="20"/>
  <c r="AO203" i="25" s="1"/>
  <c r="BJ164" i="20"/>
  <c r="BJ162" i="20" s="1"/>
  <c r="AG160" i="25" s="1"/>
  <c r="BP53" i="20"/>
  <c r="BH53" i="20" s="1"/>
  <c r="AE51" i="25" s="1"/>
  <c r="BJ101" i="20"/>
  <c r="AG99" i="25" s="1"/>
  <c r="BP101" i="20"/>
  <c r="AM99" i="25" s="1"/>
  <c r="BJ56" i="20"/>
  <c r="AG54" i="25" s="1"/>
  <c r="BJ129" i="20"/>
  <c r="AG127" i="25" s="1"/>
  <c r="BJ200" i="20"/>
  <c r="AG198" i="25" s="1"/>
  <c r="BP129" i="20"/>
  <c r="AM127" i="25" s="1"/>
  <c r="BP171" i="20"/>
  <c r="BH171" i="20" s="1"/>
  <c r="BP70" i="20"/>
  <c r="AM68" i="25" s="1"/>
  <c r="BJ89" i="20"/>
  <c r="AG87" i="25" s="1"/>
  <c r="BP95" i="20"/>
  <c r="BH95" i="20" s="1"/>
  <c r="AE93" i="25" s="1"/>
  <c r="BJ95" i="20"/>
  <c r="AG93" i="25" s="1"/>
  <c r="BP59" i="20"/>
  <c r="AM57" i="25" s="1"/>
  <c r="BP114" i="20"/>
  <c r="AM112" i="25" s="1"/>
  <c r="BP145" i="20"/>
  <c r="BH145" i="20" s="1"/>
  <c r="AE143" i="25" s="1"/>
  <c r="BH112" i="20"/>
  <c r="BJ221" i="20"/>
  <c r="AG219" i="25" s="1"/>
  <c r="BP110" i="20"/>
  <c r="AM108" i="25" s="1"/>
  <c r="BI114" i="20"/>
  <c r="AF112" i="25" s="1"/>
  <c r="BK145" i="20"/>
  <c r="AH143" i="25" s="1"/>
  <c r="BI123" i="20"/>
  <c r="BK123" i="20" s="1"/>
  <c r="BL123" i="20" s="1"/>
  <c r="BP139" i="20"/>
  <c r="BH139" i="20" s="1"/>
  <c r="BJ126" i="20"/>
  <c r="AG124" i="25" s="1"/>
  <c r="BJ136" i="20"/>
  <c r="AG134" i="25" s="1"/>
  <c r="BP204" i="20"/>
  <c r="BH204" i="20" s="1"/>
  <c r="AE202" i="25" s="1"/>
  <c r="AF74" i="25"/>
  <c r="BQ145" i="20"/>
  <c r="AN143" i="25" s="1"/>
  <c r="BK204" i="20"/>
  <c r="BL204" i="20" s="1"/>
  <c r="AI202" i="25" s="1"/>
  <c r="BQ70" i="20"/>
  <c r="AN68" i="25" s="1"/>
  <c r="BI126" i="20"/>
  <c r="BK126" i="20" s="1"/>
  <c r="AH124" i="25" s="1"/>
  <c r="BP72" i="20"/>
  <c r="AM70" i="25" s="1"/>
  <c r="BP107" i="20"/>
  <c r="AM105" i="25" s="1"/>
  <c r="BP155" i="20"/>
  <c r="O155" i="20" s="1"/>
  <c r="BP113" i="20"/>
  <c r="AM111" i="25" s="1"/>
  <c r="BJ139" i="20"/>
  <c r="AG137" i="25" s="1"/>
  <c r="AM122" i="25"/>
  <c r="BJ180" i="20"/>
  <c r="I180" i="20" s="1"/>
  <c r="BJ133" i="20"/>
  <c r="AG131" i="25" s="1"/>
  <c r="BJ76" i="20"/>
  <c r="AG74" i="25" s="1"/>
  <c r="BP180" i="20"/>
  <c r="O180" i="20" s="1"/>
  <c r="BP93" i="20"/>
  <c r="AM91" i="25" s="1"/>
  <c r="BJ70" i="20"/>
  <c r="AG68" i="25" s="1"/>
  <c r="BJ171" i="20"/>
  <c r="I171" i="20" s="1"/>
  <c r="BJ191" i="20"/>
  <c r="AG189" i="25" s="1"/>
  <c r="BJ204" i="20"/>
  <c r="AG202" i="25" s="1"/>
  <c r="BP160" i="20"/>
  <c r="BJ155" i="20"/>
  <c r="BJ154" i="20" s="1"/>
  <c r="AG152" i="25" s="1"/>
  <c r="BJ113" i="20"/>
  <c r="AG111" i="25" s="1"/>
  <c r="BI80" i="20"/>
  <c r="BH80" i="20" s="1"/>
  <c r="AE78" i="25" s="1"/>
  <c r="BJ118" i="20"/>
  <c r="AG116" i="25" s="1"/>
  <c r="AF80" i="25"/>
  <c r="BI155" i="20"/>
  <c r="BQ155" i="20" s="1"/>
  <c r="Z61" i="20"/>
  <c r="P59" i="25" s="1"/>
  <c r="AF61" i="20"/>
  <c r="V59" i="25" s="1"/>
  <c r="Z146" i="20"/>
  <c r="P144" i="25" s="1"/>
  <c r="CU107" i="20"/>
  <c r="AY105" i="25" s="1"/>
  <c r="AW105" i="25"/>
  <c r="CT67" i="20"/>
  <c r="AX65" i="25" s="1"/>
  <c r="BI89" i="20"/>
  <c r="AF87" i="25" s="1"/>
  <c r="BP89" i="20"/>
  <c r="AM87" i="25" s="1"/>
  <c r="BJ122" i="20"/>
  <c r="AG120" i="25" s="1"/>
  <c r="BJ138" i="20"/>
  <c r="AG136" i="25" s="1"/>
  <c r="BP231" i="20"/>
  <c r="AM229" i="25" s="1"/>
  <c r="BM213" i="20"/>
  <c r="AJ211" i="25" s="1"/>
  <c r="BQ130" i="20"/>
  <c r="AN128" i="25" s="1"/>
  <c r="BI167" i="20"/>
  <c r="BQ167" i="20" s="1"/>
  <c r="AF128" i="25"/>
  <c r="BI72" i="20"/>
  <c r="AF70" i="25" s="1"/>
  <c r="BJ201" i="20"/>
  <c r="AG199" i="25" s="1"/>
  <c r="BK78" i="20"/>
  <c r="AH76" i="25" s="1"/>
  <c r="BP201" i="20"/>
  <c r="AM199" i="25" s="1"/>
  <c r="BJ231" i="20"/>
  <c r="AG229" i="25" s="1"/>
  <c r="BI113" i="20"/>
  <c r="BQ113" i="20" s="1"/>
  <c r="BK231" i="20"/>
  <c r="BL231" i="20" s="1"/>
  <c r="AI229" i="25" s="1"/>
  <c r="BP130" i="20"/>
  <c r="BH130" i="20" s="1"/>
  <c r="AE128" i="25" s="1"/>
  <c r="BP84" i="20"/>
  <c r="AM82" i="25" s="1"/>
  <c r="BJ77" i="20"/>
  <c r="AG75" i="25" s="1"/>
  <c r="BQ231" i="20"/>
  <c r="AN229" i="25" s="1"/>
  <c r="BJ84" i="20"/>
  <c r="AG82" i="25" s="1"/>
  <c r="BI84" i="20"/>
  <c r="BP191" i="20"/>
  <c r="AM189" i="25" s="1"/>
  <c r="BJ57" i="20"/>
  <c r="AG55" i="25" s="1"/>
  <c r="BJ67" i="20"/>
  <c r="AG65" i="25" s="1"/>
  <c r="BJ160" i="20"/>
  <c r="AG158" i="25" s="1"/>
  <c r="BS71" i="20"/>
  <c r="AP69" i="25" s="1"/>
  <c r="BQ94" i="20"/>
  <c r="AN92" i="25" s="1"/>
  <c r="BP199" i="20"/>
  <c r="AM197" i="25" s="1"/>
  <c r="BJ142" i="20"/>
  <c r="AG140" i="25" s="1"/>
  <c r="O163" i="20"/>
  <c r="AM161" i="25"/>
  <c r="BL205" i="20"/>
  <c r="AI203" i="25" s="1"/>
  <c r="AN69" i="25"/>
  <c r="AF92" i="25"/>
  <c r="BK82" i="20"/>
  <c r="BL82" i="20" s="1"/>
  <c r="AI80" i="25" s="1"/>
  <c r="BP142" i="20"/>
  <c r="AM140" i="25" s="1"/>
  <c r="BI142" i="20"/>
  <c r="BK142" i="20" s="1"/>
  <c r="AH140" i="25" s="1"/>
  <c r="BK228" i="20"/>
  <c r="AH226" i="25" s="1"/>
  <c r="BR82" i="20"/>
  <c r="AO80" i="25" s="1"/>
  <c r="BI221" i="20"/>
  <c r="BK221" i="20" s="1"/>
  <c r="BP94" i="20"/>
  <c r="BH94" i="20" s="1"/>
  <c r="AE92" i="25" s="1"/>
  <c r="AM173" i="25"/>
  <c r="BP164" i="20"/>
  <c r="O164" i="20" s="1"/>
  <c r="BK122" i="20"/>
  <c r="AH120" i="25" s="1"/>
  <c r="BK71" i="20"/>
  <c r="AH69" i="25" s="1"/>
  <c r="BM210" i="20"/>
  <c r="BN210" i="20" s="1"/>
  <c r="AK208" i="25" s="1"/>
  <c r="BI57" i="20"/>
  <c r="BQ57" i="20" s="1"/>
  <c r="BJ228" i="20"/>
  <c r="AG226" i="25" s="1"/>
  <c r="BP71" i="20"/>
  <c r="BH71" i="20" s="1"/>
  <c r="AE69" i="25" s="1"/>
  <c r="BQ228" i="20"/>
  <c r="AN226" i="25" s="1"/>
  <c r="BP57" i="20"/>
  <c r="AM55" i="25" s="1"/>
  <c r="BJ71" i="20"/>
  <c r="AG69" i="25" s="1"/>
  <c r="AF69" i="25"/>
  <c r="BJ93" i="20"/>
  <c r="AG91" i="25" s="1"/>
  <c r="BI93" i="20"/>
  <c r="AF91" i="25" s="1"/>
  <c r="BQ78" i="20"/>
  <c r="AN76" i="25" s="1"/>
  <c r="BP122" i="20"/>
  <c r="AM120" i="25" s="1"/>
  <c r="BP138" i="20"/>
  <c r="AM136" i="25" s="1"/>
  <c r="BP118" i="20"/>
  <c r="AM116" i="25" s="1"/>
  <c r="BJ80" i="20"/>
  <c r="AG78" i="25" s="1"/>
  <c r="BJ94" i="20"/>
  <c r="AG92" i="25" s="1"/>
  <c r="BJ82" i="20"/>
  <c r="AG80" i="25" s="1"/>
  <c r="BJ110" i="20"/>
  <c r="AG108" i="25" s="1"/>
  <c r="BP82" i="20"/>
  <c r="BI106" i="20"/>
  <c r="BQ106" i="20" s="1"/>
  <c r="AN104" i="25" s="1"/>
  <c r="BS213" i="20"/>
  <c r="AP211" i="25" s="1"/>
  <c r="AF68" i="25"/>
  <c r="AM154" i="25"/>
  <c r="BJ140" i="20"/>
  <c r="AG138" i="25" s="1"/>
  <c r="BK201" i="20"/>
  <c r="BL201" i="20" s="1"/>
  <c r="AI199" i="25" s="1"/>
  <c r="BP58" i="20"/>
  <c r="AM56" i="25" s="1"/>
  <c r="BJ58" i="20"/>
  <c r="AG56" i="25" s="1"/>
  <c r="BP221" i="20"/>
  <c r="AM219" i="25" s="1"/>
  <c r="AF199" i="25"/>
  <c r="BJ55" i="20"/>
  <c r="AG53" i="25" s="1"/>
  <c r="BJ69" i="20"/>
  <c r="AG67" i="25" s="1"/>
  <c r="BP159" i="20"/>
  <c r="O159" i="20" s="1"/>
  <c r="BJ199" i="20"/>
  <c r="AG197" i="25" s="1"/>
  <c r="BQ61" i="20"/>
  <c r="AN59" i="25" s="1"/>
  <c r="BK61" i="20"/>
  <c r="BL61" i="20" s="1"/>
  <c r="AI59" i="25" s="1"/>
  <c r="BP55" i="20"/>
  <c r="AM53" i="25" s="1"/>
  <c r="BJ167" i="20"/>
  <c r="BR231" i="20"/>
  <c r="BS231" i="20" s="1"/>
  <c r="AP229" i="25" s="1"/>
  <c r="BP61" i="20"/>
  <c r="AM59" i="25" s="1"/>
  <c r="BP116" i="20"/>
  <c r="BH116" i="20" s="1"/>
  <c r="AE114" i="25" s="1"/>
  <c r="BJ135" i="20"/>
  <c r="AG133" i="25" s="1"/>
  <c r="BP99" i="20"/>
  <c r="AM97" i="25" s="1"/>
  <c r="BJ116" i="20"/>
  <c r="AG114" i="25" s="1"/>
  <c r="AF157" i="25"/>
  <c r="H157" i="25" s="1"/>
  <c r="BQ159" i="20"/>
  <c r="AN157" i="25" s="1"/>
  <c r="BK159" i="20"/>
  <c r="AH157" i="25" s="1"/>
  <c r="BI69" i="20"/>
  <c r="BK69" i="20" s="1"/>
  <c r="AH67" i="25" s="1"/>
  <c r="BJ96" i="20"/>
  <c r="AG94" i="25" s="1"/>
  <c r="BP69" i="20"/>
  <c r="BP228" i="20"/>
  <c r="BH163" i="20"/>
  <c r="G163" i="20" s="1"/>
  <c r="H163" i="20" s="1"/>
  <c r="I175" i="20"/>
  <c r="BP167" i="20"/>
  <c r="BJ61" i="20"/>
  <c r="AG59" i="25" s="1"/>
  <c r="BP77" i="20"/>
  <c r="AM75" i="25" s="1"/>
  <c r="BJ159" i="20"/>
  <c r="AF133" i="25"/>
  <c r="BQ135" i="20"/>
  <c r="BR135" i="20" s="1"/>
  <c r="AO133" i="25" s="1"/>
  <c r="BK135" i="20"/>
  <c r="BL135" i="20" s="1"/>
  <c r="BM135" i="20" s="1"/>
  <c r="AJ133" i="25" s="1"/>
  <c r="BI87" i="20"/>
  <c r="BQ87" i="20" s="1"/>
  <c r="BI99" i="20"/>
  <c r="AF97" i="25" s="1"/>
  <c r="BP106" i="20"/>
  <c r="AM104" i="25" s="1"/>
  <c r="BK200" i="20"/>
  <c r="AH198" i="25" s="1"/>
  <c r="BJ115" i="20"/>
  <c r="AG113" i="25" s="1"/>
  <c r="BP227" i="20"/>
  <c r="AM225" i="25" s="1"/>
  <c r="BP87" i="20"/>
  <c r="AM85" i="25" s="1"/>
  <c r="BP135" i="20"/>
  <c r="AM133" i="25" s="1"/>
  <c r="BI136" i="20"/>
  <c r="BQ136" i="20" s="1"/>
  <c r="BR136" i="20" s="1"/>
  <c r="AO134" i="25" s="1"/>
  <c r="BJ227" i="20"/>
  <c r="AG225" i="25" s="1"/>
  <c r="BP115" i="20"/>
  <c r="AM113" i="25" s="1"/>
  <c r="AF53" i="25"/>
  <c r="BK55" i="20"/>
  <c r="AH53" i="25" s="1"/>
  <c r="BH60" i="20"/>
  <c r="AE58" i="25" s="1"/>
  <c r="AM58" i="25"/>
  <c r="BK125" i="20"/>
  <c r="AH123" i="25" s="1"/>
  <c r="BP117" i="20"/>
  <c r="BH117" i="20" s="1"/>
  <c r="AE115" i="25" s="1"/>
  <c r="BR67" i="20"/>
  <c r="AO65" i="25" s="1"/>
  <c r="BJ117" i="20"/>
  <c r="AG115" i="25" s="1"/>
  <c r="BP125" i="20"/>
  <c r="AM123" i="25" s="1"/>
  <c r="BQ125" i="20"/>
  <c r="AN123" i="25" s="1"/>
  <c r="AG154" i="25"/>
  <c r="BP78" i="20"/>
  <c r="BH78" i="20" s="1"/>
  <c r="AE76" i="25" s="1"/>
  <c r="BJ125" i="20"/>
  <c r="AG123" i="25" s="1"/>
  <c r="BJ78" i="20"/>
  <c r="AG76" i="25" s="1"/>
  <c r="BJ130" i="20"/>
  <c r="AG128" i="25" s="1"/>
  <c r="BK83" i="20"/>
  <c r="AH81" i="25" s="1"/>
  <c r="BJ104" i="20"/>
  <c r="AG102" i="25" s="1"/>
  <c r="BP136" i="20"/>
  <c r="AM134" i="25" s="1"/>
  <c r="BP104" i="20"/>
  <c r="BH104" i="20" s="1"/>
  <c r="AE102" i="25" s="1"/>
  <c r="BI88" i="20"/>
  <c r="BJ88" i="20"/>
  <c r="AG86" i="25" s="1"/>
  <c r="BP88" i="20"/>
  <c r="AM86" i="25" s="1"/>
  <c r="BJ99" i="20"/>
  <c r="AG97" i="25" s="1"/>
  <c r="BJ152" i="20"/>
  <c r="BP152" i="20"/>
  <c r="BI133" i="20"/>
  <c r="BP133" i="20"/>
  <c r="AM131" i="25" s="1"/>
  <c r="BJ176" i="20"/>
  <c r="BP176" i="20"/>
  <c r="BP140" i="20"/>
  <c r="AM138" i="25" s="1"/>
  <c r="CK49" i="20"/>
  <c r="CK5" i="20" s="1"/>
  <c r="AM182" i="25"/>
  <c r="BI107" i="20"/>
  <c r="BJ107" i="20"/>
  <c r="AG105" i="25" s="1"/>
  <c r="BK52" i="20"/>
  <c r="AH50" i="25" s="1"/>
  <c r="BQ55" i="20"/>
  <c r="AN53" i="25" s="1"/>
  <c r="AG146" i="20"/>
  <c r="AH146" i="20" s="1"/>
  <c r="AF146" i="20"/>
  <c r="V144" i="25" s="1"/>
  <c r="AG230" i="20"/>
  <c r="W228" i="25" s="1"/>
  <c r="O144" i="25"/>
  <c r="Z228" i="20"/>
  <c r="AF228" i="20"/>
  <c r="X228" i="20" s="1"/>
  <c r="AA228" i="20"/>
  <c r="Q226" i="25" s="1"/>
  <c r="AG228" i="20"/>
  <c r="W226" i="25" s="1"/>
  <c r="EE228" i="20"/>
  <c r="EF228" i="20" s="1"/>
  <c r="BQ226" i="25" s="1"/>
  <c r="EK228" i="20"/>
  <c r="BV226" i="25" s="1"/>
  <c r="EL213" i="20"/>
  <c r="BW211" i="25" s="1"/>
  <c r="CZ67" i="20"/>
  <c r="BD65" i="25" s="1"/>
  <c r="CZ213" i="20"/>
  <c r="BD211" i="25" s="1"/>
  <c r="CZ201" i="20"/>
  <c r="BD199" i="25" s="1"/>
  <c r="CU106" i="20"/>
  <c r="AY104" i="25" s="1"/>
  <c r="DA213" i="20"/>
  <c r="BE211" i="25" s="1"/>
  <c r="CZ205" i="20"/>
  <c r="BD203" i="25" s="1"/>
  <c r="DA106" i="20"/>
  <c r="BE104" i="25" s="1"/>
  <c r="DA201" i="20"/>
  <c r="BE199" i="25" s="1"/>
  <c r="CZ106" i="20"/>
  <c r="BD104" i="25" s="1"/>
  <c r="CT53" i="20"/>
  <c r="AX51" i="25" s="1"/>
  <c r="CT106" i="20"/>
  <c r="AX104" i="25" s="1"/>
  <c r="CT229" i="20"/>
  <c r="AX227" i="25" s="1"/>
  <c r="CT222" i="20"/>
  <c r="AX220" i="25" s="1"/>
  <c r="CT90" i="20"/>
  <c r="AX88" i="25" s="1"/>
  <c r="CZ140" i="20"/>
  <c r="BD138" i="25" s="1"/>
  <c r="CT201" i="20"/>
  <c r="AX199" i="25" s="1"/>
  <c r="DA57" i="20"/>
  <c r="BE55" i="25" s="1"/>
  <c r="CT107" i="20"/>
  <c r="AX105" i="25" s="1"/>
  <c r="CZ209" i="20"/>
  <c r="BD207" i="25" s="1"/>
  <c r="CU116" i="20"/>
  <c r="AY114" i="25" s="1"/>
  <c r="CZ133" i="20"/>
  <c r="BD131" i="25" s="1"/>
  <c r="CT72" i="20"/>
  <c r="AX70" i="25" s="1"/>
  <c r="CZ116" i="20"/>
  <c r="BD114" i="25" s="1"/>
  <c r="CZ107" i="20"/>
  <c r="BD105" i="25" s="1"/>
  <c r="CZ72" i="20"/>
  <c r="BD70" i="25" s="1"/>
  <c r="CU213" i="20"/>
  <c r="CV213" i="20" s="1"/>
  <c r="CT213" i="20"/>
  <c r="AX211" i="25" s="1"/>
  <c r="CZ95" i="20"/>
  <c r="BD93" i="25" s="1"/>
  <c r="Z55" i="20"/>
  <c r="P53" i="25" s="1"/>
  <c r="AF55" i="20"/>
  <c r="X55" i="20" s="1"/>
  <c r="Z212" i="20"/>
  <c r="P210" i="25" s="1"/>
  <c r="CZ129" i="20"/>
  <c r="BD127" i="25" s="1"/>
  <c r="CZ90" i="20"/>
  <c r="BD88" i="25" s="1"/>
  <c r="CT129" i="20"/>
  <c r="AX127" i="25" s="1"/>
  <c r="CT88" i="20"/>
  <c r="AX86" i="25" s="1"/>
  <c r="CZ88" i="20"/>
  <c r="BD86" i="25" s="1"/>
  <c r="CU201" i="20"/>
  <c r="CV201" i="20" s="1"/>
  <c r="CW201" i="20" s="1"/>
  <c r="BA199" i="25" s="1"/>
  <c r="CZ111" i="20"/>
  <c r="BD109" i="25" s="1"/>
  <c r="CT205" i="20"/>
  <c r="AX203" i="25" s="1"/>
  <c r="CT87" i="20"/>
  <c r="AX85" i="25" s="1"/>
  <c r="CT111" i="20"/>
  <c r="AX109" i="25" s="1"/>
  <c r="CZ70" i="20"/>
  <c r="BD68" i="25" s="1"/>
  <c r="CZ87" i="20"/>
  <c r="BD85" i="25" s="1"/>
  <c r="CZ125" i="20"/>
  <c r="CR125" i="20" s="1"/>
  <c r="AV123" i="25" s="1"/>
  <c r="DA116" i="20"/>
  <c r="BE114" i="25" s="1"/>
  <c r="CT93" i="20"/>
  <c r="AX91" i="25" s="1"/>
  <c r="CU93" i="20"/>
  <c r="AY91" i="25" s="1"/>
  <c r="CZ80" i="20"/>
  <c r="BD78" i="25" s="1"/>
  <c r="CZ93" i="20"/>
  <c r="BD91" i="25" s="1"/>
  <c r="CT116" i="20"/>
  <c r="AX114" i="25" s="1"/>
  <c r="CS87" i="20"/>
  <c r="CU87" i="20" s="1"/>
  <c r="CV87" i="20" s="1"/>
  <c r="CT80" i="20"/>
  <c r="AX78" i="25" s="1"/>
  <c r="CZ112" i="20"/>
  <c r="BD110" i="25" s="1"/>
  <c r="CZ60" i="20"/>
  <c r="BD58" i="25" s="1"/>
  <c r="DA70" i="20"/>
  <c r="DB70" i="20" s="1"/>
  <c r="BF68" i="25" s="1"/>
  <c r="CU229" i="20"/>
  <c r="AY227" i="25" s="1"/>
  <c r="AW68" i="25"/>
  <c r="DA229" i="20"/>
  <c r="BE227" i="25" s="1"/>
  <c r="CZ229" i="20"/>
  <c r="BD227" i="25" s="1"/>
  <c r="CS95" i="20"/>
  <c r="CU95" i="20" s="1"/>
  <c r="CV95" i="20" s="1"/>
  <c r="CU129" i="20"/>
  <c r="AY127" i="25" s="1"/>
  <c r="CT105" i="20"/>
  <c r="AX103" i="25" s="1"/>
  <c r="AW127" i="25"/>
  <c r="CT95" i="20"/>
  <c r="AX93" i="25" s="1"/>
  <c r="DA93" i="20"/>
  <c r="BE91" i="25" s="1"/>
  <c r="CT70" i="20"/>
  <c r="AX68" i="25" s="1"/>
  <c r="DA112" i="20"/>
  <c r="BE110" i="25" s="1"/>
  <c r="CZ54" i="20"/>
  <c r="BD52" i="25" s="1"/>
  <c r="DA92" i="20"/>
  <c r="DB92" i="20" s="1"/>
  <c r="DC92" i="20" s="1"/>
  <c r="CU92" i="20"/>
  <c r="CV92" i="20" s="1"/>
  <c r="CW92" i="20" s="1"/>
  <c r="CX92" i="20" s="1"/>
  <c r="CT57" i="20"/>
  <c r="AX55" i="25" s="1"/>
  <c r="CT113" i="20"/>
  <c r="AX111" i="25" s="1"/>
  <c r="DA222" i="20"/>
  <c r="DB222" i="20" s="1"/>
  <c r="BF220" i="25" s="1"/>
  <c r="CZ222" i="20"/>
  <c r="BD220" i="25" s="1"/>
  <c r="CU57" i="20"/>
  <c r="AY55" i="25" s="1"/>
  <c r="CU112" i="20"/>
  <c r="AY110" i="25" s="1"/>
  <c r="CU217" i="20"/>
  <c r="CV217" i="20" s="1"/>
  <c r="AZ215" i="25" s="1"/>
  <c r="CZ92" i="20"/>
  <c r="BD90" i="25" s="1"/>
  <c r="CZ57" i="20"/>
  <c r="BD55" i="25" s="1"/>
  <c r="CZ217" i="20"/>
  <c r="BD215" i="25" s="1"/>
  <c r="CU222" i="20"/>
  <c r="CV222" i="20" s="1"/>
  <c r="AZ220" i="25" s="1"/>
  <c r="CT60" i="20"/>
  <c r="AX58" i="25" s="1"/>
  <c r="CT217" i="20"/>
  <c r="AX215" i="25" s="1"/>
  <c r="CT112" i="20"/>
  <c r="AX110" i="25" s="1"/>
  <c r="CU218" i="20"/>
  <c r="CV218" i="20" s="1"/>
  <c r="AZ216" i="25" s="1"/>
  <c r="CT218" i="20"/>
  <c r="AX216" i="25" s="1"/>
  <c r="CZ218" i="20"/>
  <c r="BD216" i="25" s="1"/>
  <c r="CS113" i="20"/>
  <c r="CU113" i="20" s="1"/>
  <c r="AY111" i="25" s="1"/>
  <c r="CT56" i="20"/>
  <c r="AX54" i="25" s="1"/>
  <c r="DA218" i="20"/>
  <c r="BE216" i="25" s="1"/>
  <c r="CZ113" i="20"/>
  <c r="BD111" i="25" s="1"/>
  <c r="DA217" i="20"/>
  <c r="DB217" i="20" s="1"/>
  <c r="BF215" i="25" s="1"/>
  <c r="CZ102" i="20"/>
  <c r="BD100" i="25" s="1"/>
  <c r="AW87" i="25"/>
  <c r="DA89" i="20"/>
  <c r="DB89" i="20" s="1"/>
  <c r="DC89" i="20" s="1"/>
  <c r="CU89" i="20"/>
  <c r="AY87" i="25" s="1"/>
  <c r="CT127" i="20"/>
  <c r="AX125" i="25" s="1"/>
  <c r="CZ89" i="20"/>
  <c r="BD87" i="25" s="1"/>
  <c r="CS105" i="20"/>
  <c r="AW103" i="25" s="1"/>
  <c r="CU206" i="20"/>
  <c r="AY204" i="25" s="1"/>
  <c r="CZ206" i="20"/>
  <c r="BD204" i="25" s="1"/>
  <c r="CT206" i="20"/>
  <c r="AX204" i="25" s="1"/>
  <c r="CZ52" i="20"/>
  <c r="BD50" i="25" s="1"/>
  <c r="CT89" i="20"/>
  <c r="AX87" i="25" s="1"/>
  <c r="CT52" i="20"/>
  <c r="AX50" i="25" s="1"/>
  <c r="CT125" i="20"/>
  <c r="AX123" i="25" s="1"/>
  <c r="CT227" i="20"/>
  <c r="AX225" i="25" s="1"/>
  <c r="CZ227" i="20"/>
  <c r="BD225" i="25" s="1"/>
  <c r="DA205" i="20"/>
  <c r="AW203" i="25"/>
  <c r="CT216" i="20"/>
  <c r="AX214" i="25" s="1"/>
  <c r="DA130" i="20"/>
  <c r="BE128" i="25" s="1"/>
  <c r="CT140" i="20"/>
  <c r="AX138" i="25" s="1"/>
  <c r="CU130" i="20"/>
  <c r="AY128" i="25" s="1"/>
  <c r="CS140" i="20"/>
  <c r="DA140" i="20" s="1"/>
  <c r="BE138" i="25" s="1"/>
  <c r="CU79" i="20"/>
  <c r="AY77" i="25" s="1"/>
  <c r="CZ79" i="20"/>
  <c r="BD77" i="25" s="1"/>
  <c r="CT214" i="20"/>
  <c r="AX212" i="25" s="1"/>
  <c r="CT215" i="20"/>
  <c r="AX213" i="25" s="1"/>
  <c r="CT212" i="20"/>
  <c r="AX210" i="25" s="1"/>
  <c r="CZ127" i="20"/>
  <c r="BD125" i="25" s="1"/>
  <c r="DU49" i="20"/>
  <c r="DU5" i="20" s="1"/>
  <c r="CT231" i="20"/>
  <c r="AX229" i="25" s="1"/>
  <c r="DP49" i="20"/>
  <c r="DP5" i="20" s="1"/>
  <c r="CT115" i="20"/>
  <c r="AX113" i="25" s="1"/>
  <c r="CT133" i="20"/>
  <c r="AX131" i="25" s="1"/>
  <c r="CZ145" i="20"/>
  <c r="BD143" i="25" s="1"/>
  <c r="CT130" i="20"/>
  <c r="AX128" i="25" s="1"/>
  <c r="CZ130" i="20"/>
  <c r="CS209" i="20"/>
  <c r="CU209" i="20" s="1"/>
  <c r="DA206" i="20"/>
  <c r="DA65" i="20"/>
  <c r="BE63" i="25" s="1"/>
  <c r="CU65" i="20"/>
  <c r="AY63" i="25" s="1"/>
  <c r="CT102" i="20"/>
  <c r="AX100" i="25" s="1"/>
  <c r="DT49" i="20"/>
  <c r="DT5" i="20" s="1"/>
  <c r="DA79" i="20"/>
  <c r="CS66" i="20"/>
  <c r="CZ66" i="20"/>
  <c r="BD64" i="25" s="1"/>
  <c r="CT66" i="20"/>
  <c r="AX64" i="25" s="1"/>
  <c r="CZ105" i="20"/>
  <c r="BD103" i="25" s="1"/>
  <c r="CT209" i="20"/>
  <c r="AX207" i="25" s="1"/>
  <c r="DS49" i="20"/>
  <c r="DS5" i="20" s="1"/>
  <c r="DO49" i="20"/>
  <c r="DO5" i="20" s="1"/>
  <c r="DA102" i="20"/>
  <c r="AW100" i="25"/>
  <c r="CS56" i="20"/>
  <c r="CZ56" i="20"/>
  <c r="BD54" i="25" s="1"/>
  <c r="CZ211" i="20"/>
  <c r="BD209" i="25" s="1"/>
  <c r="CS117" i="20"/>
  <c r="CZ117" i="20"/>
  <c r="BD115" i="25" s="1"/>
  <c r="DV49" i="20"/>
  <c r="DV5" i="20" s="1"/>
  <c r="CT81" i="20"/>
  <c r="AX79" i="25" s="1"/>
  <c r="CZ81" i="20"/>
  <c r="BD79" i="25" s="1"/>
  <c r="CU199" i="20"/>
  <c r="AY197" i="25" s="1"/>
  <c r="CS127" i="20"/>
  <c r="AW125" i="25" s="1"/>
  <c r="CZ216" i="20"/>
  <c r="BD214" i="25" s="1"/>
  <c r="DF4" i="20"/>
  <c r="CT117" i="20"/>
  <c r="AX115" i="25" s="1"/>
  <c r="CT211" i="20"/>
  <c r="AX209" i="25" s="1"/>
  <c r="CT92" i="20"/>
  <c r="AX90" i="25" s="1"/>
  <c r="CZ118" i="20"/>
  <c r="CT118" i="20"/>
  <c r="AX116" i="25" s="1"/>
  <c r="CZ115" i="20"/>
  <c r="BD113" i="25" s="1"/>
  <c r="CS115" i="20"/>
  <c r="CT223" i="20"/>
  <c r="AX221" i="25" s="1"/>
  <c r="DM49" i="20"/>
  <c r="DM5" i="20" s="1"/>
  <c r="CT147" i="20"/>
  <c r="AX145" i="25" s="1"/>
  <c r="CT221" i="20"/>
  <c r="AX219" i="25" s="1"/>
  <c r="CZ122" i="20"/>
  <c r="BD120" i="25" s="1"/>
  <c r="CZ212" i="20"/>
  <c r="BD210" i="25" s="1"/>
  <c r="AY214" i="25"/>
  <c r="CV216" i="20"/>
  <c r="CW216" i="20" s="1"/>
  <c r="BA214" i="25" s="1"/>
  <c r="CZ114" i="20"/>
  <c r="BD112" i="25" s="1"/>
  <c r="CS114" i="20"/>
  <c r="CT114" i="20"/>
  <c r="AX112" i="25" s="1"/>
  <c r="CT84" i="20"/>
  <c r="AX82" i="25" s="1"/>
  <c r="CZ84" i="20"/>
  <c r="BD82" i="25" s="1"/>
  <c r="CS84" i="20"/>
  <c r="DG4" i="20"/>
  <c r="CZ64" i="20"/>
  <c r="BD62" i="25" s="1"/>
  <c r="CT64" i="20"/>
  <c r="AX62" i="25" s="1"/>
  <c r="CZ200" i="20"/>
  <c r="BD198" i="25" s="1"/>
  <c r="CS200" i="20"/>
  <c r="CS198" i="20" s="1"/>
  <c r="CT200" i="20"/>
  <c r="AX198" i="25" s="1"/>
  <c r="CS68" i="20"/>
  <c r="CT68" i="20"/>
  <c r="AX66" i="25" s="1"/>
  <c r="CZ68" i="20"/>
  <c r="CT101" i="20"/>
  <c r="AX99" i="25" s="1"/>
  <c r="CS101" i="20"/>
  <c r="CZ134" i="20"/>
  <c r="BD132" i="25" s="1"/>
  <c r="CT134" i="20"/>
  <c r="AX132" i="25" s="1"/>
  <c r="CS134" i="20"/>
  <c r="CZ199" i="20"/>
  <c r="CT199" i="20"/>
  <c r="CT137" i="20"/>
  <c r="AX135" i="25" s="1"/>
  <c r="CZ137" i="20"/>
  <c r="BD135" i="25" s="1"/>
  <c r="CS137" i="20"/>
  <c r="CS55" i="20"/>
  <c r="CZ55" i="20"/>
  <c r="BD53" i="25" s="1"/>
  <c r="CT55" i="20"/>
  <c r="AX53" i="25" s="1"/>
  <c r="CT99" i="20"/>
  <c r="AX97" i="25" s="1"/>
  <c r="CZ99" i="20"/>
  <c r="BD97" i="25" s="1"/>
  <c r="DL49" i="20"/>
  <c r="DL5" i="20" s="1"/>
  <c r="DJ49" i="20"/>
  <c r="CT204" i="20"/>
  <c r="AX202" i="25" s="1"/>
  <c r="CZ204" i="20"/>
  <c r="CS204" i="20"/>
  <c r="CZ146" i="20"/>
  <c r="CR146" i="20" s="1"/>
  <c r="AV144" i="25" s="1"/>
  <c r="CT146" i="20"/>
  <c r="AX144" i="25" s="1"/>
  <c r="CS124" i="20"/>
  <c r="CT124" i="20"/>
  <c r="AX122" i="25" s="1"/>
  <c r="CZ124" i="20"/>
  <c r="BD122" i="25" s="1"/>
  <c r="CZ71" i="20"/>
  <c r="BD69" i="25" s="1"/>
  <c r="CS71" i="20"/>
  <c r="CT71" i="20"/>
  <c r="AX69" i="25" s="1"/>
  <c r="CT139" i="20"/>
  <c r="AX137" i="25" s="1"/>
  <c r="CZ139" i="20"/>
  <c r="BD137" i="25" s="1"/>
  <c r="CS139" i="20"/>
  <c r="CS54" i="20"/>
  <c r="CT54" i="20"/>
  <c r="AX52" i="25" s="1"/>
  <c r="CZ126" i="20"/>
  <c r="BD124" i="25" s="1"/>
  <c r="CT126" i="20"/>
  <c r="AX124" i="25" s="1"/>
  <c r="CT138" i="20"/>
  <c r="AX136" i="25" s="1"/>
  <c r="CZ138" i="20"/>
  <c r="BD136" i="25" s="1"/>
  <c r="CS78" i="20"/>
  <c r="CT78" i="20"/>
  <c r="AX76" i="25" s="1"/>
  <c r="CZ78" i="20"/>
  <c r="BD76" i="25" s="1"/>
  <c r="CS91" i="20"/>
  <c r="CT91" i="20"/>
  <c r="AX89" i="25" s="1"/>
  <c r="CZ91" i="20"/>
  <c r="BD89" i="25" s="1"/>
  <c r="DH4" i="20"/>
  <c r="CT83" i="20"/>
  <c r="AX81" i="25" s="1"/>
  <c r="CZ83" i="20"/>
  <c r="BD81" i="25" s="1"/>
  <c r="CS147" i="20"/>
  <c r="CZ147" i="20"/>
  <c r="BD145" i="25" s="1"/>
  <c r="CT135" i="20"/>
  <c r="AX133" i="25" s="1"/>
  <c r="CS135" i="20"/>
  <c r="CZ135" i="20"/>
  <c r="BD133" i="25" s="1"/>
  <c r="CS94" i="20"/>
  <c r="CZ94" i="20"/>
  <c r="BD92" i="25" s="1"/>
  <c r="CT94" i="20"/>
  <c r="AX92" i="25" s="1"/>
  <c r="AW123" i="25"/>
  <c r="DA125" i="20"/>
  <c r="CT141" i="20"/>
  <c r="AX139" i="25" s="1"/>
  <c r="CZ141" i="20"/>
  <c r="BD139" i="25" s="1"/>
  <c r="CS100" i="20"/>
  <c r="CT100" i="20"/>
  <c r="AX98" i="25" s="1"/>
  <c r="CZ100" i="20"/>
  <c r="BD98" i="25" s="1"/>
  <c r="CZ230" i="20"/>
  <c r="BD228" i="25" s="1"/>
  <c r="CS230" i="20"/>
  <c r="CT230" i="20"/>
  <c r="AX228" i="25" s="1"/>
  <c r="CT122" i="20"/>
  <c r="AX120" i="25" s="1"/>
  <c r="CS145" i="20"/>
  <c r="CT145" i="20"/>
  <c r="AX143" i="25" s="1"/>
  <c r="CZ101" i="20"/>
  <c r="BD99" i="25" s="1"/>
  <c r="CS99" i="20"/>
  <c r="DA99" i="20" s="1"/>
  <c r="CZ58" i="20"/>
  <c r="BD56" i="25" s="1"/>
  <c r="CT58" i="20"/>
  <c r="AX56" i="25" s="1"/>
  <c r="CT59" i="20"/>
  <c r="AX57" i="25" s="1"/>
  <c r="CS59" i="20"/>
  <c r="CZ59" i="20"/>
  <c r="BD57" i="25" s="1"/>
  <c r="CZ65" i="20"/>
  <c r="CT65" i="20"/>
  <c r="AX63" i="25" s="1"/>
  <c r="CT228" i="20"/>
  <c r="CZ228" i="20"/>
  <c r="CS77" i="20"/>
  <c r="CT77" i="20"/>
  <c r="AX75" i="25" s="1"/>
  <c r="CZ77" i="20"/>
  <c r="BD75" i="25" s="1"/>
  <c r="CT148" i="20"/>
  <c r="AX146" i="25" s="1"/>
  <c r="CS148" i="20"/>
  <c r="CZ148" i="20"/>
  <c r="BD146" i="25" s="1"/>
  <c r="CT136" i="20"/>
  <c r="AX134" i="25" s="1"/>
  <c r="CZ136" i="20"/>
  <c r="BD134" i="25" s="1"/>
  <c r="CS69" i="20"/>
  <c r="CZ69" i="20"/>
  <c r="BD67" i="25" s="1"/>
  <c r="CT69" i="20"/>
  <c r="AX67" i="25" s="1"/>
  <c r="CZ110" i="20"/>
  <c r="BD108" i="25" s="1"/>
  <c r="CT110" i="20"/>
  <c r="AX108" i="25" s="1"/>
  <c r="CZ82" i="20"/>
  <c r="BD80" i="25" s="1"/>
  <c r="CT82" i="20"/>
  <c r="AX80" i="25" s="1"/>
  <c r="CT123" i="20"/>
  <c r="AX121" i="25" s="1"/>
  <c r="CS123" i="20"/>
  <c r="CZ123" i="20"/>
  <c r="BD121" i="25" s="1"/>
  <c r="CZ103" i="20"/>
  <c r="BD101" i="25" s="1"/>
  <c r="CT103" i="20"/>
  <c r="AX101" i="25" s="1"/>
  <c r="CS221" i="20"/>
  <c r="CZ221" i="20"/>
  <c r="BD219" i="25" s="1"/>
  <c r="CT79" i="20"/>
  <c r="AX77" i="25" s="1"/>
  <c r="CT76" i="20"/>
  <c r="CZ76" i="20"/>
  <c r="BD74" i="25" s="1"/>
  <c r="CZ231" i="20"/>
  <c r="BD229" i="25" s="1"/>
  <c r="CS231" i="20"/>
  <c r="CT210" i="20"/>
  <c r="AX208" i="25" s="1"/>
  <c r="CZ210" i="20"/>
  <c r="BD208" i="25" s="1"/>
  <c r="CT104" i="20"/>
  <c r="AX102" i="25" s="1"/>
  <c r="CZ104" i="20"/>
  <c r="BD102" i="25" s="1"/>
  <c r="CS223" i="20"/>
  <c r="CZ223" i="20"/>
  <c r="CS119" i="20"/>
  <c r="CZ119" i="20"/>
  <c r="BD117" i="25" s="1"/>
  <c r="CT119" i="20"/>
  <c r="AX117" i="25" s="1"/>
  <c r="CS142" i="20"/>
  <c r="CT142" i="20"/>
  <c r="CZ142" i="20"/>
  <c r="CS73" i="20"/>
  <c r="CZ73" i="20"/>
  <c r="BD71" i="25" s="1"/>
  <c r="CT73" i="20"/>
  <c r="AX71" i="25" s="1"/>
  <c r="DR49" i="20"/>
  <c r="DR5" i="20" s="1"/>
  <c r="DK49" i="20"/>
  <c r="CZ61" i="20"/>
  <c r="CS61" i="20"/>
  <c r="CT61" i="20"/>
  <c r="DN49" i="20"/>
  <c r="DN5" i="20" s="1"/>
  <c r="CZ215" i="20"/>
  <c r="BD213" i="25" s="1"/>
  <c r="CS215" i="20"/>
  <c r="CS224" i="20"/>
  <c r="CT224" i="20"/>
  <c r="AX222" i="25" s="1"/>
  <c r="CZ224" i="20"/>
  <c r="BD222" i="25" s="1"/>
  <c r="AW108" i="25"/>
  <c r="CS96" i="20"/>
  <c r="CZ96" i="20"/>
  <c r="BD94" i="25" s="1"/>
  <c r="CT96" i="20"/>
  <c r="AX94" i="25" s="1"/>
  <c r="AW214" i="25"/>
  <c r="DA216" i="20"/>
  <c r="CS214" i="20"/>
  <c r="CZ214" i="20"/>
  <c r="BD212" i="25" s="1"/>
  <c r="AW116" i="25"/>
  <c r="CU118" i="20"/>
  <c r="AY116" i="25" s="1"/>
  <c r="BI164" i="20"/>
  <c r="AF162" i="25" s="1"/>
  <c r="H162" i="25" s="1"/>
  <c r="BN157" i="20"/>
  <c r="AK155" i="25" s="1"/>
  <c r="AM203" i="25"/>
  <c r="AD162" i="25"/>
  <c r="F162" i="25" s="1"/>
  <c r="AG161" i="25"/>
  <c r="CU146" i="20"/>
  <c r="AY144" i="25" s="1"/>
  <c r="BS217" i="20"/>
  <c r="AP215" i="25" s="1"/>
  <c r="F127" i="20"/>
  <c r="F179" i="20"/>
  <c r="BQ122" i="20"/>
  <c r="AN120" i="25" s="1"/>
  <c r="AD161" i="20"/>
  <c r="T159" i="25" s="1"/>
  <c r="S159" i="25"/>
  <c r="EF213" i="20"/>
  <c r="EG213" i="20" s="1"/>
  <c r="BR211" i="25" s="1"/>
  <c r="M142" i="25"/>
  <c r="AD196" i="25"/>
  <c r="F196" i="25" s="1"/>
  <c r="DA146" i="20"/>
  <c r="BE144" i="25" s="1"/>
  <c r="I163" i="20"/>
  <c r="BQ200" i="20"/>
  <c r="F130" i="20"/>
  <c r="F139" i="25"/>
  <c r="EB213" i="20"/>
  <c r="BM211" i="25" s="1"/>
  <c r="F192" i="20"/>
  <c r="BK67" i="20"/>
  <c r="BL67" i="20" s="1"/>
  <c r="AF65" i="25"/>
  <c r="CU110" i="20"/>
  <c r="AY108" i="25" s="1"/>
  <c r="AU142" i="25"/>
  <c r="CU228" i="20"/>
  <c r="H226" i="25"/>
  <c r="DA228" i="20"/>
  <c r="DB228" i="20" s="1"/>
  <c r="BF226" i="25" s="1"/>
  <c r="AW58" i="25"/>
  <c r="DA199" i="20"/>
  <c r="DB199" i="20" s="1"/>
  <c r="BF197" i="25" s="1"/>
  <c r="G39" i="20"/>
  <c r="H39" i="20" s="1"/>
  <c r="F125" i="25"/>
  <c r="DA227" i="20"/>
  <c r="BE225" i="25" s="1"/>
  <c r="BK116" i="20"/>
  <c r="AH114" i="25" s="1"/>
  <c r="AF63" i="25"/>
  <c r="CU227" i="20"/>
  <c r="CV227" i="20" s="1"/>
  <c r="AZ225" i="25" s="1"/>
  <c r="AW225" i="25"/>
  <c r="BQ222" i="20"/>
  <c r="AN220" i="25" s="1"/>
  <c r="BK222" i="20"/>
  <c r="AH220" i="25" s="1"/>
  <c r="BH222" i="20"/>
  <c r="AE220" i="25" s="1"/>
  <c r="F233" i="25"/>
  <c r="F62" i="25"/>
  <c r="BR52" i="20"/>
  <c r="BS52" i="20" s="1"/>
  <c r="BT52" i="20" s="1"/>
  <c r="AQ50" i="25" s="1"/>
  <c r="AN50" i="25"/>
  <c r="DA110" i="20"/>
  <c r="BE108" i="25" s="1"/>
  <c r="F64" i="25"/>
  <c r="DB107" i="20"/>
  <c r="BF105" i="25" s="1"/>
  <c r="Z53" i="20"/>
  <c r="P51" i="25" s="1"/>
  <c r="F75" i="25"/>
  <c r="AF230" i="20"/>
  <c r="X230" i="20" s="1"/>
  <c r="N228" i="25" s="1"/>
  <c r="Z201" i="20"/>
  <c r="P199" i="25" s="1"/>
  <c r="AF139" i="20"/>
  <c r="V137" i="25" s="1"/>
  <c r="BM218" i="20"/>
  <c r="AJ216" i="25" s="1"/>
  <c r="BK101" i="20"/>
  <c r="BL101" i="20" s="1"/>
  <c r="AI99" i="25" s="1"/>
  <c r="DB118" i="20"/>
  <c r="BF116" i="25" s="1"/>
  <c r="F167" i="20"/>
  <c r="AD165" i="25"/>
  <c r="F165" i="25" s="1"/>
  <c r="Z230" i="20"/>
  <c r="P228" i="25" s="1"/>
  <c r="CE49" i="20"/>
  <c r="CE5" i="20" s="1"/>
  <c r="DA60" i="20"/>
  <c r="BJ196" i="20"/>
  <c r="I196" i="20" s="1"/>
  <c r="F214" i="25"/>
  <c r="BN165" i="20"/>
  <c r="AK163" i="25" s="1"/>
  <c r="BS212" i="20"/>
  <c r="AP210" i="25" s="1"/>
  <c r="F115" i="25"/>
  <c r="BQ230" i="20"/>
  <c r="AN228" i="25" s="1"/>
  <c r="AD172" i="20"/>
  <c r="T170" i="25" s="1"/>
  <c r="BK230" i="20"/>
  <c r="AH228" i="25" s="1"/>
  <c r="AD49" i="25"/>
  <c r="CA49" i="20"/>
  <c r="F132" i="25"/>
  <c r="BN203" i="25"/>
  <c r="AF181" i="25"/>
  <c r="H181" i="25" s="1"/>
  <c r="BP119" i="20"/>
  <c r="BH119" i="20" s="1"/>
  <c r="I183" i="20"/>
  <c r="M119" i="25"/>
  <c r="F52" i="25"/>
  <c r="BT148" i="20"/>
  <c r="AQ146" i="25" s="1"/>
  <c r="AF182" i="25"/>
  <c r="H182" i="25" s="1"/>
  <c r="BQ184" i="20"/>
  <c r="BR184" i="20" s="1"/>
  <c r="BS184" i="20" s="1"/>
  <c r="AP182" i="25" s="1"/>
  <c r="BK184" i="20"/>
  <c r="J184" i="20" s="1"/>
  <c r="AD153" i="25"/>
  <c r="F153" i="25" s="1"/>
  <c r="F155" i="20"/>
  <c r="BK77" i="20"/>
  <c r="AH75" i="25" s="1"/>
  <c r="BQ77" i="20"/>
  <c r="AN75" i="25" s="1"/>
  <c r="AD150" i="20"/>
  <c r="T148" i="25" s="1"/>
  <c r="S148" i="25"/>
  <c r="BJ182" i="20"/>
  <c r="AG180" i="25" s="1"/>
  <c r="CB49" i="20"/>
  <c r="CB5" i="20" s="1"/>
  <c r="I179" i="20"/>
  <c r="AF75" i="25"/>
  <c r="AD150" i="25"/>
  <c r="F150" i="25" s="1"/>
  <c r="F152" i="20"/>
  <c r="BI152" i="20"/>
  <c r="BH81" i="20"/>
  <c r="AE79" i="25" s="1"/>
  <c r="EB212" i="20"/>
  <c r="BM210" i="25" s="1"/>
  <c r="BQ64" i="20"/>
  <c r="BR64" i="20" s="1"/>
  <c r="BS64" i="20" s="1"/>
  <c r="AP62" i="25" s="1"/>
  <c r="AH68" i="25"/>
  <c r="S155" i="25"/>
  <c r="AD157" i="20"/>
  <c r="T155" i="25" s="1"/>
  <c r="AD149" i="25"/>
  <c r="F151" i="20"/>
  <c r="S181" i="25"/>
  <c r="AD183" i="20"/>
  <c r="T181" i="25" s="1"/>
  <c r="AD186" i="25"/>
  <c r="F186" i="25" s="1"/>
  <c r="F188" i="20"/>
  <c r="BG4" i="20"/>
  <c r="X235" i="20"/>
  <c r="X233" i="20" s="1"/>
  <c r="AF218" i="20"/>
  <c r="V216" i="25" s="1"/>
  <c r="F50" i="25"/>
  <c r="BI175" i="20"/>
  <c r="AD173" i="25"/>
  <c r="F173" i="25" s="1"/>
  <c r="F175" i="20"/>
  <c r="BQ83" i="20"/>
  <c r="AN81" i="25" s="1"/>
  <c r="AD185" i="25"/>
  <c r="F185" i="25" s="1"/>
  <c r="F187" i="20"/>
  <c r="S158" i="25"/>
  <c r="BQ65" i="20"/>
  <c r="BR65" i="20" s="1"/>
  <c r="BS65" i="20" s="1"/>
  <c r="BM212" i="20"/>
  <c r="AJ210" i="25" s="1"/>
  <c r="AD174" i="25"/>
  <c r="F174" i="25" s="1"/>
  <c r="F176" i="20"/>
  <c r="BI176" i="20"/>
  <c r="F100" i="25"/>
  <c r="BJ119" i="20"/>
  <c r="AG117" i="25" s="1"/>
  <c r="S166" i="25"/>
  <c r="AD168" i="20"/>
  <c r="T166" i="25" s="1"/>
  <c r="G37" i="25"/>
  <c r="I37" i="25" s="1"/>
  <c r="EC104" i="20"/>
  <c r="BN102" i="25" s="1"/>
  <c r="BZ49" i="20"/>
  <c r="Z105" i="20"/>
  <c r="P103" i="25" s="1"/>
  <c r="AG218" i="20"/>
  <c r="W216" i="25" s="1"/>
  <c r="DB129" i="20"/>
  <c r="BF127" i="25" s="1"/>
  <c r="F160" i="20"/>
  <c r="AD154" i="20"/>
  <c r="T152" i="25" s="1"/>
  <c r="S152" i="25"/>
  <c r="F65" i="25"/>
  <c r="F184" i="20"/>
  <c r="AD182" i="25"/>
  <c r="F182" i="25" s="1"/>
  <c r="BS201" i="20"/>
  <c r="AP199" i="25" s="1"/>
  <c r="Z222" i="20"/>
  <c r="P220" i="25" s="1"/>
  <c r="AD181" i="25"/>
  <c r="F181" i="25" s="1"/>
  <c r="F183" i="20"/>
  <c r="AD186" i="20"/>
  <c r="T184" i="25" s="1"/>
  <c r="F222" i="25"/>
  <c r="EL211" i="20"/>
  <c r="BW209" i="25" s="1"/>
  <c r="BU209" i="25"/>
  <c r="BP206" i="20"/>
  <c r="BH206" i="20" s="1"/>
  <c r="AE204" i="25" s="1"/>
  <c r="BQ208" i="20"/>
  <c r="BI182" i="20"/>
  <c r="BK182" i="20" s="1"/>
  <c r="AH180" i="25" s="1"/>
  <c r="AF82" i="20"/>
  <c r="V80" i="25" s="1"/>
  <c r="AD154" i="25"/>
  <c r="F154" i="25" s="1"/>
  <c r="BI156" i="20"/>
  <c r="F156" i="20"/>
  <c r="AY58" i="25"/>
  <c r="CV60" i="20"/>
  <c r="ED82" i="20"/>
  <c r="ED128" i="20" s="1"/>
  <c r="BO126" i="25" s="1"/>
  <c r="AG100" i="20"/>
  <c r="W98" i="25" s="1"/>
  <c r="AA100" i="20"/>
  <c r="AB100" i="20" s="1"/>
  <c r="AA216" i="20"/>
  <c r="Q214" i="25" s="1"/>
  <c r="Z52" i="20"/>
  <c r="P50" i="25" s="1"/>
  <c r="AF100" i="20"/>
  <c r="V98" i="25" s="1"/>
  <c r="Z218" i="20"/>
  <c r="P216" i="25" s="1"/>
  <c r="AA218" i="20"/>
  <c r="AB218" i="20" s="1"/>
  <c r="AC218" i="20" s="1"/>
  <c r="Z100" i="20"/>
  <c r="P98" i="25" s="1"/>
  <c r="H216" i="25"/>
  <c r="AF200" i="20"/>
  <c r="V198" i="25" s="1"/>
  <c r="AF105" i="20"/>
  <c r="V103" i="25" s="1"/>
  <c r="EE102" i="20"/>
  <c r="EF102" i="20" s="1"/>
  <c r="BQ100" i="25" s="1"/>
  <c r="BH64" i="20"/>
  <c r="AE62" i="25" s="1"/>
  <c r="CD49" i="20"/>
  <c r="CD5" i="20" s="1"/>
  <c r="N28" i="25"/>
  <c r="G28" i="25" s="1"/>
  <c r="I28" i="25" s="1"/>
  <c r="G30" i="20"/>
  <c r="H30" i="20" s="1"/>
  <c r="F63" i="25"/>
  <c r="M61" i="25"/>
  <c r="AW136" i="25"/>
  <c r="CU138" i="20"/>
  <c r="AY136" i="25" s="1"/>
  <c r="DA138" i="20"/>
  <c r="BE136" i="25" s="1"/>
  <c r="AF161" i="25"/>
  <c r="H161" i="25" s="1"/>
  <c r="BK163" i="20"/>
  <c r="F71" i="25"/>
  <c r="F229" i="25"/>
  <c r="EE224" i="20"/>
  <c r="EF224" i="20" s="1"/>
  <c r="EG224" i="20" s="1"/>
  <c r="M130" i="25"/>
  <c r="EK205" i="20"/>
  <c r="BV203" i="25" s="1"/>
  <c r="BK183" i="20"/>
  <c r="BL183" i="20" s="1"/>
  <c r="BM183" i="20" s="1"/>
  <c r="AJ181" i="25" s="1"/>
  <c r="BM70" i="20"/>
  <c r="AJ68" i="25" s="1"/>
  <c r="BH184" i="20"/>
  <c r="AG94" i="20"/>
  <c r="W92" i="25" s="1"/>
  <c r="BM214" i="20"/>
  <c r="AJ212" i="25" s="1"/>
  <c r="BR209" i="20"/>
  <c r="CU52" i="20"/>
  <c r="DA52" i="20"/>
  <c r="AW50" i="25"/>
  <c r="CV125" i="20"/>
  <c r="AZ123" i="25" s="1"/>
  <c r="AY123" i="25"/>
  <c r="F135" i="25"/>
  <c r="ED224" i="20"/>
  <c r="BQ116" i="20"/>
  <c r="AN114" i="25" s="1"/>
  <c r="BP196" i="20"/>
  <c r="O196" i="20" s="1"/>
  <c r="CC49" i="20"/>
  <c r="CC5" i="20" s="1"/>
  <c r="BQ163" i="20"/>
  <c r="P163" i="20" s="1"/>
  <c r="AU49" i="25"/>
  <c r="N21" i="25"/>
  <c r="G21" i="25" s="1"/>
  <c r="I21" i="25" s="1"/>
  <c r="G23" i="20"/>
  <c r="H23" i="20" s="1"/>
  <c r="N9" i="25"/>
  <c r="G9" i="25" s="1"/>
  <c r="I9" i="25" s="1"/>
  <c r="G11" i="20"/>
  <c r="H11" i="20" s="1"/>
  <c r="F59" i="25"/>
  <c r="BK229" i="20"/>
  <c r="AH227" i="25" s="1"/>
  <c r="CF49" i="20"/>
  <c r="CF5" i="20" s="1"/>
  <c r="AU130" i="25"/>
  <c r="AW65" i="25"/>
  <c r="CU67" i="20"/>
  <c r="AY65" i="25" s="1"/>
  <c r="DA67" i="20"/>
  <c r="BE65" i="25" s="1"/>
  <c r="AW134" i="25"/>
  <c r="CU136" i="20"/>
  <c r="AY134" i="25" s="1"/>
  <c r="DA136" i="20"/>
  <c r="BE134" i="25" s="1"/>
  <c r="AD179" i="20"/>
  <c r="T177" i="25" s="1"/>
  <c r="F226" i="25"/>
  <c r="AW56" i="25"/>
  <c r="CU58" i="20"/>
  <c r="AY56" i="25" s="1"/>
  <c r="DA58" i="20"/>
  <c r="BE56" i="25" s="1"/>
  <c r="BQ58" i="20"/>
  <c r="AN56" i="25" s="1"/>
  <c r="CI49" i="20"/>
  <c r="CI5" i="20" s="1"/>
  <c r="EJ102" i="20"/>
  <c r="BU100" i="25" s="1"/>
  <c r="Z125" i="20"/>
  <c r="P123" i="25" s="1"/>
  <c r="Z224" i="20"/>
  <c r="P222" i="25" s="1"/>
  <c r="AF229" i="20"/>
  <c r="V227" i="25" s="1"/>
  <c r="AW126" i="25"/>
  <c r="CR128" i="20"/>
  <c r="AV126" i="25" s="1"/>
  <c r="DA128" i="20"/>
  <c r="BE126" i="25" s="1"/>
  <c r="CU128" i="20"/>
  <c r="AY126" i="25" s="1"/>
  <c r="CR9" i="20"/>
  <c r="DA141" i="20"/>
  <c r="BE139" i="25" s="1"/>
  <c r="AW139" i="25"/>
  <c r="CU141" i="20"/>
  <c r="AY139" i="25" s="1"/>
  <c r="AI234" i="25"/>
  <c r="AI233" i="25" s="1"/>
  <c r="BL235" i="20"/>
  <c r="BL233" i="20" s="1"/>
  <c r="DA126" i="20"/>
  <c r="BE124" i="25" s="1"/>
  <c r="CU126" i="20"/>
  <c r="AY124" i="25" s="1"/>
  <c r="AW124" i="25"/>
  <c r="AJ151" i="25"/>
  <c r="BN153" i="20"/>
  <c r="AK151" i="25" s="1"/>
  <c r="AW109" i="25"/>
  <c r="CU111" i="20"/>
  <c r="AY109" i="25" s="1"/>
  <c r="DA111" i="20"/>
  <c r="BE109" i="25" s="1"/>
  <c r="F128" i="25"/>
  <c r="AU73" i="25"/>
  <c r="F208" i="25"/>
  <c r="BS218" i="20"/>
  <c r="AP216" i="25" s="1"/>
  <c r="BQ229" i="20"/>
  <c r="AN227" i="25" s="1"/>
  <c r="BM216" i="20"/>
  <c r="AJ214" i="25" s="1"/>
  <c r="AF56" i="25"/>
  <c r="BR216" i="20"/>
  <c r="AO214" i="25" s="1"/>
  <c r="AW120" i="25"/>
  <c r="DA122" i="20"/>
  <c r="BE120" i="25" s="1"/>
  <c r="CU122" i="20"/>
  <c r="AY120" i="25" s="1"/>
  <c r="F134" i="25"/>
  <c r="ED104" i="20"/>
  <c r="BO102" i="25" s="1"/>
  <c r="CV102" i="20"/>
  <c r="AZ100" i="25" s="1"/>
  <c r="AY100" i="25"/>
  <c r="F81" i="25"/>
  <c r="BK104" i="20"/>
  <c r="BL104" i="20" s="1"/>
  <c r="BM104" i="20" s="1"/>
  <c r="AU107" i="25"/>
  <c r="AF62" i="25"/>
  <c r="AF90" i="25"/>
  <c r="BQ92" i="20"/>
  <c r="BK92" i="20"/>
  <c r="S182" i="25"/>
  <c r="AD184" i="20"/>
  <c r="T182" i="25" s="1"/>
  <c r="AU119" i="25"/>
  <c r="F138" i="25"/>
  <c r="AW131" i="25"/>
  <c r="DA133" i="20"/>
  <c r="DB133" i="20" s="1"/>
  <c r="CU133" i="20"/>
  <c r="CV133" i="20" s="1"/>
  <c r="CL49" i="20"/>
  <c r="CL5" i="20" s="1"/>
  <c r="CU64" i="20"/>
  <c r="AY62" i="25" s="1"/>
  <c r="DA64" i="20"/>
  <c r="BE62" i="25" s="1"/>
  <c r="AW62" i="25"/>
  <c r="AA230" i="20"/>
  <c r="AB230" i="20" s="1"/>
  <c r="F102" i="25"/>
  <c r="BV4" i="20"/>
  <c r="BP96" i="20"/>
  <c r="AM94" i="25" s="1"/>
  <c r="AR203" i="20"/>
  <c r="BM215" i="20"/>
  <c r="AJ213" i="25" s="1"/>
  <c r="AW102" i="25"/>
  <c r="CU104" i="20"/>
  <c r="AY102" i="25" s="1"/>
  <c r="DA104" i="20"/>
  <c r="BE102" i="25" s="1"/>
  <c r="H21" i="25"/>
  <c r="AR86" i="20"/>
  <c r="AF231" i="20"/>
  <c r="V229" i="25" s="1"/>
  <c r="AF215" i="20"/>
  <c r="V213" i="25" s="1"/>
  <c r="AR226" i="20"/>
  <c r="AA231" i="20"/>
  <c r="Q229" i="25" s="1"/>
  <c r="AR132" i="20"/>
  <c r="AR51" i="20"/>
  <c r="AF148" i="20"/>
  <c r="V146" i="25" s="1"/>
  <c r="AF119" i="20"/>
  <c r="V117" i="25" s="1"/>
  <c r="AR198" i="20"/>
  <c r="Z217" i="20"/>
  <c r="P215" i="25" s="1"/>
  <c r="AF128" i="20"/>
  <c r="V126" i="25" s="1"/>
  <c r="Z84" i="20"/>
  <c r="P82" i="25" s="1"/>
  <c r="AF123" i="20"/>
  <c r="V121" i="25" s="1"/>
  <c r="AF111" i="20"/>
  <c r="V109" i="25" s="1"/>
  <c r="Y111" i="20"/>
  <c r="Z130" i="20"/>
  <c r="P128" i="25" s="1"/>
  <c r="AF130" i="20"/>
  <c r="V128" i="25" s="1"/>
  <c r="Y130" i="20"/>
  <c r="Z76" i="20"/>
  <c r="Z90" i="20"/>
  <c r="P88" i="25" s="1"/>
  <c r="Y90" i="20"/>
  <c r="AF56" i="20"/>
  <c r="Z56" i="20"/>
  <c r="P54" i="25" s="1"/>
  <c r="Y56" i="20"/>
  <c r="Y147" i="20"/>
  <c r="AF147" i="20"/>
  <c r="Z147" i="20"/>
  <c r="P145" i="25" s="1"/>
  <c r="Y129" i="20"/>
  <c r="Z129" i="20"/>
  <c r="P127" i="25" s="1"/>
  <c r="AF129" i="20"/>
  <c r="V127" i="25" s="1"/>
  <c r="Z213" i="20"/>
  <c r="P211" i="25" s="1"/>
  <c r="Y213" i="20"/>
  <c r="AF213" i="20"/>
  <c r="AF65" i="20"/>
  <c r="V63" i="25" s="1"/>
  <c r="Z65" i="20"/>
  <c r="Y65" i="20"/>
  <c r="AV49" i="20"/>
  <c r="AV5" i="20" s="1"/>
  <c r="Q92" i="25"/>
  <c r="Y223" i="20"/>
  <c r="Z223" i="20"/>
  <c r="P221" i="25" s="1"/>
  <c r="AF101" i="20"/>
  <c r="V99" i="25" s="1"/>
  <c r="Z101" i="20"/>
  <c r="P99" i="25" s="1"/>
  <c r="Y101" i="20"/>
  <c r="Z106" i="20"/>
  <c r="P104" i="25" s="1"/>
  <c r="AF106" i="20"/>
  <c r="V104" i="25" s="1"/>
  <c r="Y106" i="20"/>
  <c r="O104" i="25" s="1"/>
  <c r="Y71" i="20"/>
  <c r="Z71" i="20"/>
  <c r="AF71" i="20"/>
  <c r="Y209" i="20"/>
  <c r="Z210" i="20"/>
  <c r="P208" i="25" s="1"/>
  <c r="AF210" i="20"/>
  <c r="V208" i="25" s="1"/>
  <c r="Y81" i="20"/>
  <c r="AF81" i="20"/>
  <c r="V79" i="25" s="1"/>
  <c r="Z81" i="20"/>
  <c r="P79" i="25" s="1"/>
  <c r="W219" i="25"/>
  <c r="AN221" i="20"/>
  <c r="AF221" i="20" s="1"/>
  <c r="V219" i="25" s="1"/>
  <c r="AX220" i="20"/>
  <c r="AN227" i="20"/>
  <c r="AF227" i="20" s="1"/>
  <c r="AX226" i="20"/>
  <c r="Z110" i="20"/>
  <c r="Y110" i="20"/>
  <c r="AF222" i="20"/>
  <c r="V220" i="25" s="1"/>
  <c r="Y222" i="20"/>
  <c r="AT49" i="20"/>
  <c r="AT5" i="20" s="1"/>
  <c r="O209" i="25"/>
  <c r="AA211" i="20"/>
  <c r="AB211" i="20" s="1"/>
  <c r="R209" i="25" s="1"/>
  <c r="AG211" i="20"/>
  <c r="Z124" i="20"/>
  <c r="P122" i="25" s="1"/>
  <c r="AF124" i="20"/>
  <c r="V122" i="25" s="1"/>
  <c r="Y124" i="20"/>
  <c r="Y229" i="20"/>
  <c r="Y226" i="20" s="1"/>
  <c r="Z229" i="20"/>
  <c r="P227" i="25" s="1"/>
  <c r="Y64" i="20"/>
  <c r="Z64" i="20"/>
  <c r="AL4" i="20"/>
  <c r="Y210" i="20"/>
  <c r="O208" i="25" s="1"/>
  <c r="Z115" i="20"/>
  <c r="Y115" i="20"/>
  <c r="O113" i="25" s="1"/>
  <c r="AX121" i="20"/>
  <c r="AN122" i="20"/>
  <c r="AF122" i="20" s="1"/>
  <c r="AF141" i="20"/>
  <c r="Z141" i="20"/>
  <c r="Y141" i="20"/>
  <c r="Y76" i="20"/>
  <c r="Y88" i="20"/>
  <c r="Z88" i="20"/>
  <c r="AF88" i="20"/>
  <c r="AF90" i="20"/>
  <c r="V88" i="25" s="1"/>
  <c r="Y134" i="20"/>
  <c r="Z134" i="20"/>
  <c r="P132" i="25" s="1"/>
  <c r="AF134" i="20"/>
  <c r="V132" i="25" s="1"/>
  <c r="AZ49" i="20"/>
  <c r="AZ5" i="20" s="1"/>
  <c r="Z70" i="20"/>
  <c r="Y70" i="20"/>
  <c r="Z216" i="20"/>
  <c r="P214" i="25" s="1"/>
  <c r="Y99" i="20"/>
  <c r="Z99" i="20"/>
  <c r="Z133" i="20"/>
  <c r="Y133" i="20"/>
  <c r="AX86" i="20"/>
  <c r="AN87" i="20"/>
  <c r="AF87" i="20" s="1"/>
  <c r="AR109" i="20"/>
  <c r="AF80" i="20"/>
  <c r="V78" i="25" s="1"/>
  <c r="Y80" i="20"/>
  <c r="Z80" i="20"/>
  <c r="P78" i="25" s="1"/>
  <c r="AF212" i="20"/>
  <c r="Y212" i="20"/>
  <c r="Y125" i="20"/>
  <c r="AF125" i="20"/>
  <c r="V123" i="25" s="1"/>
  <c r="AF138" i="20"/>
  <c r="Y138" i="20"/>
  <c r="Z138" i="20"/>
  <c r="Y95" i="20"/>
  <c r="AF95" i="20"/>
  <c r="V93" i="25" s="1"/>
  <c r="Z95" i="20"/>
  <c r="P93" i="25" s="1"/>
  <c r="AR220" i="20"/>
  <c r="AX98" i="20"/>
  <c r="AN99" i="20"/>
  <c r="AF99" i="20" s="1"/>
  <c r="Y123" i="20"/>
  <c r="Z123" i="20"/>
  <c r="P121" i="25" s="1"/>
  <c r="Z199" i="20"/>
  <c r="Y199" i="20"/>
  <c r="AP49" i="20"/>
  <c r="AF68" i="20"/>
  <c r="V66" i="25" s="1"/>
  <c r="Y68" i="20"/>
  <c r="Z68" i="20"/>
  <c r="P66" i="25" s="1"/>
  <c r="Z122" i="20"/>
  <c r="Y122" i="20"/>
  <c r="Y83" i="20"/>
  <c r="AF83" i="20"/>
  <c r="V81" i="25" s="1"/>
  <c r="Z83" i="20"/>
  <c r="P81" i="25" s="1"/>
  <c r="AF216" i="20"/>
  <c r="V214" i="25" s="1"/>
  <c r="AF117" i="20"/>
  <c r="V115" i="25" s="1"/>
  <c r="Z117" i="20"/>
  <c r="P115" i="25" s="1"/>
  <c r="Z72" i="20"/>
  <c r="Y72" i="20"/>
  <c r="AF72" i="20"/>
  <c r="AF70" i="20"/>
  <c r="Y60" i="20"/>
  <c r="AF60" i="20"/>
  <c r="Z60" i="20"/>
  <c r="P58" i="25" s="1"/>
  <c r="AF79" i="20"/>
  <c r="V77" i="25" s="1"/>
  <c r="Y79" i="20"/>
  <c r="Z79" i="20"/>
  <c r="P77" i="25" s="1"/>
  <c r="Y215" i="20"/>
  <c r="Z215" i="20"/>
  <c r="P213" i="25" s="1"/>
  <c r="Y200" i="20"/>
  <c r="Z200" i="20"/>
  <c r="P198" i="25" s="1"/>
  <c r="Z119" i="20"/>
  <c r="P117" i="25" s="1"/>
  <c r="Y119" i="20"/>
  <c r="Z227" i="20"/>
  <c r="P225" i="25" s="1"/>
  <c r="Z128" i="20"/>
  <c r="P126" i="25" s="1"/>
  <c r="Y128" i="20"/>
  <c r="AF77" i="20"/>
  <c r="V75" i="25" s="1"/>
  <c r="Y77" i="20"/>
  <c r="Z77" i="20"/>
  <c r="P75" i="25" s="1"/>
  <c r="Z67" i="20"/>
  <c r="P65" i="25" s="1"/>
  <c r="AF67" i="20"/>
  <c r="V65" i="25" s="1"/>
  <c r="Y67" i="20"/>
  <c r="AF135" i="20"/>
  <c r="AX75" i="20"/>
  <c r="AN76" i="20"/>
  <c r="AF76" i="20" s="1"/>
  <c r="Z136" i="20"/>
  <c r="Y136" i="20"/>
  <c r="AF136" i="20"/>
  <c r="Y113" i="20"/>
  <c r="AF113" i="20"/>
  <c r="Z113" i="20"/>
  <c r="AF103" i="20"/>
  <c r="V101" i="25" s="1"/>
  <c r="Z103" i="20"/>
  <c r="P101" i="25" s="1"/>
  <c r="Z59" i="20"/>
  <c r="P57" i="25" s="1"/>
  <c r="Y59" i="20"/>
  <c r="AF59" i="20"/>
  <c r="V57" i="25" s="1"/>
  <c r="O219" i="25"/>
  <c r="Y89" i="20"/>
  <c r="Z89" i="20"/>
  <c r="P87" i="25" s="1"/>
  <c r="AF89" i="20"/>
  <c r="V87" i="25" s="1"/>
  <c r="Y91" i="20"/>
  <c r="AF91" i="20"/>
  <c r="V89" i="25" s="1"/>
  <c r="Z91" i="20"/>
  <c r="P89" i="25" s="1"/>
  <c r="AN145" i="20"/>
  <c r="AF145" i="20" s="1"/>
  <c r="AX144" i="20"/>
  <c r="Z112" i="20"/>
  <c r="AF112" i="20"/>
  <c r="Y112" i="20"/>
  <c r="Z135" i="20"/>
  <c r="Y135" i="20"/>
  <c r="O92" i="25"/>
  <c r="AN64" i="20"/>
  <c r="AX63" i="20"/>
  <c r="Y126" i="20"/>
  <c r="Z126" i="20"/>
  <c r="P124" i="25" s="1"/>
  <c r="AF126" i="20"/>
  <c r="V124" i="25" s="1"/>
  <c r="Z221" i="20"/>
  <c r="AX203" i="20"/>
  <c r="AN204" i="20"/>
  <c r="AF204" i="20" s="1"/>
  <c r="Z94" i="20"/>
  <c r="AF96" i="20"/>
  <c r="V94" i="25" s="1"/>
  <c r="Z96" i="20"/>
  <c r="P94" i="25" s="1"/>
  <c r="Y96" i="20"/>
  <c r="Z114" i="20"/>
  <c r="Y114" i="20"/>
  <c r="AF114" i="20"/>
  <c r="V112" i="25" s="1"/>
  <c r="Y224" i="20"/>
  <c r="AF224" i="20"/>
  <c r="V222" i="25" s="1"/>
  <c r="AF142" i="20"/>
  <c r="Y142" i="20"/>
  <c r="Z142" i="20"/>
  <c r="AF54" i="20"/>
  <c r="V52" i="25" s="1"/>
  <c r="Z54" i="20"/>
  <c r="P52" i="25" s="1"/>
  <c r="Y54" i="20"/>
  <c r="Y82" i="20"/>
  <c r="Z82" i="20"/>
  <c r="P80" i="25" s="1"/>
  <c r="AG216" i="20"/>
  <c r="AF116" i="20"/>
  <c r="V114" i="25" s="1"/>
  <c r="Z116" i="20"/>
  <c r="P114" i="25" s="1"/>
  <c r="Z104" i="20"/>
  <c r="P102" i="25" s="1"/>
  <c r="Y104" i="20"/>
  <c r="AF104" i="20"/>
  <c r="V102" i="25" s="1"/>
  <c r="Y92" i="20"/>
  <c r="Z92" i="20"/>
  <c r="AF92" i="20"/>
  <c r="AF140" i="20"/>
  <c r="Z140" i="20"/>
  <c r="Y140" i="20"/>
  <c r="AF217" i="20"/>
  <c r="V215" i="25" s="1"/>
  <c r="Y217" i="20"/>
  <c r="AY49" i="20"/>
  <c r="BB49" i="20"/>
  <c r="BB5" i="20" s="1"/>
  <c r="Y205" i="20"/>
  <c r="AF205" i="20"/>
  <c r="V203" i="25" s="1"/>
  <c r="Z205" i="20"/>
  <c r="P203" i="25" s="1"/>
  <c r="AA221" i="20"/>
  <c r="AB221" i="20" s="1"/>
  <c r="AC221" i="20" s="1"/>
  <c r="AD221" i="20" s="1"/>
  <c r="Y102" i="20"/>
  <c r="Z102" i="20"/>
  <c r="P100" i="25" s="1"/>
  <c r="AF102" i="20"/>
  <c r="V100" i="25" s="1"/>
  <c r="AF107" i="20"/>
  <c r="V105" i="25" s="1"/>
  <c r="Z107" i="20"/>
  <c r="P105" i="25" s="1"/>
  <c r="AF127" i="20"/>
  <c r="V125" i="25" s="1"/>
  <c r="Y127" i="20"/>
  <c r="Z127" i="20"/>
  <c r="P125" i="25" s="1"/>
  <c r="Y57" i="20"/>
  <c r="AF57" i="20"/>
  <c r="V55" i="25" s="1"/>
  <c r="Z57" i="20"/>
  <c r="Y214" i="20"/>
  <c r="AF214" i="20"/>
  <c r="V212" i="25" s="1"/>
  <c r="AF78" i="20"/>
  <c r="V76" i="25" s="1"/>
  <c r="Z78" i="20"/>
  <c r="P76" i="25" s="1"/>
  <c r="Y78" i="20"/>
  <c r="AU49" i="20"/>
  <c r="AU5" i="20" s="1"/>
  <c r="Z73" i="20"/>
  <c r="P71" i="25" s="1"/>
  <c r="AF73" i="20"/>
  <c r="V71" i="25" s="1"/>
  <c r="Y73" i="20"/>
  <c r="Z69" i="20"/>
  <c r="P67" i="25" s="1"/>
  <c r="Y69" i="20"/>
  <c r="AF69" i="20"/>
  <c r="V67" i="25" s="1"/>
  <c r="AF93" i="20"/>
  <c r="V91" i="25" s="1"/>
  <c r="Z93" i="20"/>
  <c r="P91" i="25" s="1"/>
  <c r="Y93" i="20"/>
  <c r="Z111" i="20"/>
  <c r="P109" i="25" s="1"/>
  <c r="AR121" i="20"/>
  <c r="AF223" i="20"/>
  <c r="V221" i="25" s="1"/>
  <c r="O229" i="25"/>
  <c r="AB94" i="20"/>
  <c r="R92" i="25" s="1"/>
  <c r="Z118" i="20"/>
  <c r="AF118" i="20"/>
  <c r="V116" i="25" s="1"/>
  <c r="Y118" i="20"/>
  <c r="AN133" i="20"/>
  <c r="AF133" i="20" s="1"/>
  <c r="AX132" i="20"/>
  <c r="Z214" i="20"/>
  <c r="P212" i="25" s="1"/>
  <c r="Y201" i="20"/>
  <c r="AF201" i="20"/>
  <c r="V199" i="25" s="1"/>
  <c r="Z231" i="20"/>
  <c r="P229" i="25" s="1"/>
  <c r="AR98" i="20"/>
  <c r="AQ49" i="20"/>
  <c r="AF66" i="20"/>
  <c r="V64" i="25" s="1"/>
  <c r="Y66" i="20"/>
  <c r="Z66" i="20"/>
  <c r="P64" i="25" s="1"/>
  <c r="Y204" i="20"/>
  <c r="Z204" i="20"/>
  <c r="AN199" i="20"/>
  <c r="AF199" i="20" s="1"/>
  <c r="AX198" i="20"/>
  <c r="AR144" i="20"/>
  <c r="AS49" i="20"/>
  <c r="AH221" i="20"/>
  <c r="X219" i="25" s="1"/>
  <c r="AF94" i="20"/>
  <c r="AN209" i="20"/>
  <c r="AF209" i="20" s="1"/>
  <c r="AX208" i="20"/>
  <c r="O98" i="25"/>
  <c r="AN110" i="20"/>
  <c r="AF110" i="20" s="1"/>
  <c r="AX109" i="20"/>
  <c r="AH231" i="20"/>
  <c r="BA49" i="20"/>
  <c r="BA5" i="20" s="1"/>
  <c r="Y206" i="20"/>
  <c r="Z206" i="20"/>
  <c r="P204" i="25" s="1"/>
  <c r="AF206" i="20"/>
  <c r="V204" i="25" s="1"/>
  <c r="Y52" i="20"/>
  <c r="Z137" i="20"/>
  <c r="P135" i="25" s="1"/>
  <c r="Y137" i="20"/>
  <c r="AF137" i="20"/>
  <c r="V135" i="25" s="1"/>
  <c r="Y84" i="20"/>
  <c r="AF84" i="20"/>
  <c r="V82" i="25" s="1"/>
  <c r="AF115" i="20"/>
  <c r="AR63" i="20"/>
  <c r="Y87" i="20"/>
  <c r="Z87" i="20"/>
  <c r="AR75" i="20"/>
  <c r="AM209" i="20"/>
  <c r="Z209" i="20" s="1"/>
  <c r="P207" i="25" s="1"/>
  <c r="AR208" i="20"/>
  <c r="Y148" i="20"/>
  <c r="Z148" i="20"/>
  <c r="P146" i="25" s="1"/>
  <c r="Y145" i="20"/>
  <c r="Z145" i="20"/>
  <c r="Z139" i="20"/>
  <c r="P137" i="25" s="1"/>
  <c r="Y139" i="20"/>
  <c r="AN52" i="20"/>
  <c r="AF52" i="20" s="1"/>
  <c r="AX51" i="20"/>
  <c r="CJ49" i="20"/>
  <c r="CJ5" i="20" s="1"/>
  <c r="CH49" i="20"/>
  <c r="CH5" i="20" s="1"/>
  <c r="AG50" i="25"/>
  <c r="BP182" i="20"/>
  <c r="AM180" i="25" s="1"/>
  <c r="O183" i="20"/>
  <c r="BH183" i="20"/>
  <c r="G183" i="20" s="1"/>
  <c r="AM181" i="25"/>
  <c r="BH52" i="20"/>
  <c r="AF50" i="25"/>
  <c r="AG58" i="25"/>
  <c r="AE110" i="25"/>
  <c r="AN212" i="25"/>
  <c r="BS214" i="20"/>
  <c r="AP212" i="25" s="1"/>
  <c r="BQ223" i="20"/>
  <c r="AF221" i="25"/>
  <c r="BI151" i="20"/>
  <c r="BP151" i="20"/>
  <c r="BJ151" i="20"/>
  <c r="AG182" i="25"/>
  <c r="I184" i="20"/>
  <c r="BJ223" i="20"/>
  <c r="BI172" i="20"/>
  <c r="BJ172" i="20"/>
  <c r="BP172" i="20"/>
  <c r="AN209" i="25"/>
  <c r="BS211" i="20"/>
  <c r="BW4" i="20"/>
  <c r="BX4" i="20"/>
  <c r="AN207" i="25"/>
  <c r="BL94" i="20"/>
  <c r="AI92" i="25" s="1"/>
  <c r="BP223" i="20"/>
  <c r="BJ206" i="20"/>
  <c r="AG204" i="25" s="1"/>
  <c r="BJ105" i="20"/>
  <c r="AG103" i="25" s="1"/>
  <c r="BP105" i="20"/>
  <c r="AM103" i="25" s="1"/>
  <c r="AF77" i="25"/>
  <c r="BH79" i="20"/>
  <c r="AE77" i="25" s="1"/>
  <c r="BK79" i="20"/>
  <c r="AH77" i="25" s="1"/>
  <c r="BR79" i="20"/>
  <c r="BL223" i="20"/>
  <c r="AI221" i="25" s="1"/>
  <c r="BM209" i="20"/>
  <c r="AJ207" i="25" s="1"/>
  <c r="AN208" i="25"/>
  <c r="BS210" i="20"/>
  <c r="EJ103" i="20"/>
  <c r="BU101" i="25" s="1"/>
  <c r="ED229" i="20"/>
  <c r="BO227" i="25" s="1"/>
  <c r="EE209" i="20"/>
  <c r="EF209" i="20" s="1"/>
  <c r="BQ207" i="25" s="1"/>
  <c r="EC103" i="20"/>
  <c r="EE103" i="20" s="1"/>
  <c r="BP101" i="25" s="1"/>
  <c r="ED103" i="20"/>
  <c r="BO101" i="25" s="1"/>
  <c r="EJ229" i="20"/>
  <c r="BU227" i="25" s="1"/>
  <c r="EJ205" i="20"/>
  <c r="BU203" i="25" s="1"/>
  <c r="EJ82" i="20"/>
  <c r="EB82" i="20" s="1"/>
  <c r="BM80" i="25" s="1"/>
  <c r="ED205" i="20"/>
  <c r="BO203" i="25" s="1"/>
  <c r="ED102" i="20"/>
  <c r="BO100" i="25" s="1"/>
  <c r="ED106" i="20"/>
  <c r="BO104" i="25" s="1"/>
  <c r="EB218" i="20"/>
  <c r="BM216" i="25" s="1"/>
  <c r="ED204" i="20"/>
  <c r="BO202" i="25" s="1"/>
  <c r="ED222" i="20"/>
  <c r="BO220" i="25" s="1"/>
  <c r="BU226" i="25"/>
  <c r="EB228" i="20"/>
  <c r="BM226" i="25" s="1"/>
  <c r="BN207" i="25"/>
  <c r="EK100" i="20"/>
  <c r="EL100" i="20" s="1"/>
  <c r="EM100" i="20" s="1"/>
  <c r="EN100" i="20" s="1"/>
  <c r="ED107" i="20"/>
  <c r="BO105" i="25" s="1"/>
  <c r="EC222" i="20"/>
  <c r="EK222" i="20" s="1"/>
  <c r="BV220" i="25" s="1"/>
  <c r="EJ222" i="20"/>
  <c r="BU220" i="25" s="1"/>
  <c r="EE107" i="20"/>
  <c r="BP105" i="25" s="1"/>
  <c r="EJ107" i="20"/>
  <c r="EB107" i="20" s="1"/>
  <c r="BM105" i="25" s="1"/>
  <c r="EJ125" i="20"/>
  <c r="BU123" i="25" s="1"/>
  <c r="EJ224" i="20"/>
  <c r="BU222" i="25" s="1"/>
  <c r="ED215" i="20"/>
  <c r="EJ106" i="20"/>
  <c r="EB106" i="20" s="1"/>
  <c r="BM104" i="25" s="1"/>
  <c r="EW49" i="20"/>
  <c r="EW5" i="20" s="1"/>
  <c r="ED145" i="20"/>
  <c r="BO143" i="25" s="1"/>
  <c r="ED101" i="20"/>
  <c r="BO99" i="25" s="1"/>
  <c r="EK101" i="20"/>
  <c r="EL101" i="20" s="1"/>
  <c r="BW99" i="25" s="1"/>
  <c r="EE101" i="20"/>
  <c r="BP99" i="25" s="1"/>
  <c r="EE106" i="20"/>
  <c r="BP104" i="25" s="1"/>
  <c r="EJ216" i="20"/>
  <c r="BU214" i="25" s="1"/>
  <c r="EJ101" i="20"/>
  <c r="EB101" i="20" s="1"/>
  <c r="BM99" i="25" s="1"/>
  <c r="EC105" i="20"/>
  <c r="EJ105" i="20"/>
  <c r="ED105" i="20"/>
  <c r="ED216" i="20"/>
  <c r="BO214" i="25" s="1"/>
  <c r="EW4" i="20"/>
  <c r="FD49" i="20"/>
  <c r="FD5" i="20" s="1"/>
  <c r="FB4" i="20"/>
  <c r="FC49" i="20"/>
  <c r="FC5" i="20" s="1"/>
  <c r="BU215" i="25"/>
  <c r="EJ123" i="20"/>
  <c r="FF49" i="20"/>
  <c r="FF5" i="20" s="1"/>
  <c r="EY49" i="20"/>
  <c r="EY5" i="20" s="1"/>
  <c r="ED148" i="20"/>
  <c r="EF218" i="20"/>
  <c r="BQ216" i="25" s="1"/>
  <c r="EU4" i="20"/>
  <c r="FE49" i="20"/>
  <c r="FE5" i="20" s="1"/>
  <c r="EE145" i="20"/>
  <c r="EF145" i="20" s="1"/>
  <c r="EP122" i="20"/>
  <c r="EZ49" i="20"/>
  <c r="EZ5" i="20" s="1"/>
  <c r="EJ204" i="20"/>
  <c r="EB204" i="20" s="1"/>
  <c r="BN146" i="25"/>
  <c r="EE148" i="20"/>
  <c r="EB148" i="20"/>
  <c r="BM146" i="25" s="1"/>
  <c r="EJ128" i="20"/>
  <c r="BU126" i="25" s="1"/>
  <c r="EJ126" i="20"/>
  <c r="BU124" i="25" s="1"/>
  <c r="ER122" i="20"/>
  <c r="ER4" i="20" s="1"/>
  <c r="EC221" i="20"/>
  <c r="ED221" i="20"/>
  <c r="BO219" i="25" s="1"/>
  <c r="EJ221" i="20"/>
  <c r="BU219" i="25" s="1"/>
  <c r="EK224" i="20"/>
  <c r="EC206" i="20"/>
  <c r="EC203" i="20" s="1"/>
  <c r="EJ206" i="20"/>
  <c r="ED206" i="20"/>
  <c r="BO204" i="25" s="1"/>
  <c r="BN202" i="25"/>
  <c r="EK204" i="20"/>
  <c r="EE204" i="20"/>
  <c r="EV49" i="20"/>
  <c r="EV5" i="20" s="1"/>
  <c r="ET49" i="20"/>
  <c r="EJ129" i="20"/>
  <c r="EQ122" i="20"/>
  <c r="EQ4" i="20" s="1"/>
  <c r="EC147" i="20"/>
  <c r="ED147" i="20"/>
  <c r="EV4" i="20"/>
  <c r="EU49" i="20"/>
  <c r="EF82" i="20"/>
  <c r="EG82" i="20" s="1"/>
  <c r="EK82" i="20"/>
  <c r="BV80" i="25" s="1"/>
  <c r="BN214" i="25"/>
  <c r="EK216" i="20"/>
  <c r="EE216" i="20"/>
  <c r="EX121" i="20"/>
  <c r="EX49" i="20" s="1"/>
  <c r="EX5" i="20" s="1"/>
  <c r="EK107" i="20"/>
  <c r="BV105" i="25" s="1"/>
  <c r="ED199" i="20"/>
  <c r="BO197" i="25" s="1"/>
  <c r="EK229" i="20"/>
  <c r="FB49" i="20"/>
  <c r="FB5" i="20" s="1"/>
  <c r="EC214" i="20"/>
  <c r="EJ214" i="20"/>
  <c r="EJ199" i="20"/>
  <c r="EC199" i="20"/>
  <c r="EC201" i="20"/>
  <c r="ED201" i="20"/>
  <c r="EJ201" i="20"/>
  <c r="BN100" i="25"/>
  <c r="BP80" i="25"/>
  <c r="EE128" i="20"/>
  <c r="BP126" i="25" s="1"/>
  <c r="EP127" i="20"/>
  <c r="EJ127" i="20" s="1"/>
  <c r="BU125" i="25" s="1"/>
  <c r="ED81" i="20"/>
  <c r="EJ81" i="20"/>
  <c r="EC81" i="20"/>
  <c r="EC215" i="20"/>
  <c r="EJ215" i="20"/>
  <c r="BN104" i="25"/>
  <c r="ED146" i="20"/>
  <c r="EC146" i="20"/>
  <c r="EP130" i="20"/>
  <c r="EJ130" i="20" s="1"/>
  <c r="ED84" i="20"/>
  <c r="EC84" i="20"/>
  <c r="EJ84" i="20"/>
  <c r="EE229" i="20"/>
  <c r="BP227" i="25" s="1"/>
  <c r="BN227" i="25"/>
  <c r="EB145" i="20"/>
  <c r="BM143" i="25" s="1"/>
  <c r="BN143" i="25"/>
  <c r="BU143" i="25"/>
  <c r="BU142" i="25" s="1"/>
  <c r="EJ144" i="20"/>
  <c r="EC200" i="20"/>
  <c r="ED200" i="20"/>
  <c r="EJ200" i="20"/>
  <c r="ED210" i="20"/>
  <c r="EJ210" i="20"/>
  <c r="EC210" i="20"/>
  <c r="EC77" i="20"/>
  <c r="ED77" i="20"/>
  <c r="EJ77" i="20"/>
  <c r="ED209" i="20"/>
  <c r="EJ209" i="20"/>
  <c r="EJ83" i="20"/>
  <c r="ED83" i="20"/>
  <c r="EC83" i="20"/>
  <c r="ED217" i="20"/>
  <c r="BO215" i="25" s="1"/>
  <c r="EC217" i="20"/>
  <c r="EJ79" i="20"/>
  <c r="BU77" i="25" s="1"/>
  <c r="ED79" i="20"/>
  <c r="EP124" i="20"/>
  <c r="EJ124" i="20" s="1"/>
  <c r="EJ78" i="20"/>
  <c r="ED78" i="20"/>
  <c r="EC78" i="20"/>
  <c r="BN99" i="25"/>
  <c r="EC230" i="20"/>
  <c r="EJ230" i="20"/>
  <c r="ED230" i="20"/>
  <c r="EC231" i="20"/>
  <c r="EJ231" i="20"/>
  <c r="ED231" i="20"/>
  <c r="BO229" i="25" s="1"/>
  <c r="BN98" i="25"/>
  <c r="EB100" i="20"/>
  <c r="BM98" i="25" s="1"/>
  <c r="EC227" i="20"/>
  <c r="EJ227" i="20"/>
  <c r="ED227" i="20"/>
  <c r="EJ99" i="20"/>
  <c r="EC99" i="20"/>
  <c r="ED99" i="20"/>
  <c r="EJ76" i="20"/>
  <c r="ED76" i="20"/>
  <c r="EC76" i="20"/>
  <c r="BN80" i="25"/>
  <c r="EC128" i="20"/>
  <c r="ED80" i="20"/>
  <c r="EJ80" i="20"/>
  <c r="BU78" i="25" s="1"/>
  <c r="EC80" i="20"/>
  <c r="AF117" i="25"/>
  <c r="BK168" i="20"/>
  <c r="J168" i="20" s="1"/>
  <c r="BQ168" i="20"/>
  <c r="BR168" i="20" s="1"/>
  <c r="AO166" i="25" s="1"/>
  <c r="BL58" i="20"/>
  <c r="AI56" i="25" s="1"/>
  <c r="BI96" i="20"/>
  <c r="AG100" i="25"/>
  <c r="O179" i="20"/>
  <c r="AM177" i="25"/>
  <c r="BP66" i="20"/>
  <c r="BJ73" i="20"/>
  <c r="BI73" i="20"/>
  <c r="BP73" i="20"/>
  <c r="BJ192" i="20"/>
  <c r="BP192" i="20"/>
  <c r="BP54" i="20"/>
  <c r="BJ54" i="20"/>
  <c r="BI54" i="20"/>
  <c r="AH221" i="25"/>
  <c r="AM124" i="25"/>
  <c r="AH212" i="25"/>
  <c r="AH206" i="25" s="1"/>
  <c r="BK208" i="20"/>
  <c r="AF222" i="25"/>
  <c r="AO213" i="25"/>
  <c r="BT215" i="20"/>
  <c r="BH65" i="20"/>
  <c r="AE63" i="25" s="1"/>
  <c r="BL217" i="20"/>
  <c r="BM217" i="20" s="1"/>
  <c r="AN199" i="25"/>
  <c r="AF169" i="25"/>
  <c r="H169" i="25" s="1"/>
  <c r="BK171" i="20"/>
  <c r="BL171" i="20" s="1"/>
  <c r="BQ171" i="20"/>
  <c r="BJ66" i="20"/>
  <c r="BI66" i="20"/>
  <c r="AM63" i="25"/>
  <c r="AF204" i="25"/>
  <c r="AF201" i="25" s="1"/>
  <c r="BQ206" i="20"/>
  <c r="BI203" i="20"/>
  <c r="BK206" i="20"/>
  <c r="BL206" i="20" s="1"/>
  <c r="BQ129" i="20"/>
  <c r="BR129" i="20" s="1"/>
  <c r="AO127" i="25" s="1"/>
  <c r="BK129" i="20"/>
  <c r="AH127" i="25" s="1"/>
  <c r="AF127" i="25"/>
  <c r="BP187" i="20"/>
  <c r="BJ187" i="20"/>
  <c r="BI187" i="20"/>
  <c r="BQ119" i="20"/>
  <c r="BR119" i="20" s="1"/>
  <c r="BK119" i="20"/>
  <c r="AH117" i="25" s="1"/>
  <c r="AM100" i="25"/>
  <c r="BI195" i="20"/>
  <c r="BP195" i="20"/>
  <c r="BJ195" i="20"/>
  <c r="BP134" i="20"/>
  <c r="BI134" i="20"/>
  <c r="BJ134" i="20"/>
  <c r="BP188" i="20"/>
  <c r="BJ188" i="20"/>
  <c r="BI188" i="20"/>
  <c r="AI63" i="25"/>
  <c r="AI58" i="25"/>
  <c r="BM60" i="20"/>
  <c r="BN60" i="20" s="1"/>
  <c r="AH122" i="25"/>
  <c r="AO58" i="25"/>
  <c r="AF99" i="25"/>
  <c r="AM89" i="25"/>
  <c r="AI62" i="25"/>
  <c r="AH128" i="25"/>
  <c r="AG98" i="25"/>
  <c r="AF197" i="25"/>
  <c r="BI198" i="20"/>
  <c r="BQ199" i="20"/>
  <c r="BK199" i="20"/>
  <c r="AP122" i="25"/>
  <c r="AN58" i="25"/>
  <c r="AM98" i="25"/>
  <c r="AM109" i="25"/>
  <c r="AO122" i="25"/>
  <c r="AM135" i="25"/>
  <c r="AM66" i="25"/>
  <c r="BM65" i="20"/>
  <c r="BN65" i="20" s="1"/>
  <c r="AG88" i="25"/>
  <c r="AH62" i="25"/>
  <c r="AG109" i="25"/>
  <c r="AJ62" i="25"/>
  <c r="AN122" i="25"/>
  <c r="AG135" i="25"/>
  <c r="AF66" i="25"/>
  <c r="BH68" i="20"/>
  <c r="BK68" i="20"/>
  <c r="AH66" i="25" s="1"/>
  <c r="BQ68" i="20"/>
  <c r="AN66" i="25" s="1"/>
  <c r="AM88" i="25"/>
  <c r="AG101" i="25"/>
  <c r="BN64" i="20"/>
  <c r="BL130" i="20"/>
  <c r="AM78" i="25"/>
  <c r="AF102" i="25"/>
  <c r="BT124" i="20"/>
  <c r="AF125" i="25"/>
  <c r="BQ127" i="20"/>
  <c r="BR127" i="20" s="1"/>
  <c r="BK127" i="20"/>
  <c r="BL127" i="20" s="1"/>
  <c r="AG66" i="25"/>
  <c r="AF88" i="25"/>
  <c r="BH90" i="20"/>
  <c r="AE88" i="25" s="1"/>
  <c r="BQ90" i="20"/>
  <c r="AN88" i="25" s="1"/>
  <c r="BK90" i="20"/>
  <c r="AH88" i="25" s="1"/>
  <c r="AM101" i="25"/>
  <c r="AF126" i="25"/>
  <c r="BH128" i="20"/>
  <c r="BK128" i="20"/>
  <c r="BQ128" i="20"/>
  <c r="BR128" i="20" s="1"/>
  <c r="AF137" i="25"/>
  <c r="BK139" i="20"/>
  <c r="BQ139" i="20"/>
  <c r="BR139" i="20" s="1"/>
  <c r="BS139" i="20" s="1"/>
  <c r="BL124" i="20"/>
  <c r="AF51" i="25"/>
  <c r="BQ53" i="20"/>
  <c r="BR53" i="20" s="1"/>
  <c r="AO51" i="25" s="1"/>
  <c r="BK53" i="20"/>
  <c r="BS60" i="20"/>
  <c r="BT60" i="20" s="1"/>
  <c r="AG125" i="25"/>
  <c r="AF93" i="25"/>
  <c r="BQ95" i="20"/>
  <c r="AN93" i="25" s="1"/>
  <c r="BK95" i="20"/>
  <c r="AH93" i="25" s="1"/>
  <c r="AH63" i="25"/>
  <c r="BL76" i="20"/>
  <c r="AI74" i="25" s="1"/>
  <c r="AF89" i="25"/>
  <c r="BH91" i="20"/>
  <c r="BK91" i="20"/>
  <c r="AH89" i="25" s="1"/>
  <c r="BQ91" i="20"/>
  <c r="AN89" i="25" s="1"/>
  <c r="AM126" i="25"/>
  <c r="AE122" i="25"/>
  <c r="AH58" i="25"/>
  <c r="AM125" i="25"/>
  <c r="AG89" i="25"/>
  <c r="AG126" i="25"/>
  <c r="AP181" i="25"/>
  <c r="R183" i="20"/>
  <c r="BT183" i="20"/>
  <c r="S176" i="25"/>
  <c r="AD178" i="20"/>
  <c r="T176" i="25" s="1"/>
  <c r="T169" i="25"/>
  <c r="Q144" i="25"/>
  <c r="S173" i="25"/>
  <c r="AF189" i="25"/>
  <c r="H189" i="25" s="1"/>
  <c r="BQ191" i="20"/>
  <c r="BK191" i="20"/>
  <c r="BL191" i="20" s="1"/>
  <c r="AN181" i="25"/>
  <c r="P183" i="20"/>
  <c r="T173" i="25"/>
  <c r="AD149" i="20"/>
  <c r="T147" i="25" s="1"/>
  <c r="T154" i="25"/>
  <c r="T158" i="25"/>
  <c r="AB146" i="20"/>
  <c r="AD196" i="20"/>
  <c r="T194" i="25" s="1"/>
  <c r="AD169" i="20"/>
  <c r="T167" i="25" s="1"/>
  <c r="AO181" i="25"/>
  <c r="Q183" i="20"/>
  <c r="AF225" i="25"/>
  <c r="AF224" i="25" s="1"/>
  <c r="BK227" i="20"/>
  <c r="BQ227" i="20"/>
  <c r="BR227" i="20" s="1"/>
  <c r="BI226" i="20"/>
  <c r="AD224" i="25"/>
  <c r="M218" i="25"/>
  <c r="F219" i="25"/>
  <c r="BW207" i="25"/>
  <c r="BV216" i="25"/>
  <c r="EL218" i="20"/>
  <c r="BW216" i="25" s="1"/>
  <c r="DA212" i="20"/>
  <c r="DB212" i="20" s="1"/>
  <c r="BF210" i="25" s="1"/>
  <c r="CU212" i="20"/>
  <c r="CV212" i="20" s="1"/>
  <c r="AW210" i="25"/>
  <c r="AU206" i="25"/>
  <c r="EM209" i="20"/>
  <c r="BV207" i="25"/>
  <c r="AW208" i="25"/>
  <c r="CU210" i="20"/>
  <c r="AY208" i="25" s="1"/>
  <c r="DA210" i="20"/>
  <c r="BE208" i="25" s="1"/>
  <c r="F5" i="20"/>
  <c r="AW209" i="25"/>
  <c r="CU211" i="20"/>
  <c r="AY209" i="25" s="1"/>
  <c r="DA211" i="20"/>
  <c r="EF205" i="20"/>
  <c r="EG205" i="20" s="1"/>
  <c r="BR203" i="25" s="1"/>
  <c r="AQ145" i="25"/>
  <c r="T157" i="25"/>
  <c r="AZ68" i="25"/>
  <c r="AJ79" i="25"/>
  <c r="BN81" i="20"/>
  <c r="AO79" i="25"/>
  <c r="BS81" i="20"/>
  <c r="BT81" i="20" s="1"/>
  <c r="T178" i="25"/>
  <c r="AK145" i="25"/>
  <c r="T174" i="25"/>
  <c r="P226" i="25"/>
  <c r="BL124" i="25"/>
  <c r="F124" i="25" s="1"/>
  <c r="F126" i="20"/>
  <c r="BH9" i="20"/>
  <c r="AF113" i="25"/>
  <c r="BQ115" i="20"/>
  <c r="AN113" i="25" s="1"/>
  <c r="BK115" i="20"/>
  <c r="AH113" i="25" s="1"/>
  <c r="AW86" i="25"/>
  <c r="DA88" i="20"/>
  <c r="CU88" i="20"/>
  <c r="S150" i="25"/>
  <c r="AW101" i="25"/>
  <c r="DA103" i="20"/>
  <c r="BE101" i="25" s="1"/>
  <c r="CU103" i="20"/>
  <c r="AY101" i="25" s="1"/>
  <c r="AM206" i="25"/>
  <c r="O56" i="25"/>
  <c r="AA58" i="20"/>
  <c r="AB58" i="20" s="1"/>
  <c r="AG58" i="20"/>
  <c r="AH58" i="20" s="1"/>
  <c r="AI58" i="20" s="1"/>
  <c r="AJ58" i="20" s="1"/>
  <c r="X58" i="20"/>
  <c r="F113" i="25"/>
  <c r="M107" i="25"/>
  <c r="CW70" i="20"/>
  <c r="S174" i="25"/>
  <c r="F108" i="25"/>
  <c r="AD107" i="25"/>
  <c r="O103" i="25"/>
  <c r="AA105" i="20"/>
  <c r="AG105" i="20"/>
  <c r="AH105" i="20" s="1"/>
  <c r="AU61" i="25"/>
  <c r="AU3" i="25"/>
  <c r="F66" i="25"/>
  <c r="F114" i="25"/>
  <c r="F78" i="25"/>
  <c r="M206" i="25"/>
  <c r="AF115" i="25"/>
  <c r="BQ117" i="20"/>
  <c r="AN115" i="25" s="1"/>
  <c r="BK117" i="20"/>
  <c r="AH115" i="25" s="1"/>
  <c r="AW88" i="25"/>
  <c r="DA90" i="20"/>
  <c r="DB90" i="20" s="1"/>
  <c r="CU90" i="20"/>
  <c r="T150" i="25"/>
  <c r="O114" i="25"/>
  <c r="H114" i="25" s="1"/>
  <c r="AA116" i="20"/>
  <c r="AG116" i="20"/>
  <c r="AH116" i="20" s="1"/>
  <c r="AU201" i="25"/>
  <c r="F201" i="25" s="1"/>
  <c r="F203" i="25"/>
  <c r="S157" i="25"/>
  <c r="BL121" i="25"/>
  <c r="F121" i="25" s="1"/>
  <c r="F123" i="20"/>
  <c r="BV100" i="25"/>
  <c r="EL102" i="20"/>
  <c r="BW100" i="25" s="1"/>
  <c r="F98" i="25"/>
  <c r="M96" i="25"/>
  <c r="AU96" i="25"/>
  <c r="AD158" i="20"/>
  <c r="T156" i="25" s="1"/>
  <c r="AN102" i="25"/>
  <c r="BR104" i="20"/>
  <c r="BS104" i="20" s="1"/>
  <c r="BN189" i="20"/>
  <c r="AK187" i="25" s="1"/>
  <c r="O53" i="25"/>
  <c r="AG55" i="20"/>
  <c r="AH55" i="20" s="1"/>
  <c r="AA55" i="20"/>
  <c r="BL218" i="25"/>
  <c r="F220" i="25"/>
  <c r="AW78" i="25"/>
  <c r="CU80" i="20"/>
  <c r="CV80" i="20" s="1"/>
  <c r="DA80" i="20"/>
  <c r="DB80" i="20" s="1"/>
  <c r="DC80" i="20" s="1"/>
  <c r="F101" i="25"/>
  <c r="AW81" i="25"/>
  <c r="DA83" i="20"/>
  <c r="DB83" i="20" s="1"/>
  <c r="CU83" i="20"/>
  <c r="CV83" i="20" s="1"/>
  <c r="AD162" i="20"/>
  <c r="T160" i="25" s="1"/>
  <c r="AW70" i="25"/>
  <c r="DA72" i="20"/>
  <c r="DB72" i="20" s="1"/>
  <c r="DC72" i="20" s="1"/>
  <c r="CU72" i="20"/>
  <c r="AN99" i="25"/>
  <c r="BR101" i="20"/>
  <c r="AO99" i="25" s="1"/>
  <c r="BL96" i="25"/>
  <c r="O101" i="25"/>
  <c r="AA103" i="20"/>
  <c r="AG103" i="20"/>
  <c r="AH103" i="20" s="1"/>
  <c r="AI103" i="20" s="1"/>
  <c r="O59" i="25"/>
  <c r="AA61" i="20"/>
  <c r="AG61" i="20"/>
  <c r="AH61" i="20" s="1"/>
  <c r="AI61" i="20" s="1"/>
  <c r="BL127" i="25"/>
  <c r="F127" i="25" s="1"/>
  <c r="F129" i="20"/>
  <c r="AF138" i="25"/>
  <c r="BK140" i="20"/>
  <c r="BL140" i="20" s="1"/>
  <c r="BQ140" i="20"/>
  <c r="BR140" i="20" s="1"/>
  <c r="AW74" i="25"/>
  <c r="DA76" i="20"/>
  <c r="CU76" i="20"/>
  <c r="T189" i="25"/>
  <c r="F103" i="25"/>
  <c r="AW80" i="25"/>
  <c r="CU82" i="20"/>
  <c r="CV82" i="20" s="1"/>
  <c r="DA82" i="20"/>
  <c r="DB82" i="20" s="1"/>
  <c r="BN77" i="25"/>
  <c r="EC125" i="20"/>
  <c r="EK79" i="20"/>
  <c r="EL79" i="20" s="1"/>
  <c r="EE79" i="20"/>
  <c r="AI79" i="25"/>
  <c r="AE215" i="25"/>
  <c r="O115" i="25"/>
  <c r="AA117" i="20"/>
  <c r="AB117" i="20" s="1"/>
  <c r="AG117" i="20"/>
  <c r="AH117" i="20" s="1"/>
  <c r="BR112" i="20"/>
  <c r="AN110" i="25"/>
  <c r="AU84" i="25"/>
  <c r="F84" i="25" s="1"/>
  <c r="F85" i="25"/>
  <c r="T186" i="25"/>
  <c r="AF109" i="25"/>
  <c r="BH111" i="20"/>
  <c r="BQ111" i="20"/>
  <c r="BR111" i="20" s="1"/>
  <c r="BK111" i="20"/>
  <c r="AF135" i="25"/>
  <c r="BQ137" i="20"/>
  <c r="BK137" i="20"/>
  <c r="BL137" i="20" s="1"/>
  <c r="BM137" i="20" s="1"/>
  <c r="BH137" i="20"/>
  <c r="AP145" i="25"/>
  <c r="AD96" i="25"/>
  <c r="F97" i="25"/>
  <c r="AW79" i="25"/>
  <c r="CU81" i="20"/>
  <c r="AY79" i="25" s="1"/>
  <c r="DA81" i="20"/>
  <c r="BE79" i="25" s="1"/>
  <c r="BL123" i="25"/>
  <c r="F123" i="25" s="1"/>
  <c r="F125" i="20"/>
  <c r="AF136" i="25"/>
  <c r="BK138" i="20"/>
  <c r="BL138" i="20" s="1"/>
  <c r="BM138" i="20" s="1"/>
  <c r="BQ138" i="20"/>
  <c r="BR138" i="20" s="1"/>
  <c r="F99" i="25"/>
  <c r="O105" i="25"/>
  <c r="AG107" i="20"/>
  <c r="AA107" i="20"/>
  <c r="AB107" i="20" s="1"/>
  <c r="AC107" i="20" s="1"/>
  <c r="BL112" i="20"/>
  <c r="AH110" i="25"/>
  <c r="AJ145" i="25"/>
  <c r="AF139" i="25"/>
  <c r="BH141" i="20"/>
  <c r="AE139" i="25" s="1"/>
  <c r="BK141" i="20"/>
  <c r="AH139" i="25" s="1"/>
  <c r="BQ141" i="20"/>
  <c r="AN139" i="25" s="1"/>
  <c r="F104" i="25"/>
  <c r="AY68" i="25"/>
  <c r="AF101" i="25"/>
  <c r="BH103" i="20"/>
  <c r="AE101" i="25" s="1"/>
  <c r="BK103" i="20"/>
  <c r="AH101" i="25" s="1"/>
  <c r="BQ103" i="20"/>
  <c r="AN101" i="25" s="1"/>
  <c r="F225" i="25"/>
  <c r="M224" i="25"/>
  <c r="EA4" i="20"/>
  <c r="AF116" i="25"/>
  <c r="BQ118" i="20"/>
  <c r="BK118" i="20"/>
  <c r="AF98" i="25"/>
  <c r="BH100" i="20"/>
  <c r="BQ100" i="20"/>
  <c r="AN98" i="25" s="1"/>
  <c r="BK100" i="20"/>
  <c r="AH98" i="25" s="1"/>
  <c r="AY203" i="25"/>
  <c r="CV205" i="20"/>
  <c r="F77" i="25"/>
  <c r="AN79" i="25"/>
  <c r="EB9" i="20"/>
  <c r="S186" i="25"/>
  <c r="AD153" i="20"/>
  <c r="T151" i="25" s="1"/>
  <c r="AD130" i="25"/>
  <c r="F131" i="25"/>
  <c r="O225" i="25"/>
  <c r="AG227" i="20"/>
  <c r="AH227" i="20" s="1"/>
  <c r="AA227" i="20"/>
  <c r="BL120" i="25"/>
  <c r="F122" i="20"/>
  <c r="AH79" i="25"/>
  <c r="G234" i="25"/>
  <c r="I234" i="25" s="1"/>
  <c r="AE233" i="25"/>
  <c r="S178" i="25"/>
  <c r="O51" i="25"/>
  <c r="AG53" i="20"/>
  <c r="AA53" i="20"/>
  <c r="AB53" i="20" s="1"/>
  <c r="AC53" i="20" s="1"/>
  <c r="F105" i="25"/>
  <c r="F51" i="25"/>
  <c r="M3" i="25"/>
  <c r="M49" i="25"/>
  <c r="AF178" i="25"/>
  <c r="H178" i="25" s="1"/>
  <c r="BK180" i="20"/>
  <c r="BL180" i="20" s="1"/>
  <c r="BM180" i="20" s="1"/>
  <c r="BQ180" i="20"/>
  <c r="BR180" i="20" s="1"/>
  <c r="AF108" i="25"/>
  <c r="BK110" i="20"/>
  <c r="BL110" i="20" s="1"/>
  <c r="BQ110" i="20"/>
  <c r="BR110" i="20" s="1"/>
  <c r="BS110" i="20" s="1"/>
  <c r="BP98" i="25"/>
  <c r="EF100" i="20"/>
  <c r="EG100" i="20" s="1"/>
  <c r="AF103" i="25"/>
  <c r="BQ105" i="20"/>
  <c r="AN103" i="25" s="1"/>
  <c r="BK105" i="20"/>
  <c r="AH103" i="25" s="1"/>
  <c r="BL73" i="25"/>
  <c r="F74" i="25"/>
  <c r="AE15" i="25"/>
  <c r="G15" i="25" s="1"/>
  <c r="I15" i="25" s="1"/>
  <c r="G17" i="20"/>
  <c r="H17" i="20" s="1"/>
  <c r="AD173" i="20"/>
  <c r="T171" i="25" s="1"/>
  <c r="EL106" i="20"/>
  <c r="BW104" i="25" s="1"/>
  <c r="BV104" i="25"/>
  <c r="BK192" i="20" l="1"/>
  <c r="AM153" i="25"/>
  <c r="BR130" i="20"/>
  <c r="AF190" i="25"/>
  <c r="H190" i="25" s="1"/>
  <c r="EL223" i="20"/>
  <c r="BQ221" i="20"/>
  <c r="BR221" i="20" s="1"/>
  <c r="AO219" i="25" s="1"/>
  <c r="AH194" i="25"/>
  <c r="BI190" i="20"/>
  <c r="BK190" i="20" s="1"/>
  <c r="AH188" i="25" s="1"/>
  <c r="AF194" i="25"/>
  <c r="H194" i="25" s="1"/>
  <c r="J196" i="20"/>
  <c r="K196" i="20"/>
  <c r="EL212" i="20"/>
  <c r="BW210" i="25" s="1"/>
  <c r="BM196" i="20"/>
  <c r="AJ194" i="25" s="1"/>
  <c r="BK155" i="20"/>
  <c r="BL155" i="20" s="1"/>
  <c r="BM155" i="20" s="1"/>
  <c r="BH224" i="20"/>
  <c r="AE222" i="25" s="1"/>
  <c r="BQ196" i="20"/>
  <c r="AN194" i="25" s="1"/>
  <c r="AJ209" i="25"/>
  <c r="BH179" i="20"/>
  <c r="AE177" i="25" s="1"/>
  <c r="G177" i="25" s="1"/>
  <c r="I177" i="25" s="1"/>
  <c r="EF212" i="20"/>
  <c r="BQ210" i="25" s="1"/>
  <c r="AF177" i="25"/>
  <c r="H177" i="25" s="1"/>
  <c r="AF153" i="25"/>
  <c r="H153" i="25" s="1"/>
  <c r="EF211" i="20"/>
  <c r="BQ209" i="25" s="1"/>
  <c r="BL145" i="20"/>
  <c r="AI143" i="25" s="1"/>
  <c r="BK179" i="20"/>
  <c r="BL179" i="20" s="1"/>
  <c r="BM179" i="20" s="1"/>
  <c r="AJ177" i="25" s="1"/>
  <c r="BQ102" i="20"/>
  <c r="BR102" i="20" s="1"/>
  <c r="BK102" i="20"/>
  <c r="BL102" i="20" s="1"/>
  <c r="AI100" i="25" s="1"/>
  <c r="I191" i="20"/>
  <c r="BQ179" i="20"/>
  <c r="P179" i="20" s="1"/>
  <c r="CV53" i="20"/>
  <c r="AZ51" i="25" s="1"/>
  <c r="BH67" i="20"/>
  <c r="AE65" i="25" s="1"/>
  <c r="BL222" i="20"/>
  <c r="AI220" i="25" s="1"/>
  <c r="CR67" i="20"/>
  <c r="AV65" i="25" s="1"/>
  <c r="AF219" i="25"/>
  <c r="BQ123" i="20"/>
  <c r="BR123" i="20" s="1"/>
  <c r="AO121" i="25" s="1"/>
  <c r="BQ56" i="20"/>
  <c r="BR56" i="20" s="1"/>
  <c r="CR213" i="20"/>
  <c r="AV211" i="25" s="1"/>
  <c r="EK104" i="20"/>
  <c r="BV102" i="25" s="1"/>
  <c r="AM51" i="25"/>
  <c r="EF223" i="20"/>
  <c r="BQ221" i="25" s="1"/>
  <c r="BH76" i="20"/>
  <c r="AE74" i="25" s="1"/>
  <c r="BH123" i="20"/>
  <c r="AE121" i="25" s="1"/>
  <c r="I160" i="20"/>
  <c r="BR70" i="20"/>
  <c r="AO68" i="25" s="1"/>
  <c r="AF121" i="25"/>
  <c r="BI154" i="20"/>
  <c r="BH154" i="20" s="1"/>
  <c r="AG201" i="25"/>
  <c r="BM204" i="20"/>
  <c r="AJ202" i="25" s="1"/>
  <c r="BR76" i="20"/>
  <c r="BS76" i="20" s="1"/>
  <c r="AP74" i="25" s="1"/>
  <c r="BH89" i="20"/>
  <c r="BK59" i="20"/>
  <c r="CR201" i="20"/>
  <c r="AV199" i="25" s="1"/>
  <c r="F218" i="25"/>
  <c r="BH59" i="20"/>
  <c r="AE57" i="25" s="1"/>
  <c r="EM213" i="20"/>
  <c r="BX211" i="25" s="1"/>
  <c r="BH230" i="20"/>
  <c r="AE228" i="25" s="1"/>
  <c r="BH83" i="20"/>
  <c r="AE81" i="25" s="1"/>
  <c r="BJ166" i="20"/>
  <c r="AG164" i="25" s="1"/>
  <c r="I164" i="20"/>
  <c r="BQ59" i="20"/>
  <c r="BR59" i="20" s="1"/>
  <c r="BS59" i="20" s="1"/>
  <c r="AP57" i="25" s="1"/>
  <c r="V209" i="25"/>
  <c r="AF111" i="25"/>
  <c r="AF107" i="25" s="1"/>
  <c r="BH92" i="20"/>
  <c r="AE90" i="25" s="1"/>
  <c r="BH56" i="20"/>
  <c r="AE54" i="25" s="1"/>
  <c r="X61" i="20"/>
  <c r="N59" i="25" s="1"/>
  <c r="BH168" i="20"/>
  <c r="AE166" i="25" s="1"/>
  <c r="G166" i="25" s="1"/>
  <c r="I166" i="25" s="1"/>
  <c r="BH102" i="20"/>
  <c r="AE100" i="25" s="1"/>
  <c r="DB53" i="20"/>
  <c r="BF51" i="25" s="1"/>
  <c r="AG162" i="25"/>
  <c r="BP170" i="20"/>
  <c r="BH201" i="20"/>
  <c r="AE199" i="25" s="1"/>
  <c r="CR53" i="20"/>
  <c r="AV51" i="25" s="1"/>
  <c r="BT231" i="20"/>
  <c r="AQ229" i="25" s="1"/>
  <c r="AM169" i="25"/>
  <c r="BH180" i="20"/>
  <c r="G180" i="20" s="1"/>
  <c r="H180" i="20" s="1"/>
  <c r="AF54" i="25"/>
  <c r="O53" i="20"/>
  <c r="BQ160" i="20"/>
  <c r="BR160" i="20" s="1"/>
  <c r="AO158" i="25" s="1"/>
  <c r="AM166" i="25"/>
  <c r="O171" i="20"/>
  <c r="H183" i="20"/>
  <c r="CV107" i="20"/>
  <c r="AZ105" i="25" s="1"/>
  <c r="BH229" i="20"/>
  <c r="AE227" i="25" s="1"/>
  <c r="AH202" i="25"/>
  <c r="BH160" i="20"/>
  <c r="G160" i="20" s="1"/>
  <c r="H160" i="20" s="1"/>
  <c r="AM158" i="25"/>
  <c r="BK160" i="20"/>
  <c r="BL160" i="20" s="1"/>
  <c r="K160" i="20" s="1"/>
  <c r="BS205" i="20"/>
  <c r="AP203" i="25" s="1"/>
  <c r="BL224" i="20"/>
  <c r="AI222" i="25" s="1"/>
  <c r="BQ126" i="20"/>
  <c r="AN124" i="25" s="1"/>
  <c r="BL159" i="20"/>
  <c r="BM159" i="20" s="1"/>
  <c r="AJ157" i="25" s="1"/>
  <c r="X53" i="20"/>
  <c r="AH80" i="25"/>
  <c r="AF158" i="25"/>
  <c r="H158" i="25" s="1"/>
  <c r="BH129" i="20"/>
  <c r="AE127" i="25" s="1"/>
  <c r="EB104" i="20"/>
  <c r="BM102" i="25" s="1"/>
  <c r="F61" i="25"/>
  <c r="BI220" i="20"/>
  <c r="BQ224" i="20"/>
  <c r="BR224" i="20" s="1"/>
  <c r="AO222" i="25" s="1"/>
  <c r="BP178" i="20"/>
  <c r="BH178" i="20" s="1"/>
  <c r="BQ93" i="20"/>
  <c r="BR93" i="20" s="1"/>
  <c r="AO91" i="25" s="1"/>
  <c r="BJ178" i="20"/>
  <c r="AG166" i="25"/>
  <c r="BH231" i="20"/>
  <c r="AE229" i="25" s="1"/>
  <c r="AN202" i="25"/>
  <c r="BE90" i="25"/>
  <c r="BQ114" i="20"/>
  <c r="BR114" i="20" s="1"/>
  <c r="BI166" i="20"/>
  <c r="BK166" i="20" s="1"/>
  <c r="AH164" i="25" s="1"/>
  <c r="AM202" i="25"/>
  <c r="AM196" i="25"/>
  <c r="CV129" i="20"/>
  <c r="AZ127" i="25" s="1"/>
  <c r="CR116" i="20"/>
  <c r="AV114" i="25" s="1"/>
  <c r="W144" i="25"/>
  <c r="EL228" i="20"/>
  <c r="BW226" i="25" s="1"/>
  <c r="BH200" i="20"/>
  <c r="AE198" i="25" s="1"/>
  <c r="AF165" i="25"/>
  <c r="H165" i="25" s="1"/>
  <c r="V53" i="25"/>
  <c r="BH110" i="20"/>
  <c r="AE108" i="25" s="1"/>
  <c r="AF78" i="25"/>
  <c r="CR112" i="20"/>
  <c r="AV110" i="25" s="1"/>
  <c r="DB106" i="20"/>
  <c r="DC106" i="20" s="1"/>
  <c r="O191" i="20"/>
  <c r="BI109" i="20"/>
  <c r="BK57" i="20"/>
  <c r="BL57" i="20" s="1"/>
  <c r="AI55" i="25" s="1"/>
  <c r="BS204" i="20"/>
  <c r="BT204" i="20" s="1"/>
  <c r="AQ202" i="25" s="1"/>
  <c r="AH199" i="25"/>
  <c r="AF55" i="25"/>
  <c r="AH229" i="25"/>
  <c r="I93" i="20"/>
  <c r="AM93" i="25"/>
  <c r="BH101" i="20"/>
  <c r="AE99" i="25" s="1"/>
  <c r="BI51" i="20"/>
  <c r="BH155" i="20"/>
  <c r="AE153" i="25" s="1"/>
  <c r="G153" i="25" s="1"/>
  <c r="I153" i="25" s="1"/>
  <c r="BQ80" i="20"/>
  <c r="AN78" i="25" s="1"/>
  <c r="BL142" i="20"/>
  <c r="BM142" i="20" s="1"/>
  <c r="AJ140" i="25" s="1"/>
  <c r="BK80" i="20"/>
  <c r="AH78" i="25" s="1"/>
  <c r="AM114" i="25"/>
  <c r="BH93" i="20"/>
  <c r="AE91" i="25" s="1"/>
  <c r="AE201" i="25"/>
  <c r="BH70" i="20"/>
  <c r="AE68" i="25" s="1"/>
  <c r="BH114" i="20"/>
  <c r="AE112" i="25" s="1"/>
  <c r="AM178" i="25"/>
  <c r="AF104" i="25"/>
  <c r="H104" i="25" s="1"/>
  <c r="I155" i="20"/>
  <c r="BL78" i="20"/>
  <c r="AI76" i="25" s="1"/>
  <c r="BI75" i="20"/>
  <c r="AG153" i="25"/>
  <c r="AM143" i="25"/>
  <c r="BT71" i="20"/>
  <c r="AQ69" i="25" s="1"/>
  <c r="BK113" i="20"/>
  <c r="BL113" i="20" s="1"/>
  <c r="AI111" i="25" s="1"/>
  <c r="BK114" i="20"/>
  <c r="BL114" i="20" s="1"/>
  <c r="BK89" i="20"/>
  <c r="BL89" i="20" s="1"/>
  <c r="AI87" i="25" s="1"/>
  <c r="O160" i="20"/>
  <c r="AG169" i="25"/>
  <c r="AF124" i="25"/>
  <c r="AH65" i="25"/>
  <c r="BH113" i="20"/>
  <c r="AE111" i="25" s="1"/>
  <c r="BQ89" i="20"/>
  <c r="BR89" i="20" s="1"/>
  <c r="AO87" i="25" s="1"/>
  <c r="BH126" i="20"/>
  <c r="AE124" i="25" s="1"/>
  <c r="I61" i="20"/>
  <c r="AG196" i="25"/>
  <c r="BR145" i="20"/>
  <c r="BS145" i="20" s="1"/>
  <c r="BH191" i="20"/>
  <c r="AE189" i="25" s="1"/>
  <c r="G189" i="25" s="1"/>
  <c r="I189" i="25" s="1"/>
  <c r="AM137" i="25"/>
  <c r="BH167" i="20"/>
  <c r="AE165" i="25" s="1"/>
  <c r="G165" i="25" s="1"/>
  <c r="I165" i="25" s="1"/>
  <c r="BI121" i="20"/>
  <c r="BK167" i="20"/>
  <c r="AH165" i="25" s="1"/>
  <c r="BP190" i="20"/>
  <c r="AG178" i="25"/>
  <c r="BK72" i="20"/>
  <c r="BL72" i="20" s="1"/>
  <c r="AI70" i="25" s="1"/>
  <c r="BH72" i="20"/>
  <c r="AE70" i="25" s="1"/>
  <c r="BQ72" i="20"/>
  <c r="BR72" i="20" s="1"/>
  <c r="AO70" i="25" s="1"/>
  <c r="BK93" i="20"/>
  <c r="BL93" i="20" s="1"/>
  <c r="AI91" i="25" s="1"/>
  <c r="AM128" i="25"/>
  <c r="AM119" i="25" s="1"/>
  <c r="BJ198" i="20"/>
  <c r="BM205" i="20"/>
  <c r="AJ203" i="25" s="1"/>
  <c r="AM92" i="25"/>
  <c r="BJ158" i="20"/>
  <c r="AG156" i="25" s="1"/>
  <c r="AH230" i="20"/>
  <c r="AI230" i="20" s="1"/>
  <c r="V226" i="25"/>
  <c r="CR111" i="20"/>
  <c r="AV109" i="25" s="1"/>
  <c r="CV112" i="20"/>
  <c r="CW112" i="20" s="1"/>
  <c r="BA110" i="25" s="1"/>
  <c r="CR106" i="20"/>
  <c r="AV104" i="25" s="1"/>
  <c r="CV57" i="20"/>
  <c r="AZ55" i="25" s="1"/>
  <c r="DB218" i="20"/>
  <c r="BF216" i="25" s="1"/>
  <c r="CR205" i="20"/>
  <c r="AV203" i="25" s="1"/>
  <c r="X216" i="20"/>
  <c r="X146" i="20"/>
  <c r="N144" i="25" s="1"/>
  <c r="X231" i="20"/>
  <c r="N229" i="25" s="1"/>
  <c r="EG228" i="20"/>
  <c r="EH228" i="20" s="1"/>
  <c r="BS226" i="25" s="1"/>
  <c r="BP226" i="25"/>
  <c r="DB213" i="20"/>
  <c r="BF211" i="25" s="1"/>
  <c r="CV106" i="20"/>
  <c r="AZ104" i="25" s="1"/>
  <c r="BH199" i="20"/>
  <c r="AE197" i="25" s="1"/>
  <c r="BH221" i="20"/>
  <c r="AE219" i="25" s="1"/>
  <c r="BN213" i="20"/>
  <c r="AK211" i="25" s="1"/>
  <c r="BK106" i="20"/>
  <c r="AH104" i="25" s="1"/>
  <c r="BR228" i="20"/>
  <c r="AO226" i="25" s="1"/>
  <c r="AE161" i="25"/>
  <c r="G161" i="25" s="1"/>
  <c r="I161" i="25" s="1"/>
  <c r="BS136" i="20"/>
  <c r="BT136" i="20" s="1"/>
  <c r="AQ134" i="25" s="1"/>
  <c r="BH55" i="20"/>
  <c r="AE53" i="25" s="1"/>
  <c r="BH138" i="20"/>
  <c r="AE136" i="25" s="1"/>
  <c r="AN134" i="25"/>
  <c r="BP198" i="20"/>
  <c r="BH198" i="20" s="1"/>
  <c r="BJ226" i="20"/>
  <c r="BL122" i="20"/>
  <c r="BM122" i="20" s="1"/>
  <c r="BH142" i="20"/>
  <c r="AE140" i="25" s="1"/>
  <c r="AN133" i="25"/>
  <c r="I167" i="20"/>
  <c r="BH99" i="20"/>
  <c r="AE97" i="25" s="1"/>
  <c r="AF140" i="25"/>
  <c r="AG165" i="25"/>
  <c r="BQ142" i="20"/>
  <c r="AN140" i="25" s="1"/>
  <c r="BS182" i="20"/>
  <c r="AP180" i="25" s="1"/>
  <c r="BR94" i="20"/>
  <c r="AO92" i="25" s="1"/>
  <c r="BH58" i="20"/>
  <c r="AE56" i="25" s="1"/>
  <c r="R184" i="20"/>
  <c r="BJ75" i="20"/>
  <c r="BQ99" i="20"/>
  <c r="BR99" i="20" s="1"/>
  <c r="AO97" i="25" s="1"/>
  <c r="BR222" i="20"/>
  <c r="BS222" i="20" s="1"/>
  <c r="BK99" i="20"/>
  <c r="BL99" i="20" s="1"/>
  <c r="AI97" i="25" s="1"/>
  <c r="AG224" i="25"/>
  <c r="AF82" i="25"/>
  <c r="BK84" i="20"/>
  <c r="BH84" i="20"/>
  <c r="AE82" i="25" s="1"/>
  <c r="BQ84" i="20"/>
  <c r="BL125" i="20"/>
  <c r="AI123" i="25" s="1"/>
  <c r="BM82" i="20"/>
  <c r="AJ80" i="25" s="1"/>
  <c r="AF85" i="25"/>
  <c r="BP166" i="20"/>
  <c r="AM164" i="25" s="1"/>
  <c r="AF67" i="25"/>
  <c r="BL83" i="20"/>
  <c r="AI81" i="25" s="1"/>
  <c r="AH133" i="25"/>
  <c r="AI133" i="25"/>
  <c r="BL228" i="20"/>
  <c r="AI226" i="25" s="1"/>
  <c r="AM165" i="25"/>
  <c r="BH61" i="20"/>
  <c r="AE59" i="25" s="1"/>
  <c r="AO229" i="25"/>
  <c r="BH115" i="20"/>
  <c r="AE113" i="25" s="1"/>
  <c r="O167" i="20"/>
  <c r="BQ69" i="20"/>
  <c r="AN67" i="25" s="1"/>
  <c r="BH69" i="20"/>
  <c r="AE67" i="25" s="1"/>
  <c r="BH106" i="20"/>
  <c r="AE104" i="25" s="1"/>
  <c r="AM115" i="25"/>
  <c r="AM157" i="25"/>
  <c r="BP51" i="20"/>
  <c r="BH57" i="20"/>
  <c r="AE55" i="25" s="1"/>
  <c r="BH118" i="20"/>
  <c r="AE116" i="25" s="1"/>
  <c r="BH122" i="20"/>
  <c r="AE120" i="25" s="1"/>
  <c r="AJ208" i="25"/>
  <c r="BH133" i="20"/>
  <c r="AE131" i="25" s="1"/>
  <c r="AM102" i="25"/>
  <c r="AM96" i="25" s="1"/>
  <c r="BS82" i="20"/>
  <c r="AP80" i="25" s="1"/>
  <c r="J159" i="20"/>
  <c r="BM201" i="20"/>
  <c r="AJ199" i="25" s="1"/>
  <c r="BL200" i="20"/>
  <c r="AI198" i="25" s="1"/>
  <c r="BR78" i="20"/>
  <c r="BS78" i="20" s="1"/>
  <c r="AP76" i="25" s="1"/>
  <c r="AG194" i="25"/>
  <c r="BR61" i="20"/>
  <c r="AO59" i="25" s="1"/>
  <c r="BL52" i="20"/>
  <c r="BM52" i="20" s="1"/>
  <c r="AJ50" i="25" s="1"/>
  <c r="O61" i="20"/>
  <c r="AH99" i="25"/>
  <c r="BP220" i="20"/>
  <c r="BK87" i="20"/>
  <c r="BL87" i="20" s="1"/>
  <c r="BS135" i="20"/>
  <c r="BL71" i="20"/>
  <c r="AM162" i="25"/>
  <c r="AM69" i="25"/>
  <c r="BJ51" i="20"/>
  <c r="BT213" i="20"/>
  <c r="AQ211" i="25" s="1"/>
  <c r="BJ132" i="20"/>
  <c r="AM80" i="25"/>
  <c r="BH82" i="20"/>
  <c r="AE80" i="25" s="1"/>
  <c r="BI98" i="20"/>
  <c r="BH159" i="20"/>
  <c r="P159" i="20"/>
  <c r="BQ133" i="20"/>
  <c r="AN131" i="25" s="1"/>
  <c r="BK133" i="20"/>
  <c r="AH131" i="25" s="1"/>
  <c r="BJ109" i="20"/>
  <c r="AF131" i="25"/>
  <c r="BL116" i="20"/>
  <c r="AI114" i="25" s="1"/>
  <c r="AH59" i="25"/>
  <c r="BI132" i="20"/>
  <c r="BR159" i="20"/>
  <c r="BS159" i="20" s="1"/>
  <c r="BK164" i="20"/>
  <c r="BL164" i="20" s="1"/>
  <c r="K164" i="20" s="1"/>
  <c r="BH164" i="20"/>
  <c r="AE162" i="25" s="1"/>
  <c r="G162" i="25" s="1"/>
  <c r="I162" i="25" s="1"/>
  <c r="BP75" i="20"/>
  <c r="BI162" i="20"/>
  <c r="BH162" i="20" s="1"/>
  <c r="AM76" i="25"/>
  <c r="BH227" i="20"/>
  <c r="AE225" i="25" s="1"/>
  <c r="BQ164" i="20"/>
  <c r="BR164" i="20" s="1"/>
  <c r="AO162" i="25" s="1"/>
  <c r="BH77" i="20"/>
  <c r="AE75" i="25" s="1"/>
  <c r="AM67" i="25"/>
  <c r="BR125" i="20"/>
  <c r="BS125" i="20" s="1"/>
  <c r="AP123" i="25" s="1"/>
  <c r="I159" i="20"/>
  <c r="AG157" i="25"/>
  <c r="AM226" i="25"/>
  <c r="AM224" i="25" s="1"/>
  <c r="BH228" i="20"/>
  <c r="AE226" i="25" s="1"/>
  <c r="BP121" i="20"/>
  <c r="BH125" i="20"/>
  <c r="AE123" i="25" s="1"/>
  <c r="BL55" i="20"/>
  <c r="AI53" i="25" s="1"/>
  <c r="BH135" i="20"/>
  <c r="AE133" i="25" s="1"/>
  <c r="J183" i="20"/>
  <c r="BJ194" i="20"/>
  <c r="BN135" i="20"/>
  <c r="AK133" i="25" s="1"/>
  <c r="BP226" i="20"/>
  <c r="BH226" i="20" s="1"/>
  <c r="BH87" i="20"/>
  <c r="AE85" i="25" s="1"/>
  <c r="BR77" i="20"/>
  <c r="AO75" i="25" s="1"/>
  <c r="BH136" i="20"/>
  <c r="AE134" i="25" s="1"/>
  <c r="AF134" i="25"/>
  <c r="BK136" i="20"/>
  <c r="AH134" i="25" s="1"/>
  <c r="BT212" i="20"/>
  <c r="AQ210" i="25" s="1"/>
  <c r="AH182" i="25"/>
  <c r="AE181" i="25"/>
  <c r="G181" i="25" s="1"/>
  <c r="I181" i="25" s="1"/>
  <c r="BS67" i="20"/>
  <c r="BT67" i="20" s="1"/>
  <c r="AQ65" i="25" s="1"/>
  <c r="BP132" i="20"/>
  <c r="BJ121" i="20"/>
  <c r="BR122" i="20"/>
  <c r="AO120" i="25" s="1"/>
  <c r="BR55" i="20"/>
  <c r="AO53" i="25" s="1"/>
  <c r="BJ86" i="20"/>
  <c r="BH140" i="20"/>
  <c r="AE138" i="25" s="1"/>
  <c r="AI181" i="25"/>
  <c r="I152" i="20"/>
  <c r="AG150" i="25"/>
  <c r="AN63" i="25"/>
  <c r="BN218" i="20"/>
  <c r="AK216" i="25" s="1"/>
  <c r="O176" i="20"/>
  <c r="AM174" i="25"/>
  <c r="BP174" i="20"/>
  <c r="AG174" i="25"/>
  <c r="I176" i="20"/>
  <c r="BJ174" i="20"/>
  <c r="BK88" i="20"/>
  <c r="BL88" i="20" s="1"/>
  <c r="AI86" i="25" s="1"/>
  <c r="BQ88" i="20"/>
  <c r="AF86" i="25"/>
  <c r="BH88" i="20"/>
  <c r="AE86" i="25" s="1"/>
  <c r="BR230" i="20"/>
  <c r="AO228" i="25" s="1"/>
  <c r="AF105" i="25"/>
  <c r="H105" i="25" s="1"/>
  <c r="BH107" i="20"/>
  <c r="AE105" i="25" s="1"/>
  <c r="BK107" i="20"/>
  <c r="J107" i="20" s="1"/>
  <c r="BQ107" i="20"/>
  <c r="P107" i="20" s="1"/>
  <c r="O152" i="20"/>
  <c r="AM150" i="25"/>
  <c r="AB228" i="20"/>
  <c r="AC228" i="20" s="1"/>
  <c r="S226" i="25" s="1"/>
  <c r="AH228" i="20"/>
  <c r="AI228" i="20" s="1"/>
  <c r="AJ228" i="20" s="1"/>
  <c r="Z226" i="25" s="1"/>
  <c r="V228" i="25"/>
  <c r="X100" i="20"/>
  <c r="N98" i="25" s="1"/>
  <c r="O228" i="20"/>
  <c r="I228" i="20"/>
  <c r="I53" i="20"/>
  <c r="AB216" i="20"/>
  <c r="AC216" i="20" s="1"/>
  <c r="AD216" i="20" s="1"/>
  <c r="T214" i="25" s="1"/>
  <c r="EE104" i="20"/>
  <c r="BP102" i="25" s="1"/>
  <c r="CV93" i="20"/>
  <c r="CW93" i="20" s="1"/>
  <c r="BE68" i="25"/>
  <c r="CR129" i="20"/>
  <c r="AV127" i="25" s="1"/>
  <c r="DB116" i="20"/>
  <c r="DB201" i="20"/>
  <c r="DC201" i="20" s="1"/>
  <c r="BG199" i="25" s="1"/>
  <c r="DA105" i="20"/>
  <c r="BE103" i="25" s="1"/>
  <c r="CU105" i="20"/>
  <c r="AY103" i="25" s="1"/>
  <c r="CR107" i="20"/>
  <c r="AV105" i="25" s="1"/>
  <c r="DC70" i="20"/>
  <c r="DD70" i="20" s="1"/>
  <c r="BH68" i="25" s="1"/>
  <c r="J218" i="20"/>
  <c r="DB57" i="20"/>
  <c r="BF55" i="25" s="1"/>
  <c r="AY220" i="25"/>
  <c r="CR90" i="20"/>
  <c r="AV88" i="25" s="1"/>
  <c r="CV116" i="20"/>
  <c r="AZ114" i="25" s="1"/>
  <c r="DA87" i="20"/>
  <c r="DB87" i="20" s="1"/>
  <c r="DC87" i="20" s="1"/>
  <c r="BG85" i="25" s="1"/>
  <c r="I211" i="20"/>
  <c r="CR87" i="20"/>
  <c r="AV85" i="25" s="1"/>
  <c r="DA95" i="20"/>
  <c r="DB95" i="20" s="1"/>
  <c r="BF93" i="25" s="1"/>
  <c r="BD123" i="25"/>
  <c r="CR72" i="20"/>
  <c r="AV70" i="25" s="1"/>
  <c r="AY199" i="25"/>
  <c r="DB112" i="20"/>
  <c r="BF110" i="25" s="1"/>
  <c r="CR105" i="20"/>
  <c r="AV103" i="25" s="1"/>
  <c r="CR133" i="20"/>
  <c r="AV131" i="25" s="1"/>
  <c r="CR88" i="20"/>
  <c r="AV86" i="25" s="1"/>
  <c r="DB65" i="20"/>
  <c r="BF63" i="25" s="1"/>
  <c r="AW85" i="25"/>
  <c r="CR70" i="20"/>
  <c r="AV68" i="25" s="1"/>
  <c r="CR64" i="20"/>
  <c r="AV62" i="25" s="1"/>
  <c r="AY211" i="25"/>
  <c r="CV206" i="20"/>
  <c r="CW206" i="20" s="1"/>
  <c r="CV229" i="20"/>
  <c r="CW229" i="20" s="1"/>
  <c r="BA227" i="25" s="1"/>
  <c r="DB229" i="20"/>
  <c r="BF227" i="25" s="1"/>
  <c r="CR93" i="20"/>
  <c r="AV91" i="25" s="1"/>
  <c r="X218" i="20"/>
  <c r="N216" i="25" s="1"/>
  <c r="P218" i="20"/>
  <c r="CV89" i="20"/>
  <c r="CW89" i="20" s="1"/>
  <c r="BA87" i="25" s="1"/>
  <c r="CR60" i="20"/>
  <c r="AV58" i="25" s="1"/>
  <c r="AY90" i="25"/>
  <c r="CR104" i="20"/>
  <c r="AV102" i="25" s="1"/>
  <c r="O52" i="20"/>
  <c r="CR95" i="20"/>
  <c r="AV93" i="25" s="1"/>
  <c r="AW93" i="25"/>
  <c r="CR80" i="20"/>
  <c r="AV78" i="25" s="1"/>
  <c r="CW222" i="20"/>
  <c r="CX222" i="20" s="1"/>
  <c r="BB220" i="25" s="1"/>
  <c r="DC222" i="20"/>
  <c r="DD222" i="20" s="1"/>
  <c r="BH220" i="25" s="1"/>
  <c r="BE220" i="25"/>
  <c r="CR217" i="20"/>
  <c r="AV215" i="25" s="1"/>
  <c r="BE215" i="25"/>
  <c r="CR102" i="20"/>
  <c r="AV100" i="25" s="1"/>
  <c r="CR229" i="20"/>
  <c r="AV227" i="25" s="1"/>
  <c r="DA113" i="20"/>
  <c r="CR79" i="20"/>
  <c r="AV77" i="25" s="1"/>
  <c r="CV113" i="20"/>
  <c r="CW113" i="20" s="1"/>
  <c r="BA111" i="25" s="1"/>
  <c r="CV146" i="20"/>
  <c r="AZ144" i="25" s="1"/>
  <c r="AW138" i="25"/>
  <c r="CR227" i="20"/>
  <c r="AV225" i="25" s="1"/>
  <c r="O218" i="20"/>
  <c r="CR218" i="20"/>
  <c r="AV216" i="25" s="1"/>
  <c r="CR89" i="20"/>
  <c r="AV87" i="25" s="1"/>
  <c r="AY215" i="25"/>
  <c r="CR76" i="20"/>
  <c r="AV74" i="25" s="1"/>
  <c r="CR92" i="20"/>
  <c r="AV90" i="25" s="1"/>
  <c r="I133" i="20"/>
  <c r="CU140" i="20"/>
  <c r="AY138" i="25" s="1"/>
  <c r="AW111" i="25"/>
  <c r="CV79" i="20"/>
  <c r="CW79" i="20" s="1"/>
  <c r="BA77" i="25" s="1"/>
  <c r="CW217" i="20"/>
  <c r="BA215" i="25" s="1"/>
  <c r="CR140" i="20"/>
  <c r="AV138" i="25" s="1"/>
  <c r="CR113" i="20"/>
  <c r="AV111" i="25" s="1"/>
  <c r="DB93" i="20"/>
  <c r="BF91" i="25" s="1"/>
  <c r="CW218" i="20"/>
  <c r="BA216" i="25" s="1"/>
  <c r="AY216" i="25"/>
  <c r="CR57" i="20"/>
  <c r="AV55" i="25" s="1"/>
  <c r="DB130" i="20"/>
  <c r="BF128" i="25" s="1"/>
  <c r="CR228" i="20"/>
  <c r="AV226" i="25" s="1"/>
  <c r="BE87" i="25"/>
  <c r="I91" i="20"/>
  <c r="CR222" i="20"/>
  <c r="AV220" i="25" s="1"/>
  <c r="I52" i="20"/>
  <c r="O139" i="20"/>
  <c r="I212" i="20"/>
  <c r="CR216" i="20"/>
  <c r="AV214" i="25" s="1"/>
  <c r="CR206" i="20"/>
  <c r="AV204" i="25" s="1"/>
  <c r="CR52" i="20"/>
  <c r="AV50" i="25" s="1"/>
  <c r="CR212" i="20"/>
  <c r="AV210" i="25" s="1"/>
  <c r="CV65" i="20"/>
  <c r="AZ63" i="25" s="1"/>
  <c r="CV130" i="20"/>
  <c r="AZ128" i="25" s="1"/>
  <c r="BE203" i="25"/>
  <c r="DB205" i="20"/>
  <c r="DC217" i="20"/>
  <c r="CR103" i="20"/>
  <c r="AV101" i="25" s="1"/>
  <c r="CR136" i="20"/>
  <c r="AV134" i="25" s="1"/>
  <c r="O146" i="20"/>
  <c r="AW207" i="25"/>
  <c r="CT208" i="20"/>
  <c r="DA209" i="20"/>
  <c r="DB209" i="20" s="1"/>
  <c r="BF207" i="25" s="1"/>
  <c r="CR209" i="20"/>
  <c r="AV207" i="25" s="1"/>
  <c r="CS75" i="20"/>
  <c r="BD128" i="25"/>
  <c r="CR130" i="20"/>
  <c r="AV128" i="25" s="1"/>
  <c r="CR122" i="20"/>
  <c r="AV120" i="25" s="1"/>
  <c r="CR138" i="20"/>
  <c r="AV136" i="25" s="1"/>
  <c r="CS86" i="20"/>
  <c r="CR210" i="20"/>
  <c r="AV208" i="25" s="1"/>
  <c r="BE204" i="25"/>
  <c r="DB206" i="20"/>
  <c r="CZ4" i="20"/>
  <c r="AZ214" i="25"/>
  <c r="CT203" i="20"/>
  <c r="O211" i="20"/>
  <c r="BE100" i="25"/>
  <c r="DB102" i="20"/>
  <c r="CS132" i="20"/>
  <c r="CZ86" i="20"/>
  <c r="CR211" i="20"/>
  <c r="AV209" i="25" s="1"/>
  <c r="G209" i="25" s="1"/>
  <c r="I209" i="25" s="1"/>
  <c r="H214" i="25"/>
  <c r="AW54" i="25"/>
  <c r="CU56" i="20"/>
  <c r="DA56" i="20"/>
  <c r="DB56" i="20" s="1"/>
  <c r="CR56" i="20"/>
  <c r="AV54" i="25" s="1"/>
  <c r="BD206" i="25"/>
  <c r="CS226" i="20"/>
  <c r="AX119" i="25"/>
  <c r="CS144" i="20"/>
  <c r="AX96" i="25"/>
  <c r="CS208" i="20"/>
  <c r="AW64" i="25"/>
  <c r="CU66" i="20"/>
  <c r="CR66" i="20"/>
  <c r="AV64" i="25" s="1"/>
  <c r="DA66" i="20"/>
  <c r="CR99" i="20"/>
  <c r="AV97" i="25" s="1"/>
  <c r="AX61" i="25"/>
  <c r="BE77" i="25"/>
  <c r="DB79" i="20"/>
  <c r="CR83" i="20"/>
  <c r="AV81" i="25" s="1"/>
  <c r="CT144" i="20"/>
  <c r="AX218" i="25"/>
  <c r="CU99" i="20"/>
  <c r="AY97" i="25" s="1"/>
  <c r="CZ75" i="20"/>
  <c r="CZ208" i="20"/>
  <c r="I58" i="20"/>
  <c r="CU127" i="20"/>
  <c r="AY125" i="25" s="1"/>
  <c r="O58" i="20"/>
  <c r="AW97" i="25"/>
  <c r="AW113" i="25"/>
  <c r="H113" i="25" s="1"/>
  <c r="CR115" i="20"/>
  <c r="AV113" i="25" s="1"/>
  <c r="DA115" i="20"/>
  <c r="CU115" i="20"/>
  <c r="I55" i="20"/>
  <c r="CV199" i="20"/>
  <c r="CW199" i="20" s="1"/>
  <c r="CX199" i="20" s="1"/>
  <c r="CR58" i="20"/>
  <c r="AV56" i="25" s="1"/>
  <c r="CR127" i="20"/>
  <c r="AV125" i="25" s="1"/>
  <c r="CS109" i="20"/>
  <c r="BD84" i="25"/>
  <c r="CS98" i="20"/>
  <c r="BD116" i="25"/>
  <c r="BD107" i="25" s="1"/>
  <c r="CR118" i="20"/>
  <c r="AV116" i="25" s="1"/>
  <c r="AW115" i="25"/>
  <c r="H115" i="25" s="1"/>
  <c r="DA117" i="20"/>
  <c r="P117" i="20" s="1"/>
  <c r="CR117" i="20"/>
  <c r="AV115" i="25" s="1"/>
  <c r="CU117" i="20"/>
  <c r="J117" i="20" s="1"/>
  <c r="CR82" i="20"/>
  <c r="AV80" i="25" s="1"/>
  <c r="DA127" i="20"/>
  <c r="BE125" i="25" s="1"/>
  <c r="CR81" i="20"/>
  <c r="AV79" i="25" s="1"/>
  <c r="CT121" i="20"/>
  <c r="CV118" i="20"/>
  <c r="AZ116" i="25" s="1"/>
  <c r="CR141" i="20"/>
  <c r="AV139" i="25" s="1"/>
  <c r="AX142" i="25"/>
  <c r="AX107" i="25"/>
  <c r="CS4" i="20"/>
  <c r="DA147" i="20"/>
  <c r="AW145" i="25"/>
  <c r="CU147" i="20"/>
  <c r="CV147" i="20" s="1"/>
  <c r="CR147" i="20"/>
  <c r="AV145" i="25" s="1"/>
  <c r="CZ121" i="20"/>
  <c r="CU84" i="20"/>
  <c r="DA84" i="20"/>
  <c r="AW82" i="25"/>
  <c r="CR84" i="20"/>
  <c r="AV82" i="25" s="1"/>
  <c r="CZ109" i="20"/>
  <c r="AW99" i="25"/>
  <c r="DA101" i="20"/>
  <c r="CR101" i="20"/>
  <c r="AV99" i="25" s="1"/>
  <c r="CU101" i="20"/>
  <c r="AW75" i="25"/>
  <c r="DA77" i="20"/>
  <c r="BE75" i="25" s="1"/>
  <c r="CU77" i="20"/>
  <c r="AY75" i="25" s="1"/>
  <c r="CR77" i="20"/>
  <c r="AV75" i="25" s="1"/>
  <c r="BE123" i="25"/>
  <c r="DB125" i="20"/>
  <c r="BF123" i="25" s="1"/>
  <c r="CZ226" i="20"/>
  <c r="BD226" i="25"/>
  <c r="BD224" i="25" s="1"/>
  <c r="CU145" i="20"/>
  <c r="AW143" i="25"/>
  <c r="CR145" i="20"/>
  <c r="AV143" i="25" s="1"/>
  <c r="DA145" i="20"/>
  <c r="CR110" i="20"/>
  <c r="AV108" i="25" s="1"/>
  <c r="AW52" i="25"/>
  <c r="DA54" i="20"/>
  <c r="CR54" i="20"/>
  <c r="AV52" i="25" s="1"/>
  <c r="CU54" i="20"/>
  <c r="AY52" i="25" s="1"/>
  <c r="BD144" i="25"/>
  <c r="BD142" i="25" s="1"/>
  <c r="CZ144" i="20"/>
  <c r="CR137" i="20"/>
  <c r="AV135" i="25" s="1"/>
  <c r="AW135" i="25"/>
  <c r="CU137" i="20"/>
  <c r="DA137" i="20"/>
  <c r="AW122" i="25"/>
  <c r="CU124" i="20"/>
  <c r="DA124" i="20"/>
  <c r="BE122" i="25" s="1"/>
  <c r="CR124" i="20"/>
  <c r="AV122" i="25" s="1"/>
  <c r="DA55" i="20"/>
  <c r="BE53" i="25" s="1"/>
  <c r="AW53" i="25"/>
  <c r="H53" i="25" s="1"/>
  <c r="CU55" i="20"/>
  <c r="AY53" i="25" s="1"/>
  <c r="CR55" i="20"/>
  <c r="AV53" i="25" s="1"/>
  <c r="DC129" i="20"/>
  <c r="BG127" i="25" s="1"/>
  <c r="CU221" i="20"/>
  <c r="CV221" i="20" s="1"/>
  <c r="AZ219" i="25" s="1"/>
  <c r="DA221" i="20"/>
  <c r="AW219" i="25"/>
  <c r="CR221" i="20"/>
  <c r="AV219" i="25" s="1"/>
  <c r="CT226" i="20"/>
  <c r="AX226" i="25"/>
  <c r="AX224" i="25" s="1"/>
  <c r="CR139" i="20"/>
  <c r="AV137" i="25" s="1"/>
  <c r="DA139" i="20"/>
  <c r="DB139" i="20" s="1"/>
  <c r="BF137" i="25" s="1"/>
  <c r="CU139" i="20"/>
  <c r="CV139" i="20" s="1"/>
  <c r="AZ137" i="25" s="1"/>
  <c r="AW137" i="25"/>
  <c r="CS203" i="20"/>
  <c r="AW202" i="25"/>
  <c r="AW201" i="25" s="1"/>
  <c r="DA204" i="20"/>
  <c r="CR204" i="20"/>
  <c r="AV202" i="25" s="1"/>
  <c r="CU204" i="20"/>
  <c r="AW66" i="25"/>
  <c r="DA68" i="20"/>
  <c r="CU68" i="20"/>
  <c r="BD96" i="25"/>
  <c r="AX74" i="25"/>
  <c r="AX73" i="25" s="1"/>
  <c r="CT75" i="20"/>
  <c r="CT98" i="20"/>
  <c r="AW67" i="25"/>
  <c r="CU69" i="20"/>
  <c r="DA69" i="20"/>
  <c r="CR69" i="20"/>
  <c r="AV67" i="25" s="1"/>
  <c r="CZ203" i="20"/>
  <c r="BD202" i="25"/>
  <c r="BD201" i="25" s="1"/>
  <c r="CU114" i="20"/>
  <c r="DA114" i="20"/>
  <c r="AW112" i="25"/>
  <c r="CR114" i="20"/>
  <c r="AV112" i="25" s="1"/>
  <c r="CS121" i="20"/>
  <c r="CT86" i="20"/>
  <c r="BD63" i="25"/>
  <c r="CR65" i="20"/>
  <c r="AV63" i="25" s="1"/>
  <c r="AW228" i="25"/>
  <c r="CU230" i="20"/>
  <c r="CV230" i="20" s="1"/>
  <c r="AZ228" i="25" s="1"/>
  <c r="DA230" i="20"/>
  <c r="CR230" i="20"/>
  <c r="AV228" i="25" s="1"/>
  <c r="AW92" i="25"/>
  <c r="H92" i="25" s="1"/>
  <c r="CR94" i="20"/>
  <c r="AV92" i="25" s="1"/>
  <c r="CU94" i="20"/>
  <c r="DA94" i="20"/>
  <c r="P94" i="20" s="1"/>
  <c r="AW89" i="25"/>
  <c r="DA91" i="20"/>
  <c r="CR91" i="20"/>
  <c r="AV89" i="25" s="1"/>
  <c r="CU91" i="20"/>
  <c r="AX197" i="25"/>
  <c r="AX196" i="25" s="1"/>
  <c r="CT198" i="20"/>
  <c r="DA200" i="20"/>
  <c r="DB200" i="20" s="1"/>
  <c r="BF198" i="25" s="1"/>
  <c r="CU200" i="20"/>
  <c r="CR200" i="20"/>
  <c r="AV198" i="25" s="1"/>
  <c r="AW198" i="25"/>
  <c r="AW196" i="25" s="1"/>
  <c r="CR68" i="20"/>
  <c r="AV66" i="25" s="1"/>
  <c r="BD66" i="25"/>
  <c r="AX84" i="25"/>
  <c r="CT4" i="20"/>
  <c r="BD197" i="25"/>
  <c r="BD196" i="25" s="1"/>
  <c r="CZ198" i="20"/>
  <c r="CR198" i="20" s="1"/>
  <c r="CR199" i="20"/>
  <c r="AV197" i="25" s="1"/>
  <c r="CZ98" i="20"/>
  <c r="CR126" i="20"/>
  <c r="AV124" i="25" s="1"/>
  <c r="CZ63" i="20"/>
  <c r="CR59" i="20"/>
  <c r="AV57" i="25" s="1"/>
  <c r="DA59" i="20"/>
  <c r="BE57" i="25" s="1"/>
  <c r="AW57" i="25"/>
  <c r="CU59" i="20"/>
  <c r="AW133" i="25"/>
  <c r="CR135" i="20"/>
  <c r="AV133" i="25" s="1"/>
  <c r="DA135" i="20"/>
  <c r="CU135" i="20"/>
  <c r="AW132" i="25"/>
  <c r="CU134" i="20"/>
  <c r="DA134" i="20"/>
  <c r="CR134" i="20"/>
  <c r="AV132" i="25" s="1"/>
  <c r="CR123" i="20"/>
  <c r="AV121" i="25" s="1"/>
  <c r="CU123" i="20"/>
  <c r="DA123" i="20"/>
  <c r="AW121" i="25"/>
  <c r="AW76" i="25"/>
  <c r="CR78" i="20"/>
  <c r="AV76" i="25" s="1"/>
  <c r="DA78" i="20"/>
  <c r="CU78" i="20"/>
  <c r="CU71" i="20"/>
  <c r="AW69" i="25"/>
  <c r="DA71" i="20"/>
  <c r="CR71" i="20"/>
  <c r="AV69" i="25" s="1"/>
  <c r="O55" i="20"/>
  <c r="CU231" i="20"/>
  <c r="AW229" i="25"/>
  <c r="CR231" i="20"/>
  <c r="AV229" i="25" s="1"/>
  <c r="DA231" i="20"/>
  <c r="CU148" i="20"/>
  <c r="CR148" i="20"/>
  <c r="AV146" i="25" s="1"/>
  <c r="AW146" i="25"/>
  <c r="DA148" i="20"/>
  <c r="AW98" i="25"/>
  <c r="CU100" i="20"/>
  <c r="CV100" i="20" s="1"/>
  <c r="CR100" i="20"/>
  <c r="AV98" i="25" s="1"/>
  <c r="DA100" i="20"/>
  <c r="DB100" i="20" s="1"/>
  <c r="AW222" i="25"/>
  <c r="CU224" i="20"/>
  <c r="CV224" i="20" s="1"/>
  <c r="AZ222" i="25" s="1"/>
  <c r="DA224" i="20"/>
  <c r="CR224" i="20"/>
  <c r="AV222" i="25" s="1"/>
  <c r="CR73" i="20"/>
  <c r="AV71" i="25" s="1"/>
  <c r="AW71" i="25"/>
  <c r="DA73" i="20"/>
  <c r="BE71" i="25" s="1"/>
  <c r="CU73" i="20"/>
  <c r="AY71" i="25" s="1"/>
  <c r="BE214" i="25"/>
  <c r="DB216" i="20"/>
  <c r="AW212" i="25"/>
  <c r="DA214" i="20"/>
  <c r="DB214" i="20" s="1"/>
  <c r="CU214" i="20"/>
  <c r="AY212" i="25" s="1"/>
  <c r="CR214" i="20"/>
  <c r="AV212" i="25" s="1"/>
  <c r="AW213" i="25"/>
  <c r="DA215" i="20"/>
  <c r="CU215" i="20"/>
  <c r="AY213" i="25" s="1"/>
  <c r="CR215" i="20"/>
  <c r="AV213" i="25" s="1"/>
  <c r="CT63" i="20"/>
  <c r="BD140" i="25"/>
  <c r="BD130" i="25" s="1"/>
  <c r="CZ132" i="20"/>
  <c r="AX140" i="25"/>
  <c r="AX130" i="25" s="1"/>
  <c r="CT132" i="20"/>
  <c r="DB110" i="20"/>
  <c r="DC110" i="20" s="1"/>
  <c r="BG108" i="25" s="1"/>
  <c r="AW140" i="25"/>
  <c r="CR142" i="20"/>
  <c r="AV140" i="25" s="1"/>
  <c r="CU142" i="20"/>
  <c r="DA142" i="20"/>
  <c r="AW94" i="25"/>
  <c r="CU96" i="20"/>
  <c r="DA96" i="20"/>
  <c r="CR96" i="20"/>
  <c r="AV94" i="25" s="1"/>
  <c r="AX59" i="25"/>
  <c r="AX49" i="25" s="1"/>
  <c r="CT51" i="20"/>
  <c r="CS63" i="20"/>
  <c r="CR61" i="20"/>
  <c r="AV59" i="25" s="1"/>
  <c r="AW59" i="25"/>
  <c r="H59" i="25" s="1"/>
  <c r="DA61" i="20"/>
  <c r="P61" i="20" s="1"/>
  <c r="CU61" i="20"/>
  <c r="J61" i="20" s="1"/>
  <c r="BD59" i="25"/>
  <c r="BD49" i="25" s="1"/>
  <c r="CZ51" i="20"/>
  <c r="AW117" i="25"/>
  <c r="CR119" i="20"/>
  <c r="AV117" i="25" s="1"/>
  <c r="CU119" i="20"/>
  <c r="DA119" i="20"/>
  <c r="DB146" i="20"/>
  <c r="DC146" i="20" s="1"/>
  <c r="CS51" i="20"/>
  <c r="CT109" i="20"/>
  <c r="BD221" i="25"/>
  <c r="BD218" i="25" s="1"/>
  <c r="CZ220" i="20"/>
  <c r="CT220" i="20"/>
  <c r="AW221" i="25"/>
  <c r="CU223" i="20"/>
  <c r="CR223" i="20"/>
  <c r="AV221" i="25" s="1"/>
  <c r="DA223" i="20"/>
  <c r="CS220" i="20"/>
  <c r="DB227" i="20"/>
  <c r="BF225" i="25" s="1"/>
  <c r="CV211" i="20"/>
  <c r="AZ209" i="25" s="1"/>
  <c r="Q98" i="25"/>
  <c r="BT201" i="20"/>
  <c r="AQ199" i="25" s="1"/>
  <c r="I111" i="20"/>
  <c r="BK220" i="20"/>
  <c r="AN182" i="25"/>
  <c r="BO80" i="25"/>
  <c r="CV110" i="20"/>
  <c r="AZ108" i="25" s="1"/>
  <c r="CV228" i="20"/>
  <c r="AZ226" i="25" s="1"/>
  <c r="AY226" i="25"/>
  <c r="EH213" i="20"/>
  <c r="BS211" i="25" s="1"/>
  <c r="AH100" i="20"/>
  <c r="X98" i="25" s="1"/>
  <c r="BQ182" i="20"/>
  <c r="AN180" i="25" s="1"/>
  <c r="AN161" i="25"/>
  <c r="P184" i="20"/>
  <c r="J228" i="20"/>
  <c r="X105" i="20"/>
  <c r="N103" i="25" s="1"/>
  <c r="F4" i="20"/>
  <c r="AO182" i="25"/>
  <c r="BQ211" i="25"/>
  <c r="Q184" i="20"/>
  <c r="BR200" i="20"/>
  <c r="AO198" i="25" s="1"/>
  <c r="AN198" i="25"/>
  <c r="AN117" i="25"/>
  <c r="BT184" i="20"/>
  <c r="AQ182" i="25" s="1"/>
  <c r="I214" i="20"/>
  <c r="BR58" i="20"/>
  <c r="AO56" i="25" s="1"/>
  <c r="BS216" i="20"/>
  <c r="AP214" i="25" s="1"/>
  <c r="BT217" i="20"/>
  <c r="AQ215" i="25" s="1"/>
  <c r="J216" i="20"/>
  <c r="DC199" i="20"/>
  <c r="DD199" i="20" s="1"/>
  <c r="BE197" i="25"/>
  <c r="BR182" i="20"/>
  <c r="AO180" i="25" s="1"/>
  <c r="BL184" i="20"/>
  <c r="AI182" i="25" s="1"/>
  <c r="BP86" i="20"/>
  <c r="BL229" i="20"/>
  <c r="AI227" i="25" s="1"/>
  <c r="P228" i="20"/>
  <c r="BE226" i="25"/>
  <c r="DC228" i="20"/>
  <c r="BG226" i="25" s="1"/>
  <c r="CW83" i="20"/>
  <c r="CX83" i="20" s="1"/>
  <c r="CV138" i="20"/>
  <c r="AZ136" i="25" s="1"/>
  <c r="DC107" i="20"/>
  <c r="BG105" i="25" s="1"/>
  <c r="AY225" i="25"/>
  <c r="BL230" i="20"/>
  <c r="AI228" i="25" s="1"/>
  <c r="F73" i="25"/>
  <c r="F130" i="25"/>
  <c r="O216" i="20"/>
  <c r="AO50" i="25"/>
  <c r="DC118" i="20"/>
  <c r="DD118" i="20" s="1"/>
  <c r="BH116" i="25" s="1"/>
  <c r="BP63" i="20"/>
  <c r="DB99" i="20"/>
  <c r="BE97" i="25"/>
  <c r="AH218" i="20"/>
  <c r="F224" i="25"/>
  <c r="I100" i="20"/>
  <c r="AP50" i="25"/>
  <c r="EM211" i="20"/>
  <c r="BX209" i="25" s="1"/>
  <c r="BR116" i="20"/>
  <c r="AO114" i="25" s="1"/>
  <c r="I81" i="20"/>
  <c r="BJ203" i="20"/>
  <c r="AX201" i="25"/>
  <c r="AO62" i="25"/>
  <c r="AB231" i="20"/>
  <c r="AC231" i="20" s="1"/>
  <c r="S229" i="25" s="1"/>
  <c r="BP109" i="20"/>
  <c r="BR87" i="20"/>
  <c r="AN85" i="25"/>
  <c r="Q216" i="25"/>
  <c r="K183" i="20"/>
  <c r="BN183" i="20"/>
  <c r="M183" i="20" s="1"/>
  <c r="BT64" i="20"/>
  <c r="AQ62" i="25" s="1"/>
  <c r="CV122" i="20"/>
  <c r="AZ120" i="25" s="1"/>
  <c r="CW125" i="20"/>
  <c r="BA123" i="25" s="1"/>
  <c r="BR208" i="20"/>
  <c r="CW227" i="20"/>
  <c r="BA225" i="25" s="1"/>
  <c r="BR83" i="20"/>
  <c r="AO81" i="25" s="1"/>
  <c r="AD3" i="25"/>
  <c r="AH181" i="25"/>
  <c r="BE58" i="25"/>
  <c r="DB60" i="20"/>
  <c r="BH105" i="20"/>
  <c r="AE103" i="25" s="1"/>
  <c r="L183" i="20"/>
  <c r="AH102" i="25"/>
  <c r="BR163" i="20"/>
  <c r="Q163" i="20" s="1"/>
  <c r="BI63" i="20"/>
  <c r="CV52" i="20"/>
  <c r="CW52" i="20" s="1"/>
  <c r="CX52" i="20" s="1"/>
  <c r="BB50" i="25" s="1"/>
  <c r="AN62" i="25"/>
  <c r="AM117" i="25"/>
  <c r="CV81" i="20"/>
  <c r="AZ79" i="25" s="1"/>
  <c r="DB81" i="20"/>
  <c r="BF79" i="25" s="1"/>
  <c r="DB76" i="20"/>
  <c r="DC76" i="20" s="1"/>
  <c r="BH192" i="20"/>
  <c r="AE190" i="25" s="1"/>
  <c r="G190" i="25" s="1"/>
  <c r="I190" i="25" s="1"/>
  <c r="BL208" i="20"/>
  <c r="BL168" i="20"/>
  <c r="BP98" i="20"/>
  <c r="CV126" i="20"/>
  <c r="DB136" i="20"/>
  <c r="BF134" i="25" s="1"/>
  <c r="DB52" i="20"/>
  <c r="DC52" i="20" s="1"/>
  <c r="AZ58" i="25"/>
  <c r="CW60" i="20"/>
  <c r="AM204" i="25"/>
  <c r="BP203" i="20"/>
  <c r="BH203" i="20" s="1"/>
  <c r="AF150" i="25"/>
  <c r="H150" i="25" s="1"/>
  <c r="BK152" i="20"/>
  <c r="BQ152" i="20"/>
  <c r="BR152" i="20" s="1"/>
  <c r="BH152" i="20"/>
  <c r="BL3" i="25"/>
  <c r="CW133" i="20"/>
  <c r="BA131" i="25" s="1"/>
  <c r="BH196" i="20"/>
  <c r="CV128" i="20"/>
  <c r="AZ126" i="25" s="1"/>
  <c r="AM194" i="25"/>
  <c r="EE222" i="20"/>
  <c r="BP220" i="25" s="1"/>
  <c r="BP207" i="25"/>
  <c r="AX206" i="25"/>
  <c r="CW102" i="20"/>
  <c r="BA100" i="25" s="1"/>
  <c r="CV136" i="20"/>
  <c r="AZ134" i="25" s="1"/>
  <c r="BQ156" i="20"/>
  <c r="AF154" i="25"/>
  <c r="H154" i="25" s="1"/>
  <c r="BH156" i="20"/>
  <c r="BK156" i="20"/>
  <c r="BN212" i="20"/>
  <c r="AK210" i="25" s="1"/>
  <c r="AF173" i="25"/>
  <c r="H173" i="25" s="1"/>
  <c r="BK175" i="20"/>
  <c r="BL175" i="20" s="1"/>
  <c r="BQ175" i="20"/>
  <c r="BR175" i="20" s="1"/>
  <c r="BH175" i="20"/>
  <c r="BH182" i="20"/>
  <c r="EB205" i="20"/>
  <c r="BM203" i="25" s="1"/>
  <c r="I222" i="20"/>
  <c r="AH166" i="25"/>
  <c r="EL205" i="20"/>
  <c r="EM205" i="20" s="1"/>
  <c r="BI174" i="20"/>
  <c r="AF174" i="25"/>
  <c r="H174" i="25" s="1"/>
  <c r="BH176" i="20"/>
  <c r="BK176" i="20"/>
  <c r="BQ176" i="20"/>
  <c r="BL77" i="20"/>
  <c r="O89" i="20"/>
  <c r="BS119" i="20"/>
  <c r="BT119" i="20" s="1"/>
  <c r="AQ117" i="25" s="1"/>
  <c r="BM58" i="20"/>
  <c r="AJ56" i="25" s="1"/>
  <c r="BN216" i="20"/>
  <c r="AK214" i="25" s="1"/>
  <c r="AF218" i="25"/>
  <c r="BJ98" i="20"/>
  <c r="I60" i="20"/>
  <c r="CW107" i="20"/>
  <c r="BA105" i="25" s="1"/>
  <c r="DB122" i="20"/>
  <c r="BF120" i="25" s="1"/>
  <c r="DB58" i="20"/>
  <c r="BF56" i="25" s="1"/>
  <c r="CV67" i="20"/>
  <c r="AZ65" i="25" s="1"/>
  <c r="F149" i="25"/>
  <c r="AD142" i="25"/>
  <c r="F142" i="25" s="1"/>
  <c r="EM218" i="20"/>
  <c r="BX216" i="25" s="1"/>
  <c r="I229" i="20"/>
  <c r="O229" i="20"/>
  <c r="I145" i="20"/>
  <c r="I221" i="20"/>
  <c r="O79" i="20"/>
  <c r="BP100" i="25"/>
  <c r="O96" i="20"/>
  <c r="Q219" i="25"/>
  <c r="O69" i="20"/>
  <c r="O100" i="20"/>
  <c r="I139" i="20"/>
  <c r="I218" i="20"/>
  <c r="I89" i="20"/>
  <c r="I224" i="20"/>
  <c r="Y98" i="20"/>
  <c r="AC58" i="20"/>
  <c r="S56" i="25" s="1"/>
  <c r="X101" i="20"/>
  <c r="N99" i="25" s="1"/>
  <c r="BF131" i="25"/>
  <c r="G184" i="20"/>
  <c r="H184" i="20" s="1"/>
  <c r="AE182" i="25"/>
  <c r="G182" i="25" s="1"/>
  <c r="I182" i="25" s="1"/>
  <c r="AG107" i="25"/>
  <c r="DB104" i="20"/>
  <c r="BF102" i="25" s="1"/>
  <c r="BO222" i="25"/>
  <c r="BO218" i="25" s="1"/>
  <c r="BL119" i="20"/>
  <c r="BM119" i="20" s="1"/>
  <c r="BP222" i="25"/>
  <c r="EF107" i="20"/>
  <c r="BQ105" i="25" s="1"/>
  <c r="CX216" i="20"/>
  <c r="BB214" i="25" s="1"/>
  <c r="P168" i="20"/>
  <c r="AG96" i="25"/>
  <c r="I84" i="20"/>
  <c r="AN166" i="25"/>
  <c r="Q168" i="20"/>
  <c r="O111" i="20"/>
  <c r="AO207" i="25"/>
  <c r="AO206" i="25" s="1"/>
  <c r="DB111" i="20"/>
  <c r="CV58" i="20"/>
  <c r="DD92" i="20"/>
  <c r="BH90" i="25" s="1"/>
  <c r="V218" i="25"/>
  <c r="BM61" i="20"/>
  <c r="AJ59" i="25" s="1"/>
  <c r="BL79" i="20"/>
  <c r="AI77" i="25" s="1"/>
  <c r="Q228" i="25"/>
  <c r="BS168" i="20"/>
  <c r="BT168" i="20" s="1"/>
  <c r="AQ166" i="25" s="1"/>
  <c r="BR229" i="20"/>
  <c r="DB138" i="20"/>
  <c r="BF136" i="25" s="1"/>
  <c r="DB64" i="20"/>
  <c r="H56" i="25"/>
  <c r="EB79" i="20"/>
  <c r="BM77" i="25" s="1"/>
  <c r="X106" i="20"/>
  <c r="N104" i="25" s="1"/>
  <c r="BU105" i="25"/>
  <c r="BT218" i="20"/>
  <c r="AQ216" i="25" s="1"/>
  <c r="BN214" i="20"/>
  <c r="AK212" i="25" s="1"/>
  <c r="BR167" i="20"/>
  <c r="BR166" i="20" s="1"/>
  <c r="AO164" i="25" s="1"/>
  <c r="EB103" i="20"/>
  <c r="BM101" i="25" s="1"/>
  <c r="EB229" i="20"/>
  <c r="BM227" i="25" s="1"/>
  <c r="BS209" i="20"/>
  <c r="AP207" i="25" s="1"/>
  <c r="X229" i="20"/>
  <c r="N227" i="25" s="1"/>
  <c r="CV104" i="20"/>
  <c r="AZ102" i="25" s="1"/>
  <c r="CV64" i="20"/>
  <c r="DC133" i="20"/>
  <c r="DD133" i="20" s="1"/>
  <c r="AH90" i="25"/>
  <c r="BL92" i="20"/>
  <c r="DB141" i="20"/>
  <c r="BF139" i="25" s="1"/>
  <c r="ED220" i="20"/>
  <c r="CV210" i="20"/>
  <c r="AZ208" i="25" s="1"/>
  <c r="BQ166" i="20"/>
  <c r="AN164" i="25" s="1"/>
  <c r="I116" i="20"/>
  <c r="BL117" i="20"/>
  <c r="AI115" i="25" s="1"/>
  <c r="DB210" i="20"/>
  <c r="BF208" i="25" s="1"/>
  <c r="O114" i="20"/>
  <c r="I67" i="20"/>
  <c r="BU80" i="25"/>
  <c r="AA106" i="20"/>
  <c r="AB106" i="20" s="1"/>
  <c r="R104" i="25" s="1"/>
  <c r="AG106" i="20"/>
  <c r="AH106" i="20" s="1"/>
  <c r="O107" i="20"/>
  <c r="F206" i="25"/>
  <c r="O102" i="20"/>
  <c r="EC98" i="20"/>
  <c r="I83" i="20"/>
  <c r="BN101" i="25"/>
  <c r="H101" i="25" s="1"/>
  <c r="EB102" i="20"/>
  <c r="BM100" i="25" s="1"/>
  <c r="BN70" i="20"/>
  <c r="AK68" i="25" s="1"/>
  <c r="AN90" i="25"/>
  <c r="BR92" i="20"/>
  <c r="DB128" i="20"/>
  <c r="DB140" i="20"/>
  <c r="AY131" i="25"/>
  <c r="O117" i="20"/>
  <c r="BN215" i="20"/>
  <c r="AK213" i="25" s="1"/>
  <c r="EF103" i="20"/>
  <c r="BQ101" i="25" s="1"/>
  <c r="EK103" i="20"/>
  <c r="P103" i="20" s="1"/>
  <c r="AZ199" i="25"/>
  <c r="CX201" i="20"/>
  <c r="BB199" i="25" s="1"/>
  <c r="CV111" i="20"/>
  <c r="DB126" i="20"/>
  <c r="DB67" i="20"/>
  <c r="BF65" i="25" s="1"/>
  <c r="AY50" i="25"/>
  <c r="AG73" i="25"/>
  <c r="AZ131" i="25"/>
  <c r="F49" i="25"/>
  <c r="AH94" i="20"/>
  <c r="X92" i="25" s="1"/>
  <c r="AH161" i="25"/>
  <c r="BL163" i="20"/>
  <c r="BM163" i="20" s="1"/>
  <c r="J163" i="20"/>
  <c r="AC211" i="20"/>
  <c r="AD211" i="20" s="1"/>
  <c r="BM231" i="20"/>
  <c r="AJ229" i="25" s="1"/>
  <c r="AN206" i="25"/>
  <c r="BE131" i="25"/>
  <c r="BE50" i="25"/>
  <c r="EL222" i="20"/>
  <c r="EM222" i="20" s="1"/>
  <c r="BX220" i="25" s="1"/>
  <c r="O93" i="20"/>
  <c r="I205" i="20"/>
  <c r="EG209" i="20"/>
  <c r="BR207" i="25" s="1"/>
  <c r="Y4" i="20"/>
  <c r="Y208" i="20"/>
  <c r="CV141" i="20"/>
  <c r="I96" i="20"/>
  <c r="I215" i="20"/>
  <c r="Z220" i="20"/>
  <c r="I69" i="20"/>
  <c r="AA101" i="20"/>
  <c r="AB101" i="20" s="1"/>
  <c r="R99" i="25" s="1"/>
  <c r="X117" i="20"/>
  <c r="N115" i="25" s="1"/>
  <c r="I103" i="20"/>
  <c r="O91" i="20"/>
  <c r="O119" i="20"/>
  <c r="O224" i="20"/>
  <c r="Z4" i="20"/>
  <c r="O104" i="20"/>
  <c r="O148" i="20"/>
  <c r="I137" i="20"/>
  <c r="I104" i="20"/>
  <c r="I90" i="20"/>
  <c r="I59" i="20"/>
  <c r="O57" i="20"/>
  <c r="I119" i="20"/>
  <c r="Y109" i="20"/>
  <c r="AI221" i="20"/>
  <c r="AJ221" i="20" s="1"/>
  <c r="Z219" i="25" s="1"/>
  <c r="O205" i="20"/>
  <c r="O116" i="20"/>
  <c r="I77" i="20"/>
  <c r="O68" i="20"/>
  <c r="I79" i="20"/>
  <c r="V197" i="25"/>
  <c r="V196" i="25" s="1"/>
  <c r="AF198" i="20"/>
  <c r="V225" i="25"/>
  <c r="AF226" i="20"/>
  <c r="X226" i="20" s="1"/>
  <c r="X227" i="20"/>
  <c r="N225" i="25" s="1"/>
  <c r="V207" i="25"/>
  <c r="AF208" i="20"/>
  <c r="V108" i="25"/>
  <c r="AF109" i="20"/>
  <c r="O110" i="20"/>
  <c r="V74" i="25"/>
  <c r="V73" i="25" s="1"/>
  <c r="AF75" i="20"/>
  <c r="X145" i="20"/>
  <c r="N143" i="25" s="1"/>
  <c r="V143" i="25"/>
  <c r="AF144" i="20"/>
  <c r="O145" i="20"/>
  <c r="V97" i="25"/>
  <c r="V96" i="25" s="1"/>
  <c r="AF98" i="20"/>
  <c r="V131" i="25"/>
  <c r="AF132" i="20"/>
  <c r="O133" i="20"/>
  <c r="O50" i="25"/>
  <c r="H50" i="25" s="1"/>
  <c r="X52" i="20"/>
  <c r="N50" i="25" s="1"/>
  <c r="AG52" i="20"/>
  <c r="AA52" i="20"/>
  <c r="O91" i="25"/>
  <c r="H91" i="25" s="1"/>
  <c r="X93" i="20"/>
  <c r="N91" i="25" s="1"/>
  <c r="AA93" i="20"/>
  <c r="AG93" i="20"/>
  <c r="AH93" i="20" s="1"/>
  <c r="X91" i="25" s="1"/>
  <c r="O100" i="25"/>
  <c r="X102" i="20"/>
  <c r="N100" i="25" s="1"/>
  <c r="AA102" i="20"/>
  <c r="AG102" i="20"/>
  <c r="W100" i="25" s="1"/>
  <c r="V138" i="25"/>
  <c r="O140" i="20"/>
  <c r="O52" i="25"/>
  <c r="X54" i="20"/>
  <c r="N52" i="25" s="1"/>
  <c r="AG54" i="20"/>
  <c r="W52" i="25" s="1"/>
  <c r="AA54" i="20"/>
  <c r="Q52" i="25" s="1"/>
  <c r="O94" i="25"/>
  <c r="X96" i="20"/>
  <c r="N94" i="25" s="1"/>
  <c r="AG96" i="20"/>
  <c r="W94" i="25" s="1"/>
  <c r="AA96" i="20"/>
  <c r="Q94" i="25" s="1"/>
  <c r="Z51" i="20"/>
  <c r="P211" i="20"/>
  <c r="P85" i="25"/>
  <c r="Z86" i="20"/>
  <c r="I87" i="20"/>
  <c r="O212" i="25"/>
  <c r="AG214" i="20"/>
  <c r="W212" i="25" s="1"/>
  <c r="X214" i="20"/>
  <c r="N212" i="25" s="1"/>
  <c r="AA214" i="20"/>
  <c r="I82" i="20"/>
  <c r="O124" i="25"/>
  <c r="X126" i="20"/>
  <c r="N124" i="25" s="1"/>
  <c r="AA126" i="20"/>
  <c r="Q124" i="25" s="1"/>
  <c r="AG126" i="20"/>
  <c r="W124" i="25" s="1"/>
  <c r="I213" i="20"/>
  <c r="X221" i="20"/>
  <c r="N219" i="25" s="1"/>
  <c r="O67" i="20"/>
  <c r="V85" i="25"/>
  <c r="AF86" i="20"/>
  <c r="O87" i="20"/>
  <c r="P55" i="25"/>
  <c r="P49" i="25" s="1"/>
  <c r="I57" i="20"/>
  <c r="P90" i="25"/>
  <c r="I92" i="20"/>
  <c r="P111" i="25"/>
  <c r="I113" i="20"/>
  <c r="P136" i="25"/>
  <c r="I138" i="20"/>
  <c r="Y75" i="20"/>
  <c r="O74" i="25"/>
  <c r="X76" i="20"/>
  <c r="N74" i="25" s="1"/>
  <c r="AG76" i="20"/>
  <c r="AH76" i="20" s="1"/>
  <c r="AA76" i="20"/>
  <c r="AB76" i="20" s="1"/>
  <c r="AC76" i="20" s="1"/>
  <c r="Z63" i="20"/>
  <c r="P62" i="25"/>
  <c r="I64" i="20"/>
  <c r="Z75" i="20"/>
  <c r="P74" i="25"/>
  <c r="P73" i="25" s="1"/>
  <c r="V68" i="25"/>
  <c r="O70" i="20"/>
  <c r="V210" i="25"/>
  <c r="O212" i="20"/>
  <c r="O199" i="20"/>
  <c r="O146" i="25"/>
  <c r="X148" i="20"/>
  <c r="N146" i="25" s="1"/>
  <c r="AG148" i="20"/>
  <c r="W146" i="25" s="1"/>
  <c r="AA148" i="20"/>
  <c r="Q146" i="25" s="1"/>
  <c r="X118" i="20"/>
  <c r="N116" i="25" s="1"/>
  <c r="O116" i="25"/>
  <c r="H116" i="25" s="1"/>
  <c r="AA118" i="20"/>
  <c r="Q116" i="25" s="1"/>
  <c r="AG118" i="20"/>
  <c r="W116" i="25" s="1"/>
  <c r="O57" i="25"/>
  <c r="X59" i="20"/>
  <c r="N57" i="25" s="1"/>
  <c r="AG59" i="20"/>
  <c r="W57" i="25" s="1"/>
  <c r="AA59" i="20"/>
  <c r="Q57" i="25" s="1"/>
  <c r="V133" i="25"/>
  <c r="O135" i="20"/>
  <c r="O70" i="25"/>
  <c r="H70" i="25" s="1"/>
  <c r="X72" i="20"/>
  <c r="N70" i="25" s="1"/>
  <c r="AG72" i="20"/>
  <c r="W70" i="25" s="1"/>
  <c r="AA72" i="20"/>
  <c r="Q70" i="25" s="1"/>
  <c r="V86" i="25"/>
  <c r="O88" i="20"/>
  <c r="O99" i="25"/>
  <c r="AA115" i="20"/>
  <c r="O137" i="20"/>
  <c r="V54" i="25"/>
  <c r="O56" i="20"/>
  <c r="P219" i="25"/>
  <c r="P218" i="25" s="1"/>
  <c r="P116" i="25"/>
  <c r="I118" i="20"/>
  <c r="I68" i="20"/>
  <c r="V92" i="25"/>
  <c r="O94" i="20"/>
  <c r="V90" i="25"/>
  <c r="O92" i="20"/>
  <c r="O213" i="25"/>
  <c r="X215" i="20"/>
  <c r="N213" i="25" s="1"/>
  <c r="AG215" i="20"/>
  <c r="W213" i="25" s="1"/>
  <c r="AA215" i="20"/>
  <c r="Q213" i="25" s="1"/>
  <c r="O93" i="25"/>
  <c r="X95" i="20"/>
  <c r="N93" i="25" s="1"/>
  <c r="AA95" i="20"/>
  <c r="Q93" i="25" s="1"/>
  <c r="AG95" i="20"/>
  <c r="W93" i="25" s="1"/>
  <c r="X115" i="20"/>
  <c r="N113" i="25" s="1"/>
  <c r="Q209" i="25"/>
  <c r="Z208" i="20"/>
  <c r="AI105" i="20"/>
  <c r="Y103" i="25" s="1"/>
  <c r="Z226" i="20"/>
  <c r="AF220" i="20"/>
  <c r="I117" i="20"/>
  <c r="O137" i="25"/>
  <c r="X139" i="20"/>
  <c r="N137" i="25" s="1"/>
  <c r="AA139" i="20"/>
  <c r="Q137" i="25" s="1"/>
  <c r="AG139" i="20"/>
  <c r="W137" i="25" s="1"/>
  <c r="O85" i="25"/>
  <c r="Y86" i="20"/>
  <c r="X87" i="20"/>
  <c r="N85" i="25" s="1"/>
  <c r="AG87" i="20"/>
  <c r="AA87" i="20"/>
  <c r="AB87" i="20" s="1"/>
  <c r="O204" i="25"/>
  <c r="AA206" i="20"/>
  <c r="Q204" i="25" s="1"/>
  <c r="AG206" i="20"/>
  <c r="W204" i="25" s="1"/>
  <c r="X206" i="20"/>
  <c r="N204" i="25" s="1"/>
  <c r="O67" i="25"/>
  <c r="X69" i="20"/>
  <c r="N67" i="25" s="1"/>
  <c r="AG69" i="20"/>
  <c r="AA69" i="20"/>
  <c r="AB69" i="20" s="1"/>
  <c r="R67" i="25" s="1"/>
  <c r="O90" i="25"/>
  <c r="H90" i="25" s="1"/>
  <c r="X92" i="20"/>
  <c r="AA92" i="20"/>
  <c r="AB92" i="20" s="1"/>
  <c r="R90" i="25" s="1"/>
  <c r="AG92" i="20"/>
  <c r="P140" i="25"/>
  <c r="I142" i="20"/>
  <c r="P92" i="25"/>
  <c r="I94" i="20"/>
  <c r="AF64" i="20"/>
  <c r="X64" i="20" s="1"/>
  <c r="AN4" i="20"/>
  <c r="O89" i="25"/>
  <c r="X91" i="20"/>
  <c r="N89" i="25" s="1"/>
  <c r="AG91" i="20"/>
  <c r="AH91" i="20" s="1"/>
  <c r="AA91" i="20"/>
  <c r="V111" i="25"/>
  <c r="O113" i="20"/>
  <c r="O75" i="25"/>
  <c r="X77" i="20"/>
  <c r="N75" i="25" s="1"/>
  <c r="AA77" i="20"/>
  <c r="Q75" i="25" s="1"/>
  <c r="AG77" i="20"/>
  <c r="W75" i="25" s="1"/>
  <c r="O77" i="25"/>
  <c r="H77" i="25" s="1"/>
  <c r="X79" i="20"/>
  <c r="N77" i="25" s="1"/>
  <c r="AG79" i="20"/>
  <c r="W77" i="25" s="1"/>
  <c r="AA79" i="20"/>
  <c r="Q77" i="25" s="1"/>
  <c r="O197" i="25"/>
  <c r="X199" i="20"/>
  <c r="N197" i="25" s="1"/>
  <c r="Y198" i="20"/>
  <c r="AA199" i="20"/>
  <c r="AB199" i="20" s="1"/>
  <c r="AG199" i="20"/>
  <c r="AH199" i="20" s="1"/>
  <c r="O136" i="25"/>
  <c r="H136" i="25" s="1"/>
  <c r="X138" i="20"/>
  <c r="N136" i="25" s="1"/>
  <c r="AA138" i="20"/>
  <c r="Q136" i="25" s="1"/>
  <c r="AG138" i="20"/>
  <c r="W136" i="25" s="1"/>
  <c r="O68" i="25"/>
  <c r="H68" i="25" s="1"/>
  <c r="X70" i="20"/>
  <c r="AG70" i="20"/>
  <c r="AA70" i="20"/>
  <c r="X141" i="20"/>
  <c r="N139" i="25" s="1"/>
  <c r="O139" i="25"/>
  <c r="H139" i="25" s="1"/>
  <c r="AG141" i="20"/>
  <c r="AA141" i="20"/>
  <c r="AB141" i="20" s="1"/>
  <c r="R139" i="25" s="1"/>
  <c r="O62" i="25"/>
  <c r="Y63" i="20"/>
  <c r="AG64" i="20"/>
  <c r="AA64" i="20"/>
  <c r="O220" i="25"/>
  <c r="X222" i="20"/>
  <c r="N220" i="25" s="1"/>
  <c r="AA222" i="20"/>
  <c r="AG222" i="20"/>
  <c r="P222" i="20" s="1"/>
  <c r="V69" i="25"/>
  <c r="O71" i="20"/>
  <c r="O221" i="25"/>
  <c r="X223" i="20"/>
  <c r="N221" i="25" s="1"/>
  <c r="AG223" i="20"/>
  <c r="AA223" i="20"/>
  <c r="X129" i="20"/>
  <c r="N127" i="25" s="1"/>
  <c r="O127" i="25"/>
  <c r="AG129" i="20"/>
  <c r="W127" i="25" s="1"/>
  <c r="AA129" i="20"/>
  <c r="Q127" i="25" s="1"/>
  <c r="O128" i="25"/>
  <c r="X130" i="20"/>
  <c r="N128" i="25" s="1"/>
  <c r="AA130" i="20"/>
  <c r="Q128" i="25" s="1"/>
  <c r="AG130" i="20"/>
  <c r="W128" i="25" s="1"/>
  <c r="O110" i="25"/>
  <c r="H110" i="25" s="1"/>
  <c r="X112" i="20"/>
  <c r="AG112" i="20"/>
  <c r="AH112" i="20" s="1"/>
  <c r="X110" i="25" s="1"/>
  <c r="AA112" i="20"/>
  <c r="O117" i="25"/>
  <c r="X119" i="20"/>
  <c r="N117" i="25" s="1"/>
  <c r="AG119" i="20"/>
  <c r="AH119" i="20" s="1"/>
  <c r="X117" i="25" s="1"/>
  <c r="AA119" i="20"/>
  <c r="X147" i="20"/>
  <c r="N145" i="25" s="1"/>
  <c r="AG147" i="20"/>
  <c r="W145" i="25" s="1"/>
  <c r="O145" i="25"/>
  <c r="AA147" i="20"/>
  <c r="Q145" i="25" s="1"/>
  <c r="P202" i="25"/>
  <c r="P201" i="25" s="1"/>
  <c r="Z203" i="20"/>
  <c r="V70" i="25"/>
  <c r="O72" i="20"/>
  <c r="O54" i="25"/>
  <c r="X56" i="20"/>
  <c r="AA56" i="20"/>
  <c r="Q54" i="25" s="1"/>
  <c r="AG56" i="20"/>
  <c r="W54" i="25" s="1"/>
  <c r="O112" i="25"/>
  <c r="X114" i="20"/>
  <c r="N112" i="25" s="1"/>
  <c r="AA114" i="20"/>
  <c r="Q112" i="25" s="1"/>
  <c r="AG114" i="20"/>
  <c r="W112" i="25" s="1"/>
  <c r="O78" i="25"/>
  <c r="X80" i="20"/>
  <c r="N78" i="25" s="1"/>
  <c r="AG80" i="20"/>
  <c r="W78" i="25" s="1"/>
  <c r="AA80" i="20"/>
  <c r="Q78" i="25" s="1"/>
  <c r="I204" i="20"/>
  <c r="P138" i="25"/>
  <c r="I140" i="20"/>
  <c r="P112" i="25"/>
  <c r="I114" i="20"/>
  <c r="O65" i="25"/>
  <c r="H65" i="25" s="1"/>
  <c r="X67" i="20"/>
  <c r="N65" i="25" s="1"/>
  <c r="AA67" i="20"/>
  <c r="AB67" i="20" s="1"/>
  <c r="AG67" i="20"/>
  <c r="AH67" i="20" s="1"/>
  <c r="P86" i="25"/>
  <c r="I88" i="20"/>
  <c r="O211" i="25"/>
  <c r="H211" i="25" s="1"/>
  <c r="X213" i="20"/>
  <c r="AG213" i="20"/>
  <c r="AH213" i="20" s="1"/>
  <c r="AA213" i="20"/>
  <c r="AB213" i="20" s="1"/>
  <c r="O86" i="25"/>
  <c r="X88" i="20"/>
  <c r="N86" i="25" s="1"/>
  <c r="AA88" i="20"/>
  <c r="Q86" i="25" s="1"/>
  <c r="AG88" i="20"/>
  <c r="W86" i="25" s="1"/>
  <c r="O88" i="25"/>
  <c r="H88" i="25" s="1"/>
  <c r="X90" i="20"/>
  <c r="N88" i="25" s="1"/>
  <c r="AG90" i="20"/>
  <c r="W88" i="25" s="1"/>
  <c r="AA90" i="20"/>
  <c r="Q88" i="25" s="1"/>
  <c r="H209" i="25"/>
  <c r="O90" i="20"/>
  <c r="O59" i="20"/>
  <c r="O76" i="20"/>
  <c r="O207" i="25"/>
  <c r="X209" i="20"/>
  <c r="N207" i="25" s="1"/>
  <c r="AA209" i="20"/>
  <c r="J209" i="20" s="1"/>
  <c r="AG209" i="20"/>
  <c r="J211" i="20"/>
  <c r="W209" i="25"/>
  <c r="AH107" i="20"/>
  <c r="AI107" i="20" s="1"/>
  <c r="AA210" i="20"/>
  <c r="Q208" i="25" s="1"/>
  <c r="X103" i="20"/>
  <c r="N101" i="25" s="1"/>
  <c r="AS5" i="20"/>
  <c r="AR49" i="20"/>
  <c r="AR5" i="20" s="1"/>
  <c r="O55" i="25"/>
  <c r="X57" i="20"/>
  <c r="N55" i="25" s="1"/>
  <c r="AA57" i="20"/>
  <c r="Q55" i="25" s="1"/>
  <c r="AG57" i="20"/>
  <c r="W55" i="25" s="1"/>
  <c r="O140" i="25"/>
  <c r="X142" i="20"/>
  <c r="AG142" i="20"/>
  <c r="AH142" i="20" s="1"/>
  <c r="AA142" i="20"/>
  <c r="AB142" i="20" s="1"/>
  <c r="R140" i="25" s="1"/>
  <c r="X94" i="20"/>
  <c r="X113" i="20"/>
  <c r="N111" i="25" s="1"/>
  <c r="O111" i="25"/>
  <c r="AA113" i="20"/>
  <c r="Q111" i="25" s="1"/>
  <c r="AG113" i="20"/>
  <c r="W111" i="25" s="1"/>
  <c r="P197" i="25"/>
  <c r="P196" i="25" s="1"/>
  <c r="Z198" i="20"/>
  <c r="V136" i="25"/>
  <c r="O138" i="20"/>
  <c r="O131" i="25"/>
  <c r="X133" i="20"/>
  <c r="N131" i="25" s="1"/>
  <c r="AA133" i="20"/>
  <c r="AB133" i="20" s="1"/>
  <c r="AG133" i="20"/>
  <c r="Y132" i="20"/>
  <c r="P68" i="25"/>
  <c r="I70" i="20"/>
  <c r="P139" i="25"/>
  <c r="I141" i="20"/>
  <c r="P69" i="25"/>
  <c r="I71" i="20"/>
  <c r="V120" i="25"/>
  <c r="V119" i="25" s="1"/>
  <c r="AF121" i="20"/>
  <c r="O132" i="25"/>
  <c r="X134" i="20"/>
  <c r="N132" i="25" s="1"/>
  <c r="AG134" i="20"/>
  <c r="W132" i="25" s="1"/>
  <c r="AA134" i="20"/>
  <c r="Q132" i="25" s="1"/>
  <c r="P63" i="25"/>
  <c r="I65" i="20"/>
  <c r="V202" i="25"/>
  <c r="V201" i="25" s="1"/>
  <c r="AF203" i="20"/>
  <c r="O135" i="25"/>
  <c r="X137" i="20"/>
  <c r="N135" i="25" s="1"/>
  <c r="AG137" i="20"/>
  <c r="W135" i="25" s="1"/>
  <c r="AA137" i="20"/>
  <c r="Q135" i="25" s="1"/>
  <c r="W214" i="25"/>
  <c r="AH216" i="20"/>
  <c r="X214" i="25" s="1"/>
  <c r="V110" i="25"/>
  <c r="O112" i="20"/>
  <c r="P120" i="25"/>
  <c r="P119" i="25" s="1"/>
  <c r="Z121" i="20"/>
  <c r="AG101" i="20"/>
  <c r="AH101" i="20" s="1"/>
  <c r="O217" i="20"/>
  <c r="O202" i="25"/>
  <c r="X204" i="20"/>
  <c r="N202" i="25" s="1"/>
  <c r="AA204" i="20"/>
  <c r="AG204" i="20"/>
  <c r="O138" i="25"/>
  <c r="X140" i="20"/>
  <c r="N138" i="25" s="1"/>
  <c r="AA140" i="20"/>
  <c r="Q138" i="25" s="1"/>
  <c r="AG140" i="20"/>
  <c r="W138" i="25" s="1"/>
  <c r="P110" i="25"/>
  <c r="I112" i="20"/>
  <c r="P97" i="25"/>
  <c r="P96" i="25" s="1"/>
  <c r="Z98" i="20"/>
  <c r="P113" i="25"/>
  <c r="I115" i="20"/>
  <c r="AH211" i="20"/>
  <c r="X209" i="25" s="1"/>
  <c r="V211" i="25"/>
  <c r="O213" i="20"/>
  <c r="X116" i="20"/>
  <c r="N114" i="25" s="1"/>
  <c r="I106" i="20"/>
  <c r="O80" i="25"/>
  <c r="H80" i="25" s="1"/>
  <c r="X82" i="20"/>
  <c r="N80" i="25" s="1"/>
  <c r="AA82" i="20"/>
  <c r="Q80" i="25" s="1"/>
  <c r="AG82" i="20"/>
  <c r="W80" i="25" s="1"/>
  <c r="O198" i="25"/>
  <c r="X200" i="20"/>
  <c r="N198" i="25" s="1"/>
  <c r="AG200" i="20"/>
  <c r="W198" i="25" s="1"/>
  <c r="AA200" i="20"/>
  <c r="Q198" i="25" s="1"/>
  <c r="P70" i="25"/>
  <c r="I72" i="20"/>
  <c r="O66" i="25"/>
  <c r="X68" i="20"/>
  <c r="N66" i="25" s="1"/>
  <c r="AA68" i="20"/>
  <c r="AB68" i="20" s="1"/>
  <c r="AG68" i="20"/>
  <c r="AH68" i="20" s="1"/>
  <c r="X66" i="25" s="1"/>
  <c r="AA99" i="20"/>
  <c r="Q97" i="25" s="1"/>
  <c r="O97" i="25"/>
  <c r="X99" i="20"/>
  <c r="N97" i="25" s="1"/>
  <c r="AG99" i="20"/>
  <c r="W97" i="25" s="1"/>
  <c r="V50" i="25"/>
  <c r="AF51" i="20"/>
  <c r="AM4" i="20"/>
  <c r="AG115" i="20"/>
  <c r="X210" i="20"/>
  <c r="N208" i="25" s="1"/>
  <c r="I56" i="20"/>
  <c r="V113" i="25"/>
  <c r="O115" i="20"/>
  <c r="AC94" i="20"/>
  <c r="S92" i="25" s="1"/>
  <c r="O71" i="25"/>
  <c r="X73" i="20"/>
  <c r="N71" i="25" s="1"/>
  <c r="AG73" i="20"/>
  <c r="W71" i="25" s="1"/>
  <c r="AA73" i="20"/>
  <c r="Q71" i="25" s="1"/>
  <c r="Y203" i="20"/>
  <c r="O203" i="25"/>
  <c r="H203" i="25" s="1"/>
  <c r="X205" i="20"/>
  <c r="AG205" i="20"/>
  <c r="AH205" i="20" s="1"/>
  <c r="AA205" i="20"/>
  <c r="AB205" i="20" s="1"/>
  <c r="O102" i="25"/>
  <c r="H102" i="25" s="1"/>
  <c r="X104" i="20"/>
  <c r="N102" i="25" s="1"/>
  <c r="AG104" i="20"/>
  <c r="W102" i="25" s="1"/>
  <c r="AA104" i="20"/>
  <c r="Q102" i="25" s="1"/>
  <c r="V140" i="25"/>
  <c r="O142" i="20"/>
  <c r="V134" i="25"/>
  <c r="O136" i="20"/>
  <c r="O126" i="25"/>
  <c r="X128" i="20"/>
  <c r="N126" i="25" s="1"/>
  <c r="AG128" i="20"/>
  <c r="W126" i="25" s="1"/>
  <c r="AA128" i="20"/>
  <c r="Q126" i="25" s="1"/>
  <c r="P131" i="25"/>
  <c r="Z132" i="20"/>
  <c r="V139" i="25"/>
  <c r="O141" i="20"/>
  <c r="O227" i="25"/>
  <c r="H227" i="25" s="1"/>
  <c r="AG229" i="20"/>
  <c r="AH229" i="20" s="1"/>
  <c r="AI229" i="20" s="1"/>
  <c r="Y227" i="25" s="1"/>
  <c r="AA229" i="20"/>
  <c r="Q227" i="25" s="1"/>
  <c r="X110" i="20"/>
  <c r="N108" i="25" s="1"/>
  <c r="O108" i="25"/>
  <c r="H108" i="25" s="1"/>
  <c r="AA110" i="20"/>
  <c r="J110" i="20" s="1"/>
  <c r="AG110" i="20"/>
  <c r="W108" i="25" s="1"/>
  <c r="O69" i="25"/>
  <c r="X71" i="20"/>
  <c r="AA71" i="20"/>
  <c r="AG71" i="20"/>
  <c r="AH71" i="20" s="1"/>
  <c r="X69" i="25" s="1"/>
  <c r="AG210" i="20"/>
  <c r="W208" i="25" s="1"/>
  <c r="I107" i="20"/>
  <c r="I80" i="20"/>
  <c r="P143" i="25"/>
  <c r="P142" i="25" s="1"/>
  <c r="Z144" i="20"/>
  <c r="X229" i="25"/>
  <c r="AI231" i="20"/>
  <c r="O199" i="25"/>
  <c r="X201" i="20"/>
  <c r="N199" i="25" s="1"/>
  <c r="AG201" i="20"/>
  <c r="W199" i="25" s="1"/>
  <c r="AA201" i="20"/>
  <c r="Q199" i="25" s="1"/>
  <c r="X127" i="20"/>
  <c r="N125" i="25" s="1"/>
  <c r="O125" i="25"/>
  <c r="AG127" i="20"/>
  <c r="W125" i="25" s="1"/>
  <c r="AA127" i="20"/>
  <c r="Q125" i="25" s="1"/>
  <c r="X135" i="20"/>
  <c r="O133" i="25"/>
  <c r="AG135" i="20"/>
  <c r="AA135" i="20"/>
  <c r="X89" i="20"/>
  <c r="N87" i="25" s="1"/>
  <c r="O87" i="25"/>
  <c r="H87" i="25" s="1"/>
  <c r="AA89" i="20"/>
  <c r="AB89" i="20" s="1"/>
  <c r="R87" i="25" s="1"/>
  <c r="AG89" i="20"/>
  <c r="AH89" i="20" s="1"/>
  <c r="O134" i="25"/>
  <c r="X136" i="20"/>
  <c r="AA136" i="20"/>
  <c r="AG136" i="20"/>
  <c r="AH136" i="20" s="1"/>
  <c r="V58" i="25"/>
  <c r="O60" i="20"/>
  <c r="O81" i="25"/>
  <c r="X83" i="20"/>
  <c r="N81" i="25" s="1"/>
  <c r="AA83" i="20"/>
  <c r="Q81" i="25" s="1"/>
  <c r="AG83" i="20"/>
  <c r="W81" i="25" s="1"/>
  <c r="O123" i="25"/>
  <c r="X125" i="20"/>
  <c r="N123" i="25" s="1"/>
  <c r="AA125" i="20"/>
  <c r="Q123" i="25" s="1"/>
  <c r="AG125" i="20"/>
  <c r="W123" i="25" s="1"/>
  <c r="O122" i="25"/>
  <c r="X124" i="20"/>
  <c r="N122" i="25" s="1"/>
  <c r="AA124" i="20"/>
  <c r="Q122" i="25" s="1"/>
  <c r="AG124" i="20"/>
  <c r="W122" i="25" s="1"/>
  <c r="O109" i="25"/>
  <c r="H109" i="25" s="1"/>
  <c r="X111" i="20"/>
  <c r="N109" i="25" s="1"/>
  <c r="AA111" i="20"/>
  <c r="Q109" i="25" s="1"/>
  <c r="AG111" i="20"/>
  <c r="W109" i="25" s="1"/>
  <c r="X217" i="20"/>
  <c r="N215" i="25" s="1"/>
  <c r="O215" i="25"/>
  <c r="AG217" i="20"/>
  <c r="W215" i="25" s="1"/>
  <c r="AA217" i="20"/>
  <c r="Q215" i="25" s="1"/>
  <c r="X81" i="20"/>
  <c r="N79" i="25" s="1"/>
  <c r="O79" i="25"/>
  <c r="AG81" i="20"/>
  <c r="W79" i="25" s="1"/>
  <c r="AA81" i="20"/>
  <c r="Q79" i="25" s="1"/>
  <c r="O76" i="25"/>
  <c r="X78" i="20"/>
  <c r="N76" i="25" s="1"/>
  <c r="AG78" i="20"/>
  <c r="W76" i="25" s="1"/>
  <c r="AA78" i="20"/>
  <c r="Q76" i="25" s="1"/>
  <c r="O64" i="25"/>
  <c r="X66" i="20"/>
  <c r="N64" i="25" s="1"/>
  <c r="AG66" i="20"/>
  <c r="W64" i="25" s="1"/>
  <c r="AA66" i="20"/>
  <c r="Q64" i="25" s="1"/>
  <c r="Y51" i="20"/>
  <c r="X107" i="20"/>
  <c r="N105" i="25" s="1"/>
  <c r="I95" i="20"/>
  <c r="O103" i="20"/>
  <c r="O95" i="20"/>
  <c r="O118" i="20"/>
  <c r="O65" i="20"/>
  <c r="I78" i="20"/>
  <c r="O143" i="25"/>
  <c r="AA145" i="20"/>
  <c r="AG145" i="20"/>
  <c r="AH145" i="20" s="1"/>
  <c r="X143" i="25" s="1"/>
  <c r="Y144" i="20"/>
  <c r="O82" i="25"/>
  <c r="X84" i="20"/>
  <c r="N82" i="25" s="1"/>
  <c r="AG84" i="20"/>
  <c r="W82" i="25" s="1"/>
  <c r="AA84" i="20"/>
  <c r="Q82" i="25" s="1"/>
  <c r="AY5" i="20"/>
  <c r="AX49" i="20"/>
  <c r="AX5" i="20" s="1"/>
  <c r="O222" i="25"/>
  <c r="X224" i="20"/>
  <c r="N222" i="25" s="1"/>
  <c r="AA224" i="20"/>
  <c r="AG224" i="20"/>
  <c r="W222" i="25" s="1"/>
  <c r="P133" i="25"/>
  <c r="I135" i="20"/>
  <c r="Y220" i="20"/>
  <c r="P134" i="25"/>
  <c r="I136" i="20"/>
  <c r="O58" i="25"/>
  <c r="H58" i="25" s="1"/>
  <c r="X60" i="20"/>
  <c r="AG60" i="20"/>
  <c r="AH60" i="20" s="1"/>
  <c r="AI60" i="20" s="1"/>
  <c r="AA60" i="20"/>
  <c r="AB60" i="20" s="1"/>
  <c r="AC60" i="20" s="1"/>
  <c r="X122" i="20"/>
  <c r="N120" i="25" s="1"/>
  <c r="O120" i="25"/>
  <c r="Y121" i="20"/>
  <c r="AA122" i="20"/>
  <c r="AG122" i="20"/>
  <c r="O121" i="25"/>
  <c r="X123" i="20"/>
  <c r="N121" i="25" s="1"/>
  <c r="AG123" i="20"/>
  <c r="W121" i="25" s="1"/>
  <c r="AA123" i="20"/>
  <c r="Q121" i="25" s="1"/>
  <c r="X212" i="20"/>
  <c r="N210" i="25" s="1"/>
  <c r="AA212" i="20"/>
  <c r="Q210" i="25" s="1"/>
  <c r="O210" i="25"/>
  <c r="AG212" i="20"/>
  <c r="Z109" i="20"/>
  <c r="P108" i="25"/>
  <c r="I110" i="20"/>
  <c r="O63" i="25"/>
  <c r="H63" i="25" s="1"/>
  <c r="X65" i="20"/>
  <c r="AG65" i="20"/>
  <c r="AH65" i="20" s="1"/>
  <c r="X63" i="25" s="1"/>
  <c r="AA65" i="20"/>
  <c r="O147" i="20"/>
  <c r="V145" i="25"/>
  <c r="BR171" i="20"/>
  <c r="BS171" i="20" s="1"/>
  <c r="AO77" i="25"/>
  <c r="BQ172" i="20"/>
  <c r="AF170" i="25"/>
  <c r="H170" i="25" s="1"/>
  <c r="BK172" i="20"/>
  <c r="BH172" i="20"/>
  <c r="AG170" i="25"/>
  <c r="I172" i="20"/>
  <c r="BI170" i="20"/>
  <c r="AH54" i="25"/>
  <c r="AG221" i="25"/>
  <c r="AG218" i="25" s="1"/>
  <c r="BJ220" i="20"/>
  <c r="I223" i="20"/>
  <c r="I151" i="20"/>
  <c r="BJ150" i="20"/>
  <c r="AG148" i="25" s="1"/>
  <c r="AG149" i="25"/>
  <c r="BR223" i="20"/>
  <c r="BS223" i="20" s="1"/>
  <c r="AP221" i="25" s="1"/>
  <c r="AN221" i="25"/>
  <c r="BP4" i="20"/>
  <c r="O223" i="20"/>
  <c r="AN55" i="25"/>
  <c r="BR57" i="20"/>
  <c r="BS57" i="20" s="1"/>
  <c r="BS79" i="20"/>
  <c r="AP77" i="25" s="1"/>
  <c r="BT211" i="20"/>
  <c r="AQ209" i="25" s="1"/>
  <c r="AP209" i="25"/>
  <c r="AM149" i="25"/>
  <c r="O151" i="20"/>
  <c r="BT214" i="20"/>
  <c r="AQ212" i="25" s="1"/>
  <c r="BM223" i="20"/>
  <c r="BM56" i="20"/>
  <c r="BN56" i="20" s="1"/>
  <c r="AI54" i="25"/>
  <c r="BN209" i="20"/>
  <c r="AK207" i="25" s="1"/>
  <c r="BH223" i="20"/>
  <c r="AE221" i="25" s="1"/>
  <c r="BI150" i="20"/>
  <c r="AF149" i="25"/>
  <c r="BH151" i="20"/>
  <c r="BQ151" i="20"/>
  <c r="BK151" i="20"/>
  <c r="BL151" i="20" s="1"/>
  <c r="BL103" i="20"/>
  <c r="AI101" i="25" s="1"/>
  <c r="BM94" i="20"/>
  <c r="AJ92" i="25" s="1"/>
  <c r="BL91" i="20"/>
  <c r="AI89" i="25" s="1"/>
  <c r="BJ4" i="20"/>
  <c r="AM221" i="25"/>
  <c r="AM218" i="25" s="1"/>
  <c r="BM67" i="20"/>
  <c r="BN67" i="20" s="1"/>
  <c r="AK65" i="25" s="1"/>
  <c r="AP208" i="25"/>
  <c r="BT210" i="20"/>
  <c r="AQ208" i="25" s="1"/>
  <c r="BM171" i="20"/>
  <c r="BN171" i="20" s="1"/>
  <c r="BJ170" i="20"/>
  <c r="O172" i="20"/>
  <c r="AM170" i="25"/>
  <c r="AE50" i="25"/>
  <c r="I206" i="20"/>
  <c r="O82" i="20"/>
  <c r="EB224" i="20"/>
  <c r="BM222" i="25" s="1"/>
  <c r="I199" i="20"/>
  <c r="EF101" i="20"/>
  <c r="BQ99" i="25" s="1"/>
  <c r="I216" i="20"/>
  <c r="EB216" i="20"/>
  <c r="BM214" i="25" s="1"/>
  <c r="O127" i="20"/>
  <c r="I102" i="20"/>
  <c r="ED203" i="20"/>
  <c r="EH82" i="20"/>
  <c r="EH128" i="20" s="1"/>
  <c r="BS126" i="25" s="1"/>
  <c r="BV99" i="25"/>
  <c r="I101" i="20"/>
  <c r="O125" i="20"/>
  <c r="O128" i="20"/>
  <c r="I217" i="20"/>
  <c r="BV98" i="25"/>
  <c r="BO213" i="25"/>
  <c r="EG102" i="20"/>
  <c r="BR100" i="25" s="1"/>
  <c r="I128" i="20"/>
  <c r="EB222" i="20"/>
  <c r="BM220" i="25" s="1"/>
  <c r="EJ220" i="20"/>
  <c r="O222" i="20"/>
  <c r="BN220" i="25"/>
  <c r="EC144" i="20"/>
  <c r="EB144" i="20" s="1"/>
  <c r="BO201" i="25"/>
  <c r="BU104" i="25"/>
  <c r="O106" i="20"/>
  <c r="EM106" i="20"/>
  <c r="BX104" i="25" s="1"/>
  <c r="EF106" i="20"/>
  <c r="BQ104" i="25" s="1"/>
  <c r="O221" i="20"/>
  <c r="BU218" i="25"/>
  <c r="BU99" i="25"/>
  <c r="O101" i="20"/>
  <c r="EC75" i="20"/>
  <c r="EC121" i="20" s="1"/>
  <c r="ED144" i="20"/>
  <c r="BO103" i="25"/>
  <c r="I105" i="20"/>
  <c r="O126" i="20"/>
  <c r="BU103" i="25"/>
  <c r="O105" i="20"/>
  <c r="BN103" i="25"/>
  <c r="EE105" i="20"/>
  <c r="EB105" i="20"/>
  <c r="BM103" i="25" s="1"/>
  <c r="EK105" i="20"/>
  <c r="EG218" i="20"/>
  <c r="EF79" i="20"/>
  <c r="EG79" i="20" s="1"/>
  <c r="I231" i="20"/>
  <c r="BU121" i="25"/>
  <c r="O123" i="20"/>
  <c r="EL107" i="20"/>
  <c r="EJ122" i="20"/>
  <c r="O122" i="20" s="1"/>
  <c r="BO146" i="25"/>
  <c r="I148" i="20"/>
  <c r="BQ143" i="25"/>
  <c r="EG145" i="20"/>
  <c r="BR143" i="25" s="1"/>
  <c r="BW77" i="25"/>
  <c r="BO97" i="25"/>
  <c r="I99" i="20"/>
  <c r="ED98" i="20"/>
  <c r="EK78" i="20"/>
  <c r="EE78" i="20"/>
  <c r="EF78" i="20" s="1"/>
  <c r="BU81" i="25"/>
  <c r="O83" i="20"/>
  <c r="BO208" i="25"/>
  <c r="I210" i="20"/>
  <c r="EK214" i="20"/>
  <c r="EL214" i="20" s="1"/>
  <c r="EE214" i="20"/>
  <c r="EF214" i="20" s="1"/>
  <c r="EF229" i="20"/>
  <c r="BQ227" i="25" s="1"/>
  <c r="EF216" i="20"/>
  <c r="BP214" i="25"/>
  <c r="EL82" i="20"/>
  <c r="BW80" i="25" s="1"/>
  <c r="BU127" i="25"/>
  <c r="O129" i="20"/>
  <c r="EE99" i="20"/>
  <c r="EF99" i="20" s="1"/>
  <c r="EK99" i="20"/>
  <c r="BV97" i="25" s="1"/>
  <c r="BU229" i="25"/>
  <c r="O231" i="20"/>
  <c r="BU207" i="25"/>
  <c r="O209" i="20"/>
  <c r="EJ208" i="20"/>
  <c r="EB209" i="20"/>
  <c r="BM207" i="25" s="1"/>
  <c r="BU198" i="25"/>
  <c r="O200" i="20"/>
  <c r="EL229" i="20"/>
  <c r="BV227" i="25"/>
  <c r="BV214" i="25"/>
  <c r="P216" i="20"/>
  <c r="EL216" i="20"/>
  <c r="EM216" i="20" s="1"/>
  <c r="BQ80" i="25"/>
  <c r="EF128" i="20"/>
  <c r="BQ126" i="25" s="1"/>
  <c r="EF204" i="20"/>
  <c r="EG204" i="20" s="1"/>
  <c r="BP202" i="25"/>
  <c r="BN219" i="25"/>
  <c r="EC220" i="20"/>
  <c r="EE221" i="20"/>
  <c r="EF221" i="20" s="1"/>
  <c r="EK221" i="20"/>
  <c r="EL221" i="20" s="1"/>
  <c r="EB221" i="20"/>
  <c r="BM219" i="25" s="1"/>
  <c r="BU97" i="25"/>
  <c r="O99" i="20"/>
  <c r="EJ98" i="20"/>
  <c r="BN229" i="25"/>
  <c r="EB231" i="20"/>
  <c r="EE231" i="20"/>
  <c r="EF231" i="20" s="1"/>
  <c r="EK231" i="20"/>
  <c r="BU76" i="25"/>
  <c r="O78" i="20"/>
  <c r="BO207" i="25"/>
  <c r="I209" i="20"/>
  <c r="ED208" i="20"/>
  <c r="BO198" i="25"/>
  <c r="I200" i="20"/>
  <c r="BU199" i="25"/>
  <c r="O201" i="20"/>
  <c r="EL204" i="20"/>
  <c r="BV202" i="25"/>
  <c r="EK128" i="20"/>
  <c r="BV126" i="25" s="1"/>
  <c r="BO225" i="25"/>
  <c r="I227" i="20"/>
  <c r="ED226" i="20"/>
  <c r="BO228" i="25"/>
  <c r="I230" i="20"/>
  <c r="BU75" i="25"/>
  <c r="O77" i="20"/>
  <c r="EK200" i="20"/>
  <c r="EL200" i="20" s="1"/>
  <c r="EE200" i="20"/>
  <c r="BU128" i="25"/>
  <c r="O130" i="20"/>
  <c r="BO199" i="25"/>
  <c r="I201" i="20"/>
  <c r="BM202" i="25"/>
  <c r="BP146" i="25"/>
  <c r="EF148" i="20"/>
  <c r="BU225" i="25"/>
  <c r="EJ226" i="20"/>
  <c r="O227" i="20"/>
  <c r="BU228" i="25"/>
  <c r="O230" i="20"/>
  <c r="BN215" i="25"/>
  <c r="EK217" i="20"/>
  <c r="EL217" i="20" s="1"/>
  <c r="EM217" i="20" s="1"/>
  <c r="EB217" i="20"/>
  <c r="EE217" i="20"/>
  <c r="ED198" i="20"/>
  <c r="BU82" i="25"/>
  <c r="O84" i="20"/>
  <c r="BU213" i="25"/>
  <c r="O215" i="20"/>
  <c r="EE201" i="20"/>
  <c r="EF201" i="20" s="1"/>
  <c r="EK201" i="20"/>
  <c r="EL201" i="20" s="1"/>
  <c r="EG128" i="20"/>
  <c r="BR126" i="25" s="1"/>
  <c r="BR80" i="25"/>
  <c r="EK80" i="20"/>
  <c r="EE80" i="20"/>
  <c r="EE76" i="20"/>
  <c r="EK76" i="20"/>
  <c r="BN225" i="25"/>
  <c r="H225" i="25" s="1"/>
  <c r="EK227" i="20"/>
  <c r="EL227" i="20" s="1"/>
  <c r="EB227" i="20"/>
  <c r="BM225" i="25" s="1"/>
  <c r="EE227" i="20"/>
  <c r="J227" i="20" s="1"/>
  <c r="EC226" i="20"/>
  <c r="EK230" i="20"/>
  <c r="EL230" i="20" s="1"/>
  <c r="EE230" i="20"/>
  <c r="EF230" i="20" s="1"/>
  <c r="EK77" i="20"/>
  <c r="EE77" i="20"/>
  <c r="EE84" i="20"/>
  <c r="EF84" i="20" s="1"/>
  <c r="EK84" i="20"/>
  <c r="EK215" i="20"/>
  <c r="EL215" i="20" s="1"/>
  <c r="EE215" i="20"/>
  <c r="EF215" i="20" s="1"/>
  <c r="EE199" i="20"/>
  <c r="EK199" i="20"/>
  <c r="EL199" i="20" s="1"/>
  <c r="BO145" i="25"/>
  <c r="I147" i="20"/>
  <c r="EP4" i="20"/>
  <c r="BU202" i="25"/>
  <c r="O204" i="20"/>
  <c r="EJ203" i="20"/>
  <c r="I76" i="20"/>
  <c r="EK83" i="20"/>
  <c r="EE83" i="20"/>
  <c r="EC208" i="20"/>
  <c r="EK210" i="20"/>
  <c r="EE210" i="20"/>
  <c r="EF210" i="20" s="1"/>
  <c r="BN144" i="25"/>
  <c r="EB146" i="20"/>
  <c r="EE146" i="20"/>
  <c r="EF146" i="20" s="1"/>
  <c r="EE81" i="20"/>
  <c r="EF81" i="20" s="1"/>
  <c r="EK81" i="20"/>
  <c r="EL81" i="20" s="1"/>
  <c r="BN145" i="25"/>
  <c r="EE147" i="20"/>
  <c r="EB147" i="20"/>
  <c r="BU204" i="25"/>
  <c r="O206" i="20"/>
  <c r="BV222" i="25"/>
  <c r="EL224" i="20"/>
  <c r="O80" i="20"/>
  <c r="BU122" i="25"/>
  <c r="O124" i="20"/>
  <c r="BU208" i="25"/>
  <c r="O210" i="20"/>
  <c r="BO144" i="25"/>
  <c r="I146" i="20"/>
  <c r="BU79" i="25"/>
  <c r="O81" i="20"/>
  <c r="BU212" i="25"/>
  <c r="O214" i="20"/>
  <c r="BN204" i="25"/>
  <c r="BN201" i="25" s="1"/>
  <c r="EE206" i="20"/>
  <c r="EF206" i="20" s="1"/>
  <c r="EB206" i="20"/>
  <c r="EK206" i="20"/>
  <c r="BV204" i="25" s="1"/>
  <c r="BP143" i="25"/>
  <c r="BN78" i="25"/>
  <c r="EB80" i="20"/>
  <c r="BM78" i="25" s="1"/>
  <c r="EC126" i="20"/>
  <c r="EK126" i="20" s="1"/>
  <c r="BV124" i="25" s="1"/>
  <c r="ED126" i="20"/>
  <c r="BO78" i="25"/>
  <c r="BN126" i="25"/>
  <c r="EB128" i="20"/>
  <c r="BM126" i="25" s="1"/>
  <c r="EC122" i="20"/>
  <c r="EK122" i="20" s="1"/>
  <c r="BV120" i="25" s="1"/>
  <c r="EB76" i="20"/>
  <c r="BM74" i="25" s="1"/>
  <c r="BN74" i="25"/>
  <c r="BO74" i="25"/>
  <c r="ED75" i="20"/>
  <c r="ED122" i="20"/>
  <c r="BU74" i="25"/>
  <c r="EJ75" i="20"/>
  <c r="BN97" i="25"/>
  <c r="EB99" i="20"/>
  <c r="BM97" i="25" s="1"/>
  <c r="BN228" i="25"/>
  <c r="EB230" i="20"/>
  <c r="BN76" i="25"/>
  <c r="EB78" i="20"/>
  <c r="EC124" i="20"/>
  <c r="BO76" i="25"/>
  <c r="ED124" i="20"/>
  <c r="BO77" i="25"/>
  <c r="ED125" i="20"/>
  <c r="BN81" i="25"/>
  <c r="EB83" i="20"/>
  <c r="BM81" i="25" s="1"/>
  <c r="EC129" i="20"/>
  <c r="EK129" i="20" s="1"/>
  <c r="BV127" i="25" s="1"/>
  <c r="BO81" i="25"/>
  <c r="ED129" i="20"/>
  <c r="BO75" i="25"/>
  <c r="ED123" i="20"/>
  <c r="BN75" i="25"/>
  <c r="EC123" i="20"/>
  <c r="EK123" i="20" s="1"/>
  <c r="BV121" i="25" s="1"/>
  <c r="EB77" i="20"/>
  <c r="BN208" i="25"/>
  <c r="H208" i="25" s="1"/>
  <c r="EB210" i="20"/>
  <c r="BM208" i="25" s="1"/>
  <c r="BN198" i="25"/>
  <c r="EB200" i="20"/>
  <c r="BN82" i="25"/>
  <c r="EC130" i="20"/>
  <c r="EB84" i="20"/>
  <c r="ED130" i="20"/>
  <c r="BO82" i="25"/>
  <c r="BN213" i="25"/>
  <c r="EB215" i="20"/>
  <c r="BN79" i="25"/>
  <c r="EB81" i="20"/>
  <c r="EC127" i="20"/>
  <c r="BO79" i="25"/>
  <c r="ED127" i="20"/>
  <c r="BN199" i="25"/>
  <c r="EB201" i="20"/>
  <c r="BN197" i="25"/>
  <c r="EB199" i="20"/>
  <c r="BM197" i="25" s="1"/>
  <c r="EC198" i="20"/>
  <c r="BU197" i="25"/>
  <c r="EJ198" i="20"/>
  <c r="BN212" i="25"/>
  <c r="EB214" i="20"/>
  <c r="AJ215" i="25"/>
  <c r="BM208" i="20"/>
  <c r="AI204" i="25"/>
  <c r="AI201" i="25" s="1"/>
  <c r="BL203" i="20"/>
  <c r="BI86" i="20"/>
  <c r="AG132" i="25"/>
  <c r="AG130" i="25" s="1"/>
  <c r="I134" i="20"/>
  <c r="BI186" i="20"/>
  <c r="AF185" i="25"/>
  <c r="H185" i="25" s="1"/>
  <c r="BQ187" i="20"/>
  <c r="BH187" i="20"/>
  <c r="BK187" i="20"/>
  <c r="BL187" i="20" s="1"/>
  <c r="AG71" i="25"/>
  <c r="I73" i="20"/>
  <c r="AH57" i="25"/>
  <c r="BN196" i="20"/>
  <c r="BQ96" i="20"/>
  <c r="BR96" i="20" s="1"/>
  <c r="AO94" i="25" s="1"/>
  <c r="AI65" i="25"/>
  <c r="AM132" i="25"/>
  <c r="O134" i="20"/>
  <c r="O187" i="20"/>
  <c r="AM185" i="25"/>
  <c r="BP186" i="20"/>
  <c r="AM184" i="25" s="1"/>
  <c r="AN169" i="25"/>
  <c r="P171" i="20"/>
  <c r="AQ213" i="25"/>
  <c r="BQ54" i="20"/>
  <c r="AF52" i="25"/>
  <c r="BK54" i="20"/>
  <c r="BL54" i="20" s="1"/>
  <c r="BH54" i="20"/>
  <c r="AG185" i="25"/>
  <c r="BJ186" i="20"/>
  <c r="AG184" i="25" s="1"/>
  <c r="I187" i="20"/>
  <c r="AN204" i="25"/>
  <c r="BR206" i="20"/>
  <c r="BQ203" i="20"/>
  <c r="BL128" i="20"/>
  <c r="BM128" i="20" s="1"/>
  <c r="BL90" i="20"/>
  <c r="AI88" i="25" s="1"/>
  <c r="BH96" i="20"/>
  <c r="AE94" i="25" s="1"/>
  <c r="AG193" i="25"/>
  <c r="I195" i="20"/>
  <c r="AN153" i="25"/>
  <c r="BR155" i="20"/>
  <c r="P155" i="20"/>
  <c r="AH219" i="25"/>
  <c r="AH218" i="25" s="1"/>
  <c r="AI169" i="25"/>
  <c r="K171" i="20"/>
  <c r="I54" i="20"/>
  <c r="AG52" i="25"/>
  <c r="AG49" i="25" s="1"/>
  <c r="BL221" i="20"/>
  <c r="BQ134" i="20"/>
  <c r="BR134" i="20" s="1"/>
  <c r="BS134" i="20" s="1"/>
  <c r="BK134" i="20"/>
  <c r="AF132" i="25"/>
  <c r="BH134" i="20"/>
  <c r="L196" i="20"/>
  <c r="BR90" i="20"/>
  <c r="AO88" i="25" s="1"/>
  <c r="BM123" i="20"/>
  <c r="AJ121" i="25" s="1"/>
  <c r="AF94" i="25"/>
  <c r="BP194" i="20"/>
  <c r="O195" i="20"/>
  <c r="AM193" i="25"/>
  <c r="J155" i="20"/>
  <c r="BS221" i="20"/>
  <c r="AP219" i="25" s="1"/>
  <c r="AN219" i="25"/>
  <c r="BL129" i="20"/>
  <c r="AH169" i="25"/>
  <c r="J171" i="20"/>
  <c r="BL126" i="20"/>
  <c r="AN165" i="25"/>
  <c r="P167" i="20"/>
  <c r="AM52" i="25"/>
  <c r="O54" i="20"/>
  <c r="BL68" i="20"/>
  <c r="AI66" i="25" s="1"/>
  <c r="BH188" i="20"/>
  <c r="AF186" i="25"/>
  <c r="H186" i="25" s="1"/>
  <c r="BQ188" i="20"/>
  <c r="BR188" i="20" s="1"/>
  <c r="BK188" i="20"/>
  <c r="BK195" i="20"/>
  <c r="BL195" i="20" s="1"/>
  <c r="AF193" i="25"/>
  <c r="H193" i="25" s="1"/>
  <c r="BQ195" i="20"/>
  <c r="BI194" i="20"/>
  <c r="BH195" i="20"/>
  <c r="BQ66" i="20"/>
  <c r="BK66" i="20"/>
  <c r="BL66" i="20" s="1"/>
  <c r="AF64" i="25"/>
  <c r="BH66" i="20"/>
  <c r="AM64" i="25"/>
  <c r="O66" i="20"/>
  <c r="BL115" i="20"/>
  <c r="AI113" i="25" s="1"/>
  <c r="AG119" i="25"/>
  <c r="BM127" i="20"/>
  <c r="BN127" i="20" s="1"/>
  <c r="BK96" i="20"/>
  <c r="I188" i="20"/>
  <c r="AG186" i="25"/>
  <c r="AG64" i="25"/>
  <c r="I66" i="20"/>
  <c r="BJ63" i="20"/>
  <c r="AI215" i="25"/>
  <c r="AI206" i="25" s="1"/>
  <c r="BN217" i="20"/>
  <c r="AK215" i="25" s="1"/>
  <c r="AN222" i="25"/>
  <c r="O192" i="20"/>
  <c r="AM190" i="25"/>
  <c r="AM71" i="25"/>
  <c r="O73" i="20"/>
  <c r="BR95" i="20"/>
  <c r="BI4" i="20"/>
  <c r="AM186" i="25"/>
  <c r="O188" i="20"/>
  <c r="BL59" i="20"/>
  <c r="AN127" i="25"/>
  <c r="BS129" i="20"/>
  <c r="AP127" i="25" s="1"/>
  <c r="AH204" i="25"/>
  <c r="BK203" i="20"/>
  <c r="BM206" i="20"/>
  <c r="AJ204" i="25" s="1"/>
  <c r="G171" i="20"/>
  <c r="H171" i="20" s="1"/>
  <c r="AE169" i="25"/>
  <c r="G169" i="25" s="1"/>
  <c r="I169" i="25" s="1"/>
  <c r="BJ190" i="20"/>
  <c r="I192" i="20"/>
  <c r="AG190" i="25"/>
  <c r="AF71" i="25"/>
  <c r="BH73" i="20"/>
  <c r="BQ73" i="20"/>
  <c r="BR73" i="20" s="1"/>
  <c r="BS73" i="20" s="1"/>
  <c r="BK73" i="20"/>
  <c r="AE117" i="25"/>
  <c r="AP137" i="25"/>
  <c r="AO126" i="25"/>
  <c r="BS128" i="20"/>
  <c r="BT128" i="20" s="1"/>
  <c r="AK63" i="25"/>
  <c r="AP63" i="25"/>
  <c r="AO125" i="25"/>
  <c r="BS192" i="20"/>
  <c r="AP190" i="25" s="1"/>
  <c r="BL95" i="20"/>
  <c r="AH51" i="25"/>
  <c r="AN51" i="25"/>
  <c r="AH126" i="25"/>
  <c r="BS127" i="20"/>
  <c r="BT127" i="20" s="1"/>
  <c r="AO128" i="25"/>
  <c r="BL199" i="20"/>
  <c r="BM199" i="20" s="1"/>
  <c r="AJ58" i="25"/>
  <c r="AH137" i="25"/>
  <c r="AK62" i="25"/>
  <c r="BT104" i="20"/>
  <c r="AQ102" i="25" s="1"/>
  <c r="BR117" i="20"/>
  <c r="AO115" i="25" s="1"/>
  <c r="BL182" i="20"/>
  <c r="AI180" i="25" s="1"/>
  <c r="AE89" i="25"/>
  <c r="BS53" i="20"/>
  <c r="AO137" i="25"/>
  <c r="AE66" i="25"/>
  <c r="BK158" i="20"/>
  <c r="AH156" i="25" s="1"/>
  <c r="BH158" i="20"/>
  <c r="AI121" i="25"/>
  <c r="AN197" i="25"/>
  <c r="BQ198" i="20"/>
  <c r="AI125" i="25"/>
  <c r="BR199" i="20"/>
  <c r="BS199" i="20" s="1"/>
  <c r="BT199" i="20" s="1"/>
  <c r="AG84" i="25"/>
  <c r="BS130" i="20"/>
  <c r="BT130" i="20" s="1"/>
  <c r="BM76" i="20"/>
  <c r="BN76" i="20" s="1"/>
  <c r="AK74" i="25" s="1"/>
  <c r="AH125" i="25"/>
  <c r="AE125" i="25"/>
  <c r="AQ58" i="25"/>
  <c r="BT110" i="20"/>
  <c r="AQ108" i="25" s="1"/>
  <c r="BL100" i="20"/>
  <c r="AI98" i="25" s="1"/>
  <c r="BR103" i="20"/>
  <c r="BM191" i="20"/>
  <c r="BN191" i="20" s="1"/>
  <c r="BR91" i="20"/>
  <c r="BS91" i="20" s="1"/>
  <c r="AP89" i="25" s="1"/>
  <c r="AI122" i="25"/>
  <c r="BT139" i="20"/>
  <c r="AQ122" i="25"/>
  <c r="AH121" i="25"/>
  <c r="BK121" i="20"/>
  <c r="BM124" i="20"/>
  <c r="BN124" i="20" s="1"/>
  <c r="BS102" i="20"/>
  <c r="AP100" i="25" s="1"/>
  <c r="BL192" i="20"/>
  <c r="BM192" i="20" s="1"/>
  <c r="AO63" i="25"/>
  <c r="BL53" i="20"/>
  <c r="AN137" i="25"/>
  <c r="AE137" i="25"/>
  <c r="AE126" i="25"/>
  <c r="BR68" i="20"/>
  <c r="AF196" i="25"/>
  <c r="AN125" i="25"/>
  <c r="AJ63" i="25"/>
  <c r="BR105" i="20"/>
  <c r="AO103" i="25" s="1"/>
  <c r="BL141" i="20"/>
  <c r="AI139" i="25" s="1"/>
  <c r="BL227" i="20"/>
  <c r="BM227" i="20" s="1"/>
  <c r="AJ225" i="25" s="1"/>
  <c r="AE87" i="25"/>
  <c r="AP58" i="25"/>
  <c r="BL139" i="20"/>
  <c r="AN126" i="25"/>
  <c r="AI128" i="25"/>
  <c r="BM130" i="20"/>
  <c r="BN130" i="20" s="1"/>
  <c r="BT65" i="20"/>
  <c r="AK58" i="25"/>
  <c r="AH197" i="25"/>
  <c r="BK198" i="20"/>
  <c r="BL69" i="20"/>
  <c r="AI67" i="25" s="1"/>
  <c r="BR179" i="20"/>
  <c r="BS179" i="20" s="1"/>
  <c r="AP177" i="25" s="1"/>
  <c r="AH189" i="25"/>
  <c r="J191" i="20"/>
  <c r="AQ181" i="25"/>
  <c r="S183" i="20"/>
  <c r="AN189" i="25"/>
  <c r="BQ190" i="20"/>
  <c r="P191" i="20"/>
  <c r="AO190" i="25"/>
  <c r="Q192" i="20"/>
  <c r="AP143" i="25"/>
  <c r="BS180" i="20"/>
  <c r="R180" i="20" s="1"/>
  <c r="R144" i="25"/>
  <c r="AC146" i="20"/>
  <c r="AN190" i="25"/>
  <c r="P192" i="20"/>
  <c r="AH190" i="25"/>
  <c r="J192" i="20"/>
  <c r="X144" i="25"/>
  <c r="AI146" i="20"/>
  <c r="AI189" i="25"/>
  <c r="K191" i="20"/>
  <c r="BR191" i="20"/>
  <c r="AO225" i="25"/>
  <c r="BS227" i="20"/>
  <c r="BT227" i="20" s="1"/>
  <c r="AN225" i="25"/>
  <c r="AN224" i="25" s="1"/>
  <c r="BQ226" i="20"/>
  <c r="AH225" i="25"/>
  <c r="BK226" i="20"/>
  <c r="BW221" i="25"/>
  <c r="EM223" i="20"/>
  <c r="EN223" i="20" s="1"/>
  <c r="R219" i="25"/>
  <c r="T219" i="25"/>
  <c r="S219" i="25"/>
  <c r="EH224" i="20"/>
  <c r="AZ210" i="25"/>
  <c r="DB211" i="20"/>
  <c r="DC211" i="20" s="1"/>
  <c r="BG209" i="25" s="1"/>
  <c r="BE209" i="25"/>
  <c r="AY207" i="25"/>
  <c r="DC212" i="20"/>
  <c r="BG210" i="25" s="1"/>
  <c r="BE210" i="25"/>
  <c r="AE206" i="25"/>
  <c r="CV209" i="20"/>
  <c r="BX207" i="25"/>
  <c r="AK209" i="25"/>
  <c r="EN209" i="20"/>
  <c r="CW213" i="20"/>
  <c r="CX213" i="20" s="1"/>
  <c r="AZ211" i="25"/>
  <c r="EM212" i="20"/>
  <c r="BX210" i="25" s="1"/>
  <c r="AY210" i="25"/>
  <c r="CW212" i="20"/>
  <c r="BQ203" i="25"/>
  <c r="EH205" i="20"/>
  <c r="BS203" i="25" s="1"/>
  <c r="CW205" i="20"/>
  <c r="CX205" i="20" s="1"/>
  <c r="AO136" i="25"/>
  <c r="Y59" i="25"/>
  <c r="AJ103" i="20"/>
  <c r="AZ85" i="25"/>
  <c r="BG70" i="25"/>
  <c r="DD72" i="20"/>
  <c r="BB90" i="25"/>
  <c r="AJ135" i="25"/>
  <c r="BN137" i="20"/>
  <c r="Y228" i="25"/>
  <c r="S105" i="25"/>
  <c r="AD107" i="20"/>
  <c r="BF88" i="25"/>
  <c r="DC90" i="20"/>
  <c r="DD90" i="20" s="1"/>
  <c r="AJ178" i="25"/>
  <c r="BN180" i="20"/>
  <c r="L180" i="20"/>
  <c r="BG87" i="25"/>
  <c r="AZ78" i="25"/>
  <c r="CW80" i="20"/>
  <c r="CX80" i="20" s="1"/>
  <c r="AO109" i="25"/>
  <c r="Y101" i="25"/>
  <c r="AI108" i="25"/>
  <c r="BF81" i="25"/>
  <c r="DC83" i="20"/>
  <c r="S216" i="25"/>
  <c r="AZ93" i="25"/>
  <c r="BF80" i="25"/>
  <c r="S51" i="25"/>
  <c r="AI138" i="25"/>
  <c r="BM140" i="20"/>
  <c r="BN140" i="20" s="1"/>
  <c r="BG78" i="25"/>
  <c r="AJ136" i="25"/>
  <c r="AZ80" i="25"/>
  <c r="CW82" i="20"/>
  <c r="AJ102" i="25"/>
  <c r="BQ98" i="25"/>
  <c r="AD218" i="20"/>
  <c r="AN178" i="25"/>
  <c r="P180" i="20"/>
  <c r="AH53" i="20"/>
  <c r="AI53" i="20" s="1"/>
  <c r="AJ230" i="20"/>
  <c r="EM101" i="20"/>
  <c r="BX99" i="25" s="1"/>
  <c r="AH116" i="25"/>
  <c r="DD89" i="20"/>
  <c r="BM112" i="20"/>
  <c r="AH135" i="25"/>
  <c r="BS111" i="20"/>
  <c r="BT111" i="20" s="1"/>
  <c r="R115" i="25"/>
  <c r="AY74" i="25"/>
  <c r="AB61" i="20"/>
  <c r="J103" i="20"/>
  <c r="Q101" i="25"/>
  <c r="P206" i="25"/>
  <c r="AY70" i="25"/>
  <c r="X53" i="25"/>
  <c r="J116" i="20"/>
  <c r="Q114" i="25"/>
  <c r="Q103" i="25"/>
  <c r="Z56" i="25"/>
  <c r="AY86" i="25"/>
  <c r="BD73" i="25"/>
  <c r="AF176" i="25"/>
  <c r="BK178" i="20"/>
  <c r="AH108" i="25"/>
  <c r="X115" i="25"/>
  <c r="AO108" i="25"/>
  <c r="AO178" i="25"/>
  <c r="Q180" i="20"/>
  <c r="H51" i="25"/>
  <c r="G179" i="20"/>
  <c r="H179" i="20" s="1"/>
  <c r="BL105" i="20"/>
  <c r="AI103" i="25" s="1"/>
  <c r="EH100" i="20"/>
  <c r="AN177" i="25"/>
  <c r="BQ178" i="20"/>
  <c r="AN108" i="25"/>
  <c r="AH178" i="25"/>
  <c r="J180" i="20"/>
  <c r="AN111" i="25"/>
  <c r="AZ90" i="25"/>
  <c r="CW95" i="20"/>
  <c r="AN135" i="25"/>
  <c r="AE109" i="25"/>
  <c r="W115" i="25"/>
  <c r="AC100" i="20"/>
  <c r="AD100" i="20" s="1"/>
  <c r="BE74" i="25"/>
  <c r="W59" i="25"/>
  <c r="BE70" i="25"/>
  <c r="AZ81" i="25"/>
  <c r="Q53" i="25"/>
  <c r="X114" i="25"/>
  <c r="BN104" i="20"/>
  <c r="AK79" i="25"/>
  <c r="N53" i="25"/>
  <c r="AY88" i="25"/>
  <c r="R51" i="25"/>
  <c r="Q225" i="25"/>
  <c r="BX98" i="25"/>
  <c r="AN100" i="25"/>
  <c r="BF87" i="25"/>
  <c r="AY85" i="25"/>
  <c r="AI110" i="25"/>
  <c r="R105" i="25"/>
  <c r="AN136" i="25"/>
  <c r="BA90" i="25"/>
  <c r="AN109" i="25"/>
  <c r="DC82" i="20"/>
  <c r="AN138" i="25"/>
  <c r="AJ61" i="20"/>
  <c r="AN112" i="25"/>
  <c r="W53" i="25"/>
  <c r="F96" i="25"/>
  <c r="BE88" i="25"/>
  <c r="BA68" i="25"/>
  <c r="R56" i="25"/>
  <c r="X225" i="25"/>
  <c r="AN116" i="25"/>
  <c r="BE86" i="25"/>
  <c r="AP108" i="25"/>
  <c r="Q51" i="25"/>
  <c r="J53" i="20"/>
  <c r="AC230" i="20"/>
  <c r="BR113" i="20"/>
  <c r="AZ203" i="25"/>
  <c r="BR100" i="20"/>
  <c r="BL118" i="20"/>
  <c r="BQ222" i="25"/>
  <c r="Q105" i="25"/>
  <c r="AO117" i="25"/>
  <c r="BP77" i="25"/>
  <c r="EE125" i="20"/>
  <c r="AY81" i="25"/>
  <c r="BE78" i="25"/>
  <c r="AI116" i="20"/>
  <c r="AI102" i="25"/>
  <c r="X56" i="25"/>
  <c r="AP79" i="25"/>
  <c r="AQ79" i="25"/>
  <c r="BR98" i="25"/>
  <c r="N51" i="25"/>
  <c r="N226" i="25"/>
  <c r="AI136" i="25"/>
  <c r="AH109" i="25"/>
  <c r="AD53" i="20"/>
  <c r="W51" i="25"/>
  <c r="P53" i="20"/>
  <c r="BW98" i="25"/>
  <c r="BM102" i="20"/>
  <c r="BR141" i="20"/>
  <c r="BS141" i="20" s="1"/>
  <c r="BN138" i="20"/>
  <c r="AH136" i="25"/>
  <c r="BR137" i="20"/>
  <c r="Q115" i="25"/>
  <c r="N214" i="25"/>
  <c r="EM79" i="20"/>
  <c r="BV77" i="25"/>
  <c r="AH138" i="25"/>
  <c r="X59" i="25"/>
  <c r="CV72" i="20"/>
  <c r="BE81" i="25"/>
  <c r="AY78" i="25"/>
  <c r="AO102" i="25"/>
  <c r="AB116" i="20"/>
  <c r="X103" i="25"/>
  <c r="F107" i="25"/>
  <c r="N56" i="25"/>
  <c r="R216" i="25"/>
  <c r="K218" i="20"/>
  <c r="AO100" i="25"/>
  <c r="BR118" i="20"/>
  <c r="W105" i="25"/>
  <c r="AI135" i="25"/>
  <c r="BL111" i="20"/>
  <c r="BM111" i="20" s="1"/>
  <c r="AO110" i="25"/>
  <c r="AI117" i="20"/>
  <c r="R98" i="25"/>
  <c r="BN123" i="25"/>
  <c r="EB125" i="20"/>
  <c r="EK125" i="20"/>
  <c r="BE80" i="25"/>
  <c r="BG90" i="25"/>
  <c r="AB103" i="20"/>
  <c r="DD80" i="20"/>
  <c r="BR106" i="20"/>
  <c r="AI55" i="20"/>
  <c r="AJ55" i="20" s="1"/>
  <c r="EM102" i="20"/>
  <c r="P116" i="20"/>
  <c r="W114" i="25"/>
  <c r="AB105" i="20"/>
  <c r="W56" i="25"/>
  <c r="P58" i="20"/>
  <c r="CV103" i="20"/>
  <c r="DB88" i="20"/>
  <c r="BR115" i="20"/>
  <c r="AO113" i="25" s="1"/>
  <c r="CX70" i="20"/>
  <c r="BY98" i="25"/>
  <c r="BR222" i="25"/>
  <c r="AO138" i="25"/>
  <c r="Q59" i="25"/>
  <c r="X101" i="25"/>
  <c r="BF78" i="25"/>
  <c r="AO112" i="25"/>
  <c r="AP102" i="25"/>
  <c r="BM110" i="20"/>
  <c r="R228" i="25"/>
  <c r="AI227" i="20"/>
  <c r="AJ227" i="20" s="1"/>
  <c r="W225" i="25"/>
  <c r="AI178" i="25"/>
  <c r="K180" i="20"/>
  <c r="BL119" i="25"/>
  <c r="F119" i="25" s="1"/>
  <c r="F120" i="25"/>
  <c r="AB227" i="20"/>
  <c r="AE98" i="25"/>
  <c r="CW87" i="20"/>
  <c r="BS138" i="20"/>
  <c r="BT138" i="20" s="1"/>
  <c r="AY93" i="25"/>
  <c r="AE135" i="25"/>
  <c r="BS112" i="20"/>
  <c r="BT112" i="20" s="1"/>
  <c r="AC117" i="20"/>
  <c r="AY80" i="25"/>
  <c r="BF90" i="25"/>
  <c r="CV76" i="20"/>
  <c r="BS140" i="20"/>
  <c r="BT140" i="20" s="1"/>
  <c r="W101" i="25"/>
  <c r="BS101" i="20"/>
  <c r="AP99" i="25" s="1"/>
  <c r="BF70" i="25"/>
  <c r="AB55" i="20"/>
  <c r="CV90" i="20"/>
  <c r="W103" i="25"/>
  <c r="Y56" i="25"/>
  <c r="Q56" i="25"/>
  <c r="J58" i="20"/>
  <c r="DB103" i="20"/>
  <c r="BF101" i="25" s="1"/>
  <c r="BM101" i="20"/>
  <c r="AJ99" i="25" s="1"/>
  <c r="CV88" i="20"/>
  <c r="P224" i="25"/>
  <c r="BM222" i="20" l="1"/>
  <c r="BN222" i="20" s="1"/>
  <c r="BM145" i="20"/>
  <c r="BN145" i="20" s="1"/>
  <c r="BH190" i="20"/>
  <c r="AH177" i="25"/>
  <c r="X226" i="25"/>
  <c r="K179" i="20"/>
  <c r="AZ91" i="25"/>
  <c r="Y226" i="25"/>
  <c r="P196" i="20"/>
  <c r="BR196" i="20"/>
  <c r="Q196" i="20" s="1"/>
  <c r="G191" i="20"/>
  <c r="H191" i="20" s="1"/>
  <c r="BS224" i="20"/>
  <c r="BN159" i="20"/>
  <c r="AK157" i="25" s="1"/>
  <c r="BS114" i="20"/>
  <c r="X228" i="25"/>
  <c r="BQ109" i="20"/>
  <c r="BS123" i="20"/>
  <c r="AP121" i="25" s="1"/>
  <c r="BQ121" i="20"/>
  <c r="AH100" i="25"/>
  <c r="AN121" i="25"/>
  <c r="J102" i="20"/>
  <c r="AN54" i="25"/>
  <c r="AO57" i="25"/>
  <c r="AH55" i="25"/>
  <c r="EG212" i="20"/>
  <c r="BR210" i="25" s="1"/>
  <c r="AH201" i="25"/>
  <c r="AH153" i="25"/>
  <c r="AE158" i="25"/>
  <c r="G158" i="25" s="1"/>
  <c r="I158" i="25" s="1"/>
  <c r="BT59" i="20"/>
  <c r="AN57" i="25"/>
  <c r="AF119" i="25"/>
  <c r="EG211" i="20"/>
  <c r="BR209" i="25" s="1"/>
  <c r="BQ51" i="20"/>
  <c r="G155" i="20"/>
  <c r="H155" i="20" s="1"/>
  <c r="K53" i="20"/>
  <c r="BS160" i="20"/>
  <c r="BM57" i="20"/>
  <c r="CW53" i="20"/>
  <c r="BA51" i="25" s="1"/>
  <c r="L179" i="20"/>
  <c r="BN179" i="20"/>
  <c r="M179" i="20" s="1"/>
  <c r="J160" i="20"/>
  <c r="AO74" i="25"/>
  <c r="G53" i="20"/>
  <c r="H53" i="20" s="1"/>
  <c r="BT205" i="20"/>
  <c r="AQ203" i="25" s="1"/>
  <c r="J179" i="20"/>
  <c r="AI177" i="25"/>
  <c r="H55" i="25"/>
  <c r="CW57" i="20"/>
  <c r="BA55" i="25" s="1"/>
  <c r="AM84" i="25"/>
  <c r="BK154" i="20"/>
  <c r="AH152" i="25" s="1"/>
  <c r="EL104" i="20"/>
  <c r="AC101" i="20"/>
  <c r="BL166" i="20"/>
  <c r="AI164" i="25" s="1"/>
  <c r="BH51" i="20"/>
  <c r="BN204" i="20"/>
  <c r="AK202" i="25" s="1"/>
  <c r="AM49" i="25"/>
  <c r="L159" i="20"/>
  <c r="AI157" i="25"/>
  <c r="AN91" i="25"/>
  <c r="BR133" i="20"/>
  <c r="BH109" i="20"/>
  <c r="BQ220" i="20"/>
  <c r="K159" i="20"/>
  <c r="BS93" i="20"/>
  <c r="AP91" i="25" s="1"/>
  <c r="DC53" i="20"/>
  <c r="BG51" i="25" s="1"/>
  <c r="EG223" i="20"/>
  <c r="BR221" i="25" s="1"/>
  <c r="BR126" i="20"/>
  <c r="G168" i="20"/>
  <c r="H168" i="20" s="1"/>
  <c r="BT145" i="20"/>
  <c r="AI158" i="25"/>
  <c r="BM224" i="20"/>
  <c r="AJ222" i="25" s="1"/>
  <c r="EM228" i="20"/>
  <c r="BX226" i="25" s="1"/>
  <c r="AO143" i="25"/>
  <c r="AE178" i="25"/>
  <c r="G178" i="25" s="1"/>
  <c r="I178" i="25" s="1"/>
  <c r="BS70" i="20"/>
  <c r="AP68" i="25" s="1"/>
  <c r="BL220" i="20"/>
  <c r="AN201" i="25"/>
  <c r="AH70" i="25"/>
  <c r="BF104" i="25"/>
  <c r="EH211" i="20"/>
  <c r="BS209" i="25" s="1"/>
  <c r="AO220" i="25"/>
  <c r="Q228" i="20"/>
  <c r="AO123" i="25"/>
  <c r="P160" i="20"/>
  <c r="BM160" i="20"/>
  <c r="BN160" i="20" s="1"/>
  <c r="AN158" i="25"/>
  <c r="AH158" i="25"/>
  <c r="Q160" i="20"/>
  <c r="EN213" i="20"/>
  <c r="BY211" i="25" s="1"/>
  <c r="AP202" i="25"/>
  <c r="AM201" i="25"/>
  <c r="BL106" i="20"/>
  <c r="BH75" i="20"/>
  <c r="BH220" i="20"/>
  <c r="AF73" i="25"/>
  <c r="BM55" i="20"/>
  <c r="BN55" i="20" s="1"/>
  <c r="AK53" i="25" s="1"/>
  <c r="BM113" i="20"/>
  <c r="BN113" i="20" s="1"/>
  <c r="AH196" i="25"/>
  <c r="BK109" i="20"/>
  <c r="AH111" i="25"/>
  <c r="Q218" i="20"/>
  <c r="DC218" i="20"/>
  <c r="BG216" i="25" s="1"/>
  <c r="BR69" i="20"/>
  <c r="AO67" i="25" s="1"/>
  <c r="CW116" i="20"/>
  <c r="BA114" i="25" s="1"/>
  <c r="P105" i="20"/>
  <c r="BS94" i="20"/>
  <c r="AP92" i="25" s="1"/>
  <c r="CW129" i="20"/>
  <c r="BA127" i="25" s="1"/>
  <c r="BS228" i="20"/>
  <c r="AP226" i="25" s="1"/>
  <c r="BS89" i="20"/>
  <c r="AP87" i="25" s="1"/>
  <c r="BF199" i="25"/>
  <c r="BF196" i="25" s="1"/>
  <c r="AI140" i="25"/>
  <c r="BN142" i="20"/>
  <c r="AK140" i="25" s="1"/>
  <c r="BA220" i="25"/>
  <c r="G164" i="20"/>
  <c r="H164" i="20" s="1"/>
  <c r="J167" i="20"/>
  <c r="P133" i="20"/>
  <c r="CX112" i="20"/>
  <c r="BB110" i="25" s="1"/>
  <c r="BR142" i="20"/>
  <c r="BS142" i="20" s="1"/>
  <c r="AP140" i="25" s="1"/>
  <c r="BH121" i="20"/>
  <c r="BL167" i="20"/>
  <c r="BM167" i="20" s="1"/>
  <c r="L167" i="20" s="1"/>
  <c r="BL133" i="20"/>
  <c r="AI131" i="25" s="1"/>
  <c r="BR226" i="25"/>
  <c r="BH166" i="20"/>
  <c r="AN87" i="25"/>
  <c r="G114" i="25"/>
  <c r="I114" i="25" s="1"/>
  <c r="AZ110" i="25"/>
  <c r="BQ75" i="20"/>
  <c r="AH97" i="25"/>
  <c r="AZ87" i="25"/>
  <c r="CX89" i="20"/>
  <c r="BB87" i="25" s="1"/>
  <c r="AI162" i="25"/>
  <c r="BR80" i="20"/>
  <c r="BS80" i="20" s="1"/>
  <c r="AP78" i="25" s="1"/>
  <c r="AP65" i="25"/>
  <c r="AI120" i="25"/>
  <c r="AH112" i="25"/>
  <c r="BK75" i="20"/>
  <c r="AH224" i="25"/>
  <c r="AH87" i="25"/>
  <c r="AJ201" i="25"/>
  <c r="BM78" i="20"/>
  <c r="AJ76" i="25" s="1"/>
  <c r="BL80" i="20"/>
  <c r="AI78" i="25" s="1"/>
  <c r="BN205" i="20"/>
  <c r="AK203" i="25" s="1"/>
  <c r="BS72" i="20"/>
  <c r="AP70" i="25" s="1"/>
  <c r="AM130" i="25"/>
  <c r="BS61" i="20"/>
  <c r="AP59" i="25" s="1"/>
  <c r="BR226" i="20"/>
  <c r="AN70" i="25"/>
  <c r="AM107" i="25"/>
  <c r="BM93" i="20"/>
  <c r="AJ91" i="25" s="1"/>
  <c r="G167" i="20"/>
  <c r="H167" i="20" s="1"/>
  <c r="AH91" i="25"/>
  <c r="AF96" i="25"/>
  <c r="BN82" i="20"/>
  <c r="AK80" i="25" s="1"/>
  <c r="BK132" i="20"/>
  <c r="AH85" i="25"/>
  <c r="BL136" i="20"/>
  <c r="BM136" i="20" s="1"/>
  <c r="BM166" i="20"/>
  <c r="AJ164" i="25" s="1"/>
  <c r="BM200" i="20"/>
  <c r="AJ198" i="25" s="1"/>
  <c r="AD228" i="20"/>
  <c r="T226" i="25" s="1"/>
  <c r="R226" i="25"/>
  <c r="CX79" i="20"/>
  <c r="BB77" i="25" s="1"/>
  <c r="DC130" i="20"/>
  <c r="BG128" i="25" s="1"/>
  <c r="G146" i="25"/>
  <c r="I146" i="25" s="1"/>
  <c r="DC57" i="20"/>
  <c r="BG55" i="25" s="1"/>
  <c r="DB105" i="20"/>
  <c r="BF103" i="25" s="1"/>
  <c r="J105" i="20"/>
  <c r="CW106" i="20"/>
  <c r="BA104" i="25" s="1"/>
  <c r="DC213" i="20"/>
  <c r="BG211" i="25" s="1"/>
  <c r="V224" i="25"/>
  <c r="EF104" i="20"/>
  <c r="BQ102" i="25" s="1"/>
  <c r="AZ77" i="25"/>
  <c r="J145" i="20"/>
  <c r="BM83" i="20"/>
  <c r="AJ81" i="25" s="1"/>
  <c r="AP134" i="25"/>
  <c r="BN201" i="20"/>
  <c r="AK199" i="25" s="1"/>
  <c r="AN97" i="25"/>
  <c r="BM125" i="20"/>
  <c r="AJ123" i="25" s="1"/>
  <c r="BQ98" i="20"/>
  <c r="BM99" i="20"/>
  <c r="BN99" i="20" s="1"/>
  <c r="AK97" i="25" s="1"/>
  <c r="BT82" i="20"/>
  <c r="AQ80" i="25" s="1"/>
  <c r="BS99" i="20"/>
  <c r="BT99" i="20" s="1"/>
  <c r="AQ97" i="25" s="1"/>
  <c r="AN82" i="25"/>
  <c r="AN73" i="25" s="1"/>
  <c r="BR84" i="20"/>
  <c r="BT78" i="20"/>
  <c r="AQ76" i="25" s="1"/>
  <c r="AI50" i="25"/>
  <c r="BH132" i="20"/>
  <c r="AH82" i="25"/>
  <c r="AH73" i="25" s="1"/>
  <c r="BL84" i="20"/>
  <c r="BS230" i="20"/>
  <c r="AP228" i="25" s="1"/>
  <c r="BM184" i="20"/>
  <c r="BN184" i="20" s="1"/>
  <c r="AK182" i="25" s="1"/>
  <c r="AJ206" i="25"/>
  <c r="BN52" i="20"/>
  <c r="AK50" i="25" s="1"/>
  <c r="G226" i="25"/>
  <c r="I226" i="25" s="1"/>
  <c r="BS55" i="20"/>
  <c r="AP53" i="25" s="1"/>
  <c r="BM228" i="20"/>
  <c r="AJ226" i="25" s="1"/>
  <c r="G104" i="25"/>
  <c r="I104" i="25" s="1"/>
  <c r="AM73" i="25"/>
  <c r="BH98" i="20"/>
  <c r="AE73" i="25"/>
  <c r="AO76" i="25"/>
  <c r="BM71" i="20"/>
  <c r="AI69" i="25"/>
  <c r="BT135" i="20"/>
  <c r="AQ133" i="25" s="1"/>
  <c r="AP133" i="25"/>
  <c r="BT159" i="20"/>
  <c r="AQ157" i="25" s="1"/>
  <c r="R159" i="20"/>
  <c r="BS164" i="20"/>
  <c r="BT164" i="20" s="1"/>
  <c r="AQ162" i="25" s="1"/>
  <c r="P164" i="20"/>
  <c r="AN162" i="25"/>
  <c r="AF84" i="25"/>
  <c r="Q164" i="20"/>
  <c r="AM142" i="25"/>
  <c r="H86" i="25"/>
  <c r="Q116" i="20"/>
  <c r="H134" i="25"/>
  <c r="BS116" i="20"/>
  <c r="AP114" i="25" s="1"/>
  <c r="BM116" i="20"/>
  <c r="AJ114" i="25" s="1"/>
  <c r="AF130" i="25"/>
  <c r="BH63" i="20"/>
  <c r="BK162" i="20"/>
  <c r="AH160" i="25" s="1"/>
  <c r="AE157" i="25"/>
  <c r="G157" i="25" s="1"/>
  <c r="I157" i="25" s="1"/>
  <c r="G159" i="20"/>
  <c r="H159" i="20" s="1"/>
  <c r="BK98" i="20"/>
  <c r="AP157" i="25"/>
  <c r="BS77" i="20"/>
  <c r="AP75" i="25" s="1"/>
  <c r="AE224" i="25"/>
  <c r="BM164" i="20"/>
  <c r="L164" i="20" s="1"/>
  <c r="J164" i="20"/>
  <c r="BM230" i="20"/>
  <c r="AJ228" i="25" s="1"/>
  <c r="AH162" i="25"/>
  <c r="G228" i="20"/>
  <c r="H228" i="20" s="1"/>
  <c r="AO157" i="25"/>
  <c r="Q159" i="20"/>
  <c r="BS163" i="20"/>
  <c r="BT163" i="20" s="1"/>
  <c r="AQ161" i="25" s="1"/>
  <c r="BR121" i="20"/>
  <c r="AO161" i="25"/>
  <c r="BS122" i="20"/>
  <c r="AP120" i="25" s="1"/>
  <c r="AN196" i="25"/>
  <c r="BM117" i="20"/>
  <c r="AJ115" i="25" s="1"/>
  <c r="BH86" i="20"/>
  <c r="BK86" i="20"/>
  <c r="BR107" i="20"/>
  <c r="Q107" i="20" s="1"/>
  <c r="AN105" i="25"/>
  <c r="AN86" i="25"/>
  <c r="BR88" i="20"/>
  <c r="BR86" i="20" s="1"/>
  <c r="BL107" i="20"/>
  <c r="K107" i="20" s="1"/>
  <c r="AH105" i="25"/>
  <c r="AH86" i="25"/>
  <c r="BM88" i="20"/>
  <c r="AJ86" i="25" s="1"/>
  <c r="M159" i="20"/>
  <c r="R214" i="25"/>
  <c r="S214" i="25"/>
  <c r="K216" i="20"/>
  <c r="EN211" i="20"/>
  <c r="BY209" i="25" s="1"/>
  <c r="DD87" i="20"/>
  <c r="BH85" i="25" s="1"/>
  <c r="CV105" i="20"/>
  <c r="AZ103" i="25" s="1"/>
  <c r="P87" i="20"/>
  <c r="BF85" i="25"/>
  <c r="BE85" i="25"/>
  <c r="AZ204" i="25"/>
  <c r="BF114" i="25"/>
  <c r="DC116" i="20"/>
  <c r="BG68" i="25"/>
  <c r="G105" i="25"/>
  <c r="I105" i="25" s="1"/>
  <c r="CV140" i="20"/>
  <c r="AZ138" i="25" s="1"/>
  <c r="G139" i="25"/>
  <c r="I139" i="25" s="1"/>
  <c r="H67" i="25"/>
  <c r="G55" i="20"/>
  <c r="H55" i="20" s="1"/>
  <c r="G53" i="25"/>
  <c r="I53" i="25" s="1"/>
  <c r="BE93" i="25"/>
  <c r="DC65" i="20"/>
  <c r="BG63" i="25" s="1"/>
  <c r="BE207" i="25"/>
  <c r="DC95" i="20"/>
  <c r="BG93" i="25" s="1"/>
  <c r="H93" i="25"/>
  <c r="H111" i="25"/>
  <c r="H85" i="25"/>
  <c r="DC209" i="20"/>
  <c r="BG207" i="25" s="1"/>
  <c r="DC112" i="20"/>
  <c r="P209" i="20"/>
  <c r="BD119" i="25"/>
  <c r="AW119" i="25"/>
  <c r="L218" i="20"/>
  <c r="CX113" i="20"/>
  <c r="BB111" i="25" s="1"/>
  <c r="H138" i="25"/>
  <c r="H207" i="25"/>
  <c r="CX218" i="20"/>
  <c r="BB216" i="25" s="1"/>
  <c r="CW65" i="20"/>
  <c r="BA63" i="25" s="1"/>
  <c r="H135" i="25"/>
  <c r="AZ111" i="25"/>
  <c r="CX229" i="20"/>
  <c r="BB227" i="25" s="1"/>
  <c r="AZ227" i="25"/>
  <c r="J55" i="20"/>
  <c r="DC229" i="20"/>
  <c r="AI100" i="20"/>
  <c r="Y98" i="25" s="1"/>
  <c r="J141" i="20"/>
  <c r="J101" i="20"/>
  <c r="BG220" i="25"/>
  <c r="DC93" i="20"/>
  <c r="DD93" i="20" s="1"/>
  <c r="BH91" i="25" s="1"/>
  <c r="H146" i="25"/>
  <c r="CW130" i="20"/>
  <c r="BA128" i="25" s="1"/>
  <c r="CW146" i="20"/>
  <c r="BA144" i="25" s="1"/>
  <c r="G216" i="25"/>
  <c r="I216" i="25" s="1"/>
  <c r="G218" i="20"/>
  <c r="H218" i="20" s="1"/>
  <c r="CX217" i="20"/>
  <c r="BB215" i="25" s="1"/>
  <c r="H137" i="25"/>
  <c r="AV96" i="25"/>
  <c r="I86" i="20"/>
  <c r="AV201" i="25"/>
  <c r="CU51" i="20"/>
  <c r="G59" i="25"/>
  <c r="I59" i="25" s="1"/>
  <c r="DB113" i="20"/>
  <c r="BE111" i="25"/>
  <c r="AW73" i="25"/>
  <c r="DA198" i="20"/>
  <c r="G211" i="20"/>
  <c r="H211" i="20" s="1"/>
  <c r="H54" i="25"/>
  <c r="CR75" i="20"/>
  <c r="CR208" i="20"/>
  <c r="DD217" i="20"/>
  <c r="BH215" i="25" s="1"/>
  <c r="BG215" i="25"/>
  <c r="BF203" i="25"/>
  <c r="DC205" i="20"/>
  <c r="BG203" i="25" s="1"/>
  <c r="CU208" i="20"/>
  <c r="Q227" i="20"/>
  <c r="I51" i="20"/>
  <c r="H112" i="25"/>
  <c r="CR86" i="20"/>
  <c r="AV196" i="25"/>
  <c r="CT49" i="20"/>
  <c r="CT5" i="20" s="1"/>
  <c r="DA132" i="20"/>
  <c r="CR144" i="20"/>
  <c r="CR226" i="20"/>
  <c r="CV77" i="20"/>
  <c r="CW77" i="20" s="1"/>
  <c r="BA75" i="25" s="1"/>
  <c r="G58" i="20"/>
  <c r="H58" i="20" s="1"/>
  <c r="CV55" i="20"/>
  <c r="AZ53" i="25" s="1"/>
  <c r="CU121" i="20"/>
  <c r="G56" i="25"/>
  <c r="I56" i="25" s="1"/>
  <c r="DA121" i="20"/>
  <c r="O132" i="20"/>
  <c r="DD129" i="20"/>
  <c r="BH127" i="25" s="1"/>
  <c r="G117" i="20"/>
  <c r="H117" i="20" s="1"/>
  <c r="G61" i="20"/>
  <c r="H61" i="20" s="1"/>
  <c r="G115" i="25"/>
  <c r="I115" i="25" s="1"/>
  <c r="AW224" i="25"/>
  <c r="DA98" i="20"/>
  <c r="I132" i="20"/>
  <c r="P100" i="20"/>
  <c r="CR132" i="20"/>
  <c r="CU109" i="20"/>
  <c r="DC125" i="20"/>
  <c r="BG123" i="25" s="1"/>
  <c r="CV54" i="20"/>
  <c r="H143" i="25"/>
  <c r="AW96" i="25"/>
  <c r="G98" i="25"/>
  <c r="I98" i="25" s="1"/>
  <c r="H229" i="25"/>
  <c r="H222" i="25"/>
  <c r="J115" i="20"/>
  <c r="DB127" i="20"/>
  <c r="BF125" i="25" s="1"/>
  <c r="AV107" i="25"/>
  <c r="G100" i="20"/>
  <c r="H100" i="20" s="1"/>
  <c r="DA208" i="20"/>
  <c r="H99" i="25"/>
  <c r="H57" i="25"/>
  <c r="AW107" i="25"/>
  <c r="CU63" i="20"/>
  <c r="AW130" i="25"/>
  <c r="CU144" i="20"/>
  <c r="I109" i="20"/>
  <c r="O86" i="20"/>
  <c r="H133" i="25"/>
  <c r="H140" i="25"/>
  <c r="BF204" i="25"/>
  <c r="DC206" i="20"/>
  <c r="BF54" i="25"/>
  <c r="AW206" i="25"/>
  <c r="AY64" i="25"/>
  <c r="CV66" i="20"/>
  <c r="AY54" i="25"/>
  <c r="DA86" i="20"/>
  <c r="BD3" i="25"/>
  <c r="BF77" i="25"/>
  <c r="DC79" i="20"/>
  <c r="BF100" i="25"/>
  <c r="DC102" i="20"/>
  <c r="CV215" i="20"/>
  <c r="AZ213" i="25" s="1"/>
  <c r="G143" i="25"/>
  <c r="I143" i="25" s="1"/>
  <c r="CR98" i="20"/>
  <c r="CV56" i="20"/>
  <c r="AV49" i="25"/>
  <c r="DA75" i="20"/>
  <c r="CU75" i="20"/>
  <c r="BE64" i="25"/>
  <c r="DB66" i="20"/>
  <c r="P204" i="20"/>
  <c r="CU86" i="20"/>
  <c r="AW49" i="25"/>
  <c r="BE54" i="25"/>
  <c r="DC56" i="20"/>
  <c r="BG54" i="25" s="1"/>
  <c r="H228" i="25"/>
  <c r="AZ197" i="25"/>
  <c r="J100" i="20"/>
  <c r="H98" i="25"/>
  <c r="H202" i="25"/>
  <c r="H117" i="25"/>
  <c r="AW218" i="25"/>
  <c r="CV73" i="20"/>
  <c r="AZ71" i="25" s="1"/>
  <c r="AW84" i="25"/>
  <c r="G80" i="25"/>
  <c r="I80" i="25" s="1"/>
  <c r="CW118" i="20"/>
  <c r="BA116" i="25" s="1"/>
  <c r="AV142" i="25"/>
  <c r="AW3" i="25"/>
  <c r="H66" i="25"/>
  <c r="CX133" i="20"/>
  <c r="BB131" i="25" s="1"/>
  <c r="BG197" i="25"/>
  <c r="CV117" i="20"/>
  <c r="AY115" i="25"/>
  <c r="CU98" i="20"/>
  <c r="AV224" i="25"/>
  <c r="CR121" i="20"/>
  <c r="DB124" i="20"/>
  <c r="BF122" i="25" s="1"/>
  <c r="DB77" i="20"/>
  <c r="CV115" i="20"/>
  <c r="CW115" i="20" s="1"/>
  <c r="BA113" i="25" s="1"/>
  <c r="AY113" i="25"/>
  <c r="AV119" i="25"/>
  <c r="CV127" i="20"/>
  <c r="CW127" i="20" s="1"/>
  <c r="CV99" i="20"/>
  <c r="CW99" i="20" s="1"/>
  <c r="BA97" i="25" s="1"/>
  <c r="DB117" i="20"/>
  <c r="Q117" i="20" s="1"/>
  <c r="BE115" i="25"/>
  <c r="DB115" i="20"/>
  <c r="BE113" i="25"/>
  <c r="DA51" i="20"/>
  <c r="P55" i="20"/>
  <c r="O51" i="20"/>
  <c r="CZ49" i="20"/>
  <c r="CZ5" i="20" s="1"/>
  <c r="AZ98" i="25"/>
  <c r="AZ145" i="25"/>
  <c r="G94" i="25"/>
  <c r="I94" i="25" s="1"/>
  <c r="BE66" i="25"/>
  <c r="DB68" i="20"/>
  <c r="Q68" i="20" s="1"/>
  <c r="BE99" i="25"/>
  <c r="DB101" i="20"/>
  <c r="CR4" i="20"/>
  <c r="H69" i="25"/>
  <c r="AY146" i="25"/>
  <c r="DB71" i="20"/>
  <c r="Q71" i="20" s="1"/>
  <c r="BE69" i="25"/>
  <c r="DB134" i="20"/>
  <c r="BE132" i="25"/>
  <c r="BE89" i="25"/>
  <c r="DB91" i="20"/>
  <c r="Q91" i="20" s="1"/>
  <c r="BD61" i="25"/>
  <c r="CR109" i="20"/>
  <c r="BE145" i="25"/>
  <c r="DC100" i="20"/>
  <c r="BG98" i="25" s="1"/>
  <c r="BF98" i="25"/>
  <c r="BE229" i="25"/>
  <c r="DB231" i="20"/>
  <c r="BF229" i="25" s="1"/>
  <c r="AY132" i="25"/>
  <c r="CV134" i="20"/>
  <c r="AZ132" i="25" s="1"/>
  <c r="CV71" i="20"/>
  <c r="AY69" i="25"/>
  <c r="BE92" i="25"/>
  <c r="DB94" i="20"/>
  <c r="BE67" i="25"/>
  <c r="DB69" i="20"/>
  <c r="BE52" i="25"/>
  <c r="BE98" i="25"/>
  <c r="CV78" i="20"/>
  <c r="AY76" i="25"/>
  <c r="AY133" i="25"/>
  <c r="CV135" i="20"/>
  <c r="AY92" i="25"/>
  <c r="J94" i="20"/>
  <c r="CV94" i="20"/>
  <c r="AY67" i="25"/>
  <c r="CV69" i="20"/>
  <c r="K69" i="20" s="1"/>
  <c r="BE202" i="25"/>
  <c r="BE201" i="25" s="1"/>
  <c r="DB204" i="20"/>
  <c r="DA203" i="20"/>
  <c r="CV124" i="20"/>
  <c r="AY122" i="25"/>
  <c r="DB54" i="20"/>
  <c r="DC54" i="20" s="1"/>
  <c r="BG52" i="25" s="1"/>
  <c r="AW61" i="25"/>
  <c r="CW81" i="20"/>
  <c r="CX81" i="20" s="1"/>
  <c r="BB79" i="25" s="1"/>
  <c r="J204" i="20"/>
  <c r="AY229" i="25"/>
  <c r="CV231" i="20"/>
  <c r="CW231" i="20" s="1"/>
  <c r="BA229" i="25" s="1"/>
  <c r="DB78" i="20"/>
  <c r="BE76" i="25"/>
  <c r="BE133" i="25"/>
  <c r="DB135" i="20"/>
  <c r="BE82" i="25"/>
  <c r="DB84" i="20"/>
  <c r="AY202" i="25"/>
  <c r="AY201" i="25" s="1"/>
  <c r="CU203" i="20"/>
  <c r="CV204" i="20"/>
  <c r="CW204" i="20" s="1"/>
  <c r="BA202" i="25" s="1"/>
  <c r="CU4" i="20"/>
  <c r="AY98" i="25"/>
  <c r="CW100" i="20"/>
  <c r="BA98" i="25" s="1"/>
  <c r="CR203" i="20"/>
  <c r="DB221" i="20"/>
  <c r="Q221" i="20" s="1"/>
  <c r="BE219" i="25"/>
  <c r="AY82" i="25"/>
  <c r="CV84" i="20"/>
  <c r="CU132" i="20"/>
  <c r="CX53" i="20"/>
  <c r="BB51" i="25" s="1"/>
  <c r="DA226" i="20"/>
  <c r="CV200" i="20"/>
  <c r="AY198" i="25"/>
  <c r="AY196" i="25" s="1"/>
  <c r="CU198" i="20"/>
  <c r="AY219" i="25"/>
  <c r="CW221" i="20"/>
  <c r="BE135" i="25"/>
  <c r="DB137" i="20"/>
  <c r="DB145" i="20"/>
  <c r="DC145" i="20" s="1"/>
  <c r="BE143" i="25"/>
  <c r="DA144" i="20"/>
  <c r="DB198" i="20"/>
  <c r="H89" i="25"/>
  <c r="CW110" i="20"/>
  <c r="BA108" i="25" s="1"/>
  <c r="CU226" i="20"/>
  <c r="DC227" i="20"/>
  <c r="BG225" i="25" s="1"/>
  <c r="BE146" i="25"/>
  <c r="DB148" i="20"/>
  <c r="DC148" i="20" s="1"/>
  <c r="BG146" i="25" s="1"/>
  <c r="AY57" i="25"/>
  <c r="CV59" i="20"/>
  <c r="BE198" i="25"/>
  <c r="BE196" i="25" s="1"/>
  <c r="DC200" i="20"/>
  <c r="BG198" i="25" s="1"/>
  <c r="BE228" i="25"/>
  <c r="DB230" i="20"/>
  <c r="Q230" i="20" s="1"/>
  <c r="AY137" i="25"/>
  <c r="CW139" i="20"/>
  <c r="DB59" i="20"/>
  <c r="CV137" i="20"/>
  <c r="AY135" i="25"/>
  <c r="DB123" i="20"/>
  <c r="BF121" i="25" s="1"/>
  <c r="BE121" i="25"/>
  <c r="BE119" i="25" s="1"/>
  <c r="AW142" i="25"/>
  <c r="DB147" i="20"/>
  <c r="DA4" i="20"/>
  <c r="AV130" i="25"/>
  <c r="CV148" i="20"/>
  <c r="CV123" i="20"/>
  <c r="CW123" i="20" s="1"/>
  <c r="BA121" i="25" s="1"/>
  <c r="AY121" i="25"/>
  <c r="AY228" i="25"/>
  <c r="CW230" i="20"/>
  <c r="BE112" i="25"/>
  <c r="DB114" i="20"/>
  <c r="BE137" i="25"/>
  <c r="DC139" i="20"/>
  <c r="CV145" i="20"/>
  <c r="CW145" i="20" s="1"/>
  <c r="AY143" i="25"/>
  <c r="CV101" i="20"/>
  <c r="AY99" i="25"/>
  <c r="DB55" i="20"/>
  <c r="CS49" i="20"/>
  <c r="CS5" i="20" s="1"/>
  <c r="AY89" i="25"/>
  <c r="CV91" i="20"/>
  <c r="AY112" i="25"/>
  <c r="CV114" i="20"/>
  <c r="AY66" i="25"/>
  <c r="CV68" i="20"/>
  <c r="AY145" i="25"/>
  <c r="CW147" i="20"/>
  <c r="BA145" i="25" s="1"/>
  <c r="BF212" i="25"/>
  <c r="DC214" i="20"/>
  <c r="BG212" i="25" s="1"/>
  <c r="AY221" i="25"/>
  <c r="CU220" i="20"/>
  <c r="CV223" i="20"/>
  <c r="CW223" i="20" s="1"/>
  <c r="CX223" i="20" s="1"/>
  <c r="DB119" i="20"/>
  <c r="DA109" i="20"/>
  <c r="BE117" i="25"/>
  <c r="DB73" i="20"/>
  <c r="BF71" i="25" s="1"/>
  <c r="CV119" i="20"/>
  <c r="AZ117" i="25" s="1"/>
  <c r="AY117" i="25"/>
  <c r="CR63" i="20"/>
  <c r="H221" i="25"/>
  <c r="BE94" i="25"/>
  <c r="DB96" i="20"/>
  <c r="AV218" i="25"/>
  <c r="AY94" i="25"/>
  <c r="CV96" i="20"/>
  <c r="DA63" i="20"/>
  <c r="BE212" i="25"/>
  <c r="BE222" i="25"/>
  <c r="DB224" i="20"/>
  <c r="BF222" i="25" s="1"/>
  <c r="AX3" i="25"/>
  <c r="BF144" i="25"/>
  <c r="CV61" i="20"/>
  <c r="K61" i="20" s="1"/>
  <c r="AY59" i="25"/>
  <c r="DC216" i="20"/>
  <c r="BF214" i="25"/>
  <c r="AY222" i="25"/>
  <c r="CW224" i="20"/>
  <c r="K211" i="20"/>
  <c r="DD110" i="20"/>
  <c r="BH108" i="25" s="1"/>
  <c r="DB61" i="20"/>
  <c r="BE59" i="25"/>
  <c r="BF108" i="25"/>
  <c r="DD107" i="20"/>
  <c r="BH105" i="25" s="1"/>
  <c r="CR220" i="20"/>
  <c r="BE140" i="25"/>
  <c r="DB142" i="20"/>
  <c r="CV214" i="20"/>
  <c r="CW211" i="20"/>
  <c r="BA209" i="25" s="1"/>
  <c r="DB223" i="20"/>
  <c r="DC223" i="20" s="1"/>
  <c r="BE221" i="25"/>
  <c r="DA220" i="20"/>
  <c r="CR51" i="20"/>
  <c r="AY140" i="25"/>
  <c r="CV142" i="20"/>
  <c r="DB215" i="20"/>
  <c r="DB208" i="20" s="1"/>
  <c r="BE213" i="25"/>
  <c r="AZ50" i="25"/>
  <c r="R229" i="25"/>
  <c r="BA81" i="25"/>
  <c r="S184" i="20"/>
  <c r="AK181" i="25"/>
  <c r="J148" i="20"/>
  <c r="BS58" i="20"/>
  <c r="AP56" i="25" s="1"/>
  <c r="BG116" i="25"/>
  <c r="BT182" i="20"/>
  <c r="AQ180" i="25" s="1"/>
  <c r="Q167" i="20"/>
  <c r="P56" i="20"/>
  <c r="G101" i="25"/>
  <c r="I101" i="25" s="1"/>
  <c r="CW228" i="20"/>
  <c r="BS200" i="20"/>
  <c r="AD231" i="20"/>
  <c r="T229" i="25" s="1"/>
  <c r="K228" i="20"/>
  <c r="O109" i="20"/>
  <c r="AI211" i="20"/>
  <c r="AJ211" i="20" s="1"/>
  <c r="Z209" i="25" s="1"/>
  <c r="H197" i="25"/>
  <c r="X121" i="20"/>
  <c r="AP117" i="25"/>
  <c r="AO165" i="25"/>
  <c r="BW203" i="25"/>
  <c r="Q205" i="20"/>
  <c r="K184" i="20"/>
  <c r="BT216" i="20"/>
  <c r="AQ214" i="25" s="1"/>
  <c r="DC81" i="20"/>
  <c r="BG79" i="25" s="1"/>
  <c r="EN222" i="20"/>
  <c r="BY220" i="25" s="1"/>
  <c r="O220" i="20"/>
  <c r="P95" i="20"/>
  <c r="G91" i="25"/>
  <c r="I91" i="25" s="1"/>
  <c r="J95" i="20"/>
  <c r="AH87" i="20"/>
  <c r="AI87" i="20" s="1"/>
  <c r="DD228" i="20"/>
  <c r="BH226" i="25" s="1"/>
  <c r="BM229" i="20"/>
  <c r="AJ227" i="25" s="1"/>
  <c r="BN231" i="20"/>
  <c r="AK229" i="25" s="1"/>
  <c r="G229" i="20"/>
  <c r="H229" i="20" s="1"/>
  <c r="CX125" i="20"/>
  <c r="BB123" i="25" s="1"/>
  <c r="J106" i="20"/>
  <c r="AI126" i="25"/>
  <c r="CW138" i="20"/>
  <c r="BA136" i="25" s="1"/>
  <c r="L171" i="20"/>
  <c r="CX227" i="20"/>
  <c r="BB225" i="25" s="1"/>
  <c r="S209" i="25"/>
  <c r="F3" i="25"/>
  <c r="EN218" i="20"/>
  <c r="BY216" i="25" s="1"/>
  <c r="G227" i="25"/>
  <c r="I227" i="25" s="1"/>
  <c r="DC136" i="20"/>
  <c r="BG134" i="25" s="1"/>
  <c r="BF50" i="25"/>
  <c r="DD53" i="20"/>
  <c r="BH51" i="25" s="1"/>
  <c r="I98" i="20"/>
  <c r="Q104" i="25"/>
  <c r="J80" i="20"/>
  <c r="EF222" i="20"/>
  <c r="EG222" i="20" s="1"/>
  <c r="EH222" i="20" s="1"/>
  <c r="BS220" i="25" s="1"/>
  <c r="J222" i="20"/>
  <c r="AC106" i="20"/>
  <c r="AD106" i="20" s="1"/>
  <c r="T104" i="25" s="1"/>
  <c r="BA50" i="25"/>
  <c r="X216" i="25"/>
  <c r="AI218" i="20"/>
  <c r="G79" i="20"/>
  <c r="H79" i="20" s="1"/>
  <c r="AH79" i="20"/>
  <c r="X77" i="25" s="1"/>
  <c r="G101" i="20"/>
  <c r="H101" i="20" s="1"/>
  <c r="BF97" i="25"/>
  <c r="DC99" i="20"/>
  <c r="BG97" i="25" s="1"/>
  <c r="G88" i="20"/>
  <c r="H88" i="20" s="1"/>
  <c r="BN94" i="20"/>
  <c r="AK92" i="25" s="1"/>
  <c r="G86" i="25"/>
  <c r="I86" i="25" s="1"/>
  <c r="AJ169" i="25"/>
  <c r="BK63" i="20"/>
  <c r="CW67" i="20"/>
  <c r="CX67" i="20" s="1"/>
  <c r="BB65" i="25" s="1"/>
  <c r="CW122" i="20"/>
  <c r="BM91" i="20"/>
  <c r="AJ89" i="25" s="1"/>
  <c r="BF74" i="25"/>
  <c r="AB145" i="20"/>
  <c r="R143" i="25" s="1"/>
  <c r="CX102" i="20"/>
  <c r="BB100" i="25" s="1"/>
  <c r="DD76" i="20"/>
  <c r="BH74" i="25" s="1"/>
  <c r="BG74" i="25"/>
  <c r="BM87" i="20"/>
  <c r="AJ85" i="25" s="1"/>
  <c r="AI85" i="25"/>
  <c r="DC67" i="20"/>
  <c r="BG65" i="25" s="1"/>
  <c r="G96" i="20"/>
  <c r="H96" i="20" s="1"/>
  <c r="AB201" i="20"/>
  <c r="R199" i="25" s="1"/>
  <c r="AC199" i="20"/>
  <c r="AD199" i="20" s="1"/>
  <c r="T197" i="25" s="1"/>
  <c r="AH54" i="20"/>
  <c r="X52" i="25" s="1"/>
  <c r="K87" i="20"/>
  <c r="AH140" i="20"/>
  <c r="X138" i="25" s="1"/>
  <c r="CW104" i="20"/>
  <c r="BA102" i="25" s="1"/>
  <c r="BS90" i="20"/>
  <c r="AP88" i="25" s="1"/>
  <c r="BM103" i="20"/>
  <c r="AJ101" i="25" s="1"/>
  <c r="Q58" i="20"/>
  <c r="G104" i="20"/>
  <c r="H104" i="20" s="1"/>
  <c r="DD212" i="20"/>
  <c r="BH210" i="25" s="1"/>
  <c r="BM115" i="20"/>
  <c r="AJ113" i="25" s="1"/>
  <c r="G204" i="20"/>
  <c r="H204" i="20" s="1"/>
  <c r="DC58" i="20"/>
  <c r="BG56" i="25" s="1"/>
  <c r="BF58" i="25"/>
  <c r="DC60" i="20"/>
  <c r="R60" i="20" s="1"/>
  <c r="H145" i="25"/>
  <c r="X51" i="20"/>
  <c r="AH96" i="20"/>
  <c r="X94" i="25" s="1"/>
  <c r="DC138" i="20"/>
  <c r="BG136" i="25" s="1"/>
  <c r="BS87" i="20"/>
  <c r="AO85" i="25"/>
  <c r="BN123" i="20"/>
  <c r="AK121" i="25" s="1"/>
  <c r="EH209" i="20"/>
  <c r="BS207" i="25" s="1"/>
  <c r="AB125" i="20"/>
  <c r="R123" i="25" s="1"/>
  <c r="BN58" i="20"/>
  <c r="AK56" i="25" s="1"/>
  <c r="BS83" i="20"/>
  <c r="BS175" i="20"/>
  <c r="BT175" i="20" s="1"/>
  <c r="Q175" i="20"/>
  <c r="AO173" i="25"/>
  <c r="DD52" i="20"/>
  <c r="BH50" i="25" s="1"/>
  <c r="BG50" i="25"/>
  <c r="BW220" i="25"/>
  <c r="AI117" i="25"/>
  <c r="P140" i="20"/>
  <c r="AP206" i="25"/>
  <c r="G221" i="25"/>
  <c r="I221" i="25" s="1"/>
  <c r="BR176" i="20"/>
  <c r="BR174" i="20" s="1"/>
  <c r="AO172" i="25" s="1"/>
  <c r="AN174" i="25"/>
  <c r="P176" i="20"/>
  <c r="J175" i="20"/>
  <c r="AH173" i="25"/>
  <c r="BM175" i="20"/>
  <c r="AE194" i="25"/>
  <c r="G194" i="25" s="1"/>
  <c r="I194" i="25" s="1"/>
  <c r="G196" i="20"/>
  <c r="H196" i="20" s="1"/>
  <c r="BG104" i="25"/>
  <c r="DD106" i="20"/>
  <c r="BH104" i="25" s="1"/>
  <c r="AE174" i="25"/>
  <c r="G174" i="25" s="1"/>
  <c r="I174" i="25" s="1"/>
  <c r="G176" i="20"/>
  <c r="H176" i="20" s="1"/>
  <c r="AH217" i="20"/>
  <c r="X215" i="25" s="1"/>
  <c r="AB56" i="20"/>
  <c r="R54" i="25" s="1"/>
  <c r="AB130" i="20"/>
  <c r="R128" i="25" s="1"/>
  <c r="AB77" i="20"/>
  <c r="R75" i="25" s="1"/>
  <c r="BL176" i="20"/>
  <c r="BM176" i="20" s="1"/>
  <c r="AH174" i="25"/>
  <c r="J176" i="20"/>
  <c r="BA58" i="25"/>
  <c r="CX60" i="20"/>
  <c r="BB58" i="25" s="1"/>
  <c r="P106" i="20"/>
  <c r="G192" i="20"/>
  <c r="H192" i="20" s="1"/>
  <c r="BN206" i="20"/>
  <c r="AK204" i="25" s="1"/>
  <c r="Q171" i="20"/>
  <c r="H74" i="25"/>
  <c r="X198" i="20"/>
  <c r="AB206" i="20"/>
  <c r="R204" i="25" s="1"/>
  <c r="AD58" i="20"/>
  <c r="T56" i="25" s="1"/>
  <c r="BK174" i="20"/>
  <c r="AF172" i="25"/>
  <c r="BH174" i="20"/>
  <c r="AE154" i="25"/>
  <c r="G154" i="25" s="1"/>
  <c r="I154" i="25" s="1"/>
  <c r="G156" i="20"/>
  <c r="H156" i="20" s="1"/>
  <c r="BS152" i="20"/>
  <c r="BT152" i="20" s="1"/>
  <c r="AO150" i="25"/>
  <c r="Q152" i="20"/>
  <c r="BL156" i="20"/>
  <c r="AH154" i="25"/>
  <c r="J156" i="20"/>
  <c r="BA203" i="25"/>
  <c r="AJ65" i="25"/>
  <c r="AO169" i="25"/>
  <c r="BS208" i="20"/>
  <c r="AB115" i="20"/>
  <c r="AC115" i="20" s="1"/>
  <c r="S113" i="25" s="1"/>
  <c r="X98" i="20"/>
  <c r="V206" i="25"/>
  <c r="BM72" i="20"/>
  <c r="AJ70" i="25" s="1"/>
  <c r="CX107" i="20"/>
  <c r="BB105" i="25" s="1"/>
  <c r="AE150" i="25"/>
  <c r="G150" i="25" s="1"/>
  <c r="I150" i="25" s="1"/>
  <c r="G152" i="20"/>
  <c r="H152" i="20" s="1"/>
  <c r="P224" i="20"/>
  <c r="BR156" i="20"/>
  <c r="AN154" i="25"/>
  <c r="P156" i="20"/>
  <c r="CW136" i="20"/>
  <c r="BM90" i="20"/>
  <c r="AJ88" i="25" s="1"/>
  <c r="BS80" i="25"/>
  <c r="BU120" i="25"/>
  <c r="BU119" i="25" s="1"/>
  <c r="DC141" i="20"/>
  <c r="BG139" i="25" s="1"/>
  <c r="P152" i="20"/>
  <c r="AN150" i="25"/>
  <c r="AZ124" i="25"/>
  <c r="CW126" i="20"/>
  <c r="BM141" i="20"/>
  <c r="AJ139" i="25" s="1"/>
  <c r="BI144" i="20"/>
  <c r="BI49" i="20" s="1"/>
  <c r="AE173" i="25"/>
  <c r="G173" i="25" s="1"/>
  <c r="I173" i="25" s="1"/>
  <c r="G175" i="20"/>
  <c r="H175" i="20" s="1"/>
  <c r="BQ63" i="20"/>
  <c r="BL226" i="20"/>
  <c r="P221" i="20"/>
  <c r="BT209" i="20"/>
  <c r="AQ207" i="25" s="1"/>
  <c r="AB147" i="20"/>
  <c r="R145" i="25" s="1"/>
  <c r="I220" i="20"/>
  <c r="BL152" i="20"/>
  <c r="J152" i="20"/>
  <c r="AH150" i="25"/>
  <c r="BM168" i="20"/>
  <c r="AI166" i="25"/>
  <c r="K168" i="20"/>
  <c r="CW128" i="20"/>
  <c r="BA126" i="25" s="1"/>
  <c r="DC122" i="20"/>
  <c r="BG120" i="25" s="1"/>
  <c r="AI173" i="25"/>
  <c r="K175" i="20"/>
  <c r="K192" i="20"/>
  <c r="AI75" i="25"/>
  <c r="BM77" i="20"/>
  <c r="P175" i="20"/>
  <c r="AN173" i="25"/>
  <c r="BQ174" i="20"/>
  <c r="EJ4" i="20"/>
  <c r="EG101" i="20"/>
  <c r="BR99" i="25" s="1"/>
  <c r="I208" i="20"/>
  <c r="G102" i="20"/>
  <c r="H102" i="20" s="1"/>
  <c r="G100" i="25"/>
  <c r="I100" i="25" s="1"/>
  <c r="I218" i="25"/>
  <c r="G103" i="20"/>
  <c r="H103" i="20" s="1"/>
  <c r="P113" i="20"/>
  <c r="X105" i="25"/>
  <c r="P79" i="20"/>
  <c r="G69" i="20"/>
  <c r="H69" i="20" s="1"/>
  <c r="AH78" i="20"/>
  <c r="X76" i="25" s="1"/>
  <c r="AB148" i="20"/>
  <c r="R146" i="25" s="1"/>
  <c r="J138" i="20"/>
  <c r="G67" i="25"/>
  <c r="I67" i="25" s="1"/>
  <c r="P59" i="20"/>
  <c r="X132" i="20"/>
  <c r="AH59" i="20"/>
  <c r="AI59" i="20" s="1"/>
  <c r="O96" i="25"/>
  <c r="X208" i="20"/>
  <c r="J56" i="20"/>
  <c r="V142" i="25"/>
  <c r="Q113" i="25"/>
  <c r="G140" i="20"/>
  <c r="H140" i="20" s="1"/>
  <c r="G138" i="20"/>
  <c r="H138" i="20" s="1"/>
  <c r="H126" i="25"/>
  <c r="H215" i="25"/>
  <c r="AB212" i="20"/>
  <c r="AC212" i="20" s="1"/>
  <c r="AI67" i="20"/>
  <c r="Y65" i="25" s="1"/>
  <c r="AH72" i="20"/>
  <c r="X70" i="25" s="1"/>
  <c r="AA51" i="20"/>
  <c r="I226" i="20"/>
  <c r="J90" i="20"/>
  <c r="G136" i="25"/>
  <c r="I136" i="25" s="1"/>
  <c r="AH88" i="20"/>
  <c r="X86" i="25" s="1"/>
  <c r="J133" i="20"/>
  <c r="AB210" i="20"/>
  <c r="AC210" i="20" s="1"/>
  <c r="S208" i="25" s="1"/>
  <c r="AH215" i="20"/>
  <c r="X213" i="25" s="1"/>
  <c r="X89" i="25"/>
  <c r="L163" i="20"/>
  <c r="AJ161" i="25"/>
  <c r="BH131" i="25"/>
  <c r="R66" i="25"/>
  <c r="AC68" i="20"/>
  <c r="S66" i="25" s="1"/>
  <c r="EL103" i="20"/>
  <c r="BW101" i="25" s="1"/>
  <c r="BV101" i="25"/>
  <c r="CW58" i="20"/>
  <c r="CX58" i="20" s="1"/>
  <c r="G138" i="25"/>
  <c r="I138" i="25" s="1"/>
  <c r="G209" i="20"/>
  <c r="H209" i="20" s="1"/>
  <c r="AI225" i="25"/>
  <c r="AI224" i="25" s="1"/>
  <c r="S168" i="20"/>
  <c r="AJ125" i="25"/>
  <c r="H81" i="25"/>
  <c r="AI71" i="20"/>
  <c r="Y69" i="25" s="1"/>
  <c r="AB104" i="20"/>
  <c r="R102" i="25" s="1"/>
  <c r="AH114" i="20"/>
  <c r="X112" i="25" s="1"/>
  <c r="I203" i="20"/>
  <c r="AH126" i="20"/>
  <c r="X124" i="25" s="1"/>
  <c r="X109" i="20"/>
  <c r="CW210" i="20"/>
  <c r="J57" i="20"/>
  <c r="AZ109" i="25"/>
  <c r="BJ144" i="20"/>
  <c r="I144" i="20" s="1"/>
  <c r="AB134" i="20"/>
  <c r="R132" i="25" s="1"/>
  <c r="BF126" i="25"/>
  <c r="DC128" i="20"/>
  <c r="BG126" i="25" s="1"/>
  <c r="CW111" i="20"/>
  <c r="BA109" i="25" s="1"/>
  <c r="BB197" i="25"/>
  <c r="AH80" i="20"/>
  <c r="X78" i="25" s="1"/>
  <c r="CW64" i="20"/>
  <c r="BA62" i="25" s="1"/>
  <c r="AZ62" i="25"/>
  <c r="G118" i="20"/>
  <c r="H118" i="20" s="1"/>
  <c r="AI94" i="20"/>
  <c r="BG144" i="25"/>
  <c r="DC210" i="20"/>
  <c r="BG208" i="25" s="1"/>
  <c r="G89" i="25"/>
  <c r="I89" i="25" s="1"/>
  <c r="H212" i="25"/>
  <c r="O98" i="20"/>
  <c r="G55" i="25"/>
  <c r="I55" i="25" s="1"/>
  <c r="G106" i="20"/>
  <c r="H106" i="20" s="1"/>
  <c r="K100" i="20"/>
  <c r="Q179" i="20"/>
  <c r="BQ132" i="20"/>
  <c r="AP166" i="25"/>
  <c r="O198" i="20"/>
  <c r="EH102" i="20"/>
  <c r="BS100" i="25" s="1"/>
  <c r="BM79" i="20"/>
  <c r="AJ77" i="25" s="1"/>
  <c r="AH125" i="20"/>
  <c r="X123" i="25" s="1"/>
  <c r="AH110" i="20"/>
  <c r="X108" i="25" s="1"/>
  <c r="AB90" i="20"/>
  <c r="R88" i="25" s="1"/>
  <c r="AI91" i="20"/>
  <c r="Y89" i="25" s="1"/>
  <c r="AB95" i="20"/>
  <c r="R93" i="25" s="1"/>
  <c r="AH102" i="20"/>
  <c r="X100" i="25" s="1"/>
  <c r="BF62" i="25"/>
  <c r="DC64" i="20"/>
  <c r="DC104" i="20"/>
  <c r="DD146" i="20"/>
  <c r="BF124" i="25"/>
  <c r="DD211" i="20"/>
  <c r="BH209" i="25" s="1"/>
  <c r="P101" i="20"/>
  <c r="G212" i="20"/>
  <c r="H212" i="20" s="1"/>
  <c r="BH197" i="25"/>
  <c r="K58" i="20"/>
  <c r="W99" i="25"/>
  <c r="R168" i="20"/>
  <c r="H213" i="25"/>
  <c r="H75" i="25"/>
  <c r="EG103" i="20"/>
  <c r="BR101" i="25" s="1"/>
  <c r="O206" i="25"/>
  <c r="BS167" i="20"/>
  <c r="AZ139" i="25"/>
  <c r="AJ105" i="20"/>
  <c r="Z103" i="25" s="1"/>
  <c r="H94" i="25"/>
  <c r="DD201" i="20"/>
  <c r="BH199" i="25" s="1"/>
  <c r="W104" i="25"/>
  <c r="G57" i="20"/>
  <c r="H57" i="20" s="1"/>
  <c r="Q99" i="25"/>
  <c r="BN61" i="20"/>
  <c r="AK59" i="25" s="1"/>
  <c r="AN218" i="25"/>
  <c r="P80" i="20"/>
  <c r="I198" i="20"/>
  <c r="G220" i="25"/>
  <c r="I220" i="25" s="1"/>
  <c r="BF138" i="25"/>
  <c r="DC140" i="20"/>
  <c r="BG138" i="25" s="1"/>
  <c r="AO90" i="25"/>
  <c r="BS92" i="20"/>
  <c r="AP90" i="25" s="1"/>
  <c r="BM92" i="20"/>
  <c r="AJ90" i="25" s="1"/>
  <c r="AI90" i="25"/>
  <c r="DC126" i="20"/>
  <c r="K163" i="20"/>
  <c r="AI161" i="25"/>
  <c r="H100" i="25"/>
  <c r="AI93" i="20"/>
  <c r="Y91" i="25" s="1"/>
  <c r="BG131" i="25"/>
  <c r="AH66" i="20"/>
  <c r="X64" i="25" s="1"/>
  <c r="BN163" i="20"/>
  <c r="J87" i="20"/>
  <c r="AZ56" i="25"/>
  <c r="BK51" i="20"/>
  <c r="J82" i="20"/>
  <c r="AY206" i="25"/>
  <c r="BM203" i="20"/>
  <c r="P122" i="20"/>
  <c r="EG107" i="20"/>
  <c r="BR105" i="25" s="1"/>
  <c r="AB91" i="20"/>
  <c r="R89" i="25" s="1"/>
  <c r="CW141" i="20"/>
  <c r="BA139" i="25" s="1"/>
  <c r="BA197" i="25"/>
  <c r="AO227" i="25"/>
  <c r="AO224" i="25" s="1"/>
  <c r="BS229" i="20"/>
  <c r="AP227" i="25" s="1"/>
  <c r="BF109" i="25"/>
  <c r="DC111" i="20"/>
  <c r="DD111" i="20" s="1"/>
  <c r="BH109" i="25" s="1"/>
  <c r="R211" i="25"/>
  <c r="K213" i="20"/>
  <c r="Y58" i="25"/>
  <c r="R65" i="25"/>
  <c r="AC67" i="20"/>
  <c r="S65" i="25" s="1"/>
  <c r="K67" i="20"/>
  <c r="X140" i="25"/>
  <c r="AI199" i="20"/>
  <c r="Y197" i="25" s="1"/>
  <c r="H210" i="25"/>
  <c r="O226" i="20"/>
  <c r="G82" i="20"/>
  <c r="H82" i="20" s="1"/>
  <c r="AI145" i="20"/>
  <c r="Y143" i="25" s="1"/>
  <c r="X75" i="20"/>
  <c r="H71" i="25"/>
  <c r="AB124" i="20"/>
  <c r="R122" i="25" s="1"/>
  <c r="J137" i="20"/>
  <c r="H79" i="25"/>
  <c r="J83" i="20"/>
  <c r="P76" i="20"/>
  <c r="AI205" i="20"/>
  <c r="Y203" i="25" s="1"/>
  <c r="AG4" i="20"/>
  <c r="Z49" i="20"/>
  <c r="Z5" i="20" s="1"/>
  <c r="P110" i="20"/>
  <c r="J72" i="20"/>
  <c r="AA98" i="20"/>
  <c r="O3" i="25"/>
  <c r="AB128" i="20"/>
  <c r="R126" i="25" s="1"/>
  <c r="I63" i="20"/>
  <c r="G112" i="25"/>
  <c r="I112" i="25" s="1"/>
  <c r="P137" i="20"/>
  <c r="AG98" i="20"/>
  <c r="H52" i="25"/>
  <c r="J199" i="20"/>
  <c r="I201" i="25"/>
  <c r="G116" i="25"/>
  <c r="I116" i="25" s="1"/>
  <c r="P82" i="20"/>
  <c r="P104" i="20"/>
  <c r="P102" i="20"/>
  <c r="G89" i="20"/>
  <c r="H89" i="20" s="1"/>
  <c r="J114" i="20"/>
  <c r="J140" i="20"/>
  <c r="P88" i="20"/>
  <c r="J139" i="20"/>
  <c r="P83" i="20"/>
  <c r="J76" i="20"/>
  <c r="H220" i="25"/>
  <c r="AH123" i="20"/>
  <c r="X121" i="25" s="1"/>
  <c r="AB78" i="20"/>
  <c r="R76" i="25" s="1"/>
  <c r="AI136" i="20"/>
  <c r="Y134" i="25" s="1"/>
  <c r="AG109" i="20"/>
  <c r="AH82" i="20"/>
  <c r="AI82" i="20" s="1"/>
  <c r="Y80" i="25" s="1"/>
  <c r="AB140" i="20"/>
  <c r="AB57" i="20"/>
  <c r="AC87" i="20"/>
  <c r="AD87" i="20" s="1"/>
  <c r="AH148" i="20"/>
  <c r="X146" i="25" s="1"/>
  <c r="P90" i="20"/>
  <c r="G72" i="20"/>
  <c r="H72" i="20" s="1"/>
  <c r="P114" i="20"/>
  <c r="K92" i="20"/>
  <c r="G67" i="20"/>
  <c r="H67" i="20" s="1"/>
  <c r="G59" i="20"/>
  <c r="H59" i="20" s="1"/>
  <c r="AC213" i="20"/>
  <c r="S211" i="25" s="1"/>
  <c r="N142" i="25"/>
  <c r="V107" i="25"/>
  <c r="J88" i="20"/>
  <c r="J212" i="20"/>
  <c r="Y219" i="25"/>
  <c r="G119" i="20"/>
  <c r="H119" i="20" s="1"/>
  <c r="G65" i="25"/>
  <c r="I65" i="25" s="1"/>
  <c r="G57" i="25"/>
  <c r="I57" i="25" s="1"/>
  <c r="AB127" i="20"/>
  <c r="R125" i="25" s="1"/>
  <c r="AH104" i="20"/>
  <c r="X102" i="25" s="1"/>
  <c r="AB82" i="20"/>
  <c r="P3" i="25"/>
  <c r="X144" i="20"/>
  <c r="AH137" i="20"/>
  <c r="X135" i="25" s="1"/>
  <c r="G114" i="20"/>
  <c r="H114" i="20" s="1"/>
  <c r="O130" i="25"/>
  <c r="AH77" i="20"/>
  <c r="X75" i="25" s="1"/>
  <c r="J128" i="20"/>
  <c r="G70" i="25"/>
  <c r="I70" i="25" s="1"/>
  <c r="P111" i="20"/>
  <c r="P72" i="20"/>
  <c r="G91" i="20"/>
  <c r="H91" i="20" s="1"/>
  <c r="G117" i="25"/>
  <c r="I117" i="25" s="1"/>
  <c r="P57" i="20"/>
  <c r="P107" i="25"/>
  <c r="I107" i="25" s="1"/>
  <c r="AH133" i="20"/>
  <c r="X131" i="25" s="1"/>
  <c r="AB119" i="20"/>
  <c r="AC119" i="20" s="1"/>
  <c r="S117" i="25" s="1"/>
  <c r="X87" i="25"/>
  <c r="Q89" i="20"/>
  <c r="AI89" i="20"/>
  <c r="Y87" i="25" s="1"/>
  <c r="S74" i="25"/>
  <c r="AD76" i="20"/>
  <c r="S58" i="25"/>
  <c r="L60" i="20"/>
  <c r="R203" i="25"/>
  <c r="K205" i="20"/>
  <c r="AC205" i="20"/>
  <c r="AD205" i="20" s="1"/>
  <c r="T203" i="25" s="1"/>
  <c r="Y105" i="25"/>
  <c r="AJ107" i="20"/>
  <c r="Z105" i="25" s="1"/>
  <c r="R131" i="25"/>
  <c r="AC133" i="20"/>
  <c r="AD133" i="20" s="1"/>
  <c r="X74" i="25"/>
  <c r="Q62" i="25"/>
  <c r="AA63" i="20"/>
  <c r="J64" i="20"/>
  <c r="Q69" i="25"/>
  <c r="J71" i="20"/>
  <c r="Q91" i="25"/>
  <c r="J93" i="20"/>
  <c r="X134" i="25"/>
  <c r="Q136" i="20"/>
  <c r="H76" i="25"/>
  <c r="Y229" i="25"/>
  <c r="AJ231" i="20"/>
  <c r="Z229" i="25" s="1"/>
  <c r="W65" i="25"/>
  <c r="P67" i="20"/>
  <c r="AB102" i="20"/>
  <c r="Q100" i="25"/>
  <c r="R197" i="25"/>
  <c r="AH69" i="20"/>
  <c r="AI69" i="20" s="1"/>
  <c r="Y67" i="25" s="1"/>
  <c r="X86" i="20"/>
  <c r="AG51" i="20"/>
  <c r="P118" i="20"/>
  <c r="AA226" i="20"/>
  <c r="G111" i="20"/>
  <c r="H111" i="20" s="1"/>
  <c r="G139" i="20"/>
  <c r="H139" i="20" s="1"/>
  <c r="H199" i="25"/>
  <c r="H82" i="25"/>
  <c r="G50" i="25"/>
  <c r="I50" i="25" s="1"/>
  <c r="W63" i="25"/>
  <c r="P65" i="20"/>
  <c r="AB81" i="20"/>
  <c r="R79" i="25" s="1"/>
  <c r="AH83" i="20"/>
  <c r="AI83" i="20" s="1"/>
  <c r="Y81" i="25" s="1"/>
  <c r="Q134" i="25"/>
  <c r="J136" i="20"/>
  <c r="AH201" i="20"/>
  <c r="AI201" i="20" s="1"/>
  <c r="Y199" i="25" s="1"/>
  <c r="AB204" i="20"/>
  <c r="Q140" i="25"/>
  <c r="J142" i="20"/>
  <c r="AH209" i="20"/>
  <c r="W207" i="25"/>
  <c r="AI213" i="20"/>
  <c r="AJ213" i="20" s="1"/>
  <c r="AI119" i="20"/>
  <c r="AJ119" i="20" s="1"/>
  <c r="AB112" i="20"/>
  <c r="AC112" i="20" s="1"/>
  <c r="S110" i="25" s="1"/>
  <c r="W220" i="25"/>
  <c r="AG220" i="20"/>
  <c r="AB70" i="20"/>
  <c r="AC70" i="20" s="1"/>
  <c r="AH138" i="20"/>
  <c r="AI138" i="20" s="1"/>
  <c r="W90" i="25"/>
  <c r="P92" i="20"/>
  <c r="AH206" i="20"/>
  <c r="X204" i="25" s="1"/>
  <c r="O84" i="25"/>
  <c r="AB72" i="20"/>
  <c r="K72" i="20" s="1"/>
  <c r="AB59" i="20"/>
  <c r="AC59" i="20" s="1"/>
  <c r="S57" i="25" s="1"/>
  <c r="AB96" i="20"/>
  <c r="AI216" i="20"/>
  <c r="J111" i="20"/>
  <c r="N140" i="25"/>
  <c r="G140" i="25" s="1"/>
  <c r="I140" i="25" s="1"/>
  <c r="G142" i="20"/>
  <c r="H142" i="20" s="1"/>
  <c r="AI65" i="20"/>
  <c r="AJ65" i="20" s="1"/>
  <c r="Z63" i="25" s="1"/>
  <c r="AH212" i="20"/>
  <c r="AI212" i="20" s="1"/>
  <c r="Y210" i="25" s="1"/>
  <c r="W210" i="25"/>
  <c r="AB229" i="20"/>
  <c r="K229" i="20" s="1"/>
  <c r="AH204" i="20"/>
  <c r="W133" i="25"/>
  <c r="P135" i="20"/>
  <c r="AB93" i="20"/>
  <c r="AC93" i="20" s="1"/>
  <c r="J99" i="20"/>
  <c r="G137" i="25"/>
  <c r="I137" i="25" s="1"/>
  <c r="H97" i="25"/>
  <c r="Q120" i="25"/>
  <c r="Q119" i="25" s="1"/>
  <c r="AA121" i="20"/>
  <c r="Q58" i="25"/>
  <c r="J60" i="20"/>
  <c r="AH124" i="20"/>
  <c r="Q87" i="25"/>
  <c r="J89" i="20"/>
  <c r="N133" i="25"/>
  <c r="G133" i="25" s="1"/>
  <c r="I133" i="25" s="1"/>
  <c r="G135" i="20"/>
  <c r="H135" i="20" s="1"/>
  <c r="AB71" i="20"/>
  <c r="AC71" i="20" s="1"/>
  <c r="P130" i="25"/>
  <c r="I130" i="25" s="1"/>
  <c r="AH73" i="20"/>
  <c r="X71" i="25" s="1"/>
  <c r="AB99" i="20"/>
  <c r="AC99" i="20" s="1"/>
  <c r="AI68" i="20"/>
  <c r="Y66" i="25" s="1"/>
  <c r="AH200" i="20"/>
  <c r="X198" i="25" s="1"/>
  <c r="AB137" i="20"/>
  <c r="AC137" i="20" s="1"/>
  <c r="AC142" i="20"/>
  <c r="AD142" i="20" s="1"/>
  <c r="T140" i="25" s="1"/>
  <c r="AH57" i="20"/>
  <c r="Q57" i="20" s="1"/>
  <c r="N110" i="25"/>
  <c r="G110" i="25" s="1"/>
  <c r="I110" i="25" s="1"/>
  <c r="G112" i="20"/>
  <c r="H112" i="20" s="1"/>
  <c r="Q220" i="25"/>
  <c r="AB222" i="20"/>
  <c r="AA220" i="20"/>
  <c r="AH64" i="20"/>
  <c r="AI64" i="20" s="1"/>
  <c r="Q197" i="25"/>
  <c r="Q196" i="25" s="1"/>
  <c r="AA198" i="20"/>
  <c r="AH92" i="20"/>
  <c r="AH95" i="20"/>
  <c r="AA75" i="20"/>
  <c r="Q74" i="25"/>
  <c r="Q73" i="25" s="1"/>
  <c r="Q50" i="25"/>
  <c r="J52" i="20"/>
  <c r="Q133" i="25"/>
  <c r="J135" i="20"/>
  <c r="AH141" i="20"/>
  <c r="X139" i="25" s="1"/>
  <c r="W139" i="25"/>
  <c r="J113" i="20"/>
  <c r="AB111" i="20"/>
  <c r="R109" i="25" s="1"/>
  <c r="AJ229" i="20"/>
  <c r="Z227" i="25" s="1"/>
  <c r="W227" i="25"/>
  <c r="W224" i="25" s="1"/>
  <c r="P229" i="20"/>
  <c r="G88" i="25"/>
  <c r="I88" i="25" s="1"/>
  <c r="V49" i="25"/>
  <c r="AH134" i="20"/>
  <c r="X132" i="25" s="1"/>
  <c r="X65" i="25"/>
  <c r="Q67" i="20"/>
  <c r="AH118" i="20"/>
  <c r="H131" i="25"/>
  <c r="W67" i="25"/>
  <c r="P69" i="20"/>
  <c r="O73" i="25"/>
  <c r="X203" i="20"/>
  <c r="X211" i="25"/>
  <c r="Q213" i="20"/>
  <c r="W110" i="25"/>
  <c r="P112" i="20"/>
  <c r="AH129" i="20"/>
  <c r="AB64" i="20"/>
  <c r="AC64" i="20" s="1"/>
  <c r="W68" i="25"/>
  <c r="P70" i="20"/>
  <c r="P61" i="25"/>
  <c r="AB217" i="20"/>
  <c r="R215" i="25" s="1"/>
  <c r="G137" i="20"/>
  <c r="H137" i="20" s="1"/>
  <c r="G135" i="25"/>
  <c r="I135" i="25" s="1"/>
  <c r="AG226" i="20"/>
  <c r="G87" i="20"/>
  <c r="H87" i="20" s="1"/>
  <c r="G95" i="20"/>
  <c r="H95" i="20" s="1"/>
  <c r="Q224" i="25"/>
  <c r="G109" i="25"/>
  <c r="I109" i="25" s="1"/>
  <c r="O107" i="25"/>
  <c r="AH210" i="20"/>
  <c r="X208" i="25" s="1"/>
  <c r="G107" i="20"/>
  <c r="H107" i="20" s="1"/>
  <c r="G93" i="25"/>
  <c r="I93" i="25" s="1"/>
  <c r="AG208" i="20"/>
  <c r="G115" i="20"/>
  <c r="H115" i="20" s="1"/>
  <c r="AJ53" i="20"/>
  <c r="Z51" i="25" s="1"/>
  <c r="G210" i="25"/>
  <c r="I210" i="25" s="1"/>
  <c r="P212" i="20"/>
  <c r="P139" i="20"/>
  <c r="AB123" i="20"/>
  <c r="AB122" i="20"/>
  <c r="W58" i="25"/>
  <c r="P60" i="20"/>
  <c r="AH224" i="20"/>
  <c r="AI224" i="20" s="1"/>
  <c r="Y222" i="25" s="1"/>
  <c r="AH84" i="20"/>
  <c r="AH81" i="20"/>
  <c r="Q81" i="20" s="1"/>
  <c r="AH111" i="20"/>
  <c r="AB110" i="20"/>
  <c r="Q108" i="25"/>
  <c r="AB73" i="20"/>
  <c r="AB200" i="20"/>
  <c r="O201" i="25"/>
  <c r="H201" i="25" s="1"/>
  <c r="AD94" i="20"/>
  <c r="AB113" i="20"/>
  <c r="W140" i="25"/>
  <c r="P142" i="20"/>
  <c r="AB209" i="20"/>
  <c r="K209" i="20" s="1"/>
  <c r="Q207" i="25"/>
  <c r="AH90" i="20"/>
  <c r="AI90" i="20" s="1"/>
  <c r="Y88" i="25" s="1"/>
  <c r="Q211" i="25"/>
  <c r="J213" i="20"/>
  <c r="AB114" i="20"/>
  <c r="AH147" i="20"/>
  <c r="X145" i="25" s="1"/>
  <c r="W117" i="25"/>
  <c r="P119" i="20"/>
  <c r="J223" i="20"/>
  <c r="AB223" i="20"/>
  <c r="Q221" i="25"/>
  <c r="AH222" i="20"/>
  <c r="AH70" i="20"/>
  <c r="AI70" i="20" s="1"/>
  <c r="AB138" i="20"/>
  <c r="V62" i="25"/>
  <c r="AF63" i="20"/>
  <c r="X63" i="20" s="1"/>
  <c r="O64" i="20"/>
  <c r="AF4" i="20"/>
  <c r="Q90" i="25"/>
  <c r="J92" i="20"/>
  <c r="AA86" i="20"/>
  <c r="Q85" i="25"/>
  <c r="X220" i="20"/>
  <c r="N68" i="25"/>
  <c r="G68" i="25" s="1"/>
  <c r="I68" i="25" s="1"/>
  <c r="G70" i="20"/>
  <c r="H70" i="20" s="1"/>
  <c r="G90" i="20"/>
  <c r="H90" i="20" s="1"/>
  <c r="AH52" i="20"/>
  <c r="AI52" i="20" s="1"/>
  <c r="AJ52" i="20" s="1"/>
  <c r="P115" i="20"/>
  <c r="P141" i="20"/>
  <c r="N119" i="25"/>
  <c r="W134" i="25"/>
  <c r="P136" i="20"/>
  <c r="Q67" i="25"/>
  <c r="J69" i="20"/>
  <c r="AH115" i="20"/>
  <c r="W113" i="25"/>
  <c r="J229" i="20"/>
  <c r="Q229" i="20"/>
  <c r="W120" i="25"/>
  <c r="W119" i="25" s="1"/>
  <c r="AG121" i="20"/>
  <c r="W131" i="25"/>
  <c r="AG132" i="20"/>
  <c r="G133" i="20"/>
  <c r="H133" i="20" s="1"/>
  <c r="O224" i="25"/>
  <c r="G110" i="20"/>
  <c r="H110" i="20" s="1"/>
  <c r="G68" i="20"/>
  <c r="H68" i="20" s="1"/>
  <c r="P210" i="20"/>
  <c r="O208" i="20"/>
  <c r="N63" i="25"/>
  <c r="G63" i="25" s="1"/>
  <c r="I63" i="25" s="1"/>
  <c r="G65" i="20"/>
  <c r="H65" i="20" s="1"/>
  <c r="AD60" i="20"/>
  <c r="W143" i="25"/>
  <c r="W142" i="25" s="1"/>
  <c r="AG144" i="20"/>
  <c r="AB83" i="20"/>
  <c r="AB136" i="20"/>
  <c r="W66" i="25"/>
  <c r="P68" i="20"/>
  <c r="AH113" i="20"/>
  <c r="AB88" i="20"/>
  <c r="R86" i="25" s="1"/>
  <c r="W211" i="25"/>
  <c r="P213" i="20"/>
  <c r="Q65" i="25"/>
  <c r="J67" i="20"/>
  <c r="N62" i="25"/>
  <c r="G64" i="20"/>
  <c r="H64" i="20" s="1"/>
  <c r="N196" i="25"/>
  <c r="N90" i="25"/>
  <c r="G90" i="25" s="1"/>
  <c r="I90" i="25" s="1"/>
  <c r="G92" i="20"/>
  <c r="H92" i="20" s="1"/>
  <c r="AH139" i="20"/>
  <c r="AI139" i="20" s="1"/>
  <c r="AB215" i="20"/>
  <c r="W74" i="25"/>
  <c r="W73" i="25" s="1"/>
  <c r="AG75" i="20"/>
  <c r="P84" i="25"/>
  <c r="I84" i="25" s="1"/>
  <c r="R74" i="25"/>
  <c r="AB214" i="20"/>
  <c r="R212" i="25" s="1"/>
  <c r="Q212" i="25"/>
  <c r="W50" i="25"/>
  <c r="P52" i="20"/>
  <c r="H64" i="25"/>
  <c r="N69" i="25"/>
  <c r="G69" i="25" s="1"/>
  <c r="I69" i="25" s="1"/>
  <c r="G71" i="20"/>
  <c r="H71" i="20" s="1"/>
  <c r="AH130" i="20"/>
  <c r="X128" i="25" s="1"/>
  <c r="W62" i="25"/>
  <c r="AG63" i="20"/>
  <c r="P64" i="20"/>
  <c r="Q63" i="25"/>
  <c r="J65" i="20"/>
  <c r="N203" i="25"/>
  <c r="G205" i="20"/>
  <c r="H205" i="20" s="1"/>
  <c r="R85" i="25"/>
  <c r="N92" i="25"/>
  <c r="G92" i="25" s="1"/>
  <c r="I92" i="25" s="1"/>
  <c r="G94" i="20"/>
  <c r="H94" i="20" s="1"/>
  <c r="AC92" i="20"/>
  <c r="AD92" i="20" s="1"/>
  <c r="J79" i="20"/>
  <c r="AA109" i="20"/>
  <c r="G52" i="20"/>
  <c r="H52" i="20" s="1"/>
  <c r="AH226" i="20"/>
  <c r="P138" i="20"/>
  <c r="T209" i="25"/>
  <c r="J118" i="20"/>
  <c r="G113" i="20"/>
  <c r="H113" i="20" s="1"/>
  <c r="G66" i="25"/>
  <c r="I66" i="25" s="1"/>
  <c r="H132" i="25"/>
  <c r="J59" i="20"/>
  <c r="H78" i="25"/>
  <c r="G145" i="20"/>
  <c r="H145" i="20" s="1"/>
  <c r="G148" i="20"/>
  <c r="H148" i="20" s="1"/>
  <c r="Q93" i="20"/>
  <c r="AJ60" i="20"/>
  <c r="AB84" i="20"/>
  <c r="R82" i="25" s="1"/>
  <c r="Q143" i="25"/>
  <c r="Q142" i="25" s="1"/>
  <c r="AA144" i="20"/>
  <c r="AB66" i="20"/>
  <c r="N134" i="25"/>
  <c r="G134" i="25" s="1"/>
  <c r="I134" i="25" s="1"/>
  <c r="G136" i="20"/>
  <c r="H136" i="20" s="1"/>
  <c r="AH127" i="20"/>
  <c r="AH128" i="20"/>
  <c r="Q203" i="25"/>
  <c r="J205" i="20"/>
  <c r="AH99" i="20"/>
  <c r="Q131" i="25"/>
  <c r="AA132" i="20"/>
  <c r="N211" i="25"/>
  <c r="G211" i="25" s="1"/>
  <c r="I211" i="25" s="1"/>
  <c r="G213" i="20"/>
  <c r="H213" i="20" s="1"/>
  <c r="AH56" i="20"/>
  <c r="X54" i="25" s="1"/>
  <c r="AB129" i="20"/>
  <c r="R127" i="25" s="1"/>
  <c r="W221" i="25"/>
  <c r="P223" i="20"/>
  <c r="O61" i="25"/>
  <c r="H62" i="25"/>
  <c r="O196" i="25"/>
  <c r="Q89" i="25"/>
  <c r="J91" i="20"/>
  <c r="AB139" i="20"/>
  <c r="R137" i="25" s="1"/>
  <c r="AB118" i="20"/>
  <c r="R116" i="25" s="1"/>
  <c r="O218" i="25"/>
  <c r="V130" i="25"/>
  <c r="N58" i="25"/>
  <c r="G58" i="25" s="1"/>
  <c r="I58" i="25" s="1"/>
  <c r="G60" i="20"/>
  <c r="H60" i="20" s="1"/>
  <c r="X203" i="25"/>
  <c r="Q110" i="25"/>
  <c r="J112" i="20"/>
  <c r="X197" i="25"/>
  <c r="AC89" i="20"/>
  <c r="S87" i="25" s="1"/>
  <c r="O49" i="25"/>
  <c r="I49" i="25"/>
  <c r="O119" i="25"/>
  <c r="W203" i="25"/>
  <c r="P205" i="20"/>
  <c r="W202" i="25"/>
  <c r="AG203" i="20"/>
  <c r="AG198" i="20"/>
  <c r="W197" i="25"/>
  <c r="W196" i="25" s="1"/>
  <c r="AC69" i="20"/>
  <c r="S67" i="25" s="1"/>
  <c r="N73" i="25"/>
  <c r="AA208" i="20"/>
  <c r="G224" i="20"/>
  <c r="H224" i="20" s="1"/>
  <c r="R58" i="25"/>
  <c r="K60" i="20"/>
  <c r="Q202" i="25"/>
  <c r="AA203" i="20"/>
  <c r="Q117" i="25"/>
  <c r="J119" i="20"/>
  <c r="AI112" i="20"/>
  <c r="Q68" i="25"/>
  <c r="J70" i="20"/>
  <c r="AB79" i="20"/>
  <c r="R77" i="25" s="1"/>
  <c r="V84" i="25"/>
  <c r="X4" i="20"/>
  <c r="AB65" i="20"/>
  <c r="W87" i="25"/>
  <c r="P89" i="20"/>
  <c r="AH135" i="20"/>
  <c r="G116" i="20"/>
  <c r="H116" i="20" s="1"/>
  <c r="Q112" i="20"/>
  <c r="G93" i="20"/>
  <c r="H93" i="20" s="1"/>
  <c r="G141" i="20"/>
  <c r="H141" i="20" s="1"/>
  <c r="X227" i="25"/>
  <c r="AA4" i="20"/>
  <c r="Y49" i="20"/>
  <c r="Y5" i="20" s="1"/>
  <c r="J104" i="20"/>
  <c r="G111" i="25"/>
  <c r="I111" i="25" s="1"/>
  <c r="Q65" i="20"/>
  <c r="AH122" i="20"/>
  <c r="AI122" i="20" s="1"/>
  <c r="X58" i="25"/>
  <c r="Q60" i="20"/>
  <c r="J224" i="20"/>
  <c r="AB224" i="20"/>
  <c r="AC224" i="20" s="1"/>
  <c r="Q222" i="25"/>
  <c r="O142" i="25"/>
  <c r="AB135" i="20"/>
  <c r="AC135" i="20" s="1"/>
  <c r="W69" i="25"/>
  <c r="P71" i="20"/>
  <c r="Q66" i="25"/>
  <c r="J68" i="20"/>
  <c r="AI142" i="20"/>
  <c r="AJ142" i="20" s="1"/>
  <c r="AB80" i="20"/>
  <c r="N54" i="25"/>
  <c r="G54" i="25" s="1"/>
  <c r="I54" i="25" s="1"/>
  <c r="G56" i="20"/>
  <c r="H56" i="20" s="1"/>
  <c r="AH223" i="20"/>
  <c r="AC141" i="20"/>
  <c r="S139" i="25" s="1"/>
  <c r="Q139" i="25"/>
  <c r="W89" i="25"/>
  <c r="P91" i="20"/>
  <c r="W85" i="25"/>
  <c r="AG86" i="20"/>
  <c r="AI76" i="20"/>
  <c r="AB126" i="20"/>
  <c r="AH214" i="20"/>
  <c r="AI214" i="20" s="1"/>
  <c r="Y212" i="25" s="1"/>
  <c r="AB54" i="20"/>
  <c r="R52" i="25" s="1"/>
  <c r="W91" i="25"/>
  <c r="P93" i="20"/>
  <c r="AB52" i="20"/>
  <c r="R171" i="20"/>
  <c r="AP169" i="25"/>
  <c r="R192" i="20"/>
  <c r="BT192" i="20"/>
  <c r="AQ190" i="25" s="1"/>
  <c r="G223" i="20"/>
  <c r="H223" i="20" s="1"/>
  <c r="AK54" i="25"/>
  <c r="AJ126" i="25"/>
  <c r="BN128" i="20"/>
  <c r="AK126" i="25" s="1"/>
  <c r="AI149" i="25"/>
  <c r="K151" i="20"/>
  <c r="AK169" i="25"/>
  <c r="M171" i="20"/>
  <c r="BR220" i="20"/>
  <c r="AM3" i="25"/>
  <c r="AO54" i="25"/>
  <c r="BS56" i="20"/>
  <c r="BT56" i="20" s="1"/>
  <c r="AE149" i="25"/>
  <c r="G151" i="20"/>
  <c r="H151" i="20" s="1"/>
  <c r="AH170" i="25"/>
  <c r="J172" i="20"/>
  <c r="BL172" i="20"/>
  <c r="AO221" i="25"/>
  <c r="AO218" i="25" s="1"/>
  <c r="BT223" i="20"/>
  <c r="AQ221" i="25" s="1"/>
  <c r="BS206" i="20"/>
  <c r="AP204" i="25" s="1"/>
  <c r="BR151" i="20"/>
  <c r="AN149" i="25"/>
  <c r="P151" i="20"/>
  <c r="BK150" i="20"/>
  <c r="AH148" i="25" s="1"/>
  <c r="BH150" i="20"/>
  <c r="BR172" i="20"/>
  <c r="BS172" i="20" s="1"/>
  <c r="AN170" i="25"/>
  <c r="P172" i="20"/>
  <c r="BQ170" i="20"/>
  <c r="BN101" i="20"/>
  <c r="AK99" i="25" s="1"/>
  <c r="BQ86" i="20"/>
  <c r="AJ54" i="25"/>
  <c r="AG142" i="25"/>
  <c r="BK170" i="20"/>
  <c r="BL170" i="20" s="1"/>
  <c r="BH170" i="20"/>
  <c r="BQ4" i="20"/>
  <c r="BM151" i="20"/>
  <c r="BN151" i="20" s="1"/>
  <c r="AJ221" i="25"/>
  <c r="BN223" i="20"/>
  <c r="AK221" i="25" s="1"/>
  <c r="BT57" i="20"/>
  <c r="AP55" i="25"/>
  <c r="K141" i="20"/>
  <c r="BL73" i="20"/>
  <c r="BM73" i="20" s="1"/>
  <c r="AJ71" i="25" s="1"/>
  <c r="BT129" i="20"/>
  <c r="AQ127" i="25" s="1"/>
  <c r="BR195" i="20"/>
  <c r="Q195" i="20" s="1"/>
  <c r="AO55" i="25"/>
  <c r="BT79" i="20"/>
  <c r="AQ77" i="25" s="1"/>
  <c r="BN57" i="20"/>
  <c r="AJ55" i="25"/>
  <c r="J151" i="20"/>
  <c r="AH149" i="25"/>
  <c r="BL158" i="20"/>
  <c r="AI156" i="25" s="1"/>
  <c r="BM187" i="20"/>
  <c r="BN187" i="20" s="1"/>
  <c r="H149" i="25"/>
  <c r="AF142" i="25"/>
  <c r="AE218" i="25"/>
  <c r="L191" i="20"/>
  <c r="BS117" i="20"/>
  <c r="AH119" i="25"/>
  <c r="AF49" i="25"/>
  <c r="BN122" i="20"/>
  <c r="AK120" i="25" s="1"/>
  <c r="AJ120" i="25"/>
  <c r="G172" i="20"/>
  <c r="H172" i="20" s="1"/>
  <c r="AE170" i="25"/>
  <c r="G170" i="25" s="1"/>
  <c r="I170" i="25" s="1"/>
  <c r="BT171" i="20"/>
  <c r="BN218" i="25"/>
  <c r="G210" i="20"/>
  <c r="H210" i="20" s="1"/>
  <c r="EM82" i="20"/>
  <c r="BX80" i="25" s="1"/>
  <c r="G216" i="20"/>
  <c r="H216" i="20" s="1"/>
  <c r="P99" i="20"/>
  <c r="P126" i="20"/>
  <c r="G214" i="25"/>
  <c r="I214" i="25" s="1"/>
  <c r="EG229" i="20"/>
  <c r="BR227" i="25" s="1"/>
  <c r="BO96" i="25"/>
  <c r="I96" i="25" s="1"/>
  <c r="G221" i="20"/>
  <c r="H221" i="20" s="1"/>
  <c r="EL122" i="20"/>
  <c r="BW120" i="25" s="1"/>
  <c r="EL126" i="20"/>
  <c r="EM126" i="20" s="1"/>
  <c r="BX124" i="25" s="1"/>
  <c r="EB220" i="20"/>
  <c r="G105" i="20"/>
  <c r="H105" i="20" s="1"/>
  <c r="BU96" i="25"/>
  <c r="G103" i="25"/>
  <c r="I103" i="25" s="1"/>
  <c r="G222" i="20"/>
  <c r="H222" i="20" s="1"/>
  <c r="P123" i="20"/>
  <c r="EH145" i="20"/>
  <c r="BS143" i="25" s="1"/>
  <c r="EC49" i="20"/>
  <c r="EC5" i="20" s="1"/>
  <c r="EL123" i="20"/>
  <c r="EM123" i="20" s="1"/>
  <c r="BX121" i="25" s="1"/>
  <c r="BQ97" i="25"/>
  <c r="P227" i="20"/>
  <c r="K106" i="20"/>
  <c r="EG106" i="20"/>
  <c r="BR104" i="25" s="1"/>
  <c r="EN106" i="20"/>
  <c r="BY104" i="25" s="1"/>
  <c r="EB75" i="20"/>
  <c r="P128" i="20"/>
  <c r="BU224" i="25"/>
  <c r="EK98" i="20"/>
  <c r="EL129" i="20"/>
  <c r="EM129" i="20" s="1"/>
  <c r="BX127" i="25" s="1"/>
  <c r="BN96" i="25"/>
  <c r="P129" i="20"/>
  <c r="BQ219" i="25"/>
  <c r="BW79" i="25"/>
  <c r="EG78" i="20"/>
  <c r="EG124" i="20" s="1"/>
  <c r="BR122" i="25" s="1"/>
  <c r="EF199" i="20"/>
  <c r="EG199" i="20" s="1"/>
  <c r="BP103" i="25"/>
  <c r="EF105" i="20"/>
  <c r="H103" i="25"/>
  <c r="BO142" i="25"/>
  <c r="EB208" i="20"/>
  <c r="EM200" i="20"/>
  <c r="BX198" i="25" s="1"/>
  <c r="EG221" i="20"/>
  <c r="EE144" i="20"/>
  <c r="G80" i="20"/>
  <c r="H80" i="20" s="1"/>
  <c r="EN101" i="20"/>
  <c r="BY99" i="25" s="1"/>
  <c r="G78" i="25"/>
  <c r="I78" i="25" s="1"/>
  <c r="J210" i="20"/>
  <c r="G83" i="20"/>
  <c r="H83" i="20" s="1"/>
  <c r="P199" i="20"/>
  <c r="EF125" i="20"/>
  <c r="BQ123" i="25" s="1"/>
  <c r="G81" i="25"/>
  <c r="I81" i="25" s="1"/>
  <c r="G199" i="20"/>
  <c r="H199" i="20" s="1"/>
  <c r="H219" i="25"/>
  <c r="BV103" i="25"/>
  <c r="EL105" i="20"/>
  <c r="BQ77" i="25"/>
  <c r="EG201" i="20"/>
  <c r="EH201" i="20" s="1"/>
  <c r="BS199" i="25" s="1"/>
  <c r="BQ212" i="25"/>
  <c r="EH79" i="20"/>
  <c r="BR77" i="25"/>
  <c r="EG125" i="20"/>
  <c r="BR123" i="25" s="1"/>
  <c r="BW228" i="25"/>
  <c r="BQ229" i="25"/>
  <c r="EG231" i="20"/>
  <c r="EH231" i="20" s="1"/>
  <c r="BU201" i="25"/>
  <c r="EL128" i="20"/>
  <c r="EM128" i="20" s="1"/>
  <c r="BX126" i="25" s="1"/>
  <c r="G227" i="20"/>
  <c r="H227" i="20" s="1"/>
  <c r="BO196" i="25"/>
  <c r="I196" i="25" s="1"/>
  <c r="P206" i="20"/>
  <c r="G76" i="20"/>
  <c r="H76" i="20" s="1"/>
  <c r="BR216" i="25"/>
  <c r="EH218" i="20"/>
  <c r="BS216" i="25" s="1"/>
  <c r="H204" i="25"/>
  <c r="EM107" i="20"/>
  <c r="BW105" i="25"/>
  <c r="BN73" i="25"/>
  <c r="EE75" i="20"/>
  <c r="EE121" i="20" s="1"/>
  <c r="EG214" i="20"/>
  <c r="BR212" i="25" s="1"/>
  <c r="G99" i="20"/>
  <c r="H99" i="20" s="1"/>
  <c r="BU196" i="25"/>
  <c r="BQ208" i="25"/>
  <c r="BX215" i="25"/>
  <c r="BR202" i="25"/>
  <c r="BQ228" i="25"/>
  <c r="K230" i="20"/>
  <c r="EF127" i="20"/>
  <c r="BQ79" i="25"/>
  <c r="BW219" i="25"/>
  <c r="EL220" i="20"/>
  <c r="BQ144" i="25"/>
  <c r="K146" i="20"/>
  <c r="BX214" i="25"/>
  <c r="BQ204" i="25"/>
  <c r="EF203" i="20"/>
  <c r="BW199" i="25"/>
  <c r="EM201" i="20"/>
  <c r="EN201" i="20" s="1"/>
  <c r="BM212" i="25"/>
  <c r="G212" i="25" s="1"/>
  <c r="I212" i="25" s="1"/>
  <c r="G214" i="20"/>
  <c r="H214" i="20" s="1"/>
  <c r="BN206" i="25"/>
  <c r="BM76" i="25"/>
  <c r="G76" i="25" s="1"/>
  <c r="I76" i="25" s="1"/>
  <c r="G78" i="20"/>
  <c r="H78" i="20" s="1"/>
  <c r="BO120" i="25"/>
  <c r="I122" i="20"/>
  <c r="BV79" i="25"/>
  <c r="P81" i="20"/>
  <c r="EG146" i="20"/>
  <c r="BR144" i="25" s="1"/>
  <c r="EM215" i="20"/>
  <c r="EN215" i="20" s="1"/>
  <c r="J84" i="20"/>
  <c r="BP82" i="25"/>
  <c r="EE130" i="20"/>
  <c r="BV228" i="25"/>
  <c r="P230" i="20"/>
  <c r="BV225" i="25"/>
  <c r="EK226" i="20"/>
  <c r="EE126" i="20"/>
  <c r="EF80" i="20"/>
  <c r="EG80" i="20" s="1"/>
  <c r="BP78" i="25"/>
  <c r="EC4" i="20"/>
  <c r="H4" i="20" s="1"/>
  <c r="BV198" i="25"/>
  <c r="P200" i="20"/>
  <c r="BO224" i="25"/>
  <c r="I224" i="25" s="1"/>
  <c r="BP229" i="25"/>
  <c r="J231" i="20"/>
  <c r="BV212" i="25"/>
  <c r="P214" i="20"/>
  <c r="G128" i="20"/>
  <c r="H128" i="20" s="1"/>
  <c r="BO125" i="25"/>
  <c r="I127" i="20"/>
  <c r="BO128" i="25"/>
  <c r="I130" i="20"/>
  <c r="BM75" i="25"/>
  <c r="G75" i="25" s="1"/>
  <c r="I75" i="25" s="1"/>
  <c r="G77" i="20"/>
  <c r="H77" i="20" s="1"/>
  <c r="ED121" i="20"/>
  <c r="I121" i="20" s="1"/>
  <c r="I75" i="20"/>
  <c r="BO124" i="25"/>
  <c r="I126" i="20"/>
  <c r="ED4" i="20"/>
  <c r="I4" i="20" s="1"/>
  <c r="EE198" i="20"/>
  <c r="BP197" i="25"/>
  <c r="EG230" i="20"/>
  <c r="BR228" i="25" s="1"/>
  <c r="BV78" i="25"/>
  <c r="EL80" i="20"/>
  <c r="EM80" i="20" s="1"/>
  <c r="BV199" i="25"/>
  <c r="P201" i="20"/>
  <c r="BW215" i="25"/>
  <c r="BQ146" i="25"/>
  <c r="EG148" i="20"/>
  <c r="EF200" i="20"/>
  <c r="BP97" i="25"/>
  <c r="EE98" i="20"/>
  <c r="BW212" i="25"/>
  <c r="EE124" i="20"/>
  <c r="BP76" i="25"/>
  <c r="J78" i="20"/>
  <c r="G126" i="25"/>
  <c r="I126" i="25" s="1"/>
  <c r="BM82" i="25"/>
  <c r="G82" i="25" s="1"/>
  <c r="I82" i="25" s="1"/>
  <c r="G84" i="20"/>
  <c r="H84" i="20" s="1"/>
  <c r="BM228" i="25"/>
  <c r="G228" i="25" s="1"/>
  <c r="I228" i="25" s="1"/>
  <c r="G230" i="20"/>
  <c r="H230" i="20" s="1"/>
  <c r="BO73" i="25"/>
  <c r="I73" i="25" s="1"/>
  <c r="BM204" i="25"/>
  <c r="G204" i="25" s="1"/>
  <c r="I204" i="25" s="1"/>
  <c r="G206" i="20"/>
  <c r="H206" i="20" s="1"/>
  <c r="BM145" i="25"/>
  <c r="G147" i="20"/>
  <c r="H147" i="20" s="1"/>
  <c r="EE127" i="20"/>
  <c r="BP79" i="25"/>
  <c r="J81" i="20"/>
  <c r="BP144" i="25"/>
  <c r="J146" i="20"/>
  <c r="EG210" i="20"/>
  <c r="BW197" i="25"/>
  <c r="EL198" i="20"/>
  <c r="BQ213" i="25"/>
  <c r="BQ82" i="25"/>
  <c r="EF130" i="20"/>
  <c r="J77" i="20"/>
  <c r="BP75" i="25"/>
  <c r="EE123" i="20"/>
  <c r="EF77" i="20"/>
  <c r="EG77" i="20" s="1"/>
  <c r="BW225" i="25"/>
  <c r="EF217" i="20"/>
  <c r="BV201" i="25"/>
  <c r="EL231" i="20"/>
  <c r="EM231" i="20" s="1"/>
  <c r="BU206" i="25"/>
  <c r="EL78" i="20"/>
  <c r="EM78" i="20" s="1"/>
  <c r="EK127" i="20"/>
  <c r="EL127" i="20" s="1"/>
  <c r="EM127" i="20" s="1"/>
  <c r="EK130" i="20"/>
  <c r="EL130" i="20" s="1"/>
  <c r="EM130" i="20" s="1"/>
  <c r="BO123" i="25"/>
  <c r="I125" i="20"/>
  <c r="BP145" i="25"/>
  <c r="J147" i="20"/>
  <c r="EF147" i="20"/>
  <c r="BM144" i="25"/>
  <c r="G144" i="25" s="1"/>
  <c r="I144" i="25" s="1"/>
  <c r="G146" i="20"/>
  <c r="H146" i="20" s="1"/>
  <c r="EB203" i="20"/>
  <c r="O203" i="20"/>
  <c r="BP213" i="25"/>
  <c r="J215" i="20"/>
  <c r="EL77" i="20"/>
  <c r="BV75" i="25"/>
  <c r="P77" i="20"/>
  <c r="EF227" i="20"/>
  <c r="EG227" i="20" s="1"/>
  <c r="BM215" i="25"/>
  <c r="G215" i="25" s="1"/>
  <c r="I215" i="25" s="1"/>
  <c r="G217" i="20"/>
  <c r="H217" i="20" s="1"/>
  <c r="EK203" i="20"/>
  <c r="BV219" i="25"/>
  <c r="BV218" i="25" s="1"/>
  <c r="EM221" i="20"/>
  <c r="EN221" i="20" s="1"/>
  <c r="EK220" i="20"/>
  <c r="EE203" i="20"/>
  <c r="EG216" i="20"/>
  <c r="EH216" i="20" s="1"/>
  <c r="BQ214" i="25"/>
  <c r="EB198" i="20"/>
  <c r="BM79" i="25"/>
  <c r="G79" i="25" s="1"/>
  <c r="I79" i="25" s="1"/>
  <c r="G81" i="20"/>
  <c r="H81" i="20" s="1"/>
  <c r="BO121" i="25"/>
  <c r="I123" i="20"/>
  <c r="H144" i="25"/>
  <c r="BN142" i="25"/>
  <c r="EL210" i="20"/>
  <c r="EG215" i="20"/>
  <c r="EG84" i="20"/>
  <c r="EM227" i="20"/>
  <c r="EN227" i="20" s="1"/>
  <c r="BP199" i="25"/>
  <c r="J201" i="20"/>
  <c r="BV215" i="25"/>
  <c r="P217" i="20"/>
  <c r="EN217" i="20"/>
  <c r="EM204" i="20"/>
  <c r="EN204" i="20" s="1"/>
  <c r="BW202" i="25"/>
  <c r="BO206" i="25"/>
  <c r="I206" i="25" s="1"/>
  <c r="BP219" i="25"/>
  <c r="BP218" i="25" s="1"/>
  <c r="EE220" i="20"/>
  <c r="J221" i="20"/>
  <c r="BQ202" i="25"/>
  <c r="EH204" i="20"/>
  <c r="BW227" i="25"/>
  <c r="EM229" i="20"/>
  <c r="EL99" i="20"/>
  <c r="EM214" i="20"/>
  <c r="BM198" i="25"/>
  <c r="G198" i="25" s="1"/>
  <c r="I198" i="25" s="1"/>
  <c r="G200" i="20"/>
  <c r="H200" i="20" s="1"/>
  <c r="BO122" i="25"/>
  <c r="I124" i="20"/>
  <c r="EL206" i="20"/>
  <c r="EL203" i="20" s="1"/>
  <c r="BX203" i="25"/>
  <c r="EN205" i="20"/>
  <c r="BY203" i="25" s="1"/>
  <c r="EG81" i="20"/>
  <c r="BV197" i="25"/>
  <c r="EK198" i="20"/>
  <c r="BV213" i="25"/>
  <c r="P215" i="20"/>
  <c r="EM230" i="20"/>
  <c r="BX228" i="25" s="1"/>
  <c r="EB226" i="20"/>
  <c r="BN224" i="25"/>
  <c r="BQ199" i="25"/>
  <c r="G202" i="25"/>
  <c r="I202" i="25" s="1"/>
  <c r="BW198" i="25"/>
  <c r="EG99" i="20"/>
  <c r="EB98" i="20"/>
  <c r="BM213" i="25"/>
  <c r="G213" i="25" s="1"/>
  <c r="I213" i="25" s="1"/>
  <c r="G215" i="20"/>
  <c r="H215" i="20" s="1"/>
  <c r="BN196" i="25"/>
  <c r="H198" i="25"/>
  <c r="BO127" i="25"/>
  <c r="I129" i="20"/>
  <c r="EJ121" i="20"/>
  <c r="EB121" i="20" s="1"/>
  <c r="O75" i="20"/>
  <c r="BP204" i="25"/>
  <c r="BP201" i="25" s="1"/>
  <c r="EG206" i="20"/>
  <c r="BR204" i="25" s="1"/>
  <c r="J206" i="20"/>
  <c r="BW222" i="25"/>
  <c r="EM224" i="20"/>
  <c r="BP208" i="25"/>
  <c r="EE208" i="20"/>
  <c r="EF83" i="20"/>
  <c r="EG83" i="20" s="1"/>
  <c r="BP81" i="25"/>
  <c r="EE129" i="20"/>
  <c r="BV82" i="25"/>
  <c r="P84" i="20"/>
  <c r="BP225" i="25"/>
  <c r="EE226" i="20"/>
  <c r="BV74" i="25"/>
  <c r="EL76" i="20"/>
  <c r="EK75" i="20"/>
  <c r="BQ76" i="25"/>
  <c r="EF124" i="20"/>
  <c r="BM199" i="25"/>
  <c r="G199" i="25" s="1"/>
  <c r="I199" i="25" s="1"/>
  <c r="G201" i="20"/>
  <c r="H201" i="20" s="1"/>
  <c r="EK124" i="20"/>
  <c r="EL124" i="20" s="1"/>
  <c r="BU73" i="25"/>
  <c r="EM81" i="20"/>
  <c r="BV208" i="25"/>
  <c r="EK208" i="20"/>
  <c r="EL83" i="20"/>
  <c r="EM83" i="20" s="1"/>
  <c r="BV81" i="25"/>
  <c r="EM199" i="20"/>
  <c r="EN199" i="20" s="1"/>
  <c r="BW213" i="25"/>
  <c r="EL84" i="20"/>
  <c r="BP228" i="25"/>
  <c r="J230" i="20"/>
  <c r="BP74" i="25"/>
  <c r="EF76" i="20"/>
  <c r="K76" i="20" s="1"/>
  <c r="EE122" i="20"/>
  <c r="BP215" i="25"/>
  <c r="J217" i="20"/>
  <c r="BP198" i="25"/>
  <c r="J200" i="20"/>
  <c r="BV229" i="25"/>
  <c r="P231" i="20"/>
  <c r="BM229" i="25"/>
  <c r="G229" i="25" s="1"/>
  <c r="I229" i="25" s="1"/>
  <c r="G231" i="20"/>
  <c r="H231" i="20" s="1"/>
  <c r="Q216" i="20"/>
  <c r="BW214" i="25"/>
  <c r="EN216" i="20"/>
  <c r="BP212" i="25"/>
  <c r="J214" i="20"/>
  <c r="BV76" i="25"/>
  <c r="P78" i="20"/>
  <c r="BN125" i="25"/>
  <c r="H125" i="25" s="1"/>
  <c r="EB127" i="20"/>
  <c r="BN128" i="25"/>
  <c r="H128" i="25" s="1"/>
  <c r="EB130" i="20"/>
  <c r="BN121" i="25"/>
  <c r="H121" i="25" s="1"/>
  <c r="EB123" i="20"/>
  <c r="BN127" i="25"/>
  <c r="H127" i="25" s="1"/>
  <c r="EB129" i="20"/>
  <c r="BN122" i="25"/>
  <c r="H122" i="25" s="1"/>
  <c r="EB124" i="20"/>
  <c r="EB122" i="20"/>
  <c r="BN120" i="25"/>
  <c r="H120" i="25" s="1"/>
  <c r="BN124" i="25"/>
  <c r="H124" i="25" s="1"/>
  <c r="EB126" i="20"/>
  <c r="AP132" i="25"/>
  <c r="AJ153" i="25"/>
  <c r="L155" i="20"/>
  <c r="L192" i="20"/>
  <c r="AJ190" i="25"/>
  <c r="AK194" i="25"/>
  <c r="M196" i="20"/>
  <c r="AI64" i="25"/>
  <c r="AO186" i="25"/>
  <c r="Q188" i="20"/>
  <c r="AI127" i="25"/>
  <c r="BM129" i="20"/>
  <c r="AJ127" i="25" s="1"/>
  <c r="K221" i="20"/>
  <c r="BK4" i="20"/>
  <c r="AI190" i="25"/>
  <c r="P73" i="20"/>
  <c r="AN71" i="25"/>
  <c r="AO93" i="25"/>
  <c r="BS95" i="20"/>
  <c r="BT70" i="20"/>
  <c r="AH64" i="25"/>
  <c r="J66" i="20"/>
  <c r="BL188" i="20"/>
  <c r="AO204" i="25"/>
  <c r="AO201" i="25" s="1"/>
  <c r="BR203" i="20"/>
  <c r="BM54" i="20"/>
  <c r="BN54" i="20" s="1"/>
  <c r="AK52" i="25" s="1"/>
  <c r="AH52" i="25"/>
  <c r="AH49" i="25" s="1"/>
  <c r="J54" i="20"/>
  <c r="AI193" i="25"/>
  <c r="K195" i="20"/>
  <c r="AI52" i="25"/>
  <c r="AF61" i="25"/>
  <c r="BS96" i="20"/>
  <c r="BT96" i="20" s="1"/>
  <c r="AO71" i="25"/>
  <c r="BR66" i="20"/>
  <c r="AN64" i="25"/>
  <c r="P66" i="20"/>
  <c r="AN193" i="25"/>
  <c r="P195" i="20"/>
  <c r="BQ194" i="20"/>
  <c r="AN186" i="25"/>
  <c r="P188" i="20"/>
  <c r="BS188" i="20"/>
  <c r="AE185" i="25"/>
  <c r="G185" i="25" s="1"/>
  <c r="I185" i="25" s="1"/>
  <c r="G187" i="20"/>
  <c r="H187" i="20" s="1"/>
  <c r="BT221" i="20"/>
  <c r="J187" i="20"/>
  <c r="AH185" i="25"/>
  <c r="AK177" i="25"/>
  <c r="AP71" i="25"/>
  <c r="AE71" i="25"/>
  <c r="G71" i="25" s="1"/>
  <c r="I71" i="25" s="1"/>
  <c r="G73" i="20"/>
  <c r="H73" i="20" s="1"/>
  <c r="AI57" i="25"/>
  <c r="AG61" i="25"/>
  <c r="AG3" i="25"/>
  <c r="AH94" i="25"/>
  <c r="J96" i="20"/>
  <c r="AI124" i="25"/>
  <c r="BM126" i="20"/>
  <c r="AE132" i="25"/>
  <c r="G132" i="25" s="1"/>
  <c r="I132" i="25" s="1"/>
  <c r="G134" i="20"/>
  <c r="H134" i="20" s="1"/>
  <c r="AO153" i="25"/>
  <c r="Q155" i="20"/>
  <c r="BS155" i="20"/>
  <c r="BR54" i="20"/>
  <c r="P54" i="20"/>
  <c r="AN52" i="25"/>
  <c r="AN49" i="25" s="1"/>
  <c r="P187" i="20"/>
  <c r="AN185" i="25"/>
  <c r="BQ186" i="20"/>
  <c r="AN184" i="25" s="1"/>
  <c r="AO132" i="25"/>
  <c r="BH194" i="20"/>
  <c r="AF3" i="25"/>
  <c r="AJ97" i="25"/>
  <c r="BN208" i="20"/>
  <c r="BT73" i="20"/>
  <c r="AM61" i="25"/>
  <c r="AO124" i="25"/>
  <c r="AO119" i="25" s="1"/>
  <c r="BS126" i="20"/>
  <c r="AP124" i="25" s="1"/>
  <c r="AN94" i="25"/>
  <c r="P96" i="20"/>
  <c r="BK194" i="20"/>
  <c r="BL194" i="20" s="1"/>
  <c r="BM194" i="20" s="1"/>
  <c r="AI219" i="25"/>
  <c r="AI218" i="25" s="1"/>
  <c r="AE52" i="25"/>
  <c r="G54" i="20"/>
  <c r="H54" i="20" s="1"/>
  <c r="AI185" i="25"/>
  <c r="K187" i="20"/>
  <c r="BS105" i="20"/>
  <c r="AP103" i="25" s="1"/>
  <c r="K89" i="20"/>
  <c r="BH4" i="20"/>
  <c r="AK206" i="25"/>
  <c r="BM182" i="20"/>
  <c r="AJ180" i="25" s="1"/>
  <c r="BL121" i="20"/>
  <c r="AP222" i="25"/>
  <c r="BT224" i="20"/>
  <c r="AE64" i="25"/>
  <c r="G66" i="20"/>
  <c r="H66" i="20" s="1"/>
  <c r="BM66" i="20"/>
  <c r="BN66" i="20" s="1"/>
  <c r="AE193" i="25"/>
  <c r="G193" i="25" s="1"/>
  <c r="I193" i="25" s="1"/>
  <c r="G195" i="20"/>
  <c r="H195" i="20" s="1"/>
  <c r="J195" i="20"/>
  <c r="AH193" i="25"/>
  <c r="BM195" i="20"/>
  <c r="AE186" i="25"/>
  <c r="G186" i="25" s="1"/>
  <c r="I186" i="25" s="1"/>
  <c r="G188" i="20"/>
  <c r="H188" i="20" s="1"/>
  <c r="AH132" i="25"/>
  <c r="AH130" i="25" s="1"/>
  <c r="J134" i="20"/>
  <c r="BL134" i="20"/>
  <c r="BM134" i="20" s="1"/>
  <c r="BK186" i="20"/>
  <c r="BL186" i="20" s="1"/>
  <c r="AI184" i="25" s="1"/>
  <c r="BH186" i="20"/>
  <c r="BP144" i="20"/>
  <c r="AI153" i="25"/>
  <c r="BN155" i="20"/>
  <c r="K155" i="20"/>
  <c r="J73" i="20"/>
  <c r="AH71" i="25"/>
  <c r="BM68" i="20"/>
  <c r="AQ57" i="25"/>
  <c r="AH186" i="25"/>
  <c r="J188" i="20"/>
  <c r="AN132" i="25"/>
  <c r="AN130" i="25" s="1"/>
  <c r="P134" i="20"/>
  <c r="BM221" i="20"/>
  <c r="BM220" i="20" s="1"/>
  <c r="BT134" i="20"/>
  <c r="BM59" i="20"/>
  <c r="BN59" i="20" s="1"/>
  <c r="BR187" i="20"/>
  <c r="BL96" i="20"/>
  <c r="BM96" i="20" s="1"/>
  <c r="BM89" i="20"/>
  <c r="BN89" i="20" s="1"/>
  <c r="AK87" i="25" s="1"/>
  <c r="AK122" i="25"/>
  <c r="AK189" i="25"/>
  <c r="M191" i="20"/>
  <c r="AK158" i="25"/>
  <c r="M160" i="20"/>
  <c r="AQ126" i="25"/>
  <c r="AP51" i="25"/>
  <c r="AJ197" i="25"/>
  <c r="BT180" i="20"/>
  <c r="AQ178" i="25" s="1"/>
  <c r="AJ189" i="25"/>
  <c r="BN192" i="20"/>
  <c r="M192" i="20" s="1"/>
  <c r="AQ63" i="25"/>
  <c r="G87" i="25"/>
  <c r="I87" i="25" s="1"/>
  <c r="AE84" i="25"/>
  <c r="AQ137" i="25"/>
  <c r="BN227" i="20"/>
  <c r="AK225" i="25" s="1"/>
  <c r="AO197" i="25"/>
  <c r="AO196" i="25" s="1"/>
  <c r="BR198" i="20"/>
  <c r="Q199" i="20"/>
  <c r="BL75" i="20"/>
  <c r="BM80" i="20"/>
  <c r="AJ78" i="25" s="1"/>
  <c r="AE119" i="25"/>
  <c r="AK125" i="25"/>
  <c r="BM105" i="20"/>
  <c r="AJ103" i="25" s="1"/>
  <c r="AJ128" i="25"/>
  <c r="AQ197" i="25"/>
  <c r="AQ125" i="25"/>
  <c r="AO101" i="25"/>
  <c r="BS103" i="20"/>
  <c r="BT125" i="20"/>
  <c r="AK128" i="25"/>
  <c r="AI137" i="25"/>
  <c r="BM69" i="20"/>
  <c r="BN69" i="20" s="1"/>
  <c r="AK67" i="25" s="1"/>
  <c r="AJ122" i="25"/>
  <c r="AP126" i="25"/>
  <c r="AP178" i="25"/>
  <c r="BT53" i="20"/>
  <c r="AI51" i="25"/>
  <c r="BM53" i="20"/>
  <c r="BN53" i="20" s="1"/>
  <c r="BL51" i="20"/>
  <c r="AP197" i="25"/>
  <c r="AP158" i="25"/>
  <c r="R160" i="20"/>
  <c r="AJ158" i="25"/>
  <c r="L160" i="20"/>
  <c r="AN119" i="25"/>
  <c r="AE196" i="25"/>
  <c r="G197" i="25"/>
  <c r="I197" i="25" s="1"/>
  <c r="AO89" i="25"/>
  <c r="BT91" i="20"/>
  <c r="AQ89" i="25" s="1"/>
  <c r="AQ128" i="25"/>
  <c r="AP128" i="25"/>
  <c r="BT160" i="20"/>
  <c r="BT102" i="20"/>
  <c r="AQ100" i="25" s="1"/>
  <c r="AO66" i="25"/>
  <c r="BS68" i="20"/>
  <c r="BT68" i="20" s="1"/>
  <c r="AO78" i="25"/>
  <c r="BN199" i="20"/>
  <c r="AI197" i="25"/>
  <c r="AI196" i="25" s="1"/>
  <c r="BL198" i="20"/>
  <c r="AP125" i="25"/>
  <c r="AI93" i="25"/>
  <c r="BM95" i="20"/>
  <c r="AJ93" i="25" s="1"/>
  <c r="BM100" i="20"/>
  <c r="BT76" i="20"/>
  <c r="AJ74" i="25"/>
  <c r="BM139" i="20"/>
  <c r="Y144" i="25"/>
  <c r="AQ143" i="25"/>
  <c r="AK143" i="25"/>
  <c r="AO177" i="25"/>
  <c r="AJ146" i="20"/>
  <c r="BS178" i="20"/>
  <c r="AP176" i="25" s="1"/>
  <c r="S144" i="25"/>
  <c r="AJ143" i="25"/>
  <c r="R179" i="20"/>
  <c r="BL178" i="20"/>
  <c r="BM178" i="20" s="1"/>
  <c r="BL190" i="20"/>
  <c r="BM190" i="20" s="1"/>
  <c r="AJ188" i="25" s="1"/>
  <c r="AD146" i="20"/>
  <c r="Q191" i="20"/>
  <c r="AO189" i="25"/>
  <c r="BR190" i="20"/>
  <c r="AO188" i="25" s="1"/>
  <c r="BR178" i="20"/>
  <c r="AO176" i="25" s="1"/>
  <c r="BS191" i="20"/>
  <c r="BT179" i="20"/>
  <c r="AP225" i="25"/>
  <c r="AQ225" i="25"/>
  <c r="BS222" i="25"/>
  <c r="G219" i="25"/>
  <c r="I219" i="25" s="1"/>
  <c r="N218" i="25"/>
  <c r="BY221" i="25"/>
  <c r="BX221" i="25"/>
  <c r="BB211" i="25"/>
  <c r="BA210" i="25"/>
  <c r="CW209" i="20"/>
  <c r="CX209" i="20" s="1"/>
  <c r="AZ207" i="25"/>
  <c r="CX212" i="20"/>
  <c r="BA211" i="25"/>
  <c r="AV206" i="25"/>
  <c r="G207" i="25"/>
  <c r="I207" i="25" s="1"/>
  <c r="BY207" i="25"/>
  <c r="EN212" i="20"/>
  <c r="BY210" i="25" s="1"/>
  <c r="BF209" i="25"/>
  <c r="Q211" i="20"/>
  <c r="BB203" i="25"/>
  <c r="AQ136" i="25"/>
  <c r="Z225" i="25"/>
  <c r="AP139" i="25"/>
  <c r="T98" i="25"/>
  <c r="AQ110" i="25"/>
  <c r="BH88" i="25"/>
  <c r="AP220" i="25"/>
  <c r="BS220" i="20"/>
  <c r="BA80" i="25"/>
  <c r="BG81" i="25"/>
  <c r="T105" i="25"/>
  <c r="AQ138" i="25"/>
  <c r="AQ109" i="25"/>
  <c r="AO104" i="25"/>
  <c r="BS106" i="20"/>
  <c r="AP104" i="25" s="1"/>
  <c r="T216" i="25"/>
  <c r="BF86" i="25"/>
  <c r="H123" i="25"/>
  <c r="AO116" i="25"/>
  <c r="AV73" i="25"/>
  <c r="G74" i="25"/>
  <c r="I74" i="25" s="1"/>
  <c r="AJ109" i="25"/>
  <c r="AJ100" i="25"/>
  <c r="BN102" i="20"/>
  <c r="G51" i="25"/>
  <c r="I51" i="25" s="1"/>
  <c r="BG80" i="25"/>
  <c r="BA93" i="25"/>
  <c r="AJ110" i="25"/>
  <c r="X99" i="25"/>
  <c r="AI101" i="20"/>
  <c r="BA78" i="25"/>
  <c r="AK135" i="25"/>
  <c r="AZ88" i="25"/>
  <c r="BM123" i="25"/>
  <c r="G125" i="20"/>
  <c r="H125" i="20" s="1"/>
  <c r="AZ70" i="25"/>
  <c r="AO135" i="25"/>
  <c r="BS137" i="20"/>
  <c r="BT137" i="20" s="1"/>
  <c r="BS115" i="20"/>
  <c r="AP113" i="25" s="1"/>
  <c r="Y114" i="25"/>
  <c r="AJ116" i="20"/>
  <c r="AO131" i="25"/>
  <c r="BS133" i="20"/>
  <c r="BT133" i="20" s="1"/>
  <c r="AO111" i="25"/>
  <c r="BS113" i="20"/>
  <c r="BT113" i="20" s="1"/>
  <c r="AK220" i="25"/>
  <c r="G102" i="25"/>
  <c r="I102" i="25" s="1"/>
  <c r="BM96" i="25"/>
  <c r="G113" i="25"/>
  <c r="I113" i="25" s="1"/>
  <c r="AE96" i="25"/>
  <c r="G97" i="25"/>
  <c r="I97" i="25" s="1"/>
  <c r="Z101" i="25"/>
  <c r="AO98" i="25"/>
  <c r="BS100" i="20"/>
  <c r="Z228" i="25"/>
  <c r="AP112" i="25"/>
  <c r="G208" i="25"/>
  <c r="I208" i="25" s="1"/>
  <c r="BW102" i="25"/>
  <c r="G108" i="25"/>
  <c r="I108" i="25" s="1"/>
  <c r="AE107" i="25"/>
  <c r="AK136" i="25"/>
  <c r="EM104" i="20"/>
  <c r="N224" i="25"/>
  <c r="G225" i="25"/>
  <c r="I225" i="25" s="1"/>
  <c r="DC88" i="20"/>
  <c r="BP123" i="25"/>
  <c r="J125" i="20"/>
  <c r="AJ220" i="25"/>
  <c r="AI104" i="25"/>
  <c r="BM106" i="20"/>
  <c r="BN106" i="20" s="1"/>
  <c r="Z59" i="25"/>
  <c r="BS98" i="25"/>
  <c r="BR109" i="20"/>
  <c r="G77" i="25"/>
  <c r="I77" i="25" s="1"/>
  <c r="BM218" i="25"/>
  <c r="G222" i="25"/>
  <c r="I222" i="25" s="1"/>
  <c r="BH87" i="25"/>
  <c r="AJ138" i="25"/>
  <c r="CX95" i="20"/>
  <c r="BA85" i="25"/>
  <c r="Y51" i="25"/>
  <c r="AJ108" i="25"/>
  <c r="BB68" i="25"/>
  <c r="BT101" i="20"/>
  <c r="AQ99" i="25" s="1"/>
  <c r="Y115" i="25"/>
  <c r="BT222" i="20"/>
  <c r="AZ74" i="25"/>
  <c r="AP136" i="25"/>
  <c r="BX100" i="25"/>
  <c r="EN102" i="20"/>
  <c r="BY100" i="25" s="1"/>
  <c r="BB81" i="25"/>
  <c r="R101" i="25"/>
  <c r="K103" i="20"/>
  <c r="AV3" i="25"/>
  <c r="AK102" i="25"/>
  <c r="AN107" i="25"/>
  <c r="AP109" i="25"/>
  <c r="AO139" i="25"/>
  <c r="BT141" i="20"/>
  <c r="AQ139" i="25" s="1"/>
  <c r="Z53" i="25"/>
  <c r="BB78" i="25"/>
  <c r="G131" i="25"/>
  <c r="I131" i="25" s="1"/>
  <c r="S99" i="25"/>
  <c r="AK138" i="25"/>
  <c r="EL125" i="20"/>
  <c r="AV84" i="25"/>
  <c r="G85" i="25"/>
  <c r="I85" i="25" s="1"/>
  <c r="AV61" i="25"/>
  <c r="N96" i="25"/>
  <c r="G99" i="25"/>
  <c r="I99" i="25" s="1"/>
  <c r="DC103" i="20"/>
  <c r="DD103" i="20" s="1"/>
  <c r="CW72" i="20"/>
  <c r="CX72" i="20" s="1"/>
  <c r="AI116" i="25"/>
  <c r="BA91" i="25"/>
  <c r="X104" i="25"/>
  <c r="Q106" i="20"/>
  <c r="AI106" i="20"/>
  <c r="AJ106" i="20" s="1"/>
  <c r="CX82" i="20"/>
  <c r="BS118" i="20"/>
  <c r="AP138" i="25"/>
  <c r="BH78" i="25"/>
  <c r="AZ86" i="25"/>
  <c r="CW88" i="20"/>
  <c r="S115" i="25"/>
  <c r="R53" i="25"/>
  <c r="AC55" i="20"/>
  <c r="AP110" i="25"/>
  <c r="R225" i="25"/>
  <c r="Q100" i="20"/>
  <c r="AZ101" i="25"/>
  <c r="CW103" i="20"/>
  <c r="Y53" i="25"/>
  <c r="AI109" i="25"/>
  <c r="R114" i="25"/>
  <c r="K116" i="20"/>
  <c r="AC116" i="20"/>
  <c r="AJ117" i="25"/>
  <c r="BN119" i="20"/>
  <c r="AC103" i="20"/>
  <c r="S228" i="25"/>
  <c r="CW76" i="20"/>
  <c r="CX76" i="20" s="1"/>
  <c r="S98" i="25"/>
  <c r="BM118" i="20"/>
  <c r="BN110" i="20"/>
  <c r="AD101" i="20"/>
  <c r="R59" i="25"/>
  <c r="BN112" i="20"/>
  <c r="BT114" i="20"/>
  <c r="AC61" i="20"/>
  <c r="CX93" i="20"/>
  <c r="AK178" i="25"/>
  <c r="M180" i="20"/>
  <c r="BH70" i="25"/>
  <c r="Y225" i="25"/>
  <c r="AI226" i="20"/>
  <c r="R103" i="25"/>
  <c r="AC105" i="20"/>
  <c r="CW90" i="20"/>
  <c r="CX90" i="20" s="1"/>
  <c r="AI112" i="25"/>
  <c r="BM114" i="20"/>
  <c r="BA204" i="25"/>
  <c r="BV123" i="25"/>
  <c r="P125" i="20"/>
  <c r="CX206" i="20"/>
  <c r="BX77" i="25"/>
  <c r="EN79" i="20"/>
  <c r="T51" i="25"/>
  <c r="AD117" i="20"/>
  <c r="AJ117" i="20"/>
  <c r="DD82" i="20"/>
  <c r="X51" i="25"/>
  <c r="Q53" i="20"/>
  <c r="DD83" i="20"/>
  <c r="BL109" i="20"/>
  <c r="AC227" i="20"/>
  <c r="BG88" i="25"/>
  <c r="BN111" i="20"/>
  <c r="AD230" i="20"/>
  <c r="CX87" i="20"/>
  <c r="X224" i="25" l="1"/>
  <c r="BS196" i="20"/>
  <c r="R196" i="20" s="1"/>
  <c r="BT123" i="20"/>
  <c r="AQ121" i="25" s="1"/>
  <c r="EH212" i="20"/>
  <c r="BS210" i="25" s="1"/>
  <c r="L212" i="20"/>
  <c r="AO194" i="25"/>
  <c r="AC77" i="20"/>
  <c r="S75" i="25" s="1"/>
  <c r="K210" i="20"/>
  <c r="R208" i="25"/>
  <c r="BT94" i="20"/>
  <c r="AQ92" i="25" s="1"/>
  <c r="R53" i="20"/>
  <c r="EH223" i="20"/>
  <c r="BS221" i="25" s="1"/>
  <c r="CX57" i="20"/>
  <c r="BB55" i="25" s="1"/>
  <c r="EN228" i="20"/>
  <c r="BY226" i="25" s="1"/>
  <c r="AJ53" i="25"/>
  <c r="BL154" i="20"/>
  <c r="AI152" i="25" s="1"/>
  <c r="BT93" i="20"/>
  <c r="AQ91" i="25" s="1"/>
  <c r="K167" i="20"/>
  <c r="S197" i="25"/>
  <c r="BN224" i="20"/>
  <c r="AK222" i="25" s="1"/>
  <c r="AH107" i="25"/>
  <c r="AJ111" i="25"/>
  <c r="BT61" i="20"/>
  <c r="AQ59" i="25" s="1"/>
  <c r="S164" i="20"/>
  <c r="AJ100" i="20"/>
  <c r="Z98" i="25" s="1"/>
  <c r="BR132" i="20"/>
  <c r="AP201" i="25"/>
  <c r="CX116" i="20"/>
  <c r="BB114" i="25" s="1"/>
  <c r="AN96" i="25"/>
  <c r="BT89" i="20"/>
  <c r="DD57" i="20"/>
  <c r="BH55" i="25" s="1"/>
  <c r="BR63" i="20"/>
  <c r="BS69" i="20"/>
  <c r="BT69" i="20" s="1"/>
  <c r="BN200" i="20"/>
  <c r="AK198" i="25" s="1"/>
  <c r="Q105" i="20"/>
  <c r="BN166" i="20"/>
  <c r="AK164" i="25" s="1"/>
  <c r="AP97" i="25"/>
  <c r="DD218" i="20"/>
  <c r="BH216" i="25" s="1"/>
  <c r="AK201" i="25"/>
  <c r="BT80" i="20"/>
  <c r="AQ78" i="25" s="1"/>
  <c r="AD210" i="20"/>
  <c r="T208" i="25" s="1"/>
  <c r="BR75" i="20"/>
  <c r="CX129" i="20"/>
  <c r="BB127" i="25" s="1"/>
  <c r="AO140" i="25"/>
  <c r="AO130" i="25" s="1"/>
  <c r="EG104" i="20"/>
  <c r="EH104" i="20" s="1"/>
  <c r="AJ67" i="20"/>
  <c r="Z65" i="25" s="1"/>
  <c r="CX65" i="20"/>
  <c r="BB63" i="25" s="1"/>
  <c r="DD130" i="20"/>
  <c r="BH128" i="25" s="1"/>
  <c r="BT228" i="20"/>
  <c r="AQ226" i="25" s="1"/>
  <c r="K105" i="20"/>
  <c r="R228" i="20"/>
  <c r="DD65" i="20"/>
  <c r="BH63" i="25" s="1"/>
  <c r="L184" i="20"/>
  <c r="R211" i="20"/>
  <c r="AI165" i="25"/>
  <c r="K215" i="20"/>
  <c r="BM198" i="20"/>
  <c r="BT72" i="20"/>
  <c r="AQ70" i="25" s="1"/>
  <c r="AH96" i="25"/>
  <c r="AJ165" i="25"/>
  <c r="K133" i="20"/>
  <c r="Q79" i="20"/>
  <c r="DB98" i="20"/>
  <c r="BN78" i="20"/>
  <c r="AK76" i="25" s="1"/>
  <c r="BM133" i="20"/>
  <c r="BN133" i="20" s="1"/>
  <c r="M133" i="20" s="1"/>
  <c r="AJ196" i="25"/>
  <c r="BN167" i="20"/>
  <c r="M167" i="20" s="1"/>
  <c r="DC105" i="20"/>
  <c r="BG103" i="25" s="1"/>
  <c r="BT142" i="20"/>
  <c r="AQ140" i="25" s="1"/>
  <c r="BT55" i="20"/>
  <c r="AQ53" i="25" s="1"/>
  <c r="BN116" i="20"/>
  <c r="AK114" i="25" s="1"/>
  <c r="BL98" i="20"/>
  <c r="L228" i="20"/>
  <c r="BN93" i="20"/>
  <c r="AK91" i="25" s="1"/>
  <c r="AI134" i="25"/>
  <c r="BN228" i="20"/>
  <c r="AK226" i="25" s="1"/>
  <c r="R164" i="20"/>
  <c r="BN125" i="20"/>
  <c r="AK123" i="25" s="1"/>
  <c r="BT116" i="20"/>
  <c r="AQ114" i="25" s="1"/>
  <c r="AP162" i="25"/>
  <c r="BJ49" i="20"/>
  <c r="BJ5" i="20" s="1"/>
  <c r="AP194" i="25"/>
  <c r="BN230" i="20"/>
  <c r="AK228" i="25" s="1"/>
  <c r="R116" i="20"/>
  <c r="AJ182" i="25"/>
  <c r="M184" i="20"/>
  <c r="BN83" i="20"/>
  <c r="AK81" i="25" s="1"/>
  <c r="DD95" i="20"/>
  <c r="BH93" i="25" s="1"/>
  <c r="CX106" i="20"/>
  <c r="BB104" i="25" s="1"/>
  <c r="CW105" i="20"/>
  <c r="BA103" i="25" s="1"/>
  <c r="CW140" i="20"/>
  <c r="BA138" i="25" s="1"/>
  <c r="DD213" i="20"/>
  <c r="BH211" i="25" s="1"/>
  <c r="CX130" i="20"/>
  <c r="BB128" i="25" s="1"/>
  <c r="CX118" i="20"/>
  <c r="BB116" i="25" s="1"/>
  <c r="CV208" i="20"/>
  <c r="CW215" i="20"/>
  <c r="BA213" i="25" s="1"/>
  <c r="S159" i="20"/>
  <c r="BT230" i="20"/>
  <c r="AQ228" i="25" s="1"/>
  <c r="AO82" i="25"/>
  <c r="AO73" i="25" s="1"/>
  <c r="BS84" i="20"/>
  <c r="BS75" i="20" s="1"/>
  <c r="BM84" i="20"/>
  <c r="AI82" i="25"/>
  <c r="AI73" i="25" s="1"/>
  <c r="BN79" i="20"/>
  <c r="AK77" i="25" s="1"/>
  <c r="BL162" i="20"/>
  <c r="BM162" i="20" s="1"/>
  <c r="AJ160" i="25" s="1"/>
  <c r="BT77" i="20"/>
  <c r="AQ75" i="25" s="1"/>
  <c r="BR98" i="20"/>
  <c r="AJ69" i="25"/>
  <c r="BN71" i="20"/>
  <c r="AK69" i="25" s="1"/>
  <c r="AH84" i="25"/>
  <c r="R163" i="20"/>
  <c r="S163" i="20"/>
  <c r="AP161" i="25"/>
  <c r="BT122" i="20"/>
  <c r="AQ120" i="25" s="1"/>
  <c r="BN164" i="20"/>
  <c r="M164" i="20" s="1"/>
  <c r="AJ162" i="25"/>
  <c r="BT58" i="20"/>
  <c r="AQ56" i="25" s="1"/>
  <c r="AN142" i="25"/>
  <c r="BL132" i="20"/>
  <c r="BN117" i="20"/>
  <c r="AK115" i="25" s="1"/>
  <c r="BN141" i="20"/>
  <c r="AK139" i="25" s="1"/>
  <c r="BN90" i="20"/>
  <c r="AK88" i="25" s="1"/>
  <c r="AN84" i="25"/>
  <c r="AI105" i="25"/>
  <c r="AI96" i="25" s="1"/>
  <c r="BM107" i="20"/>
  <c r="L107" i="20" s="1"/>
  <c r="AO86" i="25"/>
  <c r="AO84" i="25" s="1"/>
  <c r="BS88" i="20"/>
  <c r="BS86" i="20" s="1"/>
  <c r="AO105" i="25"/>
  <c r="AO96" i="25" s="1"/>
  <c r="BS107" i="20"/>
  <c r="R107" i="20" s="1"/>
  <c r="BN88" i="20"/>
  <c r="AK86" i="25" s="1"/>
  <c r="AQ206" i="25"/>
  <c r="Q72" i="20"/>
  <c r="AC125" i="20"/>
  <c r="G198" i="20"/>
  <c r="H198" i="20" s="1"/>
  <c r="S104" i="25"/>
  <c r="Q214" i="20"/>
  <c r="AC90" i="20"/>
  <c r="S88" i="25" s="1"/>
  <c r="Q133" i="20"/>
  <c r="K206" i="20"/>
  <c r="AI104" i="20"/>
  <c r="Y102" i="25" s="1"/>
  <c r="X85" i="25"/>
  <c r="EF220" i="20"/>
  <c r="BQ220" i="25"/>
  <c r="BQ218" i="25" s="1"/>
  <c r="BR220" i="25"/>
  <c r="BW124" i="25"/>
  <c r="EH101" i="20"/>
  <c r="BS99" i="25" s="1"/>
  <c r="J198" i="20"/>
  <c r="CX146" i="20"/>
  <c r="BB144" i="25" s="1"/>
  <c r="P51" i="20"/>
  <c r="BG114" i="25"/>
  <c r="DD116" i="20"/>
  <c r="BH114" i="25" s="1"/>
  <c r="R112" i="20"/>
  <c r="DD209" i="20"/>
  <c r="BH207" i="25" s="1"/>
  <c r="BG110" i="25"/>
  <c r="DD112" i="20"/>
  <c r="BH110" i="25" s="1"/>
  <c r="J109" i="20"/>
  <c r="Q101" i="20"/>
  <c r="J98" i="20"/>
  <c r="Q115" i="20"/>
  <c r="BE96" i="25"/>
  <c r="G109" i="20"/>
  <c r="H109" i="20" s="1"/>
  <c r="DD229" i="20"/>
  <c r="BH227" i="25" s="1"/>
  <c r="BG227" i="25"/>
  <c r="L100" i="20"/>
  <c r="G132" i="20"/>
  <c r="H132" i="20" s="1"/>
  <c r="Q210" i="20"/>
  <c r="AC130" i="20"/>
  <c r="S128" i="25" s="1"/>
  <c r="Q217" i="20"/>
  <c r="Q140" i="20"/>
  <c r="AI125" i="20"/>
  <c r="Y123" i="25" s="1"/>
  <c r="R216" i="20"/>
  <c r="AI217" i="20"/>
  <c r="Y215" i="25" s="1"/>
  <c r="AJ205" i="20"/>
  <c r="Z203" i="25" s="1"/>
  <c r="K118" i="20"/>
  <c r="K114" i="20"/>
  <c r="BG91" i="25"/>
  <c r="L211" i="20"/>
  <c r="K66" i="20"/>
  <c r="J63" i="20"/>
  <c r="G208" i="20"/>
  <c r="H208" i="20" s="1"/>
  <c r="DB75" i="20"/>
  <c r="G98" i="20"/>
  <c r="H98" i="20" s="1"/>
  <c r="H107" i="25"/>
  <c r="G86" i="20"/>
  <c r="H86" i="20" s="1"/>
  <c r="BF111" i="25"/>
  <c r="DC113" i="20"/>
  <c r="BA79" i="25"/>
  <c r="K204" i="20"/>
  <c r="G226" i="20"/>
  <c r="H226" i="20" s="1"/>
  <c r="H130" i="25"/>
  <c r="DD125" i="20"/>
  <c r="BH123" i="25" s="1"/>
  <c r="DD205" i="20"/>
  <c r="BH203" i="25" s="1"/>
  <c r="DD81" i="20"/>
  <c r="BH79" i="25" s="1"/>
  <c r="M53" i="20"/>
  <c r="AY49" i="25"/>
  <c r="AZ75" i="25"/>
  <c r="CX110" i="20"/>
  <c r="BB108" i="25" s="1"/>
  <c r="CX77" i="20"/>
  <c r="BB75" i="25" s="1"/>
  <c r="BG196" i="25"/>
  <c r="CW55" i="20"/>
  <c r="BA53" i="25" s="1"/>
  <c r="K55" i="20"/>
  <c r="J132" i="20"/>
  <c r="DC127" i="20"/>
  <c r="BG125" i="25" s="1"/>
  <c r="CV132" i="20"/>
  <c r="AY73" i="25"/>
  <c r="BE73" i="25"/>
  <c r="DB86" i="20"/>
  <c r="BE84" i="25"/>
  <c r="DD206" i="20"/>
  <c r="BH204" i="25" s="1"/>
  <c r="BG204" i="25"/>
  <c r="AZ52" i="25"/>
  <c r="CW54" i="20"/>
  <c r="BE130" i="25"/>
  <c r="DB4" i="20"/>
  <c r="DD79" i="20"/>
  <c r="BH77" i="25" s="1"/>
  <c r="BG77" i="25"/>
  <c r="CV75" i="20"/>
  <c r="J86" i="20"/>
  <c r="AY84" i="25"/>
  <c r="AY224" i="25"/>
  <c r="CU49" i="20"/>
  <c r="CU5" i="20" s="1"/>
  <c r="AY96" i="25"/>
  <c r="BF64" i="25"/>
  <c r="DC66" i="20"/>
  <c r="BG64" i="25" s="1"/>
  <c r="BE206" i="25"/>
  <c r="DB132" i="20"/>
  <c r="CR5" i="20"/>
  <c r="CW56" i="20"/>
  <c r="AZ54" i="25"/>
  <c r="AZ64" i="25"/>
  <c r="CW66" i="20"/>
  <c r="G51" i="20"/>
  <c r="H51" i="20" s="1"/>
  <c r="CV121" i="20"/>
  <c r="DC198" i="20"/>
  <c r="DD56" i="20"/>
  <c r="BH54" i="25" s="1"/>
  <c r="DD200" i="20"/>
  <c r="BH198" i="25" s="1"/>
  <c r="BH196" i="25" s="1"/>
  <c r="DC124" i="20"/>
  <c r="BG122" i="25" s="1"/>
  <c r="BG100" i="25"/>
  <c r="DD102" i="20"/>
  <c r="BH100" i="25" s="1"/>
  <c r="Q204" i="20"/>
  <c r="H84" i="25"/>
  <c r="DD227" i="20"/>
  <c r="BH225" i="25" s="1"/>
  <c r="BE107" i="25"/>
  <c r="AY3" i="25"/>
  <c r="DC123" i="20"/>
  <c r="DD123" i="20" s="1"/>
  <c r="BH121" i="25" s="1"/>
  <c r="AZ115" i="25"/>
  <c r="K117" i="20"/>
  <c r="CW117" i="20"/>
  <c r="CV86" i="20"/>
  <c r="BE142" i="25"/>
  <c r="AY130" i="25"/>
  <c r="DC117" i="20"/>
  <c r="BG115" i="25" s="1"/>
  <c r="BF115" i="25"/>
  <c r="CW73" i="20"/>
  <c r="BA71" i="25" s="1"/>
  <c r="DC231" i="20"/>
  <c r="BG229" i="25" s="1"/>
  <c r="AY119" i="25"/>
  <c r="BE3" i="25"/>
  <c r="CR49" i="20"/>
  <c r="K142" i="20"/>
  <c r="AZ125" i="25"/>
  <c r="CW119" i="20"/>
  <c r="L119" i="20" s="1"/>
  <c r="AZ113" i="25"/>
  <c r="CX115" i="20"/>
  <c r="BB113" i="25" s="1"/>
  <c r="CX99" i="20"/>
  <c r="BB97" i="25" s="1"/>
  <c r="Q223" i="20"/>
  <c r="DC77" i="20"/>
  <c r="BG75" i="25" s="1"/>
  <c r="BF75" i="25"/>
  <c r="AZ97" i="25"/>
  <c r="G63" i="20"/>
  <c r="H63" i="20" s="1"/>
  <c r="BE61" i="25"/>
  <c r="CV51" i="20"/>
  <c r="CV98" i="20"/>
  <c r="CV63" i="20"/>
  <c r="BE224" i="25"/>
  <c r="DC115" i="20"/>
  <c r="BG113" i="25" s="1"/>
  <c r="BF113" i="25"/>
  <c r="CX145" i="20"/>
  <c r="BB143" i="25" s="1"/>
  <c r="BA143" i="25"/>
  <c r="BG143" i="25"/>
  <c r="CW101" i="20"/>
  <c r="CX101" i="20" s="1"/>
  <c r="K101" i="20"/>
  <c r="AZ99" i="25"/>
  <c r="DD100" i="20"/>
  <c r="BH98" i="25" s="1"/>
  <c r="CX204" i="20"/>
  <c r="BB202" i="25" s="1"/>
  <c r="DC215" i="20"/>
  <c r="BG213" i="25" s="1"/>
  <c r="DA49" i="20"/>
  <c r="DA5" i="20" s="1"/>
  <c r="AY142" i="25"/>
  <c r="DC230" i="20"/>
  <c r="DD230" i="20" s="1"/>
  <c r="BF228" i="25"/>
  <c r="BF224" i="25" s="1"/>
  <c r="DB226" i="20"/>
  <c r="DC78" i="20"/>
  <c r="BG76" i="25" s="1"/>
  <c r="BF76" i="25"/>
  <c r="BF202" i="25"/>
  <c r="BF201" i="25" s="1"/>
  <c r="DB203" i="20"/>
  <c r="DC204" i="20"/>
  <c r="DC71" i="20"/>
  <c r="BG69" i="25" s="1"/>
  <c r="BF69" i="25"/>
  <c r="DB144" i="20"/>
  <c r="CW68" i="20"/>
  <c r="BA66" i="25" s="1"/>
  <c r="AZ66" i="25"/>
  <c r="AZ112" i="25"/>
  <c r="CW114" i="20"/>
  <c r="DC147" i="20"/>
  <c r="BG145" i="25" s="1"/>
  <c r="BF145" i="25"/>
  <c r="DC69" i="20"/>
  <c r="BG67" i="25" s="1"/>
  <c r="BF67" i="25"/>
  <c r="AZ229" i="25"/>
  <c r="AZ224" i="25" s="1"/>
  <c r="CV226" i="20"/>
  <c r="CX231" i="20"/>
  <c r="BB229" i="25" s="1"/>
  <c r="BF112" i="25"/>
  <c r="DC114" i="20"/>
  <c r="CV203" i="20"/>
  <c r="AZ202" i="25"/>
  <c r="AZ201" i="25" s="1"/>
  <c r="CW94" i="20"/>
  <c r="CX94" i="20" s="1"/>
  <c r="K94" i="20"/>
  <c r="AZ92" i="25"/>
  <c r="Q119" i="20"/>
  <c r="CW226" i="20"/>
  <c r="CW91" i="20"/>
  <c r="AZ89" i="25"/>
  <c r="AZ57" i="25"/>
  <c r="DC94" i="20"/>
  <c r="BG92" i="25" s="1"/>
  <c r="BF92" i="25"/>
  <c r="Q94" i="20"/>
  <c r="CX147" i="20"/>
  <c r="BB145" i="25" s="1"/>
  <c r="Q142" i="20"/>
  <c r="BA228" i="25"/>
  <c r="CX230" i="20"/>
  <c r="BB228" i="25" s="1"/>
  <c r="BF143" i="25"/>
  <c r="DD145" i="20"/>
  <c r="BH143" i="25" s="1"/>
  <c r="CW84" i="20"/>
  <c r="BA82" i="25" s="1"/>
  <c r="AZ82" i="25"/>
  <c r="BG137" i="25"/>
  <c r="DD139" i="20"/>
  <c r="BH137" i="25" s="1"/>
  <c r="K231" i="20"/>
  <c r="CW203" i="20"/>
  <c r="BE49" i="25"/>
  <c r="BF135" i="25"/>
  <c r="DC137" i="20"/>
  <c r="DC84" i="20"/>
  <c r="BG82" i="25" s="1"/>
  <c r="BF82" i="25"/>
  <c r="AZ133" i="25"/>
  <c r="CW135" i="20"/>
  <c r="L135" i="20" s="1"/>
  <c r="DC91" i="20"/>
  <c r="BG89" i="25" s="1"/>
  <c r="BF89" i="25"/>
  <c r="AY61" i="25"/>
  <c r="CW134" i="20"/>
  <c r="CW69" i="20"/>
  <c r="BA67" i="25" s="1"/>
  <c r="AZ67" i="25"/>
  <c r="P109" i="20"/>
  <c r="AZ135" i="25"/>
  <c r="CW137" i="20"/>
  <c r="L137" i="20" s="1"/>
  <c r="BF146" i="25"/>
  <c r="DD148" i="20"/>
  <c r="BH146" i="25" s="1"/>
  <c r="BF52" i="25"/>
  <c r="DD54" i="20"/>
  <c r="BH52" i="25" s="1"/>
  <c r="CW71" i="20"/>
  <c r="L71" i="20" s="1"/>
  <c r="AZ69" i="25"/>
  <c r="DC101" i="20"/>
  <c r="BG99" i="25" s="1"/>
  <c r="BF99" i="25"/>
  <c r="BF96" i="25" s="1"/>
  <c r="K68" i="20"/>
  <c r="DB121" i="20"/>
  <c r="AY107" i="25"/>
  <c r="BF53" i="25"/>
  <c r="Q55" i="20"/>
  <c r="DC55" i="20"/>
  <c r="AZ121" i="25"/>
  <c r="CX123" i="20"/>
  <c r="BB121" i="25" s="1"/>
  <c r="BF57" i="25"/>
  <c r="DC59" i="20"/>
  <c r="BG57" i="25" s="1"/>
  <c r="BA219" i="25"/>
  <c r="CX221" i="20"/>
  <c r="BB219" i="25" s="1"/>
  <c r="BF219" i="25"/>
  <c r="DC221" i="20"/>
  <c r="R221" i="20" s="1"/>
  <c r="BF133" i="25"/>
  <c r="DC135" i="20"/>
  <c r="CX100" i="20"/>
  <c r="BB98" i="25" s="1"/>
  <c r="AZ143" i="25"/>
  <c r="CV144" i="20"/>
  <c r="AZ198" i="25"/>
  <c r="AZ196" i="25" s="1"/>
  <c r="CV198" i="20"/>
  <c r="CW200" i="20"/>
  <c r="CV4" i="20"/>
  <c r="R67" i="20"/>
  <c r="CV109" i="20"/>
  <c r="DB63" i="20"/>
  <c r="DD214" i="20"/>
  <c r="BH212" i="25" s="1"/>
  <c r="CW59" i="20"/>
  <c r="BA57" i="25" s="1"/>
  <c r="AZ146" i="25"/>
  <c r="CW148" i="20"/>
  <c r="CW144" i="20" s="1"/>
  <c r="BA137" i="25"/>
  <c r="CX139" i="20"/>
  <c r="BB137" i="25" s="1"/>
  <c r="AZ122" i="25"/>
  <c r="CW124" i="20"/>
  <c r="BA122" i="25" s="1"/>
  <c r="CW78" i="20"/>
  <c r="AZ76" i="25"/>
  <c r="BF132" i="25"/>
  <c r="DC134" i="20"/>
  <c r="DC68" i="20"/>
  <c r="BG66" i="25" s="1"/>
  <c r="BF66" i="25"/>
  <c r="BB221" i="25"/>
  <c r="BF59" i="25"/>
  <c r="DC61" i="20"/>
  <c r="Q61" i="20"/>
  <c r="CW214" i="20"/>
  <c r="AZ212" i="25"/>
  <c r="AZ206" i="25" s="1"/>
  <c r="DC96" i="20"/>
  <c r="BG94" i="25" s="1"/>
  <c r="BF94" i="25"/>
  <c r="BF117" i="25"/>
  <c r="DB109" i="20"/>
  <c r="BF213" i="25"/>
  <c r="BF206" i="25" s="1"/>
  <c r="BA221" i="25"/>
  <c r="CW220" i="20"/>
  <c r="AZ140" i="25"/>
  <c r="CW142" i="20"/>
  <c r="BA140" i="25" s="1"/>
  <c r="BF140" i="25"/>
  <c r="DC142" i="20"/>
  <c r="R142" i="20" s="1"/>
  <c r="DC224" i="20"/>
  <c r="DD224" i="20" s="1"/>
  <c r="BH222" i="25" s="1"/>
  <c r="DC73" i="20"/>
  <c r="AZ221" i="25"/>
  <c r="AZ218" i="25" s="1"/>
  <c r="CV220" i="20"/>
  <c r="BA222" i="25"/>
  <c r="CX224" i="20"/>
  <c r="BB222" i="25" s="1"/>
  <c r="AY218" i="25"/>
  <c r="DD223" i="20"/>
  <c r="BH221" i="25" s="1"/>
  <c r="BG221" i="25"/>
  <c r="BG214" i="25"/>
  <c r="DD216" i="20"/>
  <c r="BH214" i="25" s="1"/>
  <c r="DB51" i="20"/>
  <c r="CX211" i="20"/>
  <c r="BB209" i="25" s="1"/>
  <c r="BE218" i="25"/>
  <c r="DC119" i="20"/>
  <c r="R119" i="20" s="1"/>
  <c r="CW96" i="20"/>
  <c r="BA94" i="25" s="1"/>
  <c r="AZ94" i="25"/>
  <c r="BF221" i="25"/>
  <c r="DB220" i="20"/>
  <c r="AZ59" i="25"/>
  <c r="CW61" i="20"/>
  <c r="L61" i="20" s="1"/>
  <c r="BF119" i="25"/>
  <c r="DD136" i="20"/>
  <c r="BH134" i="25" s="1"/>
  <c r="G121" i="20"/>
  <c r="H121" i="20" s="1"/>
  <c r="J121" i="20"/>
  <c r="AJ91" i="20"/>
  <c r="Z89" i="25" s="1"/>
  <c r="Q215" i="20"/>
  <c r="AI88" i="20"/>
  <c r="Y86" i="25" s="1"/>
  <c r="Y209" i="25"/>
  <c r="BN229" i="20"/>
  <c r="AK227" i="25" s="1"/>
  <c r="Q103" i="20"/>
  <c r="AJ224" i="25"/>
  <c r="K222" i="20"/>
  <c r="AC147" i="20"/>
  <c r="S145" i="25" s="1"/>
  <c r="BA65" i="25"/>
  <c r="K104" i="20"/>
  <c r="R113" i="25"/>
  <c r="AI79" i="20"/>
  <c r="Y77" i="25" s="1"/>
  <c r="Q126" i="20"/>
  <c r="BN103" i="20"/>
  <c r="AK101" i="25" s="1"/>
  <c r="H96" i="25"/>
  <c r="BN203" i="20"/>
  <c r="AC104" i="20"/>
  <c r="S102" i="25" s="1"/>
  <c r="DD138" i="20"/>
  <c r="BH136" i="25" s="1"/>
  <c r="AP198" i="25"/>
  <c r="AP196" i="25" s="1"/>
  <c r="BT200" i="20"/>
  <c r="BM226" i="20"/>
  <c r="BT208" i="20"/>
  <c r="P63" i="20"/>
  <c r="Q87" i="20"/>
  <c r="DD58" i="20"/>
  <c r="BH56" i="25" s="1"/>
  <c r="BA226" i="25"/>
  <c r="CX228" i="20"/>
  <c r="BB226" i="25" s="1"/>
  <c r="BS198" i="20"/>
  <c r="AC56" i="20"/>
  <c r="R87" i="20"/>
  <c r="Y85" i="25"/>
  <c r="S85" i="25"/>
  <c r="L87" i="20"/>
  <c r="P86" i="20"/>
  <c r="O4" i="20"/>
  <c r="Y224" i="25"/>
  <c r="AD213" i="20"/>
  <c r="T211" i="25" s="1"/>
  <c r="CX138" i="20"/>
  <c r="BB136" i="25" s="1"/>
  <c r="EK145" i="20"/>
  <c r="P145" i="20" s="1"/>
  <c r="AI54" i="20"/>
  <c r="Y52" i="25" s="1"/>
  <c r="AE130" i="25"/>
  <c r="BV96" i="25"/>
  <c r="BS203" i="20"/>
  <c r="K145" i="20"/>
  <c r="AC127" i="20"/>
  <c r="S125" i="25" s="1"/>
  <c r="AI96" i="20"/>
  <c r="Y94" i="25" s="1"/>
  <c r="BT105" i="20"/>
  <c r="AQ103" i="25" s="1"/>
  <c r="K139" i="20"/>
  <c r="L187" i="20"/>
  <c r="EH229" i="20"/>
  <c r="BS227" i="25" s="1"/>
  <c r="Q49" i="25"/>
  <c r="BT90" i="20"/>
  <c r="AQ88" i="25" s="1"/>
  <c r="AJ185" i="25"/>
  <c r="BN72" i="20"/>
  <c r="AK70" i="25" s="1"/>
  <c r="R142" i="25"/>
  <c r="AC145" i="20"/>
  <c r="AI140" i="20"/>
  <c r="R140" i="20" s="1"/>
  <c r="K201" i="20"/>
  <c r="AB198" i="20"/>
  <c r="K56" i="20"/>
  <c r="R58" i="20"/>
  <c r="BH144" i="20"/>
  <c r="G144" i="20" s="1"/>
  <c r="H144" i="20" s="1"/>
  <c r="DD67" i="20"/>
  <c r="BH65" i="25" s="1"/>
  <c r="CX104" i="20"/>
  <c r="BB102" i="25" s="1"/>
  <c r="BA120" i="25"/>
  <c r="CX122" i="20"/>
  <c r="BB120" i="25" s="1"/>
  <c r="BN91" i="20"/>
  <c r="AK89" i="25" s="1"/>
  <c r="AI66" i="20"/>
  <c r="Y64" i="25" s="1"/>
  <c r="CX128" i="20"/>
  <c r="BB126" i="25" s="1"/>
  <c r="AC201" i="20"/>
  <c r="S199" i="25" s="1"/>
  <c r="Q96" i="20"/>
  <c r="AC206" i="20"/>
  <c r="S204" i="25" s="1"/>
  <c r="AI215" i="20"/>
  <c r="Y213" i="25" s="1"/>
  <c r="Y216" i="25"/>
  <c r="R218" i="20"/>
  <c r="AJ218" i="20"/>
  <c r="DD99" i="20"/>
  <c r="BH97" i="25" s="1"/>
  <c r="Y57" i="25"/>
  <c r="AD141" i="20"/>
  <c r="T139" i="25" s="1"/>
  <c r="AP81" i="25"/>
  <c r="BT83" i="20"/>
  <c r="AQ81" i="25" s="1"/>
  <c r="BU3" i="25"/>
  <c r="BT87" i="20"/>
  <c r="AQ85" i="25" s="1"/>
  <c r="AP85" i="25"/>
  <c r="BA201" i="25"/>
  <c r="L115" i="20"/>
  <c r="BQ144" i="20"/>
  <c r="BQ49" i="20" s="1"/>
  <c r="BQ5" i="20" s="1"/>
  <c r="BG58" i="25"/>
  <c r="DD60" i="20"/>
  <c r="BH58" i="25" s="1"/>
  <c r="BN87" i="20"/>
  <c r="AK85" i="25" s="1"/>
  <c r="I142" i="25"/>
  <c r="BN136" i="20"/>
  <c r="AK134" i="25" s="1"/>
  <c r="AJ134" i="25"/>
  <c r="BN115" i="20"/>
  <c r="AK113" i="25" s="1"/>
  <c r="G203" i="20"/>
  <c r="H203" i="20" s="1"/>
  <c r="CX140" i="20"/>
  <c r="BB138" i="25" s="1"/>
  <c r="J51" i="20"/>
  <c r="L210" i="20"/>
  <c r="AQ150" i="25"/>
  <c r="S152" i="20"/>
  <c r="K59" i="20"/>
  <c r="K115" i="20"/>
  <c r="L168" i="20"/>
  <c r="AJ166" i="25"/>
  <c r="J220" i="20"/>
  <c r="AJ75" i="25"/>
  <c r="BN77" i="20"/>
  <c r="AK75" i="25" s="1"/>
  <c r="AJ173" i="25"/>
  <c r="L175" i="20"/>
  <c r="BN175" i="20"/>
  <c r="K73" i="20"/>
  <c r="BN92" i="20"/>
  <c r="AK90" i="25" s="1"/>
  <c r="AI133" i="20"/>
  <c r="AJ133" i="20" s="1"/>
  <c r="S133" i="20" s="1"/>
  <c r="AI150" i="25"/>
  <c r="K152" i="20"/>
  <c r="AJ199" i="20"/>
  <c r="Z197" i="25" s="1"/>
  <c r="DD141" i="20"/>
  <c r="BH139" i="25" s="1"/>
  <c r="BA124" i="25"/>
  <c r="CX126" i="20"/>
  <c r="BB124" i="25" s="1"/>
  <c r="BA134" i="25"/>
  <c r="CX136" i="20"/>
  <c r="BB134" i="25" s="1"/>
  <c r="DD122" i="20"/>
  <c r="BH120" i="25" s="1"/>
  <c r="BL174" i="20"/>
  <c r="BS176" i="20"/>
  <c r="BT176" i="20" s="1"/>
  <c r="BT115" i="20"/>
  <c r="AQ113" i="25" s="1"/>
  <c r="S192" i="20"/>
  <c r="AD115" i="20"/>
  <c r="T113" i="25" s="1"/>
  <c r="DD140" i="20"/>
  <c r="BH138" i="25" s="1"/>
  <c r="BM156" i="20"/>
  <c r="AI154" i="25"/>
  <c r="K156" i="20"/>
  <c r="AO174" i="25"/>
  <c r="Q176" i="20"/>
  <c r="BM121" i="20"/>
  <c r="AO193" i="25"/>
  <c r="AI72" i="20"/>
  <c r="AJ72" i="20" s="1"/>
  <c r="Z70" i="25" s="1"/>
  <c r="R175" i="20"/>
  <c r="AP173" i="25"/>
  <c r="EM122" i="20"/>
  <c r="BX120" i="25" s="1"/>
  <c r="AQ173" i="25"/>
  <c r="S175" i="20"/>
  <c r="AO154" i="25"/>
  <c r="Q156" i="20"/>
  <c r="BS156" i="20"/>
  <c r="AJ174" i="25"/>
  <c r="L176" i="20"/>
  <c r="BN168" i="20"/>
  <c r="DD128" i="20"/>
  <c r="BH126" i="25" s="1"/>
  <c r="AP150" i="25"/>
  <c r="R152" i="20"/>
  <c r="AI174" i="25"/>
  <c r="K176" i="20"/>
  <c r="BN176" i="20"/>
  <c r="BM152" i="20"/>
  <c r="M218" i="20"/>
  <c r="BW121" i="25"/>
  <c r="EM103" i="20"/>
  <c r="R103" i="20" s="1"/>
  <c r="P98" i="20"/>
  <c r="AI110" i="20"/>
  <c r="Y108" i="25" s="1"/>
  <c r="Q110" i="20"/>
  <c r="AB144" i="20"/>
  <c r="AI78" i="20"/>
  <c r="Q134" i="20"/>
  <c r="K148" i="20"/>
  <c r="AC78" i="20"/>
  <c r="S76" i="25" s="1"/>
  <c r="AC148" i="20"/>
  <c r="AD148" i="20" s="1"/>
  <c r="T146" i="25" s="1"/>
  <c r="AD89" i="20"/>
  <c r="T87" i="25" s="1"/>
  <c r="S211" i="20"/>
  <c r="Q224" i="20"/>
  <c r="Q114" i="20"/>
  <c r="K99" i="20"/>
  <c r="S210" i="25"/>
  <c r="AI114" i="20"/>
  <c r="Y112" i="25" s="1"/>
  <c r="P226" i="20"/>
  <c r="Q88" i="20"/>
  <c r="AB226" i="20"/>
  <c r="K214" i="20"/>
  <c r="Q107" i="25"/>
  <c r="AB109" i="20"/>
  <c r="Q104" i="20"/>
  <c r="AD212" i="20"/>
  <c r="T210" i="25" s="1"/>
  <c r="AD119" i="20"/>
  <c r="T117" i="25" s="1"/>
  <c r="W96" i="25"/>
  <c r="X57" i="25"/>
  <c r="Q59" i="20"/>
  <c r="AC139" i="20"/>
  <c r="S137" i="25" s="1"/>
  <c r="AJ71" i="20"/>
  <c r="Z69" i="25" s="1"/>
  <c r="AD68" i="20"/>
  <c r="T66" i="25" s="1"/>
  <c r="R210" i="25"/>
  <c r="K212" i="20"/>
  <c r="BB56" i="25"/>
  <c r="M58" i="20"/>
  <c r="BS229" i="25"/>
  <c r="S91" i="25"/>
  <c r="L93" i="20"/>
  <c r="M205" i="20"/>
  <c r="I61" i="25"/>
  <c r="H49" i="25"/>
  <c r="AI148" i="20"/>
  <c r="Y146" i="25" s="1"/>
  <c r="AC124" i="20"/>
  <c r="S122" i="25" s="1"/>
  <c r="Q96" i="25"/>
  <c r="BG102" i="25"/>
  <c r="DD104" i="20"/>
  <c r="BH102" i="25" s="1"/>
  <c r="CX64" i="20"/>
  <c r="BB62" i="25" s="1"/>
  <c r="L213" i="20"/>
  <c r="AI71" i="25"/>
  <c r="AI61" i="25" s="1"/>
  <c r="R93" i="20"/>
  <c r="AI130" i="20"/>
  <c r="Y128" i="25" s="1"/>
  <c r="K91" i="20"/>
  <c r="AC95" i="20"/>
  <c r="L95" i="20" s="1"/>
  <c r="CX111" i="20"/>
  <c r="R167" i="20"/>
  <c r="AP165" i="25"/>
  <c r="BT167" i="20"/>
  <c r="BS166" i="20"/>
  <c r="AP164" i="25" s="1"/>
  <c r="K90" i="20"/>
  <c r="AJ93" i="20"/>
  <c r="Z91" i="25" s="1"/>
  <c r="AJ145" i="20"/>
  <c r="Z143" i="25" s="1"/>
  <c r="K128" i="20"/>
  <c r="P132" i="20"/>
  <c r="AC128" i="20"/>
  <c r="S126" i="25" s="1"/>
  <c r="AI126" i="20"/>
  <c r="H73" i="25"/>
  <c r="AH51" i="20"/>
  <c r="BG124" i="25"/>
  <c r="DD210" i="20"/>
  <c r="BH208" i="25" s="1"/>
  <c r="H61" i="25"/>
  <c r="P198" i="20"/>
  <c r="EH107" i="20"/>
  <c r="BS105" i="25" s="1"/>
  <c r="AI134" i="20"/>
  <c r="AJ134" i="20" s="1"/>
  <c r="AI80" i="20"/>
  <c r="Y78" i="25" s="1"/>
  <c r="AK161" i="25"/>
  <c r="M163" i="20"/>
  <c r="Y92" i="25"/>
  <c r="AI102" i="20"/>
  <c r="Y100" i="25" s="1"/>
  <c r="BA125" i="25"/>
  <c r="CX127" i="20"/>
  <c r="AC91" i="20"/>
  <c r="AD91" i="20" s="1"/>
  <c r="T89" i="25" s="1"/>
  <c r="BA56" i="25"/>
  <c r="L58" i="20"/>
  <c r="EL98" i="20"/>
  <c r="N49" i="25"/>
  <c r="J226" i="20"/>
  <c r="H206" i="25"/>
  <c r="AC134" i="20"/>
  <c r="S132" i="25" s="1"/>
  <c r="AJ68" i="20"/>
  <c r="Z66" i="25" s="1"/>
  <c r="AJ59" i="20"/>
  <c r="Z57" i="25" s="1"/>
  <c r="BG109" i="25"/>
  <c r="BA208" i="25"/>
  <c r="CX210" i="20"/>
  <c r="BB208" i="25" s="1"/>
  <c r="AA49" i="20"/>
  <c r="AA5" i="20" s="1"/>
  <c r="BH144" i="25"/>
  <c r="Q102" i="20"/>
  <c r="BS226" i="20"/>
  <c r="BL63" i="20"/>
  <c r="AP224" i="25"/>
  <c r="BG62" i="25"/>
  <c r="DD64" i="20"/>
  <c r="EH106" i="20"/>
  <c r="BS104" i="25" s="1"/>
  <c r="S53" i="20"/>
  <c r="BN182" i="20"/>
  <c r="AK180" i="25" s="1"/>
  <c r="EH103" i="20"/>
  <c r="BS101" i="25" s="1"/>
  <c r="AH142" i="25"/>
  <c r="AC204" i="20"/>
  <c r="L204" i="20" s="1"/>
  <c r="X142" i="25"/>
  <c r="BT92" i="20"/>
  <c r="AQ90" i="25" s="1"/>
  <c r="AJ94" i="20"/>
  <c r="AB208" i="20"/>
  <c r="BW127" i="25"/>
  <c r="AO107" i="25"/>
  <c r="EN126" i="20"/>
  <c r="BY124" i="25" s="1"/>
  <c r="AI57" i="20"/>
  <c r="AJ57" i="20" s="1"/>
  <c r="Z55" i="25" s="1"/>
  <c r="AJ212" i="20"/>
  <c r="S212" i="20" s="1"/>
  <c r="BT229" i="20"/>
  <c r="AQ227" i="25" s="1"/>
  <c r="CX141" i="20"/>
  <c r="BB139" i="25" s="1"/>
  <c r="K95" i="20"/>
  <c r="DD126" i="20"/>
  <c r="P208" i="20"/>
  <c r="G75" i="20"/>
  <c r="H75" i="20" s="1"/>
  <c r="AC118" i="20"/>
  <c r="S116" i="25" s="1"/>
  <c r="AJ136" i="20"/>
  <c r="AG49" i="20"/>
  <c r="AG5" i="20" s="1"/>
  <c r="W107" i="25"/>
  <c r="R136" i="20"/>
  <c r="AJ87" i="20"/>
  <c r="Q218" i="25"/>
  <c r="J75" i="20"/>
  <c r="K78" i="20"/>
  <c r="Q3" i="25"/>
  <c r="K111" i="20"/>
  <c r="H218" i="25"/>
  <c r="AI137" i="20"/>
  <c r="Y135" i="25" s="1"/>
  <c r="W3" i="25"/>
  <c r="Q201" i="20"/>
  <c r="L141" i="20"/>
  <c r="AJ226" i="20"/>
  <c r="AI123" i="20"/>
  <c r="AI200" i="20"/>
  <c r="AJ200" i="20" s="1"/>
  <c r="Z198" i="25" s="1"/>
  <c r="AC111" i="20"/>
  <c r="L111" i="20" s="1"/>
  <c r="W49" i="25"/>
  <c r="AI206" i="20"/>
  <c r="Y204" i="25" s="1"/>
  <c r="Q206" i="25"/>
  <c r="AH75" i="20"/>
  <c r="R117" i="25"/>
  <c r="K119" i="20"/>
  <c r="R80" i="25"/>
  <c r="K82" i="20"/>
  <c r="AC82" i="20"/>
  <c r="AI73" i="20"/>
  <c r="Y71" i="25" s="1"/>
  <c r="AI77" i="20"/>
  <c r="Y75" i="25" s="1"/>
  <c r="W206" i="25"/>
  <c r="Q137" i="20"/>
  <c r="AD67" i="20"/>
  <c r="T65" i="25" s="1"/>
  <c r="K54" i="20"/>
  <c r="Q200" i="20"/>
  <c r="W218" i="25"/>
  <c r="L67" i="20"/>
  <c r="R55" i="25"/>
  <c r="K57" i="20"/>
  <c r="N107" i="25"/>
  <c r="G107" i="25" s="1"/>
  <c r="AD69" i="20"/>
  <c r="T67" i="25" s="1"/>
  <c r="AC113" i="20"/>
  <c r="AC129" i="20"/>
  <c r="S127" i="25" s="1"/>
  <c r="AC54" i="20"/>
  <c r="S52" i="25" s="1"/>
  <c r="R138" i="25"/>
  <c r="K140" i="20"/>
  <c r="AC140" i="20"/>
  <c r="R205" i="20"/>
  <c r="AC84" i="20"/>
  <c r="S82" i="25" s="1"/>
  <c r="AH198" i="20"/>
  <c r="Q198" i="20" s="1"/>
  <c r="AC57" i="20"/>
  <c r="R89" i="20"/>
  <c r="X80" i="25"/>
  <c r="Q82" i="20"/>
  <c r="T90" i="25"/>
  <c r="S97" i="25"/>
  <c r="T131" i="25"/>
  <c r="Y68" i="25"/>
  <c r="R70" i="20"/>
  <c r="S133" i="25"/>
  <c r="Z140" i="25"/>
  <c r="Z50" i="25"/>
  <c r="S52" i="20"/>
  <c r="S62" i="25"/>
  <c r="L64" i="20"/>
  <c r="Y137" i="25"/>
  <c r="R139" i="20"/>
  <c r="Y136" i="25"/>
  <c r="R138" i="20"/>
  <c r="Y120" i="25"/>
  <c r="L99" i="20"/>
  <c r="R81" i="25"/>
  <c r="AC83" i="20"/>
  <c r="S81" i="25" s="1"/>
  <c r="AD135" i="20"/>
  <c r="X90" i="25"/>
  <c r="Q92" i="20"/>
  <c r="AI92" i="20"/>
  <c r="AJ92" i="20" s="1"/>
  <c r="R78" i="25"/>
  <c r="AC80" i="20"/>
  <c r="S78" i="25" s="1"/>
  <c r="R222" i="25"/>
  <c r="K224" i="20"/>
  <c r="X133" i="25"/>
  <c r="Q135" i="20"/>
  <c r="AI135" i="20"/>
  <c r="X126" i="25"/>
  <c r="Y62" i="25"/>
  <c r="R64" i="20"/>
  <c r="Q84" i="25"/>
  <c r="X88" i="25"/>
  <c r="Q90" i="20"/>
  <c r="R198" i="25"/>
  <c r="R196" i="25" s="1"/>
  <c r="AC200" i="20"/>
  <c r="X79" i="25"/>
  <c r="AI81" i="20"/>
  <c r="Y79" i="25" s="1"/>
  <c r="AJ90" i="20"/>
  <c r="Z88" i="25" s="1"/>
  <c r="S140" i="25"/>
  <c r="AC229" i="20"/>
  <c r="L229" i="20" s="1"/>
  <c r="R227" i="25"/>
  <c r="R224" i="25" s="1"/>
  <c r="R57" i="25"/>
  <c r="AD59" i="20"/>
  <c r="T57" i="25" s="1"/>
  <c r="R110" i="25"/>
  <c r="K112" i="20"/>
  <c r="X199" i="25"/>
  <c r="X196" i="25" s="1"/>
  <c r="AJ201" i="20"/>
  <c r="Z199" i="25" s="1"/>
  <c r="Q61" i="25"/>
  <c r="S203" i="25"/>
  <c r="L205" i="20"/>
  <c r="T74" i="25"/>
  <c r="W84" i="25"/>
  <c r="AB75" i="20"/>
  <c r="AH132" i="20"/>
  <c r="S222" i="25"/>
  <c r="L224" i="20"/>
  <c r="X109" i="25"/>
  <c r="Q111" i="20"/>
  <c r="AI111" i="20"/>
  <c r="AJ111" i="20" s="1"/>
  <c r="L112" i="20"/>
  <c r="AI115" i="20"/>
  <c r="AJ115" i="20" s="1"/>
  <c r="Q73" i="20"/>
  <c r="AC217" i="20"/>
  <c r="S215" i="25" s="1"/>
  <c r="AJ112" i="20"/>
  <c r="Y110" i="25"/>
  <c r="AC223" i="20"/>
  <c r="R221" i="25"/>
  <c r="K223" i="20"/>
  <c r="AD99" i="20"/>
  <c r="T97" i="25" s="1"/>
  <c r="X82" i="25"/>
  <c r="AI84" i="20"/>
  <c r="X122" i="25"/>
  <c r="AI124" i="20"/>
  <c r="R70" i="25"/>
  <c r="AC72" i="20"/>
  <c r="S70" i="25" s="1"/>
  <c r="Y117" i="25"/>
  <c r="S131" i="25"/>
  <c r="AI141" i="20"/>
  <c r="AJ141" i="20" s="1"/>
  <c r="AI118" i="20"/>
  <c r="Y116" i="25" s="1"/>
  <c r="X116" i="25"/>
  <c r="AJ139" i="20"/>
  <c r="R94" i="25"/>
  <c r="AC96" i="20"/>
  <c r="S94" i="25" s="1"/>
  <c r="AI210" i="20"/>
  <c r="AJ210" i="20" s="1"/>
  <c r="Z208" i="25" s="1"/>
  <c r="K79" i="20"/>
  <c r="X212" i="25"/>
  <c r="AJ214" i="20"/>
  <c r="Z212" i="25" s="1"/>
  <c r="Y140" i="25"/>
  <c r="AD224" i="20"/>
  <c r="W201" i="25"/>
  <c r="X125" i="25"/>
  <c r="G203" i="25"/>
  <c r="I203" i="25" s="1"/>
  <c r="N201" i="25"/>
  <c r="N61" i="25"/>
  <c r="G62" i="25"/>
  <c r="I62" i="25" s="1"/>
  <c r="R71" i="25"/>
  <c r="AC73" i="20"/>
  <c r="X222" i="25"/>
  <c r="AJ224" i="20"/>
  <c r="Z222" i="25" s="1"/>
  <c r="X62" i="25"/>
  <c r="AH63" i="20"/>
  <c r="Q64" i="20"/>
  <c r="AJ64" i="20"/>
  <c r="R135" i="25"/>
  <c r="K137" i="20"/>
  <c r="AD137" i="20"/>
  <c r="X210" i="25"/>
  <c r="Q212" i="20"/>
  <c r="AB132" i="20"/>
  <c r="R134" i="25"/>
  <c r="K136" i="20"/>
  <c r="AC136" i="20"/>
  <c r="AD136" i="20" s="1"/>
  <c r="R136" i="25"/>
  <c r="K138" i="20"/>
  <c r="AC138" i="20"/>
  <c r="AD138" i="20" s="1"/>
  <c r="X93" i="25"/>
  <c r="AI95" i="20"/>
  <c r="Y93" i="25" s="1"/>
  <c r="Q95" i="20"/>
  <c r="R69" i="25"/>
  <c r="K71" i="20"/>
  <c r="X67" i="25"/>
  <c r="AJ69" i="20"/>
  <c r="Z67" i="25" s="1"/>
  <c r="Q69" i="20"/>
  <c r="Q56" i="20"/>
  <c r="AC81" i="20"/>
  <c r="S79" i="25" s="1"/>
  <c r="Z211" i="25"/>
  <c r="AH144" i="20"/>
  <c r="R202" i="25"/>
  <c r="R201" i="25" s="1"/>
  <c r="AB203" i="20"/>
  <c r="R64" i="25"/>
  <c r="AC66" i="20"/>
  <c r="S64" i="25" s="1"/>
  <c r="R90" i="20"/>
  <c r="Q122" i="20"/>
  <c r="AH109" i="20"/>
  <c r="X113" i="25"/>
  <c r="R212" i="20"/>
  <c r="J208" i="20"/>
  <c r="H224" i="25"/>
  <c r="J203" i="20"/>
  <c r="G220" i="20"/>
  <c r="H220" i="20" s="1"/>
  <c r="R124" i="25"/>
  <c r="AC126" i="20"/>
  <c r="S124" i="25" s="1"/>
  <c r="AC79" i="20"/>
  <c r="Z58" i="25"/>
  <c r="T58" i="25"/>
  <c r="M60" i="20"/>
  <c r="X50" i="25"/>
  <c r="Q52" i="20"/>
  <c r="R207" i="25"/>
  <c r="AC209" i="20"/>
  <c r="AD209" i="20" s="1"/>
  <c r="K84" i="20"/>
  <c r="R91" i="25"/>
  <c r="K93" i="20"/>
  <c r="AD93" i="20"/>
  <c r="T91" i="25" s="1"/>
  <c r="Y63" i="25"/>
  <c r="R65" i="20"/>
  <c r="X81" i="25"/>
  <c r="AJ83" i="20"/>
  <c r="Z81" i="25" s="1"/>
  <c r="N130" i="25"/>
  <c r="X221" i="25"/>
  <c r="AI223" i="20"/>
  <c r="AJ223" i="20" s="1"/>
  <c r="T92" i="25"/>
  <c r="R50" i="25"/>
  <c r="K52" i="20"/>
  <c r="AC52" i="20"/>
  <c r="AD52" i="20" s="1"/>
  <c r="X68" i="25"/>
  <c r="Q70" i="20"/>
  <c r="AJ216" i="20"/>
  <c r="Z214" i="25" s="1"/>
  <c r="Y214" i="25"/>
  <c r="S68" i="25"/>
  <c r="L70" i="20"/>
  <c r="AC88" i="20"/>
  <c r="AD88" i="20" s="1"/>
  <c r="AB86" i="20"/>
  <c r="X111" i="25"/>
  <c r="AI113" i="20"/>
  <c r="Y111" i="25" s="1"/>
  <c r="AI147" i="20"/>
  <c r="AJ147" i="20" s="1"/>
  <c r="Z145" i="25" s="1"/>
  <c r="G218" i="25"/>
  <c r="AJ70" i="20"/>
  <c r="Z68" i="25" s="1"/>
  <c r="W61" i="25"/>
  <c r="S135" i="25"/>
  <c r="X220" i="25"/>
  <c r="AH220" i="20"/>
  <c r="Q222" i="20"/>
  <c r="AI222" i="20"/>
  <c r="AJ222" i="20" s="1"/>
  <c r="S222" i="20" s="1"/>
  <c r="X55" i="25"/>
  <c r="X202" i="25"/>
  <c r="X201" i="25" s="1"/>
  <c r="AH203" i="20"/>
  <c r="AI204" i="20"/>
  <c r="AD71" i="20"/>
  <c r="N206" i="25"/>
  <c r="Q113" i="20"/>
  <c r="H196" i="25"/>
  <c r="P220" i="20"/>
  <c r="K81" i="20"/>
  <c r="Y74" i="25"/>
  <c r="AD70" i="20"/>
  <c r="AJ122" i="20"/>
  <c r="AB51" i="20"/>
  <c r="AC215" i="20"/>
  <c r="R213" i="25"/>
  <c r="Z117" i="25"/>
  <c r="AI128" i="20"/>
  <c r="Y126" i="25" s="1"/>
  <c r="R108" i="25"/>
  <c r="K110" i="20"/>
  <c r="AC110" i="20"/>
  <c r="AD110" i="20" s="1"/>
  <c r="R220" i="25"/>
  <c r="AB220" i="20"/>
  <c r="AC222" i="20"/>
  <c r="AD112" i="20"/>
  <c r="T110" i="25" s="1"/>
  <c r="Y211" i="25"/>
  <c r="R213" i="20"/>
  <c r="R100" i="25"/>
  <c r="AC102" i="20"/>
  <c r="AD102" i="20" s="1"/>
  <c r="T100" i="25" s="1"/>
  <c r="K102" i="20"/>
  <c r="AJ76" i="20"/>
  <c r="AJ89" i="20"/>
  <c r="Z87" i="25" s="1"/>
  <c r="R133" i="25"/>
  <c r="K135" i="20"/>
  <c r="X120" i="25"/>
  <c r="AH121" i="20"/>
  <c r="R63" i="25"/>
  <c r="K65" i="20"/>
  <c r="S90" i="25"/>
  <c r="L92" i="20"/>
  <c r="X137" i="25"/>
  <c r="Q139" i="20"/>
  <c r="S69" i="25"/>
  <c r="AB121" i="20"/>
  <c r="R120" i="25"/>
  <c r="AC122" i="20"/>
  <c r="AD122" i="20" s="1"/>
  <c r="R62" i="25"/>
  <c r="AB63" i="20"/>
  <c r="K64" i="20"/>
  <c r="AB4" i="20"/>
  <c r="R97" i="25"/>
  <c r="AB98" i="20"/>
  <c r="Y50" i="25"/>
  <c r="R52" i="20"/>
  <c r="AH4" i="20"/>
  <c r="AH208" i="20"/>
  <c r="H142" i="25"/>
  <c r="Q130" i="25"/>
  <c r="Q201" i="25"/>
  <c r="S123" i="25"/>
  <c r="AD125" i="20"/>
  <c r="T123" i="25" s="1"/>
  <c r="O63" i="20"/>
  <c r="AF49" i="20"/>
  <c r="AI56" i="20"/>
  <c r="Y54" i="25" s="1"/>
  <c r="R121" i="25"/>
  <c r="AC123" i="20"/>
  <c r="S121" i="25" s="1"/>
  <c r="X127" i="25"/>
  <c r="AI129" i="20"/>
  <c r="AJ129" i="20" s="1"/>
  <c r="Z127" i="25" s="1"/>
  <c r="AD64" i="20"/>
  <c r="N84" i="25"/>
  <c r="G84" i="25" s="1"/>
  <c r="X136" i="25"/>
  <c r="Q138" i="20"/>
  <c r="AJ138" i="20"/>
  <c r="X207" i="25"/>
  <c r="Q209" i="20"/>
  <c r="AI209" i="20"/>
  <c r="AC214" i="20"/>
  <c r="K88" i="20"/>
  <c r="Q141" i="20"/>
  <c r="N3" i="25"/>
  <c r="Q118" i="20"/>
  <c r="P203" i="20"/>
  <c r="AJ82" i="20"/>
  <c r="Z80" i="25" s="1"/>
  <c r="T85" i="25"/>
  <c r="X97" i="25"/>
  <c r="X96" i="25" s="1"/>
  <c r="AH98" i="20"/>
  <c r="AI99" i="20"/>
  <c r="AH86" i="20"/>
  <c r="V61" i="25"/>
  <c r="V3" i="25"/>
  <c r="AC114" i="20"/>
  <c r="S112" i="25" s="1"/>
  <c r="R112" i="25"/>
  <c r="R111" i="25"/>
  <c r="K113" i="20"/>
  <c r="AI127" i="20"/>
  <c r="Y125" i="25" s="1"/>
  <c r="W130" i="25"/>
  <c r="R68" i="25"/>
  <c r="K70" i="20"/>
  <c r="AC65" i="20"/>
  <c r="BR170" i="20"/>
  <c r="AQ66" i="25"/>
  <c r="AE3" i="25"/>
  <c r="BN95" i="20"/>
  <c r="AK93" i="25" s="1"/>
  <c r="AH3" i="25"/>
  <c r="BT95" i="20"/>
  <c r="AQ93" i="25" s="1"/>
  <c r="AN61" i="25"/>
  <c r="BM172" i="20"/>
  <c r="BN172" i="20" s="1"/>
  <c r="AI170" i="25"/>
  <c r="K172" i="20"/>
  <c r="BT206" i="20"/>
  <c r="S171" i="20"/>
  <c r="AQ169" i="25"/>
  <c r="AP115" i="25"/>
  <c r="BT117" i="20"/>
  <c r="AQ115" i="25" s="1"/>
  <c r="AK55" i="25"/>
  <c r="AO170" i="25"/>
  <c r="Q172" i="20"/>
  <c r="AO149" i="25"/>
  <c r="AO142" i="25" s="1"/>
  <c r="Q151" i="20"/>
  <c r="AK190" i="25"/>
  <c r="AP119" i="25"/>
  <c r="BT126" i="20"/>
  <c r="AQ124" i="25" s="1"/>
  <c r="AK165" i="25"/>
  <c r="BR4" i="20"/>
  <c r="BS109" i="20"/>
  <c r="AI119" i="25"/>
  <c r="BN73" i="20"/>
  <c r="G149" i="25"/>
  <c r="I149" i="25" s="1"/>
  <c r="AE142" i="25"/>
  <c r="BM158" i="20"/>
  <c r="AJ156" i="25" s="1"/>
  <c r="AI49" i="25"/>
  <c r="BS121" i="20"/>
  <c r="BK144" i="20"/>
  <c r="BK49" i="20" s="1"/>
  <c r="BK5" i="20" s="1"/>
  <c r="BS151" i="20"/>
  <c r="BT151" i="20" s="1"/>
  <c r="AJ149" i="25"/>
  <c r="L151" i="20"/>
  <c r="AQ54" i="25"/>
  <c r="AQ55" i="25"/>
  <c r="BT172" i="20"/>
  <c r="BT170" i="20" s="1"/>
  <c r="R172" i="20"/>
  <c r="BS170" i="20"/>
  <c r="AP170" i="25"/>
  <c r="BL4" i="20"/>
  <c r="S180" i="20"/>
  <c r="BN194" i="20"/>
  <c r="BS195" i="20"/>
  <c r="BR194" i="20"/>
  <c r="AO192" i="25" s="1"/>
  <c r="BL150" i="20"/>
  <c r="AI148" i="25" s="1"/>
  <c r="AP54" i="25"/>
  <c r="AK149" i="25"/>
  <c r="M151" i="20"/>
  <c r="AH168" i="25"/>
  <c r="BM170" i="20"/>
  <c r="BN170" i="20" s="1"/>
  <c r="R82" i="20"/>
  <c r="EN82" i="20"/>
  <c r="BY80" i="25" s="1"/>
  <c r="Q123" i="20"/>
  <c r="K125" i="20"/>
  <c r="K227" i="20"/>
  <c r="EN123" i="20"/>
  <c r="BY121" i="25" s="1"/>
  <c r="EN129" i="20"/>
  <c r="BY127" i="25" s="1"/>
  <c r="BM73" i="25"/>
  <c r="G73" i="25" s="1"/>
  <c r="R199" i="20"/>
  <c r="BQ201" i="25"/>
  <c r="BR76" i="25"/>
  <c r="EH78" i="20"/>
  <c r="EH124" i="20" s="1"/>
  <c r="EN200" i="20"/>
  <c r="EN198" i="20" s="1"/>
  <c r="Q129" i="20"/>
  <c r="EE4" i="20"/>
  <c r="J4" i="20" s="1"/>
  <c r="EM99" i="20"/>
  <c r="BX97" i="25" s="1"/>
  <c r="BW218" i="25"/>
  <c r="BR199" i="25"/>
  <c r="BP96" i="25"/>
  <c r="L230" i="20"/>
  <c r="BX78" i="25"/>
  <c r="EF198" i="20"/>
  <c r="BQ197" i="25"/>
  <c r="BW103" i="25"/>
  <c r="EM105" i="20"/>
  <c r="BR219" i="25"/>
  <c r="EG220" i="20"/>
  <c r="BP196" i="25"/>
  <c r="EH146" i="20"/>
  <c r="BS144" i="25" s="1"/>
  <c r="EH221" i="20"/>
  <c r="BS219" i="25" s="1"/>
  <c r="BS218" i="25" s="1"/>
  <c r="L125" i="20"/>
  <c r="K199" i="20"/>
  <c r="BN119" i="25"/>
  <c r="H119" i="25" s="1"/>
  <c r="EH214" i="20"/>
  <c r="BS212" i="25" s="1"/>
  <c r="BM206" i="25"/>
  <c r="EG200" i="20"/>
  <c r="EG198" i="20" s="1"/>
  <c r="BQ103" i="25"/>
  <c r="BQ96" i="25" s="1"/>
  <c r="EG105" i="20"/>
  <c r="EF98" i="20"/>
  <c r="BX125" i="25"/>
  <c r="L146" i="20"/>
  <c r="Q206" i="20"/>
  <c r="BP142" i="25"/>
  <c r="BV224" i="25"/>
  <c r="ED49" i="20"/>
  <c r="ED5" i="20" s="1"/>
  <c r="EH230" i="20"/>
  <c r="BS228" i="25" s="1"/>
  <c r="BX105" i="25"/>
  <c r="EN107" i="20"/>
  <c r="BY105" i="25" s="1"/>
  <c r="BW126" i="25"/>
  <c r="Q128" i="20"/>
  <c r="BP224" i="25"/>
  <c r="EE49" i="20"/>
  <c r="EE5" i="20" s="1"/>
  <c r="EG76" i="20"/>
  <c r="BR74" i="25" s="1"/>
  <c r="EN230" i="20"/>
  <c r="BY228" i="25" s="1"/>
  <c r="EH80" i="20"/>
  <c r="BS78" i="25" s="1"/>
  <c r="BR229" i="25"/>
  <c r="L231" i="20"/>
  <c r="EH125" i="20"/>
  <c r="BS77" i="25"/>
  <c r="R227" i="20"/>
  <c r="BS214" i="25"/>
  <c r="M216" i="20"/>
  <c r="BX76" i="25"/>
  <c r="EH83" i="20"/>
  <c r="BR81" i="25"/>
  <c r="EG129" i="20"/>
  <c r="BY225" i="25"/>
  <c r="BR225" i="25"/>
  <c r="EG226" i="20"/>
  <c r="EH227" i="20"/>
  <c r="BY199" i="25"/>
  <c r="BX128" i="25"/>
  <c r="BX81" i="25"/>
  <c r="R83" i="20"/>
  <c r="BY213" i="25"/>
  <c r="BY219" i="25"/>
  <c r="EN130" i="20"/>
  <c r="BM120" i="25"/>
  <c r="G122" i="20"/>
  <c r="H122" i="20" s="1"/>
  <c r="BW122" i="25"/>
  <c r="Q124" i="20"/>
  <c r="BM122" i="25"/>
  <c r="G122" i="25" s="1"/>
  <c r="I122" i="25" s="1"/>
  <c r="G124" i="20"/>
  <c r="H124" i="20" s="1"/>
  <c r="BM125" i="25"/>
  <c r="G125" i="25" s="1"/>
  <c r="I125" i="25" s="1"/>
  <c r="G127" i="20"/>
  <c r="H127" i="20" s="1"/>
  <c r="BV122" i="25"/>
  <c r="P124" i="20"/>
  <c r="BV73" i="25"/>
  <c r="BM201" i="25"/>
  <c r="BX212" i="25"/>
  <c r="R214" i="20"/>
  <c r="EN214" i="20"/>
  <c r="BX202" i="25"/>
  <c r="EG130" i="20"/>
  <c r="BR82" i="25"/>
  <c r="BW125" i="25"/>
  <c r="Q127" i="20"/>
  <c r="BW229" i="25"/>
  <c r="BW224" i="25" s="1"/>
  <c r="Q231" i="20"/>
  <c r="EH77" i="20"/>
  <c r="K77" i="20"/>
  <c r="BQ75" i="25"/>
  <c r="EF123" i="20"/>
  <c r="BQ125" i="25"/>
  <c r="K127" i="20"/>
  <c r="BN3" i="25"/>
  <c r="H3" i="25" s="1"/>
  <c r="BW82" i="25"/>
  <c r="Q84" i="20"/>
  <c r="BV206" i="25"/>
  <c r="BP206" i="25"/>
  <c r="BW97" i="25"/>
  <c r="Q99" i="20"/>
  <c r="EN128" i="20"/>
  <c r="BR213" i="25"/>
  <c r="EH215" i="20"/>
  <c r="BX229" i="25"/>
  <c r="BP121" i="25"/>
  <c r="J123" i="20"/>
  <c r="BW196" i="25"/>
  <c r="BM142" i="25"/>
  <c r="G145" i="25"/>
  <c r="I145" i="25" s="1"/>
  <c r="EH84" i="20"/>
  <c r="BM127" i="25"/>
  <c r="G127" i="25" s="1"/>
  <c r="I127" i="25" s="1"/>
  <c r="G129" i="20"/>
  <c r="H129" i="20" s="1"/>
  <c r="BP120" i="25"/>
  <c r="J122" i="20"/>
  <c r="EM124" i="20"/>
  <c r="EN124" i="20" s="1"/>
  <c r="BQ122" i="25"/>
  <c r="K124" i="20"/>
  <c r="O121" i="20"/>
  <c r="EJ49" i="20"/>
  <c r="BX227" i="25"/>
  <c r="EN229" i="20"/>
  <c r="R229" i="20"/>
  <c r="BY215" i="25"/>
  <c r="BR197" i="25"/>
  <c r="EH199" i="20"/>
  <c r="M199" i="20" s="1"/>
  <c r="BW75" i="25"/>
  <c r="Q77" i="20"/>
  <c r="EM77" i="20"/>
  <c r="BR208" i="25"/>
  <c r="K80" i="20"/>
  <c r="BQ78" i="25"/>
  <c r="EF126" i="20"/>
  <c r="BP128" i="25"/>
  <c r="J130" i="20"/>
  <c r="BX79" i="25"/>
  <c r="EN224" i="20"/>
  <c r="BY222" i="25" s="1"/>
  <c r="BX222" i="25"/>
  <c r="BR79" i="25"/>
  <c r="EG127" i="20"/>
  <c r="BW208" i="25"/>
  <c r="BW206" i="25" s="1"/>
  <c r="EL208" i="20"/>
  <c r="BR214" i="25"/>
  <c r="L216" i="20"/>
  <c r="EH81" i="20"/>
  <c r="BW128" i="25"/>
  <c r="Q130" i="20"/>
  <c r="BR78" i="25"/>
  <c r="EG126" i="20"/>
  <c r="EM84" i="20"/>
  <c r="EM210" i="20"/>
  <c r="EN210" i="20" s="1"/>
  <c r="EB4" i="20"/>
  <c r="G4" i="20" s="1"/>
  <c r="L199" i="20"/>
  <c r="BM124" i="25"/>
  <c r="G124" i="25" s="1"/>
  <c r="I124" i="25" s="1"/>
  <c r="G126" i="20"/>
  <c r="H126" i="20" s="1"/>
  <c r="BM121" i="25"/>
  <c r="G121" i="25" s="1"/>
  <c r="I121" i="25" s="1"/>
  <c r="G123" i="20"/>
  <c r="H123" i="20" s="1"/>
  <c r="EF122" i="20"/>
  <c r="BQ74" i="25"/>
  <c r="EF75" i="20"/>
  <c r="EF121" i="20" s="1"/>
  <c r="BX197" i="25"/>
  <c r="EM198" i="20"/>
  <c r="BR97" i="25"/>
  <c r="EH99" i="20"/>
  <c r="BM196" i="25"/>
  <c r="G196" i="25" s="1"/>
  <c r="BS202" i="25"/>
  <c r="BQ145" i="25"/>
  <c r="BQ142" i="25" s="1"/>
  <c r="EG147" i="20"/>
  <c r="K147" i="20"/>
  <c r="BV128" i="25"/>
  <c r="P130" i="20"/>
  <c r="BQ215" i="25"/>
  <c r="BQ206" i="25" s="1"/>
  <c r="EG217" i="20"/>
  <c r="K217" i="20"/>
  <c r="BQ128" i="25"/>
  <c r="K130" i="20"/>
  <c r="BP122" i="25"/>
  <c r="J124" i="20"/>
  <c r="BQ198" i="25"/>
  <c r="K200" i="20"/>
  <c r="BP124" i="25"/>
  <c r="J126" i="20"/>
  <c r="EN231" i="20"/>
  <c r="EG203" i="20"/>
  <c r="BP73" i="25"/>
  <c r="J129" i="20"/>
  <c r="BP127" i="25"/>
  <c r="BV125" i="25"/>
  <c r="P127" i="20"/>
  <c r="BW76" i="25"/>
  <c r="Q78" i="20"/>
  <c r="EL226" i="20"/>
  <c r="BR146" i="25"/>
  <c r="EH148" i="20"/>
  <c r="BW78" i="25"/>
  <c r="EN80" i="20"/>
  <c r="BY78" i="25" s="1"/>
  <c r="Q80" i="20"/>
  <c r="EH210" i="20"/>
  <c r="EN78" i="20"/>
  <c r="BV196" i="25"/>
  <c r="BX213" i="25"/>
  <c r="EF144" i="20"/>
  <c r="BR201" i="25"/>
  <c r="EF208" i="20"/>
  <c r="BM128" i="25"/>
  <c r="G128" i="25" s="1"/>
  <c r="I128" i="25" s="1"/>
  <c r="G130" i="20"/>
  <c r="H130" i="20" s="1"/>
  <c r="BM224" i="25"/>
  <c r="G224" i="25" s="1"/>
  <c r="P75" i="20"/>
  <c r="EK121" i="20"/>
  <c r="P121" i="20" s="1"/>
  <c r="EH206" i="20"/>
  <c r="BS204" i="25" s="1"/>
  <c r="EN81" i="20"/>
  <c r="BY79" i="25" s="1"/>
  <c r="EF226" i="20"/>
  <c r="BQ225" i="25"/>
  <c r="BQ224" i="25" s="1"/>
  <c r="BY197" i="25"/>
  <c r="EN127" i="20"/>
  <c r="BR102" i="25"/>
  <c r="BO119" i="25"/>
  <c r="I119" i="25" s="1"/>
  <c r="BO3" i="25"/>
  <c r="I3" i="25" s="1"/>
  <c r="BX199" i="25"/>
  <c r="R201" i="20"/>
  <c r="BY214" i="25"/>
  <c r="BW81" i="25"/>
  <c r="Q83" i="20"/>
  <c r="EN83" i="20"/>
  <c r="BY81" i="25" s="1"/>
  <c r="EM76" i="20"/>
  <c r="EN76" i="20" s="1"/>
  <c r="BY74" i="25" s="1"/>
  <c r="BW74" i="25"/>
  <c r="EL75" i="20"/>
  <c r="EL121" i="20" s="1"/>
  <c r="Q76" i="20"/>
  <c r="BQ81" i="25"/>
  <c r="K83" i="20"/>
  <c r="EF129" i="20"/>
  <c r="BW204" i="25"/>
  <c r="BW201" i="25" s="1"/>
  <c r="EM206" i="20"/>
  <c r="EN206" i="20" s="1"/>
  <c r="BY202" i="25"/>
  <c r="BX225" i="25"/>
  <c r="EM226" i="20"/>
  <c r="BX219" i="25"/>
  <c r="EM220" i="20"/>
  <c r="BR75" i="25"/>
  <c r="EG123" i="20"/>
  <c r="BP125" i="25"/>
  <c r="J127" i="20"/>
  <c r="AJ132" i="25"/>
  <c r="AK64" i="25"/>
  <c r="AQ94" i="25"/>
  <c r="AI176" i="25"/>
  <c r="AJ87" i="25"/>
  <c r="L89" i="20"/>
  <c r="AJ66" i="25"/>
  <c r="BN68" i="20"/>
  <c r="AK153" i="25"/>
  <c r="M155" i="20"/>
  <c r="AH184" i="25"/>
  <c r="G64" i="25"/>
  <c r="I64" i="25" s="1"/>
  <c r="AE61" i="25"/>
  <c r="BT155" i="20"/>
  <c r="AP153" i="25"/>
  <c r="R155" i="20"/>
  <c r="AH61" i="25"/>
  <c r="AJ219" i="25"/>
  <c r="AJ218" i="25" s="1"/>
  <c r="L221" i="20"/>
  <c r="Q54" i="20"/>
  <c r="AO52" i="25"/>
  <c r="AO49" i="25" s="1"/>
  <c r="BR51" i="20"/>
  <c r="AJ94" i="25"/>
  <c r="AP218" i="25"/>
  <c r="AI94" i="25"/>
  <c r="AI84" i="25" s="1"/>
  <c r="K96" i="20"/>
  <c r="BN195" i="20"/>
  <c r="L195" i="20"/>
  <c r="AJ193" i="25"/>
  <c r="AQ222" i="25"/>
  <c r="AQ68" i="25"/>
  <c r="BN129" i="20"/>
  <c r="Q187" i="20"/>
  <c r="AO185" i="25"/>
  <c r="BR186" i="20"/>
  <c r="AQ71" i="25"/>
  <c r="AJ52" i="25"/>
  <c r="AK57" i="25"/>
  <c r="BS54" i="20"/>
  <c r="BT188" i="20"/>
  <c r="AP186" i="25"/>
  <c r="R188" i="20"/>
  <c r="AO64" i="25"/>
  <c r="AO61" i="25" s="1"/>
  <c r="Q66" i="20"/>
  <c r="BS66" i="20"/>
  <c r="AN3" i="25"/>
  <c r="O144" i="20"/>
  <c r="BP49" i="20"/>
  <c r="BP5" i="20" s="1"/>
  <c r="AI132" i="25"/>
  <c r="AI130" i="25" s="1"/>
  <c r="K134" i="20"/>
  <c r="BN134" i="20"/>
  <c r="BN96" i="20"/>
  <c r="AP93" i="25"/>
  <c r="BM75" i="20"/>
  <c r="BN105" i="20"/>
  <c r="AK103" i="25" s="1"/>
  <c r="BN80" i="20"/>
  <c r="AK78" i="25" s="1"/>
  <c r="AJ57" i="25"/>
  <c r="BM186" i="20"/>
  <c r="AJ184" i="25" s="1"/>
  <c r="G52" i="25"/>
  <c r="I52" i="25" s="1"/>
  <c r="AE49" i="25"/>
  <c r="BS187" i="20"/>
  <c r="AJ124" i="25"/>
  <c r="AJ119" i="25" s="1"/>
  <c r="BN126" i="20"/>
  <c r="BL86" i="20"/>
  <c r="AK185" i="25"/>
  <c r="M187" i="20"/>
  <c r="AQ132" i="25"/>
  <c r="AJ64" i="25"/>
  <c r="BN221" i="20"/>
  <c r="AQ219" i="25"/>
  <c r="AP94" i="25"/>
  <c r="AI186" i="25"/>
  <c r="K188" i="20"/>
  <c r="BM188" i="20"/>
  <c r="L106" i="20"/>
  <c r="BM86" i="20"/>
  <c r="AP101" i="25"/>
  <c r="BT103" i="20"/>
  <c r="AQ101" i="25" s="1"/>
  <c r="AP66" i="25"/>
  <c r="G96" i="25"/>
  <c r="AQ74" i="25"/>
  <c r="AK197" i="25"/>
  <c r="AK51" i="25"/>
  <c r="BN51" i="20"/>
  <c r="BM109" i="20"/>
  <c r="AJ137" i="25"/>
  <c r="AQ87" i="25"/>
  <c r="AJ51" i="25"/>
  <c r="BM51" i="20"/>
  <c r="L53" i="20"/>
  <c r="BN139" i="20"/>
  <c r="AI107" i="25"/>
  <c r="AJ98" i="25"/>
  <c r="BN100" i="20"/>
  <c r="AQ158" i="25"/>
  <c r="S160" i="20"/>
  <c r="AQ123" i="25"/>
  <c r="AQ51" i="25"/>
  <c r="AJ67" i="25"/>
  <c r="BM63" i="20"/>
  <c r="AJ176" i="25"/>
  <c r="BN178" i="20"/>
  <c r="AK176" i="25" s="1"/>
  <c r="BS190" i="20"/>
  <c r="AP188" i="25" s="1"/>
  <c r="AP189" i="25"/>
  <c r="R191" i="20"/>
  <c r="T144" i="25"/>
  <c r="AI188" i="25"/>
  <c r="BN190" i="20"/>
  <c r="AK188" i="25" s="1"/>
  <c r="Z144" i="25"/>
  <c r="BT191" i="20"/>
  <c r="BT178" i="20"/>
  <c r="AQ177" i="25"/>
  <c r="S179" i="20"/>
  <c r="BB210" i="25"/>
  <c r="BB207" i="25"/>
  <c r="BA207" i="25"/>
  <c r="BH101" i="25"/>
  <c r="AK104" i="25"/>
  <c r="BB74" i="25"/>
  <c r="S103" i="25"/>
  <c r="AK110" i="25"/>
  <c r="AK117" i="25"/>
  <c r="BB85" i="25"/>
  <c r="T115" i="25"/>
  <c r="S101" i="25"/>
  <c r="L103" i="20"/>
  <c r="BA101" i="25"/>
  <c r="CX103" i="20"/>
  <c r="S53" i="25"/>
  <c r="BA86" i="25"/>
  <c r="BW123" i="25"/>
  <c r="Q125" i="20"/>
  <c r="AD103" i="20"/>
  <c r="BB93" i="25"/>
  <c r="AP98" i="25"/>
  <c r="G123" i="25"/>
  <c r="I123" i="25" s="1"/>
  <c r="R100" i="20"/>
  <c r="BT106" i="20"/>
  <c r="AQ104" i="25" s="1"/>
  <c r="AJ104" i="25"/>
  <c r="BM98" i="20"/>
  <c r="BT100" i="20"/>
  <c r="AK100" i="25"/>
  <c r="S114" i="25"/>
  <c r="L116" i="20"/>
  <c r="AD116" i="20"/>
  <c r="AQ131" i="25"/>
  <c r="Y99" i="25"/>
  <c r="Z224" i="25"/>
  <c r="BB204" i="25"/>
  <c r="AK108" i="25"/>
  <c r="BH81" i="25"/>
  <c r="T99" i="25"/>
  <c r="S59" i="25"/>
  <c r="BA74" i="25"/>
  <c r="AP116" i="25"/>
  <c r="BB80" i="25"/>
  <c r="BX102" i="25"/>
  <c r="AP131" i="25"/>
  <c r="BS132" i="20"/>
  <c r="AJ101" i="20"/>
  <c r="BB70" i="25"/>
  <c r="BA70" i="25"/>
  <c r="BT118" i="20"/>
  <c r="BG86" i="25"/>
  <c r="BI5" i="20"/>
  <c r="AQ135" i="25"/>
  <c r="AQ112" i="25"/>
  <c r="BG101" i="25"/>
  <c r="BT220" i="20"/>
  <c r="AQ220" i="25"/>
  <c r="AP135" i="25"/>
  <c r="EM125" i="20"/>
  <c r="EN125" i="20" s="1"/>
  <c r="Z115" i="25"/>
  <c r="AK109" i="25"/>
  <c r="AJ112" i="25"/>
  <c r="BB88" i="25"/>
  <c r="BN114" i="20"/>
  <c r="BH80" i="25"/>
  <c r="AK111" i="25"/>
  <c r="BA88" i="25"/>
  <c r="AD61" i="20"/>
  <c r="Y104" i="25"/>
  <c r="R106" i="20"/>
  <c r="EN104" i="20"/>
  <c r="AP111" i="25"/>
  <c r="AD105" i="20"/>
  <c r="T228" i="25"/>
  <c r="BB91" i="25"/>
  <c r="AJ116" i="25"/>
  <c r="BN118" i="20"/>
  <c r="L227" i="20"/>
  <c r="S225" i="25"/>
  <c r="AD227" i="20"/>
  <c r="BY77" i="25"/>
  <c r="AD55" i="20"/>
  <c r="CX88" i="20"/>
  <c r="Z104" i="25"/>
  <c r="DD88" i="20"/>
  <c r="AQ111" i="25"/>
  <c r="Z114" i="25"/>
  <c r="L77" i="20" l="1"/>
  <c r="AD77" i="20"/>
  <c r="T75" i="25" s="1"/>
  <c r="BT196" i="20"/>
  <c r="S196" i="20" s="1"/>
  <c r="L104" i="20"/>
  <c r="S228" i="20"/>
  <c r="CX215" i="20"/>
  <c r="BB213" i="25" s="1"/>
  <c r="AP67" i="25"/>
  <c r="L133" i="20"/>
  <c r="S65" i="20"/>
  <c r="BM154" i="20"/>
  <c r="AJ152" i="25" s="1"/>
  <c r="AJ131" i="25"/>
  <c r="BN198" i="20"/>
  <c r="AK131" i="25"/>
  <c r="AD130" i="20"/>
  <c r="T128" i="25" s="1"/>
  <c r="BS63" i="20"/>
  <c r="AK196" i="25"/>
  <c r="AI160" i="25"/>
  <c r="BR218" i="25"/>
  <c r="L90" i="20"/>
  <c r="BM132" i="20"/>
  <c r="L105" i="20"/>
  <c r="AQ224" i="25"/>
  <c r="I5" i="20"/>
  <c r="CW208" i="20"/>
  <c r="L201" i="20"/>
  <c r="EL145" i="20"/>
  <c r="Q145" i="20" s="1"/>
  <c r="BT132" i="20"/>
  <c r="DD105" i="20"/>
  <c r="BH103" i="25" s="1"/>
  <c r="M87" i="20"/>
  <c r="CX105" i="20"/>
  <c r="BB103" i="25" s="1"/>
  <c r="S213" i="20"/>
  <c r="AK162" i="25"/>
  <c r="BS98" i="20"/>
  <c r="AI142" i="25"/>
  <c r="R104" i="20"/>
  <c r="M212" i="20"/>
  <c r="S116" i="20"/>
  <c r="DD127" i="20"/>
  <c r="BH125" i="25" s="1"/>
  <c r="AJ104" i="20"/>
  <c r="Z102" i="25" s="1"/>
  <c r="BN226" i="20"/>
  <c r="AJ82" i="25"/>
  <c r="AJ73" i="25" s="1"/>
  <c r="BN84" i="20"/>
  <c r="AK82" i="25" s="1"/>
  <c r="AK73" i="25" s="1"/>
  <c r="AP82" i="25"/>
  <c r="AP73" i="25" s="1"/>
  <c r="BT84" i="20"/>
  <c r="AQ82" i="25" s="1"/>
  <c r="AQ73" i="25" s="1"/>
  <c r="AK224" i="25"/>
  <c r="BT226" i="20"/>
  <c r="G130" i="25"/>
  <c r="AP105" i="25"/>
  <c r="AP96" i="25" s="1"/>
  <c r="BT107" i="20"/>
  <c r="AQ105" i="25" s="1"/>
  <c r="AP86" i="25"/>
  <c r="AP84" i="25" s="1"/>
  <c r="BT88" i="20"/>
  <c r="AQ86" i="25" s="1"/>
  <c r="AQ84" i="25" s="1"/>
  <c r="M92" i="20"/>
  <c r="AJ105" i="25"/>
  <c r="AJ96" i="25" s="1"/>
  <c r="BN107" i="20"/>
  <c r="AK105" i="25" s="1"/>
  <c r="AJ125" i="20"/>
  <c r="Z123" i="25" s="1"/>
  <c r="AJ79" i="20"/>
  <c r="Z77" i="25" s="1"/>
  <c r="R79" i="20"/>
  <c r="AD90" i="20"/>
  <c r="T88" i="25" s="1"/>
  <c r="R80" i="20"/>
  <c r="R122" i="20"/>
  <c r="EN122" i="20"/>
  <c r="S122" i="20" s="1"/>
  <c r="L68" i="20"/>
  <c r="Q132" i="20"/>
  <c r="DC98" i="20"/>
  <c r="R230" i="20"/>
  <c r="R101" i="20"/>
  <c r="K132" i="20"/>
  <c r="BG206" i="25"/>
  <c r="L56" i="20"/>
  <c r="CX203" i="20"/>
  <c r="M231" i="20"/>
  <c r="BB201" i="25"/>
  <c r="L69" i="20"/>
  <c r="S205" i="20"/>
  <c r="R96" i="20"/>
  <c r="AJ217" i="20"/>
  <c r="Z215" i="25" s="1"/>
  <c r="R217" i="20"/>
  <c r="Y131" i="25"/>
  <c r="R215" i="20"/>
  <c r="L206" i="20"/>
  <c r="Q86" i="20"/>
  <c r="S227" i="20"/>
  <c r="DD77" i="20"/>
  <c r="BH75" i="25" s="1"/>
  <c r="L55" i="20"/>
  <c r="K51" i="20"/>
  <c r="AZ96" i="25"/>
  <c r="DD113" i="20"/>
  <c r="BH111" i="25" s="1"/>
  <c r="BG111" i="25"/>
  <c r="S100" i="20"/>
  <c r="DD124" i="20"/>
  <c r="BH122" i="25" s="1"/>
  <c r="CW98" i="20"/>
  <c r="Q220" i="20"/>
  <c r="R69" i="20"/>
  <c r="CX55" i="20"/>
  <c r="BB53" i="25" s="1"/>
  <c r="L59" i="20"/>
  <c r="DD115" i="20"/>
  <c r="BH113" i="25" s="1"/>
  <c r="R224" i="20"/>
  <c r="R68" i="20"/>
  <c r="BB224" i="25"/>
  <c r="BA52" i="25"/>
  <c r="CX54" i="20"/>
  <c r="BB52" i="25" s="1"/>
  <c r="BG142" i="25"/>
  <c r="BG73" i="25"/>
  <c r="K220" i="20"/>
  <c r="Q121" i="20"/>
  <c r="AZ119" i="25"/>
  <c r="Q63" i="20"/>
  <c r="DD198" i="20"/>
  <c r="DC121" i="20"/>
  <c r="AZ49" i="25"/>
  <c r="AZ130" i="25"/>
  <c r="BB92" i="25"/>
  <c r="M94" i="20"/>
  <c r="DD117" i="20"/>
  <c r="BH115" i="25" s="1"/>
  <c r="DD66" i="20"/>
  <c r="BH64" i="25" s="1"/>
  <c r="K203" i="20"/>
  <c r="BF142" i="25"/>
  <c r="DB49" i="20"/>
  <c r="DB5" i="20" s="1"/>
  <c r="BA64" i="25"/>
  <c r="CX66" i="20"/>
  <c r="BB64" i="25" s="1"/>
  <c r="CW63" i="20"/>
  <c r="DC75" i="20"/>
  <c r="BF3" i="25"/>
  <c r="Q226" i="20"/>
  <c r="R91" i="20"/>
  <c r="DD147" i="20"/>
  <c r="BA54" i="25"/>
  <c r="CX56" i="20"/>
  <c r="BB54" i="25" s="1"/>
  <c r="CV49" i="20"/>
  <c r="CV5" i="20" s="1"/>
  <c r="AZ61" i="25"/>
  <c r="BG121" i="25"/>
  <c r="BG119" i="25" s="1"/>
  <c r="AZ73" i="25"/>
  <c r="S136" i="20"/>
  <c r="R78" i="20"/>
  <c r="K198" i="20"/>
  <c r="CW75" i="20"/>
  <c r="CW121" i="20"/>
  <c r="DC132" i="20"/>
  <c r="BF107" i="25"/>
  <c r="R71" i="20"/>
  <c r="BF130" i="25"/>
  <c r="DD231" i="20"/>
  <c r="BH229" i="25" s="1"/>
  <c r="R117" i="20"/>
  <c r="BA115" i="25"/>
  <c r="L117" i="20"/>
  <c r="M228" i="20"/>
  <c r="R231" i="20"/>
  <c r="DD69" i="20"/>
  <c r="BH67" i="25" s="1"/>
  <c r="DC63" i="20"/>
  <c r="BF73" i="25"/>
  <c r="Q203" i="20"/>
  <c r="DC109" i="20"/>
  <c r="AZ142" i="25"/>
  <c r="BF49" i="25"/>
  <c r="DD78" i="20"/>
  <c r="BH76" i="25" s="1"/>
  <c r="CX73" i="20"/>
  <c r="BB71" i="25" s="1"/>
  <c r="CW51" i="20"/>
  <c r="DD215" i="20"/>
  <c r="BH213" i="25" s="1"/>
  <c r="BH206" i="25" s="1"/>
  <c r="BF61" i="25"/>
  <c r="CW109" i="20"/>
  <c r="BA117" i="25"/>
  <c r="CX119" i="20"/>
  <c r="BB117" i="25" s="1"/>
  <c r="K109" i="20"/>
  <c r="DC208" i="20"/>
  <c r="DD84" i="20"/>
  <c r="BH82" i="25" s="1"/>
  <c r="AZ107" i="25"/>
  <c r="CX117" i="20"/>
  <c r="BB99" i="25"/>
  <c r="M101" i="20"/>
  <c r="BH228" i="25"/>
  <c r="BG219" i="25"/>
  <c r="DD221" i="20"/>
  <c r="DD91" i="20"/>
  <c r="R94" i="20"/>
  <c r="CX124" i="20"/>
  <c r="BB122" i="25" s="1"/>
  <c r="BA135" i="25"/>
  <c r="CX137" i="20"/>
  <c r="BB135" i="25" s="1"/>
  <c r="BA99" i="25"/>
  <c r="BA96" i="25" s="1"/>
  <c r="L101" i="20"/>
  <c r="BA224" i="25"/>
  <c r="BF84" i="25"/>
  <c r="BA133" i="25"/>
  <c r="CX135" i="20"/>
  <c r="BB133" i="25" s="1"/>
  <c r="CX84" i="20"/>
  <c r="BB82" i="25" s="1"/>
  <c r="DD94" i="20"/>
  <c r="BH92" i="25" s="1"/>
  <c r="DD71" i="20"/>
  <c r="BH69" i="25" s="1"/>
  <c r="BG228" i="25"/>
  <c r="BG224" i="25" s="1"/>
  <c r="DC226" i="20"/>
  <c r="R226" i="20" s="1"/>
  <c r="DD96" i="20"/>
  <c r="BH94" i="25" s="1"/>
  <c r="BG84" i="25"/>
  <c r="CW86" i="20"/>
  <c r="M211" i="20"/>
  <c r="BA146" i="25"/>
  <c r="BA142" i="25" s="1"/>
  <c r="CX148" i="20"/>
  <c r="M148" i="20" s="1"/>
  <c r="DD101" i="20"/>
  <c r="BH99" i="25" s="1"/>
  <c r="CX59" i="20"/>
  <c r="BB57" i="25" s="1"/>
  <c r="BG202" i="25"/>
  <c r="BG201" i="25" s="1"/>
  <c r="DC203" i="20"/>
  <c r="DD204" i="20"/>
  <c r="DC144" i="20"/>
  <c r="DC86" i="20"/>
  <c r="BA198" i="25"/>
  <c r="BA196" i="25" s="1"/>
  <c r="CW198" i="20"/>
  <c r="BF218" i="25"/>
  <c r="DD68" i="20"/>
  <c r="BH66" i="25" s="1"/>
  <c r="BA92" i="25"/>
  <c r="L94" i="20"/>
  <c r="R59" i="20"/>
  <c r="AZ84" i="25"/>
  <c r="CX69" i="20"/>
  <c r="BB67" i="25" s="1"/>
  <c r="BG135" i="25"/>
  <c r="DD137" i="20"/>
  <c r="BH135" i="25" s="1"/>
  <c r="BG132" i="25"/>
  <c r="DD134" i="20"/>
  <c r="BH132" i="25" s="1"/>
  <c r="R55" i="20"/>
  <c r="DD55" i="20"/>
  <c r="BG53" i="25"/>
  <c r="CX71" i="20"/>
  <c r="BB69" i="25" s="1"/>
  <c r="BA69" i="25"/>
  <c r="CX91" i="20"/>
  <c r="BB89" i="25" s="1"/>
  <c r="BA89" i="25"/>
  <c r="BA112" i="25"/>
  <c r="CX114" i="20"/>
  <c r="BB112" i="25" s="1"/>
  <c r="BA132" i="25"/>
  <c r="CX134" i="20"/>
  <c r="BB132" i="25" s="1"/>
  <c r="BG112" i="25"/>
  <c r="DD114" i="20"/>
  <c r="BH112" i="25" s="1"/>
  <c r="DD59" i="20"/>
  <c r="BH57" i="25" s="1"/>
  <c r="BG133" i="25"/>
  <c r="DD135" i="20"/>
  <c r="BH133" i="25" s="1"/>
  <c r="CX68" i="20"/>
  <c r="M68" i="20" s="1"/>
  <c r="CX78" i="20"/>
  <c r="BA76" i="25"/>
  <c r="BA73" i="25" s="1"/>
  <c r="CX200" i="20"/>
  <c r="L142" i="20"/>
  <c r="S58" i="20"/>
  <c r="BA212" i="25"/>
  <c r="BA206" i="25" s="1"/>
  <c r="CX214" i="20"/>
  <c r="BA218" i="25"/>
  <c r="BG117" i="25"/>
  <c r="DD119" i="20"/>
  <c r="BG59" i="25"/>
  <c r="DD61" i="20"/>
  <c r="R61" i="20"/>
  <c r="CW132" i="20"/>
  <c r="DC51" i="20"/>
  <c r="DC4" i="20"/>
  <c r="BG71" i="25"/>
  <c r="BG61" i="25" s="1"/>
  <c r="DD73" i="20"/>
  <c r="BH71" i="25" s="1"/>
  <c r="CW4" i="20"/>
  <c r="Q109" i="20"/>
  <c r="BA59" i="25"/>
  <c r="CX61" i="20"/>
  <c r="M61" i="20" s="1"/>
  <c r="BG222" i="25"/>
  <c r="DC220" i="20"/>
  <c r="BG140" i="25"/>
  <c r="DD142" i="20"/>
  <c r="BG96" i="25"/>
  <c r="CX142" i="20"/>
  <c r="CX220" i="20"/>
  <c r="AZ3" i="25"/>
  <c r="CX96" i="20"/>
  <c r="BB94" i="25" s="1"/>
  <c r="BB218" i="25"/>
  <c r="CX226" i="20"/>
  <c r="S67" i="20"/>
  <c r="AD147" i="20"/>
  <c r="T145" i="25" s="1"/>
  <c r="AJ88" i="20"/>
  <c r="S88" i="20" s="1"/>
  <c r="R114" i="20"/>
  <c r="AD56" i="20"/>
  <c r="T54" i="25" s="1"/>
  <c r="R88" i="20"/>
  <c r="L139" i="20"/>
  <c r="Q51" i="20"/>
  <c r="M210" i="20"/>
  <c r="BV143" i="25"/>
  <c r="S54" i="25"/>
  <c r="AQ198" i="25"/>
  <c r="AQ196" i="25" s="1"/>
  <c r="BT198" i="20"/>
  <c r="BT121" i="20"/>
  <c r="R115" i="20"/>
  <c r="AD104" i="20"/>
  <c r="T102" i="25" s="1"/>
  <c r="M89" i="20"/>
  <c r="M230" i="20"/>
  <c r="AD206" i="20"/>
  <c r="T204" i="25" s="1"/>
  <c r="BA119" i="25"/>
  <c r="M213" i="20"/>
  <c r="AD201" i="20"/>
  <c r="T199" i="25" s="1"/>
  <c r="J144" i="20"/>
  <c r="AD127" i="20"/>
  <c r="T125" i="25" s="1"/>
  <c r="EG75" i="20"/>
  <c r="EG121" i="20" s="1"/>
  <c r="K226" i="20"/>
  <c r="AJ114" i="20"/>
  <c r="Z112" i="25" s="1"/>
  <c r="AJ66" i="20"/>
  <c r="Z64" i="25" s="1"/>
  <c r="AJ54" i="20"/>
  <c r="Z52" i="25" s="1"/>
  <c r="AJ96" i="20"/>
  <c r="Y138" i="25"/>
  <c r="AJ140" i="20"/>
  <c r="S143" i="25"/>
  <c r="L145" i="20"/>
  <c r="AD145" i="20"/>
  <c r="S216" i="20"/>
  <c r="EG122" i="20"/>
  <c r="L122" i="20" s="1"/>
  <c r="S218" i="20"/>
  <c r="Z216" i="25"/>
  <c r="BN63" i="20"/>
  <c r="L78" i="20"/>
  <c r="AD78" i="20"/>
  <c r="T76" i="25" s="1"/>
  <c r="BT86" i="20"/>
  <c r="BM4" i="20"/>
  <c r="G142" i="25"/>
  <c r="AJ215" i="20"/>
  <c r="Z213" i="25" s="1"/>
  <c r="S199" i="20"/>
  <c r="S60" i="20"/>
  <c r="R200" i="20"/>
  <c r="M106" i="20"/>
  <c r="R84" i="25"/>
  <c r="AI63" i="20"/>
  <c r="L128" i="20"/>
  <c r="S72" i="20"/>
  <c r="R133" i="20"/>
  <c r="L84" i="20"/>
  <c r="AD128" i="20"/>
  <c r="M128" i="20" s="1"/>
  <c r="R72" i="20"/>
  <c r="M115" i="20"/>
  <c r="K63" i="20"/>
  <c r="Y70" i="25"/>
  <c r="Y61" i="25" s="1"/>
  <c r="AJ102" i="20"/>
  <c r="Z100" i="25" s="1"/>
  <c r="BN132" i="20"/>
  <c r="AK166" i="25"/>
  <c r="M168" i="20"/>
  <c r="BS174" i="20"/>
  <c r="AP172" i="25" s="1"/>
  <c r="AP174" i="25"/>
  <c r="R176" i="20"/>
  <c r="AC203" i="20"/>
  <c r="L203" i="20" s="1"/>
  <c r="BT156" i="20"/>
  <c r="R156" i="20"/>
  <c r="AP154" i="25"/>
  <c r="AQ174" i="25"/>
  <c r="BT174" i="20"/>
  <c r="AQ172" i="25" s="1"/>
  <c r="S176" i="20"/>
  <c r="AI172" i="25"/>
  <c r="BM174" i="20"/>
  <c r="AJ148" i="20"/>
  <c r="Z146" i="25" s="1"/>
  <c r="Z142" i="25" s="1"/>
  <c r="AJ150" i="25"/>
  <c r="L152" i="20"/>
  <c r="AK174" i="25"/>
  <c r="M176" i="20"/>
  <c r="BN152" i="20"/>
  <c r="M141" i="20"/>
  <c r="L156" i="20"/>
  <c r="AJ154" i="25"/>
  <c r="BN156" i="20"/>
  <c r="AI98" i="20"/>
  <c r="AK173" i="25"/>
  <c r="M175" i="20"/>
  <c r="Q98" i="20"/>
  <c r="EN103" i="20"/>
  <c r="BX101" i="25"/>
  <c r="AJ77" i="20"/>
  <c r="Z75" i="25" s="1"/>
  <c r="R73" i="20"/>
  <c r="S146" i="25"/>
  <c r="AC144" i="20"/>
  <c r="K86" i="20"/>
  <c r="L124" i="20"/>
  <c r="Z134" i="25"/>
  <c r="Y76" i="25"/>
  <c r="AJ78" i="20"/>
  <c r="Z76" i="25" s="1"/>
  <c r="Z210" i="25"/>
  <c r="AJ130" i="20"/>
  <c r="Z128" i="25" s="1"/>
  <c r="L88" i="20"/>
  <c r="AD118" i="20"/>
  <c r="T116" i="25" s="1"/>
  <c r="L118" i="20"/>
  <c r="AC51" i="20"/>
  <c r="L54" i="20"/>
  <c r="L148" i="20"/>
  <c r="AD124" i="20"/>
  <c r="T122" i="25" s="1"/>
  <c r="R102" i="20"/>
  <c r="AD54" i="20"/>
  <c r="T52" i="25" s="1"/>
  <c r="AJ73" i="20"/>
  <c r="Z71" i="25" s="1"/>
  <c r="AD139" i="20"/>
  <c r="T137" i="25" s="1"/>
  <c r="R110" i="20"/>
  <c r="AJ110" i="20"/>
  <c r="R56" i="20"/>
  <c r="S109" i="25"/>
  <c r="J5" i="20"/>
  <c r="S201" i="20"/>
  <c r="Z132" i="25"/>
  <c r="BH124" i="25"/>
  <c r="BT109" i="20"/>
  <c r="AI3" i="25"/>
  <c r="EN99" i="20"/>
  <c r="BY97" i="25" s="1"/>
  <c r="S202" i="25"/>
  <c r="S201" i="25" s="1"/>
  <c r="S89" i="25"/>
  <c r="L91" i="20"/>
  <c r="AJ130" i="25"/>
  <c r="M146" i="20"/>
  <c r="G49" i="25"/>
  <c r="S70" i="20"/>
  <c r="R130" i="20"/>
  <c r="AJ80" i="20"/>
  <c r="Z78" i="25" s="1"/>
  <c r="AD81" i="20"/>
  <c r="T79" i="25" s="1"/>
  <c r="S167" i="20"/>
  <c r="AQ165" i="25"/>
  <c r="BT166" i="20"/>
  <c r="AQ164" i="25" s="1"/>
  <c r="BH5" i="20"/>
  <c r="Y124" i="25"/>
  <c r="R126" i="20"/>
  <c r="BH49" i="20"/>
  <c r="EH220" i="20"/>
  <c r="AD114" i="20"/>
  <c r="T112" i="25" s="1"/>
  <c r="AJ206" i="20"/>
  <c r="Z204" i="25" s="1"/>
  <c r="Y132" i="25"/>
  <c r="R134" i="20"/>
  <c r="L76" i="20"/>
  <c r="EH76" i="20"/>
  <c r="M76" i="20" s="1"/>
  <c r="Q208" i="20"/>
  <c r="AQ218" i="25"/>
  <c r="M112" i="20"/>
  <c r="BN86" i="20"/>
  <c r="K208" i="20"/>
  <c r="BW96" i="25"/>
  <c r="AI86" i="20"/>
  <c r="R96" i="25"/>
  <c r="AI75" i="20"/>
  <c r="X73" i="25"/>
  <c r="AD204" i="20"/>
  <c r="M204" i="20" s="1"/>
  <c r="S93" i="20"/>
  <c r="BB109" i="25"/>
  <c r="X206" i="25"/>
  <c r="BB125" i="25"/>
  <c r="AD134" i="20"/>
  <c r="T132" i="25" s="1"/>
  <c r="EM98" i="20"/>
  <c r="S93" i="25"/>
  <c r="AD95" i="20"/>
  <c r="T93" i="25" s="1"/>
  <c r="AJ126" i="20"/>
  <c r="BY198" i="25"/>
  <c r="BY196" i="25" s="1"/>
  <c r="L209" i="20"/>
  <c r="R105" i="20"/>
  <c r="AJ84" i="25"/>
  <c r="L134" i="20"/>
  <c r="Y55" i="25"/>
  <c r="Y49" i="25" s="1"/>
  <c r="R57" i="20"/>
  <c r="Z92" i="25"/>
  <c r="BH62" i="25"/>
  <c r="S90" i="20"/>
  <c r="L81" i="20"/>
  <c r="R49" i="25"/>
  <c r="AD111" i="20"/>
  <c r="X130" i="25"/>
  <c r="Y198" i="25"/>
  <c r="Y196" i="25" s="1"/>
  <c r="AI198" i="20"/>
  <c r="R198" i="20" s="1"/>
  <c r="AC75" i="20"/>
  <c r="S138" i="25"/>
  <c r="L140" i="20"/>
  <c r="R137" i="20"/>
  <c r="R95" i="20"/>
  <c r="R128" i="20"/>
  <c r="K121" i="20"/>
  <c r="R99" i="20"/>
  <c r="AI208" i="20"/>
  <c r="R206" i="25"/>
  <c r="X218" i="25"/>
  <c r="AI121" i="20"/>
  <c r="S55" i="25"/>
  <c r="L57" i="20"/>
  <c r="Y121" i="25"/>
  <c r="R123" i="20"/>
  <c r="Z85" i="25"/>
  <c r="S87" i="20"/>
  <c r="AC109" i="20"/>
  <c r="X49" i="25"/>
  <c r="R3" i="25"/>
  <c r="R73" i="25"/>
  <c r="R113" i="20"/>
  <c r="L114" i="20"/>
  <c r="M102" i="20"/>
  <c r="Y113" i="25"/>
  <c r="AD96" i="20"/>
  <c r="T94" i="25" s="1"/>
  <c r="X3" i="25"/>
  <c r="X84" i="25"/>
  <c r="AD57" i="20"/>
  <c r="S80" i="25"/>
  <c r="L82" i="20"/>
  <c r="AD82" i="20"/>
  <c r="AJ123" i="20"/>
  <c r="Z121" i="25" s="1"/>
  <c r="AD129" i="20"/>
  <c r="T127" i="25" s="1"/>
  <c r="AD140" i="20"/>
  <c r="R81" i="20"/>
  <c r="R130" i="25"/>
  <c r="AB49" i="20"/>
  <c r="AB5" i="20" s="1"/>
  <c r="AJ137" i="20"/>
  <c r="S111" i="25"/>
  <c r="L113" i="20"/>
  <c r="X107" i="25"/>
  <c r="M67" i="20"/>
  <c r="S57" i="20"/>
  <c r="AD84" i="20"/>
  <c r="T82" i="25" s="1"/>
  <c r="AJ95" i="20"/>
  <c r="Z93" i="25" s="1"/>
  <c r="AJ113" i="20"/>
  <c r="Z111" i="25" s="1"/>
  <c r="AD113" i="20"/>
  <c r="T86" i="25"/>
  <c r="Z90" i="25"/>
  <c r="S92" i="20"/>
  <c r="T207" i="25"/>
  <c r="M209" i="20"/>
  <c r="Z139" i="25"/>
  <c r="S141" i="20"/>
  <c r="T134" i="25"/>
  <c r="M136" i="20"/>
  <c r="T108" i="25"/>
  <c r="M110" i="20"/>
  <c r="T136" i="25"/>
  <c r="M138" i="20"/>
  <c r="Z109" i="25"/>
  <c r="S111" i="20"/>
  <c r="S221" i="25"/>
  <c r="L223" i="20"/>
  <c r="AD223" i="20"/>
  <c r="T133" i="25"/>
  <c r="Z221" i="25"/>
  <c r="S223" i="20"/>
  <c r="X61" i="25"/>
  <c r="AD83" i="20"/>
  <c r="T81" i="25" s="1"/>
  <c r="G201" i="25"/>
  <c r="Z74" i="25"/>
  <c r="Z131" i="25"/>
  <c r="AD66" i="20"/>
  <c r="AJ118" i="20"/>
  <c r="Z116" i="25" s="1"/>
  <c r="T222" i="25"/>
  <c r="M224" i="20"/>
  <c r="AD80" i="20"/>
  <c r="T78" i="25" s="1"/>
  <c r="S212" i="25"/>
  <c r="L214" i="20"/>
  <c r="AI4" i="20"/>
  <c r="Y127" i="25"/>
  <c r="R129" i="20"/>
  <c r="AC4" i="20"/>
  <c r="T69" i="25"/>
  <c r="AC132" i="20"/>
  <c r="AC63" i="20"/>
  <c r="K98" i="20"/>
  <c r="S63" i="25"/>
  <c r="L65" i="20"/>
  <c r="AH49" i="20"/>
  <c r="AH5" i="20" s="1"/>
  <c r="Y208" i="25"/>
  <c r="S200" i="20"/>
  <c r="Z136" i="25"/>
  <c r="S138" i="20"/>
  <c r="R61" i="25"/>
  <c r="S100" i="25"/>
  <c r="S96" i="25" s="1"/>
  <c r="L102" i="20"/>
  <c r="T68" i="25"/>
  <c r="M70" i="20"/>
  <c r="Y145" i="25"/>
  <c r="Y142" i="25" s="1"/>
  <c r="AI144" i="20"/>
  <c r="Y221" i="25"/>
  <c r="R223" i="20"/>
  <c r="AJ198" i="20"/>
  <c r="S71" i="25"/>
  <c r="AD73" i="20"/>
  <c r="T71" i="25" s="1"/>
  <c r="L73" i="20"/>
  <c r="Z137" i="25"/>
  <c r="S139" i="20"/>
  <c r="AJ81" i="20"/>
  <c r="Z79" i="25" s="1"/>
  <c r="AJ128" i="20"/>
  <c r="Z126" i="25" s="1"/>
  <c r="Y133" i="25"/>
  <c r="R135" i="20"/>
  <c r="S220" i="25"/>
  <c r="AD222" i="20"/>
  <c r="AC220" i="20"/>
  <c r="L220" i="20" s="1"/>
  <c r="L222" i="20"/>
  <c r="S227" i="25"/>
  <c r="S224" i="25" s="1"/>
  <c r="AD229" i="20"/>
  <c r="AD226" i="20" s="1"/>
  <c r="AD123" i="20"/>
  <c r="T121" i="25" s="1"/>
  <c r="Y139" i="25"/>
  <c r="R141" i="20"/>
  <c r="L83" i="20"/>
  <c r="L80" i="20"/>
  <c r="AF5" i="20"/>
  <c r="X5" i="20" s="1"/>
  <c r="X49" i="20"/>
  <c r="T120" i="25"/>
  <c r="R107" i="25"/>
  <c r="Y82" i="25"/>
  <c r="AJ84" i="20"/>
  <c r="Z82" i="25" s="1"/>
  <c r="Z196" i="25"/>
  <c r="AC98" i="20"/>
  <c r="T62" i="25"/>
  <c r="M64" i="20"/>
  <c r="S134" i="25"/>
  <c r="L136" i="20"/>
  <c r="Z62" i="25"/>
  <c r="S64" i="20"/>
  <c r="Z220" i="25"/>
  <c r="AJ220" i="20"/>
  <c r="S213" i="25"/>
  <c r="AD215" i="20"/>
  <c r="T213" i="25" s="1"/>
  <c r="S77" i="25"/>
  <c r="L79" i="20"/>
  <c r="L72" i="20"/>
  <c r="AD214" i="20"/>
  <c r="R218" i="25"/>
  <c r="AD126" i="20"/>
  <c r="T124" i="25" s="1"/>
  <c r="AJ127" i="20"/>
  <c r="Z125" i="25" s="1"/>
  <c r="Y109" i="25"/>
  <c r="R111" i="20"/>
  <c r="R127" i="20"/>
  <c r="Z110" i="25"/>
  <c r="S112" i="20"/>
  <c r="M93" i="20"/>
  <c r="S108" i="25"/>
  <c r="L110" i="20"/>
  <c r="Y202" i="25"/>
  <c r="Y201" i="25" s="1"/>
  <c r="AI203" i="20"/>
  <c r="AJ204" i="20"/>
  <c r="Y97" i="25"/>
  <c r="Y96" i="25" s="1"/>
  <c r="AJ99" i="20"/>
  <c r="Z97" i="25" s="1"/>
  <c r="AI51" i="20"/>
  <c r="S120" i="25"/>
  <c r="S119" i="25" s="1"/>
  <c r="AC121" i="20"/>
  <c r="S207" i="25"/>
  <c r="AC208" i="20"/>
  <c r="AJ135" i="20"/>
  <c r="S136" i="25"/>
  <c r="L138" i="20"/>
  <c r="T135" i="25"/>
  <c r="Y90" i="25"/>
  <c r="Y84" i="25" s="1"/>
  <c r="R92" i="20"/>
  <c r="AJ209" i="20"/>
  <c r="Y207" i="25"/>
  <c r="R209" i="20"/>
  <c r="R119" i="25"/>
  <c r="X119" i="25"/>
  <c r="Y220" i="25"/>
  <c r="AI220" i="20"/>
  <c r="R222" i="20"/>
  <c r="T50" i="25"/>
  <c r="M52" i="20"/>
  <c r="AD217" i="20"/>
  <c r="T215" i="25" s="1"/>
  <c r="S89" i="20"/>
  <c r="AJ56" i="20"/>
  <c r="S198" i="25"/>
  <c r="S196" i="25" s="1"/>
  <c r="AC198" i="20"/>
  <c r="AD72" i="20"/>
  <c r="Z120" i="25"/>
  <c r="AI132" i="20"/>
  <c r="AD79" i="20"/>
  <c r="Y122" i="25"/>
  <c r="AJ124" i="20"/>
  <c r="Z122" i="25" s="1"/>
  <c r="AC226" i="20"/>
  <c r="L226" i="20" s="1"/>
  <c r="S82" i="20"/>
  <c r="R118" i="20"/>
  <c r="AI109" i="20"/>
  <c r="L66" i="20"/>
  <c r="G61" i="25"/>
  <c r="G206" i="25"/>
  <c r="L96" i="20"/>
  <c r="L215" i="20"/>
  <c r="R204" i="20"/>
  <c r="AD65" i="20"/>
  <c r="S86" i="25"/>
  <c r="AC86" i="20"/>
  <c r="S50" i="25"/>
  <c r="L52" i="20"/>
  <c r="AD200" i="20"/>
  <c r="AP107" i="25"/>
  <c r="S106" i="20"/>
  <c r="AQ67" i="25"/>
  <c r="AQ119" i="25"/>
  <c r="BS4" i="20"/>
  <c r="AQ149" i="25"/>
  <c r="AQ142" i="25" s="1"/>
  <c r="S151" i="20"/>
  <c r="AJ61" i="25"/>
  <c r="BN188" i="20"/>
  <c r="AK186" i="25" s="1"/>
  <c r="BN158" i="20"/>
  <c r="AK156" i="25" s="1"/>
  <c r="AQ204" i="25"/>
  <c r="AQ201" i="25" s="1"/>
  <c r="BT203" i="20"/>
  <c r="AJ49" i="25"/>
  <c r="BT54" i="20"/>
  <c r="BT51" i="20" s="1"/>
  <c r="AK170" i="25"/>
  <c r="M172" i="20"/>
  <c r="AP149" i="25"/>
  <c r="AP142" i="25" s="1"/>
  <c r="R151" i="20"/>
  <c r="BM150" i="20"/>
  <c r="AJ170" i="25"/>
  <c r="L172" i="20"/>
  <c r="AK49" i="25"/>
  <c r="BL144" i="20"/>
  <c r="BL49" i="20" s="1"/>
  <c r="BL5" i="20" s="1"/>
  <c r="AO3" i="25"/>
  <c r="AP193" i="25"/>
  <c r="BT195" i="20"/>
  <c r="R195" i="20"/>
  <c r="BS194" i="20"/>
  <c r="AP192" i="25" s="1"/>
  <c r="AQ170" i="25"/>
  <c r="S172" i="20"/>
  <c r="AK71" i="25"/>
  <c r="BS76" i="25"/>
  <c r="EK146" i="20"/>
  <c r="EL146" i="20" s="1"/>
  <c r="Q146" i="20" s="1"/>
  <c r="S129" i="20"/>
  <c r="EH200" i="20"/>
  <c r="EH198" i="20" s="1"/>
  <c r="L200" i="20"/>
  <c r="BR198" i="25"/>
  <c r="BR196" i="25" s="1"/>
  <c r="BQ196" i="25"/>
  <c r="R210" i="20"/>
  <c r="BX218" i="25"/>
  <c r="BW119" i="25"/>
  <c r="EG98" i="20"/>
  <c r="BX224" i="25"/>
  <c r="BX196" i="25"/>
  <c r="BP3" i="25"/>
  <c r="K75" i="20"/>
  <c r="BX103" i="25"/>
  <c r="EN105" i="20"/>
  <c r="BR103" i="25"/>
  <c r="BR96" i="25" s="1"/>
  <c r="EH105" i="20"/>
  <c r="BS103" i="25" s="1"/>
  <c r="EH126" i="20"/>
  <c r="BS124" i="25" s="1"/>
  <c r="BV119" i="25"/>
  <c r="S83" i="20"/>
  <c r="BR224" i="25"/>
  <c r="BW73" i="25"/>
  <c r="S224" i="20"/>
  <c r="EF4" i="20"/>
  <c r="K4" i="20" s="1"/>
  <c r="EN220" i="20"/>
  <c r="BM119" i="25"/>
  <c r="G119" i="25" s="1"/>
  <c r="S230" i="20"/>
  <c r="M125" i="20"/>
  <c r="BS123" i="25"/>
  <c r="BY208" i="25"/>
  <c r="EN208" i="20"/>
  <c r="S210" i="20"/>
  <c r="BY204" i="25"/>
  <c r="BY201" i="25" s="1"/>
  <c r="EN203" i="20"/>
  <c r="BQ73" i="25"/>
  <c r="BS122" i="25"/>
  <c r="EG144" i="20"/>
  <c r="EH147" i="20"/>
  <c r="BR145" i="25"/>
  <c r="BR142" i="25" s="1"/>
  <c r="L147" i="20"/>
  <c r="BQ120" i="25"/>
  <c r="K122" i="20"/>
  <c r="L126" i="20"/>
  <c r="BR124" i="25"/>
  <c r="BY227" i="25"/>
  <c r="S229" i="20"/>
  <c r="BY218" i="25"/>
  <c r="S76" i="20"/>
  <c r="BS102" i="25"/>
  <c r="Q75" i="20"/>
  <c r="BY76" i="25"/>
  <c r="BQ124" i="25"/>
  <c r="K126" i="20"/>
  <c r="BR128" i="25"/>
  <c r="L130" i="20"/>
  <c r="BY128" i="25"/>
  <c r="BS225" i="25"/>
  <c r="BS224" i="25" s="1"/>
  <c r="EH226" i="20"/>
  <c r="BR127" i="25"/>
  <c r="L129" i="20"/>
  <c r="BS208" i="25"/>
  <c r="BR215" i="25"/>
  <c r="BR206" i="25" s="1"/>
  <c r="L217" i="20"/>
  <c r="EH203" i="20"/>
  <c r="BS197" i="25"/>
  <c r="EJ5" i="20"/>
  <c r="EB5" i="20" s="1"/>
  <c r="EB49" i="20"/>
  <c r="EH123" i="20"/>
  <c r="BS75" i="25"/>
  <c r="M77" i="20"/>
  <c r="EM203" i="20"/>
  <c r="BS81" i="25"/>
  <c r="EH129" i="20"/>
  <c r="BS127" i="25" s="1"/>
  <c r="BS201" i="25"/>
  <c r="BY122" i="25"/>
  <c r="BX74" i="25"/>
  <c r="R76" i="20"/>
  <c r="EM75" i="20"/>
  <c r="BY125" i="25"/>
  <c r="BR125" i="25"/>
  <c r="L127" i="20"/>
  <c r="EG208" i="20"/>
  <c r="BS82" i="25"/>
  <c r="EH130" i="20"/>
  <c r="BS213" i="25"/>
  <c r="BX204" i="25"/>
  <c r="BX201" i="25" s="1"/>
  <c r="R206" i="20"/>
  <c r="BR121" i="25"/>
  <c r="L123" i="20"/>
  <c r="BQ127" i="25"/>
  <c r="K129" i="20"/>
  <c r="EF49" i="20"/>
  <c r="EF5" i="20" s="1"/>
  <c r="EH217" i="20"/>
  <c r="EH208" i="20" s="1"/>
  <c r="EH127" i="20"/>
  <c r="BS79" i="25"/>
  <c r="BR73" i="25"/>
  <c r="BP119" i="25"/>
  <c r="BY212" i="25"/>
  <c r="S214" i="20"/>
  <c r="EN226" i="20"/>
  <c r="EK148" i="20"/>
  <c r="EL148" i="20" s="1"/>
  <c r="BS146" i="25"/>
  <c r="BS97" i="25"/>
  <c r="M99" i="20"/>
  <c r="BX208" i="25"/>
  <c r="BX206" i="25" s="1"/>
  <c r="EM208" i="20"/>
  <c r="BX75" i="25"/>
  <c r="R77" i="20"/>
  <c r="BX122" i="25"/>
  <c r="R124" i="20"/>
  <c r="G120" i="25"/>
  <c r="I120" i="25" s="1"/>
  <c r="BM3" i="25"/>
  <c r="G3" i="25" s="1"/>
  <c r="BY229" i="25"/>
  <c r="BX82" i="25"/>
  <c r="R84" i="20"/>
  <c r="EN84" i="20"/>
  <c r="EN77" i="20"/>
  <c r="BY126" i="25"/>
  <c r="K123" i="20"/>
  <c r="BQ121" i="25"/>
  <c r="AK124" i="25"/>
  <c r="BN121" i="20"/>
  <c r="AK66" i="25"/>
  <c r="AJ107" i="25"/>
  <c r="M195" i="20"/>
  <c r="AK193" i="25"/>
  <c r="AQ153" i="25"/>
  <c r="S155" i="20"/>
  <c r="AQ186" i="25"/>
  <c r="S188" i="20"/>
  <c r="AK127" i="25"/>
  <c r="BT187" i="20"/>
  <c r="AP185" i="25"/>
  <c r="R187" i="20"/>
  <c r="BS186" i="20"/>
  <c r="AK132" i="25"/>
  <c r="R54" i="20"/>
  <c r="AP52" i="25"/>
  <c r="AP49" i="25" s="1"/>
  <c r="BS51" i="20"/>
  <c r="AO184" i="25"/>
  <c r="BR144" i="20"/>
  <c r="BR49" i="20" s="1"/>
  <c r="BR5" i="20" s="1"/>
  <c r="AK94" i="25"/>
  <c r="AK84" i="25" s="1"/>
  <c r="BN186" i="20"/>
  <c r="AK184" i="25" s="1"/>
  <c r="AJ186" i="25"/>
  <c r="L188" i="20"/>
  <c r="AK219" i="25"/>
  <c r="AK218" i="25" s="1"/>
  <c r="M221" i="20"/>
  <c r="BN220" i="20"/>
  <c r="BT66" i="20"/>
  <c r="AP64" i="25"/>
  <c r="AP61" i="25" s="1"/>
  <c r="R66" i="20"/>
  <c r="BN162" i="20"/>
  <c r="AK137" i="25"/>
  <c r="AK98" i="25"/>
  <c r="M100" i="20"/>
  <c r="AQ176" i="25"/>
  <c r="AQ189" i="25"/>
  <c r="S191" i="20"/>
  <c r="BT190" i="20"/>
  <c r="AQ188" i="25" s="1"/>
  <c r="H5" i="20"/>
  <c r="BB101" i="25"/>
  <c r="M227" i="20"/>
  <c r="T225" i="25"/>
  <c r="BH86" i="25"/>
  <c r="AQ98" i="25"/>
  <c r="T103" i="25"/>
  <c r="Z99" i="25"/>
  <c r="AK116" i="25"/>
  <c r="BB86" i="25"/>
  <c r="M88" i="20"/>
  <c r="BY123" i="25"/>
  <c r="T53" i="25"/>
  <c r="BY102" i="25"/>
  <c r="BX123" i="25"/>
  <c r="R125" i="20"/>
  <c r="AQ116" i="25"/>
  <c r="AQ107" i="25" s="1"/>
  <c r="AP130" i="25"/>
  <c r="T101" i="25"/>
  <c r="M103" i="20"/>
  <c r="AK112" i="25"/>
  <c r="T59" i="25"/>
  <c r="AQ130" i="25"/>
  <c r="T114" i="25"/>
  <c r="M116" i="20"/>
  <c r="BN109" i="20"/>
  <c r="Z113" i="25"/>
  <c r="AQ194" i="25" l="1"/>
  <c r="BN154" i="20"/>
  <c r="AK152" i="25" s="1"/>
  <c r="BH96" i="25"/>
  <c r="M139" i="20"/>
  <c r="EM145" i="20"/>
  <c r="EN145" i="20" s="1"/>
  <c r="BW143" i="25"/>
  <c r="BN75" i="20"/>
  <c r="S125" i="20"/>
  <c r="BY120" i="25"/>
  <c r="BY119" i="25" s="1"/>
  <c r="CX98" i="20"/>
  <c r="BX96" i="25"/>
  <c r="M90" i="20"/>
  <c r="BN98" i="20"/>
  <c r="S130" i="20"/>
  <c r="S104" i="20"/>
  <c r="S79" i="20"/>
  <c r="BT75" i="20"/>
  <c r="M107" i="20"/>
  <c r="S107" i="20"/>
  <c r="BT98" i="20"/>
  <c r="AK96" i="25"/>
  <c r="BM144" i="20"/>
  <c r="L144" i="20" s="1"/>
  <c r="S217" i="20"/>
  <c r="S142" i="25"/>
  <c r="P146" i="20"/>
  <c r="M59" i="20"/>
  <c r="S69" i="20"/>
  <c r="S115" i="20"/>
  <c r="M104" i="20"/>
  <c r="M118" i="20"/>
  <c r="Z86" i="25"/>
  <c r="R63" i="20"/>
  <c r="AJ144" i="20"/>
  <c r="S113" i="20"/>
  <c r="AD144" i="20"/>
  <c r="R86" i="20"/>
  <c r="L63" i="20"/>
  <c r="T126" i="25"/>
  <c r="T119" i="25" s="1"/>
  <c r="M201" i="20"/>
  <c r="M83" i="20"/>
  <c r="DD121" i="20"/>
  <c r="S117" i="20"/>
  <c r="BH119" i="25"/>
  <c r="M119" i="20"/>
  <c r="M55" i="20"/>
  <c r="BH73" i="25"/>
  <c r="M135" i="20"/>
  <c r="BA61" i="25"/>
  <c r="R220" i="20"/>
  <c r="S101" i="20"/>
  <c r="R132" i="20"/>
  <c r="BA84" i="25"/>
  <c r="L121" i="20"/>
  <c r="M69" i="20"/>
  <c r="M137" i="20"/>
  <c r="S231" i="20"/>
  <c r="R109" i="20"/>
  <c r="BA49" i="25"/>
  <c r="L132" i="20"/>
  <c r="BH224" i="25"/>
  <c r="S68" i="20"/>
  <c r="DD98" i="20"/>
  <c r="BA130" i="25"/>
  <c r="M71" i="20"/>
  <c r="L109" i="20"/>
  <c r="M56" i="20"/>
  <c r="S198" i="20"/>
  <c r="BH145" i="25"/>
  <c r="BH142" i="25" s="1"/>
  <c r="DD144" i="20"/>
  <c r="CW49" i="20"/>
  <c r="CW5" i="20" s="1"/>
  <c r="BG107" i="25"/>
  <c r="S59" i="20"/>
  <c r="DD226" i="20"/>
  <c r="S226" i="20" s="1"/>
  <c r="DD208" i="20"/>
  <c r="L51" i="20"/>
  <c r="BB96" i="25"/>
  <c r="DD75" i="20"/>
  <c r="L198" i="20"/>
  <c r="CX109" i="20"/>
  <c r="S134" i="20"/>
  <c r="BA107" i="25"/>
  <c r="BG218" i="25"/>
  <c r="DD51" i="20"/>
  <c r="DC49" i="20"/>
  <c r="DC5" i="20" s="1"/>
  <c r="DD132" i="20"/>
  <c r="BG3" i="25"/>
  <c r="CX4" i="20"/>
  <c r="BB115" i="25"/>
  <c r="BB107" i="25" s="1"/>
  <c r="M117" i="20"/>
  <c r="L86" i="20"/>
  <c r="BB76" i="25"/>
  <c r="BB73" i="25" s="1"/>
  <c r="CX75" i="20"/>
  <c r="BB198" i="25"/>
  <c r="BB196" i="25" s="1"/>
  <c r="CX198" i="20"/>
  <c r="BH202" i="25"/>
  <c r="BH201" i="25" s="1"/>
  <c r="DD203" i="20"/>
  <c r="BH89" i="25"/>
  <c r="BH84" i="25" s="1"/>
  <c r="S91" i="20"/>
  <c r="DD86" i="20"/>
  <c r="CX121" i="20"/>
  <c r="BB119" i="25"/>
  <c r="BH219" i="25"/>
  <c r="BH218" i="25" s="1"/>
  <c r="DD220" i="20"/>
  <c r="S220" i="20" s="1"/>
  <c r="S221" i="20"/>
  <c r="BH53" i="25"/>
  <c r="S55" i="20"/>
  <c r="BB146" i="25"/>
  <c r="BB142" i="25" s="1"/>
  <c r="CX144" i="20"/>
  <c r="BB66" i="25"/>
  <c r="BB61" i="25" s="1"/>
  <c r="CX63" i="20"/>
  <c r="CX86" i="20"/>
  <c r="M91" i="20"/>
  <c r="BH61" i="25"/>
  <c r="S71" i="20"/>
  <c r="BG130" i="25"/>
  <c r="S94" i="20"/>
  <c r="BB59" i="25"/>
  <c r="BB49" i="25" s="1"/>
  <c r="CX51" i="20"/>
  <c r="BH59" i="25"/>
  <c r="S61" i="20"/>
  <c r="BH117" i="25"/>
  <c r="BH107" i="25" s="1"/>
  <c r="DD109" i="20"/>
  <c r="S119" i="20"/>
  <c r="BH140" i="25"/>
  <c r="BH130" i="25" s="1"/>
  <c r="S142" i="20"/>
  <c r="BA3" i="25"/>
  <c r="CX208" i="20"/>
  <c r="BB212" i="25"/>
  <c r="BB206" i="25" s="1"/>
  <c r="DD4" i="20"/>
  <c r="BG49" i="25"/>
  <c r="BB140" i="25"/>
  <c r="BB130" i="25" s="1"/>
  <c r="M142" i="20"/>
  <c r="CX132" i="20"/>
  <c r="DD63" i="20"/>
  <c r="S114" i="20"/>
  <c r="M78" i="20"/>
  <c r="AQ52" i="25"/>
  <c r="AQ49" i="25" s="1"/>
  <c r="AD98" i="20"/>
  <c r="AK130" i="25"/>
  <c r="M206" i="20"/>
  <c r="M81" i="20"/>
  <c r="Y107" i="25"/>
  <c r="S54" i="20"/>
  <c r="EG4" i="20"/>
  <c r="L4" i="20" s="1"/>
  <c r="S102" i="20"/>
  <c r="L75" i="20"/>
  <c r="R98" i="20"/>
  <c r="BR120" i="25"/>
  <c r="BR3" i="25" s="1"/>
  <c r="BW144" i="25"/>
  <c r="Z94" i="25"/>
  <c r="S96" i="20"/>
  <c r="T202" i="25"/>
  <c r="T201" i="25" s="1"/>
  <c r="T143" i="25"/>
  <c r="T142" i="25" s="1"/>
  <c r="M145" i="20"/>
  <c r="S215" i="20"/>
  <c r="S128" i="20"/>
  <c r="Z138" i="25"/>
  <c r="S140" i="20"/>
  <c r="Z218" i="25"/>
  <c r="AD132" i="20"/>
  <c r="AJ132" i="20"/>
  <c r="S206" i="20"/>
  <c r="G5" i="20"/>
  <c r="AJ3" i="25"/>
  <c r="S156" i="20"/>
  <c r="AQ154" i="25"/>
  <c r="S95" i="20"/>
  <c r="AK154" i="25"/>
  <c r="M156" i="20"/>
  <c r="M124" i="20"/>
  <c r="BN4" i="20"/>
  <c r="BV144" i="25"/>
  <c r="AJ172" i="25"/>
  <c r="BN174" i="20"/>
  <c r="AK172" i="25" s="1"/>
  <c r="AK150" i="25"/>
  <c r="M152" i="20"/>
  <c r="BS198" i="25"/>
  <c r="BS196" i="25" s="1"/>
  <c r="EH122" i="20"/>
  <c r="BS120" i="25" s="1"/>
  <c r="EH75" i="20"/>
  <c r="EH121" i="20" s="1"/>
  <c r="L98" i="20"/>
  <c r="BY101" i="25"/>
  <c r="S103" i="20"/>
  <c r="BS74" i="25"/>
  <c r="BS73" i="25" s="1"/>
  <c r="Z61" i="25"/>
  <c r="AJ63" i="20"/>
  <c r="Z73" i="25"/>
  <c r="S73" i="20"/>
  <c r="S107" i="25"/>
  <c r="T84" i="25"/>
  <c r="M54" i="20"/>
  <c r="Z108" i="25"/>
  <c r="Z107" i="25" s="1"/>
  <c r="S110" i="20"/>
  <c r="Y73" i="25"/>
  <c r="AD86" i="20"/>
  <c r="S78" i="20"/>
  <c r="S84" i="25"/>
  <c r="AD203" i="20"/>
  <c r="M203" i="20" s="1"/>
  <c r="M134" i="20"/>
  <c r="BT4" i="20"/>
  <c r="M96" i="20"/>
  <c r="S127" i="20"/>
  <c r="S80" i="20"/>
  <c r="M84" i="20"/>
  <c r="M188" i="20"/>
  <c r="S123" i="20"/>
  <c r="Z124" i="25"/>
  <c r="Z119" i="25" s="1"/>
  <c r="S126" i="20"/>
  <c r="M95" i="20"/>
  <c r="AD208" i="20"/>
  <c r="S130" i="25"/>
  <c r="EN98" i="20"/>
  <c r="M114" i="20"/>
  <c r="S206" i="25"/>
  <c r="S49" i="25"/>
  <c r="S73" i="25"/>
  <c r="Y119" i="25"/>
  <c r="T111" i="25"/>
  <c r="M113" i="20"/>
  <c r="AI49" i="20"/>
  <c r="AI5" i="20" s="1"/>
  <c r="R208" i="20"/>
  <c r="T109" i="25"/>
  <c r="M111" i="20"/>
  <c r="T55" i="25"/>
  <c r="T49" i="25" s="1"/>
  <c r="M57" i="20"/>
  <c r="Z135" i="25"/>
  <c r="S137" i="20"/>
  <c r="T138" i="25"/>
  <c r="T130" i="25" s="1"/>
  <c r="M140" i="20"/>
  <c r="T80" i="25"/>
  <c r="M82" i="20"/>
  <c r="M73" i="20"/>
  <c r="AD51" i="20"/>
  <c r="AD63" i="20"/>
  <c r="S61" i="25"/>
  <c r="K5" i="20"/>
  <c r="Y218" i="25"/>
  <c r="AD121" i="20"/>
  <c r="M215" i="20"/>
  <c r="AD109" i="20"/>
  <c r="AJ86" i="20"/>
  <c r="S81" i="20"/>
  <c r="S99" i="20"/>
  <c r="AJ75" i="20"/>
  <c r="Z54" i="25"/>
  <c r="Z49" i="25" s="1"/>
  <c r="S56" i="20"/>
  <c r="AJ51" i="20"/>
  <c r="T96" i="25"/>
  <c r="AJ121" i="20"/>
  <c r="Z207" i="25"/>
  <c r="Z206" i="25" s="1"/>
  <c r="S209" i="20"/>
  <c r="AJ208" i="20"/>
  <c r="T64" i="25"/>
  <c r="M66" i="20"/>
  <c r="T221" i="25"/>
  <c r="M223" i="20"/>
  <c r="AC49" i="20"/>
  <c r="AC5" i="20" s="1"/>
  <c r="M80" i="20"/>
  <c r="Y3" i="25"/>
  <c r="S118" i="20"/>
  <c r="T198" i="25"/>
  <c r="T196" i="25" s="1"/>
  <c r="AD198" i="20"/>
  <c r="T63" i="25"/>
  <c r="M65" i="20"/>
  <c r="AD4" i="20"/>
  <c r="T212" i="25"/>
  <c r="T206" i="25" s="1"/>
  <c r="M214" i="20"/>
  <c r="S3" i="25"/>
  <c r="T77" i="25"/>
  <c r="M79" i="20"/>
  <c r="AD75" i="20"/>
  <c r="AJ4" i="20"/>
  <c r="AJ109" i="20"/>
  <c r="Z96" i="25"/>
  <c r="R203" i="20"/>
  <c r="T70" i="25"/>
  <c r="M72" i="20"/>
  <c r="Z133" i="25"/>
  <c r="S135" i="20"/>
  <c r="Y130" i="25"/>
  <c r="S218" i="25"/>
  <c r="T227" i="25"/>
  <c r="T224" i="25" s="1"/>
  <c r="M229" i="20"/>
  <c r="R51" i="20"/>
  <c r="M222" i="20"/>
  <c r="T220" i="25"/>
  <c r="AD220" i="20"/>
  <c r="M220" i="20" s="1"/>
  <c r="AJ98" i="20"/>
  <c r="S124" i="20"/>
  <c r="Z202" i="25"/>
  <c r="Z201" i="25" s="1"/>
  <c r="AJ203" i="20"/>
  <c r="S204" i="20"/>
  <c r="Y206" i="25"/>
  <c r="K144" i="20"/>
  <c r="AP3" i="25"/>
  <c r="AK61" i="25"/>
  <c r="S195" i="20"/>
  <c r="AQ193" i="25"/>
  <c r="BT194" i="20"/>
  <c r="AQ192" i="25" s="1"/>
  <c r="AJ148" i="25"/>
  <c r="AJ142" i="25" s="1"/>
  <c r="BN150" i="20"/>
  <c r="AK148" i="25" s="1"/>
  <c r="M105" i="20"/>
  <c r="M226" i="20"/>
  <c r="BY224" i="25"/>
  <c r="M200" i="20"/>
  <c r="EM146" i="20"/>
  <c r="BX144" i="25" s="1"/>
  <c r="BS96" i="25"/>
  <c r="BQ3" i="25"/>
  <c r="M126" i="20"/>
  <c r="EH98" i="20"/>
  <c r="O5" i="20"/>
  <c r="BY103" i="25"/>
  <c r="S105" i="20"/>
  <c r="EG49" i="20"/>
  <c r="EG5" i="20" s="1"/>
  <c r="L208" i="20"/>
  <c r="BV146" i="25"/>
  <c r="P148" i="20"/>
  <c r="BX143" i="25"/>
  <c r="R145" i="20"/>
  <c r="BY75" i="25"/>
  <c r="S77" i="20"/>
  <c r="M129" i="20"/>
  <c r="BY82" i="25"/>
  <c r="S84" i="20"/>
  <c r="BX73" i="25"/>
  <c r="EM148" i="20"/>
  <c r="EN148" i="20" s="1"/>
  <c r="Q148" i="20"/>
  <c r="BW146" i="25"/>
  <c r="BY206" i="25"/>
  <c r="BS215" i="25"/>
  <c r="BS206" i="25" s="1"/>
  <c r="M217" i="20"/>
  <c r="BS121" i="25"/>
  <c r="M123" i="20"/>
  <c r="BS125" i="25"/>
  <c r="M127" i="20"/>
  <c r="BQ119" i="25"/>
  <c r="S145" i="20"/>
  <c r="BY143" i="25"/>
  <c r="EN75" i="20"/>
  <c r="BS128" i="25"/>
  <c r="M130" i="20"/>
  <c r="M147" i="20"/>
  <c r="BS145" i="25"/>
  <c r="BS142" i="25" s="1"/>
  <c r="EK147" i="20"/>
  <c r="EL147" i="20" s="1"/>
  <c r="EH144" i="20"/>
  <c r="R75" i="20"/>
  <c r="EM121" i="20"/>
  <c r="R121" i="20" s="1"/>
  <c r="AQ185" i="25"/>
  <c r="BT186" i="20"/>
  <c r="S187" i="20"/>
  <c r="AK119" i="25"/>
  <c r="AQ64" i="25"/>
  <c r="AQ61" i="25" s="1"/>
  <c r="S66" i="20"/>
  <c r="BT63" i="20"/>
  <c r="AP184" i="25"/>
  <c r="BS144" i="20"/>
  <c r="BS49" i="20" s="1"/>
  <c r="BS5" i="20" s="1"/>
  <c r="AK107" i="25"/>
  <c r="AK160" i="25"/>
  <c r="BB84" i="25"/>
  <c r="BX119" i="25"/>
  <c r="AQ96" i="25"/>
  <c r="BR119" i="25" l="1"/>
  <c r="BM49" i="20"/>
  <c r="BM5" i="20" s="1"/>
  <c r="Z84" i="25"/>
  <c r="M98" i="20"/>
  <c r="S208" i="20"/>
  <c r="M109" i="20"/>
  <c r="BH3" i="25"/>
  <c r="S132" i="20"/>
  <c r="S203" i="20"/>
  <c r="M51" i="20"/>
  <c r="S63" i="20"/>
  <c r="M86" i="20"/>
  <c r="BB3" i="25"/>
  <c r="BH49" i="25"/>
  <c r="S51" i="20"/>
  <c r="CX49" i="20"/>
  <c r="CX5" i="20" s="1"/>
  <c r="M132" i="20"/>
  <c r="S86" i="20"/>
  <c r="DD49" i="20"/>
  <c r="DD5" i="20" s="1"/>
  <c r="M198" i="20"/>
  <c r="S109" i="20"/>
  <c r="M63" i="20"/>
  <c r="M208" i="20"/>
  <c r="AK3" i="25"/>
  <c r="M75" i="20"/>
  <c r="EH4" i="20"/>
  <c r="M4" i="20" s="1"/>
  <c r="M121" i="20"/>
  <c r="AK142" i="25"/>
  <c r="M122" i="20"/>
  <c r="T218" i="25"/>
  <c r="BN144" i="20"/>
  <c r="BN49" i="20" s="1"/>
  <c r="BN5" i="20" s="1"/>
  <c r="BS3" i="25"/>
  <c r="BY96" i="25"/>
  <c r="Z3" i="25"/>
  <c r="T107" i="25"/>
  <c r="AJ49" i="20"/>
  <c r="AJ5" i="20" s="1"/>
  <c r="EN146" i="20"/>
  <c r="BY144" i="25" s="1"/>
  <c r="R146" i="20"/>
  <c r="T73" i="25"/>
  <c r="Z130" i="25"/>
  <c r="T61" i="25"/>
  <c r="L5" i="20"/>
  <c r="S98" i="20"/>
  <c r="AD49" i="20"/>
  <c r="AD5" i="20" s="1"/>
  <c r="T3" i="25"/>
  <c r="AQ3" i="25"/>
  <c r="EH49" i="20"/>
  <c r="EH5" i="20" s="1"/>
  <c r="BY73" i="25"/>
  <c r="BS119" i="25"/>
  <c r="Q147" i="20"/>
  <c r="EL144" i="20"/>
  <c r="EL49" i="20" s="1"/>
  <c r="EL5" i="20" s="1"/>
  <c r="Q5" i="20" s="1"/>
  <c r="EL4" i="20"/>
  <c r="Q4" i="20" s="1"/>
  <c r="BW145" i="25"/>
  <c r="BW142" i="25" s="1"/>
  <c r="R148" i="20"/>
  <c r="BX146" i="25"/>
  <c r="BY146" i="25"/>
  <c r="S148" i="20"/>
  <c r="P147" i="20"/>
  <c r="EM147" i="20"/>
  <c r="EN147" i="20" s="1"/>
  <c r="EK4" i="20"/>
  <c r="P4" i="20" s="1"/>
  <c r="EK144" i="20"/>
  <c r="BV145" i="25"/>
  <c r="EN121" i="20"/>
  <c r="S121" i="20" s="1"/>
  <c r="S75" i="20"/>
  <c r="AQ184" i="25"/>
  <c r="BT144" i="20"/>
  <c r="BT49" i="20" s="1"/>
  <c r="BT5" i="20" s="1"/>
  <c r="M144" i="20" l="1"/>
  <c r="S146" i="20"/>
  <c r="M5" i="20"/>
  <c r="Q144" i="20"/>
  <c r="EN4" i="20"/>
  <c r="S4" i="20" s="1"/>
  <c r="S147" i="20"/>
  <c r="BY145" i="25"/>
  <c r="BY142" i="25" s="1"/>
  <c r="EN144" i="20"/>
  <c r="BW3" i="25"/>
  <c r="BV3" i="25"/>
  <c r="BV142" i="25"/>
  <c r="EK49" i="20"/>
  <c r="EK5" i="20" s="1"/>
  <c r="P5" i="20" s="1"/>
  <c r="P144" i="20"/>
  <c r="EM4" i="20"/>
  <c r="R4" i="20" s="1"/>
  <c r="BX145" i="25"/>
  <c r="EM144" i="20"/>
  <c r="R147" i="20"/>
  <c r="BY3" i="25" l="1"/>
  <c r="R144" i="20"/>
  <c r="EM49" i="20"/>
  <c r="EM5" i="20" s="1"/>
  <c r="R5" i="20" s="1"/>
  <c r="BX142" i="25"/>
  <c r="BX3" i="25"/>
  <c r="EN49" i="20"/>
  <c r="EN5" i="20" s="1"/>
  <c r="S5" i="20" s="1"/>
  <c r="S144"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tc={19BB1253-43DB-4296-A183-397F4B153831}</author>
    <author>tc={FE7003D4-0922-4D54-BF98-907E4E4C9DDD}</author>
    <author>tc={DCD7DA0E-0BB3-4768-9640-0395EEAAA930}</author>
    <author>tc={003155F1-8E7C-4757-863F-A70E6D2B638A}</author>
    <author>tc={5776E866-BA41-44B4-876F-8CB4620EB153}</author>
    <author>tc={A99B1133-7F04-4F38-800C-67F2EDE242B0}</author>
  </authors>
  <commentList>
    <comment ref="K128" authorId="0" shapeId="0" xr:uid="{19BB1253-43DB-4296-A183-397F4B153831}">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B128" authorId="1" shapeId="0" xr:uid="{FE7003D4-0922-4D54-BF98-907E4E4C9DDD}">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AS128" authorId="2" shapeId="0" xr:uid="{DCD7DA0E-0BB3-4768-9640-0395EEAAA930}">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BJ128" authorId="3" shapeId="0" xr:uid="{003155F1-8E7C-4757-863F-A70E6D2B638A}">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D207" authorId="4" shapeId="0" xr:uid="{5776E866-BA41-44B4-876F-8CB4620EB153}">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This has been issued, Check and confirm</t>
      </text>
    </comment>
    <comment ref="O219" authorId="5" shapeId="0" xr:uid="{A99B1133-7F04-4F38-800C-67F2EDE242B0}">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tc={E0DCE2BB-9DC4-46BD-B3BA-FC65E9F4BD49}</author>
    <author>tc={4701E450-83C3-4130-A611-E8D4D55DA0A5}</author>
    <author>tc={D74A9174-3183-4572-9207-ED6A3C1C4312}</author>
    <author>tc={E59CECE2-47C4-4497-BA21-D7A2F41F0C48}</author>
    <author>tc={1B02617F-168D-475C-AA4D-D0745BC90C49}</author>
    <author>tc={21969036-7773-4B37-8DE4-84B1781F3B98}</author>
    <author>tc={D9B285B6-1204-4A08-8034-9AD663501649}</author>
    <author>tc={0F1A9748-48B1-47BC-B67E-BAF6410A16DC}</author>
    <author>tc={7A30D015-AA95-49D5-822C-F606A0DABC03}</author>
    <author>tc={697F3CBA-605B-4ED6-A40C-5598D80F03F7}</author>
    <author>tc={FBFA9D5B-79C6-4C1B-B709-BE47C0498A3E}</author>
    <author>tc={57FA2A3E-6B50-4558-A595-A634B2B3DA42}</author>
    <author>tc={ABC98081-EE19-4B85-A773-2AADBBF6551B}</author>
    <author>tc={3FC84205-7DE1-4005-952E-8DA3BE8A6848}</author>
  </authors>
  <commentList>
    <comment ref="U130" authorId="0" shapeId="0" xr:uid="{E0DCE2BB-9DC4-46BD-B3BA-FC65E9F4BD49}">
      <text>
        <t>[Threaded comment]
Your version of Excel allows you to read this threaded comment; however, any edits to it will get removed if the file is opened in a newer version of Excel. Learn more: https://go.microsoft.com/fwlink/?linkid=870924
[Tasks]
There is a task anchored to this comment that cannot be viewed in your client.
Comment:
    @Vinod Soudi Please check why this is not loaded ???</t>
      </text>
    </comment>
    <comment ref="BG150" authorId="1" shapeId="0" xr:uid="{4701E450-83C3-4130-A611-E8D4D55DA0A5}">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54" authorId="2" shapeId="0" xr:uid="{D74A9174-3183-4572-9207-ED6A3C1C4312}">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58" authorId="3" shapeId="0" xr:uid="{E59CECE2-47C4-4497-BA21-D7A2F41F0C48}">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62" authorId="4" shapeId="0" xr:uid="{1B02617F-168D-475C-AA4D-D0745BC90C49}">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66" authorId="5" shapeId="0" xr:uid="{21969036-7773-4B37-8DE4-84B1781F3B98}">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70" authorId="6" shapeId="0" xr:uid="{D9B285B6-1204-4A08-8034-9AD663501649}">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74" authorId="7" shapeId="0" xr:uid="{0F1A9748-48B1-47BC-B67E-BAF6410A16DC}">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78" authorId="8" shapeId="0" xr:uid="{7A30D015-AA95-49D5-822C-F606A0DABC03}">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82" authorId="9" shapeId="0" xr:uid="{697F3CBA-605B-4ED6-A40C-5598D80F03F7}">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86" authorId="10" shapeId="0" xr:uid="{FBFA9D5B-79C6-4C1B-B709-BE47C0498A3E}">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90" authorId="11" shapeId="0" xr:uid="{57FA2A3E-6B50-4558-A595-A634B2B3DA42}">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BG194" authorId="12" shapeId="0" xr:uid="{ABC98081-EE19-4B85-A773-2AADBBF6551B}">
      <text>
        <t>[Threaded comment]
Your version of Excel allows you to read this threaded comment; however, any edits to it will get removed if the file is opened in a newer version of Excel. Learn more: https://go.microsoft.com/fwlink/?linkid=870924
Comment:
    Since 12 ext bsmnts are there 95% is divided by 12</t>
      </text>
    </comment>
    <comment ref="Y221" authorId="13" shapeId="0" xr:uid="{3FC84205-7DE1-4005-952E-8DA3BE8A6848}">
      <text>
        <t>[Threaded comment]
Your version of Excel allows you to read this threaded comment; however, any edits to it will get removed if the file is opened in a newer version of Excel. Learn more: https://go.microsoft.com/fwlink/?linkid=870924
Comment:
    @Vinod Soudi Data is wrong 
Reply:
    @Suchita Sharma The column issued till dec'22 had got deleted. Hence the values were not appearing</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tc={8C1245EA-EAEC-4F0D-8CD1-43F31C7E7097}</author>
    <author>tc={07E270B3-D7AC-4BC7-B7C2-7BEBD2481833}</author>
    <author>tc={A8C0E991-59C2-40AA-936C-8EEAF896A261}</author>
    <author>tc={2B21C1F8-310C-4731-8B2C-506BE86E2D5A}</author>
    <author>tc={5B920A67-4F90-4660-BCFA-77F89785A320}</author>
    <author>tc={32381D34-F003-4136-92A8-A9313506830A}</author>
    <author>tc={BD921470-BF99-4C0C-9C14-4DBF1F20EE96}</author>
    <author>tc={F9D562AD-25AB-48F9-9DB8-D768DB0CBFB0}</author>
    <author>tc={E55EE104-AA67-4C09-97E5-7EB839723328}</author>
    <author>tc={306EBE15-182E-4875-99E6-99A7FBDF0A2A}</author>
    <author>tc={5CAACAA5-A391-4F48-AA41-1C7E352E8FB3}</author>
    <author>tc={ACA20B72-9A78-4967-B2D3-6D7BD22B9C81}</author>
    <author>tc={28DA589C-48C1-455B-878E-A64B6775DB3D}</author>
    <author>tc={E13933EE-ECD4-43D5-9ED6-ABFA88191C04}</author>
    <author>tc={1C3F51F9-3973-4D3C-BF7B-E41B29BBD91D}</author>
    <author>tc={B066D22D-77B0-4C2F-A5A5-2C771C7377A3}</author>
    <author>tc={671D7E39-D954-4723-A08D-2A6BC67EE375}</author>
    <author>tc={DD32A88B-FFF7-4E27-AABE-6D931FABC40E}</author>
    <author>tc={9F8BDD83-6CF8-4574-A1D1-0993A266B7AE}</author>
    <author>tc={15CC8526-779D-4EDE-BFDF-68B726CFC038}</author>
    <author>tc={CB825A84-E99A-43BF-9C81-4BF0C02CD566}</author>
    <author>tc={7FC77FC1-8FCA-49F2-BD46-24C7742900D2}</author>
    <author>tc={71212483-2D25-4C29-A2BC-8151DFC664F9}</author>
    <author>tc={0D7AB5A4-06A0-45D7-B4F3-6487C60682F6}</author>
    <author>tc={279891EE-0BA0-449D-84FF-096810B8DB49}</author>
    <author>tc={3E9A61BD-AA48-4F78-809C-432C97879D63}</author>
    <author>tc={6E4BA349-513C-4056-B519-E4A8B700688A}</author>
    <author>tc={12FFA399-3343-4D3F-8D81-E856A253A6CF}</author>
    <author>tc={D65F5A64-D0CF-4CC0-9BCE-EC488E17D579}</author>
    <author>tc={29E8979A-29F6-4DC5-A814-FB4585CCA01D}</author>
    <author>tc={D10F057A-8C16-4743-B36A-092678CA6D90}</author>
    <author>tc={44100819-7BEC-4EA9-870E-7EBDB16CC585}</author>
    <author>tc={D1C07A83-95DC-4402-9891-776279D1CD12}</author>
    <author>tc={6E8D90B6-A33D-4428-ACD2-D8708E20AD4E}</author>
    <author>tc={C97CFC99-4A9B-4039-ADF7-68F271FA7518}</author>
    <author>tc={87D38E09-4DC0-4A84-A9A8-7593C5632588}</author>
    <author>tc={39323C47-513F-4DCB-93D0-5BAF0C27E141}</author>
    <author>tc={5DD7DBBE-6149-4B4B-BA86-62051E4F713B}</author>
    <author>tc={0FC52DA6-FBB6-4E01-90E0-1BCCC68EFBF4}</author>
    <author>tc={0706E203-0263-4240-B925-2A253FDD6CA2}</author>
    <author>tc={F18960B9-3704-4454-A2F5-A4F26B29CE04}</author>
    <author>tc={5A0477C1-023D-4837-95D3-724A06657C57}</author>
    <author>tc={5EF65E9F-DA3C-465F-8BE4-C43E739C0EFF}</author>
    <author>tc={E6CF0066-2FA2-4FFA-838F-7FA9A8FED038}</author>
    <author>tc={8583318D-6FED-4C88-96AB-F75262856C7C}</author>
    <author>tc={14744407-9170-46CE-9DF6-76BF8AEDB782}</author>
    <author>tc={475B0A43-A67E-4BD7-A61A-F3C973406B79}</author>
    <author>tc={4F8431CD-F1B2-403E-8BA6-3CD7AF144590}</author>
    <author>tc={F2079767-4BDB-432E-AA55-9E92CD063A65}</author>
    <author>tc={443077B1-C19C-4AB0-B42C-8B21E0D0FD18}</author>
    <author>tc={65DA0D49-1B5B-447F-9515-F5B6814F8D1F}</author>
    <author>tc={4BF9D0CE-9130-414A-B681-3AA985BB42CA}</author>
    <author>tc={A6DDE6F2-4810-41ED-8D00-A24E34A95479}</author>
    <author>tc={EC3468AE-8EF5-423B-9569-35C887698C2B}</author>
    <author>tc={95E33DD6-DD92-4947-9A0E-FF9D7777BB0F}</author>
    <author>tc={2A8C016A-3908-479C-8042-B14F07371D41}</author>
    <author>tc={0542BC2A-D434-4127-9957-1C0B6425C96B}</author>
    <author>tc={99B7F6AF-C067-423C-9396-A5F9B7DEC48B}</author>
    <author>tc={DCD457D1-F1A1-423E-B8FD-CA1289246C3B}</author>
    <author>tc={D0B714B8-6945-4DAC-A8B7-F80A6D075F12}</author>
    <author>tc={D039BBF4-7E3C-4D25-80F1-3C863DCB07C2}</author>
    <author>tc={BC6C5DE3-ECF1-4DC2-98F0-4444F8B48897}</author>
    <author>tc={A26FB02B-A984-48DB-B9CE-6967DF018EE4}</author>
    <author>tc={35004DE4-3F48-42E9-8628-350850BA9DB2}</author>
    <author>tc={62ACD33A-1117-4CE9-BDCD-BC430CC70363}</author>
    <author>tc={621D4B63-C6D2-4C01-A008-3668CB9D79C5}</author>
    <author>tc={EA217FF3-04AF-40FF-A6F4-80E19D6A3B7E}</author>
    <author>tc={D453D539-C672-41B3-8691-8BBF5B576B46}</author>
    <author>tc={C88A3977-1E6B-492E-9E86-A99AD3AFE2C9}</author>
    <author>tc={F65D5BD9-06AA-47DF-9901-D2AE6EF148E5}</author>
    <author>tc={381817D9-4E08-43B5-ACCB-5C10F3180D7D}</author>
    <author>tc={B6E862FB-DD4A-4A8D-AEDB-17A19489022D}</author>
    <author>tc={FA1928BA-6EE3-4041-908C-D8389B69EB4C}</author>
    <author>tc={FAA1522F-1FBF-4803-A3F1-AC58190ED154}</author>
    <author>tc={1A1D4EE9-1D22-4846-B755-5D5A63DC157B}</author>
    <author>tc={55DBE332-C873-4E09-95D4-CF009CBD48D2}</author>
    <author>tc={A1A215A9-1DA2-4E61-B416-9765A1B5FEDA}</author>
  </authors>
  <commentList>
    <comment ref="R21" authorId="0" shapeId="0" xr:uid="{8C1245EA-EAEC-4F0D-8CD1-43F31C7E7097}">
      <text>
        <t>[Threaded comment]
Your version of Excel allows you to read this threaded comment; however, any edits to it will get removed if the file is opened in a newer version of Excel. Learn more: https://go.microsoft.com/fwlink/?linkid=870924
Comment:
    As there were only minimal lights and majorly by LDS, it is released as site instruction</t>
      </text>
    </comment>
    <comment ref="R29" authorId="1" shapeId="0" xr:uid="{07E270B3-D7AC-4BC7-B7C2-7BEBD2481833}">
      <text>
        <t>[Threaded comment]
Your version of Excel allows you to read this threaded comment; however, any edits to it will get removed if the file is opened in a newer version of Excel. Learn more: https://go.microsoft.com/fwlink/?linkid=870924
Comment:
    Part of Masonry dwg for T2S and TXS</t>
      </text>
    </comment>
    <comment ref="R33" authorId="2" shapeId="0" xr:uid="{A8C0E991-59C2-40AA-936C-8EEAF896A261}">
      <text>
        <t>[Threaded comment]
Your version of Excel allows you to read this threaded comment; however, any edits to it will get removed if the file is opened in a newer version of Excel. Learn more: https://go.microsoft.com/fwlink/?linkid=870924
Comment:
    Part of basement drawing no. T2VB-1101</t>
      </text>
    </comment>
    <comment ref="R34" authorId="3" shapeId="0" xr:uid="{2B21C1F8-310C-4731-8B2C-506BE86E2D5A}">
      <text>
        <t>[Threaded comment]
Your version of Excel allows you to read this threaded comment; however, any edits to it will get removed if the file is opened in a newer version of Excel. Learn more: https://go.microsoft.com/fwlink/?linkid=870924
Comment:
    Part of basement drawing no. T2VB-1101</t>
      </text>
    </comment>
    <comment ref="S304" authorId="4" shapeId="0" xr:uid="{5B920A67-4F90-4660-BCFA-77F89785A320}">
      <text>
        <t>[Threaded comment]
Your version of Excel allows you to read this threaded comment; however, any edits to it will get removed if the file is opened in a newer version of Excel. Learn more: https://go.microsoft.com/fwlink/?linkid=870924
Comment:
    356</t>
      </text>
    </comment>
    <comment ref="S419" authorId="5" shapeId="0" xr:uid="{32381D34-F003-4136-92A8-A9313506830A}">
      <text>
        <t>[Threaded comment]
Your version of Excel allows you to read this threaded comment; however, any edits to it will get removed if the file is opened in a newer version of Excel. Learn more: https://go.microsoft.com/fwlink/?linkid=870924
Comment:
    Same as T2V drawing</t>
      </text>
    </comment>
    <comment ref="S420" authorId="6" shapeId="0" xr:uid="{BD921470-BF99-4C0C-9C14-4DBF1F20EE96}">
      <text>
        <t>[Threaded comment]
Your version of Excel allows you to read this threaded comment; however, any edits to it will get removed if the file is opened in a newer version of Excel. Learn more: https://go.microsoft.com/fwlink/?linkid=870924
Comment:
    Same as T2V drawing</t>
      </text>
    </comment>
    <comment ref="S423" authorId="7" shapeId="0" xr:uid="{F9D562AD-25AB-48F9-9DB8-D768DB0CBFB0}">
      <text>
        <t>[Threaded comment]
Your version of Excel allows you to read this threaded comment; however, any edits to it will get removed if the file is opened in a newer version of Excel. Learn more: https://go.microsoft.com/fwlink/?linkid=870924
Comment:
    Part of basement drawing no. T2VB-1101</t>
      </text>
    </comment>
    <comment ref="S439" authorId="8" shapeId="0" xr:uid="{E55EE104-AA67-4C09-97E5-7EB839723328}">
      <text>
        <t>[Threaded comment]
Your version of Excel allows you to read this threaded comment; however, any edits to it will get removed if the file is opened in a newer version of Excel. Learn more: https://go.microsoft.com/fwlink/?linkid=870924
Comment:
    Same as T2V drawing</t>
      </text>
    </comment>
    <comment ref="S440" authorId="9" shapeId="0" xr:uid="{306EBE15-182E-4875-99E6-99A7FBDF0A2A}">
      <text>
        <t>[Threaded comment]
Your version of Excel allows you to read this threaded comment; however, any edits to it will get removed if the file is opened in a newer version of Excel. Learn more: https://go.microsoft.com/fwlink/?linkid=870924
Comment:
    Same as T2V drawing</t>
      </text>
    </comment>
    <comment ref="R483" authorId="10" shapeId="0" xr:uid="{5CAACAA5-A391-4F48-AA41-1C7E352E8FB3}">
      <text>
        <t>[Threaded comment]
Your version of Excel allows you to read this threaded comment; however, any edits to it will get removed if the file is opened in a newer version of Excel. Learn more: https://go.microsoft.com/fwlink/?linkid=870924
Comment:
    301</t>
      </text>
    </comment>
    <comment ref="S484" authorId="11" shapeId="0" xr:uid="{ACA20B72-9A78-4967-B2D3-6D7BD22B9C81}">
      <text>
        <t>[Threaded comment]
Your version of Excel allows you to read this threaded comment; however, any edits to it will get removed if the file is opened in a newer version of Excel. Learn more: https://go.microsoft.com/fwlink/?linkid=870924
Comment:
    317</t>
      </text>
    </comment>
    <comment ref="S485" authorId="12" shapeId="0" xr:uid="{28DA589C-48C1-455B-878E-A64B6775DB3D}">
      <text>
        <t>[Threaded comment]
Your version of Excel allows you to read this threaded comment; however, any edits to it will get removed if the file is opened in a newer version of Excel. Learn more: https://go.microsoft.com/fwlink/?linkid=870924
Comment:
    319</t>
      </text>
    </comment>
    <comment ref="S505" authorId="13" shapeId="0" xr:uid="{E13933EE-ECD4-43D5-9ED6-ABFA88191C04}">
      <text>
        <t>[Threaded comment]
Your version of Excel allows you to read this threaded comment; however, any edits to it will get removed if the file is opened in a newer version of Excel. Learn more: https://go.microsoft.com/fwlink/?linkid=870924
Comment:
    352</t>
      </text>
    </comment>
    <comment ref="S506" authorId="14" shapeId="0" xr:uid="{1C3F51F9-3973-4D3C-BF7B-E41B29BBD91D}">
      <text>
        <t>[Threaded comment]
Your version of Excel allows you to read this threaded comment; however, any edits to it will get removed if the file is opened in a newer version of Excel. Learn more: https://go.microsoft.com/fwlink/?linkid=870924
Comment:
    352</t>
      </text>
    </comment>
    <comment ref="S507" authorId="15" shapeId="0" xr:uid="{B066D22D-77B0-4C2F-A5A5-2C771C7377A3}">
      <text>
        <t>[Threaded comment]
Your version of Excel allows you to read this threaded comment; however, any edits to it will get removed if the file is opened in a newer version of Excel. Learn more: https://go.microsoft.com/fwlink/?linkid=870924
Comment:
    352</t>
      </text>
    </comment>
    <comment ref="S508" authorId="16" shapeId="0" xr:uid="{671D7E39-D954-4723-A08D-2A6BC67EE375}">
      <text>
        <t>[Threaded comment]
Your version of Excel allows you to read this threaded comment; however, any edits to it will get removed if the file is opened in a newer version of Excel. Learn more: https://go.microsoft.com/fwlink/?linkid=870924
Comment:
    352</t>
      </text>
    </comment>
    <comment ref="R661" authorId="17" shapeId="0" xr:uid="{DD32A88B-FFF7-4E27-AABE-6D931FABC40E}">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78" authorId="18" shapeId="0" xr:uid="{9F8BDD83-6CF8-4574-A1D1-0993A266B7AE}">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79" authorId="19" shapeId="0" xr:uid="{15CC8526-779D-4EDE-BFDF-68B726CFC038}">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0" authorId="20" shapeId="0" xr:uid="{CB825A84-E99A-43BF-9C81-4BF0C02CD566}">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3" authorId="21" shapeId="0" xr:uid="{7FC77FC1-8FCA-49F2-BD46-24C7742900D2}">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4" authorId="22" shapeId="0" xr:uid="{71212483-2D25-4C29-A2BC-8151DFC664F9}">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5" authorId="23" shapeId="0" xr:uid="{0D7AB5A4-06A0-45D7-B4F3-6487C60682F6}">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6" authorId="24" shapeId="0" xr:uid="{279891EE-0BA0-449D-84FF-096810B8DB49}">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7" authorId="25" shapeId="0" xr:uid="{3E9A61BD-AA48-4F78-809C-432C97879D63}">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8" authorId="26" shapeId="0" xr:uid="{6E4BA349-513C-4056-B519-E4A8B700688A}">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89" authorId="27" shapeId="0" xr:uid="{12FFA399-3343-4D3F-8D81-E856A253A6CF}">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0" authorId="28" shapeId="0" xr:uid="{D65F5A64-D0CF-4CC0-9BCE-EC488E17D579}">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3" authorId="29" shapeId="0" xr:uid="{29E8979A-29F6-4DC5-A814-FB4585CCA01D}">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4" authorId="30" shapeId="0" xr:uid="{D10F057A-8C16-4743-B36A-092678CA6D90}">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5" authorId="31" shapeId="0" xr:uid="{44100819-7BEC-4EA9-870E-7EBDB16CC585}">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6" authorId="32" shapeId="0" xr:uid="{D1C07A83-95DC-4402-9891-776279D1CD12}">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7" authorId="33" shapeId="0" xr:uid="{6E8D90B6-A33D-4428-ACD2-D8708E20AD4E}">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8" authorId="34" shapeId="0" xr:uid="{C97CFC99-4A9B-4039-ADF7-68F271FA7518}">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699" authorId="35" shapeId="0" xr:uid="{87D38E09-4DC0-4A84-A9A8-7593C5632588}">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00" authorId="36" shapeId="0" xr:uid="{39323C47-513F-4DCB-93D0-5BAF0C27E141}">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04" authorId="37" shapeId="0" xr:uid="{5DD7DBBE-6149-4B4B-BA86-62051E4F713B}">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05" authorId="38" shapeId="0" xr:uid="{0FC52DA6-FBB6-4E01-90E0-1BCCC68EFBF4}">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06" authorId="39" shapeId="0" xr:uid="{0706E203-0263-4240-B925-2A253FDD6CA2}">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07" authorId="40" shapeId="0" xr:uid="{F18960B9-3704-4454-A2F5-A4F26B29CE04}">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08" authorId="41" shapeId="0" xr:uid="{5A0477C1-023D-4837-95D3-724A06657C57}">
      <text>
        <t>[Threaded comment]
Your version of Excel allows you to read this threaded comment; however, any edits to it will get removed if the file is opened in a newer version of Excel. Learn more: https://go.microsoft.com/fwlink/?linkid=870924
Comment:
    North side external wall details</t>
      </text>
    </comment>
    <comment ref="R709" authorId="42" shapeId="0" xr:uid="{5EF65E9F-DA3C-465F-8BE4-C43E739C0EFF}">
      <text>
        <t>[Threaded comment]
Your version of Excel allows you to read this threaded comment; however, any edits to it will get removed if the file is opened in a newer version of Excel. Learn more: https://go.microsoft.com/fwlink/?linkid=870924
Comment:
    Part of TXS</t>
      </text>
    </comment>
    <comment ref="R710" authorId="43" shapeId="0" xr:uid="{E6CF0066-2FA2-4FFA-838F-7FA9A8FED038}">
      <text>
        <t>[Threaded comment]
Your version of Excel allows you to read this threaded comment; however, any edits to it will get removed if the file is opened in a newer version of Excel. Learn more: https://go.microsoft.com/fwlink/?linkid=870924
Comment:
    Part of TXS</t>
      </text>
    </comment>
    <comment ref="R713" authorId="44" shapeId="0" xr:uid="{8583318D-6FED-4C88-96AB-F75262856C7C}">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14" authorId="45" shapeId="0" xr:uid="{14744407-9170-46CE-9DF6-76BF8AEDB782}">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17" authorId="46" shapeId="0" xr:uid="{475B0A43-A67E-4BD7-A61A-F3C973406B79}">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18" authorId="47" shapeId="0" xr:uid="{4F8431CD-F1B2-403E-8BA6-3CD7AF144590}">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1" authorId="48" shapeId="0" xr:uid="{F2079767-4BDB-432E-AA55-9E92CD063A65}">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2" authorId="49" shapeId="0" xr:uid="{443077B1-C19C-4AB0-B42C-8B21E0D0FD18}">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3" authorId="50" shapeId="0" xr:uid="{65DA0D49-1B5B-447F-9515-F5B6814F8D1F}">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4" authorId="51" shapeId="0" xr:uid="{4BF9D0CE-9130-414A-B681-3AA985BB42CA}">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5" authorId="52" shapeId="0" xr:uid="{A6DDE6F2-4810-41ED-8D00-A24E34A95479}">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6" authorId="53" shapeId="0" xr:uid="{EC3468AE-8EF5-423B-9569-35C887698C2B}">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7" authorId="54" shapeId="0" xr:uid="{95E33DD6-DD92-4947-9A0E-FF9D7777BB0F}">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8" authorId="55" shapeId="0" xr:uid="{2A8C016A-3908-479C-8042-B14F07371D41}">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29" authorId="56" shapeId="0" xr:uid="{0542BC2A-D434-4127-9957-1C0B6425C96B}">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32" authorId="57" shapeId="0" xr:uid="{99B7F6AF-C067-423C-9396-A5F9B7DEC48B}">
      <text>
        <t>[Threaded comment]
Your version of Excel allows you to read this threaded comment; however, any edits to it will get removed if the file is opened in a newer version of Excel. Learn more: https://go.microsoft.com/fwlink/?linkid=870924
Comment:
    Part of T2S Drawings</t>
      </text>
    </comment>
    <comment ref="R764" authorId="58" shapeId="0" xr:uid="{DCD457D1-F1A1-423E-B8FD-CA1289246C3B}">
      <text>
        <t>[Threaded comment]
Your version of Excel allows you to read this threaded comment; however, any edits to it will get removed if the file is opened in a newer version of Excel. Learn more: https://go.microsoft.com/fwlink/?linkid=870924
Comment:
    Refer T1 drawings</t>
      </text>
    </comment>
    <comment ref="R765" authorId="59" shapeId="0" xr:uid="{D0B714B8-6945-4DAC-A8B7-F80A6D075F12}">
      <text>
        <t>[Threaded comment]
Your version of Excel allows you to read this threaded comment; however, any edits to it will get removed if the file is opened in a newer version of Excel. Learn more: https://go.microsoft.com/fwlink/?linkid=870924
Comment:
    Refer T1 drawings</t>
      </text>
    </comment>
    <comment ref="R777" authorId="60" shapeId="0" xr:uid="{D039BBF4-7E3C-4D25-80F1-3C863DCB07C2}">
      <text>
        <t>[Threaded comment]
Your version of Excel allows you to read this threaded comment; however, any edits to it will get removed if the file is opened in a newer version of Excel. Learn more: https://go.microsoft.com/fwlink/?linkid=870924
Comment:
    Refer T1 drawings</t>
      </text>
    </comment>
    <comment ref="R781" authorId="61" shapeId="0" xr:uid="{BC6C5DE3-ECF1-4DC2-98F0-4444F8B48897}">
      <text>
        <t>[Threaded comment]
Your version of Excel allows you to read this threaded comment; however, any edits to it will get removed if the file is opened in a newer version of Excel. Learn more: https://go.microsoft.com/fwlink/?linkid=870924
Comment:
    Refer T1 drawings</t>
      </text>
    </comment>
    <comment ref="R794" authorId="62" shapeId="0" xr:uid="{A26FB02B-A984-48DB-B9CE-6967DF018EE4}">
      <text>
        <t>[Threaded comment]
Your version of Excel allows you to read this threaded comment; however, any edits to it will get removed if the file is opened in a newer version of Excel. Learn more: https://go.microsoft.com/fwlink/?linkid=870924
Comment:
    Refer T1 drawings</t>
      </text>
    </comment>
    <comment ref="R844" authorId="63" shapeId="0" xr:uid="{35004DE4-3F48-42E9-8628-350850BA9DB2}">
      <text>
        <t>[Threaded comment]
Your version of Excel allows you to read this threaded comment; however, any edits to it will get removed if the file is opened in a newer version of Excel. Learn more: https://go.microsoft.com/fwlink/?linkid=870924
Comment:
    Refer T1 drawings</t>
      </text>
    </comment>
    <comment ref="R845" authorId="64" shapeId="0" xr:uid="{62ACD33A-1117-4CE9-BDCD-BC430CC70363}">
      <text>
        <t>[Threaded comment]
Your version of Excel allows you to read this threaded comment; however, any edits to it will get removed if the file is opened in a newer version of Excel. Learn more: https://go.microsoft.com/fwlink/?linkid=870924
Comment:
    Refer T1 drawings</t>
      </text>
    </comment>
    <comment ref="R846" authorId="65" shapeId="0" xr:uid="{621D4B63-C6D2-4C01-A008-3668CB9D79C5}">
      <text>
        <t>[Threaded comment]
Your version of Excel allows you to read this threaded comment; however, any edits to it will get removed if the file is opened in a newer version of Excel. Learn more: https://go.microsoft.com/fwlink/?linkid=870924
Comment:
    Refer T1 drawings</t>
      </text>
    </comment>
    <comment ref="R847" authorId="66" shapeId="0" xr:uid="{EA217FF3-04AF-40FF-A6F4-80E19D6A3B7E}">
      <text>
        <t>[Threaded comment]
Your version of Excel allows you to read this threaded comment; however, any edits to it will get removed if the file is opened in a newer version of Excel. Learn more: https://go.microsoft.com/fwlink/?linkid=870924
Comment:
    Refer T1 drawings</t>
      </text>
    </comment>
    <comment ref="S944" authorId="67" shapeId="0" xr:uid="{D453D539-C672-41B3-8691-8BBF5B576B46}">
      <text>
        <t>[Threaded comment]
Your version of Excel allows you to read this threaded comment; however, any edits to it will get removed if the file is opened in a newer version of Excel. Learn more: https://go.microsoft.com/fwlink/?linkid=870924
Comment:
    510</t>
      </text>
    </comment>
    <comment ref="S947" authorId="68" shapeId="0" xr:uid="{C88A3977-1E6B-492E-9E86-A99AD3AFE2C9}">
      <text>
        <t>[Threaded comment]
Your version of Excel allows you to read this threaded comment; however, any edits to it will get removed if the file is opened in a newer version of Excel. Learn more: https://go.microsoft.com/fwlink/?linkid=870924
Comment:
    510</t>
      </text>
    </comment>
    <comment ref="S948" authorId="69" shapeId="0" xr:uid="{F65D5BD9-06AA-47DF-9901-D2AE6EF148E5}">
      <text>
        <t>[Threaded comment]
Your version of Excel allows you to read this threaded comment; however, any edits to it will get removed if the file is opened in a newer version of Excel. Learn more: https://go.microsoft.com/fwlink/?linkid=870924
Comment:
    510</t>
      </text>
    </comment>
    <comment ref="S953" authorId="70" shapeId="0" xr:uid="{381817D9-4E08-43B5-ACCB-5C10F3180D7D}">
      <text>
        <t>[Threaded comment]
Your version of Excel allows you to read this threaded comment; however, any edits to it will get removed if the file is opened in a newer version of Excel. Learn more: https://go.microsoft.com/fwlink/?linkid=870924
Comment:
    510</t>
      </text>
    </comment>
    <comment ref="S954" authorId="71" shapeId="0" xr:uid="{B6E862FB-DD4A-4A8D-AEDB-17A19489022D}">
      <text>
        <t>[Threaded comment]
Your version of Excel allows you to read this threaded comment; however, any edits to it will get removed if the file is opened in a newer version of Excel. Learn more: https://go.microsoft.com/fwlink/?linkid=870924
Comment:
    510</t>
      </text>
    </comment>
    <comment ref="S955" authorId="72" shapeId="0" xr:uid="{FA1928BA-6EE3-4041-908C-D8389B69EB4C}">
      <text>
        <t>[Threaded comment]
Your version of Excel allows you to read this threaded comment; however, any edits to it will get removed if the file is opened in a newer version of Excel. Learn more: https://go.microsoft.com/fwlink/?linkid=870924
Comment:
    510</t>
      </text>
    </comment>
    <comment ref="S958" authorId="73" shapeId="0" xr:uid="{FAA1522F-1FBF-4803-A3F1-AC58190ED154}">
      <text>
        <t>[Threaded comment]
Your version of Excel allows you to read this threaded comment; however, any edits to it will get removed if the file is opened in a newer version of Excel. Learn more: https://go.microsoft.com/fwlink/?linkid=870924
Comment:
    510</t>
      </text>
    </comment>
    <comment ref="S959" authorId="74" shapeId="0" xr:uid="{1A1D4EE9-1D22-4846-B755-5D5A63DC157B}">
      <text>
        <t>[Threaded comment]
Your version of Excel allows you to read this threaded comment; however, any edits to it will get removed if the file is opened in a newer version of Excel. Learn more: https://go.microsoft.com/fwlink/?linkid=870924
Comment:
    510</t>
      </text>
    </comment>
    <comment ref="R1081" authorId="75" shapeId="0" xr:uid="{55DBE332-C873-4E09-95D4-CF009CBD48D2}">
      <text>
        <t>[Threaded comment]
Your version of Excel allows you to read this threaded comment; however, any edits to it will get removed if the file is opened in a newer version of Excel. Learn more: https://go.microsoft.com/fwlink/?linkid=870924
Comment:
    298</t>
      </text>
    </comment>
    <comment ref="S1870" authorId="76" shapeId="0" xr:uid="{A1A215A9-1DA2-4E61-B416-9765A1B5FEDA}">
      <text>
        <t>[Threaded comment]
Your version of Excel allows you to read this threaded comment; however, any edits to it will get removed if the file is opened in a newer version of Excel. Learn more: https://go.microsoft.com/fwlink/?linkid=870924
Comment:
    510</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tc={538C18C4-9F7C-47A1-9EAB-6C9C8D38F7B4}</author>
    <author>tc={04F9AFFC-8270-4EB2-B3CF-580BDBD40BCA}</author>
    <author>tc={FBAEC1E8-18DA-44FE-AD9F-452647BFE21A}</author>
    <author>tc={0DF4D4E8-4D3E-4455-9229-0F7393138231}</author>
    <author>tc={05C01F8D-9920-4F4E-A466-D966BB5956B0}</author>
    <author>tc={9628983A-800F-4C5F-8179-76C14C166964}</author>
    <author>tc={977ED3ED-7F80-49CC-90AC-D1DF431D96DC}</author>
    <author>tc={9DAE8677-354F-4D93-9DDB-6C93B1D7F918}</author>
  </authors>
  <commentList>
    <comment ref="S176" authorId="0" shapeId="0" xr:uid="{538C18C4-9F7C-47A1-9EAB-6C9C8D38F7B4}">
      <text>
        <t>[Threaded comment]
Your version of Excel allows you to read this threaded comment; however, any edits to it will get removed if the file is opened in a newer version of Excel. Learn more: https://go.microsoft.com/fwlink/?linkid=870924
Comment:
    T301</t>
      </text>
    </comment>
    <comment ref="T386" authorId="1" shapeId="0" xr:uid="{04F9AFFC-8270-4EB2-B3CF-580BDBD40BCA}">
      <text>
        <t xml:space="preserve">[Threaded comment]
Your version of Excel allows you to read this threaded comment; however, any edits to it will get removed if the file is opened in a newer version of Excel. Learn more: https://go.microsoft.com/fwlink/?linkid=870924
Comment:
    357
</t>
      </text>
    </comment>
    <comment ref="T387" authorId="2" shapeId="0" xr:uid="{FBAEC1E8-18DA-44FE-AD9F-452647BFE21A}">
      <text>
        <t xml:space="preserve">[Threaded comment]
Your version of Excel allows you to read this threaded comment; however, any edits to it will get removed if the file is opened in a newer version of Excel. Learn more: https://go.microsoft.com/fwlink/?linkid=870924
Comment:
    357
</t>
      </text>
    </comment>
    <comment ref="T388" authorId="3" shapeId="0" xr:uid="{0DF4D4E8-4D3E-4455-9229-0F7393138231}">
      <text>
        <t xml:space="preserve">[Threaded comment]
Your version of Excel allows you to read this threaded comment; however, any edits to it will get removed if the file is opened in a newer version of Excel. Learn more: https://go.microsoft.com/fwlink/?linkid=870924
Comment:
    357
</t>
      </text>
    </comment>
    <comment ref="T389" authorId="4" shapeId="0" xr:uid="{05C01F8D-9920-4F4E-A466-D966BB5956B0}">
      <text>
        <t>[Threaded comment]
Your version of Excel allows you to read this threaded comment; however, any edits to it will get removed if the file is opened in a newer version of Excel. Learn more: https://go.microsoft.com/fwlink/?linkid=870924
Comment:
    336</t>
      </text>
    </comment>
    <comment ref="T390" authorId="5" shapeId="0" xr:uid="{9628983A-800F-4C5F-8179-76C14C166964}">
      <text>
        <t>[Threaded comment]
Your version of Excel allows you to read this threaded comment; however, any edits to it will get removed if the file is opened in a newer version of Excel. Learn more: https://go.microsoft.com/fwlink/?linkid=870924
Comment:
    336</t>
      </text>
    </comment>
    <comment ref="T391" authorId="6" shapeId="0" xr:uid="{977ED3ED-7F80-49CC-90AC-D1DF431D96DC}">
      <text>
        <t>[Threaded comment]
Your version of Excel allows you to read this threaded comment; however, any edits to it will get removed if the file is opened in a newer version of Excel. Learn more: https://go.microsoft.com/fwlink/?linkid=870924
Comment:
    336</t>
      </text>
    </comment>
    <comment ref="T392" authorId="7" shapeId="0" xr:uid="{9DAE8677-354F-4D93-9DDB-6C93B1D7F918}">
      <text>
        <t>[Threaded comment]
Your version of Excel allows you to read this threaded comment; however, any edits to it will get removed if the file is opened in a newer version of Excel. Learn more: https://go.microsoft.com/fwlink/?linkid=870924
Comment:
    336</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tc={EB250EB5-A4F1-4995-9C3A-56945A38537C}</author>
    <author>tc={D05270F0-EA68-47F8-8BBA-5F5CA31CD81E}</author>
    <author>tc={648CBEFD-E66E-4CBE-9F2F-44DFEE6F65FD}</author>
  </authors>
  <commentList>
    <comment ref="S21" authorId="0" shapeId="0" xr:uid="{EB250EB5-A4F1-4995-9C3A-56945A38537C}">
      <text>
        <t>[Threaded comment]
Your version of Excel allows you to read this threaded comment; however, any edits to it will get removed if the file is opened in a newer version of Excel. Learn more: https://go.microsoft.com/fwlink/?linkid=870924
Comment:
    Tr 24</t>
      </text>
    </comment>
    <comment ref="S39" authorId="1" shapeId="0" xr:uid="{D05270F0-EA68-47F8-8BBA-5F5CA31CD81E}">
      <text>
        <t>[Threaded comment]
Your version of Excel allows you to read this threaded comment; however, any edits to it will get removed if the file is opened in a newer version of Excel. Learn more: https://go.microsoft.com/fwlink/?linkid=870924
Comment:
    T-26</t>
      </text>
    </comment>
    <comment ref="R66" authorId="2" shapeId="0" xr:uid="{648CBEFD-E66E-4CBE-9F2F-44DFEE6F65FD}">
      <text>
        <t>[Threaded comment]
Your version of Excel allows you to read this threaded comment; however, any edits to it will get removed if the file is opened in a newer version of Excel. Learn more: https://go.microsoft.com/fwlink/?linkid=870924
Comment:
    T-21</t>
      </text>
    </comment>
  </commentList>
</comments>
</file>

<file path=xl/sharedStrings.xml><?xml version="1.0" encoding="utf-8"?>
<sst xmlns="http://schemas.openxmlformats.org/spreadsheetml/2006/main" count="67807" uniqueCount="2757">
  <si>
    <r>
      <rPr>
        <sz val="14"/>
        <color theme="0"/>
        <rFont val="Meta-Normal"/>
        <family val="3"/>
      </rPr>
      <t>0059</t>
    </r>
    <r>
      <rPr>
        <sz val="14"/>
        <color theme="0"/>
        <rFont val="Impact"/>
        <family val="2"/>
      </rPr>
      <t xml:space="preserve"> | Pursuit of a Radical Rhapsody | Residential</t>
    </r>
  </si>
  <si>
    <t>Total Packages</t>
  </si>
  <si>
    <t>Packages Till Date</t>
  </si>
  <si>
    <t>Packages Till Dec 23</t>
  </si>
  <si>
    <t>Balance</t>
  </si>
  <si>
    <t>AR</t>
  </si>
  <si>
    <t>Planned Packages CY 24</t>
  </si>
  <si>
    <t>Q1</t>
  </si>
  <si>
    <t>Q2</t>
  </si>
  <si>
    <t>Q3</t>
  </si>
  <si>
    <t>Q4</t>
  </si>
  <si>
    <t>Actual Packages CY 24</t>
  </si>
  <si>
    <t>ST</t>
  </si>
  <si>
    <t>Released Till date</t>
  </si>
  <si>
    <t>Packages till Dec'23</t>
  </si>
  <si>
    <t>Planned Packages in CY 24</t>
  </si>
  <si>
    <t>Actual Packages in CY 24</t>
  </si>
  <si>
    <t>MEP</t>
  </si>
  <si>
    <t>Released Till Date</t>
  </si>
  <si>
    <t>LS</t>
  </si>
  <si>
    <t>DESIGN CONCEPTS</t>
  </si>
  <si>
    <t>Contract + Design Brief</t>
  </si>
  <si>
    <t>Vision Statement</t>
  </si>
  <si>
    <t xml:space="preserve">Land - Topographical Survey with information as per defined standard, </t>
  </si>
  <si>
    <t>Zoning &amp; Development Regulations</t>
  </si>
  <si>
    <t>Design Brief</t>
  </si>
  <si>
    <t>Schematic Concept</t>
  </si>
  <si>
    <t>Master Plan</t>
  </si>
  <si>
    <t>Blocks and Products</t>
  </si>
  <si>
    <t>Amenities &amp; Facilities</t>
  </si>
  <si>
    <t>Design Basis</t>
  </si>
  <si>
    <t>Pre Construction Set</t>
  </si>
  <si>
    <t>Blocks</t>
  </si>
  <si>
    <t>Products</t>
  </si>
  <si>
    <t>Approvals</t>
  </si>
  <si>
    <t>Development Plan</t>
  </si>
  <si>
    <t>Building Plan</t>
  </si>
  <si>
    <t>Fire Safety</t>
  </si>
  <si>
    <t>Environment</t>
  </si>
  <si>
    <t>Water Supply and Sewerage</t>
  </si>
  <si>
    <t>Power Supply</t>
  </si>
  <si>
    <t>Airport Authority</t>
  </si>
  <si>
    <t>Marketing and Sales</t>
  </si>
  <si>
    <t>Masterplan</t>
  </si>
  <si>
    <t>Specifications</t>
  </si>
  <si>
    <t>Clubhouse Design with list of Amenities</t>
  </si>
  <si>
    <t>Renders, Walk-through and Scaled model</t>
  </si>
  <si>
    <t>Project Entrance and Boundary wall</t>
  </si>
  <si>
    <t>Sales Centre and Experience Homes [Construction Docs]</t>
  </si>
  <si>
    <t>CONSTRUCTION DOCUMENTS</t>
  </si>
  <si>
    <r>
      <t>GFC | Tower—</t>
    </r>
    <r>
      <rPr>
        <b/>
        <sz val="10"/>
        <color theme="1"/>
        <rFont val="Helvetica"/>
        <family val="2"/>
      </rPr>
      <t>01</t>
    </r>
  </si>
  <si>
    <t>T01-01</t>
  </si>
  <si>
    <t>Foundation and Grade Slab</t>
  </si>
  <si>
    <t>T01-02</t>
  </si>
  <si>
    <t>Parking Level-Sub grade</t>
  </si>
  <si>
    <t>T01-03</t>
  </si>
  <si>
    <t>Building Envelope and Common Areas [Basement]</t>
  </si>
  <si>
    <t>T01-04</t>
  </si>
  <si>
    <t>Habitable Level 01</t>
  </si>
  <si>
    <t>T01-05</t>
  </si>
  <si>
    <t>Habitable Level - Even</t>
  </si>
  <si>
    <t>T01-06</t>
  </si>
  <si>
    <t>Habitable Level - Odd</t>
  </si>
  <si>
    <t>T01-07</t>
  </si>
  <si>
    <t>Building Envelope and Common Areas [Typical Tower Levels]</t>
  </si>
  <si>
    <t>`</t>
  </si>
  <si>
    <t>T01-08</t>
  </si>
  <si>
    <t>Penthouse Levels</t>
  </si>
  <si>
    <t>T01-09</t>
  </si>
  <si>
    <t>Terrace Level</t>
  </si>
  <si>
    <t>T01-10</t>
  </si>
  <si>
    <t>Building Envelope and Common Areas [Penthouse Levels And Terrace Level]</t>
  </si>
  <si>
    <r>
      <t>GFC | Tower—</t>
    </r>
    <r>
      <rPr>
        <b/>
        <sz val="10"/>
        <color theme="1"/>
        <rFont val="Helvetica"/>
        <family val="2"/>
      </rPr>
      <t>2V</t>
    </r>
  </si>
  <si>
    <t>T2V-01</t>
  </si>
  <si>
    <t>T2V-02</t>
  </si>
  <si>
    <t>T2V-03</t>
  </si>
  <si>
    <t>T2V-04</t>
  </si>
  <si>
    <t>T2V-05</t>
  </si>
  <si>
    <t>T2V-06</t>
  </si>
  <si>
    <t>T2V-07</t>
  </si>
  <si>
    <t>T2V-08</t>
  </si>
  <si>
    <t>T2V-09</t>
  </si>
  <si>
    <t>T2V-10</t>
  </si>
  <si>
    <r>
      <t>GFC | Tower—</t>
    </r>
    <r>
      <rPr>
        <b/>
        <sz val="10"/>
        <color theme="1"/>
        <rFont val="Helvetica"/>
        <family val="2"/>
      </rPr>
      <t>2S</t>
    </r>
  </si>
  <si>
    <t>T2S-01</t>
  </si>
  <si>
    <t>T2S-02</t>
  </si>
  <si>
    <t>T2S-03</t>
  </si>
  <si>
    <t>T2S-04</t>
  </si>
  <si>
    <t>Habitable Level 01 - 02</t>
  </si>
  <si>
    <t>T2S-05</t>
  </si>
  <si>
    <t>Habitable Level - 03 - 06</t>
  </si>
  <si>
    <t>T2S-06</t>
  </si>
  <si>
    <t>T2S-07</t>
  </si>
  <si>
    <t>T2S-08</t>
  </si>
  <si>
    <t>T2S-09</t>
  </si>
  <si>
    <r>
      <t>GFC | Tower—</t>
    </r>
    <r>
      <rPr>
        <b/>
        <sz val="10"/>
        <color theme="1"/>
        <rFont val="Helvetica"/>
        <family val="2"/>
      </rPr>
      <t>3V-5V</t>
    </r>
  </si>
  <si>
    <t>TXV-01</t>
  </si>
  <si>
    <t>TXV-02</t>
  </si>
  <si>
    <t>TXV-03</t>
  </si>
  <si>
    <t>TXV-04</t>
  </si>
  <si>
    <t>TXV-05</t>
  </si>
  <si>
    <t>TXV-06</t>
  </si>
  <si>
    <t>TXV-07</t>
  </si>
  <si>
    <t>TXV-08</t>
  </si>
  <si>
    <t>TXV-09</t>
  </si>
  <si>
    <t>TXV-10</t>
  </si>
  <si>
    <r>
      <t>GFC | Tower—</t>
    </r>
    <r>
      <rPr>
        <b/>
        <sz val="10"/>
        <color theme="1"/>
        <rFont val="Helvetica"/>
        <family val="2"/>
      </rPr>
      <t>3S</t>
    </r>
    <r>
      <rPr>
        <sz val="10"/>
        <color theme="1"/>
        <rFont val="Helvetica"/>
        <family val="2"/>
      </rPr>
      <t>-</t>
    </r>
    <r>
      <rPr>
        <b/>
        <sz val="10"/>
        <color theme="1"/>
        <rFont val="Helvetica"/>
        <family val="2"/>
      </rPr>
      <t>5S</t>
    </r>
  </si>
  <si>
    <t>TXS-01</t>
  </si>
  <si>
    <t>TXS-02</t>
  </si>
  <si>
    <t>TXS-03</t>
  </si>
  <si>
    <t>TXS-04</t>
  </si>
  <si>
    <t>TXS-05</t>
  </si>
  <si>
    <t>TXS-06</t>
  </si>
  <si>
    <t>TXS-07</t>
  </si>
  <si>
    <t>TXS-08</t>
  </si>
  <si>
    <t>TXS-09</t>
  </si>
  <si>
    <r>
      <t>GFC | Tower—</t>
    </r>
    <r>
      <rPr>
        <b/>
        <sz val="10"/>
        <color theme="1"/>
        <rFont val="Helvetica"/>
        <family val="2"/>
      </rPr>
      <t>6V</t>
    </r>
  </si>
  <si>
    <t>T6V-01</t>
  </si>
  <si>
    <t>T6V-02</t>
  </si>
  <si>
    <t>T6V-03</t>
  </si>
  <si>
    <t>T6V-04</t>
  </si>
  <si>
    <t>T6V-05</t>
  </si>
  <si>
    <t>T6V-06</t>
  </si>
  <si>
    <t>T6V-07</t>
  </si>
  <si>
    <t>T6V-08</t>
  </si>
  <si>
    <t>T6V-09</t>
  </si>
  <si>
    <t>T6V-10</t>
  </si>
  <si>
    <r>
      <t>GFC | Tower—</t>
    </r>
    <r>
      <rPr>
        <b/>
        <sz val="10"/>
        <color theme="1"/>
        <rFont val="Helvetica"/>
        <family val="2"/>
      </rPr>
      <t>6S</t>
    </r>
  </si>
  <si>
    <t>T6S-01</t>
  </si>
  <si>
    <t>T6S-02</t>
  </si>
  <si>
    <t>T6S-03</t>
  </si>
  <si>
    <t>T6S-04</t>
  </si>
  <si>
    <t>T6S-05</t>
  </si>
  <si>
    <t>T6S-06</t>
  </si>
  <si>
    <t>T6S-07</t>
  </si>
  <si>
    <t>T6S-08</t>
  </si>
  <si>
    <t>T6S-09</t>
  </si>
  <si>
    <r>
      <t>GFC | Tower—</t>
    </r>
    <r>
      <rPr>
        <b/>
        <sz val="10"/>
        <color theme="1"/>
        <rFont val="Helvetica"/>
        <family val="2"/>
      </rPr>
      <t>07</t>
    </r>
  </si>
  <si>
    <t>T07-01</t>
  </si>
  <si>
    <t>T07-02</t>
  </si>
  <si>
    <t>T07-03</t>
  </si>
  <si>
    <t>T07-04</t>
  </si>
  <si>
    <t>T07-05</t>
  </si>
  <si>
    <t>T07-06</t>
  </si>
  <si>
    <t>T07-07</t>
  </si>
  <si>
    <t>T07-08</t>
  </si>
  <si>
    <t>T07-09</t>
  </si>
  <si>
    <t>T07-10</t>
  </si>
  <si>
    <r>
      <t xml:space="preserve">GFC | Independent Subgrade Structure [Tower </t>
    </r>
    <r>
      <rPr>
        <b/>
        <sz val="10"/>
        <color theme="1"/>
        <rFont val="Helvetica"/>
        <family val="2"/>
      </rPr>
      <t>1-7</t>
    </r>
    <r>
      <rPr>
        <sz val="10"/>
        <color theme="1"/>
        <rFont val="Helvetica"/>
        <family val="2"/>
      </rPr>
      <t>]</t>
    </r>
  </si>
  <si>
    <t>SS0-01</t>
  </si>
  <si>
    <t>Earthwork</t>
  </si>
  <si>
    <t>SS0-02</t>
  </si>
  <si>
    <t>Foundations &amp; Grade Slab</t>
  </si>
  <si>
    <t>SS0-03</t>
  </si>
  <si>
    <t>Podium Slab</t>
  </si>
  <si>
    <t>SS0-04</t>
  </si>
  <si>
    <t>Building Envelope and Common Areas</t>
  </si>
  <si>
    <r>
      <t xml:space="preserve">GFC | Independent Subgrade Structure—Block </t>
    </r>
    <r>
      <rPr>
        <b/>
        <sz val="10"/>
        <color theme="1"/>
        <rFont val="Helvetica"/>
        <family val="2"/>
      </rPr>
      <t>01</t>
    </r>
  </si>
  <si>
    <t>SS1-01</t>
  </si>
  <si>
    <t>SS1-02</t>
  </si>
  <si>
    <r>
      <t xml:space="preserve">GFC | Independent Subgrade Structure—Block </t>
    </r>
    <r>
      <rPr>
        <b/>
        <sz val="10"/>
        <color theme="1"/>
        <rFont val="Helvetica"/>
        <family val="2"/>
      </rPr>
      <t>02</t>
    </r>
  </si>
  <si>
    <r>
      <t xml:space="preserve">GFC | Independent Subgrade Structure—Block </t>
    </r>
    <r>
      <rPr>
        <b/>
        <sz val="10"/>
        <color theme="1"/>
        <rFont val="Helvetica"/>
        <family val="2"/>
      </rPr>
      <t>03</t>
    </r>
  </si>
  <si>
    <r>
      <t xml:space="preserve">GFC | Independent Subgrade Structure—Block </t>
    </r>
    <r>
      <rPr>
        <b/>
        <sz val="10"/>
        <color theme="1"/>
        <rFont val="Helvetica"/>
        <family val="2"/>
      </rPr>
      <t>04</t>
    </r>
  </si>
  <si>
    <t>SS4-02</t>
  </si>
  <si>
    <t>SS4-04</t>
  </si>
  <si>
    <r>
      <t xml:space="preserve">GFC | Independent Subgrade Structure—Block </t>
    </r>
    <r>
      <rPr>
        <b/>
        <sz val="10"/>
        <color theme="1"/>
        <rFont val="Helvetica"/>
        <family val="2"/>
      </rPr>
      <t>05</t>
    </r>
  </si>
  <si>
    <r>
      <t xml:space="preserve">GFC | Independent Subgrade Structure—Block </t>
    </r>
    <r>
      <rPr>
        <b/>
        <sz val="10"/>
        <color theme="1"/>
        <rFont val="Helvetica"/>
        <family val="2"/>
      </rPr>
      <t>06</t>
    </r>
  </si>
  <si>
    <r>
      <t xml:space="preserve">GFC | Independent Subgrade Structure—Block </t>
    </r>
    <r>
      <rPr>
        <b/>
        <sz val="10"/>
        <color theme="1"/>
        <rFont val="Helvetica"/>
        <family val="2"/>
      </rPr>
      <t>07</t>
    </r>
  </si>
  <si>
    <r>
      <t xml:space="preserve">GFC | Independent Subgrade Structure—Block </t>
    </r>
    <r>
      <rPr>
        <b/>
        <sz val="10"/>
        <color theme="1"/>
        <rFont val="Helvetica"/>
        <family val="2"/>
      </rPr>
      <t>08</t>
    </r>
  </si>
  <si>
    <r>
      <t xml:space="preserve">GFC | Independent Subgrade Structure—Block </t>
    </r>
    <r>
      <rPr>
        <b/>
        <sz val="10"/>
        <color theme="1"/>
        <rFont val="Helvetica"/>
        <family val="2"/>
      </rPr>
      <t>09</t>
    </r>
  </si>
  <si>
    <t>SS9-02</t>
  </si>
  <si>
    <t>SS9-04</t>
  </si>
  <si>
    <r>
      <t xml:space="preserve">GFC | Independent Subgrade Structure—Block </t>
    </r>
    <r>
      <rPr>
        <b/>
        <sz val="10"/>
        <color theme="1"/>
        <rFont val="Helvetica"/>
        <family val="2"/>
      </rPr>
      <t>10</t>
    </r>
  </si>
  <si>
    <r>
      <t xml:space="preserve">GFC | Independent Subgrade Structure—Block </t>
    </r>
    <r>
      <rPr>
        <b/>
        <sz val="10"/>
        <color theme="1"/>
        <rFont val="Helvetica"/>
        <family val="2"/>
      </rPr>
      <t>11</t>
    </r>
  </si>
  <si>
    <r>
      <t xml:space="preserve">GFC | Independent Subgrade Structure—Block </t>
    </r>
    <r>
      <rPr>
        <b/>
        <sz val="10"/>
        <color theme="1"/>
        <rFont val="Helvetica"/>
        <family val="2"/>
      </rPr>
      <t>12</t>
    </r>
    <r>
      <rPr>
        <sz val="10"/>
        <color theme="1"/>
        <rFont val="Helvetica"/>
        <family val="2"/>
      </rPr>
      <t xml:space="preserve"> [6V EXT BSMNT]</t>
    </r>
  </si>
  <si>
    <r>
      <t xml:space="preserve">GFC | Villas—Cluster </t>
    </r>
    <r>
      <rPr>
        <b/>
        <sz val="10"/>
        <color theme="1"/>
        <rFont val="Helvetica"/>
        <family val="2"/>
      </rPr>
      <t>1 &amp; 2</t>
    </r>
  </si>
  <si>
    <t>VC1-01</t>
  </si>
  <si>
    <t>Foundations and Sub-Grade</t>
  </si>
  <si>
    <t>VC1-02</t>
  </si>
  <si>
    <t>All Levels</t>
  </si>
  <si>
    <t>VC1-03</t>
  </si>
  <si>
    <r>
      <t xml:space="preserve">GFC | Villas—Cluster </t>
    </r>
    <r>
      <rPr>
        <b/>
        <sz val="10"/>
        <color theme="1"/>
        <rFont val="Helvetica"/>
        <family val="2"/>
      </rPr>
      <t>3</t>
    </r>
  </si>
  <si>
    <t>VC3-01</t>
  </si>
  <si>
    <t>VC3-02</t>
  </si>
  <si>
    <t>VC3-03</t>
  </si>
  <si>
    <t>GFC | Individual Homes</t>
  </si>
  <si>
    <t>C20-01</t>
  </si>
  <si>
    <t>C20 Default and it's variants</t>
  </si>
  <si>
    <t>L30-01</t>
  </si>
  <si>
    <t>L30 Default and it's variants</t>
  </si>
  <si>
    <t>L45-01</t>
  </si>
  <si>
    <t>L45 Default and it's variants</t>
  </si>
  <si>
    <t>V50-01</t>
  </si>
  <si>
    <t>V50 Default and it's variants</t>
  </si>
  <si>
    <t>V40-01</t>
  </si>
  <si>
    <t>V40 Default and it's variants</t>
  </si>
  <si>
    <t>R11 Default and it's variants</t>
  </si>
  <si>
    <t>R22 Default and it's variants</t>
  </si>
  <si>
    <t>C20P Default and it's variants</t>
  </si>
  <si>
    <t>L30P Default and it's variants</t>
  </si>
  <si>
    <t>L45P Default and it's variants</t>
  </si>
  <si>
    <t>GFC | Master Plan</t>
  </si>
  <si>
    <t>SDV-01</t>
  </si>
  <si>
    <t>SDV-02</t>
  </si>
  <si>
    <t>Site Development</t>
  </si>
  <si>
    <t>SDV-03</t>
  </si>
  <si>
    <t>Site MEP</t>
  </si>
  <si>
    <t>SDV-04</t>
  </si>
  <si>
    <t>Landscaping</t>
  </si>
  <si>
    <t>GFC | Amenities &amp; Facilities</t>
  </si>
  <si>
    <t>AMN-01</t>
  </si>
  <si>
    <t>Clubhouse—Structure and Envelope</t>
  </si>
  <si>
    <t>AMN-02</t>
  </si>
  <si>
    <t>Clubhouse—Interiors and Facilities</t>
  </si>
  <si>
    <t>AMN-03</t>
  </si>
  <si>
    <t>Clubhouse—Outdoor Spaces and Pool</t>
  </si>
  <si>
    <t>AMN-04</t>
  </si>
  <si>
    <t>Community spaces [Board Walk, Children play area]</t>
  </si>
  <si>
    <t>AMN-05</t>
  </si>
  <si>
    <t>Sporting Facilities</t>
  </si>
  <si>
    <t>POST-CONSTRUCTION</t>
  </si>
  <si>
    <t>Archives</t>
  </si>
  <si>
    <t xml:space="preserve">Complete set of "As-Built" drawings, final BoQ and project costs, </t>
  </si>
  <si>
    <t>MAJOR REWORKS</t>
  </si>
  <si>
    <t>GFC | Tower—3V-5V</t>
  </si>
  <si>
    <r>
      <rPr>
        <sz val="18"/>
        <color theme="0"/>
        <rFont val="Meta-Normal"/>
        <family val="3"/>
      </rPr>
      <t>0059</t>
    </r>
    <r>
      <rPr>
        <sz val="18"/>
        <color theme="0"/>
        <rFont val="Impact"/>
        <family val="2"/>
      </rPr>
      <t xml:space="preserve"> | Pursuit of a Radical Rhapsody</t>
    </r>
  </si>
  <si>
    <t>Total</t>
  </si>
  <si>
    <t>Billed Till Date</t>
  </si>
  <si>
    <t>Planned Billing CY 24</t>
  </si>
  <si>
    <t>Actual Billing CY 24</t>
  </si>
  <si>
    <t>Fee</t>
  </si>
  <si>
    <t>Billing YTD</t>
  </si>
  <si>
    <t>Billing till Dec'23</t>
  </si>
  <si>
    <t>Completed till Dec'23</t>
  </si>
  <si>
    <t>Plan in 
CY : 24</t>
  </si>
  <si>
    <t>Actual in CY : 24</t>
  </si>
  <si>
    <t>Issued till Dec'23</t>
  </si>
  <si>
    <t>Plan in CY - 23</t>
  </si>
  <si>
    <t>Actual in CY - 23</t>
  </si>
  <si>
    <t>Planned Billing in CY 24</t>
  </si>
  <si>
    <t>Actual Billing in CY 24</t>
  </si>
  <si>
    <t>Actual in 
CY : 24</t>
  </si>
  <si>
    <t>Plan in CY 24</t>
  </si>
  <si>
    <t>Actual in CY 24</t>
  </si>
  <si>
    <t>Planned Billing</t>
  </si>
  <si>
    <t>Actual Billing</t>
  </si>
  <si>
    <t>YTD</t>
  </si>
  <si>
    <t>Issued till Mar'23</t>
  </si>
  <si>
    <t>Design Packages</t>
  </si>
  <si>
    <t>Design Fees</t>
  </si>
  <si>
    <t>Habitable Level - 03 - 05</t>
  </si>
  <si>
    <t>R11-01</t>
  </si>
  <si>
    <t>R22-01</t>
  </si>
  <si>
    <t>C20P-01</t>
  </si>
  <si>
    <t>L30P-01</t>
  </si>
  <si>
    <t>L45P-01</t>
  </si>
  <si>
    <t>0059 | Pursuit of a Radical Rhapsody</t>
  </si>
  <si>
    <t>Location</t>
  </si>
  <si>
    <t>Batch Code</t>
  </si>
  <si>
    <t>Batch</t>
  </si>
  <si>
    <t>Issue Status</t>
  </si>
  <si>
    <t>Plan in 
Y 24</t>
  </si>
  <si>
    <t>Issued in 
Y:24</t>
  </si>
  <si>
    <t>AR | DRAWING LIST</t>
  </si>
  <si>
    <t>Till Dec'23</t>
  </si>
  <si>
    <t>Revision</t>
  </si>
  <si>
    <t>Independent Subgrade Structure [Tower 1-7]</t>
  </si>
  <si>
    <t>GENERAL</t>
  </si>
  <si>
    <t>A</t>
  </si>
  <si>
    <t>BA1</t>
  </si>
  <si>
    <t>0000</t>
  </si>
  <si>
    <t>Cover Sheet</t>
  </si>
  <si>
    <t>SS0</t>
  </si>
  <si>
    <t>0001</t>
  </si>
  <si>
    <t>Abbreviations and Symbols</t>
  </si>
  <si>
    <t>0002</t>
  </si>
  <si>
    <t>GA - Key Plan</t>
  </si>
  <si>
    <t/>
  </si>
  <si>
    <t>BASEMENT DRAWINGS</t>
  </si>
  <si>
    <t>1001</t>
  </si>
  <si>
    <t>Overall Basement GA Plan &amp; Sections</t>
  </si>
  <si>
    <t xml:space="preserve"> </t>
  </si>
  <si>
    <t>ELECTRICAL PLANS</t>
  </si>
  <si>
    <t>1401</t>
  </si>
  <si>
    <t xml:space="preserve">T1-T2 Basement  Electrical Layout </t>
  </si>
  <si>
    <t>STP01</t>
  </si>
  <si>
    <t>ELCETRICAL PLAN</t>
  </si>
  <si>
    <t>UGT01</t>
  </si>
  <si>
    <t>1431</t>
  </si>
  <si>
    <t>Electrical – SSL 01 - Podium</t>
  </si>
  <si>
    <t>REFLECTED CEILING PLANS</t>
  </si>
  <si>
    <t>1501</t>
  </si>
  <si>
    <t xml:space="preserve">RCP - Grade Slab - Basement </t>
  </si>
  <si>
    <t>NA</t>
  </si>
  <si>
    <t>1531</t>
  </si>
  <si>
    <t>RCP – SSL 01 - Stilt</t>
  </si>
  <si>
    <t>DRAINAGE PLANS - 16XX</t>
  </si>
  <si>
    <t>1601</t>
  </si>
  <si>
    <t xml:space="preserve">Drainage Plan – Grade Slab </t>
  </si>
  <si>
    <t>Drainage Plan - SSL 01 - Stilt</t>
  </si>
  <si>
    <t>PART PLANS - 41XX</t>
  </si>
  <si>
    <t>4101</t>
  </si>
  <si>
    <t>Drivers &amp; Maids Lounge</t>
  </si>
  <si>
    <t>4102</t>
  </si>
  <si>
    <t>Garbage Rooms</t>
  </si>
  <si>
    <t>4103</t>
  </si>
  <si>
    <t>Communication Rooms</t>
  </si>
  <si>
    <t>4104</t>
  </si>
  <si>
    <t>IBMS Room</t>
  </si>
  <si>
    <t>4105</t>
  </si>
  <si>
    <t>UGT 1 Details</t>
  </si>
  <si>
    <t>4106</t>
  </si>
  <si>
    <t>STP 1 Details</t>
  </si>
  <si>
    <t>4107</t>
  </si>
  <si>
    <t>UGT 2 Details</t>
  </si>
  <si>
    <t>4108</t>
  </si>
  <si>
    <t>STP 2 Details</t>
  </si>
  <si>
    <t>4109</t>
  </si>
  <si>
    <t>UGT 3 Details</t>
  </si>
  <si>
    <t>PART SECTION - 43XX</t>
  </si>
  <si>
    <t>4301</t>
  </si>
  <si>
    <t>Part Section 1</t>
  </si>
  <si>
    <t>4302</t>
  </si>
  <si>
    <t>Part Section 2</t>
  </si>
  <si>
    <t>4303</t>
  </si>
  <si>
    <t>Part Section 3</t>
  </si>
  <si>
    <t>GENERAL ARRANGEMENT ELEVATIONS - 20XX</t>
  </si>
  <si>
    <t>C01</t>
  </si>
  <si>
    <t>2001</t>
  </si>
  <si>
    <t>General Elevation 1</t>
  </si>
  <si>
    <t>2002</t>
  </si>
  <si>
    <t>General Elevation 2</t>
  </si>
  <si>
    <t>2003</t>
  </si>
  <si>
    <t>General Elevation 3</t>
  </si>
  <si>
    <t>GENERAL ARRANGEMENT SECTIONS - 30XX</t>
  </si>
  <si>
    <t>3001</t>
  </si>
  <si>
    <t>General Section 1</t>
  </si>
  <si>
    <t>3002</t>
  </si>
  <si>
    <t>General Section 2</t>
  </si>
  <si>
    <t>Tower—01</t>
  </si>
  <si>
    <t>GENERAL  - 0000</t>
  </si>
  <si>
    <t>T1</t>
  </si>
  <si>
    <t>T01</t>
  </si>
  <si>
    <t>SETTING OUT PLANS</t>
  </si>
  <si>
    <t>0101</t>
  </si>
  <si>
    <t>Setting Out Plan - Raft</t>
  </si>
  <si>
    <t>0102</t>
  </si>
  <si>
    <t>Lower Basement Setting Out Plan</t>
  </si>
  <si>
    <t>0103</t>
  </si>
  <si>
    <t>Level 1 Setting Out Plan</t>
  </si>
  <si>
    <t>GENERAL ARRANGEMENT PLANS - 10XX</t>
  </si>
  <si>
    <t>T1B</t>
  </si>
  <si>
    <t>1031</t>
  </si>
  <si>
    <t>Grade Slab – Basement Level Plan</t>
  </si>
  <si>
    <t>SSL 01 - Level 1 Plan</t>
  </si>
  <si>
    <t>1002</t>
  </si>
  <si>
    <t>SSL 02 - Typical Even Level Plan</t>
  </si>
  <si>
    <t>1003</t>
  </si>
  <si>
    <t>SSL 03 - Level 3 Plan</t>
  </si>
  <si>
    <t>1004</t>
  </si>
  <si>
    <t>SSL04 - Level 4 Plan</t>
  </si>
  <si>
    <t>1005</t>
  </si>
  <si>
    <t>Typical Odd Level Plan</t>
  </si>
  <si>
    <t>1027</t>
  </si>
  <si>
    <t>SSL 27 - Level 27 Plan - Penthouse Lower Level</t>
  </si>
  <si>
    <t>1028</t>
  </si>
  <si>
    <t xml:space="preserve">SSL 28 - Level 28 Plan - Penthouse/OHT Upper Level </t>
  </si>
  <si>
    <t>1029</t>
  </si>
  <si>
    <t>SSL 29 - Level 29 Plan - Terrace Level</t>
  </si>
  <si>
    <t>1030</t>
  </si>
  <si>
    <t>SSL 30 - Terrace Plan</t>
  </si>
  <si>
    <t>MASONRY PLANS - 11XX</t>
  </si>
  <si>
    <t>1100</t>
  </si>
  <si>
    <t>Masonry Wall Legend</t>
  </si>
  <si>
    <t>1101</t>
  </si>
  <si>
    <t>Masonry Setout Plan – Grade Slab – Basement</t>
  </si>
  <si>
    <t>1102</t>
  </si>
  <si>
    <t>Masonry Sections - Basement Level</t>
  </si>
  <si>
    <t>Masonry Setout Plan – SSL 1 – Level 1</t>
  </si>
  <si>
    <t>Masonry Setout Plan - Typical Even Level</t>
  </si>
  <si>
    <t>1103</t>
  </si>
  <si>
    <t>Masonry Setout Plan - Typical Odd Level</t>
  </si>
  <si>
    <t>1104</t>
  </si>
  <si>
    <t>Masonry Setout Plan – SSL 27 – Level 27 - Penthouse Lower Level</t>
  </si>
  <si>
    <t>1105</t>
  </si>
  <si>
    <t>Masonry Setout Plan – SSL 28 – Level 28 - OHT &amp; Penthouse Upper Level</t>
  </si>
  <si>
    <t>ELECTRICAL PLANS - 14XX</t>
  </si>
  <si>
    <t>1400</t>
  </si>
  <si>
    <t>Tower 1 Electrical Schedule</t>
  </si>
  <si>
    <t>Electrical Layout - Level 1 RCP</t>
  </si>
  <si>
    <t>1402</t>
  </si>
  <si>
    <t>Electrical Layout - Typ. Even Level RCP</t>
  </si>
  <si>
    <t>1403</t>
  </si>
  <si>
    <t>Electrical Layout - Typ. Odd Level RCP</t>
  </si>
  <si>
    <t>1404</t>
  </si>
  <si>
    <t>Electrical Layout - 1031 &amp; 1041 RCP</t>
  </si>
  <si>
    <t>1405</t>
  </si>
  <si>
    <t>Electrical Ceiling Plan – SSL 28 – OHT &amp; Penthouse Upper Level</t>
  </si>
  <si>
    <t>Block Elevations-1</t>
  </si>
  <si>
    <t>Block Elevations-2</t>
  </si>
  <si>
    <t>Block Sections</t>
  </si>
  <si>
    <t>DETAILED INTERIOR PLANS - 40XX</t>
  </si>
  <si>
    <t>4001</t>
  </si>
  <si>
    <t>Plans - Lift Lobby &amp; Service Core – Grade Slab &amp; SSL 1</t>
  </si>
  <si>
    <t>Lift Lobby Details</t>
  </si>
  <si>
    <t>Terrace Level lobby details</t>
  </si>
  <si>
    <t>EXTERNAL BUILDING ENEVELOPE - 44XX</t>
  </si>
  <si>
    <t>4400</t>
  </si>
  <si>
    <t>Key Plan - Wall Sections (External)</t>
  </si>
  <si>
    <t>4401</t>
  </si>
  <si>
    <t>Wall Section-A Shear Wall &amp; Wire-Cut Brick Details (1/3)</t>
  </si>
  <si>
    <t>4402</t>
  </si>
  <si>
    <t>Wall Section-A Shear Wall &amp; Wire-Cut Brick Details (2/3)</t>
  </si>
  <si>
    <t>4403</t>
  </si>
  <si>
    <t>Wall Section-A Shear Wall &amp; Wire-Cut Brick Details (3/3)</t>
  </si>
  <si>
    <t>4411</t>
  </si>
  <si>
    <t>Details Of Pergolas Connecting Blocks 1 and 2</t>
  </si>
  <si>
    <t>STAIRCASE DETAILS - 46XX</t>
  </si>
  <si>
    <t>4601</t>
  </si>
  <si>
    <t>Staircase Details - Type A,B,C,D &amp; E(Typical) - 1/3</t>
  </si>
  <si>
    <t>4602</t>
  </si>
  <si>
    <t>Staircase Details - Type A,B,C,D &amp; E(Typical) - 2/3</t>
  </si>
  <si>
    <t>4603</t>
  </si>
  <si>
    <t>Staircase Details - Type A,B,C,D &amp; E(Typical) - 3/3</t>
  </si>
  <si>
    <t>DOOR AND WINDOW DETAILS - 47XX</t>
  </si>
  <si>
    <t>4701</t>
  </si>
  <si>
    <t>Door Detail - D1</t>
  </si>
  <si>
    <t>4702</t>
  </si>
  <si>
    <t>Door Detail - D2</t>
  </si>
  <si>
    <t>4703</t>
  </si>
  <si>
    <t>Door Detail - D3</t>
  </si>
  <si>
    <t>4704</t>
  </si>
  <si>
    <t>Door Window Detail - Dw1</t>
  </si>
  <si>
    <t>4705</t>
  </si>
  <si>
    <t>Door Window Detail - Dw2</t>
  </si>
  <si>
    <t>4706</t>
  </si>
  <si>
    <t>Window Detail - W2</t>
  </si>
  <si>
    <t>4707</t>
  </si>
  <si>
    <t>Window Detail - W3</t>
  </si>
  <si>
    <t>4708</t>
  </si>
  <si>
    <t>Window Detail - W8</t>
  </si>
  <si>
    <t>4709</t>
  </si>
  <si>
    <t>Window Detail - W2-6N-Th</t>
  </si>
  <si>
    <t>4710</t>
  </si>
  <si>
    <t>Window Detail - W10</t>
  </si>
  <si>
    <t>4711</t>
  </si>
  <si>
    <t>Window Detail - W11</t>
  </si>
  <si>
    <t>4712</t>
  </si>
  <si>
    <t>French Window Detail - Fw1</t>
  </si>
  <si>
    <t>4713</t>
  </si>
  <si>
    <t>French Window Detail - Fw2</t>
  </si>
  <si>
    <t>4714</t>
  </si>
  <si>
    <t>French Window Detail - Fw3/1</t>
  </si>
  <si>
    <t>4715</t>
  </si>
  <si>
    <t>French Window Detail - Fw3/2</t>
  </si>
  <si>
    <t>4716</t>
  </si>
  <si>
    <t>Utility Shaft - Cover</t>
  </si>
  <si>
    <t>4731</t>
  </si>
  <si>
    <t>Common Area Door Drawings</t>
  </si>
  <si>
    <t>4732</t>
  </si>
  <si>
    <t>Service Doors</t>
  </si>
  <si>
    <t>DOOR DETAIL - D11 (</t>
  </si>
  <si>
    <t>TERRACE GARDEN DETAILS - 62XX</t>
  </si>
  <si>
    <t>6201</t>
  </si>
  <si>
    <t>Terrace Garden - Details - 1 Of 3</t>
  </si>
  <si>
    <t>6202</t>
  </si>
  <si>
    <t>Terrace Garden - Details - 2 Of 3</t>
  </si>
  <si>
    <t>6203</t>
  </si>
  <si>
    <t>Terrace Garden - Details - 3 Of 3</t>
  </si>
  <si>
    <t>6204</t>
  </si>
  <si>
    <t>Terrace Garden - Details - Level 1</t>
  </si>
  <si>
    <t>6205</t>
  </si>
  <si>
    <t>Guest Bedroom Balcony Details</t>
  </si>
  <si>
    <t>6206</t>
  </si>
  <si>
    <t>Service Platform Details</t>
  </si>
  <si>
    <t>6207</t>
  </si>
  <si>
    <t>Terrace Garden Shaft Railings</t>
  </si>
  <si>
    <t>TERRACE / SKYWALK DETAILS - 63XX</t>
  </si>
  <si>
    <t>6502</t>
  </si>
  <si>
    <t>Connecting Bridge Details</t>
  </si>
  <si>
    <t>SPECIFICATIONS / SCHEDULES - 7XXX</t>
  </si>
  <si>
    <t>Doors and Windows Schedule</t>
  </si>
  <si>
    <t>Finishes Schedule</t>
  </si>
  <si>
    <t>Plumbing and Sanitary Schedule</t>
  </si>
  <si>
    <t>Switchboard Schedule</t>
  </si>
  <si>
    <t>Luminaire Schedule</t>
  </si>
  <si>
    <t>Tower—2V</t>
  </si>
  <si>
    <t>T2VB</t>
  </si>
  <si>
    <t>Setout Plan - Raft 1/2</t>
  </si>
  <si>
    <t>T2V</t>
  </si>
  <si>
    <t>Setout Plan - Columns</t>
  </si>
  <si>
    <t>G.A. Plan – SSL 1 - Level 1</t>
  </si>
  <si>
    <t>G.A. Plan – SSL 2 - Level 2</t>
  </si>
  <si>
    <t>G.A. Plan – SSL 3, 5 - Level 3, 5</t>
  </si>
  <si>
    <t>G.A. Plan – SSL 4 - Level 4</t>
  </si>
  <si>
    <t>G.A. Plan – SSL 5 - Level 5</t>
  </si>
  <si>
    <t>1006</t>
  </si>
  <si>
    <t>G.A. Plan – SSL 6 - Level 6</t>
  </si>
  <si>
    <t>1007</t>
  </si>
  <si>
    <t>G.A. Plan – SSL 7 - Level 7</t>
  </si>
  <si>
    <t>1008</t>
  </si>
  <si>
    <t>G.A. Plan – SSL 8 - Level 8</t>
  </si>
  <si>
    <t>1009</t>
  </si>
  <si>
    <t>GA Plan - SSL 09 - Level 09 - Typical L30G</t>
  </si>
  <si>
    <t>1010</t>
  </si>
  <si>
    <t>G.A. Plan – SSL 10 - Level 10 - Typical Even - L30A</t>
  </si>
  <si>
    <t>1011</t>
  </si>
  <si>
    <t>G.A. Plan – SSL 11 - Level 11 - Typical Odd - L30B</t>
  </si>
  <si>
    <t>G.A. Plan – SSL 27 - Level 27</t>
  </si>
  <si>
    <t>G.A. Plan – SSL 28 - Level 28 - Penthouse Lower Level</t>
  </si>
  <si>
    <t>G.A. Plan – SSL 29 - Level 29 - OHT Level</t>
  </si>
  <si>
    <t>G.A. Plan – SSL 30 - Level 30 - Terrace</t>
  </si>
  <si>
    <t>G.A. Plan – Grade Slab – Basement</t>
  </si>
  <si>
    <t>T2BV</t>
  </si>
  <si>
    <t>Masonry Setout Plan – SSL 00 - Level 0</t>
  </si>
  <si>
    <t>Masonry Setout Section - SSL 00 - Level 0</t>
  </si>
  <si>
    <t>Masonry Setout Plan – SSL 1 - Level 1</t>
  </si>
  <si>
    <t>Masonry Setout Plan – SSL 2 - Level 2</t>
  </si>
  <si>
    <t>Masonry Setout Plan – SSL 3 &amp; 04 - Level 3 &amp; 4</t>
  </si>
  <si>
    <t>Masonry Setout Plan – SSL 5 - Level 5</t>
  </si>
  <si>
    <t>1106</t>
  </si>
  <si>
    <t>Masonry Setout Plan – SSL 6 - Level 6 &amp; 8</t>
  </si>
  <si>
    <t>1107</t>
  </si>
  <si>
    <t>Masonry Setout Plan – SSL 7 - Level 7</t>
  </si>
  <si>
    <t>1110</t>
  </si>
  <si>
    <t>Masonry Set Out Plan - Towers 2, 3, 4, 5 &amp; 6 Typical Levels</t>
  </si>
  <si>
    <t>1111</t>
  </si>
  <si>
    <t>Masonry Setout Plan – SSL 31 - Penthouse Lower Level</t>
  </si>
  <si>
    <t>1112</t>
  </si>
  <si>
    <t>Masonry Setout Plan – SSL 32  - OHT / Penthouse Upper Level</t>
  </si>
  <si>
    <t>Electrical Layout - SSL 01</t>
  </si>
  <si>
    <t>1410</t>
  </si>
  <si>
    <t>Electrical Layout - SSL 03 to 05</t>
  </si>
  <si>
    <t>2+3 Bhk-Typical Unit Electrical Layouts</t>
  </si>
  <si>
    <t>2+3 Bhk-Terrace Garden Electrical Layouts</t>
  </si>
  <si>
    <t>1406</t>
  </si>
  <si>
    <t>2+3 Bhk-Electrical Schedules</t>
  </si>
  <si>
    <t>1407</t>
  </si>
  <si>
    <t>Tower 2 Typical Level- Electrical RCP</t>
  </si>
  <si>
    <t>1408</t>
  </si>
  <si>
    <t>L30 Typical Terrace Garden - Electrical Layouts</t>
  </si>
  <si>
    <t>1409</t>
  </si>
  <si>
    <t>Tower 2 Vertical - Typical Level Electrical Schedules</t>
  </si>
  <si>
    <t>Electrical Plan – SSL 31 - Penthouse Lower Level</t>
  </si>
  <si>
    <t>1411</t>
  </si>
  <si>
    <t>Electrical Plan – SSL 32- OHT / Penthouse Upper Level</t>
  </si>
  <si>
    <t>1412</t>
  </si>
  <si>
    <t xml:space="preserve">GENERAL ELEVATION - 20XX </t>
  </si>
  <si>
    <t>GENERAL SECTION - 30XX</t>
  </si>
  <si>
    <t>FRAMING ELEVATION - 31XX (Shuttering &amp; Tie Rod Details)</t>
  </si>
  <si>
    <t>TXV</t>
  </si>
  <si>
    <t>3101</t>
  </si>
  <si>
    <t>Framing Elevation</t>
  </si>
  <si>
    <t>3102</t>
  </si>
  <si>
    <t>3103</t>
  </si>
  <si>
    <t>3104</t>
  </si>
  <si>
    <t>3105</t>
  </si>
  <si>
    <t>DETAILED PLANS - 40XX</t>
  </si>
  <si>
    <t>Plans - Reception Lobby Details 1</t>
  </si>
  <si>
    <t>Internal Elevations - Reception Lobby</t>
  </si>
  <si>
    <t>Flooring - Reception Lobby</t>
  </si>
  <si>
    <t>Doors and Windows - Reception Lobby</t>
  </si>
  <si>
    <t>Electrical - Reception Lobby</t>
  </si>
  <si>
    <t>Visitors Enlarged Toilet - Reception Lobby</t>
  </si>
  <si>
    <t>Wirecut - Reception Lobby</t>
  </si>
  <si>
    <t>Staff Toilet - Reception Lobby</t>
  </si>
  <si>
    <t>Fenestration - Reception Lobby</t>
  </si>
  <si>
    <t>Lighting Fixtures - Reception Lobby</t>
  </si>
  <si>
    <t>Cabinetry Details - Reception Lobby</t>
  </si>
  <si>
    <t>4002</t>
  </si>
  <si>
    <t>Garbage Room Details</t>
  </si>
  <si>
    <t>4003</t>
  </si>
  <si>
    <t>Communication Room Details</t>
  </si>
  <si>
    <t>4004</t>
  </si>
  <si>
    <t>Vehicular Connection Bridge</t>
  </si>
  <si>
    <t>4005</t>
  </si>
  <si>
    <t>Pedestrian Connection Bridge</t>
  </si>
  <si>
    <t>Plans - Lift Lobby &amp; Service Core – SSL 31 – Level 29</t>
  </si>
  <si>
    <t>BUILDING ENVELOPE DETAILS - 44XX</t>
  </si>
  <si>
    <t>Wall Section  1</t>
  </si>
  <si>
    <t>Wall Section  2</t>
  </si>
  <si>
    <t>Typical Pergola Details Connecting Block 1- 2 &amp; 2-3</t>
  </si>
  <si>
    <t>Staircase Details - Type A,B,C,D &amp; E (Typical)</t>
  </si>
  <si>
    <t>Terrace Garden Details - Typical Level - 1 Of 2</t>
  </si>
  <si>
    <t>Terrace Garden Details - Typical Level - 2 Of 2</t>
  </si>
  <si>
    <t>6208</t>
  </si>
  <si>
    <t>Terrace Garden Details - Level - 06 to 09</t>
  </si>
  <si>
    <t>6209</t>
  </si>
  <si>
    <t>6210</t>
  </si>
  <si>
    <t>TERRACE DETAILS - 74XX</t>
  </si>
  <si>
    <t>7470</t>
  </si>
  <si>
    <t>Electrical Schedule - SSL 30 - L30P Lower Level</t>
  </si>
  <si>
    <t>7471</t>
  </si>
  <si>
    <t>Electrical Schedule - SSL 31 - L30P Upper Level</t>
  </si>
  <si>
    <t>Tower—2S</t>
  </si>
  <si>
    <t>T2-6</t>
  </si>
  <si>
    <t>Setting Out Plan- 1</t>
  </si>
  <si>
    <t>T2S</t>
  </si>
  <si>
    <t>Setting Out Plan- 2</t>
  </si>
  <si>
    <t>Abbreviations, Symbols and Annotations</t>
  </si>
  <si>
    <t>T2BS</t>
  </si>
  <si>
    <t>G.A. Plan - Grade Slab - Basement</t>
  </si>
  <si>
    <t>G.A. Plan - SSL 01 - Stilt Floor Plan</t>
  </si>
  <si>
    <t>G.A. Plan - SSL 02 - Level 1</t>
  </si>
  <si>
    <t>G.A. Plan - SSL 03 - Level 2</t>
  </si>
  <si>
    <t xml:space="preserve">G.A. Plan - SSL 04 - Level 3 </t>
  </si>
  <si>
    <t>G.A. Plan - SSL 05 - Level 4</t>
  </si>
  <si>
    <t xml:space="preserve">G.A. Plan - SSL 06 - Level 5 </t>
  </si>
  <si>
    <t>G.A. Plan - SSL 07 - Level 6</t>
  </si>
  <si>
    <t>G.A. Plan - SSL 08 - Terrace</t>
  </si>
  <si>
    <t>MASONRY &amp; FLOORING PLANS - 11XX</t>
  </si>
  <si>
    <t>Masonry &amp; Flooring Setout Plan - Grade Slab - Basement</t>
  </si>
  <si>
    <t>Masonry &amp; Flooring Setout Plan - SSL 01 - Stilt Parking</t>
  </si>
  <si>
    <t>Masonry &amp; Flooring Setout Plan - SSL 02 - Level 1</t>
  </si>
  <si>
    <t>Masonry &amp; Flooring Setout Plan - SSL 03 - Level 2</t>
  </si>
  <si>
    <t>Masonry &amp; Flooring Setout Plan - SSL 04 - Level 3</t>
  </si>
  <si>
    <t>Masonry &amp; Flooring Setout Plan - SSL 05 - Level 4</t>
  </si>
  <si>
    <t>Masonry &amp; Flooring Setout Plan - SSL 06 - Level 5</t>
  </si>
  <si>
    <t>1108</t>
  </si>
  <si>
    <t>Masonry &amp; Flooring Setout Plan - SSL 07 - Level 6</t>
  </si>
  <si>
    <t>Electrical Panel Room - Masonry &amp; Flooring &amp; Flooring Plan - Level 1</t>
  </si>
  <si>
    <t>ELECTRICAL and RCP PLANS - 14XX</t>
  </si>
  <si>
    <t>Electrical Plan  - Grade Slab - Basement</t>
  </si>
  <si>
    <t>Electrical Plan - SSL 01 - Stilt Level</t>
  </si>
  <si>
    <t>Electrical Plan - SSL 02 - Level 1</t>
  </si>
  <si>
    <t>Electrical Plan - SSL 03 - Level 2</t>
  </si>
  <si>
    <t>Electrical Plan - SSL 04 - Level 3</t>
  </si>
  <si>
    <t>Electrical Plan - SSL 05 - Level 4</t>
  </si>
  <si>
    <t>Electrical Plan - SSL 06 - Level 5</t>
  </si>
  <si>
    <t xml:space="preserve">Electrical Plan - SSL 07 - Level 6 </t>
  </si>
  <si>
    <t>Electrical Plan - SSL 08 - Level 7 - Terrace</t>
  </si>
  <si>
    <t>Lobby access ramp detail - Basement &amp; Stilt</t>
  </si>
  <si>
    <t>Level 04 - Unit lobby detail</t>
  </si>
  <si>
    <t>Plans - Lift Lobby &amp; Service Core - Basement</t>
  </si>
  <si>
    <t>Plans - Lift Lobby &amp; Service Core - Stilt</t>
  </si>
  <si>
    <t>Plans - Lift Lobby &amp; Service Core - SSL 02 - Level 1</t>
  </si>
  <si>
    <t>SIGNAGE- LEVEL 01</t>
  </si>
  <si>
    <t>1</t>
  </si>
  <si>
    <t>SIGNAGE- TYPICAL LEVEL </t>
  </si>
  <si>
    <t>SIGNAGE- LEVEL 04</t>
  </si>
  <si>
    <t>SIGNAGE- LEVEL 05&amp;06</t>
  </si>
  <si>
    <t>SIGNAGE- CUSTOMISED</t>
  </si>
  <si>
    <t>Will be a part of Level1 drawing</t>
  </si>
  <si>
    <t>4120</t>
  </si>
  <si>
    <t>Plans - Lift Lobby &amp; Service Core - SSL 02 - Level 2</t>
  </si>
  <si>
    <t>4121</t>
  </si>
  <si>
    <t>Plans - Lift Lobby &amp; Service Core - SSL 02 - Level 3</t>
  </si>
  <si>
    <t>4122</t>
  </si>
  <si>
    <t>Plans - Lift Lobby &amp; Service Core - SSL 02 - Level 4</t>
  </si>
  <si>
    <t>Will be a part of Level4 drawing</t>
  </si>
  <si>
    <t>Plans - Lift Lobby &amp; Service Core - SSL 06 - Level 5</t>
  </si>
  <si>
    <t>Plans - Lift Lobby &amp; Service Core - SSL 07 - Level 6</t>
  </si>
  <si>
    <t>Retaining Wall Detail</t>
  </si>
  <si>
    <t>4405</t>
  </si>
  <si>
    <t>Railing details 01</t>
  </si>
  <si>
    <t>4410</t>
  </si>
  <si>
    <t>South Elevation Details</t>
  </si>
  <si>
    <t>4412</t>
  </si>
  <si>
    <t>Service Platform Details at Edge</t>
  </si>
  <si>
    <t>Ms handrail detail - side mounted</t>
  </si>
  <si>
    <t>West side elevation details</t>
  </si>
  <si>
    <t>Upstand and Handrail Height</t>
  </si>
  <si>
    <t>Staircase Details - 2</t>
  </si>
  <si>
    <t>Staircase Details – 1, 3 &amp; 4</t>
  </si>
  <si>
    <t>Level 4 lobby landing finish &amp; level 05 railing termination</t>
  </si>
  <si>
    <t>RAMP DETAILS - 51XX</t>
  </si>
  <si>
    <t>5101</t>
  </si>
  <si>
    <t>Ramp Details</t>
  </si>
  <si>
    <t>Ramp Detail for VDF Flooring</t>
  </si>
  <si>
    <t>Ramp Outer wall height</t>
  </si>
  <si>
    <t>Ramp Drainage Down take pipe</t>
  </si>
  <si>
    <t>Ramp Wirecut Jalli Detail</t>
  </si>
  <si>
    <t>Ramp Bollard Location and Drain Detail</t>
  </si>
  <si>
    <t>Ramp light fixtures details</t>
  </si>
  <si>
    <t>Typical L45G Terrace Garden Details - 01</t>
  </si>
  <si>
    <t>Typical L45P Terrace Garden Details - 02</t>
  </si>
  <si>
    <t>L45A &amp; L45B - Typical Terrace Garden 3 - Level 2</t>
  </si>
  <si>
    <t>L45A &amp; L45B - Typical Terrace Garden 4 - Level 2</t>
  </si>
  <si>
    <t>Terrace Garden - Typical Details</t>
  </si>
  <si>
    <t>L45A &amp; L45B - Common Terrace Garden</t>
  </si>
  <si>
    <t>Part of TXS</t>
  </si>
  <si>
    <t>Common Terrace Garden Lvl 5</t>
  </si>
  <si>
    <t>MECHANICAL SERVICES  DETAILS - 64XX</t>
  </si>
  <si>
    <t>4110</t>
  </si>
  <si>
    <t>Connecting Bridge</t>
  </si>
  <si>
    <t>Tower—3V-5V</t>
  </si>
  <si>
    <t>GENERAL ARRANGEMENT PLANS - 10XX - STEPPED OPTION</t>
  </si>
  <si>
    <t>T3V</t>
  </si>
  <si>
    <t>G.A. Plan – SSL 3 - Level 3</t>
  </si>
  <si>
    <t>G.A. Plan – SSL 27 - Level 27 - Penthouse Lower Level</t>
  </si>
  <si>
    <t xml:space="preserve">G.A. Plan – SSL 28 - Level 28 - OHT Level </t>
  </si>
  <si>
    <t>G.A. Plan – SSL 29 - Level 29 - Terrace</t>
  </si>
  <si>
    <t>T3VB</t>
  </si>
  <si>
    <t>T3BV</t>
  </si>
  <si>
    <t>1130</t>
  </si>
  <si>
    <t>Masonry Setout Plan – SSL 30 - Penthouse Lower Level</t>
  </si>
  <si>
    <t>1131</t>
  </si>
  <si>
    <t>Masonry Setout Plan – SSL 32 - OHT / Penthouse Upper Level</t>
  </si>
  <si>
    <t>FLOORING PLANS - 13XX</t>
  </si>
  <si>
    <t>1321</t>
  </si>
  <si>
    <t>Flooring Plan – Grde Slab – Basement</t>
  </si>
  <si>
    <t>1301</t>
  </si>
  <si>
    <t>Flooring Plan  - Level 1</t>
  </si>
  <si>
    <t>T5V</t>
  </si>
  <si>
    <t>Electrical plan - Level 03- SSL 04</t>
  </si>
  <si>
    <t>Electrical plan - Level 04- SSL 05</t>
  </si>
  <si>
    <t>Electrical plan - Level 05- SSL 06</t>
  </si>
  <si>
    <t>1430</t>
  </si>
  <si>
    <t>Electrical Plan – SSL 30 - Penthouse Lower Level</t>
  </si>
  <si>
    <t>Electrical Plan – SSL 31- OHT / Penthouse Upper Level</t>
  </si>
  <si>
    <t>GENERAL ELEVATION - 20XX</t>
  </si>
  <si>
    <t>Staircase Details - Sections</t>
  </si>
  <si>
    <t>TERRACE GARDEN / GREEN ROOF DETAILS - 62XX</t>
  </si>
  <si>
    <t>Skylight Details</t>
  </si>
  <si>
    <t>Tower—3S-5S</t>
  </si>
  <si>
    <t>TXS</t>
  </si>
  <si>
    <t>TXBS</t>
  </si>
  <si>
    <t>1109</t>
  </si>
  <si>
    <t>Masonry &amp; Flooring Setout Plan - SSL 08 - Level 7</t>
  </si>
  <si>
    <t>Electrical Panel Room - Masonry &amp; Flooring Plan - Level 1</t>
  </si>
  <si>
    <t>ELECTRICAL AND RCP PLANS - 14XX</t>
  </si>
  <si>
    <t>Electrical &amp; RCP Plan  - Grade Slab - Basement</t>
  </si>
  <si>
    <t>Electrical &amp; RCP Plan - SSL 01 - Stilt Level</t>
  </si>
  <si>
    <t>Electrical &amp; RCP Plan - SSL 02 - Level 1</t>
  </si>
  <si>
    <t>Electrical &amp; RCP Plan - SSL 03 - Level 2</t>
  </si>
  <si>
    <t>Electrical &amp; RCP Plan - SSL 04 - Level 3</t>
  </si>
  <si>
    <t>Electrical &amp; RCP Plan - SSL 05 - Level 4</t>
  </si>
  <si>
    <t>Electrical &amp; RCP Plan - SSL 06 - Level 5</t>
  </si>
  <si>
    <t xml:space="preserve">Electrical &amp; RCP Plan - SSL 07 - Level 6 </t>
  </si>
  <si>
    <t>Plans - Unit lobby SSL2 - Level 1</t>
  </si>
  <si>
    <t>Plans - Unit lobby SSL3 - Level 2</t>
  </si>
  <si>
    <t>Plans - Unit lobby SSL4 - Level 3</t>
  </si>
  <si>
    <t>Plans - Unit lobby SSL5 - Level 4</t>
  </si>
  <si>
    <t>MECHANICAL EXHAUST DETAILS</t>
  </si>
  <si>
    <t>GA EAST ELEVatION</t>
  </si>
  <si>
    <t>GA SECTIONAL ELEVatION</t>
  </si>
  <si>
    <t>WEST ELEVatION</t>
  </si>
  <si>
    <t>EXTERNAL BUILDING ENEVELOPE - 43XX</t>
  </si>
  <si>
    <t>EXTERNAL BUILDING ENVELOPE - 44XX</t>
  </si>
  <si>
    <t>4413</t>
  </si>
  <si>
    <t>Service Platform Details at Intermediate Block</t>
  </si>
  <si>
    <t>4351</t>
  </si>
  <si>
    <t>Typical Inclined Shaft at center of stepped tower treatment</t>
  </si>
  <si>
    <t>External Wall WEST Elevation Details</t>
  </si>
  <si>
    <t>External Wall Key Plan</t>
  </si>
  <si>
    <t>External Wall Elevation Details - Typical Level</t>
  </si>
  <si>
    <t>Inclined Shaft details from MEP required</t>
  </si>
  <si>
    <t>4404</t>
  </si>
  <si>
    <t>External Wall Elevation Details - Level 1</t>
  </si>
  <si>
    <t>Tower—6V</t>
  </si>
  <si>
    <t>T6VB</t>
  </si>
  <si>
    <t>T6V</t>
  </si>
  <si>
    <t>Upper Basement Setting Out Plan</t>
  </si>
  <si>
    <t>T6BV</t>
  </si>
  <si>
    <t>Masonry Setout Plan – SSL 31- OHT / Penthouse Upper Level</t>
  </si>
  <si>
    <t>Electrical Plan – SSL 31 - OHT / Penthouse Upper Level</t>
  </si>
  <si>
    <t>4012</t>
  </si>
  <si>
    <t>COMMUNICatION ROOM DETAILS</t>
  </si>
  <si>
    <t>4013</t>
  </si>
  <si>
    <t>VEHICULAR CONNECTION BRIDGE</t>
  </si>
  <si>
    <t>4014</t>
  </si>
  <si>
    <t>PEDESTRIAN CONNECTION BRIDGE</t>
  </si>
  <si>
    <t>4015</t>
  </si>
  <si>
    <t>PLANS - RECEPTION LOBBY DETAILS 1</t>
  </si>
  <si>
    <t>PLANS - RECEPTION LOBBY DETAILS 2</t>
  </si>
  <si>
    <t>PLANS - RECEPTION LOBBY DETAILS 3</t>
  </si>
  <si>
    <t>RECEPTION LOBBY - RCP DETAILS</t>
  </si>
  <si>
    <t>PLANS - EXPANSION JOINT DETAILS</t>
  </si>
  <si>
    <t>RECEPTION LOBBY - VISITOR'S TOILET DETAILS</t>
  </si>
  <si>
    <t>4011</t>
  </si>
  <si>
    <t>RECEPTION LOBBY - STAFF TOILET DETAILS</t>
  </si>
  <si>
    <t>Plans - Lift Lobby &amp; Service Core – SSL 31 – Level 30</t>
  </si>
  <si>
    <t>Details Of Chajja For Penthouse Units</t>
  </si>
  <si>
    <t>Tower—6S</t>
  </si>
  <si>
    <t>T6S</t>
  </si>
  <si>
    <t>R2</t>
  </si>
  <si>
    <t>R1</t>
  </si>
  <si>
    <t>G.A. Plan - SSL 08 - Level 7/Terrace</t>
  </si>
  <si>
    <t>G.A. 3D views</t>
  </si>
  <si>
    <t>SWITCHBOARD SCHEDULE - LEVEL 1</t>
  </si>
  <si>
    <t>SWITCHBOARD SCHEDULE - LEVEL 2,3,4 &amp; 5</t>
  </si>
  <si>
    <t>SWITCHBOARD SCHEDULE - LEVEL 6</t>
  </si>
  <si>
    <t>General Elevation 1/East</t>
  </si>
  <si>
    <t>General Elevation 2/North</t>
  </si>
  <si>
    <t>General Elevation 3/West</t>
  </si>
  <si>
    <t>General Section 1/ AA</t>
  </si>
  <si>
    <t>General Section 2/BB</t>
  </si>
  <si>
    <t>General Section CC</t>
  </si>
  <si>
    <t>General Section DD</t>
  </si>
  <si>
    <t>General Section EE</t>
  </si>
  <si>
    <t>General Section FF</t>
  </si>
  <si>
    <t>General Section GG</t>
  </si>
  <si>
    <t>General Section HH</t>
  </si>
  <si>
    <t>4119</t>
  </si>
  <si>
    <t>North Side Elevation Details</t>
  </si>
  <si>
    <t>Typical L45G Terrace Garden Details - 02</t>
  </si>
  <si>
    <t>Penthouse Terrace Garden Lvl 6</t>
  </si>
  <si>
    <t>Tower—07</t>
  </si>
  <si>
    <t>T7</t>
  </si>
  <si>
    <t>T07</t>
  </si>
  <si>
    <t>T7B</t>
  </si>
  <si>
    <t>Flooring Plan – SSL 0 – Basement</t>
  </si>
  <si>
    <t>Flooring Plan – SSL 1 – Level 1</t>
  </si>
  <si>
    <t>Drainage Plan - SSL 1 - Level 1</t>
  </si>
  <si>
    <t>1602</t>
  </si>
  <si>
    <t>Drainage Plan - SSL 28 - Level 28</t>
  </si>
  <si>
    <t>Plans - Lift Lobby and Service Core – SSL 2-27 - Typical Odd &amp; Even Levels</t>
  </si>
  <si>
    <t>Plans - Lift Lobby &amp; Service Core - SSL 28- Penthouse Ul &amp; OHT</t>
  </si>
  <si>
    <t>DETAILED SECTIONS / PART SECTIONS - 43XX</t>
  </si>
  <si>
    <t>SSL 0 - Basement Slab Sections</t>
  </si>
  <si>
    <t>SSL 01 - Level 1 Slab Sections</t>
  </si>
  <si>
    <t>SSL 01 - Level 1 Detailed Slab Sections</t>
  </si>
  <si>
    <t>4304</t>
  </si>
  <si>
    <t>SSL 02 &amp; 03 - Detailed Slab Sections</t>
  </si>
  <si>
    <t>Details Of Pergolas Connecting Blocks 6 and 7</t>
  </si>
  <si>
    <t>FLOORING DETAILS - 59XX</t>
  </si>
  <si>
    <t>5901</t>
  </si>
  <si>
    <t>Flooring Details - Lobbies, Basement, Stairs</t>
  </si>
  <si>
    <t>CEILING DETAILS - 60XX</t>
  </si>
  <si>
    <t>6001</t>
  </si>
  <si>
    <t>Ceiling Details - Lobbies, Basement</t>
  </si>
  <si>
    <t>6300</t>
  </si>
  <si>
    <t>Terrace/Skywalk Level Pergola Detail</t>
  </si>
  <si>
    <t>4605</t>
  </si>
  <si>
    <t>Staircase Details - Basement Level</t>
  </si>
  <si>
    <t>Electrical Schedule</t>
  </si>
  <si>
    <t>Electrical Layout</t>
  </si>
  <si>
    <t>Lift Lobby RCP</t>
  </si>
  <si>
    <t>Villas Cluster 1 &amp; 2</t>
  </si>
  <si>
    <t>GENERAL DRAWINGS</t>
  </si>
  <si>
    <t>V0</t>
  </si>
  <si>
    <t>Cover Sheet and Sheet List</t>
  </si>
  <si>
    <t>VC1</t>
  </si>
  <si>
    <t>Symbols and Abbreviations</t>
  </si>
  <si>
    <t>0003</t>
  </si>
  <si>
    <t>Villa Site Key Plan</t>
  </si>
  <si>
    <t>VILLA SITE SETTING OUT PLANS</t>
  </si>
  <si>
    <t>Setting Layout – Cluster 1 &amp; Cluster 2 Plot</t>
  </si>
  <si>
    <t>Setting Layout – Cluster 3 Plot</t>
  </si>
  <si>
    <t>VB01</t>
  </si>
  <si>
    <t>0111</t>
  </si>
  <si>
    <t>Footing Setting Out  – Villa Block 1</t>
  </si>
  <si>
    <t>VB02</t>
  </si>
  <si>
    <t>Footing Setting Out  – Villa Block 2</t>
  </si>
  <si>
    <t>VB03</t>
  </si>
  <si>
    <t>Footing Setting Out  – Typical Blocks - 3,4,5,8,9,10 and 11</t>
  </si>
  <si>
    <t>VB06</t>
  </si>
  <si>
    <t>Footing Setting Out  – Blocks 6 and 12</t>
  </si>
  <si>
    <t>VB07</t>
  </si>
  <si>
    <t>Footing Setting Out  – Villa Block 7</t>
  </si>
  <si>
    <t>0112</t>
  </si>
  <si>
    <t>Column Setting Out  – Villa Block 1</t>
  </si>
  <si>
    <t>Column Setting Out  – Villa Block 2</t>
  </si>
  <si>
    <t>Column Setting Out  – Typical Blocks - 3,4,5,8,9,10 and 11</t>
  </si>
  <si>
    <t>VB04</t>
  </si>
  <si>
    <t>Column Setting Out  – Villa Block 6 and 12</t>
  </si>
  <si>
    <t>VB05</t>
  </si>
  <si>
    <t>Column Setting Out  – Villa Block 7</t>
  </si>
  <si>
    <t>VILLA BLOCK PLANS</t>
  </si>
  <si>
    <t>Villa Block 1 - GA Plan - Lower Level</t>
  </si>
  <si>
    <t>Villa Block 1 - GA Plan - Upper Level</t>
  </si>
  <si>
    <t>VILLA STREET ELEVATIONS</t>
  </si>
  <si>
    <t>Villa Street Elevation</t>
  </si>
  <si>
    <t>VILLA STREET SECTIONS</t>
  </si>
  <si>
    <t>Villa Street Details - 1</t>
  </si>
  <si>
    <t>Villa Street Details - 2</t>
  </si>
  <si>
    <t>VILLA EDGE OF SLAB</t>
  </si>
  <si>
    <t>1201</t>
  </si>
  <si>
    <t>Typical Villa Block : Lower Level - SSL 0 and SSL 1</t>
  </si>
  <si>
    <t>1202</t>
  </si>
  <si>
    <t>Typical Villa Block : Upper Level - SSL 2 and SSL 3</t>
  </si>
  <si>
    <t>1203</t>
  </si>
  <si>
    <t>Typical Villa Block : Roof Plan - SSL 4</t>
  </si>
  <si>
    <t>1205</t>
  </si>
  <si>
    <t>Typical Villa Block : SSL 3 - Bath Tub Area</t>
  </si>
  <si>
    <t>VILLA BLOCK ELEVATIONS</t>
  </si>
  <si>
    <t>VBO2</t>
  </si>
  <si>
    <t>Typical V45C Front Elevation</t>
  </si>
  <si>
    <t>V50</t>
  </si>
  <si>
    <t>Wirecut Cladding - Front Elevation - Lowest Road Level</t>
  </si>
  <si>
    <t>Wirecut Cladding - Front Elevation - Highest Road Level</t>
  </si>
  <si>
    <t>Wirecut Cladding - Service Entry and Planter Box</t>
  </si>
  <si>
    <t>2004</t>
  </si>
  <si>
    <t>Wirecut Cladding - Parking Area Jali</t>
  </si>
  <si>
    <t>VILLA BLOCK SECTIONS</t>
  </si>
  <si>
    <t>Typical Block Sections</t>
  </si>
  <si>
    <t>Block 1 Sections</t>
  </si>
  <si>
    <t>VILLA BLOCK - DETAILED SECTIONS</t>
  </si>
  <si>
    <t>Roof Profile</t>
  </si>
  <si>
    <t>4310</t>
  </si>
  <si>
    <t>Rear Trench Detail</t>
  </si>
  <si>
    <t>VILLA BLOCK - EXTERNAL ENVELOPE DETAILS</t>
  </si>
  <si>
    <t>Typical Wall Section - 1</t>
  </si>
  <si>
    <t>Typical Wall Section - 2</t>
  </si>
  <si>
    <t>Expansion Detail Between Villas</t>
  </si>
  <si>
    <t>4420</t>
  </si>
  <si>
    <t>Wall Detail Between Two Villas - Creeper Panel</t>
  </si>
  <si>
    <t>4430</t>
  </si>
  <si>
    <t>Gutter Details</t>
  </si>
  <si>
    <t>4440</t>
  </si>
  <si>
    <t>Drain Cover Fixing Detail</t>
  </si>
  <si>
    <t>4450</t>
  </si>
  <si>
    <t>Canopy Details</t>
  </si>
  <si>
    <t>4460</t>
  </si>
  <si>
    <t>Glass Canopy Details</t>
  </si>
  <si>
    <t>5601</t>
  </si>
  <si>
    <t>Planter Box Detail In Parking</t>
  </si>
  <si>
    <t>5610</t>
  </si>
  <si>
    <t>Planter Box Detail In Earth Berm</t>
  </si>
  <si>
    <t>VILLA BLOCK - EXTERNAL DOOR WINDOW DRAWINGS</t>
  </si>
  <si>
    <t>Door and Window Details – 1</t>
  </si>
  <si>
    <t>Door and Window Details – 2</t>
  </si>
  <si>
    <t>Door and Window Details – 3</t>
  </si>
  <si>
    <t>Door and Window Details – 4</t>
  </si>
  <si>
    <t>VILLA BLOCK - GLAZING DETAILS</t>
  </si>
  <si>
    <t>4801</t>
  </si>
  <si>
    <t>Villas Cluster 3</t>
  </si>
  <si>
    <t>VC3</t>
  </si>
  <si>
    <t>VILLA CLUSTER 03 SITE PLAN</t>
  </si>
  <si>
    <t>A1</t>
  </si>
  <si>
    <t>SETTING OUT DRAWINGS</t>
  </si>
  <si>
    <t>PLOT SETTING OUT  – VILLA CLUSTER 03</t>
  </si>
  <si>
    <t>RAFT &amp; COLUMN SETTING OUT  – VILLA CLUSTER 03</t>
  </si>
  <si>
    <t>CHAMBER SETTING OUT  – VILLA CLUSTER 03</t>
  </si>
  <si>
    <t>A2</t>
  </si>
  <si>
    <t>GAS PIPELINE ROUTING</t>
  </si>
  <si>
    <t>SITE DRAWINGS</t>
  </si>
  <si>
    <t>TYPICAL ROAD SECTION THROUGH V40 TREETUB</t>
  </si>
  <si>
    <t>UPPER LEVEL CLUSTER PLAN</t>
  </si>
  <si>
    <t>LOWER LEVEL CLUSTER PLAN</t>
  </si>
  <si>
    <t>CLUSTER ELEVATIONS</t>
  </si>
  <si>
    <t>CLUSTER ELEVATION FRONT</t>
  </si>
  <si>
    <t>CLUSTER ELEVATION REAR</t>
  </si>
  <si>
    <t>END VILLA WIRECUT ELEVATION</t>
  </si>
  <si>
    <t>TERRACE GARDEN DETAILS</t>
  </si>
  <si>
    <t>V40</t>
  </si>
  <si>
    <t>Terrace Garden Railing</t>
  </si>
  <si>
    <t>Garden Landscape Detail</t>
  </si>
  <si>
    <t>4123</t>
  </si>
  <si>
    <t>Wooden Deck Detail</t>
  </si>
  <si>
    <t>Individual Homes</t>
  </si>
  <si>
    <t>DEFAULT UNIT SET - C20</t>
  </si>
  <si>
    <t>UNIT PLANS</t>
  </si>
  <si>
    <t>C20</t>
  </si>
  <si>
    <t>Interior Plan</t>
  </si>
  <si>
    <t>Masonry Set- Out Plan</t>
  </si>
  <si>
    <t>Flooring Plans</t>
  </si>
  <si>
    <t>Electrical Plans - 3.6M Height (C25G As Well)</t>
  </si>
  <si>
    <t>Electrical Plans - 3.0M Height</t>
  </si>
  <si>
    <t>Reflected Celing Plans- 3.6M Height</t>
  </si>
  <si>
    <t>1502</t>
  </si>
  <si>
    <t>Reflected Celing Plans - 3.0M Height</t>
  </si>
  <si>
    <t>Vacuum Layout Plans</t>
  </si>
  <si>
    <t>DETAILED SECTIONS - 43XX</t>
  </si>
  <si>
    <t>4330</t>
  </si>
  <si>
    <t>Unit Sections C25A (Odd Level)</t>
  </si>
  <si>
    <t>4331</t>
  </si>
  <si>
    <t>DOOR WINDOW DRAWINGS</t>
  </si>
  <si>
    <t>Door and Window Details – 5</t>
  </si>
  <si>
    <t>Door and Window Details – 6</t>
  </si>
  <si>
    <t>Door and Window Details – 7</t>
  </si>
  <si>
    <t>Door and Window Details – 8</t>
  </si>
  <si>
    <t>Door and Window Details – 9</t>
  </si>
  <si>
    <t>Door and Window Details – 10</t>
  </si>
  <si>
    <t>Door and Window Details – 11</t>
  </si>
  <si>
    <t>Door and Window Details – 12</t>
  </si>
  <si>
    <t>Door and Window Details – 13</t>
  </si>
  <si>
    <t>KITCHEN DETAILS - 54XX</t>
  </si>
  <si>
    <t>5401</t>
  </si>
  <si>
    <t>Main Kitchen Electrical and Plumbing Details - Plan</t>
  </si>
  <si>
    <t>5402</t>
  </si>
  <si>
    <t>Main Kitchen Electrical and Plumbing Details – Elevation Sheet 1</t>
  </si>
  <si>
    <t>5403</t>
  </si>
  <si>
    <t>Main Kitchen Electrical and Plumbing Details – Elevation Sheet 2</t>
  </si>
  <si>
    <t>5404</t>
  </si>
  <si>
    <t>Main Kitchen Electrical and Plumbing Details – Elevation Sheet 3</t>
  </si>
  <si>
    <t>BATHROOM DETAILS - 55XX</t>
  </si>
  <si>
    <t>5501</t>
  </si>
  <si>
    <t>Details - Typ. Master Bathroom - 3.6M Height</t>
  </si>
  <si>
    <t>5502</t>
  </si>
  <si>
    <t>Details - Typ. Master Bathroom - 3.0M Height</t>
  </si>
  <si>
    <t>5503</t>
  </si>
  <si>
    <t>Details - Typ. Children'S Bathroom - 3.6M Height</t>
  </si>
  <si>
    <t>5504</t>
  </si>
  <si>
    <t>Details - Typ. Children'S Bathroom - 3.0M Height</t>
  </si>
  <si>
    <t>5505</t>
  </si>
  <si>
    <t>Details - Typ. Guest Bathroom - 3.6M Height</t>
  </si>
  <si>
    <t>5506</t>
  </si>
  <si>
    <t>Details - Typ. Guest Bathroom - 3.0M Height</t>
  </si>
  <si>
    <t>Client Exceptions</t>
  </si>
  <si>
    <t>Cabinetry Schedule</t>
  </si>
  <si>
    <t>Kitchen Specification</t>
  </si>
  <si>
    <t>Pantry Specification</t>
  </si>
  <si>
    <t>Bar Unit Specification</t>
  </si>
  <si>
    <t>Services Summary</t>
  </si>
  <si>
    <t>Services Details : Home Automation</t>
  </si>
  <si>
    <t>General Selections</t>
  </si>
  <si>
    <t>7520</t>
  </si>
  <si>
    <t>Furniture, Fixtures and Equipments Schedule</t>
  </si>
  <si>
    <t>DEFAULT UNIT SET - L30</t>
  </si>
  <si>
    <t>L30</t>
  </si>
  <si>
    <t>Electrical Plans - L30 Ag</t>
  </si>
  <si>
    <t>Electrical Plans - L30 A &amp; B</t>
  </si>
  <si>
    <t>Reflected Celing Plans L30Ag</t>
  </si>
  <si>
    <t>Reflected Celing Plans L30 A &amp; B</t>
  </si>
  <si>
    <t>1701</t>
  </si>
  <si>
    <t>Channel Music ?</t>
  </si>
  <si>
    <t xml:space="preserve">Details - Typ. Master Bathroom </t>
  </si>
  <si>
    <t xml:space="preserve">Details - Typ. Children'S Bathroom </t>
  </si>
  <si>
    <t xml:space="preserve">Details - Typ. Guest Bathroom </t>
  </si>
  <si>
    <t>Details - Maids Toilet</t>
  </si>
  <si>
    <t>DEFAULT UNIT SET - L45</t>
  </si>
  <si>
    <t>Unit Plan - L45G</t>
  </si>
  <si>
    <t>L45</t>
  </si>
  <si>
    <t xml:space="preserve">Unit Plan - L45 Type B </t>
  </si>
  <si>
    <t xml:space="preserve">Unit Plan - L45 Type A </t>
  </si>
  <si>
    <t>Unit Plan - L45 Type B  SSL 07 - Level 6 – Right</t>
  </si>
  <si>
    <t>Unit Plan - L45 Type B  SSL 07 - Level 6 – Left</t>
  </si>
  <si>
    <t>Unit Plan - L45P Type A - Lower Level</t>
  </si>
  <si>
    <t>Unit Plan - L45P Type A - Upper Level</t>
  </si>
  <si>
    <t>Unit Plan - L45P Type B - Lower Level</t>
  </si>
  <si>
    <t>Unit Plan - L45P Type B - Upper Level</t>
  </si>
  <si>
    <t>Unit RCP - L45G</t>
  </si>
  <si>
    <t>4111</t>
  </si>
  <si>
    <t xml:space="preserve">Unit RCP - L45 Type B </t>
  </si>
  <si>
    <t>4112</t>
  </si>
  <si>
    <t xml:space="preserve">Unit RCP - L45 Type A </t>
  </si>
  <si>
    <t>4113</t>
  </si>
  <si>
    <t>Unit RCP - L45 Type B  SSL 07 - Level 6 – Right</t>
  </si>
  <si>
    <t>4114</t>
  </si>
  <si>
    <t>Unit RCP - L45 Type B SSL 07 - Level 6 – Left</t>
  </si>
  <si>
    <t>4115</t>
  </si>
  <si>
    <t>Unit RCP - L45P Type A - Lower Level</t>
  </si>
  <si>
    <t>4116</t>
  </si>
  <si>
    <t>Unit RCP - L45P Type A - Upper Level</t>
  </si>
  <si>
    <t>4117</t>
  </si>
  <si>
    <t>Unit RCP - L45P Type B - Lower Level</t>
  </si>
  <si>
    <t>Masonry &amp; Flooring</t>
  </si>
  <si>
    <t>Door D2.1.1</t>
  </si>
  <si>
    <t>Door D3.1.2</t>
  </si>
  <si>
    <t>Door D3.2.3</t>
  </si>
  <si>
    <t>Door D3.1.1</t>
  </si>
  <si>
    <t>Door D4.3.3</t>
  </si>
  <si>
    <t>Door D2.3.1</t>
  </si>
  <si>
    <t>DEFAULT UNIT - V50</t>
  </si>
  <si>
    <t>Lower Level Floor Plan - SSL 0 and SSL 1</t>
  </si>
  <si>
    <t>1012</t>
  </si>
  <si>
    <t>Upper Level Floor Plan - SSL 2 and SSL 3</t>
  </si>
  <si>
    <t>1013</t>
  </si>
  <si>
    <t>Villa Roof Plan - SSL 4</t>
  </si>
  <si>
    <t>1021</t>
  </si>
  <si>
    <t>Walling Layout – Combined</t>
  </si>
  <si>
    <t>1022</t>
  </si>
  <si>
    <t>Walling Layout – Design Options</t>
  </si>
  <si>
    <t>1023</t>
  </si>
  <si>
    <t>Walling Layout – Lift Option</t>
  </si>
  <si>
    <t>MASONRY PLANS</t>
  </si>
  <si>
    <t>V50c</t>
  </si>
  <si>
    <t>Masonry Layout - Lower Level - SSL 0 and SSL 1</t>
  </si>
  <si>
    <t>Masonry Layout - Upper Level - SSL 2 and SSL 3</t>
  </si>
  <si>
    <t>FLOORING DRAWINGS</t>
  </si>
  <si>
    <t>Flooring Drawing: Lower Level - SSL 0 and SSL 1</t>
  </si>
  <si>
    <t>1302</t>
  </si>
  <si>
    <t>Flooring Drawing: Upper Level - SSL 2 and SSL 3</t>
  </si>
  <si>
    <t>ELECTRICAL LAYOUT</t>
  </si>
  <si>
    <t xml:space="preserve">Electrical Layout: Lower Level  -  SSL 2 and SSL 3 </t>
  </si>
  <si>
    <t>Electrical Layout: Upper Level - SSL 0 and SSL 1</t>
  </si>
  <si>
    <t>Electrical Layout: Roof Level - SSL 4 and SSL 5</t>
  </si>
  <si>
    <t>1421</t>
  </si>
  <si>
    <t>Electrical Layout: SSL 3</t>
  </si>
  <si>
    <t>REFLECTED CEILING PLAN</t>
  </si>
  <si>
    <t>Reflected Ceiling Plan: Lower Level - SSL 0 and SSL 1</t>
  </si>
  <si>
    <t>Reflected Ceiling Plan: Upper Level - SSL 2 and SSL 3</t>
  </si>
  <si>
    <t>UNIT SECTIONS</t>
  </si>
  <si>
    <t>Sections - 1</t>
  </si>
  <si>
    <t>Sections - 2</t>
  </si>
  <si>
    <t>Sections - 3</t>
  </si>
  <si>
    <t>DETAILED PLANS</t>
  </si>
  <si>
    <t>Terracotta Deck - Flooring and Railing Details</t>
  </si>
  <si>
    <t>Terracotta Deck - Sections and Details</t>
  </si>
  <si>
    <t>Terracotta Deck- Steps To Landscape Level</t>
  </si>
  <si>
    <t>V50a</t>
  </si>
  <si>
    <t>Grey Tandoor deck Detail</t>
  </si>
  <si>
    <t>Grey Tandoor Deck - Sections and Details</t>
  </si>
  <si>
    <t>Grey Tandoor Deck- Steps To Landscape</t>
  </si>
  <si>
    <t>DETAILED SECTIONS</t>
  </si>
  <si>
    <t>4300</t>
  </si>
  <si>
    <t>Wall Section</t>
  </si>
  <si>
    <t>Family Railing Detail</t>
  </si>
  <si>
    <t>4320</t>
  </si>
  <si>
    <t>Utility Detail</t>
  </si>
  <si>
    <t>4321</t>
  </si>
  <si>
    <t>Db Elevation</t>
  </si>
  <si>
    <t>WALL SECTIONS</t>
  </si>
  <si>
    <t>Glass Canopy - Plan</t>
  </si>
  <si>
    <t>4461</t>
  </si>
  <si>
    <t>Glass Canopy - Sections</t>
  </si>
  <si>
    <t>4462</t>
  </si>
  <si>
    <t>Glasss Canopy - Details</t>
  </si>
  <si>
    <t>STAIRCASE DETAILS</t>
  </si>
  <si>
    <t>Internal Staircase Detail</t>
  </si>
  <si>
    <t>4610</t>
  </si>
  <si>
    <t>Staircase: Deck To Courtyard</t>
  </si>
  <si>
    <t>GLAZING DETAILS</t>
  </si>
  <si>
    <t>Skylight Detail</t>
  </si>
  <si>
    <t>4802</t>
  </si>
  <si>
    <t>ENCLOSURE AND FENCING</t>
  </si>
  <si>
    <t>5000</t>
  </si>
  <si>
    <t>Partition Between Villas - Pool Deck and Terrace Gardens</t>
  </si>
  <si>
    <t>5001</t>
  </si>
  <si>
    <t>Partition Between Villas - Pool Deck and Terrace Gardens - Sections</t>
  </si>
  <si>
    <t>POOL DETAILS</t>
  </si>
  <si>
    <t>5201</t>
  </si>
  <si>
    <t>Swimming Pool Detail</t>
  </si>
  <si>
    <t>5210</t>
  </si>
  <si>
    <t>Pool Wooden Deck Detail</t>
  </si>
  <si>
    <t>5220</t>
  </si>
  <si>
    <t>Filtration Equipment Details</t>
  </si>
  <si>
    <t>KITCHEN DETAILS</t>
  </si>
  <si>
    <t>Kitchen Details</t>
  </si>
  <si>
    <t>BATHROOM DETAILS</t>
  </si>
  <si>
    <t>Bathroom 1 – Details</t>
  </si>
  <si>
    <t>Bathroom 2 – Details</t>
  </si>
  <si>
    <t>Bathroom 3 – Details</t>
  </si>
  <si>
    <t>Bathroom 4 – Details</t>
  </si>
  <si>
    <t>Powder Room – Details</t>
  </si>
  <si>
    <t>Maid'S Toilet – Details</t>
  </si>
  <si>
    <t>SPECIFICATION AND SCHEDULES</t>
  </si>
  <si>
    <t>DEFAULT UNIT - V40</t>
  </si>
  <si>
    <t>V40c</t>
  </si>
  <si>
    <t>DEFAULT UNIT - R11</t>
  </si>
  <si>
    <t>R11</t>
  </si>
  <si>
    <t>DEFAULT UNIT - R22</t>
  </si>
  <si>
    <t>R22</t>
  </si>
  <si>
    <t>DEFAULT UNIT - C20 P</t>
  </si>
  <si>
    <t>C20P</t>
  </si>
  <si>
    <t>DEFAULT UNIT - L30 P</t>
  </si>
  <si>
    <t>L30P</t>
  </si>
  <si>
    <t>DEFAULT UNIT - L45 P</t>
  </si>
  <si>
    <t>L45P</t>
  </si>
  <si>
    <t>00</t>
  </si>
  <si>
    <t>SDV</t>
  </si>
  <si>
    <t>Site Master Key Plan</t>
  </si>
  <si>
    <t>PLANS</t>
  </si>
  <si>
    <t>0011</t>
  </si>
  <si>
    <t>0012</t>
  </si>
  <si>
    <t>Site Plan - Level 1</t>
  </si>
  <si>
    <t>0013</t>
  </si>
  <si>
    <t>Grading Plan</t>
  </si>
  <si>
    <t>0014</t>
  </si>
  <si>
    <t>Drainage Plan</t>
  </si>
  <si>
    <t>0015</t>
  </si>
  <si>
    <t>Finishes Plan</t>
  </si>
  <si>
    <t>0016</t>
  </si>
  <si>
    <t>Landscape Plan</t>
  </si>
  <si>
    <t>0021</t>
  </si>
  <si>
    <t>Villa Site Plan</t>
  </si>
  <si>
    <t>0022</t>
  </si>
  <si>
    <t>Partial Site Plan - Block 1-7 Level 1 Plan</t>
  </si>
  <si>
    <t>0031</t>
  </si>
  <si>
    <t>Villa Cluster 1 Plan</t>
  </si>
  <si>
    <t>0032</t>
  </si>
  <si>
    <t>Villa Cluster 2 Plan</t>
  </si>
  <si>
    <t>0033</t>
  </si>
  <si>
    <t>Villa Cluster 3 Plan</t>
  </si>
  <si>
    <t>0050</t>
  </si>
  <si>
    <t xml:space="preserve">Electrical </t>
  </si>
  <si>
    <t>0060</t>
  </si>
  <si>
    <t>Metal Fabrication</t>
  </si>
  <si>
    <t>ELECTRICAL  - 14XX</t>
  </si>
  <si>
    <t>Site - Street Lighting Layout</t>
  </si>
  <si>
    <t>Villas - Street Lighting Layout</t>
  </si>
  <si>
    <t>Villas - Tree Tub Street Lighting Details</t>
  </si>
  <si>
    <t>GENERAL ARRANGEMENT ELEVATIONS</t>
  </si>
  <si>
    <t>2000</t>
  </si>
  <si>
    <t>Elevation (East)</t>
  </si>
  <si>
    <t>2010</t>
  </si>
  <si>
    <t>Elevation (West)</t>
  </si>
  <si>
    <t>2020</t>
  </si>
  <si>
    <t>Elevation (North)</t>
  </si>
  <si>
    <t>2030</t>
  </si>
  <si>
    <t>Elevation (South)</t>
  </si>
  <si>
    <t>GENERAL ARRANGEMENT SECTIONS</t>
  </si>
  <si>
    <t>3010</t>
  </si>
  <si>
    <t>Site Section Through Block 3</t>
  </si>
  <si>
    <t>3020</t>
  </si>
  <si>
    <t>Site Section Through Block 2</t>
  </si>
  <si>
    <t>Site Section Along Central Green</t>
  </si>
  <si>
    <t>3023</t>
  </si>
  <si>
    <t>Site Section Through Tower 8</t>
  </si>
  <si>
    <t>Site Section Through Tower 9</t>
  </si>
  <si>
    <t>3030</t>
  </si>
  <si>
    <t>Site Section Along BasavanaGAr Main Road</t>
  </si>
  <si>
    <t>Site Section Along Block 3 and 4</t>
  </si>
  <si>
    <t>PARTIAL PLANS</t>
  </si>
  <si>
    <t>Part Plan - South West Entrance</t>
  </si>
  <si>
    <t>PARTIAL SECTIONS</t>
  </si>
  <si>
    <t>Detailed Sections - 1 - Section Through Extended Basement and Lake</t>
  </si>
  <si>
    <t>Detailed Sections - 2</t>
  </si>
  <si>
    <t>EXTERNAL BUILDING ENVELOPE DETAILS</t>
  </si>
  <si>
    <t>External Building Elements - 1</t>
  </si>
  <si>
    <t>External Building Elements - 2</t>
  </si>
  <si>
    <t>ENCLOSURE AND FENCING DETAILS</t>
  </si>
  <si>
    <t>West Boundary Wall Detail - 01</t>
  </si>
  <si>
    <t>5002</t>
  </si>
  <si>
    <t>West Boundary Wall Detail - 02</t>
  </si>
  <si>
    <t>West Boundary Wall Detail - 03</t>
  </si>
  <si>
    <t>5003</t>
  </si>
  <si>
    <t>Enclosure and Fencing - Phase 1 Transformer Yard</t>
  </si>
  <si>
    <t>5004</t>
  </si>
  <si>
    <t>Enclosure and Fencing - Phase 1 Dg Yard</t>
  </si>
  <si>
    <t>5005</t>
  </si>
  <si>
    <t>Enclosure and Fencing - Phase 2 Transformer Yard</t>
  </si>
  <si>
    <t>5006</t>
  </si>
  <si>
    <t>Enclosure and Fencing - Phase 2 Dg Yard</t>
  </si>
  <si>
    <t>RAMP DETAILS</t>
  </si>
  <si>
    <t>5103</t>
  </si>
  <si>
    <t>Ramp Details - 3 - Ramp Adjacent To Stepped Tower 6</t>
  </si>
  <si>
    <t>5104</t>
  </si>
  <si>
    <t>Ramp Details - 4 - Ramp Adjacent To Stepped Tower 8</t>
  </si>
  <si>
    <t>OUTDOOR STRUCTURES</t>
  </si>
  <si>
    <t>5301</t>
  </si>
  <si>
    <t>Outdoor Structures - 1 - Villa Electrical Panel Room</t>
  </si>
  <si>
    <t>Outdoor Structures -Property Management Staff and Store Rooms</t>
  </si>
  <si>
    <t>SERVICE INFORMATION DRAWINGS</t>
  </si>
  <si>
    <t>5801</t>
  </si>
  <si>
    <t>Chamber Setting Out - Typical Block Plan</t>
  </si>
  <si>
    <t>5802</t>
  </si>
  <si>
    <t>Chamber Setting Out - 1-Ns-Villa Parking</t>
  </si>
  <si>
    <t>5803</t>
  </si>
  <si>
    <t>Chamber Setting Out - 2-Ns-Villa Parking</t>
  </si>
  <si>
    <t>5805</t>
  </si>
  <si>
    <t>1-Ns Typical Section Through Tree Tub</t>
  </si>
  <si>
    <t>5806</t>
  </si>
  <si>
    <t>1-Ns Typical Section Through Parking</t>
  </si>
  <si>
    <t>5807</t>
  </si>
  <si>
    <t>1-Ns Typical Section Through Guest Parking</t>
  </si>
  <si>
    <t>5808</t>
  </si>
  <si>
    <t>2-Ns Tpical Section Through Tree Tub</t>
  </si>
  <si>
    <t>5809</t>
  </si>
  <si>
    <t>2-Ns Typical Section Through Parking</t>
  </si>
  <si>
    <t>SIGNAGE AND BRANDING</t>
  </si>
  <si>
    <t>8001</t>
  </si>
  <si>
    <t>Phase 1 Signage Plan</t>
  </si>
  <si>
    <t>8002</t>
  </si>
  <si>
    <t>Phase 1 Signage Details</t>
  </si>
  <si>
    <t>Phase 2 Signage Plan</t>
  </si>
  <si>
    <t>Phase 2 Signage Details</t>
  </si>
  <si>
    <t>STREET LIGHTING</t>
  </si>
  <si>
    <t>INFRASTRUCTURE DRAWINGS</t>
  </si>
  <si>
    <t>INFRA</t>
  </si>
  <si>
    <t>001</t>
  </si>
  <si>
    <t>Over All Site Plan With Sheet Index</t>
  </si>
  <si>
    <t>002</t>
  </si>
  <si>
    <t>1-Ew, 2-Ew, 1-Ns and 2-Ns Plan</t>
  </si>
  <si>
    <t>003</t>
  </si>
  <si>
    <t>1-Ew, 2-Ew, 1-Ns and 2-Ns Profile (L-Section)</t>
  </si>
  <si>
    <t>004</t>
  </si>
  <si>
    <t>Main Entrance Road Plan, Prile (L-Section) and Cross Section</t>
  </si>
  <si>
    <t>005</t>
  </si>
  <si>
    <t>4-Ew, 5-Ew and 5-Ns Plan and Profile (L-Section)</t>
  </si>
  <si>
    <t>006</t>
  </si>
  <si>
    <t>Typical Villa Drive Way Entrance and Intersection 1 and 3 Details</t>
  </si>
  <si>
    <t>007</t>
  </si>
  <si>
    <t>Secondary Entrance, Intersection - 2 and Cul-De-Sac Detail</t>
  </si>
  <si>
    <t>008</t>
  </si>
  <si>
    <t>Road Cross Sections</t>
  </si>
  <si>
    <t>009</t>
  </si>
  <si>
    <t>Road Center Line Set Out Plan</t>
  </si>
  <si>
    <t>010</t>
  </si>
  <si>
    <t>Road Center Line Set Out Table</t>
  </si>
  <si>
    <t>SD</t>
  </si>
  <si>
    <t>Storm Drain Plan</t>
  </si>
  <si>
    <t>Storm Drain - Profile L-Section</t>
  </si>
  <si>
    <t>Storm Drain - Structure Tables</t>
  </si>
  <si>
    <t>Storm Drain - Structure Tables &amp; Manhole Details</t>
  </si>
  <si>
    <t>011</t>
  </si>
  <si>
    <t>Storm Drain Pipe Tables and Rain Water Recharge Pit Detail</t>
  </si>
  <si>
    <t>012</t>
  </si>
  <si>
    <t>Manhole Details</t>
  </si>
  <si>
    <t>ORGANIC WASTE CONVERTER</t>
  </si>
  <si>
    <t>GENERAL 0000</t>
  </si>
  <si>
    <t>OW</t>
  </si>
  <si>
    <t>SETTING OUT PLANS 00XX</t>
  </si>
  <si>
    <t>GENERAL ARRANGEMENT - PLANS - 10XX</t>
  </si>
  <si>
    <t xml:space="preserve">G.A. Plan – Roof Level </t>
  </si>
  <si>
    <t>MASONARY  PLANS 11XX</t>
  </si>
  <si>
    <t>Masonry Setout Plan – SSL 1 - Level 2</t>
  </si>
  <si>
    <t>FLOORING PLANS 13XX</t>
  </si>
  <si>
    <t>Flooring Plan – SSL 1 - Level 2</t>
  </si>
  <si>
    <t>Flooring Plan – SSL 1 - Level 1</t>
  </si>
  <si>
    <t>1303</t>
  </si>
  <si>
    <t>Flooring Plan – Roof</t>
  </si>
  <si>
    <t>ELECTRICAL (co-orinated) - 14XX</t>
  </si>
  <si>
    <t>Electrical - Level -1</t>
  </si>
  <si>
    <t>Electrical - Level -2</t>
  </si>
  <si>
    <t>Electrical - Roof</t>
  </si>
  <si>
    <t>Switch Schedule</t>
  </si>
  <si>
    <t>Lighting Fixture  Schedule</t>
  </si>
  <si>
    <t>GENERAL ARRANGEMENT - ELEVATIONS - 20XX</t>
  </si>
  <si>
    <t>GA - Elevations</t>
  </si>
  <si>
    <t>GENERAL ARRANGEMENT - SECTIONS - 30XX</t>
  </si>
  <si>
    <t>GA -Sections</t>
  </si>
  <si>
    <t>BUILDING ENVOLOPE DETAILS -  44XX</t>
  </si>
  <si>
    <t>Wall Section - 1</t>
  </si>
  <si>
    <t>Wall Section - 2</t>
  </si>
  <si>
    <t>Roof Section</t>
  </si>
  <si>
    <t>Staircase 1 - Detail</t>
  </si>
  <si>
    <t>DOOR WINDOW-  47XX</t>
  </si>
  <si>
    <t>AREA PLANS - 66XX</t>
  </si>
  <si>
    <t>Area Plan - Level 1</t>
  </si>
  <si>
    <t>Area Plan - Level 2</t>
  </si>
  <si>
    <t>SIGNAGE &amp; BRANDING - 81XX</t>
  </si>
  <si>
    <t>CH</t>
  </si>
  <si>
    <t>Level 1 Signage</t>
  </si>
  <si>
    <t>Level 2 Signage</t>
  </si>
  <si>
    <t>RENDERS &amp; VIEWS - 82XX</t>
  </si>
  <si>
    <t>External Views</t>
  </si>
  <si>
    <t>RESIDENTIAL SECURITY CABIN 2 - BETWEEN T09 AND T07</t>
  </si>
  <si>
    <t>SC2</t>
  </si>
  <si>
    <t>Flooring Plan - Level 1</t>
  </si>
  <si>
    <t>RESIDENTIAL SECURITY CABIN 1 - BASAVANAGAR MAIN ROAD</t>
  </si>
  <si>
    <t>SC3</t>
  </si>
  <si>
    <t>Security cabin - Plans, elevation and sections</t>
  </si>
  <si>
    <t>Door - DW6</t>
  </si>
  <si>
    <t>Window -1</t>
  </si>
  <si>
    <t>TEMPORARY ENTRANCE GATE</t>
  </si>
  <si>
    <t>TMP</t>
  </si>
  <si>
    <t>Location Map, Vicinity Map and Index Of Drawings</t>
  </si>
  <si>
    <t>Abbrevations and Symbols</t>
  </si>
  <si>
    <t>1000</t>
  </si>
  <si>
    <t>Demolition Plan</t>
  </si>
  <si>
    <t>Partial Site Plan</t>
  </si>
  <si>
    <t>Road Layout and Set-Out Plan</t>
  </si>
  <si>
    <t>Partial Plan - Security Cabin</t>
  </si>
  <si>
    <t>Roof Plan</t>
  </si>
  <si>
    <t>Elevations - Temporary Entry</t>
  </si>
  <si>
    <t>Elevations - Security Cabin</t>
  </si>
  <si>
    <t>3100</t>
  </si>
  <si>
    <t>Security Cabin - Sections</t>
  </si>
  <si>
    <t>3200</t>
  </si>
  <si>
    <t>Wall Details - Typical Sections</t>
  </si>
  <si>
    <t>3201</t>
  </si>
  <si>
    <t>Wall Details - Typical Section 2</t>
  </si>
  <si>
    <t>Security Cabin Details</t>
  </si>
  <si>
    <t>Gate Details</t>
  </si>
  <si>
    <t>4006</t>
  </si>
  <si>
    <t>Window Details</t>
  </si>
  <si>
    <t>4100</t>
  </si>
  <si>
    <t>Security Cabin Toilet Details</t>
  </si>
  <si>
    <t>Signage Details</t>
  </si>
  <si>
    <t>Electrical Layout - Architectural</t>
  </si>
  <si>
    <t>CLUBHOUSE</t>
  </si>
  <si>
    <t>AMN</t>
  </si>
  <si>
    <t>G.A. Plan – SSL 1 - Level 2 - Part Plan - Block-A</t>
  </si>
  <si>
    <t>G.A. Plan – SSL 1 - Level 2 - Part Plan - Block-B&amp;C</t>
  </si>
  <si>
    <t>G.A. Plan – SSL 1 - Level 1 - Part Plan - Block-A</t>
  </si>
  <si>
    <t>G.A. Plan – SSL 1 - Level 1 - Part Plan - Block-B&amp;C</t>
  </si>
  <si>
    <t>Masonry Setout Plan – SSL 1 - Level 2 - Part Plan - Block-A</t>
  </si>
  <si>
    <t>Masonry Setout Plan – SSL 1 - Level 2 - Part Plan - Block-B&amp;C</t>
  </si>
  <si>
    <t>Masonry Setout Plan – SSL 1 - Level 1 - Part Plan - Block-A</t>
  </si>
  <si>
    <t>Masonry Setout Plan –SSL 1 - Level 1 - Part Plan - Block-B&amp;C</t>
  </si>
  <si>
    <t>Surface Drainage Plan - Pool Deck</t>
  </si>
  <si>
    <t>1401a</t>
  </si>
  <si>
    <t>Electrical - Level -2 - Part Plans</t>
  </si>
  <si>
    <t>1402a</t>
  </si>
  <si>
    <t>Electrical - Level -1 - Part Plan - Block-A</t>
  </si>
  <si>
    <t>1402b</t>
  </si>
  <si>
    <t>Electrical - Level -1 - Part Plan - Block-B&amp;C</t>
  </si>
  <si>
    <t xml:space="preserve">Electrical - Exterior Lighting </t>
  </si>
  <si>
    <t>1403a</t>
  </si>
  <si>
    <t>Electrical - Exterior Lighting Part A</t>
  </si>
  <si>
    <t>1403b</t>
  </si>
  <si>
    <t>Electrical - Exterior Lighting Part B</t>
  </si>
  <si>
    <t xml:space="preserve">REFLECTED CEILING PLANS WITH SLEEVE INFORMATION  (co-orinated) - 15XX </t>
  </si>
  <si>
    <t>Reflected Ceiling Plan – SSL 1 - Level 2</t>
  </si>
  <si>
    <t>Reflected Ceiling Plan – SSL 1 - Level 2 - Block-A</t>
  </si>
  <si>
    <t>1503</t>
  </si>
  <si>
    <t>Reflected Ceiling Plan – SSL 1 - Level 2 - Blocl B&amp;C</t>
  </si>
  <si>
    <t>1504</t>
  </si>
  <si>
    <t>Reflected Ceiling Plan – SSL 2 - Level 1</t>
  </si>
  <si>
    <t>1505</t>
  </si>
  <si>
    <t>1506</t>
  </si>
  <si>
    <t>3003</t>
  </si>
  <si>
    <t>DETAILED PLANS ( with false ceiling) -  40XX</t>
  </si>
  <si>
    <t>Squash Court 1 - Level 1 - Plan and Elevations</t>
  </si>
  <si>
    <t>Squash Court 2 - Level 1 - Plan and Elevations</t>
  </si>
  <si>
    <t>Theatre and Av Room - Level 1 - Plan and Sections</t>
  </si>
  <si>
    <t>Multipurpose Hall - Level 1 - Plan and Elevations</t>
  </si>
  <si>
    <t>Multipurpose Hall - Level 1 - Elevations</t>
  </si>
  <si>
    <t>YoGA / Dance Studio - Level 1 - Plan and Elevations</t>
  </si>
  <si>
    <t>Gym - Level 2 - Plan and Elevations</t>
  </si>
  <si>
    <t>Gym - Level 2 - Elevations</t>
  </si>
  <si>
    <t>Suite - Level 2 - Plan and Elevations</t>
  </si>
  <si>
    <t>Suite Bathroom - Level 2 - Plan and Elevations</t>
  </si>
  <si>
    <t>4319</t>
  </si>
  <si>
    <t>Club House Exterior Envelope Details</t>
  </si>
  <si>
    <t>Main Entrance Details</t>
  </si>
  <si>
    <t xml:space="preserve">Staircase 1 - Detail, Staircase 2, 3 Typical Detail </t>
  </si>
  <si>
    <t>WATER BODY -  52XX</t>
  </si>
  <si>
    <t>Heated Pool Area - Detail Sheet 1</t>
  </si>
  <si>
    <t>Heated Pool Area - Detail Sheet 2</t>
  </si>
  <si>
    <t>Heated Pool Area - Detail Sheet 3</t>
  </si>
  <si>
    <t>Heated Pool Area - Detail Sheet 4</t>
  </si>
  <si>
    <t>Heated Pool Area - Detail Sheet 5</t>
  </si>
  <si>
    <t>Heated Pool Area - Detail Sheet 6</t>
  </si>
  <si>
    <t>MECHANICAL SERVICE DETAILS -  62XX</t>
  </si>
  <si>
    <t>Level 2</t>
  </si>
  <si>
    <t>Level 1</t>
  </si>
  <si>
    <t>Window 1</t>
  </si>
  <si>
    <t>Door 3 and Window 2</t>
  </si>
  <si>
    <t>Window 4</t>
  </si>
  <si>
    <t>Door 12 and Window 5</t>
  </si>
  <si>
    <t>Window 6</t>
  </si>
  <si>
    <t>Door 8 and Window 7</t>
  </si>
  <si>
    <t>Window 8</t>
  </si>
  <si>
    <t>Window 9</t>
  </si>
  <si>
    <t>Door 8 and Window 10</t>
  </si>
  <si>
    <t>Window 11</t>
  </si>
  <si>
    <t>Window 12</t>
  </si>
  <si>
    <t>Indoor games - Level 1 - Plans</t>
  </si>
  <si>
    <t>Indoor games - Elevation &amp; sections</t>
  </si>
  <si>
    <t>Steam Room - Details</t>
  </si>
  <si>
    <t>Kitchen - Plan</t>
  </si>
  <si>
    <t>Kitchen &amp; Filteration room-Level 1 - Plan &amp; Section</t>
  </si>
  <si>
    <t>Kitchen - Sections &amp; Elevations</t>
  </si>
  <si>
    <t>Kitchen &amp; Filteration room-Level 1 - Section</t>
  </si>
  <si>
    <t>TOILET DETAILS - 55XX</t>
  </si>
  <si>
    <t>Men'S Toilet - Level 2 - Plan and Sections</t>
  </si>
  <si>
    <t>Men'S Toilet - Level 2 - Plans and Sections</t>
  </si>
  <si>
    <t>Women'S Toilet - Level 2 - Plan and Sections</t>
  </si>
  <si>
    <t>Men'S Toilet - Level 2 - Reflected Ceiling Plan</t>
  </si>
  <si>
    <t>Women'S Toilet - Level 2 - Reflected Ceiling Plan</t>
  </si>
  <si>
    <t>SPECIFICATION - 80XX</t>
  </si>
  <si>
    <t>Gym Equipments</t>
  </si>
  <si>
    <t>Floor Dado &amp; Counter</t>
  </si>
  <si>
    <t>Plumbing &amp; Sanitary Fixtures</t>
  </si>
  <si>
    <t>Indoor game equipments</t>
  </si>
  <si>
    <t>Lighting Fixtures</t>
  </si>
  <si>
    <t>Cabinetry</t>
  </si>
  <si>
    <t>Signage</t>
  </si>
  <si>
    <t>Chamber Cover details</t>
  </si>
  <si>
    <t>Vendor</t>
  </si>
  <si>
    <t>Equipment and appliances</t>
  </si>
  <si>
    <t>Loose Furniture</t>
  </si>
  <si>
    <t>CHILDREN'S PARK</t>
  </si>
  <si>
    <t>CP</t>
  </si>
  <si>
    <t>Setout Plan</t>
  </si>
  <si>
    <t>G.A. Plan – Level 1</t>
  </si>
  <si>
    <t>Masonry Setout Plan – Level 1</t>
  </si>
  <si>
    <t>Flooring Plan – Level 1</t>
  </si>
  <si>
    <t>DETAILED PLANS -  40XX</t>
  </si>
  <si>
    <t>Detailed Plan - 1</t>
  </si>
  <si>
    <t>Detailed Plan - 2</t>
  </si>
  <si>
    <t>Detailed Plan - 3</t>
  </si>
  <si>
    <t>RENDERS &amp; VIEWS - 80XX</t>
  </si>
  <si>
    <t>Signage Plan - Level 1</t>
  </si>
  <si>
    <t>RENDERS &amp; VIEWS - 81XX</t>
  </si>
  <si>
    <t>Internal Views (A)</t>
  </si>
  <si>
    <t>Internal Views (B)</t>
  </si>
  <si>
    <t>DOG PARK</t>
  </si>
  <si>
    <t>DP</t>
  </si>
  <si>
    <t>BOARD WALK</t>
  </si>
  <si>
    <t>BW</t>
  </si>
  <si>
    <t>COURTS</t>
  </si>
  <si>
    <t>CO</t>
  </si>
  <si>
    <t>G.A. Plan – SSL 2 - Level 2 Roof</t>
  </si>
  <si>
    <t>Masonry Setout Plan  - Level 2</t>
  </si>
  <si>
    <t>Flooring Plan – Level 2 Roof</t>
  </si>
  <si>
    <t>Electrical - Level -2 Roof</t>
  </si>
  <si>
    <t>Reflected Ceiling Plan – SSL 1 - Level 1</t>
  </si>
  <si>
    <t>Reflected Ceiling Plan – SSL 1 - Level 2 - Roof</t>
  </si>
  <si>
    <t>Badminton Court Details 1</t>
  </si>
  <si>
    <t>Badminton Court Details 2</t>
  </si>
  <si>
    <t>Tennis Court Details 1</t>
  </si>
  <si>
    <t>Tennis Court Details 2</t>
  </si>
  <si>
    <t>Toilet 1 &amp; 2 - Level 1 - Plan</t>
  </si>
  <si>
    <t>Toilet 1 - Level 1 - Elevations</t>
  </si>
  <si>
    <t>Toilet 2 - Level 1 - Elevations</t>
  </si>
  <si>
    <t>SIGNAGE &amp; BRANDING - 80XX</t>
  </si>
  <si>
    <t>External Views (A)</t>
  </si>
  <si>
    <t>External Views (B)</t>
  </si>
  <si>
    <t>SECURITY CABIN</t>
  </si>
  <si>
    <t>SITE PLAN</t>
  </si>
  <si>
    <t xml:space="preserve">Security Cabin Site Details </t>
  </si>
  <si>
    <t xml:space="preserve">Security Cabin - Plans , Elevations and Sections </t>
  </si>
  <si>
    <t>Toilet Details</t>
  </si>
  <si>
    <t>@</t>
  </si>
  <si>
    <t>Plan in FY 24</t>
  </si>
  <si>
    <t>Issued in FY 24</t>
  </si>
  <si>
    <t>ST | DRAWING LIST</t>
  </si>
  <si>
    <t>Mar-22</t>
  </si>
  <si>
    <t>Phase 1 -Excavation Layout and sections</t>
  </si>
  <si>
    <t>Phase 2 - Excavation Sections</t>
  </si>
  <si>
    <t>SSO</t>
  </si>
  <si>
    <r>
      <t xml:space="preserve">Independent Subgrade Structure—Block </t>
    </r>
    <r>
      <rPr>
        <b/>
        <sz val="10"/>
        <color theme="1"/>
        <rFont val="Meta-Normal"/>
        <family val="3"/>
      </rPr>
      <t>01</t>
    </r>
  </si>
  <si>
    <t>T1-T7</t>
  </si>
  <si>
    <t>FD</t>
  </si>
  <si>
    <t>FOUNDATION DETAILS</t>
  </si>
  <si>
    <t>SS1</t>
  </si>
  <si>
    <t>CL</t>
  </si>
  <si>
    <t>COLUMN DETAILS</t>
  </si>
  <si>
    <t>RW</t>
  </si>
  <si>
    <t>RETAINING WALL DETAILS</t>
  </si>
  <si>
    <t>FP</t>
  </si>
  <si>
    <t>FRAMING PLANS</t>
  </si>
  <si>
    <t>BM</t>
  </si>
  <si>
    <t>BEAM REINFORCEMENT DETAILS—PODIUM</t>
  </si>
  <si>
    <t>SB</t>
  </si>
  <si>
    <t>SLAB REINFORCEMENT DETAILS—PODIUM</t>
  </si>
  <si>
    <r>
      <t xml:space="preserve">Independent Subgrade Structure—Block </t>
    </r>
    <r>
      <rPr>
        <b/>
        <sz val="10"/>
        <color theme="1"/>
        <rFont val="Meta-Normal"/>
        <family val="3"/>
      </rPr>
      <t>02</t>
    </r>
  </si>
  <si>
    <t>SS2</t>
  </si>
  <si>
    <r>
      <t xml:space="preserve">Independent Subgrade Structure—Block </t>
    </r>
    <r>
      <rPr>
        <b/>
        <sz val="10"/>
        <color theme="1"/>
        <rFont val="Meta-Normal"/>
        <family val="3"/>
      </rPr>
      <t>03</t>
    </r>
  </si>
  <si>
    <t>SS3</t>
  </si>
  <si>
    <r>
      <t xml:space="preserve">Independent Subgrade Structure—Block </t>
    </r>
    <r>
      <rPr>
        <b/>
        <sz val="10"/>
        <color theme="1"/>
        <rFont val="Meta-Normal"/>
        <family val="3"/>
      </rPr>
      <t>04</t>
    </r>
  </si>
  <si>
    <t>SS4</t>
  </si>
  <si>
    <r>
      <t xml:space="preserve">Independent Subgrade Structure—Block </t>
    </r>
    <r>
      <rPr>
        <b/>
        <sz val="10"/>
        <color theme="1"/>
        <rFont val="Meta-Normal"/>
        <family val="3"/>
      </rPr>
      <t>05</t>
    </r>
  </si>
  <si>
    <t>SS5</t>
  </si>
  <si>
    <r>
      <t xml:space="preserve">Independent Subgrade Structure—Block </t>
    </r>
    <r>
      <rPr>
        <b/>
        <sz val="10"/>
        <color theme="1"/>
        <rFont val="Meta-Normal"/>
        <family val="3"/>
      </rPr>
      <t>06</t>
    </r>
  </si>
  <si>
    <t>SS6</t>
  </si>
  <si>
    <r>
      <t xml:space="preserve">Independent Subgrade Structure—Block </t>
    </r>
    <r>
      <rPr>
        <b/>
        <sz val="10"/>
        <color theme="1"/>
        <rFont val="Meta-Normal"/>
        <family val="3"/>
      </rPr>
      <t>07</t>
    </r>
  </si>
  <si>
    <t>SS7</t>
  </si>
  <si>
    <r>
      <t xml:space="preserve">Independent Subgrade Structure—Block </t>
    </r>
    <r>
      <rPr>
        <b/>
        <sz val="10"/>
        <color theme="1"/>
        <rFont val="Meta-Normal"/>
        <family val="3"/>
      </rPr>
      <t>08</t>
    </r>
  </si>
  <si>
    <t>SS8</t>
  </si>
  <si>
    <r>
      <t xml:space="preserve">Independent Subgrade Structure—Block </t>
    </r>
    <r>
      <rPr>
        <b/>
        <sz val="10"/>
        <color theme="1"/>
        <rFont val="Meta-Normal"/>
        <family val="3"/>
      </rPr>
      <t>09</t>
    </r>
  </si>
  <si>
    <t>SS9</t>
  </si>
  <si>
    <r>
      <t xml:space="preserve">Independent Subgrade Structure—Block </t>
    </r>
    <r>
      <rPr>
        <b/>
        <sz val="10"/>
        <color theme="1"/>
        <rFont val="Meta-Normal"/>
        <family val="3"/>
      </rPr>
      <t>10</t>
    </r>
  </si>
  <si>
    <t>S10</t>
  </si>
  <si>
    <r>
      <t xml:space="preserve">Independent Subgrade Structure—Block </t>
    </r>
    <r>
      <rPr>
        <b/>
        <sz val="10"/>
        <color theme="1"/>
        <rFont val="Meta-Normal"/>
        <family val="3"/>
      </rPr>
      <t>11</t>
    </r>
  </si>
  <si>
    <t>S11</t>
  </si>
  <si>
    <r>
      <t xml:space="preserve">Independent Subgrade Structure—Block </t>
    </r>
    <r>
      <rPr>
        <b/>
        <sz val="10"/>
        <color theme="1"/>
        <rFont val="Meta-Normal"/>
        <family val="3"/>
      </rPr>
      <t>12</t>
    </r>
    <r>
      <rPr>
        <sz val="10"/>
        <color theme="1"/>
        <rFont val="Neo Sans Pro Medium"/>
        <family val="2"/>
      </rPr>
      <t xml:space="preserve"> [6V EXT BSMNT]</t>
    </r>
  </si>
  <si>
    <t>S12</t>
  </si>
  <si>
    <t>FOUNDATION DRAWINGS TOWER 1</t>
  </si>
  <si>
    <t>RAFT PCC LAYOUT</t>
  </si>
  <si>
    <t>FOUNDATION LAYOUT</t>
  </si>
  <si>
    <t>RAFT REINFORCEMENT DETAILS</t>
  </si>
  <si>
    <t>RAFT SECTIONS</t>
  </si>
  <si>
    <t>CONSTRCUTIONS JOINT DETAILS</t>
  </si>
  <si>
    <t>THERMOCOUPLE LOCATION DETAILS</t>
  </si>
  <si>
    <t>ISOLATED FOOTING DETAILS</t>
  </si>
  <si>
    <t>RETAINING WALL</t>
  </si>
  <si>
    <t>TYPICAL RETAINING WALL  DETAILS</t>
  </si>
  <si>
    <t>RETAINING WALLS-CLOSURE DETAILS</t>
  </si>
  <si>
    <t>COLUMN DRAWINGS</t>
  </si>
  <si>
    <t>GENERAL COLUMN DETAILS</t>
  </si>
  <si>
    <t>TYPICAL COLUMN LAPPING DETAILS</t>
  </si>
  <si>
    <t>COLUMN DETAILS - FOUNDATION TO SSL 3</t>
  </si>
  <si>
    <t>COLUMN DETAILS - SSL 4 TO 13</t>
  </si>
  <si>
    <t>COLUMN DETAILS - SSL 14 TO 27</t>
  </si>
  <si>
    <t>COLUMN DETAILS - SSL 28 To ROOF</t>
  </si>
  <si>
    <t xml:space="preserve">FRAMING PLANS </t>
  </si>
  <si>
    <t>FRAMING PLAN SSL 1</t>
  </si>
  <si>
    <t>FRAMING PLAN SSL 2  TO 9</t>
  </si>
  <si>
    <t>FRAMING PLAN SSL 10 TO  28</t>
  </si>
  <si>
    <t>FRAMING PLAN SSL 29</t>
  </si>
  <si>
    <t>FRAMING PLAN SSL 30</t>
  </si>
  <si>
    <t>FRAMING PLAN OF OHT</t>
  </si>
  <si>
    <t xml:space="preserve">BEAM DRAWINGS </t>
  </si>
  <si>
    <t>GENERAL NOTES - BEAMS</t>
  </si>
  <si>
    <t xml:space="preserve">BEAM DETAILS - SSL 1 </t>
  </si>
  <si>
    <t>BEAM DETAILS - SSL 2 TO 9</t>
  </si>
  <si>
    <t>BEAM DETAILS - SSL 10 TO 27</t>
  </si>
  <si>
    <t>BEAM DETAILS - SSL28</t>
  </si>
  <si>
    <t>BEAM DETAILS - SSL29</t>
  </si>
  <si>
    <t>BEAM DETAILS - SSL30</t>
  </si>
  <si>
    <t>BEAM DETAILS - OHT</t>
  </si>
  <si>
    <t xml:space="preserve">SLAB DRAWINGS </t>
  </si>
  <si>
    <t>GENERAL NOTES - SLABS</t>
  </si>
  <si>
    <t xml:space="preserve">SLAB DETAILS - SSL 1 </t>
  </si>
  <si>
    <t>SLAB DETAILS - SSL 2 TO 27</t>
  </si>
  <si>
    <t>SLAB DETAILS - SSL 28</t>
  </si>
  <si>
    <t>SLAB DETAILS - SSL29</t>
  </si>
  <si>
    <t>SLAB DETAILS - SSL30</t>
  </si>
  <si>
    <t>SLAB DETAILS - OHT</t>
  </si>
  <si>
    <t>SLEEVE DRAWINGS</t>
  </si>
  <si>
    <t>SL</t>
  </si>
  <si>
    <t xml:space="preserve">SLEEVE DETAILS - SSL 1 </t>
  </si>
  <si>
    <t>SLEEVE DETAILS - SSL 2 TO 27</t>
  </si>
  <si>
    <t>SLEEVE  DETAILS - SSL28</t>
  </si>
  <si>
    <t>SLEEVE DETAILS - SSL29</t>
  </si>
  <si>
    <t>SLEEVE  DETAILS - SSL30</t>
  </si>
  <si>
    <t>STAIRCASE DRAWINGS</t>
  </si>
  <si>
    <t>MAIN STAIRCASE DETAILS</t>
  </si>
  <si>
    <t>PENTHOUSE INTERNAL STAIRCASE DETAILS</t>
  </si>
  <si>
    <t>ROOF EXTERNAL STAIRCASE DETAILS</t>
  </si>
  <si>
    <t>CONNECTING PERGOLAS</t>
  </si>
  <si>
    <t>CONNECTING PERGOLAS INSERT PLATE DETAILS</t>
  </si>
  <si>
    <t>CONNECTING PERGOLA REINFORCEMENT DETAILS</t>
  </si>
  <si>
    <t>FOUNDATION DRAWINGS</t>
  </si>
  <si>
    <t>COLUMN DRAWINGS  - L30</t>
  </si>
  <si>
    <t>COLUMN DETAILS - SSL 14 TO 29</t>
  </si>
  <si>
    <t>COLUMN DETAILS - SSL 30 To ROOF</t>
  </si>
  <si>
    <t>COLUMN DRAWINGS - C20</t>
  </si>
  <si>
    <t>FRAMING PLAN SSL 31</t>
  </si>
  <si>
    <t>FRAMING PLAN SSL 32</t>
  </si>
  <si>
    <t>BEAM DRAWINGS  L30</t>
  </si>
  <si>
    <t>BEAM DETAILS - SSL 10 TO 18</t>
  </si>
  <si>
    <t>BEAM DETAILS - SSL 19 TO 27</t>
  </si>
  <si>
    <t xml:space="preserve">BEAM DETAILS - SSL 28 </t>
  </si>
  <si>
    <t>BEAM DETAILS - SSL 29</t>
  </si>
  <si>
    <t>BEAM DETAILS - SSL 30</t>
  </si>
  <si>
    <t>BEAM DETAILS - SSL 31</t>
  </si>
  <si>
    <t>BEAM DETAILS - SSL 32</t>
  </si>
  <si>
    <t>BEAM DRAWINGS - C20</t>
  </si>
  <si>
    <t>SLAB DRAWINGS - L30</t>
  </si>
  <si>
    <t>SLAB DETAILS - SSL 2 TO 9</t>
  </si>
  <si>
    <t>SLAB DETAILS - SSL10 TO 18</t>
  </si>
  <si>
    <t>SLAB DETAILS - SSL 19 TO 27</t>
  </si>
  <si>
    <t>SLAB DETAILS - SSL 29</t>
  </si>
  <si>
    <t>SLAB DETAILS - SSL 30</t>
  </si>
  <si>
    <t>SLAB DETAILS - SSL 31</t>
  </si>
  <si>
    <t>SLAB DETAILS - SSL 32</t>
  </si>
  <si>
    <t>SLAB DRAWINGS - C20</t>
  </si>
  <si>
    <t>SLEEVE DRAWINGS  - L30</t>
  </si>
  <si>
    <t>SLEEVE DETAILS - SSL 2 TO 9</t>
  </si>
  <si>
    <t>SLEEVE DETAILS - SSL 10 TO 27</t>
  </si>
  <si>
    <t>SLEEVE DETAILS - SSL 28</t>
  </si>
  <si>
    <t>SLEEVE DETAILS - SSL 29</t>
  </si>
  <si>
    <t>SLEEVE DETAILS - SSL30</t>
  </si>
  <si>
    <t>SLEEVE DETAILS - SSL 31</t>
  </si>
  <si>
    <t>SLEEVE DETAILS - SSL 32</t>
  </si>
  <si>
    <t>SLEEVE DRAWINGS  - C20</t>
  </si>
  <si>
    <t>SLEEVE DETAILS - SSL 30</t>
  </si>
  <si>
    <t>M</t>
  </si>
  <si>
    <t>CONNECTING BRIDGE BETWEEN VERTICAL TOWERS</t>
  </si>
  <si>
    <t xml:space="preserve">PCC LAYOUT </t>
  </si>
  <si>
    <t xml:space="preserve">FOUNDATION LAYOUT </t>
  </si>
  <si>
    <t>FOOTING REINFORCEMENT DETAILS AND SECTIONS</t>
  </si>
  <si>
    <t>TYPICAL COUPLER AND LAPPING DETAILS</t>
  </si>
  <si>
    <t>COLUMN DETAILS - FOUNDATION TO SSL 2</t>
  </si>
  <si>
    <t>COLUMN DETAILS - SSL 3</t>
  </si>
  <si>
    <t>COLUMN DETAILS - SSL 4 TO 8</t>
  </si>
  <si>
    <t>RETAINGING WALL DETAILS</t>
  </si>
  <si>
    <t>FRONT RETAINING WALL DETAILS</t>
  </si>
  <si>
    <t>SIDE -CLOSURE RETAINING WALL DETAILS</t>
  </si>
  <si>
    <t>RAMP RETAININIG WALL DETAILS</t>
  </si>
  <si>
    <t xml:space="preserve">FRAMING PLAN SSL 1 </t>
  </si>
  <si>
    <t>FRAMING PLAN SSL 2</t>
  </si>
  <si>
    <t>FRAMING PLAN SSL 3</t>
  </si>
  <si>
    <t>FRAMING PLAN SSL 4</t>
  </si>
  <si>
    <t>FRAMING PLAN SSL 5</t>
  </si>
  <si>
    <t>FRAMING PLAN SSL 6</t>
  </si>
  <si>
    <t>FRAMING PLAN SSL 7</t>
  </si>
  <si>
    <t>FRAMING PLAN SSL 8</t>
  </si>
  <si>
    <t>BEAM DETAILS - SSL 2</t>
  </si>
  <si>
    <t>BEAM DETAILS - SSL 3</t>
  </si>
  <si>
    <t>BEAM DETAILS - SSL 4</t>
  </si>
  <si>
    <t>BEAM DETAILS - SSL 5</t>
  </si>
  <si>
    <t>BEAM DETAILS - SSL 6</t>
  </si>
  <si>
    <t>BEAM DETAILS - SSL 7</t>
  </si>
  <si>
    <t>BEAM DETAILS - SSL 8</t>
  </si>
  <si>
    <t>SLAB DRAWINGS</t>
  </si>
  <si>
    <t>SLAB DETAILS - SSL 2</t>
  </si>
  <si>
    <t>SLAB DETAILS - SSL 3</t>
  </si>
  <si>
    <t>SLAB DETAILS - SSL 4</t>
  </si>
  <si>
    <t>SLAB DETAILS - SSL 5</t>
  </si>
  <si>
    <t>SLAB DETAILS - SSL 6</t>
  </si>
  <si>
    <t>SLAB DETAILS - SSL 7</t>
  </si>
  <si>
    <t>SLAB DETAILS - SSL 8</t>
  </si>
  <si>
    <t xml:space="preserve">SLEEVE DRAWINGS </t>
  </si>
  <si>
    <t>SLEEVE DETAILS - SSL 1</t>
  </si>
  <si>
    <t>SLEEVE DETAILS - SSL 2</t>
  </si>
  <si>
    <t>SLEEVE DETAILS - SSL 3</t>
  </si>
  <si>
    <t>SLEEVE DETAILS - SSL 4</t>
  </si>
  <si>
    <t>SLEEVE DETAILS - SSL 5</t>
  </si>
  <si>
    <t>SLEEVE DETAILS - SSL 6</t>
  </si>
  <si>
    <t>SLEEVE DETAILS - SSL 7</t>
  </si>
  <si>
    <t>SLEEVE DETAILS - SSL 8</t>
  </si>
  <si>
    <t>STAIRCASE DRAWINGS AND RAMP DRAWINGS</t>
  </si>
  <si>
    <t>STARICASE 1 DRAWINGS</t>
  </si>
  <si>
    <t>STAIRCASE 2 DRAWINGS</t>
  </si>
  <si>
    <t>STAIRCASE 3 DRAWINGS</t>
  </si>
  <si>
    <t>STAIRCASE 4 DRAWINGS</t>
  </si>
  <si>
    <t>RAMP DRAIWINGS</t>
  </si>
  <si>
    <t>CONNECTING BRIDGE DETAILS</t>
  </si>
  <si>
    <t>CONNECTING BRIDGE DOWEL DETAILS</t>
  </si>
  <si>
    <t>CONNECTING BRIDGE REINFORCEMENT DETAILS</t>
  </si>
  <si>
    <t>S</t>
  </si>
  <si>
    <t>Beam Anchoring Details</t>
  </si>
  <si>
    <t xml:space="preserve">FOUNDATION DRAWINGS </t>
  </si>
  <si>
    <t>PCC LAYOUT</t>
  </si>
  <si>
    <t>FOOTING REINFORCEMENT DETAILS</t>
  </si>
  <si>
    <t>FOOTING SECTIONS</t>
  </si>
  <si>
    <t>COLUMN DRAWINGS- L30</t>
  </si>
  <si>
    <t xml:space="preserve">COLUMN DETAILS - SSL 28 </t>
  </si>
  <si>
    <t>COLUMN DETAILS - SSL 29</t>
  </si>
  <si>
    <t>COLUMN DRAWINGS  - C20</t>
  </si>
  <si>
    <t>COLUMN DETAILS - SSL 28</t>
  </si>
  <si>
    <t xml:space="preserve">FRAMING PLAN SSL 2 </t>
  </si>
  <si>
    <t xml:space="preserve">FRAMING PLAN SSL 3,4 </t>
  </si>
  <si>
    <t>FRAMING PLAN SSL 5,6,7</t>
  </si>
  <si>
    <t>FRAMING PLAN SSL 8,9,</t>
  </si>
  <si>
    <t>BEAM DRAWINGS  - L30</t>
  </si>
  <si>
    <t>BEAM DETAILS - SSL 3,4</t>
  </si>
  <si>
    <t>BEAM DETAILS - SSL 6,7,8</t>
  </si>
  <si>
    <t>BEAM DETAILS - SSL 9</t>
  </si>
  <si>
    <t xml:space="preserve">BEAM DETAILS - SSL 10 - 28 </t>
  </si>
  <si>
    <t>BEAM DRAWINGS  - C20</t>
  </si>
  <si>
    <t>BEAM DETAILS - SSL 10 TO 28</t>
  </si>
  <si>
    <t>SLAB DETAILS - SSL 3,4</t>
  </si>
  <si>
    <t>SLAB DETAILS - SSL6,7,8</t>
  </si>
  <si>
    <t>SLAB DETAILS - SSL 9</t>
  </si>
  <si>
    <t>SLAB DETAILS - SSL 10-28</t>
  </si>
  <si>
    <t>SLEEVE DETAILS - SSL 6,7,8,9</t>
  </si>
  <si>
    <t>SLEEVE DETAILS - SSL 10 TO 28</t>
  </si>
  <si>
    <t>SLEEVE DETAILS - SSL31</t>
  </si>
  <si>
    <t>SLEEVE DETAILS - SSL32</t>
  </si>
  <si>
    <t>SLEEVE DRAWINGS - C20</t>
  </si>
  <si>
    <t>CONNECTING PERGOLA DETAILS</t>
  </si>
  <si>
    <t>T3S</t>
  </si>
  <si>
    <t>TYPICAL BOLLARD DETAILS</t>
  </si>
  <si>
    <t xml:space="preserve"> FRAMING PLAN SSL 1</t>
  </si>
  <si>
    <t xml:space="preserve"> FRAMING PLAN SSL 2</t>
  </si>
  <si>
    <t xml:space="preserve"> FRAMING PLAN SSL 3</t>
  </si>
  <si>
    <t xml:space="preserve"> FRAMING PLAN SSL 4</t>
  </si>
  <si>
    <t xml:space="preserve"> FRAMING PLAN SSL 5</t>
  </si>
  <si>
    <t xml:space="preserve"> FRAMING PLAN SSL 6</t>
  </si>
  <si>
    <t xml:space="preserve"> FRAMING PLAN SSL 7</t>
  </si>
  <si>
    <t xml:space="preserve"> FRAMING PLAN SSL 8</t>
  </si>
  <si>
    <t>BEAM DRAWINGS</t>
  </si>
  <si>
    <t xml:space="preserve">SLEEVE DETAILS - SSL 2 </t>
  </si>
  <si>
    <t>T4S</t>
  </si>
  <si>
    <t>STAIRCASE 1 DRAWINGS</t>
  </si>
  <si>
    <t>CONNECTING BRIDGE DOWELDETAILS</t>
  </si>
  <si>
    <t>SLEEVE DETAILS - SSL 2 TO 28</t>
  </si>
  <si>
    <t>FRONT RETIANING WALL DETAILS</t>
  </si>
  <si>
    <t>TYP STAIRCASE FLIGHT EXTENSION DETAILS</t>
  </si>
  <si>
    <t>TO7</t>
  </si>
  <si>
    <t>FRAMING PLAN SSL 10 TO  27</t>
  </si>
  <si>
    <t>FRAMING PLAN SSL 28</t>
  </si>
  <si>
    <t>MAIN STAIRCASE DETAILS(FDN TO SSL29)</t>
  </si>
  <si>
    <t>V01</t>
  </si>
  <si>
    <t>CLUSTER 1 - FOUNDATION LAYOUT</t>
  </si>
  <si>
    <t>TYPICAL DETAILS FOR ISOLATED FOOTINGS</t>
  </si>
  <si>
    <t>TABLE OF REINFORCEMENT FOR FOOTING</t>
  </si>
  <si>
    <t>TYPICAL RETAINING WALL &amp; ISOLATED FOOTING DETAIL</t>
  </si>
  <si>
    <t>FRAMING PLAN AT SSL 0- 5</t>
  </si>
  <si>
    <t>TYPICAL COLUMN DETAILS</t>
  </si>
  <si>
    <t>CLOUMN REINFORCEMENT DETAILS</t>
  </si>
  <si>
    <t>VILLA - BLOCK 2 - COLUMN ELEVATIONS</t>
  </si>
  <si>
    <t>BEAM REINFORCEMENT DETAILS</t>
  </si>
  <si>
    <t>SLAB REINFORCEMENT DETAILS</t>
  </si>
  <si>
    <t>SLEEVE DETAILS SSL 1-5</t>
  </si>
  <si>
    <t>PLANTER BOX DETAILS</t>
  </si>
  <si>
    <t>SWIMMING POOL AND PARTITION WALL DETAILS</t>
  </si>
  <si>
    <t>RETAINING WALL SECTIONS</t>
  </si>
  <si>
    <t>V03</t>
  </si>
  <si>
    <t>CLUSTER 3 - FOUNDATION LAYOUT</t>
  </si>
  <si>
    <t>Closed Q1 25</t>
  </si>
  <si>
    <t>TBC Praveen</t>
  </si>
  <si>
    <t>SITE</t>
  </si>
  <si>
    <t>ENCLOSURE AND FENCING DETAILS - 1</t>
  </si>
  <si>
    <t>RAMP DETAILS - 1 - RAMP ADJACENT TO VILLA CLUSTER 1 (RAMP 07)</t>
  </si>
  <si>
    <t>RAMP DETAILS - 2</t>
  </si>
  <si>
    <t>RAMP DETAILS - 3</t>
  </si>
  <si>
    <t>RAMP DETAILS - 4</t>
  </si>
  <si>
    <t>RAMP DETAILS - 9</t>
  </si>
  <si>
    <t>SI</t>
  </si>
  <si>
    <t>ELECTRICAL TRENCH</t>
  </si>
  <si>
    <t>WATER TRENCH</t>
  </si>
  <si>
    <t>ROAD</t>
  </si>
  <si>
    <t>STORM WATER DRAINAGE</t>
  </si>
  <si>
    <t>RECHARGE PITS</t>
  </si>
  <si>
    <t>COMPOUND WALL AND BOUNDARY WALLS (Master plan showing boundary wall extent details)</t>
  </si>
  <si>
    <t>Compound Wall Detail (Stretch H, I, J, K, &amp; L) Sheet 1 of 2</t>
  </si>
  <si>
    <t>Compound Wall Detail (Stretch H, I, J, K, &amp; L) Sheet 2 of 2</t>
  </si>
  <si>
    <t>Compound Wall Details (Sheet 1 of 2)</t>
  </si>
  <si>
    <t>Compound Wall Detail (Stretch E, F, &amp; G)</t>
  </si>
  <si>
    <t>SECURITY CABIN DETAILS</t>
  </si>
  <si>
    <t>RESIDENTIAL SECURITY CABIN BEAM REINFORCEMENT DETAILS</t>
  </si>
  <si>
    <t>RESIDENTIAL SECURITY CABIN BOTTOM SLAB REINFORCEMENT AND BBS DETAILS</t>
  </si>
  <si>
    <t>RESIDENTIAL SECURITY CABIN TOP SLAB REINFORCEMENT AND BBS DETAILS</t>
  </si>
  <si>
    <t>STREET LIGHT POLE DETAILS</t>
  </si>
  <si>
    <t>ENTRANCE GATE</t>
  </si>
  <si>
    <t>DG YARD FOUNDATION</t>
  </si>
  <si>
    <t>SECURITY CABINS Commercial and Residential</t>
  </si>
  <si>
    <t>PSC</t>
  </si>
  <si>
    <t>OTHER MISCELLANEOUS</t>
  </si>
  <si>
    <t>SECURITY CABINS - BASAVANAGAR MAIN ROAD</t>
  </si>
  <si>
    <t>GAS BANK STURTURES</t>
  </si>
  <si>
    <t>GBS</t>
  </si>
  <si>
    <t>ELECTRICAL ROOM</t>
  </si>
  <si>
    <t>SUB</t>
  </si>
  <si>
    <t>ELECTRICAL PANEL ROOM -2 DETAILS</t>
  </si>
  <si>
    <t>ELECTRICAL PANEL ROOM-2 BEAM DETAILS</t>
  </si>
  <si>
    <t>ELECTRICAL PANEL ROOM-2 SLAB, FOOTING AND COLUMN REINF. DETAILS</t>
  </si>
  <si>
    <t>ELECTRICAL PANEL ROOM-2 FOOTING REINF. DETAILS</t>
  </si>
  <si>
    <t>CHB</t>
  </si>
  <si>
    <t xml:space="preserve"> RETAINING WALL DETAILS</t>
  </si>
  <si>
    <t>BEAM REINFORCEMENT DETAILS—ROOF</t>
  </si>
  <si>
    <t>SLAB REINFORCEMENT DETAILS—ROOF</t>
  </si>
  <si>
    <t>ENTRANCE SUPPORT DETAILS</t>
  </si>
  <si>
    <t>Kitchen Sump Tank Detail</t>
  </si>
  <si>
    <t>Heated Pool Details</t>
  </si>
  <si>
    <t>SPORTS COMPLEX</t>
  </si>
  <si>
    <t>Issued in FY: 24</t>
  </si>
  <si>
    <t>PLUMBING</t>
  </si>
  <si>
    <t>PHE</t>
  </si>
  <si>
    <t>T01-T02</t>
  </si>
  <si>
    <t>Grade Slab Basement Floor Plan Surface Drainage Layout</t>
  </si>
  <si>
    <t>Grade Slab Basement Floor Plan Sub Soil Drainage Layout</t>
  </si>
  <si>
    <t>T03-T04</t>
  </si>
  <si>
    <t>T05-T07</t>
  </si>
  <si>
    <t>1018</t>
  </si>
  <si>
    <t>T01-T07</t>
  </si>
  <si>
    <t>Basement Surface, Sub-soil and Garbage Sump - Plan and Section Details</t>
  </si>
  <si>
    <t>SSL 1Basement Ceiling Plan - Water supply</t>
  </si>
  <si>
    <t>SSL 1Basement Ceiling Plan - Drainage Layout [Sewage, Rainwater, Irrigation]</t>
  </si>
  <si>
    <t>SSL 1Basement Ceiling Plan -  Gas</t>
  </si>
  <si>
    <t>Staff Lounge Oplumbing drawings - Water supply and Drainage</t>
  </si>
  <si>
    <t>ELECTRICAL</t>
  </si>
  <si>
    <t>ELE</t>
  </si>
  <si>
    <t xml:space="preserve">SSL1- Basement Equipment layout  </t>
  </si>
  <si>
    <t xml:space="preserve">SSL1- Basement Cable Tray  layout  </t>
  </si>
  <si>
    <t xml:space="preserve">SSL1- Basement lighting layout </t>
  </si>
  <si>
    <t>SSL1- Tower 1 &amp; 2 Basement Cable Tray  layout  [UGT &amp; STP]</t>
  </si>
  <si>
    <t>T2s-T3s</t>
  </si>
  <si>
    <t>Tower-1 Electrical Room located @ Tower-2 (SSL 02) Stepped Block</t>
  </si>
  <si>
    <t>Tower-1 Electrical Room Elevation &amp; Sections</t>
  </si>
  <si>
    <t>HVAC</t>
  </si>
  <si>
    <t>SSL 1 - Basement Mechanical ventilation Layout</t>
  </si>
  <si>
    <t>FIRE PROTECTION SYSTEM</t>
  </si>
  <si>
    <t>FPS</t>
  </si>
  <si>
    <t>SSL 1 - Basement  -Fire Fighting Layout</t>
  </si>
  <si>
    <t>SSL 1 - Basement -Fire Detection conduit layout</t>
  </si>
  <si>
    <t>COORDINATED</t>
  </si>
  <si>
    <t>(BASEMENT CEILING PLAN) TOWER-01 &amp; 02 SERVICES COORDINATED DRAWING</t>
  </si>
  <si>
    <t>(BASEMENT CEILING PLAN) SERVICES COORDINATED DRAWING SECTION LAYOUT</t>
  </si>
  <si>
    <t>Coordinated Grade Slab BF Storm water &amp; Sub Soil sump tank details</t>
  </si>
  <si>
    <t>Coordinated Grade Slab BF Storm water &amp; Sub Soil sump tank - Section</t>
  </si>
  <si>
    <t>SSL 1Coordinated Basement Ceiling Plan</t>
  </si>
  <si>
    <t>SSL 1Coordinated Basement Ceiling Section Layout</t>
  </si>
  <si>
    <t>ToweR: 01 &amp; 07</t>
  </si>
  <si>
    <t>TERRACE FLOOR</t>
  </si>
  <si>
    <t>Enlarged Toilet details</t>
  </si>
  <si>
    <t>SSL 29 (Terrace floor ) -  Water Supply Distribution Layout for T1</t>
  </si>
  <si>
    <t>SSL 30 (Terrace Ceiling ) -  Water Supply Distribution Layout for T1</t>
  </si>
  <si>
    <t xml:space="preserve">SSL 29 (Terrace floor ) -  Rain Water Disposal Layout for T1 </t>
  </si>
  <si>
    <t xml:space="preserve">SSL 30 (Terrace floor ) -  Rain Water Disposal Layout for T1 </t>
  </si>
  <si>
    <t>SHAFT DETAILS</t>
  </si>
  <si>
    <t>Typical Even Level PHE-Shaft Detail</t>
  </si>
  <si>
    <t>Typical Odd Level PHE-Shaft Detail</t>
  </si>
  <si>
    <t>SCHEMATICS</t>
  </si>
  <si>
    <t xml:space="preserve">Water Supply Schematic - T1 </t>
  </si>
  <si>
    <t xml:space="preserve">OHT </t>
  </si>
  <si>
    <t>OHT</t>
  </si>
  <si>
    <t xml:space="preserve">OHT Puddle flange details for Tower-01 </t>
  </si>
  <si>
    <t>Puddle flange Plan, sections and elevation details</t>
  </si>
  <si>
    <t xml:space="preserve">TERRACE FLOOR </t>
  </si>
  <si>
    <t>SSL 30 Terrace Floor Electrical layout</t>
  </si>
  <si>
    <t>Lift panel cable routing layout</t>
  </si>
  <si>
    <t>Terrace lightning arrester layout</t>
  </si>
  <si>
    <t>Typical Staircase Electrical Layout</t>
  </si>
  <si>
    <t>ELEC Shaft  detail drawing for Tower 1 (Typical floor)</t>
  </si>
  <si>
    <t>SCHEMATIC</t>
  </si>
  <si>
    <t>Power distribution diagram (SLD)</t>
  </si>
  <si>
    <t>Typical Even Level - DB Scheme</t>
  </si>
  <si>
    <t>Typical Odd Level - DB Scheme</t>
  </si>
  <si>
    <t>SSL2- ( Level 1 RCP ) DB Scheme ( Default )</t>
  </si>
  <si>
    <t>TYPICAL FLOORS</t>
  </si>
  <si>
    <t>SSL 3  Electrical layout (Default)</t>
  </si>
  <si>
    <t>1AA1</t>
  </si>
  <si>
    <t>Typical Even level  Electrical layout (Default)</t>
  </si>
  <si>
    <t>1BB1</t>
  </si>
  <si>
    <t>Typical Odd level Electrical layout (Default)</t>
  </si>
  <si>
    <t>1271</t>
  </si>
  <si>
    <t>Lower Level (Pent House) Electrical layout</t>
  </si>
  <si>
    <t>1281</t>
  </si>
  <si>
    <t>Upper Level (Pent House) Electrical layout</t>
  </si>
  <si>
    <t>GENERAL NOTES</t>
  </si>
  <si>
    <t>GN01</t>
  </si>
  <si>
    <t>Electrical Standard Notes</t>
  </si>
  <si>
    <t>SSL 29 Terrace Equipment layout</t>
  </si>
  <si>
    <t xml:space="preserve">TYPICAL FLOORS </t>
  </si>
  <si>
    <t>1AA6</t>
  </si>
  <si>
    <t>Typical lvl HVAC layout Split Option</t>
  </si>
  <si>
    <t>SSL 3  HVAC layout  VRV Option (Default)</t>
  </si>
  <si>
    <t>SSL 3  HVAC layout  Split Option (Default)</t>
  </si>
  <si>
    <t>SSL 30 (Penthouse Lower Level) HVAC layout VRV Option</t>
  </si>
  <si>
    <t>SSL 31 (Penthouse Upper Level) HVAC layout VRV Option</t>
  </si>
  <si>
    <t>SSL 30 (Penthouse Lower Level) HVAC layout Split Option</t>
  </si>
  <si>
    <t>SSL 31 (Penthouse Upper Level) HVAC layout Split Option</t>
  </si>
  <si>
    <t xml:space="preserve">SSL 28 Fire Protection layout </t>
  </si>
  <si>
    <t xml:space="preserve">SSL 28 Fire Detection layout </t>
  </si>
  <si>
    <t xml:space="preserve">SSL 29 Fire Protection layout </t>
  </si>
  <si>
    <t xml:space="preserve">SSL 29 Fire Detection layout </t>
  </si>
  <si>
    <t xml:space="preserve">SSL 30 Fire Protection layout </t>
  </si>
  <si>
    <t>Tower 1 Fire Fighthing schematic Layout</t>
  </si>
  <si>
    <t xml:space="preserve">Tower 1 Fire Detection schematic Layout </t>
  </si>
  <si>
    <t xml:space="preserve">SSL2  (GF Ceiling plan)- Fire Fighting layout </t>
  </si>
  <si>
    <t>SSL2  (GF Ceiling plan)- Fire  Detection conduit layout</t>
  </si>
  <si>
    <t xml:space="preserve">Typical EVEN lvl Fire fighting layout </t>
  </si>
  <si>
    <t>1AA3</t>
  </si>
  <si>
    <t>Typical EVEN lvl Fire Detection conduit layout</t>
  </si>
  <si>
    <t>Typical ODD lvl Fire fighting layout</t>
  </si>
  <si>
    <t>1BB3</t>
  </si>
  <si>
    <t xml:space="preserve">Typical ODD lvl Fire Detection conduit layout </t>
  </si>
  <si>
    <t>SSL 27 (Penthouse Lower Level) Fire fighting layout</t>
  </si>
  <si>
    <t>SSL 28  (Penthouse Upper Level) Fire fighting layout</t>
  </si>
  <si>
    <t>COORDINATED DRAWINGS</t>
  </si>
  <si>
    <t xml:space="preserve">SSL 29 - OHT Terrace Services Coordinated Plan </t>
  </si>
  <si>
    <t xml:space="preserve">SSL 30 - OHT Terrace Services Coordinated Plan </t>
  </si>
  <si>
    <t>SSL 29 &amp; 30 - Penthouse Upper level Services Coordinated Plan</t>
  </si>
  <si>
    <t>LIFT</t>
  </si>
  <si>
    <t>T01 &amp; T02  Lift Shop Drawing</t>
  </si>
  <si>
    <t>Tower - 2V - 6V</t>
  </si>
  <si>
    <t>T2V-6V</t>
  </si>
  <si>
    <t>SSL 30 (Pent House) -Terrace Floor Plumbing Layout for  T2V</t>
  </si>
  <si>
    <t>SSL 30 (Terrace floor )-  Water Supply Distribution Layout for T2V</t>
  </si>
  <si>
    <t>SSL 31 (Terrace Ceiling )-  Water Supply Distribution Layout for T2V</t>
  </si>
  <si>
    <t>SSL 31 (Terrace floor )-  Rain Water Disposal Layout for T2V</t>
  </si>
  <si>
    <t>SSL 31 (Terrace floor ) floor Plan-  Rain Water Disposal Layout for T2V</t>
  </si>
  <si>
    <t>T02 V</t>
  </si>
  <si>
    <t>PHE shaft  detail drawing for Vertical Tower 2</t>
  </si>
  <si>
    <t>Water Supply Schematic - Vertical Tower 2</t>
  </si>
  <si>
    <t>PLUMBING LAYOUT</t>
  </si>
  <si>
    <t>SSL 2 ( First lvl )  - Plumbing Layout - Vertical Tower 2</t>
  </si>
  <si>
    <t>SSL 3 ( Second lvl ) - Plumbing Layout - Vertical Tower 2</t>
  </si>
  <si>
    <t>SSL 4 ( Third lvl ) - Plumbing Layout - Vertical Tower 2</t>
  </si>
  <si>
    <t>SSL 5 ( Fourth lvl ) - Plumbing Layout - Vertical Tower 2</t>
  </si>
  <si>
    <t>SSL 6 ( Fifth lvl ) - Plumbing Layout - Vertical Tower 2</t>
  </si>
  <si>
    <t>1AA5</t>
  </si>
  <si>
    <t>Typical ODD lvl Plumbing Layout - Vertical Tower 2</t>
  </si>
  <si>
    <t>1BB5</t>
  </si>
  <si>
    <t>Typical EVEN lvl Plumbing Layout - Vertical Tower 2</t>
  </si>
  <si>
    <t>SSL 30 (Penthouse Lower Level) Plumbing Layout - Vertical Tower 2</t>
  </si>
  <si>
    <t>SSL 31 (Penthouse Upper Level) Plumbing Layout - Vertical Tower 2</t>
  </si>
  <si>
    <t>OHT Puddle flange detail- Vertical Tower</t>
  </si>
  <si>
    <t>SSL 30 (Level -30) Terrace floor Electrical layout- Vertical Tower 2</t>
  </si>
  <si>
    <t>SSL 31 (Level -31) Terrace floor Electrical layout- Vertical Tower 2</t>
  </si>
  <si>
    <t>Lift panel cable routing layout- Vertical Tower 2</t>
  </si>
  <si>
    <t>Terrace Lightning Arrester layout - Vertical Tower 2</t>
  </si>
  <si>
    <t>Typical Even Level ( 2, 4 and 6 ) DB Scheme ( Default )</t>
  </si>
  <si>
    <t>Typical Odd Level ( 3 and 5 ) DB Scheme ( Default )</t>
  </si>
  <si>
    <t xml:space="preserve">TV and Telephone schematic drawing </t>
  </si>
  <si>
    <t>SSL 2 ( First lvl ) Typical Unit TV &amp; Telephone Scheme</t>
  </si>
  <si>
    <t>ELEC shaft  detail drawing for Vertical Tower 2</t>
  </si>
  <si>
    <t>SSL 2 ( First lvl ) Electrical layout (Default)- Vertical Tower 2</t>
  </si>
  <si>
    <t>SSL 2 ( First lvl ) DB Scheme (Default)- Vertical Tower 2</t>
  </si>
  <si>
    <t>Typical Even level ( 2, 4 &amp; 6 ) Electrical layout (Default)</t>
  </si>
  <si>
    <t>Typical Odd level ( 3 &amp; 5 )  Electrical layout (Default)</t>
  </si>
  <si>
    <t>LEVEL-6 UNIT RCP-SSL-7 Electrical layout (Default)</t>
  </si>
  <si>
    <t>LEVEL-6 UNIT RCP-SSL-7 DB Scheme ( Default )</t>
  </si>
  <si>
    <t>LEVEL-7 UNIT RCP-SSL-8 Electrical layout (Default)</t>
  </si>
  <si>
    <t>LEVEL-7 UNIT RCP-SSL-8 DB Scheme ( Default )</t>
  </si>
  <si>
    <t>LEVEL-8 UNIT RCP-SSL-9 Electrical layout (Default)</t>
  </si>
  <si>
    <t>LEVEL-8 UNIT RCP-SSL-9  DB Scheme ( Default )</t>
  </si>
  <si>
    <t>Typical 2&amp;3 bhk  Unit TV &amp; Telephone Scheme</t>
  </si>
  <si>
    <t>SSL 12 ( Tenth Lvl ) Electrical layout (Default)- Vertical Tower 2</t>
  </si>
  <si>
    <t>SSL 14 Service Floor Electrical layout - Vertical Tower 2</t>
  </si>
  <si>
    <t>1AA2</t>
  </si>
  <si>
    <t>Typical Even level (LVL-SSL10, 12, 14, 16, 18, 20, 22, 24, 26) Electrical layout (Default)</t>
  </si>
  <si>
    <t>9011</t>
  </si>
  <si>
    <t>Typical Even level (LVL-SSL10, 12, 14, 16, 18, 20, 22, 24, 26) DB Scheme (Default)</t>
  </si>
  <si>
    <t>1BB2</t>
  </si>
  <si>
    <t>Typical ODD level (LVL-SSL11, 13, 15, 17, 19, 21, 23, 25) Electrical layout (Default)</t>
  </si>
  <si>
    <t>9012</t>
  </si>
  <si>
    <t>Typical ODD level (LVL-SSL11, 13, 15, 17, 19, 21, 23, 25) DB Scheme (Default)</t>
  </si>
  <si>
    <t>SSL 30 Pent House Lower Lvl  Electrical layout- Vertical Tower 2</t>
  </si>
  <si>
    <t>1285</t>
  </si>
  <si>
    <t>SSL 31 Pent House Upper Lvl  Electrical layout- Vertical Tower 2</t>
  </si>
  <si>
    <t>SSL 31 Terrace floor Electrical layout</t>
  </si>
  <si>
    <t>SSL 32 Terrace floor Electrical layout</t>
  </si>
  <si>
    <t>L30-Parking Level 3, 4 and 5 Electrical layout</t>
  </si>
  <si>
    <t>SSL 30 Pent House Lower Lvl C20 HVAC layout VRV Option- Vertical Tower 2</t>
  </si>
  <si>
    <t>SSL 31 Pent House Upper Lvl C20 HVAC layout VRV Option- Vertical Tower 2</t>
  </si>
  <si>
    <t>SSL 30 Pent House Lower Lvl C20 HVAC layout Split Option- Vertical Tower 2</t>
  </si>
  <si>
    <t>SSL 31 Pent House Upper Lvl C20 HVAC layout Split Option- Vertical Tower 2</t>
  </si>
  <si>
    <t>SSL 30 Pent House Lower Lvl L30 HVAC layout VRV Option- Vertical Tower 2</t>
  </si>
  <si>
    <t>SSL 31 Pent House Upper Level L30 HVAC layout VRV Option- Vertical Tower 2</t>
  </si>
  <si>
    <t>SSL 30 Pent House Lower Lvl L30  HVAC layout Split Option- Vertical Tower 2</t>
  </si>
  <si>
    <t>SSL 31 Pent House Upper Level L30  HVAC layout Split Option- Vertical Tower 2</t>
  </si>
  <si>
    <t>T02</t>
  </si>
  <si>
    <t>SSL 28 Terrace Fire Fighting layout</t>
  </si>
  <si>
    <t>SSL 28 Terrace Fire Detection layout</t>
  </si>
  <si>
    <t xml:space="preserve">Even Floor 9th to 14th Fire Protection layout </t>
  </si>
  <si>
    <t xml:space="preserve">Even Floor 9th to 14th Fire Detection layout </t>
  </si>
  <si>
    <t xml:space="preserve">Even Floor 15th to 27th Fire Protection layout </t>
  </si>
  <si>
    <t>1AA4</t>
  </si>
  <si>
    <t xml:space="preserve">Even Floor 15th to 27th Fire Detection layout </t>
  </si>
  <si>
    <t xml:space="preserve">Odd Floor 9th to 14th Fire Protection layout </t>
  </si>
  <si>
    <t xml:space="preserve">Odd Floor 9th to 14th Fire Detection layout </t>
  </si>
  <si>
    <t xml:space="preserve">Odd Floor 15th to 27th Fire Protection layout </t>
  </si>
  <si>
    <t>1BB4</t>
  </si>
  <si>
    <t xml:space="preserve">Odd Floor 15th to 27th Fire Detection layout </t>
  </si>
  <si>
    <t xml:space="preserve">LEVEL-1- Fire Protection layout </t>
  </si>
  <si>
    <t>LEVEL-1-Fire Detection layout</t>
  </si>
  <si>
    <t xml:space="preserve">LEVEL-2- Fire Protection layout </t>
  </si>
  <si>
    <t>LEVEL-2- Fire Detection layout</t>
  </si>
  <si>
    <t xml:space="preserve">LEVEL-3- Fire Protection layout </t>
  </si>
  <si>
    <t>LEVEL-3- Fire Detection layout</t>
  </si>
  <si>
    <t xml:space="preserve">LEVEL-4- Fire Protection layout </t>
  </si>
  <si>
    <t>LEVEL-4- Fire Detection  layout</t>
  </si>
  <si>
    <t xml:space="preserve">LEVEL-5- Fire Protection layout </t>
  </si>
  <si>
    <t xml:space="preserve">LEVEL-5- Fire Detection layout </t>
  </si>
  <si>
    <t xml:space="preserve">LEVEL-6- Fire Protection layout </t>
  </si>
  <si>
    <t xml:space="preserve">LEVEL-6- Fire Detection layout </t>
  </si>
  <si>
    <t xml:space="preserve">LEVEL-7- Fire Protection layout </t>
  </si>
  <si>
    <t xml:space="preserve">LEVEL-7- Fire Detection layout </t>
  </si>
  <si>
    <t xml:space="preserve">LEVEL-8- Fire Protection layout </t>
  </si>
  <si>
    <t xml:space="preserve">LEVEL-8- Fire Detection layout </t>
  </si>
  <si>
    <t xml:space="preserve">LEVEL 28- Fire Protection layout </t>
  </si>
  <si>
    <t>Power Distribution Layout Tower 2</t>
  </si>
  <si>
    <t>COORDINATED DRAWING</t>
  </si>
  <si>
    <t xml:space="preserve">Co-ordinated SSL 30 Terrace plan layout </t>
  </si>
  <si>
    <t xml:space="preserve">Co-ordinated SSL 31 Terrace plan layout </t>
  </si>
  <si>
    <t>Tower : 2S - 6S</t>
  </si>
  <si>
    <t>T02 S</t>
  </si>
  <si>
    <t>PHE shaft  detail drawing for Stepped Tower 2</t>
  </si>
  <si>
    <t>T2S-6S</t>
  </si>
  <si>
    <t>Water Supply Schematic - Stepped Tower 2</t>
  </si>
  <si>
    <t xml:space="preserve">Level-1 SSL 2 Surface drainage Layout </t>
  </si>
  <si>
    <t>SSL 2 ( Stilt lvl )- Plumbing Layout - Stepped Tower 2</t>
  </si>
  <si>
    <t>SSL 2 ( First lvl )- Ceiling Plan Surface drainage  - Stepped Tower 2</t>
  </si>
  <si>
    <t>SSL 3 ( Second lvl ) - Plumbing Layout -  Stepped Tower 2</t>
  </si>
  <si>
    <t xml:space="preserve">Level-2 SSL 3 Surface drainage Layout </t>
  </si>
  <si>
    <t>SSL 3 ( Second lvl ) - Ceiling Plan Surface drainage  - Stepped Tower 2</t>
  </si>
  <si>
    <t>SSL 4 ( Third lvl ) - Plumbing Layout -  Stepped Tower 2</t>
  </si>
  <si>
    <t xml:space="preserve">Level-3 SSL 4 Surface drainage Layout </t>
  </si>
  <si>
    <t>SSL 4 ( Third lvl ) - Ceiling Plan Surface drainage  - Stepped Tower 2</t>
  </si>
  <si>
    <t>SSL 5 ( Fourth lvl ) - Plumbing Layout -  Stepped Tower 2</t>
  </si>
  <si>
    <t>Level-4 SSL 5 - Floor Plan Surface drainage Layout</t>
  </si>
  <si>
    <t>SSL 5 ( Fourth lvl ) - Ceiling Plan Surface drainage  - Stepped Tower 2</t>
  </si>
  <si>
    <t>SSL 8 (Penthouse Lower Level ) Plumbing Layout - Stepped Tower 2</t>
  </si>
  <si>
    <t>SSL 8 Terrace floor lighting layout- Stepped Tower 2</t>
  </si>
  <si>
    <t>ELEC shaft  detail drawing for Stepped Tower 2</t>
  </si>
  <si>
    <t>SSL 3 L45 Unit Electrical Layout-(Default)</t>
  </si>
  <si>
    <t>SSL 3 Parking  Electrical Layout</t>
  </si>
  <si>
    <t>SSL 3 L45 Unit DB Scheme-(Default)</t>
  </si>
  <si>
    <t>SSL 3 L45 Unit TV-TEL Layout</t>
  </si>
  <si>
    <t>SSL 4 L45 Unit Electrical Layout-(Default)</t>
  </si>
  <si>
    <t>SSL 4 Parking  Electrical Layout</t>
  </si>
  <si>
    <t>SSL 4 L45 Unit DB Scheme-(Default)</t>
  </si>
  <si>
    <t>SSL 4 L45 Unit TV-TEL Layout</t>
  </si>
  <si>
    <t>SSL 5 L45 Unit Electrical Layout-(Default)</t>
  </si>
  <si>
    <t>SSL 5 Parking  Electrical Layout</t>
  </si>
  <si>
    <t>SSL 5(Level-3) L45 Unit DB Scheme (Default)</t>
  </si>
  <si>
    <t>SSL 5(Level-3) L45 Unit TV-TEL Layout</t>
  </si>
  <si>
    <t>SSL 6 L45 Unit Electrical Layout-(Default)</t>
  </si>
  <si>
    <t>SSL 6 L45 Unit DB Scheme (Default)</t>
  </si>
  <si>
    <t>SSL 6 L45 Unit TV-TEL Layout</t>
  </si>
  <si>
    <t>SSL 7 L45 Unit Electrical Layout-(Default)</t>
  </si>
  <si>
    <t>SSL 7 L45 Unit DB Schematic</t>
  </si>
  <si>
    <t>SSL 7 L45 Unit TV-TEL Layout</t>
  </si>
  <si>
    <t>SSL 8( Level-7 )-Pent house Electrical Layout- Stepped Tower 2</t>
  </si>
  <si>
    <t>Staircase-1 Electrical Layout-   Stepped Tower 2</t>
  </si>
  <si>
    <t>Staircase-2 Electrical Layout-   Stepped Tower 2</t>
  </si>
  <si>
    <t>Staircase-3 Electrical Layout-   Stepped Tower 2</t>
  </si>
  <si>
    <t>Staircase-4 Electrical Layout-   Stepped Tower 2</t>
  </si>
  <si>
    <t>Basement &amp; stilt ramp electrical layout</t>
  </si>
  <si>
    <t>COMMON AREA- TOWER-02</t>
  </si>
  <si>
    <t>SSL 8 Penthouse L45 Lower Level HVAC layout VRV Option- Stepped Tower 2</t>
  </si>
  <si>
    <t>SSL 8 Penthouse L45 Upper Level HVAC layout VRV Option- Stepped Tower 2</t>
  </si>
  <si>
    <t>TYPICAL FLOOR</t>
  </si>
  <si>
    <t>SSL 3 ( First lvl )Fire Fighting layout -Stepped Tower 2</t>
  </si>
  <si>
    <t>SSL 3 ( First lvl )Fire Detection layout -Stepped Tower 2</t>
  </si>
  <si>
    <t>SSL 4 ( Second lvl ) Fire Fighting layout-Stepped Tower 2</t>
  </si>
  <si>
    <t>SSL 4 ( Second lvl ) Fire Detection layout-Stepped Tower 2</t>
  </si>
  <si>
    <t>SSL 5 ( Third lvl ) Fire Fighting layout -Stepped Tower 2</t>
  </si>
  <si>
    <t>1032</t>
  </si>
  <si>
    <t>SSL 5 ( Third lvl ) Fire Detection layout -Stepped Tower 2</t>
  </si>
  <si>
    <t>1041</t>
  </si>
  <si>
    <t>SSL 6 ( Fourth lvl ) Fire Fighting layout -Stepped Tower 2</t>
  </si>
  <si>
    <t>1042</t>
  </si>
  <si>
    <t>SSL 6 ( Fourth lvl ) Fire Detection layout -Stepped Tower 2</t>
  </si>
  <si>
    <t>1051</t>
  </si>
  <si>
    <t>SSL 7( Fifth lvl ) Fire Fighting layout -Stepped Tower 2</t>
  </si>
  <si>
    <t>1052</t>
  </si>
  <si>
    <t>SSL 7( Fifth lvl ) Fire Detection layout -Stepped Tower 2</t>
  </si>
  <si>
    <t>1061</t>
  </si>
  <si>
    <t>SSL 8 Penthouse Lower Level Fire fighting layout -Stepped Tower 2</t>
  </si>
  <si>
    <t>1062</t>
  </si>
  <si>
    <t>SSL 8 Penthouse Lower Level Fire Detection layout -Stepped Tower 2</t>
  </si>
  <si>
    <t xml:space="preserve">Stilt Level Car Park Tower-2 Fire Protection Layout </t>
  </si>
  <si>
    <t xml:space="preserve">Stilt Level Car Park Tower-2 Fire Detection Layout </t>
  </si>
  <si>
    <t xml:space="preserve">Level 01 Car Park Tower-2 Fire Protection Layout </t>
  </si>
  <si>
    <t>1014</t>
  </si>
  <si>
    <t xml:space="preserve">Level 01l Car Park Tower-2 Fire Detection Layout </t>
  </si>
  <si>
    <t xml:space="preserve">Level 02 Car Park Tower-2 Fire Protection Layout </t>
  </si>
  <si>
    <t>1024</t>
  </si>
  <si>
    <t xml:space="preserve">Level 02 Car Park Tower-2 Fire Detection Layout </t>
  </si>
  <si>
    <t>1033</t>
  </si>
  <si>
    <t xml:space="preserve">Level 03 Car Park Tower-2 Fire Protection Layout </t>
  </si>
  <si>
    <t>1034</t>
  </si>
  <si>
    <t xml:space="preserve">Level 03 Car Park Tower-2 Fire Detection Layout </t>
  </si>
  <si>
    <t>1043</t>
  </si>
  <si>
    <t xml:space="preserve">Level 04 Car Park Tower-2 Fire Protection Layout </t>
  </si>
  <si>
    <t>1044</t>
  </si>
  <si>
    <t xml:space="preserve">Level 04 Car Park Tower-2 Fire Detection Layout </t>
  </si>
  <si>
    <t>1053</t>
  </si>
  <si>
    <t xml:space="preserve">Level 05 Car Park Tower-2 Fire Protection Layout </t>
  </si>
  <si>
    <t>1054</t>
  </si>
  <si>
    <t xml:space="preserve">Level 05 Car Park Tower-2 Fire Detection Layout </t>
  </si>
  <si>
    <t>Tower 2 &amp; 3 Electrical Room</t>
  </si>
  <si>
    <t>Tower 2 &amp; 3 Electrical Room Elevation and Section</t>
  </si>
  <si>
    <t>T1, 2, 3 Basement Cable tray layout</t>
  </si>
  <si>
    <t>Water  Supply Schematic</t>
  </si>
  <si>
    <t>Grade Slab-Below Plinth Beam Plumbing Layout</t>
  </si>
  <si>
    <t>V50a Below Plinth Beam Sectional Details</t>
  </si>
  <si>
    <t>V50c-Default Electrical Layout -Roof Level</t>
  </si>
  <si>
    <t>Below Plinth Electrical and Communication cable entry detail</t>
  </si>
  <si>
    <t>SSL0 , SSL1 - V50c Default Electrical Layout</t>
  </si>
  <si>
    <t>V50c Electrical Sections</t>
  </si>
  <si>
    <t>SSL2 &amp; SSL3 - V50c Default Electrical Layout</t>
  </si>
  <si>
    <t>SSL4 - V50c Default Electrical  Layout</t>
  </si>
  <si>
    <t>Released on 2-1-25</t>
  </si>
  <si>
    <t>V40 Below Plinth Beam Sectional Details</t>
  </si>
  <si>
    <t>Coordinated service Platform Layout</t>
  </si>
  <si>
    <t>Service Platform drainage layout</t>
  </si>
  <si>
    <t>Coordinated Shaft layout</t>
  </si>
  <si>
    <t>V40-Default Electrical Layout -Roof Level</t>
  </si>
  <si>
    <t>SSL0 , SSL1 - V40 Default Electrical Layout</t>
  </si>
  <si>
    <t>SSL2 &amp; SSL3 - V40 Default Electrical Layout</t>
  </si>
  <si>
    <t>SSL4 - V40 Default Electrical  Layout</t>
  </si>
  <si>
    <t>Individual Home V50</t>
  </si>
  <si>
    <t>Enlarged toilet details and Wall Elevation BTR 1</t>
  </si>
  <si>
    <t>Enlarged toilet details and Wall Elevation BTR 2</t>
  </si>
  <si>
    <t>Enlarged toilet details and Wall Elevation BTR 3</t>
  </si>
  <si>
    <t>Enlarged toilet details and Wall Elevation BTR 4</t>
  </si>
  <si>
    <t>Enlarged toilet details and Wall Elevation Maid's Toilet</t>
  </si>
  <si>
    <t>Enlarged toilet details and Wall Elevation Powder Room</t>
  </si>
  <si>
    <t>Enlarged Kitchen details and wall elevation</t>
  </si>
  <si>
    <t>Enlarged Utility details and wall elevation</t>
  </si>
  <si>
    <t xml:space="preserve">PHE Shaft  detail drawing </t>
  </si>
  <si>
    <t>V50c-Default Television and Telephone Schematic diagram</t>
  </si>
  <si>
    <t>SSL0 , SSL1 - V50c Default TV / Telephone Layout</t>
  </si>
  <si>
    <t>SSL2 &amp; SSL3 - V50c Default TV / Telephone Layout</t>
  </si>
  <si>
    <t>Standard Electrical Notes</t>
  </si>
  <si>
    <t>SSL-1 : V50c-HVAC layout VRV System (Lower level)- Option 1</t>
  </si>
  <si>
    <t>SSL-2 &amp; 3 : V50c-HVAC layout VRV System (Upper level)- Option 1</t>
  </si>
  <si>
    <t>SSL-2 &amp; 3 : V50c-HVAC layout VRV System (Upper level)- Option 2</t>
  </si>
  <si>
    <t>SSL-4 : V50c-HVAC layout VRV System (Roof level)- Option 1</t>
  </si>
  <si>
    <t>HVAC section - A &amp; B (VRV System ) Option 1</t>
  </si>
  <si>
    <t>HVAC section - A &amp; B (VRV System ) Option 2</t>
  </si>
  <si>
    <t>HVAC section - D &amp; E (VRV System ) Option 1</t>
  </si>
  <si>
    <t>HVAC section - F &amp; G (VRV System )  Option 1</t>
  </si>
  <si>
    <t>SSL-1 : V50c-HVAC layout Split AC System (Lower level)</t>
  </si>
  <si>
    <t>V50c . Lower Level Co-ordinated Layout details</t>
  </si>
  <si>
    <t>HOME AUTOMATION</t>
  </si>
  <si>
    <t>HA</t>
  </si>
  <si>
    <t>V50a-V37</t>
  </si>
  <si>
    <t>01</t>
  </si>
  <si>
    <t>V50 EXPERIENCE HOME LOWER LEVEL HOME AUTOMATION LAYOUT</t>
  </si>
  <si>
    <t>02</t>
  </si>
  <si>
    <t>V50 EXPERIENCE HOME UPPER LEVEL HOME AUTOMATION LAYOUT</t>
  </si>
  <si>
    <t>CLIENT SPECIFICATION SHEET</t>
  </si>
  <si>
    <t>Individual Home V40</t>
  </si>
  <si>
    <t>V40c-Default Television and Telephone Schematic diagram</t>
  </si>
  <si>
    <t>SSL0 , SSL1 - V40c Default TV / Telephone Layout</t>
  </si>
  <si>
    <t>SSL2 &amp; SSL3 - V40c Default Electrical Layout</t>
  </si>
  <si>
    <t>SSL2 &amp; SSL3 - V40c Default TV / Telephone Layout</t>
  </si>
  <si>
    <t>SSL-1 : V40c-HVAC layout VRV System (Lower level)- Option 1</t>
  </si>
  <si>
    <t>SSL-2 &amp; 3 : V40c-HVAC layout VRV System (Upper level)- Option 1</t>
  </si>
  <si>
    <t>SSL-2 &amp; 3 : V40c-HVAC layout VRV System (Upper level)- Option 2</t>
  </si>
  <si>
    <t>SSL-4 : V40c-HVAC layout VRV System (Roof level)- Option 1</t>
  </si>
  <si>
    <t>SSL-1 : V40c-HVAC layout Split AC System (Lower level)</t>
  </si>
  <si>
    <t>Individual Home C20</t>
  </si>
  <si>
    <t>TOILET DETAILS &amp; WALL ELEVATIONS</t>
  </si>
  <si>
    <t>Enlarged toilet details and Wall Elevation Master Bath</t>
  </si>
  <si>
    <t>Enlarged toilet details and Wall Elevation Guest Bath</t>
  </si>
  <si>
    <t>Enlarged toilet details and Wall Elevation Children's Bath</t>
  </si>
  <si>
    <t xml:space="preserve">Enlarged Kitchen &amp; Utility Plumbing details and Wall Elevation </t>
  </si>
  <si>
    <t>C20 Unit - DB Scheme</t>
  </si>
  <si>
    <t xml:space="preserve">Typical TV and Telephone scheme ( Default C20 Unit ) </t>
  </si>
  <si>
    <t>C20 Unit Electrical Layout ( Default )</t>
  </si>
  <si>
    <t xml:space="preserve">Typical Unit C20 HVAC layout </t>
  </si>
  <si>
    <t xml:space="preserve">Co-ordinated Enlarged toilet details and Wall Elevation BTR 1 </t>
  </si>
  <si>
    <t xml:space="preserve">Co-ordinated Enlarged toilet details and Wall Elevation BTR 2 </t>
  </si>
  <si>
    <t xml:space="preserve">Co-ordinated Enlarged toilet details and Wall Elevation BTR 3 </t>
  </si>
  <si>
    <t xml:space="preserve">Co-ordinated Enlarged Kitchen &amp; Utility Plumbing details and Wall Elevation </t>
  </si>
  <si>
    <t xml:space="preserve">Co-ordinated Terrace plan Sleeves layout </t>
  </si>
  <si>
    <t>Co-ordinated Ground Floor  C20 Sleeveslayout  (VRV Option)</t>
  </si>
  <si>
    <t>Co-ordinated Ground Floor  C20 Sleeveslayout  (Split Option)</t>
  </si>
  <si>
    <t>Co-ordinated Typical  C20 Sleeveslayout  (VRV Option)</t>
  </si>
  <si>
    <t>Co-ordinated Typical  C20 Sleeveslayout  (Split Option)</t>
  </si>
  <si>
    <t xml:space="preserve">HA </t>
  </si>
  <si>
    <t>C20 Home Automation Layout</t>
  </si>
  <si>
    <t>C20 Client Specification Sheet</t>
  </si>
  <si>
    <t>Individual Home L30</t>
  </si>
  <si>
    <t>T02V</t>
  </si>
  <si>
    <t>Enlarged toilet details and Wall Elevation L30 BTR 1 of T2</t>
  </si>
  <si>
    <t>Enlarged toilet details and Wall Elevation L30 BTR 2 of T2</t>
  </si>
  <si>
    <t>Enlarged toilet details and Wall Elevation L30 BTR 3 of T2</t>
  </si>
  <si>
    <t>Enlarged toilet details and Wall Elevation L30 BTR 4 of T2</t>
  </si>
  <si>
    <t>Enlarged L30 Maids Toilet Plumbing details and Wall Elevation of T2</t>
  </si>
  <si>
    <t>Enlarged L30 Dry Kitchen Plumbing details and Wall Elevation of T2</t>
  </si>
  <si>
    <t>Enlarged L30 Wet Kitchen Plumbing details and Wall Elevation of T2</t>
  </si>
  <si>
    <t>Enlarged L30 Utility Plumbing details and Wall Elevation of T2</t>
  </si>
  <si>
    <t>Enlarged L30 Pantry Plumbing details and Wall Elevation of T2</t>
  </si>
  <si>
    <t>L30 Unit Electrical Layout ( Default )</t>
  </si>
  <si>
    <t>Typical  L30 HVAC layout  VRV Option- Vertical Tower 2</t>
  </si>
  <si>
    <t>Typical  L30 HVAC layout  Split Option- Vertical Tower 2</t>
  </si>
  <si>
    <t>Co-ordinated Enlarged toilet details and Wall Elevation L30 BTR 1 of T2</t>
  </si>
  <si>
    <t>Co-ordinated Enlarged toilet details and Wall Elevation L30 BTR 2 of T2</t>
  </si>
  <si>
    <t>Co-ordinated Enlarged toilet details and Wall Elevation L30 BTR 3 of T2</t>
  </si>
  <si>
    <t>Co-ordinated Enlarged toilet details and Wall Elevation L30 BTR 4 of T2</t>
  </si>
  <si>
    <t>Co-ordinated Enlarged L30 Maids Toilet Plumbing details and Wall Elevation of T2</t>
  </si>
  <si>
    <t>Co-ordinated Enlarged L30 Dry Kitchen Plumbing details and Wall Elevation of T2</t>
  </si>
  <si>
    <t>Co-ordinated Enlarged L30 Wet Kitchen Plumbing details and Wall Elevation of T2</t>
  </si>
  <si>
    <t>Co-ordinated Enlarged L30 Utility Plumbing details and Wall Elevation of T2</t>
  </si>
  <si>
    <t>Co-ordinated Enlarged L30 Pantry Plumbing details and Wall Elevation of T2</t>
  </si>
  <si>
    <t>Co-ordinated Typical  L30 Sleeves Layout  VRV Option- Vertical Tower 2</t>
  </si>
  <si>
    <t>Co-ordinated Typical  L30 Sleeves Layout  Split Option- Vertical Tower 2</t>
  </si>
  <si>
    <t>Individual Home L45</t>
  </si>
  <si>
    <t>T02S</t>
  </si>
  <si>
    <t>Enlarged toilet details and Wall Elevation L45 BTR 1 of T2</t>
  </si>
  <si>
    <t>Enlarged toilet details and Wall Elevation L45 BTR 2 of T2</t>
  </si>
  <si>
    <t>Enlarged toilet details and Wall Elevation L45 BTR 3 of T2</t>
  </si>
  <si>
    <t>Enlarged toilet details and Wall Elevation L45 BTR 4 of T2</t>
  </si>
  <si>
    <t>Enlarged toilet details and Wall Elevation L45 BTR 5 of T2</t>
  </si>
  <si>
    <t>Enlarged toilet details and Wall Elevation L45 BTR 6 of T2</t>
  </si>
  <si>
    <t>Enlarged L45 Maids Toilet Plumbing details and Wall Elevation of T2</t>
  </si>
  <si>
    <t>Enlarged L45 Kitchen Plumbing details and Wall Elevation of T2</t>
  </si>
  <si>
    <t>Enlarged L45 Utility Plumbing details and Wall Elevation of T2</t>
  </si>
  <si>
    <t>Enlarged L45 Pantry Plumbing details and Wall Elevation of T2</t>
  </si>
  <si>
    <t>SSL 6 L45 Unit DB Schematic</t>
  </si>
  <si>
    <t>SSL 7 L45 Unit and Parking Electrical Layout-(Default)</t>
  </si>
  <si>
    <t>Typical L45 HVAC layout  VRV Option- Stepped Tower 2</t>
  </si>
  <si>
    <t>SSL 3 ( First lvl )L45 HVAC layout VRV Option- Stepped Tower 2</t>
  </si>
  <si>
    <t>SSL 4 ( Second lvl ) L45 HVAC layout VRV Option- Stepped Tower 2</t>
  </si>
  <si>
    <t>SSL 5 ( Third lvl ) L45 HVAC layout VRV Option- Stepped Tower 2</t>
  </si>
  <si>
    <t>SSL 6 ( Fourth lvl ) L45 HVAC layout VRV Option- Stepped Tower 2</t>
  </si>
  <si>
    <t>SSL 7 ( Fifth lvl ) L45 HVAC layout VRV Option- Stepped Tower 2</t>
  </si>
  <si>
    <t>Co-ordinated Enlarged toilet details and Wall Elevation L45 BTR 1 of T2</t>
  </si>
  <si>
    <t>Co-ordinated Enlarged toilet details and Wall Elevation L45 BTR 2 of T2</t>
  </si>
  <si>
    <t>Co-ordinatedEnlarged toilet details and Wall Elevation L45 BTR 3 of T2</t>
  </si>
  <si>
    <t>Co-ordinated Enlarged toilet details and Wall Elevation L45 BTR 4 of T2</t>
  </si>
  <si>
    <t>Co-ordinated Enlarged toilet details and Wall Elevation L45 BTR 5 of T2</t>
  </si>
  <si>
    <t>Co-ordinated Enlarged toilet details and Wall Elevation L45 BTR 6 of T2</t>
  </si>
  <si>
    <t>Co-ordinated Enlarged L45 Maids Toilet Plumbing details and Wall Elevation of T2</t>
  </si>
  <si>
    <t>Co-ordinated Enlarged L45 Kitchen Plumbing details and Wall Elevation of T2</t>
  </si>
  <si>
    <t>Co-ordinated Enlarged L45 Utility Plumbing details and Wall Elevation of T2</t>
  </si>
  <si>
    <t>Co-ordinated Enlarged L45 Pantry Plumbing details and Wall Elevation of T2</t>
  </si>
  <si>
    <t>Co-ordinated Typical L45 Sleeves Layout  VRV Option- Stepped Tower 2</t>
  </si>
  <si>
    <t>Co-ordinated SSL 2 ( First lvl )L45 Sleeves Layout Chiller Option- Stepped Tower 2</t>
  </si>
  <si>
    <t>Co-ordinated SSL 3 ( Second lvl ) L45 Sleeves Layout Chiller Option- Stepped Tower 2</t>
  </si>
  <si>
    <t>Co-ordinated SSL 4 ( Third lvl ) L45 Sleeves Layout Chiller Option- Stepped Tower 2</t>
  </si>
  <si>
    <t>Co-ordinated SSL 5 ( Fourth lvl ) L45 Sleeves Layout Chiller Option- Stepped Tower 2</t>
  </si>
  <si>
    <t>Co-ordinated SSL 6 ( Fifth lvl ) L45 Sleeves Layout Chiller Option- Stepped Tower 2</t>
  </si>
  <si>
    <t>Co-ordinated SSL 7 ( Sixth lvl ) L45 Sleeves Layout Chiller Option- Stepped Tower 2</t>
  </si>
  <si>
    <t>Co-ordinated SSL 8 ( Seventh lvl ) L45 Sleeves Layout Chiller Option- Stepped Tower 2</t>
  </si>
  <si>
    <t>Co-ordinated SSL 9 ( Eighth lvl )L45 Sleeves Layout Chiller Option- Stepped Tower 2</t>
  </si>
  <si>
    <t>Co-ordinated SSL 10 ( Ninth lvl ) L45 Sleeves Layout Chiller Option- Stepped Tower 2</t>
  </si>
  <si>
    <t>Co-ordinated L45 -SSL1 Sleeves Layout-Stepped Tower 2</t>
  </si>
  <si>
    <t>Co-ordinated L45 -SSL2 Sleeves Layout-Stepped Tower 2</t>
  </si>
  <si>
    <t>Co-ordinated L45 -SSL3 Sleeves Layout-Stepped Tower 2</t>
  </si>
  <si>
    <t>Co-ordinated L45 -SSL4 Sleeves Layout-Stepped Tower 2</t>
  </si>
  <si>
    <t>Co-ordinated L45 -SSL5 Sleeves Layout-Stepped Tower 2</t>
  </si>
  <si>
    <t>Co-ordinated L45 -SSL6 Sleeves Layout-Stepped Tower 2</t>
  </si>
  <si>
    <t>Co-ordinated L45 -SSL7 Sleeves Layout-Stepped Tower 2</t>
  </si>
  <si>
    <t>Co-ordinated L45 -SSL8 Sleeves Layout-Stepped Tower 2</t>
  </si>
  <si>
    <t>Individual Home R11</t>
  </si>
  <si>
    <t>Enlarged toilet details and Wall Elevation R11 BTR 1 of T2</t>
  </si>
  <si>
    <t>Enlarged toilet details and Wall Elevation R11 BTR 2 of T2</t>
  </si>
  <si>
    <t>Enlarged R11 Kitchen Plumbing details and Wall Elevation of T2</t>
  </si>
  <si>
    <t>Enlarged R11 Utility Plumbing details and Wall Elevation of T2</t>
  </si>
  <si>
    <t>R11 Unit Electrical Layout-(Default)</t>
  </si>
  <si>
    <t>R11 Unit DB Schematic</t>
  </si>
  <si>
    <t>Typical R11 HVAC layout  VRV Option</t>
  </si>
  <si>
    <t>Typical R11 HVAC layout  Split Option</t>
  </si>
  <si>
    <t>Co-ordinated Enlarged toilet details and Wall Elevation R11 BTR 1 of T2</t>
  </si>
  <si>
    <t>Co-ordinated Enlarged toilet details and Wall Elevation R11 BTR 2 of T2</t>
  </si>
  <si>
    <t>Co-ordinated Enlarged R11 Kitchen Plumbing details and Wall Elevation of T2</t>
  </si>
  <si>
    <t>Co-ordinated Enlarged R11 Utility Plumbing details and Wall Elevation of T2</t>
  </si>
  <si>
    <t>Co-ordinated Typical R11 Sleeves Layout  VRV Option- Stepped Tower 2</t>
  </si>
  <si>
    <t>Individual Home R22</t>
  </si>
  <si>
    <t>Enlarged toilet details and Wall Elevation R22 BTR 1 of T2</t>
  </si>
  <si>
    <t>Enlarged toilet details and Wall Elevation R22 BTR 2 of T2</t>
  </si>
  <si>
    <t>Enlarged R22 Kitchen Plumbing details and Wall Elevation of T2</t>
  </si>
  <si>
    <t>Enlarged R22 Utility Plumbing details and Wall Elevation of T2</t>
  </si>
  <si>
    <t>R22 Unit Electrical Layout-(Default)</t>
  </si>
  <si>
    <t>R22 Unit DB Schematic</t>
  </si>
  <si>
    <t>Typical R22 HVAC layout  VRV Option</t>
  </si>
  <si>
    <t>Typical R22 HVAC layout  Split Option</t>
  </si>
  <si>
    <t>Co-ordinated Enlarged toilet details and Wall Elevation R22 BTR 1 of T2</t>
  </si>
  <si>
    <t>Co-ordinated Enlarged toilet details and Wall Elevation R22 BTR 2 of T2</t>
  </si>
  <si>
    <t>Co-ordinated Enlarged R22 Kitchen Plumbing details and Wall Elevation of T2</t>
  </si>
  <si>
    <t>Co-ordinated Enlarged R22 Utility Plumbing details and Wall Elevation of T2</t>
  </si>
  <si>
    <t>Co-ordinated Typical R22 Sleeves Layout  VRV Option- Stepped Tower 2</t>
  </si>
  <si>
    <t>Individual Home C20 P</t>
  </si>
  <si>
    <t>Typical Unit C20 HVAC layout ( C20 PENT HOUSE UPPER &amp; LOWER LEVEL HVAC LAYOUT)</t>
  </si>
  <si>
    <t>Individual Home L30 P</t>
  </si>
  <si>
    <t>Individual Home L45 P</t>
  </si>
  <si>
    <t xml:space="preserve">Site Plan -External Combined Services </t>
  </si>
  <si>
    <t>Site Plan -External Combined Services _ Villa Cluster-01</t>
  </si>
  <si>
    <t>Site Plan -External Combined Services _ Villa Cluster-02</t>
  </si>
  <si>
    <t>0004</t>
  </si>
  <si>
    <t>Site Plan -External Combined Services _ Villa Cluster-03</t>
  </si>
  <si>
    <t>0006</t>
  </si>
  <si>
    <t xml:space="preserve">Site Plan -Water Supply  Layout </t>
  </si>
  <si>
    <t xml:space="preserve">Site Plan- Sewage Disposal Layout </t>
  </si>
  <si>
    <t xml:space="preserve">Site Plan - Storm Water Disposal  Layout </t>
  </si>
  <si>
    <t>0020</t>
  </si>
  <si>
    <t>Site Plan Combined Villa Services Street Plan and Sections</t>
  </si>
  <si>
    <t>Site Plan Section Details</t>
  </si>
  <si>
    <t>0026</t>
  </si>
  <si>
    <t>Site Plan - Road Cross Section ( near Culvert Area )</t>
  </si>
  <si>
    <t>Site Plan - Tower Road Cross Section</t>
  </si>
  <si>
    <t>0035</t>
  </si>
  <si>
    <t>Site Plan - Equipment Layout</t>
  </si>
  <si>
    <t>Site Plan - Road Cross Section Sleeves Layout</t>
  </si>
  <si>
    <t>Site Plan - Road Cross Section ( near Culvert Area )  Sleeves Layout</t>
  </si>
  <si>
    <t>Site Plan - Tower Road Cross Section Sleeves Layout</t>
  </si>
  <si>
    <t>T09</t>
  </si>
  <si>
    <t>Site Plan Combined Services   [water supply, sewerage and Storm Water]</t>
  </si>
  <si>
    <t xml:space="preserve">Site plan -Water Supply  layout </t>
  </si>
  <si>
    <t xml:space="preserve">Site plan- Sewage disposal layout </t>
  </si>
  <si>
    <t xml:space="preserve">Site plan - Storm water disposal  layout </t>
  </si>
  <si>
    <t>0017</t>
  </si>
  <si>
    <t>Fire Hydrant Layout</t>
  </si>
  <si>
    <t>Specific Detailing</t>
  </si>
  <si>
    <t>Typical Mounting Details</t>
  </si>
  <si>
    <t>Typical Construction Details</t>
  </si>
  <si>
    <t>Site Services</t>
  </si>
  <si>
    <t>SCN</t>
  </si>
  <si>
    <t>Security Cabin 1 Plan</t>
  </si>
  <si>
    <t>Security Cabin Toilet Plan &amp; Elevation Detail</t>
  </si>
  <si>
    <t>Security Cabin 2 Layout</t>
  </si>
  <si>
    <t>TRANSFORMER YARD</t>
  </si>
  <si>
    <t>Transformer Yard Roof Drainage Layout</t>
  </si>
  <si>
    <t>UNDER GROUND SUMP - 01</t>
  </si>
  <si>
    <t>UGT</t>
  </si>
  <si>
    <t>Under Ground Sump for Villa Tower 01, 02 &amp; 02S, 03S Puddle Flange Details</t>
  </si>
  <si>
    <t>UNDER GROUND SUMP - 02 &amp; 03</t>
  </si>
  <si>
    <t>Under Ground Sump 2 Puddle Flange Details</t>
  </si>
  <si>
    <t>STORM WATER SUMP - 01</t>
  </si>
  <si>
    <t>SWT</t>
  </si>
  <si>
    <t>Storm Water Sump -1 details</t>
  </si>
  <si>
    <t>STORM WATER SUMP - 02</t>
  </si>
  <si>
    <t>Storm Water Sump -2 details</t>
  </si>
  <si>
    <t>LPG</t>
  </si>
  <si>
    <t>LPG gas bank layout with schematic flow diagram</t>
  </si>
  <si>
    <t>SEWERAGE TREATMENT TANK - 01</t>
  </si>
  <si>
    <t>STP</t>
  </si>
  <si>
    <t>STP 1-Puddle Flange Detail</t>
  </si>
  <si>
    <t>SEWERAGE TREATMENT TANK - 02</t>
  </si>
  <si>
    <t>STP 2 -Puddle Flange Detail</t>
  </si>
  <si>
    <t>Site CCTV</t>
  </si>
  <si>
    <t>Site CCTV Layout and Details</t>
  </si>
  <si>
    <t>Site plan Transformer yard layout</t>
  </si>
  <si>
    <t>External cable routing layout ( HT / LT/Communication )</t>
  </si>
  <si>
    <t>0007</t>
  </si>
  <si>
    <t>Site plan Earthing layout</t>
  </si>
  <si>
    <t>0010</t>
  </si>
  <si>
    <t>Site plan External lighting layout</t>
  </si>
  <si>
    <t xml:space="preserve">Site Plan - Road Cross Section </t>
  </si>
  <si>
    <t>Villa - Electrical Trench &amp; Culvert details</t>
  </si>
  <si>
    <t>0023</t>
  </si>
  <si>
    <t>Electrical Service Yard</t>
  </si>
  <si>
    <t>Zone-1 Electrical Equipment Earthing Layout</t>
  </si>
  <si>
    <t>Zone-2 Electrical Equipment Earthing Layout</t>
  </si>
  <si>
    <t>0034</t>
  </si>
  <si>
    <t>General Details for Earthing layout</t>
  </si>
  <si>
    <t>Site Plan Earthing Layout</t>
  </si>
  <si>
    <t>Conceptual Earthing Scheme</t>
  </si>
  <si>
    <t>0005</t>
  </si>
  <si>
    <t>Shaft Earthing details</t>
  </si>
  <si>
    <t>Earthing Details</t>
  </si>
  <si>
    <t>SITE SERVICES</t>
  </si>
  <si>
    <t>Electrical Security Cabin 1 Layout</t>
  </si>
  <si>
    <t>Electrical Security Cabin 2 Layout</t>
  </si>
  <si>
    <t>DG YARD</t>
  </si>
  <si>
    <t>DG</t>
  </si>
  <si>
    <t xml:space="preserve">DG Yard/ Room and Transformer Yard  1 Layout </t>
  </si>
  <si>
    <t xml:space="preserve">DG Yard/ Room and Transformer Yard  2 Layout </t>
  </si>
  <si>
    <t>PRM</t>
  </si>
  <si>
    <t>Electrical Panel Room 1</t>
  </si>
  <si>
    <t>Electrical Panel Room 2</t>
  </si>
  <si>
    <t>Electrical Panel Room 3</t>
  </si>
  <si>
    <t>Electrical Panel Room 4</t>
  </si>
  <si>
    <t>Electrical Panel Room 5</t>
  </si>
  <si>
    <t>Electrical Panel Room 6</t>
  </si>
  <si>
    <t>Electrical Panel Room 7</t>
  </si>
  <si>
    <t>COMMUNICATION ROOM</t>
  </si>
  <si>
    <t>CRM</t>
  </si>
  <si>
    <t>Communication Room 1 Layout</t>
  </si>
  <si>
    <t>Communication Room 2 Layout</t>
  </si>
  <si>
    <t>Communication Room 3 Layout</t>
  </si>
  <si>
    <t>Communication Room 4 Layout</t>
  </si>
  <si>
    <t>Communication Room 5 Layout</t>
  </si>
  <si>
    <t>Communication Room 6 Layout</t>
  </si>
  <si>
    <t>Communication Room 7 Layout</t>
  </si>
  <si>
    <t>UNDER GROUND SUMP</t>
  </si>
  <si>
    <t>UGT 1 Cable routing layout</t>
  </si>
  <si>
    <t>UGT 2 Cable routing layout</t>
  </si>
  <si>
    <t>UGT 3 Cable routing layout</t>
  </si>
  <si>
    <t>SEWERAGE TREATMENT TANK</t>
  </si>
  <si>
    <t>STP 1 - Cable routing layout</t>
  </si>
  <si>
    <t>STP 2 - Cable routing layout</t>
  </si>
  <si>
    <t>STP 3 - Cable routing layout</t>
  </si>
  <si>
    <t xml:space="preserve">Transformer Yard Electrical Lighting and Power Layout </t>
  </si>
  <si>
    <t>Power distribution diagram (SLD) 
[Tower-1, Villa &amp; Club House]</t>
  </si>
  <si>
    <t>Power distribution diagram (SLD)  [Tower-2]</t>
  </si>
  <si>
    <t>Power distribution diagram (SLD)  [Tower-3 &amp; 4]</t>
  </si>
  <si>
    <t>Power distribution diagram (SLD) 
[Tower-5, 6 &amp; 7]</t>
  </si>
  <si>
    <t>Security Cabin 1 Layout</t>
  </si>
  <si>
    <t>Under Ground Sump 1 Ventilation Layout</t>
  </si>
  <si>
    <t>UNDER GROUND SUMP - 02</t>
  </si>
  <si>
    <t xml:space="preserve">Under Ground Sump 2 Ventilation Layout </t>
  </si>
  <si>
    <t>UNDER GROUND SUMP - 03</t>
  </si>
  <si>
    <t>Under Ground Sump 3  Ventilation Layout</t>
  </si>
  <si>
    <t>STP 1 Ventilation Layout</t>
  </si>
  <si>
    <t>STP 2 Ventilation Layout</t>
  </si>
  <si>
    <t>SEWERAGE TREATMENT TANK - 03</t>
  </si>
  <si>
    <t>STP 3 Ventilation Layout</t>
  </si>
  <si>
    <t>Villa Electrical Panel Room  Ventilation Layout</t>
  </si>
  <si>
    <t xml:space="preserve">Site plan fire fighting layout </t>
  </si>
  <si>
    <t xml:space="preserve">Villa Co-ordinated Site plan  </t>
  </si>
  <si>
    <t>Villa Co-ordinated Site plan [Cluster 1]</t>
  </si>
  <si>
    <t>Villa Co-ordinated Site plan [Cluster 2]</t>
  </si>
  <si>
    <t>Villa Co-ordinated Site plan [Cluster 3]</t>
  </si>
  <si>
    <t>Co-ordinated Site plan  Sectional Details</t>
  </si>
  <si>
    <t>Co-ordinated Villas Site plan Street Sections</t>
  </si>
  <si>
    <t>OWC Drawings</t>
  </si>
  <si>
    <t>Lower Level (Below Plinth) Drainage Layout</t>
  </si>
  <si>
    <t>Lower Level (Below Plinth) Drainage Section Details</t>
  </si>
  <si>
    <t>Suit Toilet Drainage Plan</t>
  </si>
  <si>
    <t>Suit Toilet Drainage Section-A</t>
  </si>
  <si>
    <t>Club House- Level 1 Water Supply Layout</t>
  </si>
  <si>
    <t>Club House Level 1 Drainage Layout</t>
  </si>
  <si>
    <t>Club House- Level 2 Water Supply Layout</t>
  </si>
  <si>
    <t>Club House Level 2 Drainage Layout</t>
  </si>
  <si>
    <t>Enlarged toilet details and Wall Elevation Pool Male</t>
  </si>
  <si>
    <t>Enlarged toilet details and Wall Elevation Pool Female</t>
  </si>
  <si>
    <t>Enlarged toilet details and Wall Elevation Pool Handicap</t>
  </si>
  <si>
    <t>Enlarged toilet details and Wall Elevation Male Washroom</t>
  </si>
  <si>
    <t>Enlarged toilet details and Wall Elevation Female Washroom</t>
  </si>
  <si>
    <t>Enlarged toilet details and Wall Elevation Handicap Washroom</t>
  </si>
  <si>
    <t>Enlarged toilet details and Wall Elevation Green Room</t>
  </si>
  <si>
    <t>Level 1 Electrical Layout</t>
  </si>
  <si>
    <t>Level 2 Electrical Layout</t>
  </si>
  <si>
    <t>Level 2 External Electrical Layout</t>
  </si>
  <si>
    <t>Level 2 Distribution Diagram</t>
  </si>
  <si>
    <t>Level 1 TV- Telephone Diagram</t>
  </si>
  <si>
    <t>Level 2 TV- Telephone Diagram</t>
  </si>
  <si>
    <t xml:space="preserve">Club House - Lower Level HVAC Layout </t>
  </si>
  <si>
    <t>Club House - Lower Level HVAC Layout (1/2)</t>
  </si>
  <si>
    <t>Club House - Lower Level HVAC Layout (2/2)</t>
  </si>
  <si>
    <t xml:space="preserve">Club House - Upper Level HVAC Layout </t>
  </si>
  <si>
    <t>Club House - Upper Level HVAC Layout (1/2)</t>
  </si>
  <si>
    <t>Club House - Upper Level HVAC Layout (2/2)</t>
  </si>
  <si>
    <t>Club House - Lower Level Fire Protection Layout</t>
  </si>
  <si>
    <t>Club House - Lower Level Fire Detection Layout</t>
  </si>
  <si>
    <t>Club House - Upper Level Fire Protection Layout</t>
  </si>
  <si>
    <t>Club House - Upper Level Fire Detection Layout</t>
  </si>
  <si>
    <t>Coordinated Club House - Level 1 Layout</t>
  </si>
  <si>
    <t>Coordinated Club House - Level 2 Layout</t>
  </si>
  <si>
    <t>Pool Water Supply Routing - Tap off from Pool to Filtration Room</t>
  </si>
  <si>
    <t>Pool Deck Drainage Routing</t>
  </si>
  <si>
    <t>Site CCTV Drawings</t>
  </si>
  <si>
    <t>Plan in Y 24</t>
  </si>
  <si>
    <t>LS | DRAWING LIST</t>
  </si>
  <si>
    <t>IRRIGATION WATER SUPPLY  SCHEMATIC - T2S</t>
  </si>
  <si>
    <t>Tower—2S -Typical Common area between two L45</t>
  </si>
  <si>
    <t>T2SCA1</t>
  </si>
  <si>
    <t>PLANTING &amp; MATERIAL PLAN</t>
  </si>
  <si>
    <t>SETTING OUT PLAN</t>
  </si>
  <si>
    <t>LEVELS &amp; DRAINAGE PLAN</t>
  </si>
  <si>
    <t xml:space="preserve">SUB SURFACE DRAINAGE PLAN </t>
  </si>
  <si>
    <t>LIGHTING PLAN</t>
  </si>
  <si>
    <t>IRRIGATION PLAN</t>
  </si>
  <si>
    <t xml:space="preserve">SECTIONS </t>
  </si>
  <si>
    <t>DETAILS</t>
  </si>
  <si>
    <t>ELECTRO MECHANICAL LAYOUT</t>
  </si>
  <si>
    <t xml:space="preserve">SHRUB PLANTING PLAN </t>
  </si>
  <si>
    <t>SHRUB MARKING PLAN</t>
  </si>
  <si>
    <t xml:space="preserve">SURFACE DRAINAGE PLAN </t>
  </si>
  <si>
    <t>SUB-SURFACE DRAINAGE PLAN</t>
  </si>
  <si>
    <t>SECTION AND DETAILS</t>
  </si>
  <si>
    <t>Tower -2S to 6S Typical common area between towers</t>
  </si>
  <si>
    <t>T2SCA2</t>
  </si>
  <si>
    <t>Wedge Shaped TG</t>
  </si>
  <si>
    <t xml:space="preserve">Site plan level landscape </t>
  </si>
  <si>
    <t>Central Green-Phase 1</t>
  </si>
  <si>
    <t>0059-LS-GFC-CG-SP-101</t>
  </si>
  <si>
    <t>Setting out plan</t>
  </si>
  <si>
    <t>0059-LS-GFC-CG-GR-201</t>
  </si>
  <si>
    <t>Grading Plan-Surface and Sub surface Drainage Plan</t>
  </si>
  <si>
    <t>0059-LS-GFC-CG-GR-201a</t>
  </si>
  <si>
    <t>Grading Plan-Sub surface Drainage Plan</t>
  </si>
  <si>
    <t>0059-LS-GFC-CG-MP-301</t>
  </si>
  <si>
    <t>Material Plan</t>
  </si>
  <si>
    <t>0059-LS-GFC-CG-LP-401</t>
  </si>
  <si>
    <t>Lighting plan</t>
  </si>
  <si>
    <t>0059-LS-GFC-CG-TR-501</t>
  </si>
  <si>
    <t>Tree Planting Plan</t>
  </si>
  <si>
    <t>0059-LS-GFC-CG-SH-601</t>
  </si>
  <si>
    <t>Shrub and Ground Cover Planting Plan</t>
  </si>
  <si>
    <t>0059-LS-GFC-CG-IR-701</t>
  </si>
  <si>
    <t>Irrigation Plan</t>
  </si>
  <si>
    <t>Central Green-Phase 2</t>
  </si>
  <si>
    <t>LS-CG2-1101</t>
  </si>
  <si>
    <t>CENTRAL GREEN PHASE 2 Landscape GA Plan</t>
  </si>
  <si>
    <t>LS-CG2-1201</t>
  </si>
  <si>
    <t>CENTRAL GREEN PHASE 2 Setting out plan</t>
  </si>
  <si>
    <t>LS-CG2-1301</t>
  </si>
  <si>
    <t>CENTRAL GREEN PHASE 2 Grading Plan-Surface and Sub surface Drainage Plan</t>
  </si>
  <si>
    <t>LS-CG2-1401</t>
  </si>
  <si>
    <t>CENTRAL GREEN PHASE 2 Landscape lighting plan and marking Plan</t>
  </si>
  <si>
    <t>LS-CG2-1701</t>
  </si>
  <si>
    <t>CENTRAL GREEN PHASE 2 Tree and Material Plan</t>
  </si>
  <si>
    <t>LS-CG2-1801</t>
  </si>
  <si>
    <t>CENTRAL GREEN PHASE 2  Shrub and Ground Cover Planting Plan</t>
  </si>
  <si>
    <t>LS-CG2-1601</t>
  </si>
  <si>
    <t>CENTRAL GREEN PHASE 2 Irrigation Plan</t>
  </si>
  <si>
    <t>LS-CG2-3001</t>
  </si>
  <si>
    <t>CENTRAL GREEN PHASE 2 Section and details</t>
  </si>
  <si>
    <t>LS-CG2-4001</t>
  </si>
  <si>
    <t>CENTRAL GREEN PHASE 2 Swale detail</t>
  </si>
  <si>
    <t>LS-CG2-4002</t>
  </si>
  <si>
    <t>CENTRAL GREEN PHASE 2 Seater detail</t>
  </si>
  <si>
    <t>LS-CG2-4103</t>
  </si>
  <si>
    <t>CENTRAL GREEN PHASE 2 Amphitheater material marking detail</t>
  </si>
  <si>
    <t>LS-CG2-6001</t>
  </si>
  <si>
    <t>CENTRAL GREEN PHASE 2 Wire cut brick pattern</t>
  </si>
  <si>
    <t xml:space="preserve">Villa Cluster 03 </t>
  </si>
  <si>
    <t>LS-V03-1101</t>
  </si>
  <si>
    <t>Villa Cluster 03 Landscape Layout plan</t>
  </si>
  <si>
    <t>LS-V03-1201</t>
  </si>
  <si>
    <t>Villa Cluster 03 Setting out plan</t>
  </si>
  <si>
    <t>LS-V03-1301</t>
  </si>
  <si>
    <t>Villa Cluster 03 Grading and Drainage plan</t>
  </si>
  <si>
    <t>LS-V03-1302</t>
  </si>
  <si>
    <t>Villa Cluster 03 Rainbird Marking plan</t>
  </si>
  <si>
    <t>LS-V03-1501</t>
  </si>
  <si>
    <t>Villa Cluster 03 Lighting and marking plan</t>
  </si>
  <si>
    <t>LS-V03-1601</t>
  </si>
  <si>
    <t>Villa Cluster 03 Irrigation plan</t>
  </si>
  <si>
    <t>LS-V03-1701</t>
  </si>
  <si>
    <t xml:space="preserve">Villa Cluster 03 tree and material plan </t>
  </si>
  <si>
    <t>LS-V03-1801</t>
  </si>
  <si>
    <t>Villa Cluster 03 Shrub Planting plan</t>
  </si>
  <si>
    <t>LS-V03-1802</t>
  </si>
  <si>
    <t>Villa Cluster 03 Shrub marking plan</t>
  </si>
  <si>
    <t>LS-V03-3001</t>
  </si>
  <si>
    <t>Villa Cluster 03 Section and Details</t>
  </si>
  <si>
    <t>LS-V03-4001</t>
  </si>
  <si>
    <t>Seater detail</t>
  </si>
  <si>
    <t>RESIDENTIAL SECURITY CABIN 1</t>
  </si>
  <si>
    <t>Shrubs Planting plan</t>
  </si>
  <si>
    <t>shrubs marking plan</t>
  </si>
  <si>
    <t>Drainage plan</t>
  </si>
  <si>
    <t>irrigation Plan</t>
  </si>
  <si>
    <t>sections</t>
  </si>
  <si>
    <t>RESIDENTIAL SECURITY CABIN 2</t>
  </si>
  <si>
    <t>SC</t>
  </si>
  <si>
    <t>RESIDENTIAL SECURITY CABIN PLANTING PLAN</t>
  </si>
  <si>
    <t>RESIDENTIAL SECURITY CABIN MARKING PLAN</t>
  </si>
  <si>
    <t>RESIDENTIAL SECURITY CABIN DRAINAGE PLAN</t>
  </si>
  <si>
    <t>RESIDENTIAL SECURITY CABIN SECTION</t>
  </si>
  <si>
    <t>RESIDENTIAL SECURITY CABIN IRRIGATION PLAN</t>
  </si>
  <si>
    <t>Villa Blocks</t>
  </si>
  <si>
    <t>Roof garden planting plan</t>
  </si>
  <si>
    <t>Roof garden Irrigation plan</t>
  </si>
  <si>
    <t>Grab bar details</t>
  </si>
  <si>
    <t xml:space="preserve">GRAB BAR DETAILS </t>
  </si>
  <si>
    <t>Individual Home L30P</t>
  </si>
  <si>
    <t>Lower Level- Planting &amp; Material plan</t>
  </si>
  <si>
    <t>Lower Level- Setting out plan</t>
  </si>
  <si>
    <t>Lower Level- Surface &amp; sub surface drainage</t>
  </si>
  <si>
    <t>Lower Level- Lighting &amp; Irrigation Plan</t>
  </si>
  <si>
    <t>Lower Level- Sections</t>
  </si>
  <si>
    <t>Upper Level- Planting &amp; Material plan</t>
  </si>
  <si>
    <t>Upper Level- Setting out plan</t>
  </si>
  <si>
    <t>Upper Level- Surface &amp; sub surface drainage</t>
  </si>
  <si>
    <t>Upper Level- Lighting &amp; Irrigation Plan</t>
  </si>
  <si>
    <t>Upper Level- Sections</t>
  </si>
  <si>
    <t>Individual Home C20P</t>
  </si>
  <si>
    <t>Material Planting and Lighting Plan</t>
  </si>
  <si>
    <t>Levels, Surface Slope and Drainage Plan</t>
  </si>
  <si>
    <t>Sectional Details</t>
  </si>
  <si>
    <t>Deck Marking</t>
  </si>
  <si>
    <t>Individual Home L45P</t>
  </si>
  <si>
    <t>Terrace garden-01- Planting &amp; Material plan</t>
  </si>
  <si>
    <t>Terrace garden-01- Setting out plan</t>
  </si>
  <si>
    <t>Terrace garden-01- Surface &amp; sub surface drainage</t>
  </si>
  <si>
    <t>Terrace garden-01- Lighting &amp; Irrigation Plan</t>
  </si>
  <si>
    <t>Terrace garden-01- Sections</t>
  </si>
  <si>
    <t>Terrace garden-02- Planting &amp; Material plan</t>
  </si>
  <si>
    <t>Terrace garden-02- Setting out plan</t>
  </si>
  <si>
    <t>Terrace garden-02- Surface &amp; sub surface drainage</t>
  </si>
  <si>
    <t>Terrace garden-02- Lighting &amp; Irrigation Plan</t>
  </si>
  <si>
    <t>Terrace garden-02- Sections</t>
  </si>
  <si>
    <t>Terrace garden-03- Planting &amp; Material plan</t>
  </si>
  <si>
    <t>Terrace garden-03- Setting out plan</t>
  </si>
  <si>
    <t>Terrace garden-03- Surface &amp; sub surface drainage</t>
  </si>
  <si>
    <t>Terrace garden-03- Lighting &amp; Irrigation Plan</t>
  </si>
  <si>
    <t>Terrace garden-03- Sections</t>
  </si>
  <si>
    <t>Central courtyard- Planting &amp; Material plan</t>
  </si>
  <si>
    <t>Central courtyard- Setting out plan</t>
  </si>
  <si>
    <t>Central courtyard- Surface &amp; sub surface drainage</t>
  </si>
  <si>
    <t>Central courtyard- Lighting &amp; Irrigation Plan</t>
  </si>
  <si>
    <t>Central courtyard- Sections</t>
  </si>
  <si>
    <t>Rear Garden- Planting &amp; Material plan</t>
  </si>
  <si>
    <t>Rear Garden- Setting out plan</t>
  </si>
  <si>
    <t>Rear Garden- Surface &amp; sub surface drainage</t>
  </si>
  <si>
    <t>Rear Garden- Lighting &amp; Irrigation Plan</t>
  </si>
  <si>
    <t>Rear Garden- Sections</t>
  </si>
  <si>
    <t>0059-LS-GFC-CL-GA-007</t>
  </si>
  <si>
    <t xml:space="preserve">Swimming pool area General arrangement plan </t>
  </si>
  <si>
    <t>0059-LS-GFC-CL-SP-107</t>
  </si>
  <si>
    <t xml:space="preserve">Swimming pool area Setting out plan </t>
  </si>
  <si>
    <t>0059-LS-GFC-CL-GR-207</t>
  </si>
  <si>
    <t>Swimming pool area level and drainage plan</t>
  </si>
  <si>
    <t>0059-LS-GFC-CL-MP-307</t>
  </si>
  <si>
    <t xml:space="preserve">Swimming pool Material plan </t>
  </si>
  <si>
    <t>0059-LS-GFC-CL-LP-407</t>
  </si>
  <si>
    <t>0059-LS-GFC-CL-TR-507</t>
  </si>
  <si>
    <t xml:space="preserve">Swimming pool and heated pool area Tree and shrub planting plan </t>
  </si>
  <si>
    <t>0059-LS-GFC-CL-IR-707</t>
  </si>
  <si>
    <t>0059-LS-GFC-CL-SS-807</t>
  </si>
  <si>
    <t>Swimming pool sectional detail</t>
  </si>
  <si>
    <t>0059-LS-GFC-CL-SS-807a</t>
  </si>
  <si>
    <t>0059-LS-GFC-CL-DT-907A</t>
  </si>
  <si>
    <t>Lap pool &amp; Kids Pool puddle flange /sleeve detail.</t>
  </si>
  <si>
    <t>0059-LS-GFC-CL-DT-907B</t>
  </si>
  <si>
    <t>Lap pool &amp; Kids Pool plumbing details.</t>
  </si>
  <si>
    <t>0059-LS-GFC-CL-DT-907C</t>
  </si>
  <si>
    <t>Heated pool puddle flange /sleeve details.</t>
  </si>
  <si>
    <t>0059-LS-GFC-CL-DT-907D R1</t>
  </si>
  <si>
    <t>Heated pool Plumbing derails.</t>
  </si>
  <si>
    <t>0059-LS-GFC-CL-DT-907E R1</t>
  </si>
  <si>
    <t>Filtration room - retaining wall cutouts</t>
  </si>
  <si>
    <t>0059-LS-GFC-CL-DT-907F</t>
  </si>
  <si>
    <t>Swimming Pool Electro - mechanical details</t>
  </si>
  <si>
    <t>Aound T01 till T2S</t>
  </si>
  <si>
    <t>LS-BW01-1101</t>
  </si>
  <si>
    <t>LANDSCAPE LAYOUT PLAN</t>
  </si>
  <si>
    <t>LS-BW01-1201</t>
  </si>
  <si>
    <t>LS-BW01-1301</t>
  </si>
  <si>
    <t>SURFACE GRADING PLAN</t>
  </si>
  <si>
    <t>LS-BW01-1401</t>
  </si>
  <si>
    <t>MATERIAL PLAN</t>
  </si>
  <si>
    <t>LS-BW01-1501</t>
  </si>
  <si>
    <t>LIGHTING PLAN AND MARKING DETAIL</t>
  </si>
  <si>
    <t>LS-BW01-1601</t>
  </si>
  <si>
    <t>LS-BW01-1701</t>
  </si>
  <si>
    <t>TREE PLANTING PLAN and MARKING DETAIL</t>
  </si>
  <si>
    <t>LS-BW01-1702</t>
  </si>
  <si>
    <t>TREE MARKING PLAN</t>
  </si>
  <si>
    <t>LS-BW01-1801</t>
  </si>
  <si>
    <t>SHRUB PLANTING PLAN</t>
  </si>
  <si>
    <t>LS-BW01-1802</t>
  </si>
  <si>
    <t>LS-BW01-3001</t>
  </si>
  <si>
    <t>SECTIONS</t>
  </si>
  <si>
    <t>LS-BW01-4001</t>
  </si>
  <si>
    <t>SEATER DETAIL</t>
  </si>
  <si>
    <t>LS-BW01-4002</t>
  </si>
  <si>
    <t>GAZEBO DETAIL</t>
  </si>
  <si>
    <t>LS-BW01-4003</t>
  </si>
  <si>
    <t>BAMBOO GAZEBO DETAIL</t>
  </si>
  <si>
    <t>LS-BW01-4004</t>
  </si>
  <si>
    <t>GRASS PAVER DETAIL</t>
  </si>
  <si>
    <t>LS-BW01-4005</t>
  </si>
  <si>
    <t>WATER BODY DETAIL</t>
  </si>
  <si>
    <t>LS-BW01-4006</t>
  </si>
  <si>
    <t>MEDITATION DECK</t>
  </si>
  <si>
    <t>Other Area</t>
  </si>
  <si>
    <t>Sports complex</t>
  </si>
  <si>
    <t>General arrangement Plan</t>
  </si>
  <si>
    <t xml:space="preserve">Setting out plan </t>
  </si>
  <si>
    <t>Grading plan</t>
  </si>
  <si>
    <t xml:space="preserve">Material plan </t>
  </si>
  <si>
    <t xml:space="preserve">Tree Planting plan </t>
  </si>
  <si>
    <t xml:space="preserve">Shrub Planting plan </t>
  </si>
  <si>
    <t>Sectional detail</t>
  </si>
  <si>
    <t>Details</t>
  </si>
  <si>
    <t>SR</t>
  </si>
  <si>
    <t>Project</t>
  </si>
  <si>
    <t>Responsible</t>
  </si>
  <si>
    <t>Update as on 02-04-2024</t>
  </si>
  <si>
    <t>LTF</t>
  </si>
  <si>
    <t>Kushal</t>
  </si>
  <si>
    <t>Project Delivery - By 04-04 EOD
Unit Delivery - 20 units update pending. Will be shared by tomorrow first half</t>
  </si>
  <si>
    <t>ATR P1,2A,Comr</t>
  </si>
  <si>
    <t>Ashish</t>
  </si>
  <si>
    <t>P1, 2a competed and mail sent
Comr -  Awaiting BOQ</t>
  </si>
  <si>
    <t>ATR P2b &amp; c</t>
  </si>
  <si>
    <t>Harish</t>
  </si>
  <si>
    <t>Mail will be sent on 02-04</t>
  </si>
  <si>
    <t>GFC | Parking(1-7)</t>
  </si>
  <si>
    <t>SFTW</t>
  </si>
  <si>
    <t>Sagar</t>
  </si>
  <si>
    <t>Will be shared by 05-04</t>
  </si>
  <si>
    <t>GFC | Parking(8)</t>
  </si>
  <si>
    <t>ITQE</t>
  </si>
  <si>
    <t>Couldn't connect</t>
  </si>
  <si>
    <t>GFC | Tower1</t>
  </si>
  <si>
    <t>TMFT</t>
  </si>
  <si>
    <t>Abdul</t>
  </si>
  <si>
    <t>He will call back as he was travelling</t>
  </si>
  <si>
    <t>GFC | Tower2</t>
  </si>
  <si>
    <t>GFC | Tower3</t>
  </si>
  <si>
    <t>GFC | Tower4</t>
  </si>
  <si>
    <t>GFC | Tower5</t>
  </si>
  <si>
    <t>GFC | Tower6</t>
  </si>
  <si>
    <t>Ind Home</t>
  </si>
  <si>
    <t>Services Cost</t>
  </si>
  <si>
    <t>No. of Units</t>
  </si>
  <si>
    <t>GFC | Tower7</t>
  </si>
  <si>
    <t>GFC | Tower8</t>
  </si>
  <si>
    <t>GFC | Villas</t>
  </si>
  <si>
    <t>L2BHK</t>
  </si>
  <si>
    <t>L3BHK</t>
  </si>
  <si>
    <t>GFC | Site Development and Site Services</t>
  </si>
  <si>
    <t>Check</t>
  </si>
  <si>
    <t>Package Number</t>
  </si>
  <si>
    <t>Workhead or Package Name</t>
  </si>
  <si>
    <t>Design Fee</t>
  </si>
  <si>
    <t>GFC | Tower—2V</t>
  </si>
  <si>
    <t>GFC | Tower—6S</t>
  </si>
  <si>
    <t>GFC | Independent Subgrade Structure [Tower 1-7]</t>
  </si>
  <si>
    <t>TOTAL FEE</t>
  </si>
  <si>
    <t>Plan in 
FY: 21-22</t>
  </si>
  <si>
    <t>Issued in 
FY: 21-22</t>
  </si>
  <si>
    <t>Till Mar'21</t>
  </si>
  <si>
    <t>Apr-21</t>
  </si>
  <si>
    <t>May-21</t>
  </si>
  <si>
    <t>Jun-21</t>
  </si>
  <si>
    <t>Jul-21</t>
  </si>
  <si>
    <t>Aug-21</t>
  </si>
  <si>
    <t>Sep-21</t>
  </si>
  <si>
    <t>Oct-21</t>
  </si>
  <si>
    <t>Nov-21</t>
  </si>
  <si>
    <t>Dec-21</t>
  </si>
  <si>
    <t>Jan-22</t>
  </si>
  <si>
    <t>Feb-22</t>
  </si>
  <si>
    <t>Mar - 21</t>
  </si>
  <si>
    <t>IRRIGATION WATER SUPPLY  SCHEMATIC - T1</t>
  </si>
  <si>
    <t>IRRIGATION WATER SUPPLY  SCHEMATIC - T2</t>
  </si>
  <si>
    <t>PLANTING PLAN</t>
  </si>
  <si>
    <t>SECTIONS 01</t>
  </si>
  <si>
    <t>SECTIONS 02</t>
  </si>
  <si>
    <t>IRRIGATION WATER SUPPLY  SCHEMATIC - T3V-5V</t>
  </si>
  <si>
    <t>IRRIGATION WATER SUPPLY  SCHEMATIC - T3S-5S</t>
  </si>
  <si>
    <t>IRRIGATION WATER SUPPLY  SCHEMATIC - T6</t>
  </si>
  <si>
    <t>IRRIGATION WATER SUPPLY  SCHEMATIC - T6S</t>
  </si>
  <si>
    <t>IRRIGATION WATER SUPPLY  SCHEMATIC - T7</t>
  </si>
  <si>
    <t>Tower—08</t>
  </si>
  <si>
    <t>T8</t>
  </si>
  <si>
    <t>T08</t>
  </si>
  <si>
    <t>Tower—09 [Commercial]</t>
  </si>
  <si>
    <t>T9</t>
  </si>
  <si>
    <t>IRRIGATION WATER SUPPLY  SCHEMATIC - T9</t>
  </si>
  <si>
    <t>Villa Block - Cluster 1 &amp; 2</t>
  </si>
  <si>
    <t>VO1</t>
  </si>
  <si>
    <t>Villa Block - Cluster 3</t>
  </si>
  <si>
    <t>LANDSCAPE DEVELOPMENT PLAN</t>
  </si>
  <si>
    <t>HARDSCAPE LAYOUT – IF REQUIRED</t>
  </si>
  <si>
    <t>SECTIONS 03</t>
  </si>
  <si>
    <t>PROJECT ENTRANCE</t>
  </si>
  <si>
    <t>TEMPORARY ENTRANCE</t>
  </si>
  <si>
    <t>CLUB HOUSE LANDSCAPE LAYOUT—ALL LEVELS</t>
  </si>
  <si>
    <t>CLUB HOUSE LANDSCAPE LAYOUT—ROOF LEVEL</t>
  </si>
  <si>
    <t>CLUB HOUSE LANDSCAPE LAYOUT—COMMON AREA</t>
  </si>
  <si>
    <t>CENTRAL GREEN AREA LAYOUT</t>
  </si>
  <si>
    <t>CHILDREN'S PLAY AREA LAYOUT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</si>
</sst>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43" formatCode="_ * #,##0.00_ ;_ * \-#,##0.00_ ;_ * &quot;-&quot;??_ ;_ @_ "/>
    <numFmt numFmtId="164" formatCode="_(* #,##0.00_);_(* \(#,##0.00\);_(* &quot;-&quot;??_);_(@_)"/>
    <numFmt numFmtId="165" formatCode="0.0%"/>
    <numFmt numFmtId="166" formatCode="0.0"/>
    <numFmt numFmtId="167" formatCode="mmmm&quot; &quot;d&quot;, &quot;yyyy;@"/>
    <numFmt numFmtId="168" formatCode="0%;\-0%;\-;@"/>
    <numFmt numFmtId="169" formatCode="0.0%;\-0.0%;\-;@"/>
    <numFmt numFmtId="170" formatCode="[$-409]mmmm\ d\,\ yyyy;@"/>
    <numFmt numFmtId="171" formatCode="_(* #,##0_);_(* \(#,##0\);_(* &quot;-&quot;??_);_(@_)"/>
    <numFmt numFmtId="172" formatCode="_(* #,##0.00_);_(* \(#,##0.00\);_(* \-??_);_(@_)"/>
    <numFmt numFmtId="173" formatCode="0.00_);\(0.00\)"/>
    <numFmt numFmtId="174" formatCode="#,##0.00\ ;&quot; -&quot;#,##0.00\ ;&quot; -&quot;#\ ;@\ "/>
    <numFmt numFmtId="175" formatCode="#,##0.00\ ;&quot; (&quot;#,##0.00\);&quot; -&quot;#\ ;@\ "/>
    <numFmt numFmtId="176" formatCode="_ * #,##0_ ;_ * \-#,##0_ ;_ * &quot;-&quot;??_ ;_ @_ "/>
    <numFmt numFmtId="177" formatCode="_ * #,##0.000_ ;_ * \-#,##0.000_ ;_ * &quot;-&quot;??_ ;_ @_ "/>
  </numFmts>
  <fonts count="131">
    <font>
      <sz val="10"/>
      <color theme="1"/>
      <name val="Meta-Normal"/>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Neo Sans Pro Light"/>
      <family val="2"/>
    </font>
    <font>
      <sz val="10"/>
      <color theme="1"/>
      <name val="Neo Sans Pro Medium"/>
      <family val="2"/>
    </font>
    <font>
      <sz val="10"/>
      <color theme="1"/>
      <name val="Neo Sans Pro"/>
      <family val="2"/>
    </font>
    <font>
      <sz val="10"/>
      <color theme="1"/>
      <name val="Meta-Normal"/>
      <family val="2"/>
    </font>
    <font>
      <b/>
      <sz val="10"/>
      <color theme="1"/>
      <name val="Meta-Normal"/>
      <family val="3"/>
    </font>
    <font>
      <sz val="10"/>
      <name val="Arial"/>
      <family val="2"/>
    </font>
    <font>
      <sz val="11"/>
      <color rgb="FF000000"/>
      <name val="Arial"/>
      <family val="2"/>
    </font>
    <font>
      <sz val="10"/>
      <color rgb="FF000000"/>
      <name val="Meta-Normal"/>
      <family val="2"/>
      <charset val="1"/>
    </font>
    <font>
      <sz val="10"/>
      <name val="Neo Sans Pro Medium"/>
      <family val="2"/>
    </font>
    <font>
      <sz val="10"/>
      <color theme="1"/>
      <name val="Meta-Normal"/>
      <family val="3"/>
    </font>
    <font>
      <sz val="14"/>
      <color theme="0"/>
      <name val="Impact"/>
      <family val="2"/>
    </font>
    <font>
      <sz val="9"/>
      <name val="Times New Roman"/>
      <family val="1"/>
      <charset val="1"/>
    </font>
    <font>
      <sz val="10"/>
      <name val="Century Gothic"/>
      <family val="2"/>
      <charset val="1"/>
    </font>
    <font>
      <sz val="9"/>
      <color indexed="8"/>
      <name val="Neo Sans Pro Light"/>
      <family val="2"/>
    </font>
    <font>
      <sz val="10"/>
      <name val="Century Gothic"/>
      <family val="2"/>
    </font>
    <font>
      <sz val="10"/>
      <name val="Neo Sans Pro Light"/>
      <family val="2"/>
    </font>
    <font>
      <sz val="9"/>
      <color rgb="FF000000"/>
      <name val="Times New Roman"/>
      <family val="1"/>
    </font>
    <font>
      <sz val="10"/>
      <name val="Meta-Normal"/>
      <family val="3"/>
    </font>
    <font>
      <sz val="8"/>
      <name val="Neo Sans Pro Light"/>
      <family val="2"/>
    </font>
    <font>
      <b/>
      <sz val="10"/>
      <name val="Neo Sans Pro Light"/>
      <family val="2"/>
    </font>
    <font>
      <b/>
      <sz val="10"/>
      <name val="Century Gothic"/>
      <family val="2"/>
      <charset val="1"/>
    </font>
    <font>
      <b/>
      <sz val="10"/>
      <name val="Meta-Normal"/>
      <family val="3"/>
    </font>
    <font>
      <sz val="10"/>
      <name val="Meta-Normal"/>
      <family val="2"/>
    </font>
    <font>
      <sz val="10"/>
      <name val="Calibri Light"/>
      <family val="2"/>
    </font>
    <font>
      <sz val="10"/>
      <color theme="1"/>
      <name val="Meta-Normal"/>
      <family val="1"/>
    </font>
    <font>
      <sz val="12"/>
      <color theme="1"/>
      <name val="Calibri"/>
      <family val="2"/>
      <scheme val="minor"/>
    </font>
    <font>
      <sz val="10"/>
      <color rgb="FFFF0000"/>
      <name val="Neo Sans Pro Light"/>
      <family val="2"/>
    </font>
    <font>
      <sz val="10"/>
      <color rgb="FFFF0000"/>
      <name val="Neo Sans Pro Medium"/>
      <family val="2"/>
    </font>
    <font>
      <sz val="10"/>
      <name val="Neo Sans Pro"/>
      <family val="2"/>
    </font>
    <font>
      <sz val="11"/>
      <color indexed="8"/>
      <name val="Calibri"/>
      <family val="2"/>
    </font>
    <font>
      <sz val="10"/>
      <color theme="0"/>
      <name val="Neo Sans Pro Light"/>
      <family val="2"/>
    </font>
    <font>
      <sz val="10"/>
      <color theme="0"/>
      <name val="Meta-Normal"/>
      <family val="3"/>
    </font>
    <font>
      <sz val="8"/>
      <name val="Meta-Normal"/>
      <family val="2"/>
    </font>
    <font>
      <sz val="12"/>
      <name val="Times New Roman"/>
      <family val="1"/>
    </font>
    <font>
      <sz val="10"/>
      <color theme="1"/>
      <name val="NeoSansPro-Light"/>
      <family val="2"/>
    </font>
    <font>
      <sz val="8"/>
      <color indexed="8"/>
      <name val="Neo Sans Pro Light"/>
      <family val="2"/>
    </font>
    <font>
      <sz val="8"/>
      <color indexed="8"/>
      <name val="Calibri"/>
      <family val="2"/>
    </font>
    <font>
      <sz val="8"/>
      <color theme="1"/>
      <name val="Calibri"/>
      <family val="2"/>
    </font>
    <font>
      <sz val="10"/>
      <color indexed="8"/>
      <name val="Arial"/>
      <family val="2"/>
    </font>
    <font>
      <sz val="8"/>
      <color theme="1"/>
      <name val="Calibri"/>
      <family val="2"/>
      <scheme val="minor"/>
    </font>
    <font>
      <sz val="10"/>
      <name val="Arial"/>
      <family val="2"/>
      <charset val="1"/>
    </font>
    <font>
      <sz val="11"/>
      <color indexed="8"/>
      <name val="Meta-Normal"/>
      <family val="2"/>
      <charset val="1"/>
    </font>
    <font>
      <sz val="8"/>
      <name val="Neo Sans Pro Light"/>
      <family val="2"/>
      <charset val="134"/>
    </font>
    <font>
      <sz val="12"/>
      <name val="Times New Roman"/>
      <family val="1"/>
      <charset val="134"/>
    </font>
    <font>
      <sz val="8"/>
      <color indexed="8"/>
      <name val="Calibri"/>
      <family val="2"/>
      <charset val="134"/>
    </font>
    <font>
      <sz val="11"/>
      <color indexed="9"/>
      <name val="Calibri"/>
      <family val="2"/>
    </font>
    <font>
      <sz val="11"/>
      <color indexed="16"/>
      <name val="Calibri"/>
      <family val="2"/>
    </font>
    <font>
      <b/>
      <sz val="11"/>
      <color indexed="52"/>
      <name val="Calibri"/>
      <family val="2"/>
    </font>
    <font>
      <b/>
      <sz val="11"/>
      <color indexed="9"/>
      <name val="Calibri"/>
      <family val="2"/>
    </font>
    <font>
      <sz val="10"/>
      <name val="Mangal"/>
      <family val="1"/>
    </font>
    <font>
      <sz val="10"/>
      <name val="Verdana"/>
      <family val="2"/>
    </font>
    <font>
      <i/>
      <sz val="11"/>
      <color indexed="23"/>
      <name val="Calibri"/>
      <family val="2"/>
    </font>
    <font>
      <sz val="11"/>
      <color indexed="17"/>
      <name val="Calibri"/>
      <family val="2"/>
    </font>
    <font>
      <b/>
      <sz val="15"/>
      <color indexed="54"/>
      <name val="Calibri"/>
      <family val="2"/>
    </font>
    <font>
      <b/>
      <sz val="13"/>
      <color indexed="54"/>
      <name val="Calibri"/>
      <family val="2"/>
    </font>
    <font>
      <b/>
      <sz val="11"/>
      <color indexed="54"/>
      <name val="Calibri"/>
      <family val="2"/>
    </font>
    <font>
      <sz val="11"/>
      <color indexed="62"/>
      <name val="Calibri"/>
      <family val="2"/>
    </font>
    <font>
      <sz val="11"/>
      <color indexed="52"/>
      <name val="Calibri"/>
      <family val="2"/>
    </font>
    <font>
      <sz val="11"/>
      <color indexed="60"/>
      <name val="Calibri"/>
      <family val="2"/>
    </font>
    <font>
      <sz val="10"/>
      <color indexed="8"/>
      <name val="Arial1"/>
    </font>
    <font>
      <sz val="12"/>
      <color indexed="8"/>
      <name val="Calibri"/>
      <family val="2"/>
    </font>
    <font>
      <b/>
      <sz val="11"/>
      <color indexed="63"/>
      <name val="Calibri"/>
      <family val="2"/>
    </font>
    <font>
      <sz val="18"/>
      <color indexed="54"/>
      <name val="Calibri Light"/>
      <family val="2"/>
    </font>
    <font>
      <b/>
      <sz val="11"/>
      <color indexed="8"/>
      <name val="Calibri"/>
      <family val="2"/>
    </font>
    <font>
      <sz val="11"/>
      <color indexed="10"/>
      <name val="Calibri"/>
      <family val="2"/>
    </font>
    <font>
      <b/>
      <sz val="10"/>
      <name val="Century Gothic"/>
      <family val="2"/>
    </font>
    <font>
      <sz val="10"/>
      <color theme="1"/>
      <name val="Calibri"/>
      <family val="2"/>
      <scheme val="minor"/>
    </font>
    <font>
      <b/>
      <sz val="10"/>
      <color theme="1"/>
      <name val="Calibri"/>
      <family val="2"/>
      <scheme val="minor"/>
    </font>
    <font>
      <sz val="10"/>
      <name val="Century Gothic"/>
      <family val="1"/>
    </font>
    <font>
      <b/>
      <sz val="10"/>
      <color theme="1"/>
      <name val="Neo Sans Pro"/>
      <family val="2"/>
    </font>
    <font>
      <sz val="12"/>
      <color theme="1"/>
      <name val="Neo Sans Pro"/>
      <family val="2"/>
    </font>
    <font>
      <sz val="14"/>
      <color theme="0"/>
      <name val="Neo Sans Pro"/>
      <family val="2"/>
    </font>
    <font>
      <sz val="10"/>
      <color rgb="FF000000"/>
      <name val="Neo Sans Pro"/>
      <family val="2"/>
    </font>
    <font>
      <b/>
      <sz val="10"/>
      <name val="Neo Sans Pro"/>
      <family val="2"/>
    </font>
    <font>
      <sz val="10"/>
      <color rgb="FFFF0000"/>
      <name val="Meta-Normal"/>
      <family val="3"/>
    </font>
    <font>
      <b/>
      <sz val="12"/>
      <color theme="1"/>
      <name val="Meta-Normal"/>
      <family val="3"/>
    </font>
    <font>
      <sz val="11"/>
      <color theme="1"/>
      <name val="Neo Sans Pro"/>
      <family val="2"/>
    </font>
    <font>
      <sz val="11"/>
      <color theme="0"/>
      <name val="Neo Sans Pro"/>
      <family val="2"/>
    </font>
    <font>
      <sz val="11"/>
      <color theme="1"/>
      <name val="Meta-Normal"/>
      <family val="3"/>
    </font>
    <font>
      <sz val="14"/>
      <color theme="0"/>
      <name val="Meta-Normal"/>
      <family val="3"/>
    </font>
    <font>
      <sz val="9"/>
      <color theme="1"/>
      <name val="Meta-Normal"/>
      <family val="3"/>
    </font>
    <font>
      <sz val="9"/>
      <name val="Meta-Normal"/>
      <family val="3"/>
    </font>
    <font>
      <b/>
      <sz val="11"/>
      <color theme="1"/>
      <name val="Meta-Normal"/>
      <family val="3"/>
    </font>
    <font>
      <b/>
      <sz val="11"/>
      <color theme="0"/>
      <name val="Meta-Normal"/>
      <family val="3"/>
    </font>
    <font>
      <sz val="9"/>
      <color rgb="FF000000"/>
      <name val="Meta-Normal"/>
      <family val="3"/>
    </font>
    <font>
      <sz val="11"/>
      <color theme="1"/>
      <name val="Neo Sans Pro Medium"/>
      <family val="2"/>
    </font>
    <font>
      <sz val="12"/>
      <color theme="1"/>
      <name val="Neo Sans Pro Medium"/>
      <family val="2"/>
    </font>
    <font>
      <sz val="10"/>
      <color rgb="FF000000"/>
      <name val="Meta-Normal"/>
      <family val="3"/>
    </font>
    <font>
      <sz val="10"/>
      <color rgb="FF000000"/>
      <name val="Neo Sans Pro Light"/>
      <family val="2"/>
    </font>
    <font>
      <sz val="10"/>
      <color rgb="FFFF0000"/>
      <name val="Century Gothic"/>
      <family val="2"/>
    </font>
    <font>
      <sz val="10"/>
      <color rgb="FFFF0000"/>
      <name val="Century Gothic"/>
      <family val="2"/>
      <charset val="1"/>
    </font>
    <font>
      <sz val="10"/>
      <color indexed="8"/>
      <name val="Arial"/>
      <family val="2"/>
      <charset val="1"/>
    </font>
    <font>
      <sz val="11"/>
      <color indexed="8"/>
      <name val="Arial"/>
      <family val="2"/>
    </font>
    <font>
      <sz val="9"/>
      <name val="Times New Roman"/>
      <family val="1"/>
    </font>
    <font>
      <sz val="11"/>
      <color indexed="8"/>
      <name val="Calibri"/>
      <family val="2"/>
      <charset val="1"/>
    </font>
    <font>
      <sz val="10"/>
      <color theme="1"/>
      <name val="Helvetica"/>
      <family val="2"/>
    </font>
    <font>
      <b/>
      <sz val="10"/>
      <color theme="1"/>
      <name val="Helvetica"/>
      <family val="2"/>
    </font>
    <font>
      <sz val="10"/>
      <name val="Helvetica"/>
      <family val="2"/>
    </font>
    <font>
      <b/>
      <sz val="10"/>
      <color theme="1"/>
      <name val="Neo Sans Pro Medium"/>
      <family val="2"/>
    </font>
    <font>
      <sz val="14"/>
      <color theme="0"/>
      <name val="Impact"/>
      <family val="3"/>
    </font>
    <font>
      <b/>
      <sz val="10"/>
      <name val="Helvetica"/>
      <family val="2"/>
    </font>
    <font>
      <b/>
      <sz val="11"/>
      <color theme="1"/>
      <name val="Meta-Normal"/>
    </font>
    <font>
      <sz val="11"/>
      <color theme="1"/>
      <name val="Meta-Normal"/>
    </font>
    <font>
      <b/>
      <sz val="12"/>
      <color theme="1"/>
      <name val="Meta-Normal"/>
    </font>
    <font>
      <strike/>
      <sz val="10"/>
      <name val="Calibri Light"/>
      <family val="2"/>
    </font>
    <font>
      <sz val="10"/>
      <color theme="1"/>
      <name val="Meta-Normal"/>
    </font>
    <font>
      <sz val="10"/>
      <name val="Meta-Normal"/>
    </font>
    <font>
      <sz val="11"/>
      <name val="Meta-Normal"/>
    </font>
    <font>
      <sz val="11"/>
      <color rgb="FFFF0000"/>
      <name val="Meta-Normal"/>
    </font>
    <font>
      <strike/>
      <sz val="10"/>
      <color rgb="FFFF0000"/>
      <name val="Calibri Light"/>
      <family val="2"/>
    </font>
    <font>
      <sz val="18"/>
      <color theme="0"/>
      <name val="Impact"/>
      <family val="2"/>
    </font>
    <font>
      <sz val="18"/>
      <color theme="0"/>
      <name val="Meta-Normal"/>
      <family val="3"/>
    </font>
    <font>
      <sz val="12"/>
      <color theme="0"/>
      <name val="Neo Sans Pro Medium"/>
      <family val="2"/>
    </font>
    <font>
      <sz val="14"/>
      <name val="Neo Sans Pro Medium"/>
      <family val="2"/>
    </font>
    <font>
      <sz val="11"/>
      <color theme="1"/>
      <name val="Meta-Normal"/>
      <family val="2"/>
    </font>
    <font>
      <sz val="9"/>
      <name val="Neo Sans Pro Medium"/>
      <family val="2"/>
    </font>
    <font>
      <b/>
      <sz val="14"/>
      <color theme="1"/>
      <name val="Calibri"/>
      <family val="2"/>
      <scheme val="minor"/>
    </font>
    <font>
      <b/>
      <sz val="10"/>
      <color theme="1"/>
      <name val="Helvetica"/>
    </font>
    <font>
      <b/>
      <sz val="10"/>
      <color theme="1"/>
      <name val="Neo Sans Pro Light"/>
      <family val="2"/>
    </font>
    <font>
      <b/>
      <sz val="10"/>
      <color theme="1"/>
      <name val="Meta-Normal"/>
    </font>
    <font>
      <sz val="12"/>
      <name val="Neo Sans Pro Medium"/>
      <family val="2"/>
    </font>
    <font>
      <sz val="9"/>
      <name val="Meta-Normal"/>
    </font>
    <font>
      <sz val="9"/>
      <color rgb="FF000000"/>
      <name val="Meta-Normal"/>
    </font>
    <font>
      <sz val="9"/>
      <color rgb="FF000000"/>
      <name val="Meta-Normal"/>
      <family val="2"/>
    </font>
    <font>
      <sz val="9"/>
      <name val="Meta-Normal"/>
      <family val="2"/>
    </font>
    <font>
      <sz val="9"/>
      <color rgb="FFFF0000"/>
      <name val="Meta-Normal"/>
      <family val="2"/>
    </font>
  </fonts>
  <fills count="30">
    <fill>
      <patternFill patternType="none"/>
    </fill>
    <fill>
      <patternFill patternType="gray125"/>
    </fill>
    <fill>
      <patternFill patternType="solid">
        <fgColor theme="5" tint="0.79998168889431442"/>
        <bgColor indexed="64"/>
      </patternFill>
    </fill>
    <fill>
      <patternFill patternType="solid">
        <fgColor rgb="FF963634"/>
        <bgColor indexed="64"/>
      </patternFill>
    </fill>
    <fill>
      <patternFill patternType="solid">
        <fgColor theme="7" tint="0.79998168889431442"/>
        <bgColor indexed="64"/>
      </patternFill>
    </fill>
    <fill>
      <patternFill patternType="solid">
        <fgColor theme="7" tint="-0.249977111117893"/>
        <bgColor indexed="64"/>
      </patternFill>
    </fill>
    <fill>
      <patternFill patternType="solid">
        <fgColor indexed="43"/>
        <bgColor indexed="64"/>
      </patternFill>
    </fill>
    <fill>
      <patternFill patternType="solid">
        <fgColor indexed="42"/>
        <bgColor indexed="64"/>
      </patternFill>
    </fill>
    <fill>
      <patternFill patternType="solid">
        <fgColor indexed="53"/>
        <bgColor indexed="64"/>
      </patternFill>
    </fill>
    <fill>
      <patternFill patternType="solid">
        <fgColor indexed="55"/>
        <bgColor indexed="64"/>
      </patternFill>
    </fill>
    <fill>
      <patternFill patternType="solid">
        <fgColor indexed="22"/>
        <bgColor indexed="64"/>
      </patternFill>
    </fill>
    <fill>
      <patternFill patternType="solid">
        <fgColor indexed="27"/>
        <bgColor indexed="64"/>
      </patternFill>
    </fill>
    <fill>
      <patternFill patternType="solid">
        <fgColor indexed="26"/>
        <bgColor indexed="64"/>
      </patternFill>
    </fill>
    <fill>
      <patternFill patternType="solid">
        <fgColor indexed="29"/>
        <bgColor indexed="64"/>
      </patternFill>
    </fill>
    <fill>
      <patternFill patternType="solid">
        <fgColor indexed="31"/>
        <bgColor indexed="64"/>
      </patternFill>
    </fill>
    <fill>
      <patternFill patternType="solid">
        <fgColor indexed="49"/>
        <bgColor indexed="64"/>
      </patternFill>
    </fill>
    <fill>
      <patternFill patternType="solid">
        <fgColor indexed="51"/>
        <bgColor indexed="64"/>
      </patternFill>
    </fill>
    <fill>
      <patternFill patternType="solid">
        <fgColor indexed="62"/>
        <bgColor indexed="64"/>
      </patternFill>
    </fill>
    <fill>
      <patternFill patternType="solid">
        <fgColor indexed="47"/>
        <bgColor indexed="64"/>
      </patternFill>
    </fill>
    <fill>
      <patternFill patternType="solid">
        <fgColor rgb="FF92D050"/>
        <bgColor indexed="64"/>
      </patternFill>
    </fill>
    <fill>
      <patternFill patternType="solid">
        <fgColor theme="0"/>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rgb="FFF8F8F8"/>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FFD146"/>
        <bgColor rgb="FF000000"/>
      </patternFill>
    </fill>
  </fills>
  <borders count="4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style="thin">
        <color indexed="8"/>
      </left>
      <right style="thin">
        <color indexed="8"/>
      </right>
      <top style="thin">
        <color indexed="8"/>
      </top>
      <bottom style="thin">
        <color indexed="8"/>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7"/>
      </bottom>
      <diagonal/>
    </border>
    <border>
      <left/>
      <right/>
      <top/>
      <bottom style="medium">
        <color indexed="27"/>
      </bottom>
      <diagonal/>
    </border>
    <border>
      <left/>
      <right/>
      <top/>
      <bottom style="double">
        <color indexed="52"/>
      </bottom>
      <diagonal/>
    </border>
    <border>
      <left style="thin">
        <color indexed="44"/>
      </left>
      <right style="thin">
        <color indexed="44"/>
      </right>
      <top style="thin">
        <color indexed="44"/>
      </top>
      <bottom style="thin">
        <color indexed="44"/>
      </bottom>
      <diagonal/>
    </border>
    <border>
      <left style="thin">
        <color indexed="63"/>
      </left>
      <right style="thin">
        <color indexed="63"/>
      </right>
      <top style="thin">
        <color indexed="63"/>
      </top>
      <bottom style="thin">
        <color indexed="63"/>
      </bottom>
      <diagonal/>
    </border>
    <border>
      <left/>
      <right/>
      <top style="thin">
        <color indexed="49"/>
      </top>
      <bottom style="double">
        <color indexed="49"/>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77111117893"/>
      </left>
      <right style="thin">
        <color theme="0" tint="-0.24994659260841701"/>
      </right>
      <top/>
      <bottom style="thin">
        <color theme="0" tint="-0.249977111117893"/>
      </bottom>
      <diagonal/>
    </border>
    <border>
      <left style="thin">
        <color theme="0" tint="-0.24994659260841701"/>
      </left>
      <right style="thin">
        <color theme="0" tint="-0.24994659260841701"/>
      </right>
      <top/>
      <bottom style="thin">
        <color theme="0" tint="-0.24994659260841701"/>
      </bottom>
      <diagonal/>
    </border>
    <border>
      <left style="thin">
        <color indexed="64"/>
      </left>
      <right style="thin">
        <color indexed="64"/>
      </right>
      <top style="thin">
        <color indexed="64"/>
      </top>
      <bottom style="thin">
        <color indexed="64"/>
      </bottom>
      <diagonal/>
    </border>
    <border>
      <left/>
      <right style="thin">
        <color theme="0" tint="-0.24994659260841701"/>
      </right>
      <top style="thin">
        <color theme="0" tint="-0.24994659260841701"/>
      </top>
      <bottom/>
      <diagonal/>
    </border>
    <border>
      <left/>
      <right/>
      <top style="thin">
        <color theme="0" tint="-0.24994659260841701"/>
      </top>
      <bottom/>
      <diagonal/>
    </border>
    <border>
      <left style="thin">
        <color indexed="64"/>
      </left>
      <right style="thin">
        <color indexed="64"/>
      </right>
      <top style="thin">
        <color indexed="64"/>
      </top>
      <bottom/>
      <diagonal/>
    </border>
    <border>
      <left style="thin">
        <color theme="0" tint="-0.249977111117893"/>
      </left>
      <right style="thin">
        <color theme="0" tint="-0.24994659260841701"/>
      </right>
      <top/>
      <bottom/>
      <diagonal/>
    </border>
    <border>
      <left style="thin">
        <color theme="0" tint="-0.24994659260841701"/>
      </left>
      <right/>
      <top style="thin">
        <color theme="0" tint="-0.249977111117893"/>
      </top>
      <bottom style="thin">
        <color indexed="64"/>
      </bottom>
      <diagonal/>
    </border>
    <border>
      <left/>
      <right/>
      <top style="thin">
        <color theme="0" tint="-0.249977111117893"/>
      </top>
      <bottom style="thin">
        <color indexed="64"/>
      </bottom>
      <diagonal/>
    </border>
    <border>
      <left/>
      <right style="thin">
        <color theme="0" tint="-0.24994659260841701"/>
      </right>
      <top style="thin">
        <color theme="0" tint="-0.249977111117893"/>
      </top>
      <bottom style="thin">
        <color indexed="64"/>
      </bottom>
      <diagonal/>
    </border>
    <border>
      <left style="thin">
        <color theme="0" tint="-0.249977111117893"/>
      </left>
      <right/>
      <top style="thin">
        <color theme="0" tint="-0.249977111117893"/>
      </top>
      <bottom/>
      <diagonal/>
    </border>
    <border>
      <left/>
      <right style="thin">
        <color indexed="64"/>
      </right>
      <top style="thin">
        <color theme="0" tint="-0.249977111117893"/>
      </top>
      <bottom/>
      <diagonal/>
    </border>
    <border>
      <left style="thin">
        <color theme="0" tint="-0.249977111117893"/>
      </left>
      <right/>
      <top/>
      <bottom style="thin">
        <color theme="0" tint="-0.249977111117893"/>
      </bottom>
      <diagonal/>
    </border>
    <border>
      <left/>
      <right style="thin">
        <color indexed="64"/>
      </right>
      <top/>
      <bottom style="thin">
        <color theme="0" tint="-0.249977111117893"/>
      </bottom>
      <diagonal/>
    </border>
    <border>
      <left/>
      <right/>
      <top style="thin">
        <color theme="0" tint="-0.249977111117893"/>
      </top>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hair">
        <color indexed="8"/>
      </left>
      <right style="hair">
        <color indexed="8"/>
      </right>
      <top style="hair">
        <color indexed="8"/>
      </top>
      <bottom style="hair">
        <color indexed="8"/>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s>
  <cellStyleXfs count="2256">
    <xf numFmtId="0" fontId="0" fillId="0" borderId="0"/>
    <xf numFmtId="9" fontId="8" fillId="0" borderId="0" applyFont="0" applyFill="0" applyBorder="0" applyAlignment="0" applyProtection="0"/>
    <xf numFmtId="0" fontId="10" fillId="0" borderId="0"/>
    <xf numFmtId="0" fontId="11" fillId="0" borderId="0"/>
    <xf numFmtId="0" fontId="12" fillId="0" borderId="0"/>
    <xf numFmtId="0" fontId="16" fillId="0" borderId="0"/>
    <xf numFmtId="49" fontId="13" fillId="0" borderId="0">
      <alignment horizontal="left" vertical="center"/>
    </xf>
    <xf numFmtId="49" fontId="18" fillId="0" borderId="0"/>
    <xf numFmtId="167" fontId="21" fillId="0" borderId="0"/>
    <xf numFmtId="0" fontId="23" fillId="0" borderId="0"/>
    <xf numFmtId="0" fontId="4" fillId="0" borderId="0"/>
    <xf numFmtId="0" fontId="8" fillId="0" borderId="0"/>
    <xf numFmtId="43" fontId="10" fillId="0" borderId="0" applyFont="0" applyFill="0" applyBorder="0" applyAlignment="0" applyProtection="0"/>
    <xf numFmtId="43" fontId="10" fillId="0" borderId="0" applyFont="0" applyFill="0" applyBorder="0" applyAlignment="0" applyProtection="0"/>
    <xf numFmtId="9" fontId="10" fillId="0" borderId="0" applyFont="0" applyFill="0" applyBorder="0" applyAlignment="0" applyProtection="0"/>
    <xf numFmtId="0" fontId="4" fillId="0" borderId="0"/>
    <xf numFmtId="9" fontId="8" fillId="0" borderId="0" applyFont="0" applyFill="0" applyBorder="0" applyAlignment="0" applyProtection="0"/>
    <xf numFmtId="0" fontId="10" fillId="0" borderId="0"/>
    <xf numFmtId="43" fontId="23" fillId="0" borderId="0" applyFont="0" applyFill="0" applyBorder="0" applyAlignment="0" applyProtection="0"/>
    <xf numFmtId="0" fontId="3" fillId="0" borderId="0"/>
    <xf numFmtId="0" fontId="3" fillId="0" borderId="0"/>
    <xf numFmtId="0" fontId="3" fillId="0" borderId="0"/>
    <xf numFmtId="0" fontId="30" fillId="0" borderId="0"/>
    <xf numFmtId="0" fontId="2" fillId="0" borderId="0"/>
    <xf numFmtId="0" fontId="2" fillId="0" borderId="0"/>
    <xf numFmtId="0" fontId="2" fillId="0" borderId="0"/>
    <xf numFmtId="0" fontId="21" fillId="0" borderId="0" applyNumberFormat="0" applyBorder="0" applyProtection="0"/>
    <xf numFmtId="170" fontId="34" fillId="0" borderId="0"/>
    <xf numFmtId="0" fontId="11" fillId="0" borderId="0"/>
    <xf numFmtId="43" fontId="8" fillId="0" borderId="0" applyFont="0" applyFill="0" applyBorder="0" applyAlignment="0" applyProtection="0"/>
    <xf numFmtId="0" fontId="1" fillId="0" borderId="0"/>
    <xf numFmtId="43" fontId="1" fillId="0" borderId="0" applyFont="0" applyFill="0" applyBorder="0" applyAlignment="0" applyProtection="0"/>
    <xf numFmtId="9" fontId="1" fillId="0" borderId="0" applyFont="0" applyFill="0" applyBorder="0" applyAlignment="0" applyProtection="0"/>
    <xf numFmtId="0" fontId="23" fillId="0" borderId="0"/>
    <xf numFmtId="43" fontId="23" fillId="0" borderId="0" applyFont="0" applyFill="0" applyBorder="0" applyAlignment="0" applyProtection="0"/>
    <xf numFmtId="9" fontId="23" fillId="0" borderId="0" applyFont="0" applyFill="0" applyBorder="0" applyAlignment="0" applyProtection="0"/>
    <xf numFmtId="43" fontId="23" fillId="0" borderId="0" applyFont="0" applyFill="0" applyBorder="0" applyAlignment="0" applyProtection="0"/>
    <xf numFmtId="0" fontId="38" fillId="0" borderId="0"/>
    <xf numFmtId="43" fontId="10" fillId="0" borderId="0" applyFont="0" applyFill="0" applyBorder="0" applyAlignment="0" applyProtection="0"/>
    <xf numFmtId="43" fontId="23" fillId="0" borderId="0" applyFont="0" applyFill="0" applyBorder="0" applyAlignment="0" applyProtection="0"/>
    <xf numFmtId="0" fontId="23" fillId="0" borderId="0"/>
    <xf numFmtId="0" fontId="10" fillId="0" borderId="0"/>
    <xf numFmtId="43" fontId="5" fillId="0" borderId="0" applyFont="0" applyFill="0" applyBorder="0" applyAlignment="0" applyProtection="0"/>
    <xf numFmtId="43" fontId="39" fillId="0" borderId="0" applyFont="0" applyFill="0" applyBorder="0" applyAlignment="0" applyProtection="0"/>
    <xf numFmtId="0" fontId="23" fillId="0" borderId="0"/>
    <xf numFmtId="43" fontId="10" fillId="0" borderId="0" applyFont="0" applyFill="0" applyBorder="0" applyAlignment="0" applyProtection="0"/>
    <xf numFmtId="0" fontId="40" fillId="0" borderId="0" applyBorder="0" applyProtection="0"/>
    <xf numFmtId="43" fontId="23" fillId="0" borderId="0" applyFont="0" applyFill="0" applyBorder="0" applyAlignment="0" applyProtection="0"/>
    <xf numFmtId="43" fontId="10" fillId="0" borderId="0" applyFont="0" applyFill="0" applyBorder="0" applyAlignment="0" applyProtection="0"/>
    <xf numFmtId="0" fontId="41" fillId="0" borderId="0"/>
    <xf numFmtId="0" fontId="38" fillId="0" borderId="0">
      <alignment vertical="center"/>
    </xf>
    <xf numFmtId="43" fontId="23" fillId="0" borderId="0" applyFont="0" applyFill="0" applyBorder="0" applyAlignment="0" applyProtection="0"/>
    <xf numFmtId="9" fontId="39" fillId="0" borderId="0" applyFont="0" applyFill="0" applyBorder="0" applyAlignment="0" applyProtection="0"/>
    <xf numFmtId="43" fontId="23" fillId="0" borderId="0" applyFont="0" applyFill="0" applyBorder="0" applyAlignment="0" applyProtection="0">
      <alignment vertical="center"/>
    </xf>
    <xf numFmtId="43"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23" fillId="0" borderId="0"/>
    <xf numFmtId="0" fontId="42" fillId="0" borderId="0"/>
    <xf numFmtId="0" fontId="39" fillId="0" borderId="0"/>
    <xf numFmtId="43" fontId="41" fillId="0" borderId="0" applyFont="0" applyFill="0" applyBorder="0" applyAlignment="0" applyProtection="0"/>
    <xf numFmtId="0" fontId="41" fillId="0" borderId="0"/>
    <xf numFmtId="0" fontId="23" fillId="0" borderId="0"/>
    <xf numFmtId="0" fontId="41" fillId="0" borderId="0"/>
    <xf numFmtId="0" fontId="1" fillId="0" borderId="0"/>
    <xf numFmtId="43" fontId="41" fillId="0" borderId="0" applyProtection="0"/>
    <xf numFmtId="0" fontId="43" fillId="0" borderId="0" applyProtection="0"/>
    <xf numFmtId="0" fontId="41" fillId="0" borderId="0"/>
    <xf numFmtId="43" fontId="1" fillId="0" borderId="0" applyFont="0" applyFill="0" applyBorder="0" applyAlignment="0" applyProtection="0"/>
    <xf numFmtId="0" fontId="10" fillId="0" borderId="0">
      <alignment vertical="center"/>
    </xf>
    <xf numFmtId="0" fontId="41" fillId="0" borderId="0" applyProtection="0"/>
    <xf numFmtId="0" fontId="41" fillId="0" borderId="0" applyProtection="0"/>
    <xf numFmtId="0" fontId="44" fillId="0" borderId="0"/>
    <xf numFmtId="0" fontId="41" fillId="0" borderId="0" applyNumberFormat="0" applyFont="0" applyFill="0" applyBorder="0" applyProtection="0"/>
    <xf numFmtId="0" fontId="34" fillId="0" borderId="0" applyProtection="0"/>
    <xf numFmtId="0" fontId="41" fillId="0" borderId="0" applyProtection="0"/>
    <xf numFmtId="172" fontId="34" fillId="0" borderId="0" applyFill="0" applyBorder="0" applyAlignment="0" applyProtection="0"/>
    <xf numFmtId="0" fontId="10" fillId="0" borderId="0">
      <alignment vertical="center"/>
    </xf>
    <xf numFmtId="0" fontId="34" fillId="0" borderId="0" applyProtection="0"/>
    <xf numFmtId="43" fontId="23" fillId="0" borderId="0" applyFont="0" applyFill="0" applyBorder="0" applyAlignment="0" applyProtection="0"/>
    <xf numFmtId="0" fontId="41" fillId="0" borderId="0"/>
    <xf numFmtId="0" fontId="10" fillId="0" borderId="0" applyProtection="0"/>
    <xf numFmtId="0" fontId="10" fillId="0" borderId="0"/>
    <xf numFmtId="0" fontId="41" fillId="0" borderId="0">
      <alignment vertical="center"/>
    </xf>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1" fillId="0" borderId="0"/>
    <xf numFmtId="0" fontId="45" fillId="0" borderId="0"/>
    <xf numFmtId="43" fontId="1" fillId="0" borderId="0" applyFont="0" applyFill="0" applyBorder="0" applyAlignment="0" applyProtection="0"/>
    <xf numFmtId="0" fontId="42"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3" fillId="0" borderId="0" applyFont="0" applyFill="0" applyBorder="0" applyAlignment="0" applyProtection="0"/>
    <xf numFmtId="0" fontId="39" fillId="0" borderId="0"/>
    <xf numFmtId="0" fontId="46" fillId="0" borderId="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0" fontId="23" fillId="0" borderId="0"/>
    <xf numFmtId="0" fontId="1" fillId="0" borderId="0"/>
    <xf numFmtId="43" fontId="1" fillId="0" borderId="0" applyFont="0" applyFill="0" applyBorder="0" applyAlignment="0" applyProtection="0"/>
    <xf numFmtId="0" fontId="47" fillId="0" borderId="0">
      <alignment vertical="center"/>
    </xf>
    <xf numFmtId="0" fontId="48" fillId="0" borderId="0">
      <alignment vertical="center"/>
    </xf>
    <xf numFmtId="43" fontId="1" fillId="0" borderId="0" applyFont="0" applyFill="0" applyBorder="0" applyAlignment="0" applyProtection="0"/>
    <xf numFmtId="173" fontId="49" fillId="0" borderId="0" applyFont="0" applyFill="0" applyBorder="0" applyAlignment="0" applyProtection="0"/>
    <xf numFmtId="0" fontId="10" fillId="0" borderId="0"/>
    <xf numFmtId="0" fontId="38" fillId="0" borderId="0"/>
    <xf numFmtId="0" fontId="23" fillId="0" borderId="0"/>
    <xf numFmtId="43" fontId="10" fillId="0" borderId="0" applyFill="0" applyBorder="0" applyAlignment="0" applyProtection="0"/>
    <xf numFmtId="0" fontId="39" fillId="0" borderId="0"/>
    <xf numFmtId="43" fontId="39" fillId="0" borderId="0" applyFont="0" applyFill="0" applyBorder="0" applyAlignment="0" applyProtection="0"/>
    <xf numFmtId="0" fontId="41" fillId="0" borderId="0">
      <alignment vertical="center"/>
    </xf>
    <xf numFmtId="43" fontId="41" fillId="0" borderId="0" applyFont="0" applyFill="0" applyBorder="0" applyAlignment="0" applyProtection="0"/>
    <xf numFmtId="0" fontId="41" fillId="0" borderId="0">
      <alignment vertical="center"/>
    </xf>
    <xf numFmtId="0" fontId="41" fillId="0" borderId="0">
      <alignment vertical="center"/>
    </xf>
    <xf numFmtId="0" fontId="10" fillId="0" borderId="0">
      <alignment vertical="center"/>
    </xf>
    <xf numFmtId="0" fontId="41" fillId="0" borderId="0">
      <alignment vertical="center"/>
    </xf>
    <xf numFmtId="0" fontId="34" fillId="11" borderId="0" applyNumberFormat="0" applyBorder="0" applyAlignment="0" applyProtection="0">
      <alignment vertical="center"/>
    </xf>
    <xf numFmtId="0" fontId="34" fillId="6" borderId="0" applyNumberFormat="0" applyBorder="0" applyAlignment="0" applyProtection="0">
      <alignment vertical="center"/>
    </xf>
    <xf numFmtId="0" fontId="34" fillId="12" borderId="0" applyNumberFormat="0" applyBorder="0" applyAlignment="0" applyProtection="0">
      <alignment vertical="center"/>
    </xf>
    <xf numFmtId="0" fontId="34" fillId="6" borderId="0" applyNumberFormat="0" applyBorder="0" applyAlignment="0" applyProtection="0">
      <alignment vertical="center"/>
    </xf>
    <xf numFmtId="0" fontId="34" fillId="11" borderId="0" applyNumberFormat="0" applyBorder="0" applyAlignment="0" applyProtection="0">
      <alignment vertical="center"/>
    </xf>
    <xf numFmtId="0" fontId="34" fillId="7" borderId="0" applyNumberFormat="0" applyBorder="0" applyAlignment="0" applyProtection="0">
      <alignment vertical="center"/>
    </xf>
    <xf numFmtId="0" fontId="34" fillId="11" borderId="0" applyNumberFormat="0" applyBorder="0" applyAlignment="0" applyProtection="0">
      <alignment vertical="center"/>
    </xf>
    <xf numFmtId="0" fontId="34" fillId="13" borderId="0" applyNumberFormat="0" applyBorder="0" applyAlignment="0" applyProtection="0">
      <alignment vertical="center"/>
    </xf>
    <xf numFmtId="0" fontId="34" fillId="14" borderId="0" applyNumberFormat="0" applyBorder="0" applyAlignment="0" applyProtection="0">
      <alignment vertical="center"/>
    </xf>
    <xf numFmtId="0" fontId="34" fillId="6" borderId="0" applyNumberFormat="0" applyBorder="0" applyAlignment="0" applyProtection="0">
      <alignment vertical="center"/>
    </xf>
    <xf numFmtId="0" fontId="34" fillId="11" borderId="0" applyNumberFormat="0" applyBorder="0" applyAlignment="0" applyProtection="0">
      <alignment vertical="center"/>
    </xf>
    <xf numFmtId="0" fontId="34" fillId="6" borderId="0" applyNumberFormat="0" applyBorder="0" applyAlignment="0" applyProtection="0">
      <alignment vertical="center"/>
    </xf>
    <xf numFmtId="0" fontId="50" fillId="11" borderId="0" applyNumberFormat="0" applyBorder="0" applyAlignment="0" applyProtection="0">
      <alignment vertical="center"/>
    </xf>
    <xf numFmtId="0" fontId="50" fillId="13" borderId="0" applyNumberFormat="0" applyBorder="0" applyAlignment="0" applyProtection="0">
      <alignment vertical="center"/>
    </xf>
    <xf numFmtId="0" fontId="50" fillId="10" borderId="0" applyNumberFormat="0" applyBorder="0" applyAlignment="0" applyProtection="0">
      <alignment vertical="center"/>
    </xf>
    <xf numFmtId="0" fontId="50" fillId="13" borderId="0" applyNumberFormat="0" applyBorder="0" applyAlignment="0" applyProtection="0">
      <alignment vertical="center"/>
    </xf>
    <xf numFmtId="0" fontId="50" fillId="11" borderId="0" applyNumberFormat="0" applyBorder="0" applyAlignment="0" applyProtection="0">
      <alignment vertical="center"/>
    </xf>
    <xf numFmtId="0" fontId="50" fillId="6" borderId="0" applyNumberFormat="0" applyBorder="0" applyAlignment="0" applyProtection="0">
      <alignment vertical="center"/>
    </xf>
    <xf numFmtId="0" fontId="50" fillId="15" borderId="0" applyNumberFormat="0" applyBorder="0" applyAlignment="0" applyProtection="0">
      <alignment vertical="center"/>
    </xf>
    <xf numFmtId="0" fontId="50" fillId="8" borderId="0" applyNumberFormat="0" applyBorder="0" applyAlignment="0" applyProtection="0">
      <alignment vertical="center"/>
    </xf>
    <xf numFmtId="0" fontId="50" fillId="9" borderId="0" applyNumberFormat="0" applyBorder="0" applyAlignment="0" applyProtection="0">
      <alignment vertical="center"/>
    </xf>
    <xf numFmtId="0" fontId="50" fillId="16" borderId="0" applyNumberFormat="0" applyBorder="0" applyAlignment="0" applyProtection="0">
      <alignment vertical="center"/>
    </xf>
    <xf numFmtId="0" fontId="50" fillId="17" borderId="0" applyNumberFormat="0" applyBorder="0" applyAlignment="0" applyProtection="0">
      <alignment vertical="center"/>
    </xf>
    <xf numFmtId="0" fontId="50" fillId="15" borderId="0" applyNumberFormat="0" applyBorder="0" applyAlignment="0" applyProtection="0">
      <alignment vertical="center"/>
    </xf>
    <xf numFmtId="0" fontId="51" fillId="18" borderId="0" applyNumberFormat="0" applyBorder="0" applyAlignment="0" applyProtection="0">
      <alignment vertical="center"/>
    </xf>
    <xf numFmtId="0" fontId="52" fillId="12" borderId="6" applyNumberFormat="0" applyAlignment="0" applyProtection="0">
      <alignment vertical="center"/>
    </xf>
    <xf numFmtId="0" fontId="53" fillId="9" borderId="7" applyNumberFormat="0" applyAlignment="0" applyProtection="0">
      <alignment vertical="center"/>
    </xf>
    <xf numFmtId="174" fontId="54" fillId="0" borderId="0" applyFill="0" applyBorder="0" applyAlignment="0" applyProtection="0">
      <alignment vertical="center"/>
    </xf>
    <xf numFmtId="174" fontId="54" fillId="0" borderId="0" applyFill="0" applyBorder="0" applyAlignment="0" applyProtection="0">
      <alignment vertical="center"/>
    </xf>
    <xf numFmtId="43" fontId="41" fillId="0" borderId="0" applyFont="0" applyFill="0" applyBorder="0" applyAlignment="0" applyProtection="0">
      <alignment vertical="center"/>
    </xf>
    <xf numFmtId="43" fontId="41" fillId="0" borderId="0" applyFont="0" applyFill="0" applyBorder="0" applyAlignment="0" applyProtection="0"/>
    <xf numFmtId="43" fontId="41" fillId="0" borderId="0" applyFont="0" applyFill="0" applyBorder="0" applyAlignment="0" applyProtection="0"/>
    <xf numFmtId="175" fontId="54" fillId="0" borderId="0" applyFill="0" applyBorder="0" applyAlignment="0" applyProtection="0"/>
    <xf numFmtId="174" fontId="54" fillId="0" borderId="0" applyFill="0" applyBorder="0" applyAlignment="0" applyProtection="0">
      <alignment vertical="center"/>
    </xf>
    <xf numFmtId="43" fontId="41" fillId="0" borderId="0" applyFont="0" applyFill="0" applyBorder="0" applyAlignment="0" applyProtection="0"/>
    <xf numFmtId="174" fontId="54" fillId="0" borderId="0" applyFill="0" applyBorder="0" applyAlignment="0" applyProtection="0">
      <alignment vertical="center"/>
    </xf>
    <xf numFmtId="175" fontId="54" fillId="0" borderId="0" applyFill="0" applyBorder="0" applyAlignment="0" applyProtection="0"/>
    <xf numFmtId="0" fontId="41" fillId="0" borderId="0">
      <alignment vertical="center"/>
    </xf>
    <xf numFmtId="0" fontId="55" fillId="0" borderId="0">
      <alignment vertical="center"/>
    </xf>
    <xf numFmtId="0" fontId="41" fillId="0" borderId="0">
      <alignment vertical="center"/>
    </xf>
    <xf numFmtId="0" fontId="41" fillId="0" borderId="0">
      <alignment vertical="center"/>
    </xf>
    <xf numFmtId="0" fontId="41" fillId="0" borderId="0">
      <alignment vertical="center"/>
    </xf>
    <xf numFmtId="0" fontId="41" fillId="0" borderId="0"/>
    <xf numFmtId="0" fontId="41" fillId="0" borderId="0"/>
    <xf numFmtId="0" fontId="41" fillId="0" borderId="0"/>
    <xf numFmtId="0" fontId="41" fillId="0" borderId="0"/>
    <xf numFmtId="0" fontId="41" fillId="0" borderId="0" applyProtection="0">
      <alignment vertical="center"/>
    </xf>
    <xf numFmtId="0" fontId="56" fillId="0" borderId="0" applyNumberFormat="0" applyFill="0" applyBorder="0" applyAlignment="0" applyProtection="0">
      <alignment vertical="center"/>
    </xf>
    <xf numFmtId="0" fontId="57" fillId="7" borderId="0" applyNumberFormat="0" applyBorder="0" applyAlignment="0" applyProtection="0">
      <alignment vertical="center"/>
    </xf>
    <xf numFmtId="0" fontId="58" fillId="0" borderId="8" applyNumberFormat="0" applyFill="0" applyAlignment="0" applyProtection="0">
      <alignment vertical="center"/>
    </xf>
    <xf numFmtId="0" fontId="59" fillId="0" borderId="9" applyNumberFormat="0" applyFill="0" applyAlignment="0" applyProtection="0">
      <alignment vertical="center"/>
    </xf>
    <xf numFmtId="0" fontId="60" fillId="0" borderId="10" applyNumberFormat="0" applyFill="0" applyAlignment="0" applyProtection="0">
      <alignment vertical="center"/>
    </xf>
    <xf numFmtId="0" fontId="60" fillId="0" borderId="0" applyNumberFormat="0" applyFill="0" applyBorder="0" applyAlignment="0" applyProtection="0">
      <alignment vertical="center"/>
    </xf>
    <xf numFmtId="0" fontId="61" fillId="13" borderId="6" applyNumberFormat="0" applyAlignment="0" applyProtection="0">
      <alignment vertical="center"/>
    </xf>
    <xf numFmtId="0" fontId="62" fillId="0" borderId="11" applyNumberFormat="0" applyFill="0" applyAlignment="0" applyProtection="0">
      <alignment vertical="center"/>
    </xf>
    <xf numFmtId="0" fontId="63" fillId="6" borderId="0" applyNumberFormat="0" applyBorder="0" applyAlignment="0" applyProtection="0">
      <alignment vertical="center"/>
    </xf>
    <xf numFmtId="0" fontId="38"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34" fillId="0" borderId="0"/>
    <xf numFmtId="0" fontId="34" fillId="0" borderId="0"/>
    <xf numFmtId="0" fontId="34" fillId="0" borderId="0"/>
    <xf numFmtId="0" fontId="10" fillId="0" borderId="0">
      <alignment vertical="center"/>
    </xf>
    <xf numFmtId="0" fontId="64" fillId="0" borderId="0" applyNumberFormat="0" applyBorder="0" applyProtection="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0" borderId="0"/>
    <xf numFmtId="0" fontId="43"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34" fillId="0" borderId="0">
      <alignment vertical="center"/>
    </xf>
    <xf numFmtId="0" fontId="34" fillId="0" borderId="0"/>
    <xf numFmtId="0" fontId="34" fillId="0" borderId="0"/>
    <xf numFmtId="0" fontId="34" fillId="0" borderId="0"/>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3"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3" fillId="0" borderId="0"/>
    <xf numFmtId="0" fontId="43"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10" fillId="0" borderId="0">
      <alignment vertical="center"/>
    </xf>
    <xf numFmtId="0" fontId="10" fillId="0" borderId="0"/>
    <xf numFmtId="0" fontId="10"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10" fillId="0" borderId="0">
      <alignment vertical="center"/>
    </xf>
    <xf numFmtId="0" fontId="43" fillId="0" borderId="0"/>
    <xf numFmtId="0" fontId="43"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1" fillId="0" borderId="0">
      <alignment vertical="center"/>
    </xf>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34" fillId="0" borderId="0"/>
    <xf numFmtId="0" fontId="34" fillId="0" borderId="0"/>
    <xf numFmtId="0" fontId="10" fillId="0" borderId="0">
      <alignment vertical="center"/>
    </xf>
    <xf numFmtId="0" fontId="10" fillId="0" borderId="0"/>
    <xf numFmtId="0" fontId="10" fillId="0" borderId="0"/>
    <xf numFmtId="0" fontId="34"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10" fillId="0" borderId="0">
      <alignment vertical="center"/>
    </xf>
    <xf numFmtId="0" fontId="10" fillId="0" borderId="0"/>
    <xf numFmtId="0" fontId="10"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41" fillId="0" borderId="0">
      <alignment vertical="center"/>
    </xf>
    <xf numFmtId="0" fontId="41" fillId="0" borderId="0"/>
    <xf numFmtId="0" fontId="41" fillId="0" borderId="0"/>
    <xf numFmtId="0" fontId="41" fillId="0" borderId="0"/>
    <xf numFmtId="0" fontId="10" fillId="0" borderId="0">
      <alignment vertical="center"/>
    </xf>
    <xf numFmtId="0" fontId="34" fillId="0" borderId="0">
      <alignment vertical="center"/>
    </xf>
    <xf numFmtId="0" fontId="34" fillId="0" borderId="0"/>
    <xf numFmtId="0" fontId="34" fillId="0" borderId="0"/>
    <xf numFmtId="0" fontId="34" fillId="0" borderId="0"/>
    <xf numFmtId="0" fontId="41" fillId="0" borderId="0">
      <alignment vertical="center"/>
    </xf>
    <xf numFmtId="0" fontId="41" fillId="0" borderId="0">
      <alignment vertical="center"/>
    </xf>
    <xf numFmtId="0" fontId="41"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10" fillId="0" borderId="0">
      <alignment vertical="center"/>
    </xf>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65" fillId="0" borderId="0">
      <alignment vertical="center"/>
    </xf>
    <xf numFmtId="0" fontId="23" fillId="0" borderId="0">
      <alignment vertical="center"/>
    </xf>
    <xf numFmtId="0" fontId="65" fillId="0" borderId="0"/>
    <xf numFmtId="0" fontId="65" fillId="0" borderId="0"/>
    <xf numFmtId="0" fontId="65"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pplyProtection="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pplyProtection="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applyProtection="0">
      <alignment vertical="center"/>
    </xf>
    <xf numFmtId="0" fontId="34" fillId="0" borderId="0"/>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alignment vertical="center"/>
    </xf>
    <xf numFmtId="0" fontId="34" fillId="0" borderId="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41" fillId="6" borderId="12" applyNumberFormat="0" applyFont="0" applyAlignment="0" applyProtection="0">
      <alignment vertical="center"/>
    </xf>
    <xf numFmtId="0" fontId="66" fillId="12" borderId="13" applyNumberFormat="0" applyAlignment="0" applyProtection="0">
      <alignment vertical="center"/>
    </xf>
    <xf numFmtId="0" fontId="54" fillId="0" borderId="5" applyFill="0" applyProtection="0">
      <alignment vertical="center"/>
    </xf>
    <xf numFmtId="0" fontId="54" fillId="0" borderId="5" applyFill="0" applyProtection="0">
      <alignment vertical="center"/>
    </xf>
    <xf numFmtId="0" fontId="67" fillId="0" borderId="0" applyNumberFormat="0" applyFill="0" applyBorder="0" applyAlignment="0" applyProtection="0">
      <alignment vertical="center"/>
    </xf>
    <xf numFmtId="0" fontId="68" fillId="0" borderId="14" applyNumberFormat="0" applyFill="0" applyAlignment="0" applyProtection="0">
      <alignment vertical="center"/>
    </xf>
    <xf numFmtId="0" fontId="69" fillId="0" borderId="0" applyNumberFormat="0" applyFill="0" applyBorder="0" applyAlignment="0" applyProtection="0">
      <alignment vertical="center"/>
    </xf>
    <xf numFmtId="0" fontId="1" fillId="0" borderId="0"/>
    <xf numFmtId="43" fontId="1" fillId="0" borderId="0" applyFont="0" applyFill="0" applyBorder="0" applyAlignment="0" applyProtection="0"/>
    <xf numFmtId="0" fontId="41" fillId="0" borderId="0">
      <alignment vertical="center"/>
    </xf>
    <xf numFmtId="0" fontId="10" fillId="0" borderId="0">
      <alignment vertical="center"/>
    </xf>
    <xf numFmtId="0" fontId="10" fillId="0" borderId="0">
      <alignment vertical="center"/>
    </xf>
    <xf numFmtId="43" fontId="41" fillId="0" borderId="0" applyFont="0" applyFill="0" applyBorder="0" applyAlignment="0" applyProtection="0"/>
    <xf numFmtId="0" fontId="41" fillId="0" borderId="0">
      <alignment vertical="center"/>
    </xf>
    <xf numFmtId="0" fontId="41" fillId="0" borderId="0">
      <alignment vertical="center"/>
    </xf>
    <xf numFmtId="0" fontId="1" fillId="0" borderId="0"/>
    <xf numFmtId="43" fontId="10" fillId="0" borderId="0" applyFont="0" applyFill="0" applyBorder="0" applyAlignment="0" applyProtection="0"/>
    <xf numFmtId="43" fontId="10"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8" fillId="0" borderId="0" applyFont="0" applyFill="0" applyBorder="0" applyAlignment="0" applyProtection="0"/>
    <xf numFmtId="0" fontId="45" fillId="0" borderId="0"/>
    <xf numFmtId="0" fontId="96" fillId="0" borderId="0"/>
    <xf numFmtId="0" fontId="97" fillId="0" borderId="0"/>
    <xf numFmtId="170" fontId="98" fillId="0" borderId="0"/>
    <xf numFmtId="170" fontId="1" fillId="0" borderId="0"/>
    <xf numFmtId="170" fontId="99" fillId="0" borderId="0"/>
    <xf numFmtId="170" fontId="1" fillId="0" borderId="0"/>
    <xf numFmtId="170" fontId="98" fillId="0" borderId="0"/>
    <xf numFmtId="170" fontId="34" fillId="0" borderId="0"/>
    <xf numFmtId="164" fontId="8" fillId="0" borderId="0" applyFont="0" applyFill="0" applyBorder="0" applyAlignment="0" applyProtection="0"/>
  </cellStyleXfs>
  <cellXfs count="815">
    <xf numFmtId="0" fontId="0" fillId="0" borderId="0" xfId="0"/>
    <xf numFmtId="0" fontId="27" fillId="0" borderId="0" xfId="0" applyFont="1" applyAlignment="1">
      <alignment vertical="center"/>
    </xf>
    <xf numFmtId="0" fontId="6" fillId="0" borderId="1" xfId="0" applyFont="1" applyBorder="1" applyAlignment="1">
      <alignment vertical="center"/>
    </xf>
    <xf numFmtId="49" fontId="14" fillId="0" borderId="1" xfId="5" applyNumberFormat="1" applyFont="1" applyBorder="1" applyAlignment="1">
      <alignment horizontal="center"/>
    </xf>
    <xf numFmtId="0" fontId="5" fillId="0" borderId="1" xfId="5" applyFont="1" applyBorder="1" applyAlignment="1">
      <alignment horizontal="center" vertical="center"/>
    </xf>
    <xf numFmtId="0" fontId="13" fillId="0" borderId="1" xfId="24" applyFont="1" applyBorder="1" applyAlignment="1">
      <alignment horizontal="center" vertical="center"/>
    </xf>
    <xf numFmtId="0" fontId="6" fillId="0" borderId="1" xfId="24" applyFont="1" applyBorder="1" applyAlignment="1">
      <alignment horizontal="left" vertical="center"/>
    </xf>
    <xf numFmtId="0" fontId="5" fillId="0" borderId="1" xfId="24" applyFont="1" applyBorder="1" applyAlignment="1">
      <alignment horizontal="center" vertical="center"/>
    </xf>
    <xf numFmtId="0" fontId="6" fillId="0" borderId="1" xfId="24" applyFont="1" applyBorder="1" applyAlignment="1">
      <alignment horizontal="center" vertical="center"/>
    </xf>
    <xf numFmtId="0" fontId="5" fillId="0" borderId="1" xfId="23" applyFont="1" applyBorder="1" applyAlignment="1">
      <alignment horizontal="left"/>
    </xf>
    <xf numFmtId="0" fontId="5" fillId="0" borderId="1" xfId="23" applyFont="1" applyBorder="1" applyAlignment="1">
      <alignment horizontal="center"/>
    </xf>
    <xf numFmtId="0" fontId="14" fillId="0" borderId="1" xfId="23" applyFont="1" applyBorder="1"/>
    <xf numFmtId="0" fontId="14" fillId="0" borderId="1" xfId="23" applyFont="1" applyBorder="1" applyAlignment="1">
      <alignment horizontal="center"/>
    </xf>
    <xf numFmtId="0" fontId="6" fillId="0" borderId="1" xfId="23" applyFont="1" applyBorder="1" applyAlignment="1">
      <alignment horizontal="left"/>
    </xf>
    <xf numFmtId="0" fontId="6" fillId="0" borderId="1" xfId="23" applyFont="1" applyBorder="1"/>
    <xf numFmtId="0" fontId="5" fillId="0" borderId="1" xfId="24" applyFont="1" applyBorder="1" applyAlignment="1">
      <alignment horizontal="left" vertical="center"/>
    </xf>
    <xf numFmtId="0" fontId="5" fillId="0" borderId="0" xfId="23" applyFont="1"/>
    <xf numFmtId="0" fontId="5" fillId="0" borderId="0" xfId="23" applyFont="1" applyAlignment="1">
      <alignment horizontal="center"/>
    </xf>
    <xf numFmtId="0" fontId="6" fillId="0" borderId="0" xfId="23" applyFont="1"/>
    <xf numFmtId="0" fontId="14" fillId="0" borderId="0" xfId="23" applyFont="1" applyAlignment="1">
      <alignment horizontal="center"/>
    </xf>
    <xf numFmtId="0" fontId="29" fillId="0" borderId="0" xfId="23" applyFont="1" applyAlignment="1">
      <alignment horizontal="left"/>
    </xf>
    <xf numFmtId="0" fontId="13" fillId="0" borderId="1" xfId="0" applyFont="1" applyBorder="1" applyAlignment="1">
      <alignment vertical="center"/>
    </xf>
    <xf numFmtId="0" fontId="20" fillId="0" borderId="1" xfId="0" applyFont="1" applyBorder="1" applyAlignment="1">
      <alignment vertical="center"/>
    </xf>
    <xf numFmtId="9" fontId="20" fillId="0" borderId="1" xfId="0" applyNumberFormat="1" applyFont="1" applyBorder="1" applyAlignment="1">
      <alignment horizontal="center" vertical="center"/>
    </xf>
    <xf numFmtId="0" fontId="22" fillId="0" borderId="1" xfId="0" applyFont="1" applyBorder="1" applyAlignment="1">
      <alignment horizontal="center" vertical="center"/>
    </xf>
    <xf numFmtId="0" fontId="31" fillId="0" borderId="1" xfId="0" applyFont="1" applyBorder="1" applyAlignment="1">
      <alignment vertical="center"/>
    </xf>
    <xf numFmtId="0" fontId="20" fillId="0" borderId="1" xfId="0" applyFont="1" applyBorder="1" applyAlignment="1">
      <alignment horizontal="center" vertical="center"/>
    </xf>
    <xf numFmtId="1" fontId="22" fillId="0" borderId="1" xfId="0" applyNumberFormat="1" applyFont="1" applyBorder="1" applyAlignment="1">
      <alignment horizontal="center" vertical="center"/>
    </xf>
    <xf numFmtId="1" fontId="27" fillId="0" borderId="1" xfId="0" applyNumberFormat="1" applyFont="1" applyBorder="1" applyAlignment="1">
      <alignment vertical="center"/>
    </xf>
    <xf numFmtId="1" fontId="27" fillId="0" borderId="1" xfId="0" applyNumberFormat="1" applyFont="1" applyBorder="1" applyAlignment="1">
      <alignment horizontal="center" vertical="center"/>
    </xf>
    <xf numFmtId="0" fontId="27" fillId="0" borderId="1" xfId="0" applyFont="1" applyBorder="1" applyAlignment="1">
      <alignment vertical="center"/>
    </xf>
    <xf numFmtId="0" fontId="15" fillId="3" borderId="1" xfId="0" applyFont="1" applyFill="1" applyBorder="1" applyAlignment="1">
      <alignment vertical="center"/>
    </xf>
    <xf numFmtId="0" fontId="20" fillId="3" borderId="1" xfId="0" applyFont="1" applyFill="1" applyBorder="1" applyAlignment="1">
      <alignment vertical="center"/>
    </xf>
    <xf numFmtId="0" fontId="20" fillId="3" borderId="1" xfId="0" applyFont="1" applyFill="1" applyBorder="1" applyAlignment="1">
      <alignment horizontal="center" vertical="center"/>
    </xf>
    <xf numFmtId="0" fontId="22" fillId="3" borderId="1" xfId="0" applyFont="1" applyFill="1" applyBorder="1" applyAlignment="1">
      <alignment horizontal="center" vertical="center"/>
    </xf>
    <xf numFmtId="0" fontId="14" fillId="0" borderId="1" xfId="23" applyFont="1" applyBorder="1" applyAlignment="1">
      <alignment vertical="center"/>
    </xf>
    <xf numFmtId="0" fontId="33" fillId="0" borderId="1" xfId="23" applyFont="1" applyBorder="1" applyAlignment="1">
      <alignment horizontal="left" indent="1"/>
    </xf>
    <xf numFmtId="0" fontId="14" fillId="0" borderId="1" xfId="23" quotePrefix="1" applyFont="1" applyBorder="1" applyAlignment="1">
      <alignment horizontal="center" vertical="center"/>
    </xf>
    <xf numFmtId="0" fontId="7" fillId="0" borderId="1" xfId="23" applyFont="1" applyBorder="1" applyAlignment="1">
      <alignment horizontal="left"/>
    </xf>
    <xf numFmtId="0" fontId="33" fillId="0" borderId="1" xfId="23" applyFont="1" applyBorder="1" applyAlignment="1">
      <alignment horizontal="left"/>
    </xf>
    <xf numFmtId="0" fontId="14" fillId="0" borderId="0" xfId="23" applyFont="1" applyAlignment="1">
      <alignment vertical="center"/>
    </xf>
    <xf numFmtId="0" fontId="35" fillId="0" borderId="0" xfId="5" applyFont="1" applyAlignment="1">
      <alignment horizontal="center" vertical="center"/>
    </xf>
    <xf numFmtId="166" fontId="36" fillId="0" borderId="0" xfId="5" applyNumberFormat="1" applyFont="1" applyAlignment="1">
      <alignment horizontal="center" vertical="center"/>
    </xf>
    <xf numFmtId="49" fontId="13" fillId="0" borderId="1" xfId="10" applyNumberFormat="1" applyFont="1" applyBorder="1" applyAlignment="1">
      <alignment horizontal="center" vertical="center" wrapText="1"/>
    </xf>
    <xf numFmtId="1" fontId="13" fillId="0" borderId="1" xfId="10" applyNumberFormat="1" applyFont="1" applyBorder="1" applyAlignment="1">
      <alignment horizontal="center" vertical="center" wrapText="1"/>
    </xf>
    <xf numFmtId="1" fontId="13" fillId="0" borderId="1" xfId="5" applyNumberFormat="1" applyFont="1" applyBorder="1" applyAlignment="1">
      <alignment horizontal="center" vertical="center"/>
    </xf>
    <xf numFmtId="0" fontId="6" fillId="0" borderId="0" xfId="24" applyFont="1" applyAlignment="1">
      <alignment horizontal="center" vertical="center"/>
    </xf>
    <xf numFmtId="0" fontId="71" fillId="0" borderId="0" xfId="0" applyFont="1"/>
    <xf numFmtId="0" fontId="7" fillId="0" borderId="1" xfId="0" applyFont="1" applyBorder="1" applyAlignment="1">
      <alignment vertical="center"/>
    </xf>
    <xf numFmtId="0" fontId="74" fillId="0" borderId="1" xfId="0" applyFont="1" applyBorder="1" applyAlignment="1">
      <alignment horizontal="right" vertical="center"/>
    </xf>
    <xf numFmtId="0" fontId="7" fillId="0" borderId="1" xfId="0" applyFont="1" applyBorder="1" applyAlignment="1">
      <alignment vertical="center" wrapText="1"/>
    </xf>
    <xf numFmtId="168" fontId="7" fillId="0" borderId="1" xfId="0" applyNumberFormat="1" applyFont="1" applyBorder="1" applyAlignment="1">
      <alignment horizontal="center" vertical="center"/>
    </xf>
    <xf numFmtId="168" fontId="7" fillId="0" borderId="1" xfId="0" applyNumberFormat="1" applyFont="1" applyBorder="1" applyAlignment="1">
      <alignment vertical="center"/>
    </xf>
    <xf numFmtId="171" fontId="7" fillId="0" borderId="1" xfId="29" applyNumberFormat="1" applyFont="1" applyFill="1" applyBorder="1" applyAlignment="1">
      <alignment horizontal="center" vertical="center"/>
    </xf>
    <xf numFmtId="0" fontId="7" fillId="0" borderId="1" xfId="11" applyFont="1" applyBorder="1" applyAlignment="1">
      <alignment vertical="center"/>
    </xf>
    <xf numFmtId="9" fontId="7" fillId="0" borderId="1" xfId="0" applyNumberFormat="1" applyFont="1" applyBorder="1" applyAlignment="1">
      <alignment horizontal="center" vertical="center"/>
    </xf>
    <xf numFmtId="1" fontId="7" fillId="0" borderId="1" xfId="11" applyNumberFormat="1" applyFont="1" applyBorder="1" applyAlignment="1">
      <alignment vertical="center"/>
    </xf>
    <xf numFmtId="168" fontId="7" fillId="0" borderId="1" xfId="1" applyNumberFormat="1" applyFont="1" applyBorder="1" applyAlignment="1">
      <alignment horizontal="center" vertical="center"/>
    </xf>
    <xf numFmtId="171" fontId="7" fillId="0" borderId="1" xfId="29" applyNumberFormat="1" applyFont="1" applyFill="1" applyBorder="1" applyAlignment="1">
      <alignment vertical="center"/>
    </xf>
    <xf numFmtId="0" fontId="7" fillId="0" borderId="0" xfId="0" applyFont="1" applyAlignment="1">
      <alignment vertical="center"/>
    </xf>
    <xf numFmtId="0" fontId="7" fillId="0" borderId="0" xfId="0" applyFont="1" applyAlignment="1">
      <alignment horizontal="center" vertical="center"/>
    </xf>
    <xf numFmtId="0" fontId="76" fillId="0" borderId="1" xfId="0" applyFont="1" applyBorder="1" applyAlignment="1">
      <alignment vertical="center" wrapText="1"/>
    </xf>
    <xf numFmtId="0" fontId="76" fillId="0" borderId="1" xfId="0" applyFont="1" applyBorder="1" applyAlignment="1">
      <alignment vertical="center"/>
    </xf>
    <xf numFmtId="168" fontId="76" fillId="0" borderId="1" xfId="0" applyNumberFormat="1" applyFont="1" applyBorder="1" applyAlignment="1">
      <alignment vertical="center"/>
    </xf>
    <xf numFmtId="43" fontId="7" fillId="0" borderId="1" xfId="12" applyFont="1" applyFill="1" applyBorder="1" applyAlignment="1">
      <alignment vertical="center"/>
    </xf>
    <xf numFmtId="0" fontId="74" fillId="3" borderId="1" xfId="0" applyFont="1" applyFill="1" applyBorder="1" applyAlignment="1">
      <alignment horizontal="right" vertical="center"/>
    </xf>
    <xf numFmtId="0" fontId="76" fillId="3" borderId="1" xfId="0" applyFont="1" applyFill="1" applyBorder="1" applyAlignment="1">
      <alignment vertical="center" wrapText="1"/>
    </xf>
    <xf numFmtId="0" fontId="76" fillId="3" borderId="1" xfId="0" applyFont="1" applyFill="1" applyBorder="1" applyAlignment="1">
      <alignment vertical="center"/>
    </xf>
    <xf numFmtId="168" fontId="7" fillId="3" borderId="1" xfId="0" applyNumberFormat="1" applyFont="1" applyFill="1" applyBorder="1" applyAlignment="1">
      <alignment horizontal="center" vertical="center"/>
    </xf>
    <xf numFmtId="171" fontId="7" fillId="3" borderId="1" xfId="0" applyNumberFormat="1" applyFont="1" applyFill="1" applyBorder="1" applyAlignment="1">
      <alignment horizontal="center" vertical="center"/>
    </xf>
    <xf numFmtId="171" fontId="74" fillId="0" borderId="1" xfId="12" applyNumberFormat="1" applyFont="1" applyFill="1" applyBorder="1" applyAlignment="1">
      <alignment vertical="center"/>
    </xf>
    <xf numFmtId="1" fontId="7" fillId="0" borderId="1" xfId="12" applyNumberFormat="1" applyFont="1" applyFill="1" applyBorder="1" applyAlignment="1">
      <alignment vertical="center"/>
    </xf>
    <xf numFmtId="171" fontId="75" fillId="0" borderId="1" xfId="29" applyNumberFormat="1" applyFont="1" applyBorder="1" applyAlignment="1">
      <alignment horizontal="center" vertical="center"/>
    </xf>
    <xf numFmtId="0" fontId="74" fillId="4" borderId="1" xfId="0" applyFont="1" applyFill="1" applyBorder="1" applyAlignment="1">
      <alignment horizontal="center" vertical="center"/>
    </xf>
    <xf numFmtId="0" fontId="7" fillId="4" borderId="1" xfId="0" applyFont="1" applyFill="1" applyBorder="1" applyAlignment="1">
      <alignment vertical="center"/>
    </xf>
    <xf numFmtId="171" fontId="74" fillId="4" borderId="1" xfId="12" applyNumberFormat="1" applyFont="1" applyFill="1" applyBorder="1" applyAlignment="1">
      <alignment vertical="center"/>
    </xf>
    <xf numFmtId="165" fontId="7" fillId="4" borderId="1" xfId="0" applyNumberFormat="1" applyFont="1" applyFill="1" applyBorder="1" applyAlignment="1">
      <alignment horizontal="center" vertical="center"/>
    </xf>
    <xf numFmtId="1" fontId="7" fillId="4" borderId="1" xfId="11" applyNumberFormat="1" applyFont="1" applyFill="1" applyBorder="1" applyAlignment="1">
      <alignment vertical="center"/>
    </xf>
    <xf numFmtId="1" fontId="7" fillId="4" borderId="1" xfId="12" applyNumberFormat="1" applyFont="1" applyFill="1" applyBorder="1" applyAlignment="1">
      <alignment vertical="center"/>
    </xf>
    <xf numFmtId="171" fontId="74" fillId="4" borderId="1" xfId="29" applyNumberFormat="1" applyFont="1" applyFill="1" applyBorder="1" applyAlignment="1">
      <alignment vertical="center"/>
    </xf>
    <xf numFmtId="0" fontId="7" fillId="0" borderId="1" xfId="0" applyFont="1" applyBorder="1" applyAlignment="1">
      <alignment horizontal="right" vertical="center"/>
    </xf>
    <xf numFmtId="171" fontId="7" fillId="0" borderId="1" xfId="12" applyNumberFormat="1" applyFont="1" applyBorder="1" applyAlignment="1">
      <alignment vertical="center"/>
    </xf>
    <xf numFmtId="165" fontId="7" fillId="0" borderId="1" xfId="0" applyNumberFormat="1" applyFont="1" applyBorder="1" applyAlignment="1">
      <alignment horizontal="center" vertical="center"/>
    </xf>
    <xf numFmtId="9" fontId="74" fillId="0" borderId="1" xfId="0" applyNumberFormat="1" applyFont="1" applyBorder="1" applyAlignment="1">
      <alignment horizontal="center" vertical="center"/>
    </xf>
    <xf numFmtId="9" fontId="7" fillId="4" borderId="1" xfId="0" applyNumberFormat="1" applyFont="1" applyFill="1" applyBorder="1" applyAlignment="1">
      <alignment horizontal="center" vertical="center"/>
    </xf>
    <xf numFmtId="171" fontId="7" fillId="0" borderId="1" xfId="12" applyNumberFormat="1" applyFont="1" applyFill="1" applyBorder="1" applyAlignment="1">
      <alignment vertical="center"/>
    </xf>
    <xf numFmtId="0" fontId="7" fillId="0" borderId="0" xfId="0" applyFont="1" applyAlignment="1">
      <alignment vertical="center" wrapText="1"/>
    </xf>
    <xf numFmtId="1" fontId="7" fillId="0" borderId="1" xfId="0" applyNumberFormat="1" applyFont="1" applyBorder="1" applyAlignment="1">
      <alignment horizontal="right" vertical="center"/>
    </xf>
    <xf numFmtId="171" fontId="7" fillId="0" borderId="1" xfId="11" applyNumberFormat="1" applyFont="1" applyBorder="1" applyAlignment="1">
      <alignment vertical="center"/>
    </xf>
    <xf numFmtId="0" fontId="33" fillId="0" borderId="1" xfId="0" applyFont="1" applyBorder="1" applyAlignment="1">
      <alignment vertical="center"/>
    </xf>
    <xf numFmtId="1" fontId="33" fillId="0" borderId="1" xfId="0" applyNumberFormat="1" applyFont="1" applyBorder="1" applyAlignment="1">
      <alignment horizontal="right" vertical="center"/>
    </xf>
    <xf numFmtId="171" fontId="33" fillId="0" borderId="1" xfId="12" applyNumberFormat="1" applyFont="1" applyBorder="1" applyAlignment="1">
      <alignment vertical="center"/>
    </xf>
    <xf numFmtId="165" fontId="33" fillId="0" borderId="1" xfId="0" applyNumberFormat="1" applyFont="1" applyBorder="1" applyAlignment="1">
      <alignment horizontal="center" vertical="center"/>
    </xf>
    <xf numFmtId="1" fontId="33" fillId="0" borderId="1" xfId="11" applyNumberFormat="1" applyFont="1" applyBorder="1" applyAlignment="1">
      <alignment vertical="center"/>
    </xf>
    <xf numFmtId="1" fontId="33" fillId="0" borderId="1" xfId="12" applyNumberFormat="1" applyFont="1" applyFill="1" applyBorder="1" applyAlignment="1">
      <alignment vertical="center"/>
    </xf>
    <xf numFmtId="0" fontId="33" fillId="0" borderId="0" xfId="0" applyFont="1" applyAlignment="1">
      <alignment vertical="center"/>
    </xf>
    <xf numFmtId="2" fontId="74" fillId="0" borderId="1" xfId="0" applyNumberFormat="1" applyFont="1" applyBorder="1" applyAlignment="1">
      <alignment horizontal="right" vertical="center"/>
    </xf>
    <xf numFmtId="9" fontId="78" fillId="0" borderId="1" xfId="0" applyNumberFormat="1" applyFont="1" applyBorder="1" applyAlignment="1">
      <alignment horizontal="center" vertical="center"/>
    </xf>
    <xf numFmtId="171" fontId="78" fillId="0" borderId="1" xfId="12" applyNumberFormat="1" applyFont="1" applyFill="1" applyBorder="1" applyAlignment="1">
      <alignment vertical="center"/>
    </xf>
    <xf numFmtId="9" fontId="33" fillId="0" borderId="1" xfId="0" applyNumberFormat="1" applyFont="1" applyBorder="1" applyAlignment="1">
      <alignment horizontal="center" vertical="center"/>
    </xf>
    <xf numFmtId="166" fontId="74" fillId="0" borderId="1" xfId="0" applyNumberFormat="1" applyFont="1" applyBorder="1" applyAlignment="1">
      <alignment horizontal="right" vertical="center"/>
    </xf>
    <xf numFmtId="171" fontId="7" fillId="0" borderId="1" xfId="16" applyNumberFormat="1" applyFont="1" applyFill="1" applyBorder="1" applyAlignment="1">
      <alignment vertical="center"/>
    </xf>
    <xf numFmtId="1" fontId="7" fillId="0" borderId="1" xfId="16" applyNumberFormat="1" applyFont="1" applyFill="1" applyBorder="1" applyAlignment="1">
      <alignment vertical="center"/>
    </xf>
    <xf numFmtId="9" fontId="7" fillId="0" borderId="1" xfId="1" applyFont="1" applyBorder="1" applyAlignment="1">
      <alignment vertical="center"/>
    </xf>
    <xf numFmtId="0" fontId="76" fillId="3" borderId="1" xfId="0" applyFont="1" applyFill="1" applyBorder="1" applyAlignment="1">
      <alignment horizontal="left" vertical="center" wrapText="1"/>
    </xf>
    <xf numFmtId="0" fontId="76" fillId="3" borderId="1" xfId="0" applyFont="1" applyFill="1" applyBorder="1" applyAlignment="1">
      <alignment horizontal="left" vertical="center"/>
    </xf>
    <xf numFmtId="168" fontId="76" fillId="3" borderId="1" xfId="0" applyNumberFormat="1" applyFont="1" applyFill="1" applyBorder="1" applyAlignment="1">
      <alignment horizontal="left" vertical="center"/>
    </xf>
    <xf numFmtId="171" fontId="76" fillId="3" borderId="1" xfId="29" applyNumberFormat="1" applyFont="1" applyFill="1" applyBorder="1" applyAlignment="1">
      <alignment horizontal="center" vertical="center"/>
    </xf>
    <xf numFmtId="171" fontId="76" fillId="3" borderId="1" xfId="29" applyNumberFormat="1" applyFont="1" applyFill="1" applyBorder="1" applyAlignment="1">
      <alignment horizontal="left" vertical="center"/>
    </xf>
    <xf numFmtId="9" fontId="7" fillId="0" borderId="0" xfId="1" applyFont="1" applyBorder="1" applyAlignment="1">
      <alignment vertical="center"/>
    </xf>
    <xf numFmtId="0" fontId="74" fillId="0" borderId="0" xfId="0" applyFont="1" applyAlignment="1">
      <alignment horizontal="right" vertical="center"/>
    </xf>
    <xf numFmtId="168" fontId="7" fillId="0" borderId="0" xfId="0" applyNumberFormat="1" applyFont="1" applyAlignment="1">
      <alignment horizontal="center" vertical="center"/>
    </xf>
    <xf numFmtId="168" fontId="7" fillId="0" borderId="0" xfId="0" applyNumberFormat="1" applyFont="1" applyAlignment="1">
      <alignment vertical="center"/>
    </xf>
    <xf numFmtId="171" fontId="7" fillId="0" borderId="0" xfId="29" applyNumberFormat="1" applyFont="1" applyFill="1" applyBorder="1" applyAlignment="1">
      <alignment horizontal="center" vertical="center"/>
    </xf>
    <xf numFmtId="0" fontId="7" fillId="0" borderId="0" xfId="11" applyFont="1" applyAlignment="1">
      <alignment vertical="center"/>
    </xf>
    <xf numFmtId="9" fontId="7" fillId="0" borderId="0" xfId="0" applyNumberFormat="1" applyFont="1" applyAlignment="1">
      <alignment horizontal="center" vertical="center"/>
    </xf>
    <xf numFmtId="1" fontId="7" fillId="0" borderId="0" xfId="11" applyNumberFormat="1" applyFont="1" applyAlignment="1">
      <alignment vertical="center"/>
    </xf>
    <xf numFmtId="168" fontId="7" fillId="0" borderId="0" xfId="1" applyNumberFormat="1" applyFont="1" applyBorder="1" applyAlignment="1">
      <alignment horizontal="center" vertical="center"/>
    </xf>
    <xf numFmtId="171" fontId="7" fillId="0" borderId="0" xfId="29" applyNumberFormat="1" applyFont="1" applyFill="1" applyBorder="1" applyAlignment="1">
      <alignment vertical="center"/>
    </xf>
    <xf numFmtId="1" fontId="7" fillId="20" borderId="0" xfId="11" applyNumberFormat="1" applyFont="1" applyFill="1" applyAlignment="1">
      <alignment vertical="center"/>
    </xf>
    <xf numFmtId="171" fontId="79" fillId="0" borderId="1" xfId="12" applyNumberFormat="1" applyFont="1" applyFill="1" applyBorder="1" applyAlignment="1">
      <alignment vertical="center"/>
    </xf>
    <xf numFmtId="168" fontId="84" fillId="0" borderId="1" xfId="0" applyNumberFormat="1" applyFont="1" applyBorder="1" applyAlignment="1">
      <alignment vertical="center"/>
    </xf>
    <xf numFmtId="171" fontId="80" fillId="0" borderId="1" xfId="29" applyNumberFormat="1" applyFont="1" applyBorder="1" applyAlignment="1">
      <alignment horizontal="center" vertical="center"/>
    </xf>
    <xf numFmtId="168" fontId="85" fillId="0" borderId="1" xfId="0" applyNumberFormat="1" applyFont="1" applyBorder="1" applyAlignment="1">
      <alignment horizontal="center" vertical="center"/>
    </xf>
    <xf numFmtId="168" fontId="85" fillId="0" borderId="1" xfId="1" applyNumberFormat="1" applyFont="1" applyBorder="1" applyAlignment="1">
      <alignment horizontal="center" vertical="center"/>
    </xf>
    <xf numFmtId="168" fontId="83" fillId="4" borderId="1" xfId="0" applyNumberFormat="1" applyFont="1" applyFill="1" applyBorder="1" applyAlignment="1">
      <alignment horizontal="center" vertical="center"/>
    </xf>
    <xf numFmtId="0" fontId="77" fillId="0" borderId="1" xfId="0" applyFont="1" applyBorder="1" applyAlignment="1">
      <alignment vertical="center"/>
    </xf>
    <xf numFmtId="171" fontId="83" fillId="4" borderId="1" xfId="29" applyNumberFormat="1" applyFont="1" applyFill="1" applyBorder="1" applyAlignment="1">
      <alignment vertical="center"/>
    </xf>
    <xf numFmtId="43" fontId="80" fillId="0" borderId="1" xfId="29" applyFont="1" applyBorder="1" applyAlignment="1">
      <alignment horizontal="center" vertical="center"/>
    </xf>
    <xf numFmtId="168" fontId="87" fillId="0" borderId="1" xfId="0" applyNumberFormat="1" applyFont="1" applyBorder="1" applyAlignment="1">
      <alignment horizontal="center" vertical="center"/>
    </xf>
    <xf numFmtId="168" fontId="88" fillId="0" borderId="1" xfId="0" applyNumberFormat="1" applyFont="1" applyBorder="1" applyAlignment="1">
      <alignment vertical="center"/>
    </xf>
    <xf numFmtId="168" fontId="85" fillId="0" borderId="1" xfId="0" applyNumberFormat="1" applyFont="1" applyBorder="1" applyAlignment="1">
      <alignment vertical="center"/>
    </xf>
    <xf numFmtId="168" fontId="89" fillId="0" borderId="1" xfId="0" applyNumberFormat="1" applyFont="1" applyBorder="1" applyAlignment="1">
      <alignment vertical="center"/>
    </xf>
    <xf numFmtId="168" fontId="86" fillId="0" borderId="1" xfId="0" applyNumberFormat="1" applyFont="1" applyBorder="1" applyAlignment="1">
      <alignment vertical="center"/>
    </xf>
    <xf numFmtId="168" fontId="85" fillId="0" borderId="1" xfId="0" applyNumberFormat="1" applyFont="1" applyBorder="1" applyAlignment="1">
      <alignment vertical="center" wrapText="1"/>
    </xf>
    <xf numFmtId="171" fontId="74" fillId="0" borderId="1" xfId="11" applyNumberFormat="1" applyFont="1" applyBorder="1" applyAlignment="1">
      <alignment horizontal="center" vertical="center"/>
    </xf>
    <xf numFmtId="168" fontId="92" fillId="0" borderId="1" xfId="0" applyNumberFormat="1" applyFont="1" applyBorder="1" applyAlignment="1">
      <alignment vertical="center"/>
    </xf>
    <xf numFmtId="0" fontId="6" fillId="4" borderId="1" xfId="0" applyFont="1" applyFill="1" applyBorder="1" applyAlignment="1">
      <alignment vertical="center"/>
    </xf>
    <xf numFmtId="0" fontId="5" fillId="0" borderId="1" xfId="0" applyFont="1" applyBorder="1" applyAlignment="1">
      <alignment vertical="center"/>
    </xf>
    <xf numFmtId="0" fontId="5" fillId="0" borderId="1" xfId="0" applyFont="1" applyBorder="1" applyAlignment="1">
      <alignment vertical="center" wrapText="1"/>
    </xf>
    <xf numFmtId="0" fontId="93" fillId="0" borderId="1" xfId="0" applyFont="1" applyBorder="1" applyAlignment="1">
      <alignment vertical="center"/>
    </xf>
    <xf numFmtId="168" fontId="87" fillId="4" borderId="1" xfId="0" applyNumberFormat="1" applyFont="1" applyFill="1" applyBorder="1" applyAlignment="1">
      <alignment horizontal="center" vertical="center"/>
    </xf>
    <xf numFmtId="171" fontId="87" fillId="0" borderId="1" xfId="29" applyNumberFormat="1" applyFont="1" applyBorder="1" applyAlignment="1">
      <alignment horizontal="center" vertical="center"/>
    </xf>
    <xf numFmtId="1" fontId="87" fillId="0" borderId="1" xfId="12" applyNumberFormat="1" applyFont="1" applyFill="1" applyBorder="1" applyAlignment="1">
      <alignment vertical="center"/>
    </xf>
    <xf numFmtId="168" fontId="87" fillId="0" borderId="1" xfId="1" applyNumberFormat="1" applyFont="1" applyFill="1" applyBorder="1" applyAlignment="1">
      <alignment horizontal="center" vertical="center"/>
    </xf>
    <xf numFmtId="171" fontId="87" fillId="0" borderId="1" xfId="29" applyNumberFormat="1" applyFont="1" applyFill="1" applyBorder="1" applyAlignment="1">
      <alignment vertical="center"/>
    </xf>
    <xf numFmtId="171" fontId="87" fillId="0" borderId="1" xfId="12" applyNumberFormat="1" applyFont="1" applyBorder="1" applyAlignment="1">
      <alignment vertical="center"/>
    </xf>
    <xf numFmtId="43" fontId="87" fillId="0" borderId="1" xfId="12" applyFont="1" applyFill="1" applyBorder="1" applyAlignment="1">
      <alignment vertical="center"/>
    </xf>
    <xf numFmtId="171" fontId="87" fillId="0" borderId="1" xfId="12" applyNumberFormat="1" applyFont="1" applyFill="1" applyBorder="1" applyAlignment="1">
      <alignment vertical="center"/>
    </xf>
    <xf numFmtId="1" fontId="6" fillId="0" borderId="0" xfId="19" applyNumberFormat="1" applyFont="1"/>
    <xf numFmtId="171" fontId="87" fillId="4" borderId="1" xfId="29" applyNumberFormat="1" applyFont="1" applyFill="1" applyBorder="1" applyAlignment="1">
      <alignment vertical="center"/>
    </xf>
    <xf numFmtId="0" fontId="20" fillId="0" borderId="0" xfId="0" applyFont="1" applyAlignment="1">
      <alignment vertical="center"/>
    </xf>
    <xf numFmtId="0" fontId="20" fillId="0" borderId="0" xfId="0" applyFont="1" applyAlignment="1">
      <alignment horizontal="center" vertical="center"/>
    </xf>
    <xf numFmtId="0" fontId="13" fillId="0" borderId="15" xfId="0" applyFont="1" applyBorder="1" applyAlignment="1">
      <alignment vertical="center"/>
    </xf>
    <xf numFmtId="0" fontId="20" fillId="0" borderId="15" xfId="0" applyFont="1" applyBorder="1" applyAlignment="1">
      <alignment vertical="center"/>
    </xf>
    <xf numFmtId="9" fontId="20" fillId="0" borderId="15" xfId="0" applyNumberFormat="1" applyFont="1" applyBorder="1" applyAlignment="1">
      <alignment horizontal="center" vertical="center"/>
    </xf>
    <xf numFmtId="0" fontId="22" fillId="0" borderId="15" xfId="0" applyFont="1" applyBorder="1" applyAlignment="1">
      <alignment horizontal="center" vertical="center"/>
    </xf>
    <xf numFmtId="0" fontId="31" fillId="0" borderId="15" xfId="0" applyFont="1" applyBorder="1" applyAlignment="1">
      <alignment vertical="center"/>
    </xf>
    <xf numFmtId="0" fontId="20" fillId="0" borderId="15" xfId="0" applyFont="1" applyBorder="1" applyAlignment="1">
      <alignment horizontal="center" vertical="center"/>
    </xf>
    <xf numFmtId="1" fontId="22" fillId="0" borderId="15" xfId="0" applyNumberFormat="1" applyFont="1" applyBorder="1" applyAlignment="1">
      <alignment horizontal="center" vertical="center"/>
    </xf>
    <xf numFmtId="1" fontId="27" fillId="0" borderId="15" xfId="0" applyNumberFormat="1" applyFont="1" applyBorder="1" applyAlignment="1">
      <alignment horizontal="center" vertical="center"/>
    </xf>
    <xf numFmtId="1" fontId="27" fillId="0" borderId="15" xfId="0" applyNumberFormat="1" applyFont="1" applyBorder="1" applyAlignment="1">
      <alignment vertical="center"/>
    </xf>
    <xf numFmtId="0" fontId="27" fillId="0" borderId="15" xfId="0" applyFont="1" applyBorder="1" applyAlignment="1">
      <alignment vertical="center"/>
    </xf>
    <xf numFmtId="1" fontId="13" fillId="0" borderId="15" xfId="10" applyNumberFormat="1" applyFont="1" applyBorder="1" applyAlignment="1">
      <alignment horizontal="center" vertical="center" wrapText="1"/>
    </xf>
    <xf numFmtId="0" fontId="15" fillId="3" borderId="15" xfId="0" applyFont="1" applyFill="1" applyBorder="1" applyAlignment="1">
      <alignment vertical="center"/>
    </xf>
    <xf numFmtId="0" fontId="20" fillId="3" borderId="15" xfId="0" applyFont="1" applyFill="1" applyBorder="1" applyAlignment="1">
      <alignment vertical="center"/>
    </xf>
    <xf numFmtId="0" fontId="20" fillId="3" borderId="15" xfId="0" applyFont="1" applyFill="1" applyBorder="1" applyAlignment="1">
      <alignment horizontal="center" vertical="center"/>
    </xf>
    <xf numFmtId="0" fontId="22" fillId="3" borderId="15" xfId="0" applyFont="1" applyFill="1" applyBorder="1" applyAlignment="1">
      <alignment horizontal="center" vertical="center"/>
    </xf>
    <xf numFmtId="1" fontId="13" fillId="0" borderId="15" xfId="5" applyNumberFormat="1" applyFont="1" applyBorder="1" applyAlignment="1">
      <alignment horizontal="center" vertical="center"/>
    </xf>
    <xf numFmtId="49" fontId="13" fillId="0" borderId="15" xfId="10" applyNumberFormat="1" applyFont="1" applyBorder="1" applyAlignment="1">
      <alignment horizontal="center" vertical="center" wrapText="1"/>
    </xf>
    <xf numFmtId="0" fontId="15" fillId="21" borderId="15" xfId="0" applyFont="1" applyFill="1" applyBorder="1" applyAlignment="1">
      <alignment vertical="center"/>
    </xf>
    <xf numFmtId="0" fontId="20" fillId="21" borderId="15" xfId="0" applyFont="1" applyFill="1" applyBorder="1" applyAlignment="1">
      <alignment vertical="center"/>
    </xf>
    <xf numFmtId="0" fontId="20" fillId="21" borderId="15" xfId="0" applyFont="1" applyFill="1" applyBorder="1" applyAlignment="1">
      <alignment horizontal="center" vertical="center"/>
    </xf>
    <xf numFmtId="0" fontId="22" fillId="21" borderId="15" xfId="0" applyFont="1" applyFill="1" applyBorder="1" applyAlignment="1">
      <alignment horizontal="center" vertical="center"/>
    </xf>
    <xf numFmtId="0" fontId="31" fillId="21" borderId="15" xfId="0" applyFont="1" applyFill="1" applyBorder="1" applyAlignment="1">
      <alignment vertical="center"/>
    </xf>
    <xf numFmtId="0" fontId="13" fillId="21" borderId="15" xfId="5" applyFont="1" applyFill="1" applyBorder="1" applyAlignment="1">
      <alignment horizontal="center" vertical="center"/>
    </xf>
    <xf numFmtId="1" fontId="13" fillId="21" borderId="15" xfId="5" applyNumberFormat="1" applyFont="1" applyFill="1" applyBorder="1" applyAlignment="1">
      <alignment horizontal="center" vertical="center"/>
    </xf>
    <xf numFmtId="1" fontId="13" fillId="21" borderId="15" xfId="10" applyNumberFormat="1" applyFont="1" applyFill="1" applyBorder="1" applyAlignment="1">
      <alignment horizontal="center" vertical="center" wrapText="1"/>
    </xf>
    <xf numFmtId="49" fontId="13" fillId="21" borderId="15" xfId="10" applyNumberFormat="1" applyFont="1" applyFill="1" applyBorder="1" applyAlignment="1">
      <alignment horizontal="center" vertical="center" wrapText="1"/>
    </xf>
    <xf numFmtId="0" fontId="27" fillId="21" borderId="15" xfId="0" applyFont="1" applyFill="1" applyBorder="1" applyAlignment="1">
      <alignment vertical="center"/>
    </xf>
    <xf numFmtId="1" fontId="91" fillId="0" borderId="15" xfId="19" applyNumberFormat="1" applyFont="1" applyBorder="1"/>
    <xf numFmtId="0" fontId="6" fillId="0" borderId="15" xfId="0" applyFont="1" applyBorder="1" applyAlignment="1">
      <alignment horizontal="left" vertical="center"/>
    </xf>
    <xf numFmtId="0" fontId="5" fillId="0" borderId="15" xfId="21" applyFont="1" applyBorder="1" applyAlignment="1">
      <alignment horizontal="center" vertical="center"/>
    </xf>
    <xf numFmtId="0" fontId="6" fillId="0" borderId="15" xfId="21" applyFont="1" applyBorder="1" applyAlignment="1">
      <alignment horizontal="left" vertical="center"/>
    </xf>
    <xf numFmtId="0" fontId="6" fillId="0" borderId="15" xfId="21" applyFont="1" applyBorder="1" applyAlignment="1">
      <alignment horizontal="center" vertical="center"/>
    </xf>
    <xf numFmtId="0" fontId="32" fillId="0" borderId="15" xfId="21" applyFont="1" applyBorder="1" applyAlignment="1">
      <alignment horizontal="center" vertical="center"/>
    </xf>
    <xf numFmtId="0" fontId="35" fillId="0" borderId="15" xfId="5" applyFont="1" applyBorder="1" applyAlignment="1">
      <alignment horizontal="center" vertical="center"/>
    </xf>
    <xf numFmtId="166" fontId="36" fillId="0" borderId="15" xfId="5" applyNumberFormat="1" applyFont="1" applyBorder="1" applyAlignment="1">
      <alignment horizontal="center" vertical="center"/>
    </xf>
    <xf numFmtId="1" fontId="6" fillId="0" borderId="15" xfId="19" applyNumberFormat="1" applyFont="1" applyBorder="1"/>
    <xf numFmtId="49" fontId="14" fillId="0" borderId="15" xfId="5" applyNumberFormat="1" applyFont="1" applyBorder="1" applyAlignment="1">
      <alignment horizontal="center"/>
    </xf>
    <xf numFmtId="0" fontId="6" fillId="0" borderId="15" xfId="19" applyFont="1" applyBorder="1"/>
    <xf numFmtId="0" fontId="5" fillId="0" borderId="15" xfId="21" applyFont="1" applyBorder="1" applyAlignment="1">
      <alignment horizontal="left" vertical="center"/>
    </xf>
    <xf numFmtId="0" fontId="29" fillId="0" borderId="15" xfId="19" applyFont="1" applyBorder="1" applyAlignment="1">
      <alignment horizontal="left"/>
    </xf>
    <xf numFmtId="0" fontId="5" fillId="0" borderId="15" xfId="19" applyFont="1" applyBorder="1"/>
    <xf numFmtId="0" fontId="31" fillId="0" borderId="15" xfId="19" applyFont="1" applyBorder="1"/>
    <xf numFmtId="2" fontId="14" fillId="0" borderId="15" xfId="21" applyNumberFormat="1" applyFont="1" applyBorder="1" applyAlignment="1">
      <alignment horizontal="center" vertical="center"/>
    </xf>
    <xf numFmtId="0" fontId="14" fillId="0" borderId="15" xfId="21" applyFont="1" applyBorder="1" applyAlignment="1">
      <alignment horizontal="center" vertical="center"/>
    </xf>
    <xf numFmtId="1" fontId="17" fillId="0" borderId="15" xfId="5" applyNumberFormat="1" applyFont="1" applyBorder="1" applyAlignment="1">
      <alignment horizontal="center" vertical="center"/>
    </xf>
    <xf numFmtId="2" fontId="14" fillId="0" borderId="15" xfId="5" applyNumberFormat="1" applyFont="1" applyBorder="1" applyAlignment="1">
      <alignment horizontal="center" vertical="center"/>
    </xf>
    <xf numFmtId="2" fontId="14" fillId="0" borderId="15" xfId="19" applyNumberFormat="1" applyFont="1" applyBorder="1" applyAlignment="1">
      <alignment horizontal="center" vertical="center"/>
    </xf>
    <xf numFmtId="0" fontId="6" fillId="0" borderId="15" xfId="19" applyFont="1" applyBorder="1" applyAlignment="1">
      <alignment horizontal="left"/>
    </xf>
    <xf numFmtId="0" fontId="14" fillId="0" borderId="15" xfId="19" applyFont="1" applyBorder="1" applyAlignment="1">
      <alignment horizontal="center" vertical="center"/>
    </xf>
    <xf numFmtId="2" fontId="14" fillId="0" borderId="15" xfId="5" applyNumberFormat="1" applyFont="1" applyBorder="1" applyAlignment="1">
      <alignment horizontal="center"/>
    </xf>
    <xf numFmtId="2" fontId="0" fillId="0" borderId="15" xfId="19" applyNumberFormat="1" applyFont="1" applyBorder="1" applyAlignment="1">
      <alignment horizontal="center" vertical="center"/>
    </xf>
    <xf numFmtId="0" fontId="5" fillId="0" borderId="15" xfId="19" applyFont="1" applyBorder="1" applyAlignment="1">
      <alignment horizontal="left"/>
    </xf>
    <xf numFmtId="2" fontId="14" fillId="0" borderId="15" xfId="19" applyNumberFormat="1" applyFont="1" applyBorder="1" applyAlignment="1">
      <alignment horizontal="center"/>
    </xf>
    <xf numFmtId="0" fontId="14" fillId="0" borderId="15" xfId="19" applyFont="1" applyBorder="1" applyAlignment="1">
      <alignment horizontal="center"/>
    </xf>
    <xf numFmtId="0" fontId="31" fillId="0" borderId="15" xfId="19" applyFont="1" applyBorder="1" applyAlignment="1">
      <alignment horizontal="left"/>
    </xf>
    <xf numFmtId="1" fontId="95" fillId="0" borderId="15" xfId="5" applyNumberFormat="1" applyFont="1" applyBorder="1" applyAlignment="1">
      <alignment horizontal="center" vertical="center"/>
    </xf>
    <xf numFmtId="2" fontId="0" fillId="0" borderId="15" xfId="19" applyNumberFormat="1" applyFont="1" applyBorder="1" applyAlignment="1">
      <alignment horizontal="center"/>
    </xf>
    <xf numFmtId="2" fontId="0" fillId="0" borderId="15" xfId="5" applyNumberFormat="1" applyFont="1" applyBorder="1" applyAlignment="1">
      <alignment horizontal="center" vertical="center"/>
    </xf>
    <xf numFmtId="0" fontId="5" fillId="0" borderId="15" xfId="19" applyFont="1" applyBorder="1" applyAlignment="1">
      <alignment horizontal="center"/>
    </xf>
    <xf numFmtId="0" fontId="29" fillId="0" borderId="15" xfId="19" applyFont="1" applyBorder="1" applyAlignment="1">
      <alignment horizontal="center"/>
    </xf>
    <xf numFmtId="0" fontId="14" fillId="0" borderId="15" xfId="19" applyFont="1" applyBorder="1"/>
    <xf numFmtId="2" fontId="0" fillId="0" borderId="15" xfId="5" applyNumberFormat="1" applyFont="1" applyBorder="1" applyAlignment="1">
      <alignment horizontal="center"/>
    </xf>
    <xf numFmtId="0" fontId="31" fillId="0" borderId="15" xfId="21" applyFont="1" applyBorder="1" applyAlignment="1">
      <alignment horizontal="left" vertical="center"/>
    </xf>
    <xf numFmtId="0" fontId="31" fillId="0" borderId="15" xfId="21" applyFont="1" applyBorder="1" applyAlignment="1">
      <alignment horizontal="center" vertical="center"/>
    </xf>
    <xf numFmtId="0" fontId="0" fillId="0" borderId="15" xfId="0" applyBorder="1"/>
    <xf numFmtId="1" fontId="91" fillId="0" borderId="15" xfId="2239" applyNumberFormat="1" applyFont="1" applyBorder="1"/>
    <xf numFmtId="1" fontId="6" fillId="0" borderId="15" xfId="2239" applyNumberFormat="1" applyFont="1" applyBorder="1"/>
    <xf numFmtId="2" fontId="14" fillId="0" borderId="15" xfId="2239" applyNumberFormat="1" applyFont="1" applyBorder="1" applyAlignment="1">
      <alignment horizontal="center" vertical="center"/>
    </xf>
    <xf numFmtId="2" fontId="0" fillId="0" borderId="15" xfId="2239" applyNumberFormat="1" applyFont="1" applyBorder="1" applyAlignment="1">
      <alignment horizontal="center" vertical="center"/>
    </xf>
    <xf numFmtId="0" fontId="6" fillId="0" borderId="15" xfId="2239" applyFont="1" applyBorder="1"/>
    <xf numFmtId="2" fontId="14" fillId="0" borderId="15" xfId="2241" applyNumberFormat="1" applyFont="1" applyBorder="1" applyAlignment="1">
      <alignment horizontal="center" vertical="center"/>
    </xf>
    <xf numFmtId="2" fontId="14" fillId="0" borderId="15" xfId="2239" applyNumberFormat="1" applyFont="1" applyBorder="1" applyAlignment="1">
      <alignment horizontal="center"/>
    </xf>
    <xf numFmtId="2" fontId="0" fillId="0" borderId="15" xfId="2239" applyNumberFormat="1" applyFont="1" applyBorder="1" applyAlignment="1">
      <alignment horizontal="center"/>
    </xf>
    <xf numFmtId="0" fontId="13" fillId="0" borderId="15" xfId="5" applyFont="1" applyBorder="1" applyAlignment="1">
      <alignment horizontal="center" vertical="center"/>
    </xf>
    <xf numFmtId="166" fontId="22" fillId="0" borderId="15" xfId="0" applyNumberFormat="1" applyFont="1" applyBorder="1" applyAlignment="1">
      <alignment horizontal="center" vertical="center"/>
    </xf>
    <xf numFmtId="1" fontId="27" fillId="21" borderId="15" xfId="0" applyNumberFormat="1" applyFont="1" applyFill="1" applyBorder="1" applyAlignment="1">
      <alignment horizontal="center" vertical="center"/>
    </xf>
    <xf numFmtId="1" fontId="13" fillId="0" borderId="15" xfId="5" applyNumberFormat="1" applyFont="1" applyBorder="1" applyAlignment="1">
      <alignment vertical="center"/>
    </xf>
    <xf numFmtId="1" fontId="6" fillId="21" borderId="15" xfId="19" applyNumberFormat="1" applyFont="1" applyFill="1" applyBorder="1"/>
    <xf numFmtId="0" fontId="24" fillId="0" borderId="15" xfId="5" applyFont="1" applyBorder="1" applyAlignment="1">
      <alignment vertical="center"/>
    </xf>
    <xf numFmtId="1" fontId="17" fillId="0" borderId="15" xfId="5" applyNumberFormat="1" applyFont="1" applyBorder="1" applyAlignment="1">
      <alignment vertical="center"/>
    </xf>
    <xf numFmtId="0" fontId="17" fillId="0" borderId="15" xfId="5" applyFont="1" applyBorder="1" applyAlignment="1">
      <alignment vertical="center"/>
    </xf>
    <xf numFmtId="1" fontId="17" fillId="21" borderId="15" xfId="5" applyNumberFormat="1" applyFont="1" applyFill="1" applyBorder="1" applyAlignment="1">
      <alignment horizontal="center" vertical="center"/>
    </xf>
    <xf numFmtId="49" fontId="24" fillId="0" borderId="15" xfId="5" applyNumberFormat="1" applyFont="1" applyBorder="1" applyAlignment="1">
      <alignment vertical="center"/>
    </xf>
    <xf numFmtId="0" fontId="20" fillId="0" borderId="15" xfId="5" applyFont="1" applyBorder="1" applyAlignment="1">
      <alignment horizontal="left" vertical="center"/>
    </xf>
    <xf numFmtId="0" fontId="17" fillId="21" borderId="15" xfId="5" applyFont="1" applyFill="1" applyBorder="1" applyAlignment="1">
      <alignment vertical="center"/>
    </xf>
    <xf numFmtId="49" fontId="13" fillId="0" borderId="15" xfId="6" applyBorder="1">
      <alignment horizontal="left" vertical="center"/>
    </xf>
    <xf numFmtId="0" fontId="28" fillId="0" borderId="15" xfId="5" applyFont="1" applyBorder="1" applyAlignment="1">
      <alignment vertical="center"/>
    </xf>
    <xf numFmtId="1" fontId="25" fillId="0" borderId="15" xfId="5" applyNumberFormat="1" applyFont="1" applyBorder="1" applyAlignment="1">
      <alignment horizontal="center" vertical="center"/>
    </xf>
    <xf numFmtId="1" fontId="25" fillId="0" borderId="15" xfId="5" applyNumberFormat="1" applyFont="1" applyBorder="1" applyAlignment="1">
      <alignment vertical="center"/>
    </xf>
    <xf numFmtId="1" fontId="25" fillId="21" borderId="15" xfId="5" applyNumberFormat="1" applyFont="1" applyFill="1" applyBorder="1" applyAlignment="1">
      <alignment horizontal="center" vertical="center"/>
    </xf>
    <xf numFmtId="0" fontId="25" fillId="0" borderId="15" xfId="5" applyFont="1" applyBorder="1" applyAlignment="1">
      <alignment vertical="center"/>
    </xf>
    <xf numFmtId="49" fontId="20" fillId="0" borderId="15" xfId="6" applyFont="1" applyBorder="1" applyAlignment="1">
      <alignment horizontal="center" vertical="center"/>
    </xf>
    <xf numFmtId="1" fontId="17" fillId="0" borderId="15" xfId="6" applyNumberFormat="1" applyFont="1" applyBorder="1" applyAlignment="1">
      <alignment horizontal="center" vertical="center"/>
    </xf>
    <xf numFmtId="1" fontId="17" fillId="0" borderId="15" xfId="6" applyNumberFormat="1" applyFont="1" applyBorder="1">
      <alignment horizontal="left" vertical="center"/>
    </xf>
    <xf numFmtId="1" fontId="17" fillId="21" borderId="15" xfId="6" applyNumberFormat="1" applyFont="1" applyFill="1" applyBorder="1" applyAlignment="1">
      <alignment horizontal="center" vertical="center"/>
    </xf>
    <xf numFmtId="49" fontId="17" fillId="0" borderId="15" xfId="6" applyFont="1" applyBorder="1">
      <alignment horizontal="left" vertical="center"/>
    </xf>
    <xf numFmtId="1" fontId="13" fillId="0" borderId="15" xfId="6" applyNumberFormat="1" applyBorder="1" applyAlignment="1">
      <alignment horizontal="center" vertical="center"/>
    </xf>
    <xf numFmtId="1" fontId="13" fillId="0" borderId="15" xfId="6" applyNumberFormat="1" applyBorder="1">
      <alignment horizontal="left" vertical="center"/>
    </xf>
    <xf numFmtId="1" fontId="13" fillId="21" borderId="15" xfId="6" applyNumberFormat="1" applyFill="1" applyBorder="1" applyAlignment="1">
      <alignment horizontal="center" vertical="center"/>
    </xf>
    <xf numFmtId="49" fontId="25" fillId="0" borderId="15" xfId="5" applyNumberFormat="1" applyFont="1" applyBorder="1" applyAlignment="1">
      <alignment horizontal="center" vertical="center"/>
    </xf>
    <xf numFmtId="49" fontId="95" fillId="0" borderId="15" xfId="6" applyFont="1" applyBorder="1">
      <alignment horizontal="left" vertical="center"/>
    </xf>
    <xf numFmtId="1" fontId="95" fillId="0" borderId="15" xfId="6" applyNumberFormat="1" applyFont="1" applyBorder="1">
      <alignment horizontal="left" vertical="center"/>
    </xf>
    <xf numFmtId="1" fontId="94" fillId="0" borderId="15" xfId="6" applyNumberFormat="1" applyFont="1" applyBorder="1" applyAlignment="1">
      <alignment horizontal="center" vertical="center"/>
    </xf>
    <xf numFmtId="1" fontId="70" fillId="21" borderId="15" xfId="5" applyNumberFormat="1" applyFont="1" applyFill="1" applyBorder="1" applyAlignment="1">
      <alignment horizontal="center" vertical="center"/>
    </xf>
    <xf numFmtId="0" fontId="70" fillId="21" borderId="15" xfId="5" applyFont="1" applyFill="1" applyBorder="1" applyAlignment="1">
      <alignment vertical="center"/>
    </xf>
    <xf numFmtId="1" fontId="25" fillId="0" borderId="15" xfId="5" applyNumberFormat="1" applyFont="1" applyBorder="1" applyAlignment="1">
      <alignment horizontal="left" vertical="center"/>
    </xf>
    <xf numFmtId="49" fontId="25" fillId="0" borderId="15" xfId="5" applyNumberFormat="1" applyFont="1" applyBorder="1" applyAlignment="1">
      <alignment horizontal="left" vertical="center"/>
    </xf>
    <xf numFmtId="1" fontId="19" fillId="0" borderId="15" xfId="5" applyNumberFormat="1" applyFont="1" applyBorder="1" applyAlignment="1">
      <alignment vertical="center"/>
    </xf>
    <xf numFmtId="1" fontId="19" fillId="21" borderId="15" xfId="5" applyNumberFormat="1" applyFont="1" applyFill="1" applyBorder="1" applyAlignment="1">
      <alignment horizontal="center" vertical="center"/>
    </xf>
    <xf numFmtId="0" fontId="19" fillId="0" borderId="15" xfId="5" applyFont="1" applyBorder="1" applyAlignment="1">
      <alignment vertical="center"/>
    </xf>
    <xf numFmtId="166" fontId="22" fillId="0" borderId="15" xfId="6" applyNumberFormat="1" applyFont="1" applyBorder="1" applyAlignment="1">
      <alignment horizontal="center" vertical="center"/>
    </xf>
    <xf numFmtId="0" fontId="71" fillId="0" borderId="15" xfId="0" applyFont="1" applyBorder="1"/>
    <xf numFmtId="0" fontId="71" fillId="0" borderId="15" xfId="0" applyFont="1" applyBorder="1" applyAlignment="1">
      <alignment horizontal="center"/>
    </xf>
    <xf numFmtId="2" fontId="71" fillId="0" borderId="15" xfId="0" applyNumberFormat="1" applyFont="1" applyBorder="1"/>
    <xf numFmtId="0" fontId="71" fillId="0" borderId="15" xfId="0" applyFont="1" applyBorder="1" applyAlignment="1">
      <alignment wrapText="1"/>
    </xf>
    <xf numFmtId="0" fontId="72" fillId="0" borderId="15" xfId="0" applyFont="1" applyBorder="1"/>
    <xf numFmtId="1" fontId="5" fillId="0" borderId="15" xfId="21" applyNumberFormat="1" applyFont="1" applyBorder="1" applyAlignment="1">
      <alignment horizontal="center" vertical="center"/>
    </xf>
    <xf numFmtId="0" fontId="72" fillId="0" borderId="0" xfId="0" applyFont="1"/>
    <xf numFmtId="0" fontId="100" fillId="4" borderId="1" xfId="0" applyFont="1" applyFill="1" applyBorder="1" applyAlignment="1">
      <alignment vertical="center"/>
    </xf>
    <xf numFmtId="0" fontId="100" fillId="0" borderId="1" xfId="0" applyFont="1" applyBorder="1" applyAlignment="1">
      <alignment vertical="center"/>
    </xf>
    <xf numFmtId="0" fontId="102" fillId="0" borderId="1" xfId="0" applyFont="1" applyBorder="1" applyAlignment="1">
      <alignment vertical="center"/>
    </xf>
    <xf numFmtId="0" fontId="100" fillId="0" borderId="1" xfId="0" applyFont="1" applyBorder="1" applyAlignment="1">
      <alignment horizontal="left" vertical="center"/>
    </xf>
    <xf numFmtId="0" fontId="9" fillId="4" borderId="1" xfId="0" applyFont="1" applyFill="1" applyBorder="1" applyAlignment="1">
      <alignment horizontal="center" vertical="center"/>
    </xf>
    <xf numFmtId="1" fontId="14" fillId="0" borderId="1" xfId="0" applyNumberFormat="1" applyFont="1" applyBorder="1" applyAlignment="1">
      <alignment horizontal="right" vertical="center"/>
    </xf>
    <xf numFmtId="1" fontId="22" fillId="0" borderId="1" xfId="0" applyNumberFormat="1" applyFont="1" applyBorder="1" applyAlignment="1">
      <alignment horizontal="right" vertical="center"/>
    </xf>
    <xf numFmtId="2" fontId="9" fillId="0" borderId="1" xfId="0" applyNumberFormat="1" applyFont="1" applyBorder="1" applyAlignment="1">
      <alignment horizontal="right" vertical="center"/>
    </xf>
    <xf numFmtId="166" fontId="9" fillId="0" borderId="1" xfId="0" applyNumberFormat="1" applyFont="1" applyBorder="1" applyAlignment="1">
      <alignment horizontal="right" vertical="center"/>
    </xf>
    <xf numFmtId="0" fontId="9" fillId="0" borderId="1" xfId="0" applyFont="1" applyBorder="1" applyAlignment="1">
      <alignment horizontal="right" vertical="center"/>
    </xf>
    <xf numFmtId="171" fontId="9" fillId="4" borderId="1" xfId="12" applyNumberFormat="1" applyFont="1" applyFill="1" applyBorder="1" applyAlignment="1">
      <alignment vertical="center"/>
    </xf>
    <xf numFmtId="171" fontId="9" fillId="0" borderId="1" xfId="12" applyNumberFormat="1" applyFont="1" applyBorder="1" applyAlignment="1">
      <alignment vertical="center"/>
    </xf>
    <xf numFmtId="171" fontId="9" fillId="0" borderId="1" xfId="12" applyNumberFormat="1" applyFont="1" applyFill="1" applyBorder="1" applyAlignment="1">
      <alignment vertical="center"/>
    </xf>
    <xf numFmtId="0" fontId="9" fillId="0" borderId="0" xfId="0" applyFont="1" applyAlignment="1">
      <alignment horizontal="center" vertical="center"/>
    </xf>
    <xf numFmtId="165" fontId="71" fillId="0" borderId="0" xfId="1" applyNumberFormat="1" applyFont="1" applyAlignment="1">
      <alignment horizontal="center"/>
    </xf>
    <xf numFmtId="171" fontId="22" fillId="0" borderId="1" xfId="12" applyNumberFormat="1" applyFont="1" applyFill="1" applyBorder="1" applyAlignment="1">
      <alignment vertical="center"/>
    </xf>
    <xf numFmtId="171" fontId="22" fillId="0" borderId="1" xfId="12" applyNumberFormat="1" applyFont="1" applyBorder="1" applyAlignment="1">
      <alignment vertical="center"/>
    </xf>
    <xf numFmtId="0" fontId="13" fillId="0" borderId="0" xfId="0" applyFont="1" applyAlignment="1">
      <alignment vertical="center"/>
    </xf>
    <xf numFmtId="9" fontId="20" fillId="0" borderId="0" xfId="0" applyNumberFormat="1" applyFont="1" applyAlignment="1">
      <alignment horizontal="center" vertical="center"/>
    </xf>
    <xf numFmtId="1" fontId="22" fillId="0" borderId="0" xfId="0" applyNumberFormat="1" applyFont="1" applyAlignment="1">
      <alignment horizontal="center" vertical="center"/>
    </xf>
    <xf numFmtId="0" fontId="20" fillId="0" borderId="0" xfId="0" applyFont="1" applyAlignment="1">
      <alignment horizontal="left" vertical="center"/>
    </xf>
    <xf numFmtId="0" fontId="31" fillId="0" borderId="0" xfId="0" applyFont="1" applyAlignment="1">
      <alignment vertical="center"/>
    </xf>
    <xf numFmtId="1" fontId="27" fillId="0" borderId="0" xfId="0" applyNumberFormat="1" applyFont="1" applyAlignment="1">
      <alignment horizontal="center" vertical="center"/>
    </xf>
    <xf numFmtId="1" fontId="13" fillId="0" borderId="0" xfId="5" applyNumberFormat="1" applyFont="1" applyAlignment="1">
      <alignment horizontal="center" vertical="center"/>
    </xf>
    <xf numFmtId="1" fontId="13" fillId="0" borderId="0" xfId="10" applyNumberFormat="1" applyFont="1" applyAlignment="1">
      <alignment horizontal="center" vertical="center" wrapText="1"/>
    </xf>
    <xf numFmtId="1" fontId="13" fillId="0" borderId="0" xfId="24" applyNumberFormat="1" applyFont="1" applyAlignment="1">
      <alignment horizontal="center" vertical="center"/>
    </xf>
    <xf numFmtId="0" fontId="5" fillId="0" borderId="0" xfId="24" applyFont="1" applyAlignment="1">
      <alignment horizontal="center" vertical="center"/>
    </xf>
    <xf numFmtId="1" fontId="14" fillId="0" borderId="0" xfId="24" applyNumberFormat="1" applyFont="1" applyAlignment="1">
      <alignment horizontal="center" vertical="center"/>
    </xf>
    <xf numFmtId="0" fontId="5" fillId="0" borderId="0" xfId="24" applyFont="1" applyAlignment="1">
      <alignment horizontal="left" vertical="center"/>
    </xf>
    <xf numFmtId="1" fontId="14" fillId="0" borderId="0" xfId="5" applyNumberFormat="1" applyFont="1" applyAlignment="1">
      <alignment horizontal="center"/>
    </xf>
    <xf numFmtId="0" fontId="6" fillId="0" borderId="0" xfId="0" applyFont="1" applyAlignment="1">
      <alignment vertical="center"/>
    </xf>
    <xf numFmtId="0" fontId="14" fillId="0" borderId="0" xfId="23" applyFont="1" applyAlignment="1">
      <alignment horizontal="center" vertical="center"/>
    </xf>
    <xf numFmtId="1" fontId="6" fillId="0" borderId="0" xfId="23" applyNumberFormat="1" applyFont="1"/>
    <xf numFmtId="0" fontId="5" fillId="0" borderId="0" xfId="23" applyFont="1" applyAlignment="1">
      <alignment horizontal="left"/>
    </xf>
    <xf numFmtId="0" fontId="14" fillId="0" borderId="0" xfId="24" applyFont="1" applyAlignment="1">
      <alignment horizontal="center" vertical="center"/>
    </xf>
    <xf numFmtId="0" fontId="20" fillId="0" borderId="0" xfId="23" applyFont="1" applyAlignment="1">
      <alignment horizontal="left"/>
    </xf>
    <xf numFmtId="0" fontId="33" fillId="0" borderId="0" xfId="23" applyFont="1" applyAlignment="1">
      <alignment horizontal="left" indent="1"/>
    </xf>
    <xf numFmtId="0" fontId="20" fillId="0" borderId="0" xfId="5" applyFont="1" applyAlignment="1">
      <alignment horizontal="center" vertical="center"/>
    </xf>
    <xf numFmtId="0" fontId="14" fillId="0" borderId="0" xfId="23" quotePrefix="1" applyFont="1" applyAlignment="1">
      <alignment horizontal="center" vertical="center"/>
    </xf>
    <xf numFmtId="1" fontId="14" fillId="0" borderId="0" xfId="23" applyNumberFormat="1" applyFont="1" applyAlignment="1">
      <alignment horizontal="center"/>
    </xf>
    <xf numFmtId="1" fontId="17" fillId="0" borderId="0" xfId="5" applyNumberFormat="1" applyFont="1" applyAlignment="1">
      <alignment horizontal="center" vertical="center"/>
    </xf>
    <xf numFmtId="1" fontId="14" fillId="0" borderId="0" xfId="2242" applyNumberFormat="1" applyFont="1" applyAlignment="1">
      <alignment horizontal="center"/>
    </xf>
    <xf numFmtId="0" fontId="20" fillId="0" borderId="0" xfId="23" applyFont="1" applyAlignment="1">
      <alignment horizontal="left" wrapText="1"/>
    </xf>
    <xf numFmtId="0" fontId="5" fillId="0" borderId="0" xfId="5" applyFont="1" applyAlignment="1">
      <alignment horizontal="center" vertical="center"/>
    </xf>
    <xf numFmtId="1" fontId="73" fillId="0" borderId="0" xfId="5" applyNumberFormat="1" applyFont="1" applyAlignment="1">
      <alignment horizontal="center" vertical="center"/>
    </xf>
    <xf numFmtId="0" fontId="7" fillId="0" borderId="0" xfId="24" applyFont="1" applyAlignment="1">
      <alignment horizontal="left" vertical="center"/>
    </xf>
    <xf numFmtId="0" fontId="6" fillId="0" borderId="0" xfId="24" applyFont="1" applyAlignment="1">
      <alignment horizontal="left" vertical="center"/>
    </xf>
    <xf numFmtId="0" fontId="7" fillId="0" borderId="0" xfId="23" applyFont="1" applyAlignment="1">
      <alignment horizontal="left"/>
    </xf>
    <xf numFmtId="0" fontId="33" fillId="0" borderId="0" xfId="23" applyFont="1" applyAlignment="1">
      <alignment horizontal="left"/>
    </xf>
    <xf numFmtId="1" fontId="14" fillId="0" borderId="0" xfId="24" quotePrefix="1" applyNumberFormat="1" applyFont="1" applyAlignment="1">
      <alignment horizontal="center" vertical="center"/>
    </xf>
    <xf numFmtId="0" fontId="20" fillId="0" borderId="0" xfId="3" applyFont="1" applyAlignment="1">
      <alignment horizontal="left" vertical="center" wrapText="1"/>
    </xf>
    <xf numFmtId="171" fontId="9" fillId="0" borderId="1" xfId="29" applyNumberFormat="1" applyFont="1" applyFill="1" applyBorder="1" applyAlignment="1">
      <alignment horizontal="center" vertical="center"/>
    </xf>
    <xf numFmtId="171" fontId="9" fillId="0" borderId="1" xfId="11" applyNumberFormat="1" applyFont="1" applyBorder="1" applyAlignment="1">
      <alignment horizontal="center" vertical="center"/>
    </xf>
    <xf numFmtId="171" fontId="14" fillId="3" borderId="1" xfId="29" applyNumberFormat="1" applyFont="1" applyFill="1" applyBorder="1" applyAlignment="1">
      <alignment horizontal="center" vertical="center"/>
    </xf>
    <xf numFmtId="171" fontId="14" fillId="3" borderId="1" xfId="0" applyNumberFormat="1" applyFont="1" applyFill="1" applyBorder="1" applyAlignment="1">
      <alignment horizontal="center" vertical="center"/>
    </xf>
    <xf numFmtId="168" fontId="14" fillId="0" borderId="1" xfId="0" applyNumberFormat="1" applyFont="1" applyBorder="1" applyAlignment="1">
      <alignment horizontal="center" vertical="center"/>
    </xf>
    <xf numFmtId="43" fontId="14" fillId="0" borderId="1" xfId="12" applyFont="1" applyFill="1" applyBorder="1" applyAlignment="1">
      <alignment vertical="center"/>
    </xf>
    <xf numFmtId="1" fontId="14" fillId="0" borderId="1" xfId="12" applyNumberFormat="1" applyFont="1" applyFill="1" applyBorder="1" applyAlignment="1">
      <alignment vertical="center"/>
    </xf>
    <xf numFmtId="168" fontId="14" fillId="0" borderId="1" xfId="1" applyNumberFormat="1" applyFont="1" applyFill="1" applyBorder="1" applyAlignment="1">
      <alignment horizontal="center" vertical="center"/>
    </xf>
    <xf numFmtId="168" fontId="36" fillId="0" borderId="1" xfId="0" applyNumberFormat="1" applyFont="1" applyBorder="1" applyAlignment="1">
      <alignment vertical="center"/>
    </xf>
    <xf numFmtId="171" fontId="9" fillId="0" borderId="1" xfId="29" applyNumberFormat="1" applyFont="1" applyFill="1" applyBorder="1" applyAlignment="1">
      <alignment vertical="center"/>
    </xf>
    <xf numFmtId="168" fontId="9" fillId="4" borderId="1" xfId="0" applyNumberFormat="1" applyFont="1" applyFill="1" applyBorder="1" applyAlignment="1">
      <alignment horizontal="center" vertical="center"/>
    </xf>
    <xf numFmtId="9" fontId="9" fillId="4" borderId="1" xfId="14" applyFont="1" applyFill="1" applyBorder="1" applyAlignment="1">
      <alignment vertical="center"/>
    </xf>
    <xf numFmtId="165" fontId="9" fillId="4" borderId="1" xfId="0" applyNumberFormat="1" applyFont="1" applyFill="1" applyBorder="1" applyAlignment="1">
      <alignment horizontal="center" vertical="center"/>
    </xf>
    <xf numFmtId="1" fontId="9" fillId="4" borderId="1" xfId="11" applyNumberFormat="1" applyFont="1" applyFill="1" applyBorder="1" applyAlignment="1">
      <alignment vertical="center"/>
    </xf>
    <xf numFmtId="1" fontId="9" fillId="4" borderId="1" xfId="12" applyNumberFormat="1" applyFont="1" applyFill="1" applyBorder="1" applyAlignment="1">
      <alignment vertical="center"/>
    </xf>
    <xf numFmtId="171" fontId="9" fillId="4" borderId="1" xfId="29" applyNumberFormat="1" applyFont="1" applyFill="1" applyBorder="1" applyAlignment="1">
      <alignment vertical="center"/>
    </xf>
    <xf numFmtId="171" fontId="14" fillId="0" borderId="1" xfId="29" applyNumberFormat="1" applyFont="1" applyFill="1" applyBorder="1" applyAlignment="1">
      <alignment horizontal="center" vertical="center"/>
    </xf>
    <xf numFmtId="171" fontId="14" fillId="0" borderId="1" xfId="12" applyNumberFormat="1" applyFont="1" applyBorder="1" applyAlignment="1">
      <alignment vertical="center"/>
    </xf>
    <xf numFmtId="9" fontId="14" fillId="0" borderId="1" xfId="14" applyFont="1" applyBorder="1" applyAlignment="1">
      <alignment vertical="center"/>
    </xf>
    <xf numFmtId="165" fontId="14" fillId="0" borderId="1" xfId="0" applyNumberFormat="1" applyFont="1" applyBorder="1" applyAlignment="1">
      <alignment horizontal="center" vertical="center"/>
    </xf>
    <xf numFmtId="168" fontId="14" fillId="0" borderId="1" xfId="1" applyNumberFormat="1" applyFont="1" applyBorder="1" applyAlignment="1">
      <alignment horizontal="center" vertical="center"/>
    </xf>
    <xf numFmtId="168" fontId="14" fillId="0" borderId="1" xfId="0" applyNumberFormat="1" applyFont="1" applyBorder="1" applyAlignment="1">
      <alignment vertical="center"/>
    </xf>
    <xf numFmtId="171" fontId="14" fillId="0" borderId="1" xfId="29" applyNumberFormat="1" applyFont="1" applyFill="1" applyBorder="1" applyAlignment="1">
      <alignment vertical="center"/>
    </xf>
    <xf numFmtId="9" fontId="14" fillId="0" borderId="1" xfId="0" applyNumberFormat="1" applyFont="1" applyBorder="1" applyAlignment="1">
      <alignment horizontal="center" vertical="center"/>
    </xf>
    <xf numFmtId="0" fontId="14" fillId="0" borderId="1" xfId="11" applyFont="1" applyBorder="1" applyAlignment="1">
      <alignment vertical="center"/>
    </xf>
    <xf numFmtId="9" fontId="9" fillId="0" borderId="1" xfId="0" applyNumberFormat="1" applyFont="1" applyBorder="1" applyAlignment="1">
      <alignment horizontal="center" vertical="center"/>
    </xf>
    <xf numFmtId="171" fontId="14" fillId="0" borderId="1" xfId="12" applyNumberFormat="1" applyFont="1" applyFill="1" applyBorder="1" applyAlignment="1">
      <alignment vertical="center"/>
    </xf>
    <xf numFmtId="9" fontId="14" fillId="0" borderId="1" xfId="14" applyFont="1" applyFill="1" applyBorder="1" applyAlignment="1">
      <alignment vertical="center"/>
    </xf>
    <xf numFmtId="1" fontId="14" fillId="0" borderId="1" xfId="13" applyNumberFormat="1" applyFont="1" applyFill="1" applyBorder="1" applyAlignment="1">
      <alignment vertical="center"/>
    </xf>
    <xf numFmtId="171" fontId="14" fillId="4" borderId="1" xfId="12" applyNumberFormat="1" applyFont="1" applyFill="1" applyBorder="1" applyAlignment="1">
      <alignment vertical="center"/>
    </xf>
    <xf numFmtId="9" fontId="14" fillId="4" borderId="1" xfId="14" applyFont="1" applyFill="1" applyBorder="1" applyAlignment="1">
      <alignment vertical="center"/>
    </xf>
    <xf numFmtId="165" fontId="14" fillId="4" borderId="1" xfId="0" applyNumberFormat="1" applyFont="1" applyFill="1" applyBorder="1" applyAlignment="1">
      <alignment horizontal="center" vertical="center"/>
    </xf>
    <xf numFmtId="1" fontId="14" fillId="4" borderId="1" xfId="11" applyNumberFormat="1" applyFont="1" applyFill="1" applyBorder="1" applyAlignment="1">
      <alignment vertical="center"/>
    </xf>
    <xf numFmtId="1" fontId="14" fillId="4" borderId="1" xfId="12" applyNumberFormat="1" applyFont="1" applyFill="1" applyBorder="1" applyAlignment="1">
      <alignment vertical="center"/>
    </xf>
    <xf numFmtId="168" fontId="14" fillId="4" borderId="1" xfId="0" applyNumberFormat="1" applyFont="1" applyFill="1" applyBorder="1" applyAlignment="1">
      <alignment horizontal="center" vertical="center"/>
    </xf>
    <xf numFmtId="171" fontId="14" fillId="0" borderId="1" xfId="29" applyNumberFormat="1" applyFont="1" applyBorder="1" applyAlignment="1">
      <alignment horizontal="center" vertical="center"/>
    </xf>
    <xf numFmtId="169" fontId="14" fillId="0" borderId="1" xfId="1" applyNumberFormat="1" applyFont="1" applyBorder="1" applyAlignment="1">
      <alignment horizontal="center" vertical="center"/>
    </xf>
    <xf numFmtId="1" fontId="14" fillId="0" borderId="1" xfId="11" applyNumberFormat="1" applyFont="1" applyBorder="1" applyAlignment="1">
      <alignment vertical="center"/>
    </xf>
    <xf numFmtId="171" fontId="14" fillId="4" borderId="1" xfId="29" applyNumberFormat="1" applyFont="1" applyFill="1" applyBorder="1" applyAlignment="1">
      <alignment vertical="center"/>
    </xf>
    <xf numFmtId="171" fontId="9" fillId="4" borderId="1" xfId="29" applyNumberFormat="1" applyFont="1" applyFill="1" applyBorder="1" applyAlignment="1">
      <alignment horizontal="center" vertical="center"/>
    </xf>
    <xf numFmtId="171" fontId="22" fillId="0" borderId="1" xfId="29" applyNumberFormat="1" applyFont="1" applyFill="1" applyBorder="1" applyAlignment="1">
      <alignment horizontal="center" vertical="center"/>
    </xf>
    <xf numFmtId="9" fontId="22" fillId="0" borderId="1" xfId="14" applyFont="1" applyBorder="1" applyAlignment="1">
      <alignment vertical="center"/>
    </xf>
    <xf numFmtId="165" fontId="22" fillId="0" borderId="1" xfId="0" applyNumberFormat="1" applyFont="1" applyBorder="1" applyAlignment="1">
      <alignment horizontal="center" vertical="center"/>
    </xf>
    <xf numFmtId="1" fontId="22" fillId="0" borderId="1" xfId="11" applyNumberFormat="1" applyFont="1" applyBorder="1" applyAlignment="1">
      <alignment vertical="center"/>
    </xf>
    <xf numFmtId="1" fontId="22" fillId="0" borderId="1" xfId="12" applyNumberFormat="1" applyFont="1" applyFill="1" applyBorder="1" applyAlignment="1">
      <alignment vertical="center"/>
    </xf>
    <xf numFmtId="168" fontId="22" fillId="0" borderId="1" xfId="1" applyNumberFormat="1" applyFont="1" applyBorder="1" applyAlignment="1">
      <alignment horizontal="center" vertical="center"/>
    </xf>
    <xf numFmtId="168" fontId="22" fillId="0" borderId="1" xfId="0" applyNumberFormat="1" applyFont="1" applyBorder="1" applyAlignment="1">
      <alignment vertical="center"/>
    </xf>
    <xf numFmtId="171" fontId="22" fillId="0" borderId="1" xfId="29" applyNumberFormat="1" applyFont="1" applyFill="1" applyBorder="1" applyAlignment="1">
      <alignment vertical="center"/>
    </xf>
    <xf numFmtId="168" fontId="22" fillId="0" borderId="1" xfId="1" applyNumberFormat="1" applyFont="1" applyFill="1" applyBorder="1" applyAlignment="1">
      <alignment horizontal="center" vertical="center"/>
    </xf>
    <xf numFmtId="168" fontId="9" fillId="0" borderId="1" xfId="0" applyNumberFormat="1" applyFont="1" applyBorder="1" applyAlignment="1">
      <alignment horizontal="center" vertical="center"/>
    </xf>
    <xf numFmtId="9" fontId="26" fillId="0" borderId="1" xfId="0" applyNumberFormat="1" applyFont="1" applyBorder="1" applyAlignment="1">
      <alignment horizontal="center" vertical="center"/>
    </xf>
    <xf numFmtId="9" fontId="22" fillId="0" borderId="1" xfId="0" applyNumberFormat="1" applyFont="1" applyBorder="1" applyAlignment="1">
      <alignment horizontal="center" vertical="center"/>
    </xf>
    <xf numFmtId="171" fontId="14" fillId="0" borderId="1" xfId="11" applyNumberFormat="1" applyFont="1" applyBorder="1" applyAlignment="1">
      <alignment vertical="center"/>
    </xf>
    <xf numFmtId="171" fontId="14" fillId="0" borderId="1" xfId="16" applyNumberFormat="1" applyFont="1" applyFill="1" applyBorder="1" applyAlignment="1">
      <alignment vertical="center"/>
    </xf>
    <xf numFmtId="1" fontId="14" fillId="0" borderId="1" xfId="16" applyNumberFormat="1" applyFont="1" applyFill="1" applyBorder="1" applyAlignment="1">
      <alignment vertical="center"/>
    </xf>
    <xf numFmtId="171" fontId="22" fillId="0" borderId="1" xfId="11" applyNumberFormat="1" applyFont="1" applyBorder="1" applyAlignment="1">
      <alignment vertical="center"/>
    </xf>
    <xf numFmtId="2" fontId="79" fillId="0" borderId="15" xfId="19" applyNumberFormat="1" applyFont="1" applyBorder="1" applyAlignment="1">
      <alignment horizontal="center"/>
    </xf>
    <xf numFmtId="2" fontId="79" fillId="0" borderId="15" xfId="19" applyNumberFormat="1" applyFont="1" applyBorder="1" applyAlignment="1">
      <alignment horizontal="center" vertical="center"/>
    </xf>
    <xf numFmtId="2" fontId="79" fillId="0" borderId="15" xfId="5" applyNumberFormat="1" applyFont="1" applyBorder="1" applyAlignment="1">
      <alignment horizontal="center"/>
    </xf>
    <xf numFmtId="0" fontId="79" fillId="0" borderId="15" xfId="21" applyFont="1" applyBorder="1" applyAlignment="1">
      <alignment horizontal="center" vertical="center"/>
    </xf>
    <xf numFmtId="0" fontId="103" fillId="19" borderId="15" xfId="0" applyFont="1" applyFill="1" applyBorder="1" applyAlignment="1">
      <alignment horizontal="left" vertical="center"/>
    </xf>
    <xf numFmtId="0" fontId="7" fillId="0" borderId="19" xfId="0" applyFont="1" applyBorder="1" applyAlignment="1">
      <alignment vertical="center"/>
    </xf>
    <xf numFmtId="0" fontId="74" fillId="0" borderId="19" xfId="0" applyFont="1" applyBorder="1" applyAlignment="1">
      <alignment horizontal="right" vertical="center"/>
    </xf>
    <xf numFmtId="0" fontId="7" fillId="0" borderId="19" xfId="0" applyFont="1" applyBorder="1" applyAlignment="1">
      <alignment vertical="center" wrapText="1"/>
    </xf>
    <xf numFmtId="168" fontId="7" fillId="0" borderId="19" xfId="0" applyNumberFormat="1" applyFont="1" applyBorder="1" applyAlignment="1">
      <alignment horizontal="center" vertical="center"/>
    </xf>
    <xf numFmtId="168" fontId="7" fillId="0" borderId="19" xfId="0" applyNumberFormat="1" applyFont="1" applyBorder="1" applyAlignment="1">
      <alignment vertical="center"/>
    </xf>
    <xf numFmtId="171" fontId="7" fillId="0" borderId="19" xfId="29" applyNumberFormat="1" applyFont="1" applyFill="1" applyBorder="1" applyAlignment="1">
      <alignment horizontal="center" vertical="center"/>
    </xf>
    <xf numFmtId="0" fontId="7" fillId="0" borderId="19" xfId="11" applyFont="1" applyBorder="1" applyAlignment="1">
      <alignment vertical="center"/>
    </xf>
    <xf numFmtId="1" fontId="7" fillId="0" borderId="19" xfId="11" applyNumberFormat="1" applyFont="1" applyBorder="1" applyAlignment="1">
      <alignment vertical="center"/>
    </xf>
    <xf numFmtId="168" fontId="7" fillId="0" borderId="19" xfId="1" applyNumberFormat="1" applyFont="1" applyBorder="1" applyAlignment="1">
      <alignment horizontal="center" vertical="center"/>
    </xf>
    <xf numFmtId="0" fontId="9" fillId="0" borderId="19" xfId="0" applyFont="1" applyBorder="1" applyAlignment="1">
      <alignment horizontal="center" vertical="center"/>
    </xf>
    <xf numFmtId="0" fontId="80" fillId="0" borderId="19" xfId="0" applyFont="1" applyBorder="1" applyAlignment="1">
      <alignment horizontal="center" vertical="center"/>
    </xf>
    <xf numFmtId="0" fontId="9" fillId="0" borderId="19" xfId="0" applyFont="1" applyBorder="1" applyAlignment="1">
      <alignment horizontal="center" vertical="center" wrapText="1"/>
    </xf>
    <xf numFmtId="171" fontId="87" fillId="0" borderId="19" xfId="11" applyNumberFormat="1" applyFont="1" applyBorder="1" applyAlignment="1">
      <alignment horizontal="center" vertical="center" wrapText="1"/>
    </xf>
    <xf numFmtId="0" fontId="87" fillId="0" borderId="19" xfId="11" applyFont="1" applyBorder="1" applyAlignment="1">
      <alignment horizontal="center" vertical="center" wrapText="1"/>
    </xf>
    <xf numFmtId="0" fontId="87" fillId="0" borderId="19" xfId="0" applyFont="1" applyBorder="1" applyAlignment="1">
      <alignment horizontal="center" vertical="center"/>
    </xf>
    <xf numFmtId="0" fontId="7" fillId="0" borderId="19" xfId="0" applyFont="1" applyBorder="1" applyAlignment="1">
      <alignment horizontal="center" vertical="center"/>
    </xf>
    <xf numFmtId="0" fontId="76" fillId="0" borderId="19" xfId="0" applyFont="1" applyBorder="1" applyAlignment="1">
      <alignment horizontal="center" vertical="center"/>
    </xf>
    <xf numFmtId="168" fontId="15" fillId="3" borderId="19" xfId="0" applyNumberFormat="1" applyFont="1" applyFill="1" applyBorder="1" applyAlignment="1">
      <alignment horizontal="center" vertical="center"/>
    </xf>
    <xf numFmtId="168" fontId="76" fillId="0" borderId="19" xfId="0" applyNumberFormat="1" applyFont="1" applyBorder="1" applyAlignment="1">
      <alignment horizontal="center" vertical="center"/>
    </xf>
    <xf numFmtId="171" fontId="90" fillId="0" borderId="19" xfId="29" applyNumberFormat="1" applyFont="1" applyBorder="1" applyAlignment="1">
      <alignment horizontal="center" vertical="center" wrapText="1"/>
    </xf>
    <xf numFmtId="1" fontId="81" fillId="0" borderId="19" xfId="11" applyNumberFormat="1" applyFont="1" applyBorder="1" applyAlignment="1">
      <alignment horizontal="center" vertical="center" wrapText="1"/>
    </xf>
    <xf numFmtId="168" fontId="82" fillId="0" borderId="19" xfId="0" applyNumberFormat="1" applyFont="1" applyBorder="1" applyAlignment="1">
      <alignment horizontal="center" vertical="center"/>
    </xf>
    <xf numFmtId="0" fontId="76" fillId="0" borderId="19" xfId="0" applyFont="1" applyBorder="1" applyAlignment="1">
      <alignment vertical="center" wrapText="1"/>
    </xf>
    <xf numFmtId="0" fontId="76" fillId="0" borderId="19" xfId="0" applyFont="1" applyBorder="1" applyAlignment="1">
      <alignment vertical="center"/>
    </xf>
    <xf numFmtId="168" fontId="76" fillId="0" borderId="19" xfId="0" applyNumberFormat="1" applyFont="1" applyBorder="1" applyAlignment="1">
      <alignment vertical="center"/>
    </xf>
    <xf numFmtId="171" fontId="9" fillId="0" borderId="19" xfId="29" applyNumberFormat="1" applyFont="1" applyFill="1" applyBorder="1" applyAlignment="1">
      <alignment horizontal="center" vertical="center"/>
    </xf>
    <xf numFmtId="171" fontId="9" fillId="0" borderId="19" xfId="11" applyNumberFormat="1" applyFont="1" applyBorder="1" applyAlignment="1">
      <alignment horizontal="center" vertical="center"/>
    </xf>
    <xf numFmtId="171" fontId="74" fillId="0" borderId="19" xfId="11" applyNumberFormat="1" applyFont="1" applyBorder="1" applyAlignment="1">
      <alignment horizontal="center" vertical="center"/>
    </xf>
    <xf numFmtId="1" fontId="7" fillId="0" borderId="19" xfId="11" applyNumberFormat="1" applyFont="1" applyBorder="1" applyAlignment="1">
      <alignment vertical="center" wrapText="1"/>
    </xf>
    <xf numFmtId="0" fontId="74" fillId="3" borderId="19" xfId="0" applyFont="1" applyFill="1" applyBorder="1" applyAlignment="1">
      <alignment horizontal="right" vertical="center"/>
    </xf>
    <xf numFmtId="0" fontId="76" fillId="3" borderId="19" xfId="0" applyFont="1" applyFill="1" applyBorder="1" applyAlignment="1">
      <alignment vertical="center" wrapText="1"/>
    </xf>
    <xf numFmtId="0" fontId="76" fillId="3" borderId="19" xfId="0" applyFont="1" applyFill="1" applyBorder="1" applyAlignment="1">
      <alignment vertical="center"/>
    </xf>
    <xf numFmtId="168" fontId="7" fillId="3" borderId="19" xfId="0" applyNumberFormat="1" applyFont="1" applyFill="1" applyBorder="1" applyAlignment="1">
      <alignment horizontal="center" vertical="center"/>
    </xf>
    <xf numFmtId="171" fontId="14" fillId="3" borderId="19" xfId="29" applyNumberFormat="1" applyFont="1" applyFill="1" applyBorder="1" applyAlignment="1">
      <alignment horizontal="center" vertical="center"/>
    </xf>
    <xf numFmtId="171" fontId="14" fillId="3" borderId="19" xfId="0" applyNumberFormat="1" applyFont="1" applyFill="1" applyBorder="1" applyAlignment="1">
      <alignment horizontal="center" vertical="center"/>
    </xf>
    <xf numFmtId="171" fontId="7" fillId="3" borderId="19" xfId="0" applyNumberFormat="1" applyFont="1" applyFill="1" applyBorder="1" applyAlignment="1">
      <alignment horizontal="center" vertical="center"/>
    </xf>
    <xf numFmtId="168" fontId="76" fillId="3" borderId="19" xfId="0" applyNumberFormat="1" applyFont="1" applyFill="1" applyBorder="1" applyAlignment="1">
      <alignment vertical="center"/>
    </xf>
    <xf numFmtId="168" fontId="14" fillId="0" borderId="19" xfId="0" applyNumberFormat="1" applyFont="1" applyBorder="1" applyAlignment="1">
      <alignment horizontal="center" vertical="center"/>
    </xf>
    <xf numFmtId="171" fontId="9" fillId="0" borderId="19" xfId="12" applyNumberFormat="1" applyFont="1" applyFill="1" applyBorder="1" applyAlignment="1">
      <alignment horizontal="center" vertical="center"/>
    </xf>
    <xf numFmtId="171" fontId="74" fillId="0" borderId="19" xfId="12" applyNumberFormat="1" applyFont="1" applyFill="1" applyBorder="1" applyAlignment="1">
      <alignment horizontal="center" vertical="center"/>
    </xf>
    <xf numFmtId="1" fontId="7" fillId="0" borderId="19" xfId="12" applyNumberFormat="1" applyFont="1" applyFill="1" applyBorder="1" applyAlignment="1">
      <alignment vertical="center"/>
    </xf>
    <xf numFmtId="168" fontId="87" fillId="0" borderId="19" xfId="0" applyNumberFormat="1" applyFont="1" applyBorder="1" applyAlignment="1">
      <alignment horizontal="center" vertical="center"/>
    </xf>
    <xf numFmtId="168" fontId="88" fillId="0" borderId="19" xfId="0" applyNumberFormat="1" applyFont="1" applyBorder="1" applyAlignment="1">
      <alignment vertical="center"/>
    </xf>
    <xf numFmtId="171" fontId="87" fillId="0" borderId="19" xfId="29" applyNumberFormat="1" applyFont="1" applyBorder="1" applyAlignment="1">
      <alignment horizontal="center" vertical="center"/>
    </xf>
    <xf numFmtId="1" fontId="87" fillId="0" borderId="19" xfId="12" applyNumberFormat="1" applyFont="1" applyFill="1" applyBorder="1" applyAlignment="1">
      <alignment vertical="center"/>
    </xf>
    <xf numFmtId="171" fontId="80" fillId="0" borderId="19" xfId="29" applyNumberFormat="1" applyFont="1" applyBorder="1" applyAlignment="1">
      <alignment horizontal="center" vertical="center"/>
    </xf>
    <xf numFmtId="168" fontId="84" fillId="0" borderId="19" xfId="0" applyNumberFormat="1" applyFont="1" applyBorder="1" applyAlignment="1">
      <alignment vertical="center"/>
    </xf>
    <xf numFmtId="1" fontId="14" fillId="0" borderId="19" xfId="12" applyNumberFormat="1" applyFont="1" applyFill="1" applyBorder="1" applyAlignment="1">
      <alignment vertical="center"/>
    </xf>
    <xf numFmtId="0" fontId="74" fillId="0" borderId="19" xfId="0" applyFont="1" applyBorder="1" applyAlignment="1">
      <alignment horizontal="center" vertical="center"/>
    </xf>
    <xf numFmtId="0" fontId="74" fillId="4" borderId="19" xfId="0" applyFont="1" applyFill="1" applyBorder="1" applyAlignment="1">
      <alignment horizontal="center" vertical="center"/>
    </xf>
    <xf numFmtId="0" fontId="6" fillId="4" borderId="19" xfId="0" applyFont="1" applyFill="1" applyBorder="1" applyAlignment="1">
      <alignment vertical="center"/>
    </xf>
    <xf numFmtId="0" fontId="7" fillId="4" borderId="19" xfId="0" applyFont="1" applyFill="1" applyBorder="1" applyAlignment="1">
      <alignment vertical="center"/>
    </xf>
    <xf numFmtId="168" fontId="9" fillId="4" borderId="19" xfId="0" applyNumberFormat="1" applyFont="1" applyFill="1" applyBorder="1" applyAlignment="1">
      <alignment horizontal="center" vertical="center"/>
    </xf>
    <xf numFmtId="171" fontId="9" fillId="4" borderId="19" xfId="2245" applyNumberFormat="1" applyFont="1" applyFill="1" applyBorder="1" applyAlignment="1">
      <alignment horizontal="center" vertical="center"/>
    </xf>
    <xf numFmtId="171" fontId="9" fillId="4" borderId="19" xfId="12" applyNumberFormat="1" applyFont="1" applyFill="1" applyBorder="1" applyAlignment="1">
      <alignment horizontal="center" vertical="center"/>
    </xf>
    <xf numFmtId="1" fontId="9" fillId="4" borderId="19" xfId="12" applyNumberFormat="1" applyFont="1" applyFill="1" applyBorder="1" applyAlignment="1">
      <alignment vertical="center"/>
    </xf>
    <xf numFmtId="0" fontId="7" fillId="0" borderId="19" xfId="0" applyFont="1" applyBorder="1" applyAlignment="1">
      <alignment horizontal="right" vertical="center"/>
    </xf>
    <xf numFmtId="0" fontId="5" fillId="0" borderId="19" xfId="0" applyFont="1" applyBorder="1" applyAlignment="1">
      <alignment vertical="center"/>
    </xf>
    <xf numFmtId="168" fontId="85" fillId="0" borderId="19" xfId="0" applyNumberFormat="1" applyFont="1" applyBorder="1" applyAlignment="1">
      <alignment horizontal="center" vertical="center"/>
    </xf>
    <xf numFmtId="168" fontId="85" fillId="0" borderId="19" xfId="0" applyNumberFormat="1" applyFont="1" applyBorder="1" applyAlignment="1">
      <alignment vertical="center"/>
    </xf>
    <xf numFmtId="171" fontId="14" fillId="0" borderId="19" xfId="29" applyNumberFormat="1" applyFont="1" applyFill="1" applyBorder="1" applyAlignment="1">
      <alignment horizontal="center" vertical="center"/>
    </xf>
    <xf numFmtId="171" fontId="14" fillId="0" borderId="19" xfId="12" applyNumberFormat="1" applyFont="1" applyBorder="1" applyAlignment="1">
      <alignment horizontal="center" vertical="center"/>
    </xf>
    <xf numFmtId="168" fontId="14" fillId="0" borderId="19" xfId="0" applyNumberFormat="1" applyFont="1" applyBorder="1" applyAlignment="1">
      <alignment vertical="center"/>
    </xf>
    <xf numFmtId="0" fontId="5" fillId="0" borderId="19" xfId="0" applyFont="1" applyBorder="1" applyAlignment="1">
      <alignment vertical="center" wrapText="1"/>
    </xf>
    <xf numFmtId="0" fontId="93" fillId="0" borderId="19" xfId="0" applyFont="1" applyBorder="1" applyAlignment="1">
      <alignment vertical="center"/>
    </xf>
    <xf numFmtId="0" fontId="77" fillId="0" borderId="19" xfId="0" applyFont="1" applyBorder="1" applyAlignment="1">
      <alignment vertical="center"/>
    </xf>
    <xf numFmtId="168" fontId="85" fillId="0" borderId="19" xfId="1" applyNumberFormat="1" applyFont="1" applyBorder="1" applyAlignment="1">
      <alignment horizontal="center" vertical="center"/>
    </xf>
    <xf numFmtId="168" fontId="89" fillId="0" borderId="19" xfId="0" applyNumberFormat="1" applyFont="1" applyBorder="1" applyAlignment="1">
      <alignment vertical="center"/>
    </xf>
    <xf numFmtId="168" fontId="92" fillId="0" borderId="19" xfId="0" applyNumberFormat="1" applyFont="1" applyBorder="1" applyAlignment="1">
      <alignment vertical="center"/>
    </xf>
    <xf numFmtId="171" fontId="14" fillId="0" borderId="19" xfId="12" applyNumberFormat="1" applyFont="1" applyFill="1" applyBorder="1" applyAlignment="1">
      <alignment horizontal="center" vertical="center"/>
    </xf>
    <xf numFmtId="1" fontId="14" fillId="0" borderId="19" xfId="13" applyNumberFormat="1" applyFont="1" applyFill="1" applyBorder="1" applyAlignment="1">
      <alignment vertical="center"/>
    </xf>
    <xf numFmtId="168" fontId="83" fillId="4" borderId="19" xfId="0" applyNumberFormat="1" applyFont="1" applyFill="1" applyBorder="1" applyAlignment="1">
      <alignment horizontal="center" vertical="center"/>
    </xf>
    <xf numFmtId="171" fontId="14" fillId="4" borderId="19" xfId="12" applyNumberFormat="1" applyFont="1" applyFill="1" applyBorder="1" applyAlignment="1">
      <alignment horizontal="center" vertical="center"/>
    </xf>
    <xf numFmtId="1" fontId="14" fillId="4" borderId="19" xfId="12" applyNumberFormat="1" applyFont="1" applyFill="1" applyBorder="1" applyAlignment="1">
      <alignment vertical="center"/>
    </xf>
    <xf numFmtId="168" fontId="14" fillId="4" borderId="19" xfId="0" applyNumberFormat="1" applyFont="1" applyFill="1" applyBorder="1" applyAlignment="1">
      <alignment horizontal="center" vertical="center"/>
    </xf>
    <xf numFmtId="171" fontId="9" fillId="0" borderId="19" xfId="12" applyNumberFormat="1" applyFont="1" applyBorder="1" applyAlignment="1">
      <alignment horizontal="center" vertical="center"/>
    </xf>
    <xf numFmtId="0" fontId="9" fillId="4" borderId="19" xfId="0" applyFont="1" applyFill="1" applyBorder="1" applyAlignment="1">
      <alignment horizontal="center" vertical="center"/>
    </xf>
    <xf numFmtId="0" fontId="100" fillId="4" borderId="19" xfId="0" applyFont="1" applyFill="1" applyBorder="1" applyAlignment="1">
      <alignment vertical="center"/>
    </xf>
    <xf numFmtId="171" fontId="9" fillId="4" borderId="19" xfId="29" applyNumberFormat="1" applyFont="1" applyFill="1" applyBorder="1" applyAlignment="1">
      <alignment horizontal="center" vertical="center"/>
    </xf>
    <xf numFmtId="171" fontId="9" fillId="4" borderId="19" xfId="12" applyNumberFormat="1" applyFont="1" applyFill="1" applyBorder="1" applyAlignment="1">
      <alignment vertical="center"/>
    </xf>
    <xf numFmtId="1" fontId="7" fillId="0" borderId="19" xfId="0" applyNumberFormat="1" applyFont="1" applyBorder="1" applyAlignment="1">
      <alignment horizontal="right" vertical="center"/>
    </xf>
    <xf numFmtId="1" fontId="14" fillId="0" borderId="19" xfId="0" applyNumberFormat="1" applyFont="1" applyBorder="1" applyAlignment="1">
      <alignment horizontal="right" vertical="center"/>
    </xf>
    <xf numFmtId="0" fontId="100" fillId="0" borderId="19" xfId="0" applyFont="1" applyBorder="1" applyAlignment="1">
      <alignment vertical="center"/>
    </xf>
    <xf numFmtId="171" fontId="22" fillId="0" borderId="19" xfId="12" applyNumberFormat="1" applyFont="1" applyBorder="1" applyAlignment="1">
      <alignment horizontal="center" vertical="center"/>
    </xf>
    <xf numFmtId="1" fontId="14" fillId="0" borderId="19" xfId="11" applyNumberFormat="1" applyFont="1" applyBorder="1" applyAlignment="1">
      <alignment vertical="center"/>
    </xf>
    <xf numFmtId="0" fontId="33" fillId="0" borderId="19" xfId="0" applyFont="1" applyBorder="1" applyAlignment="1">
      <alignment vertical="center"/>
    </xf>
    <xf numFmtId="1" fontId="22" fillId="0" borderId="19" xfId="0" applyNumberFormat="1" applyFont="1" applyBorder="1" applyAlignment="1">
      <alignment horizontal="right" vertical="center"/>
    </xf>
    <xf numFmtId="0" fontId="102" fillId="0" borderId="19" xfId="0" applyFont="1" applyBorder="1" applyAlignment="1">
      <alignment vertical="center"/>
    </xf>
    <xf numFmtId="168" fontId="86" fillId="0" borderId="19" xfId="0" applyNumberFormat="1" applyFont="1" applyBorder="1" applyAlignment="1">
      <alignment horizontal="center" vertical="center"/>
    </xf>
    <xf numFmtId="168" fontId="86" fillId="0" borderId="19" xfId="0" applyNumberFormat="1" applyFont="1" applyBorder="1" applyAlignment="1">
      <alignment vertical="center"/>
    </xf>
    <xf numFmtId="171" fontId="22" fillId="0" borderId="19" xfId="29" applyNumberFormat="1" applyFont="1" applyFill="1" applyBorder="1" applyAlignment="1">
      <alignment horizontal="center" vertical="center"/>
    </xf>
    <xf numFmtId="171" fontId="22" fillId="0" borderId="19" xfId="12" applyNumberFormat="1" applyFont="1" applyFill="1" applyBorder="1" applyAlignment="1">
      <alignment horizontal="center" vertical="center"/>
    </xf>
    <xf numFmtId="1" fontId="22" fillId="0" borderId="19" xfId="12" applyNumberFormat="1" applyFont="1" applyFill="1" applyBorder="1" applyAlignment="1">
      <alignment vertical="center"/>
    </xf>
    <xf numFmtId="168" fontId="22" fillId="0" borderId="19" xfId="0" applyNumberFormat="1" applyFont="1" applyBorder="1" applyAlignment="1">
      <alignment vertical="center"/>
    </xf>
    <xf numFmtId="2" fontId="74" fillId="0" borderId="19" xfId="0" applyNumberFormat="1" applyFont="1" applyBorder="1" applyAlignment="1">
      <alignment horizontal="right" vertical="center"/>
    </xf>
    <xf numFmtId="2" fontId="9" fillId="0" borderId="19" xfId="0" applyNumberFormat="1" applyFont="1" applyBorder="1" applyAlignment="1">
      <alignment horizontal="right" vertical="center"/>
    </xf>
    <xf numFmtId="168" fontId="9" fillId="0" borderId="19" xfId="0" applyNumberFormat="1" applyFont="1" applyBorder="1" applyAlignment="1">
      <alignment horizontal="center" vertical="center"/>
    </xf>
    <xf numFmtId="1" fontId="22" fillId="0" borderId="19" xfId="11" applyNumberFormat="1" applyFont="1" applyBorder="1" applyAlignment="1">
      <alignment vertical="center"/>
    </xf>
    <xf numFmtId="1" fontId="33" fillId="0" borderId="19" xfId="0" applyNumberFormat="1" applyFont="1" applyBorder="1" applyAlignment="1">
      <alignment horizontal="right" vertical="center"/>
    </xf>
    <xf numFmtId="171" fontId="14" fillId="0" borderId="19" xfId="11" applyNumberFormat="1" applyFont="1" applyBorder="1" applyAlignment="1">
      <alignment horizontal="center" vertical="center"/>
    </xf>
    <xf numFmtId="166" fontId="74" fillId="0" borderId="19" xfId="0" applyNumberFormat="1" applyFont="1" applyBorder="1" applyAlignment="1">
      <alignment horizontal="right" vertical="center"/>
    </xf>
    <xf numFmtId="166" fontId="9" fillId="0" borderId="19" xfId="0" applyNumberFormat="1" applyFont="1" applyBorder="1" applyAlignment="1">
      <alignment horizontal="right" vertical="center"/>
    </xf>
    <xf numFmtId="0" fontId="100" fillId="0" borderId="19" xfId="0" applyFont="1" applyBorder="1" applyAlignment="1">
      <alignment horizontal="left" vertical="center"/>
    </xf>
    <xf numFmtId="171" fontId="14" fillId="0" borderId="19" xfId="16" applyNumberFormat="1" applyFont="1" applyFill="1" applyBorder="1" applyAlignment="1">
      <alignment horizontal="center" vertical="center"/>
    </xf>
    <xf numFmtId="1" fontId="14" fillId="0" borderId="19" xfId="16" applyNumberFormat="1" applyFont="1" applyFill="1" applyBorder="1" applyAlignment="1">
      <alignment vertical="center"/>
    </xf>
    <xf numFmtId="0" fontId="9" fillId="0" borderId="19" xfId="0" applyFont="1" applyBorder="1" applyAlignment="1">
      <alignment horizontal="right" vertical="center"/>
    </xf>
    <xf numFmtId="171" fontId="87" fillId="0" borderId="19" xfId="12" applyNumberFormat="1" applyFont="1" applyBorder="1" applyAlignment="1">
      <alignment horizontal="center" vertical="center"/>
    </xf>
    <xf numFmtId="168" fontId="85" fillId="0" borderId="19" xfId="0" applyNumberFormat="1" applyFont="1" applyBorder="1" applyAlignment="1">
      <alignment vertical="center" wrapText="1"/>
    </xf>
    <xf numFmtId="171" fontId="79" fillId="0" borderId="19" xfId="12" applyNumberFormat="1" applyFont="1" applyFill="1" applyBorder="1" applyAlignment="1">
      <alignment horizontal="center" vertical="center"/>
    </xf>
    <xf numFmtId="0" fontId="76" fillId="0" borderId="26" xfId="0" applyFont="1" applyBorder="1" applyAlignment="1">
      <alignment horizontal="center" vertical="center"/>
    </xf>
    <xf numFmtId="168" fontId="76" fillId="0" borderId="26" xfId="0" applyNumberFormat="1" applyFont="1" applyBorder="1" applyAlignment="1">
      <alignment horizontal="center" vertical="center"/>
    </xf>
    <xf numFmtId="164" fontId="105" fillId="24" borderId="26" xfId="2255" applyFont="1" applyFill="1" applyBorder="1" applyAlignment="1">
      <alignment horizontal="center" vertical="center" wrapText="1"/>
    </xf>
    <xf numFmtId="164" fontId="105" fillId="22" borderId="26" xfId="11" applyNumberFormat="1" applyFont="1" applyFill="1" applyBorder="1" applyAlignment="1">
      <alignment horizontal="center" vertical="center" wrapText="1"/>
    </xf>
    <xf numFmtId="43" fontId="105" fillId="24" borderId="26" xfId="29" applyFont="1" applyFill="1" applyBorder="1" applyAlignment="1">
      <alignment horizontal="center" vertical="center" wrapText="1"/>
    </xf>
    <xf numFmtId="9" fontId="6" fillId="0" borderId="26" xfId="11" applyNumberFormat="1" applyFont="1" applyBorder="1" applyAlignment="1">
      <alignment horizontal="center" vertical="center" wrapText="1"/>
    </xf>
    <xf numFmtId="9" fontId="8" fillId="0" borderId="26" xfId="11" applyNumberFormat="1" applyBorder="1" applyAlignment="1">
      <alignment horizontal="center" vertical="center"/>
    </xf>
    <xf numFmtId="9" fontId="105" fillId="25" borderId="26" xfId="11" applyNumberFormat="1" applyFont="1" applyFill="1" applyBorder="1" applyAlignment="1">
      <alignment horizontal="center" vertical="center" wrapText="1"/>
    </xf>
    <xf numFmtId="171" fontId="101" fillId="26" borderId="26" xfId="29" applyNumberFormat="1" applyFont="1" applyFill="1" applyBorder="1" applyAlignment="1">
      <alignment horizontal="center" textRotation="90" wrapText="1"/>
    </xf>
    <xf numFmtId="9" fontId="90" fillId="0" borderId="26" xfId="11" applyNumberFormat="1" applyFont="1" applyBorder="1" applyAlignment="1">
      <alignment horizontal="center" vertical="center"/>
    </xf>
    <xf numFmtId="0" fontId="76" fillId="0" borderId="23" xfId="0" applyFont="1" applyBorder="1" applyAlignment="1">
      <alignment horizontal="center" vertical="center"/>
    </xf>
    <xf numFmtId="168" fontId="76" fillId="0" borderId="23" xfId="0" applyNumberFormat="1" applyFont="1" applyBorder="1" applyAlignment="1">
      <alignment horizontal="center" vertical="center"/>
    </xf>
    <xf numFmtId="164" fontId="105" fillId="0" borderId="23" xfId="2255" applyFont="1" applyFill="1" applyBorder="1" applyAlignment="1">
      <alignment horizontal="center" vertical="center" wrapText="1"/>
    </xf>
    <xf numFmtId="164" fontId="105" fillId="0" borderId="23" xfId="11" applyNumberFormat="1" applyFont="1" applyBorder="1" applyAlignment="1">
      <alignment horizontal="center" vertical="center" wrapText="1"/>
    </xf>
    <xf numFmtId="43" fontId="105" fillId="0" borderId="23" xfId="29" applyFont="1" applyFill="1" applyBorder="1" applyAlignment="1">
      <alignment horizontal="left" vertical="center" wrapText="1"/>
    </xf>
    <xf numFmtId="43" fontId="105" fillId="0" borderId="23" xfId="29" applyFont="1" applyFill="1" applyBorder="1" applyAlignment="1">
      <alignment horizontal="center" vertical="center" wrapText="1"/>
    </xf>
    <xf numFmtId="9" fontId="6" fillId="0" borderId="23" xfId="11" applyNumberFormat="1" applyFont="1" applyBorder="1" applyAlignment="1">
      <alignment horizontal="center" vertical="center" wrapText="1"/>
    </xf>
    <xf numFmtId="9" fontId="8" fillId="0" borderId="23" xfId="11" applyNumberFormat="1" applyBorder="1" applyAlignment="1">
      <alignment horizontal="center" vertical="center"/>
    </xf>
    <xf numFmtId="9" fontId="105" fillId="0" borderId="23" xfId="11" applyNumberFormat="1" applyFont="1" applyBorder="1" applyAlignment="1">
      <alignment horizontal="left" vertical="center" wrapText="1"/>
    </xf>
    <xf numFmtId="9" fontId="105" fillId="0" borderId="23" xfId="11" applyNumberFormat="1" applyFont="1" applyBorder="1" applyAlignment="1">
      <alignment horizontal="center" vertical="center" wrapText="1"/>
    </xf>
    <xf numFmtId="171" fontId="101" fillId="0" borderId="23" xfId="29" applyNumberFormat="1" applyFont="1" applyFill="1" applyBorder="1" applyAlignment="1">
      <alignment horizontal="center" textRotation="90" wrapText="1"/>
    </xf>
    <xf numFmtId="43" fontId="14" fillId="0" borderId="1" xfId="29" applyFont="1" applyFill="1" applyBorder="1" applyAlignment="1">
      <alignment vertical="center"/>
    </xf>
    <xf numFmtId="43" fontId="7" fillId="0" borderId="0" xfId="29" applyFont="1" applyAlignment="1">
      <alignment vertical="center"/>
    </xf>
    <xf numFmtId="171" fontId="9" fillId="0" borderId="1" xfId="29" applyNumberFormat="1" applyFont="1" applyBorder="1" applyAlignment="1">
      <alignment horizontal="center" vertical="center"/>
    </xf>
    <xf numFmtId="171" fontId="0" fillId="0" borderId="1" xfId="29" applyNumberFormat="1" applyFont="1" applyBorder="1" applyAlignment="1">
      <alignment horizontal="center" vertical="center"/>
    </xf>
    <xf numFmtId="49" fontId="109" fillId="0" borderId="15" xfId="6" applyFont="1" applyBorder="1">
      <alignment horizontal="left" vertical="center"/>
    </xf>
    <xf numFmtId="1" fontId="109" fillId="0" borderId="15" xfId="6" applyNumberFormat="1" applyFont="1" applyBorder="1" applyAlignment="1">
      <alignment horizontal="center" vertical="center"/>
    </xf>
    <xf numFmtId="9" fontId="85" fillId="0" borderId="1" xfId="1" applyFont="1" applyBorder="1" applyAlignment="1">
      <alignment horizontal="center" vertical="center"/>
    </xf>
    <xf numFmtId="9" fontId="105" fillId="22" borderId="26" xfId="11" applyNumberFormat="1" applyFont="1" applyFill="1" applyBorder="1" applyAlignment="1">
      <alignment horizontal="center" vertical="center" wrapText="1"/>
    </xf>
    <xf numFmtId="9" fontId="87" fillId="0" borderId="1" xfId="1" applyFont="1" applyBorder="1" applyAlignment="1">
      <alignment horizontal="center" vertical="center"/>
    </xf>
    <xf numFmtId="9" fontId="87" fillId="0" borderId="1" xfId="1" applyFont="1" applyFill="1" applyBorder="1" applyAlignment="1">
      <alignment horizontal="center" vertical="center"/>
    </xf>
    <xf numFmtId="9" fontId="14" fillId="0" borderId="1" xfId="1" applyFont="1" applyFill="1" applyBorder="1" applyAlignment="1">
      <alignment horizontal="center" vertical="center"/>
    </xf>
    <xf numFmtId="9" fontId="9" fillId="4" borderId="1" xfId="1" applyFont="1" applyFill="1" applyBorder="1" applyAlignment="1">
      <alignment horizontal="center" vertical="center"/>
    </xf>
    <xf numFmtId="9" fontId="14" fillId="0" borderId="1" xfId="1" applyFont="1" applyBorder="1" applyAlignment="1">
      <alignment horizontal="center" vertical="center"/>
    </xf>
    <xf numFmtId="9" fontId="14" fillId="4" borderId="1" xfId="1" applyFont="1" applyFill="1" applyBorder="1" applyAlignment="1">
      <alignment horizontal="center" vertical="center"/>
    </xf>
    <xf numFmtId="9" fontId="76" fillId="3" borderId="1" xfId="1" applyFont="1" applyFill="1" applyBorder="1" applyAlignment="1">
      <alignment horizontal="center" vertical="center"/>
    </xf>
    <xf numFmtId="9" fontId="7" fillId="0" borderId="1" xfId="1" applyFont="1" applyBorder="1" applyAlignment="1">
      <alignment horizontal="center" vertical="center"/>
    </xf>
    <xf numFmtId="176" fontId="87" fillId="0" borderId="1" xfId="12" applyNumberFormat="1" applyFont="1" applyFill="1" applyBorder="1" applyAlignment="1">
      <alignment vertical="center"/>
    </xf>
    <xf numFmtId="176" fontId="87" fillId="20" borderId="1" xfId="12" applyNumberFormat="1" applyFont="1" applyFill="1" applyBorder="1" applyAlignment="1">
      <alignment vertical="center"/>
    </xf>
    <xf numFmtId="176" fontId="87" fillId="0" borderId="1" xfId="29" applyNumberFormat="1" applyFont="1" applyBorder="1" applyAlignment="1">
      <alignment horizontal="center" vertical="center"/>
    </xf>
    <xf numFmtId="176" fontId="14" fillId="0" borderId="1" xfId="12" applyNumberFormat="1" applyFont="1" applyFill="1" applyBorder="1" applyAlignment="1">
      <alignment vertical="center"/>
    </xf>
    <xf numFmtId="176" fontId="9" fillId="0" borderId="1" xfId="12" applyNumberFormat="1" applyFont="1" applyFill="1" applyBorder="1" applyAlignment="1">
      <alignment vertical="center"/>
    </xf>
    <xf numFmtId="176" fontId="9" fillId="4" borderId="1" xfId="11" applyNumberFormat="1" applyFont="1" applyFill="1" applyBorder="1" applyAlignment="1">
      <alignment vertical="center"/>
    </xf>
    <xf numFmtId="176" fontId="9" fillId="4" borderId="1" xfId="12" applyNumberFormat="1" applyFont="1" applyFill="1" applyBorder="1" applyAlignment="1">
      <alignment vertical="center"/>
    </xf>
    <xf numFmtId="176" fontId="14" fillId="0" borderId="1" xfId="12" applyNumberFormat="1" applyFont="1" applyBorder="1" applyAlignment="1">
      <alignment vertical="center"/>
    </xf>
    <xf numFmtId="176" fontId="14" fillId="4" borderId="1" xfId="11" applyNumberFormat="1" applyFont="1" applyFill="1" applyBorder="1" applyAlignment="1">
      <alignment vertical="center"/>
    </xf>
    <xf numFmtId="176" fontId="14" fillId="4" borderId="1" xfId="12" applyNumberFormat="1" applyFont="1" applyFill="1" applyBorder="1" applyAlignment="1">
      <alignment vertical="center"/>
    </xf>
    <xf numFmtId="176" fontId="14" fillId="20" borderId="1" xfId="12" applyNumberFormat="1" applyFont="1" applyFill="1" applyBorder="1" applyAlignment="1">
      <alignment vertical="center"/>
    </xf>
    <xf numFmtId="176" fontId="14" fillId="0" borderId="1" xfId="11" applyNumberFormat="1" applyFont="1" applyBorder="1" applyAlignment="1">
      <alignment vertical="center"/>
    </xf>
    <xf numFmtId="176" fontId="22" fillId="0" borderId="1" xfId="12" applyNumberFormat="1" applyFont="1" applyFill="1" applyBorder="1" applyAlignment="1">
      <alignment vertical="center"/>
    </xf>
    <xf numFmtId="176" fontId="14" fillId="20" borderId="1" xfId="11" applyNumberFormat="1" applyFont="1" applyFill="1" applyBorder="1" applyAlignment="1">
      <alignment vertical="center"/>
    </xf>
    <xf numFmtId="176" fontId="22" fillId="0" borderId="1" xfId="11" applyNumberFormat="1" applyFont="1" applyBorder="1" applyAlignment="1">
      <alignment vertical="center"/>
    </xf>
    <xf numFmtId="176" fontId="22" fillId="20" borderId="1" xfId="12" applyNumberFormat="1" applyFont="1" applyFill="1" applyBorder="1" applyAlignment="1">
      <alignment vertical="center"/>
    </xf>
    <xf numFmtId="176" fontId="22" fillId="0" borderId="1" xfId="12" applyNumberFormat="1" applyFont="1" applyBorder="1" applyAlignment="1">
      <alignment vertical="center"/>
    </xf>
    <xf numFmtId="176" fontId="14" fillId="0" borderId="1" xfId="16" applyNumberFormat="1" applyFont="1" applyFill="1" applyBorder="1" applyAlignment="1">
      <alignment vertical="center"/>
    </xf>
    <xf numFmtId="176" fontId="14" fillId="20" borderId="1" xfId="16" applyNumberFormat="1" applyFont="1" applyFill="1" applyBorder="1" applyAlignment="1">
      <alignment vertical="center"/>
    </xf>
    <xf numFmtId="176" fontId="22" fillId="20" borderId="1" xfId="11" applyNumberFormat="1" applyFont="1" applyFill="1" applyBorder="1" applyAlignment="1">
      <alignment vertical="center"/>
    </xf>
    <xf numFmtId="176" fontId="76" fillId="3" borderId="1" xfId="0" applyNumberFormat="1" applyFont="1" applyFill="1" applyBorder="1" applyAlignment="1">
      <alignment horizontal="left" vertical="center"/>
    </xf>
    <xf numFmtId="176" fontId="7" fillId="0" borderId="1" xfId="11" applyNumberFormat="1" applyFont="1" applyBorder="1" applyAlignment="1">
      <alignment vertical="center"/>
    </xf>
    <xf numFmtId="176" fontId="7" fillId="20" borderId="1" xfId="11" applyNumberFormat="1" applyFont="1" applyFill="1" applyBorder="1" applyAlignment="1">
      <alignment vertical="center"/>
    </xf>
    <xf numFmtId="9" fontId="86" fillId="0" borderId="1" xfId="1" applyFont="1" applyBorder="1" applyAlignment="1">
      <alignment horizontal="center" vertical="center"/>
    </xf>
    <xf numFmtId="9" fontId="9" fillId="0" borderId="1" xfId="1" applyFont="1" applyBorder="1" applyAlignment="1">
      <alignment horizontal="center" vertical="center"/>
    </xf>
    <xf numFmtId="9" fontId="22" fillId="0" borderId="1" xfId="1" applyFont="1" applyBorder="1" applyAlignment="1">
      <alignment horizontal="center" vertical="center"/>
    </xf>
    <xf numFmtId="9" fontId="22" fillId="0" borderId="1" xfId="1" applyFont="1" applyFill="1" applyBorder="1" applyAlignment="1">
      <alignment horizontal="center" vertical="center"/>
    </xf>
    <xf numFmtId="2" fontId="9" fillId="0" borderId="2" xfId="0" applyNumberFormat="1" applyFont="1" applyBorder="1" applyAlignment="1">
      <alignment horizontal="center" vertical="center"/>
    </xf>
    <xf numFmtId="2" fontId="80" fillId="0" borderId="2" xfId="0" applyNumberFormat="1" applyFont="1" applyBorder="1" applyAlignment="1">
      <alignment horizontal="center" vertical="center"/>
    </xf>
    <xf numFmtId="2" fontId="106" fillId="23" borderId="24" xfId="29" applyNumberFormat="1" applyFont="1" applyFill="1" applyBorder="1" applyAlignment="1">
      <alignment horizontal="center" vertical="center" wrapText="1"/>
    </xf>
    <xf numFmtId="2" fontId="107" fillId="0" borderId="24" xfId="11" applyNumberFormat="1" applyFont="1" applyBorder="1" applyAlignment="1">
      <alignment horizontal="center" vertical="center" wrapText="1"/>
    </xf>
    <xf numFmtId="2" fontId="8" fillId="0" borderId="20" xfId="11" applyNumberFormat="1" applyBorder="1" applyAlignment="1">
      <alignment horizontal="center" vertical="center"/>
    </xf>
    <xf numFmtId="2" fontId="6" fillId="0" borderId="25" xfId="11" applyNumberFormat="1" applyFont="1" applyBorder="1" applyAlignment="1">
      <alignment vertical="center" wrapText="1"/>
    </xf>
    <xf numFmtId="2" fontId="90" fillId="0" borderId="20" xfId="11" applyNumberFormat="1" applyFont="1" applyBorder="1" applyAlignment="1">
      <alignment horizontal="center" vertical="center"/>
    </xf>
    <xf numFmtId="2" fontId="76" fillId="0" borderId="4" xfId="0" applyNumberFormat="1" applyFont="1" applyBorder="1" applyAlignment="1">
      <alignment horizontal="center" vertical="center"/>
    </xf>
    <xf numFmtId="2" fontId="108" fillId="2" borderId="4" xfId="29" applyNumberFormat="1" applyFont="1" applyFill="1" applyBorder="1" applyAlignment="1">
      <alignment horizontal="center" vertical="center"/>
    </xf>
    <xf numFmtId="2" fontId="108" fillId="2" borderId="0" xfId="29" applyNumberFormat="1" applyFont="1" applyFill="1" applyBorder="1" applyAlignment="1">
      <alignment horizontal="center" vertical="center"/>
    </xf>
    <xf numFmtId="2" fontId="90" fillId="0" borderId="22" xfId="29" applyNumberFormat="1" applyFont="1" applyBorder="1" applyAlignment="1">
      <alignment horizontal="center" vertical="center"/>
    </xf>
    <xf numFmtId="2" fontId="6" fillId="0" borderId="27" xfId="29" applyNumberFormat="1" applyFont="1" applyBorder="1" applyAlignment="1">
      <alignment vertical="center" wrapText="1"/>
    </xf>
    <xf numFmtId="2" fontId="6" fillId="0" borderId="21" xfId="29" applyNumberFormat="1" applyFont="1" applyBorder="1" applyAlignment="1">
      <alignment vertical="center" wrapText="1"/>
    </xf>
    <xf numFmtId="2" fontId="6" fillId="0" borderId="4" xfId="29" applyNumberFormat="1" applyFont="1" applyBorder="1" applyAlignment="1">
      <alignment horizontal="center" vertical="center" wrapText="1"/>
    </xf>
    <xf numFmtId="2" fontId="6" fillId="0" borderId="4" xfId="29" applyNumberFormat="1" applyFont="1" applyBorder="1" applyAlignment="1">
      <alignment vertical="center" wrapText="1"/>
    </xf>
    <xf numFmtId="49" fontId="17" fillId="0" borderId="0" xfId="6" applyFont="1">
      <alignment horizontal="left" vertical="center"/>
    </xf>
    <xf numFmtId="43" fontId="106" fillId="23" borderId="24" xfId="29" applyFont="1" applyFill="1" applyBorder="1" applyAlignment="1">
      <alignment horizontal="center" vertical="center" wrapText="1"/>
    </xf>
    <xf numFmtId="43" fontId="9" fillId="4" borderId="1" xfId="29" applyFont="1" applyFill="1" applyBorder="1" applyAlignment="1">
      <alignment horizontal="center" vertical="center"/>
    </xf>
    <xf numFmtId="43" fontId="9" fillId="4" borderId="1" xfId="29" applyFont="1" applyFill="1" applyBorder="1" applyAlignment="1">
      <alignment vertical="center"/>
    </xf>
    <xf numFmtId="43" fontId="7" fillId="0" borderId="1" xfId="29" applyFont="1" applyBorder="1" applyAlignment="1">
      <alignment vertical="center"/>
    </xf>
    <xf numFmtId="43" fontId="9" fillId="0" borderId="1" xfId="29" applyFont="1" applyBorder="1" applyAlignment="1">
      <alignment horizontal="center" vertical="center"/>
    </xf>
    <xf numFmtId="43" fontId="0" fillId="0" borderId="1" xfId="29" applyFont="1" applyBorder="1" applyAlignment="1">
      <alignment horizontal="center" vertical="center"/>
    </xf>
    <xf numFmtId="43" fontId="14" fillId="0" borderId="1" xfId="29" applyFont="1" applyFill="1" applyBorder="1" applyAlignment="1">
      <alignment horizontal="center" vertical="center"/>
    </xf>
    <xf numFmtId="43" fontId="14" fillId="0" borderId="1" xfId="29" applyFont="1" applyBorder="1" applyAlignment="1">
      <alignment vertical="center"/>
    </xf>
    <xf numFmtId="43" fontId="22" fillId="0" borderId="1" xfId="29" applyFont="1" applyBorder="1" applyAlignment="1">
      <alignment vertical="center"/>
    </xf>
    <xf numFmtId="43" fontId="22" fillId="0" borderId="1" xfId="29" applyFont="1" applyBorder="1" applyAlignment="1">
      <alignment horizontal="center" vertical="center"/>
    </xf>
    <xf numFmtId="43" fontId="83" fillId="4" borderId="1" xfId="29" applyFont="1" applyFill="1" applyBorder="1" applyAlignment="1">
      <alignment vertical="center"/>
    </xf>
    <xf numFmtId="43" fontId="7" fillId="0" borderId="1" xfId="29" applyFont="1" applyFill="1" applyBorder="1" applyAlignment="1">
      <alignment vertical="center"/>
    </xf>
    <xf numFmtId="43" fontId="33" fillId="0" borderId="1" xfId="29" applyFont="1" applyBorder="1" applyAlignment="1">
      <alignment vertical="center"/>
    </xf>
    <xf numFmtId="43" fontId="14" fillId="0" borderId="1" xfId="29" applyFont="1" applyBorder="1" applyAlignment="1">
      <alignment horizontal="center" vertical="center"/>
    </xf>
    <xf numFmtId="43" fontId="22" fillId="0" borderId="1" xfId="29" applyFont="1" applyFill="1" applyBorder="1" applyAlignment="1">
      <alignment horizontal="center" vertical="center"/>
    </xf>
    <xf numFmtId="43" fontId="7" fillId="0" borderId="1" xfId="29" applyFont="1" applyBorder="1" applyAlignment="1">
      <alignment horizontal="center" vertical="center"/>
    </xf>
    <xf numFmtId="43" fontId="74" fillId="0" borderId="1" xfId="29" applyFont="1" applyBorder="1" applyAlignment="1">
      <alignment horizontal="center" vertical="center"/>
    </xf>
    <xf numFmtId="43" fontId="85" fillId="0" borderId="1" xfId="29" applyFont="1" applyBorder="1" applyAlignment="1">
      <alignment horizontal="center" vertical="center"/>
    </xf>
    <xf numFmtId="43" fontId="7" fillId="4" borderId="1" xfId="29" applyFont="1" applyFill="1" applyBorder="1" applyAlignment="1">
      <alignment vertical="center"/>
    </xf>
    <xf numFmtId="43" fontId="85" fillId="0" borderId="1" xfId="29" applyFont="1" applyBorder="1" applyAlignment="1">
      <alignment vertical="center"/>
    </xf>
    <xf numFmtId="43" fontId="86" fillId="0" borderId="1" xfId="29" applyFont="1" applyBorder="1" applyAlignment="1">
      <alignment horizontal="center" vertical="center"/>
    </xf>
    <xf numFmtId="43" fontId="86" fillId="0" borderId="1" xfId="29" applyFont="1" applyBorder="1" applyAlignment="1">
      <alignment vertical="center"/>
    </xf>
    <xf numFmtId="43" fontId="14" fillId="0" borderId="1" xfId="29" applyFont="1" applyBorder="1" applyAlignment="1">
      <alignment horizontal="right" vertical="center"/>
    </xf>
    <xf numFmtId="43" fontId="22" fillId="0" borderId="1" xfId="29" applyFont="1" applyBorder="1" applyAlignment="1">
      <alignment horizontal="right" vertical="center"/>
    </xf>
    <xf numFmtId="43" fontId="105" fillId="25" borderId="26" xfId="29" applyFont="1" applyFill="1" applyBorder="1" applyAlignment="1">
      <alignment horizontal="center" vertical="center" wrapText="1"/>
    </xf>
    <xf numFmtId="43" fontId="105" fillId="22" borderId="26" xfId="29" applyFont="1" applyFill="1" applyBorder="1" applyAlignment="1">
      <alignment horizontal="center" vertical="center" wrapText="1"/>
    </xf>
    <xf numFmtId="0" fontId="32" fillId="0" borderId="0" xfId="0" applyFont="1" applyAlignment="1">
      <alignment vertical="center"/>
    </xf>
    <xf numFmtId="0" fontId="79" fillId="0" borderId="0" xfId="23" applyFont="1" applyAlignment="1">
      <alignment horizontal="center" vertical="center"/>
    </xf>
    <xf numFmtId="1" fontId="79" fillId="0" borderId="0" xfId="5" applyNumberFormat="1" applyFont="1" applyAlignment="1">
      <alignment horizontal="center"/>
    </xf>
    <xf numFmtId="0" fontId="32" fillId="0" borderId="0" xfId="23" applyFont="1"/>
    <xf numFmtId="171" fontId="90" fillId="0" borderId="19" xfId="29" applyNumberFormat="1" applyFont="1" applyBorder="1" applyAlignment="1">
      <alignment horizontal="center" wrapText="1"/>
    </xf>
    <xf numFmtId="9" fontId="14" fillId="0" borderId="1" xfId="1" applyFont="1" applyBorder="1" applyAlignment="1">
      <alignment vertical="center"/>
    </xf>
    <xf numFmtId="9" fontId="14" fillId="0" borderId="1" xfId="1" applyFont="1" applyFill="1" applyBorder="1" applyAlignment="1">
      <alignment vertical="center"/>
    </xf>
    <xf numFmtId="9" fontId="9" fillId="4" borderId="1" xfId="1" applyFont="1" applyFill="1" applyBorder="1" applyAlignment="1">
      <alignment vertical="center"/>
    </xf>
    <xf numFmtId="43" fontId="106" fillId="0" borderId="1" xfId="29" applyFont="1" applyBorder="1" applyAlignment="1">
      <alignment horizontal="center" vertical="center"/>
    </xf>
    <xf numFmtId="43" fontId="106" fillId="0" borderId="1" xfId="29" applyFont="1" applyFill="1" applyBorder="1" applyAlignment="1">
      <alignment vertical="center"/>
    </xf>
    <xf numFmtId="43" fontId="107" fillId="4" borderId="1" xfId="29" applyFont="1" applyFill="1" applyBorder="1" applyAlignment="1">
      <alignment vertical="center"/>
    </xf>
    <xf numFmtId="9" fontId="110" fillId="0" borderId="1" xfId="1" applyFont="1" applyBorder="1" applyAlignment="1">
      <alignment vertical="center"/>
    </xf>
    <xf numFmtId="9" fontId="110" fillId="0" borderId="1" xfId="1" applyFont="1" applyFill="1" applyBorder="1" applyAlignment="1">
      <alignment vertical="center"/>
    </xf>
    <xf numFmtId="9" fontId="111" fillId="0" borderId="1" xfId="1" applyFont="1" applyBorder="1" applyAlignment="1">
      <alignment vertical="center"/>
    </xf>
    <xf numFmtId="43" fontId="106" fillId="4" borderId="1" xfId="29" applyFont="1" applyFill="1" applyBorder="1" applyAlignment="1">
      <alignment vertical="center"/>
    </xf>
    <xf numFmtId="43" fontId="106" fillId="2" borderId="4" xfId="29" applyFont="1" applyFill="1" applyBorder="1" applyAlignment="1">
      <alignment horizontal="center" vertical="center"/>
    </xf>
    <xf numFmtId="43" fontId="106" fillId="4" borderId="1" xfId="29" applyFont="1" applyFill="1" applyBorder="1" applyAlignment="1">
      <alignment horizontal="center" vertical="center"/>
    </xf>
    <xf numFmtId="43" fontId="107" fillId="0" borderId="1" xfId="29" applyFont="1" applyBorder="1" applyAlignment="1">
      <alignment vertical="center"/>
    </xf>
    <xf numFmtId="43" fontId="107" fillId="0" borderId="1" xfId="29" applyFont="1" applyFill="1" applyBorder="1" applyAlignment="1">
      <alignment vertical="center"/>
    </xf>
    <xf numFmtId="43" fontId="107" fillId="3" borderId="1" xfId="29" applyFont="1" applyFill="1" applyBorder="1" applyAlignment="1">
      <alignment horizontal="center" vertical="center"/>
    </xf>
    <xf numFmtId="43" fontId="107" fillId="0" borderId="1" xfId="29" applyFont="1" applyBorder="1" applyAlignment="1">
      <alignment horizontal="center" vertical="center"/>
    </xf>
    <xf numFmtId="43" fontId="107" fillId="0" borderId="1" xfId="29" applyFont="1" applyFill="1" applyBorder="1" applyAlignment="1">
      <alignment horizontal="center" vertical="center"/>
    </xf>
    <xf numFmtId="43" fontId="112" fillId="0" borderId="1" xfId="29" applyFont="1" applyBorder="1" applyAlignment="1">
      <alignment vertical="center"/>
    </xf>
    <xf numFmtId="43" fontId="112" fillId="0" borderId="1" xfId="29" applyFont="1" applyFill="1" applyBorder="1" applyAlignment="1">
      <alignment vertical="center"/>
    </xf>
    <xf numFmtId="43" fontId="112" fillId="0" borderId="1" xfId="29" applyFont="1" applyBorder="1" applyAlignment="1">
      <alignment horizontal="center" vertical="center"/>
    </xf>
    <xf numFmtId="43" fontId="107" fillId="20" borderId="1" xfId="29" applyFont="1" applyFill="1" applyBorder="1" applyAlignment="1">
      <alignment vertical="center"/>
    </xf>
    <xf numFmtId="43" fontId="112" fillId="20" borderId="1" xfId="29" applyFont="1" applyFill="1" applyBorder="1" applyAlignment="1">
      <alignment vertical="center"/>
    </xf>
    <xf numFmtId="9" fontId="107" fillId="0" borderId="1" xfId="1" applyFont="1" applyBorder="1" applyAlignment="1">
      <alignment vertical="center"/>
    </xf>
    <xf numFmtId="9" fontId="107" fillId="0" borderId="1" xfId="1" applyFont="1" applyFill="1" applyBorder="1" applyAlignment="1">
      <alignment vertical="center"/>
    </xf>
    <xf numFmtId="9" fontId="112" fillId="0" borderId="1" xfId="1" applyFont="1" applyBorder="1" applyAlignment="1">
      <alignment vertical="center"/>
    </xf>
    <xf numFmtId="43" fontId="112" fillId="0" borderId="1" xfId="29" applyFont="1" applyFill="1" applyBorder="1" applyAlignment="1">
      <alignment horizontal="center" vertical="center"/>
    </xf>
    <xf numFmtId="43" fontId="113" fillId="27" borderId="1" xfId="29" applyFont="1" applyFill="1" applyBorder="1" applyAlignment="1">
      <alignment vertical="center"/>
    </xf>
    <xf numFmtId="43" fontId="106" fillId="0" borderId="1" xfId="29" applyFont="1" applyFill="1" applyBorder="1" applyAlignment="1">
      <alignment horizontal="center" vertical="center"/>
    </xf>
    <xf numFmtId="9" fontId="112" fillId="0" borderId="1" xfId="1" applyFont="1" applyFill="1" applyBorder="1" applyAlignment="1">
      <alignment vertical="center"/>
    </xf>
    <xf numFmtId="43" fontId="106" fillId="0" borderId="1" xfId="29" applyFont="1" applyBorder="1" applyAlignment="1">
      <alignment vertical="center"/>
    </xf>
    <xf numFmtId="171" fontId="106" fillId="4" borderId="1" xfId="12" applyNumberFormat="1" applyFont="1" applyFill="1" applyBorder="1" applyAlignment="1">
      <alignment vertical="center"/>
    </xf>
    <xf numFmtId="9" fontId="106" fillId="4" borderId="1" xfId="29" applyNumberFormat="1" applyFont="1" applyFill="1" applyBorder="1" applyAlignment="1">
      <alignment horizontal="center" vertical="center"/>
    </xf>
    <xf numFmtId="9" fontId="107" fillId="0" borderId="1" xfId="1" applyFont="1" applyBorder="1" applyAlignment="1">
      <alignment horizontal="center" vertical="center"/>
    </xf>
    <xf numFmtId="9" fontId="87" fillId="0" borderId="1" xfId="1" applyFont="1" applyFill="1" applyBorder="1" applyAlignment="1">
      <alignment vertical="center"/>
    </xf>
    <xf numFmtId="9" fontId="14" fillId="4" borderId="1" xfId="1" applyFont="1" applyFill="1" applyBorder="1" applyAlignment="1">
      <alignment vertical="center"/>
    </xf>
    <xf numFmtId="9" fontId="80" fillId="0" borderId="1" xfId="1" applyFont="1" applyBorder="1" applyAlignment="1">
      <alignment horizontal="center" vertical="center"/>
    </xf>
    <xf numFmtId="9" fontId="7" fillId="0" borderId="1" xfId="1" applyFont="1" applyFill="1" applyBorder="1" applyAlignment="1">
      <alignment vertical="center"/>
    </xf>
    <xf numFmtId="9" fontId="7" fillId="4" borderId="1" xfId="1" applyFont="1" applyFill="1" applyBorder="1" applyAlignment="1">
      <alignment vertical="center"/>
    </xf>
    <xf numFmtId="9" fontId="83" fillId="4" borderId="1" xfId="1" applyFont="1" applyFill="1" applyBorder="1" applyAlignment="1">
      <alignment vertical="center"/>
    </xf>
    <xf numFmtId="9" fontId="33" fillId="0" borderId="1" xfId="1" applyFont="1" applyBorder="1" applyAlignment="1">
      <alignment vertical="center"/>
    </xf>
    <xf numFmtId="9" fontId="87" fillId="4" borderId="1" xfId="1" applyFont="1" applyFill="1" applyBorder="1" applyAlignment="1">
      <alignment vertical="center"/>
    </xf>
    <xf numFmtId="9" fontId="106" fillId="4" borderId="1" xfId="1" applyFont="1" applyFill="1" applyBorder="1" applyAlignment="1">
      <alignment vertical="center"/>
    </xf>
    <xf numFmtId="9" fontId="74" fillId="4" borderId="1" xfId="1" applyFont="1" applyFill="1" applyBorder="1" applyAlignment="1">
      <alignment vertical="center"/>
    </xf>
    <xf numFmtId="0" fontId="114" fillId="0" borderId="0" xfId="24" applyFont="1" applyAlignment="1">
      <alignment horizontal="center" vertical="center"/>
    </xf>
    <xf numFmtId="1" fontId="114" fillId="0" borderId="0" xfId="24" applyNumberFormat="1" applyFont="1" applyAlignment="1">
      <alignment horizontal="center" vertical="center"/>
    </xf>
    <xf numFmtId="0" fontId="114" fillId="0" borderId="0" xfId="23" applyFont="1" applyAlignment="1">
      <alignment horizontal="left"/>
    </xf>
    <xf numFmtId="0" fontId="114" fillId="0" borderId="0" xfId="5" applyFont="1" applyAlignment="1">
      <alignment horizontal="center" vertical="center"/>
    </xf>
    <xf numFmtId="2" fontId="9" fillId="0" borderId="0" xfId="0" applyNumberFormat="1" applyFont="1" applyAlignment="1">
      <alignment horizontal="center" vertical="center"/>
    </xf>
    <xf numFmtId="2" fontId="7" fillId="0" borderId="0" xfId="0" applyNumberFormat="1" applyFont="1" applyAlignment="1">
      <alignment horizontal="center" vertical="center"/>
    </xf>
    <xf numFmtId="1" fontId="17" fillId="21" borderId="0" xfId="5" applyNumberFormat="1" applyFont="1" applyFill="1" applyAlignment="1">
      <alignment horizontal="center" vertical="center"/>
    </xf>
    <xf numFmtId="1" fontId="17" fillId="0" borderId="0" xfId="6" applyNumberFormat="1" applyFont="1" applyAlignment="1">
      <alignment horizontal="center" vertical="center"/>
    </xf>
    <xf numFmtId="1" fontId="17" fillId="0" borderId="0" xfId="6" applyNumberFormat="1" applyFont="1">
      <alignment horizontal="left" vertical="center"/>
    </xf>
    <xf numFmtId="9" fontId="85" fillId="0" borderId="1" xfId="29" applyNumberFormat="1" applyFont="1" applyBorder="1" applyAlignment="1">
      <alignment horizontal="center" vertical="center"/>
    </xf>
    <xf numFmtId="9" fontId="106" fillId="4" borderId="1" xfId="1" applyFont="1" applyFill="1" applyBorder="1" applyAlignment="1">
      <alignment horizontal="center" vertical="center"/>
    </xf>
    <xf numFmtId="171" fontId="6" fillId="19" borderId="15" xfId="29" applyNumberFormat="1" applyFont="1" applyFill="1" applyBorder="1" applyAlignment="1">
      <alignment horizontal="center" vertical="center" wrapText="1"/>
    </xf>
    <xf numFmtId="9" fontId="6" fillId="22" borderId="15" xfId="11" applyNumberFormat="1" applyFont="1" applyFill="1" applyBorder="1" applyAlignment="1">
      <alignment horizontal="center" vertical="center" wrapText="1"/>
    </xf>
    <xf numFmtId="171" fontId="90" fillId="27" borderId="15" xfId="29" applyNumberFormat="1" applyFont="1" applyFill="1" applyBorder="1" applyAlignment="1">
      <alignment horizontal="center" vertical="center" wrapText="1"/>
    </xf>
    <xf numFmtId="3" fontId="71" fillId="0" borderId="0" xfId="0" applyNumberFormat="1" applyFont="1"/>
    <xf numFmtId="0" fontId="0" fillId="0" borderId="0" xfId="23" applyFont="1" applyAlignment="1">
      <alignment horizontal="center" vertical="center"/>
    </xf>
    <xf numFmtId="1" fontId="0" fillId="0" borderId="0" xfId="24" applyNumberFormat="1" applyFont="1" applyAlignment="1">
      <alignment horizontal="center" vertical="center"/>
    </xf>
    <xf numFmtId="0" fontId="118" fillId="0" borderId="0" xfId="0" applyFont="1" applyAlignment="1">
      <alignment vertical="center"/>
    </xf>
    <xf numFmtId="0" fontId="0" fillId="0" borderId="0" xfId="24" applyFont="1" applyAlignment="1">
      <alignment horizontal="center" vertical="center"/>
    </xf>
    <xf numFmtId="0" fontId="0" fillId="0" borderId="0" xfId="23" quotePrefix="1" applyFont="1" applyAlignment="1">
      <alignment horizontal="center" vertical="center"/>
    </xf>
    <xf numFmtId="43" fontId="119" fillId="0" borderId="1" xfId="29" applyFont="1" applyBorder="1" applyAlignment="1">
      <alignment vertical="center"/>
    </xf>
    <xf numFmtId="9" fontId="0" fillId="0" borderId="1" xfId="1" applyFont="1" applyBorder="1" applyAlignment="1">
      <alignment horizontal="center" vertical="center"/>
    </xf>
    <xf numFmtId="170" fontId="120" fillId="0" borderId="41" xfId="96" applyNumberFormat="1" applyFont="1" applyBorder="1" applyAlignment="1">
      <alignment horizontal="left" vertical="center"/>
    </xf>
    <xf numFmtId="0" fontId="13" fillId="0" borderId="15" xfId="0" applyFont="1" applyBorder="1" applyAlignment="1">
      <alignment horizontal="left" vertical="center"/>
    </xf>
    <xf numFmtId="0" fontId="20" fillId="0" borderId="15" xfId="0" applyFont="1" applyBorder="1" applyAlignment="1">
      <alignment horizontal="left" vertical="center"/>
    </xf>
    <xf numFmtId="9" fontId="20" fillId="0" borderId="15" xfId="0" applyNumberFormat="1" applyFont="1" applyBorder="1" applyAlignment="1">
      <alignment horizontal="left" vertical="center"/>
    </xf>
    <xf numFmtId="0" fontId="22" fillId="0" borderId="15" xfId="0" applyFont="1" applyBorder="1" applyAlignment="1">
      <alignment horizontal="left" vertical="center"/>
    </xf>
    <xf numFmtId="0" fontId="15" fillId="3" borderId="15" xfId="0" applyFont="1" applyFill="1" applyBorder="1" applyAlignment="1">
      <alignment horizontal="left" vertical="center"/>
    </xf>
    <xf numFmtId="0" fontId="20" fillId="3" borderId="15" xfId="0" applyFont="1" applyFill="1" applyBorder="1" applyAlignment="1">
      <alignment horizontal="left" vertical="center"/>
    </xf>
    <xf numFmtId="0" fontId="20" fillId="19" borderId="15" xfId="5" applyFont="1" applyFill="1" applyBorder="1" applyAlignment="1">
      <alignment horizontal="left" vertical="center"/>
    </xf>
    <xf numFmtId="0" fontId="24" fillId="19" borderId="15" xfId="5" applyFont="1" applyFill="1" applyBorder="1" applyAlignment="1">
      <alignment horizontal="left" vertical="center"/>
    </xf>
    <xf numFmtId="0" fontId="26" fillId="19" borderId="15" xfId="5" applyFont="1" applyFill="1" applyBorder="1" applyAlignment="1">
      <alignment horizontal="left" vertical="center"/>
    </xf>
    <xf numFmtId="0" fontId="13" fillId="0" borderId="15" xfId="5" applyFont="1" applyBorder="1" applyAlignment="1">
      <alignment horizontal="left" vertical="center"/>
    </xf>
    <xf numFmtId="0" fontId="24" fillId="0" borderId="15" xfId="5" applyFont="1" applyBorder="1" applyAlignment="1">
      <alignment horizontal="left" vertical="center"/>
    </xf>
    <xf numFmtId="0" fontId="26" fillId="0" borderId="15" xfId="5" applyFont="1" applyBorder="1" applyAlignment="1">
      <alignment horizontal="left" vertical="center"/>
    </xf>
    <xf numFmtId="0" fontId="17" fillId="0" borderId="15" xfId="5" applyFont="1" applyBorder="1" applyAlignment="1">
      <alignment horizontal="left" vertical="center"/>
    </xf>
    <xf numFmtId="49" fontId="13" fillId="0" borderId="15" xfId="5" applyNumberFormat="1" applyFont="1" applyBorder="1" applyAlignment="1">
      <alignment horizontal="left" vertical="center"/>
    </xf>
    <xf numFmtId="49" fontId="24" fillId="0" borderId="15" xfId="5" applyNumberFormat="1" applyFont="1" applyBorder="1" applyAlignment="1">
      <alignment horizontal="left" vertical="center"/>
    </xf>
    <xf numFmtId="49" fontId="26" fillId="0" borderId="15" xfId="5" applyNumberFormat="1" applyFont="1" applyBorder="1" applyAlignment="1">
      <alignment horizontal="left" vertical="center"/>
    </xf>
    <xf numFmtId="0" fontId="0" fillId="0" borderId="0" xfId="24" applyFont="1" applyAlignment="1">
      <alignment horizontal="left" vertical="center"/>
    </xf>
    <xf numFmtId="0" fontId="28" fillId="0" borderId="15" xfId="5" applyFont="1" applyBorder="1" applyAlignment="1">
      <alignment horizontal="left" vertical="center"/>
    </xf>
    <xf numFmtId="0" fontId="25" fillId="0" borderId="15" xfId="5" applyFont="1" applyBorder="1" applyAlignment="1">
      <alignment horizontal="left" vertical="center"/>
    </xf>
    <xf numFmtId="0" fontId="22" fillId="0" borderId="15" xfId="5" applyFont="1" applyBorder="1" applyAlignment="1">
      <alignment horizontal="left" vertical="center"/>
    </xf>
    <xf numFmtId="0" fontId="71" fillId="0" borderId="0" xfId="0" applyFont="1" applyAlignment="1">
      <alignment horizontal="center"/>
    </xf>
    <xf numFmtId="0" fontId="121" fillId="25" borderId="23" xfId="0" applyFont="1" applyFill="1" applyBorder="1" applyAlignment="1">
      <alignment horizontal="center"/>
    </xf>
    <xf numFmtId="0" fontId="121" fillId="25" borderId="23" xfId="0" applyFont="1" applyFill="1" applyBorder="1"/>
    <xf numFmtId="0" fontId="9" fillId="4" borderId="23" xfId="0" applyFont="1" applyFill="1" applyBorder="1" applyAlignment="1">
      <alignment horizontal="center" vertical="center"/>
    </xf>
    <xf numFmtId="0" fontId="122" fillId="4" borderId="23" xfId="0" applyFont="1" applyFill="1" applyBorder="1" applyAlignment="1">
      <alignment vertical="center"/>
    </xf>
    <xf numFmtId="1" fontId="22" fillId="0" borderId="23" xfId="0" applyNumberFormat="1" applyFont="1" applyBorder="1" applyAlignment="1">
      <alignment horizontal="center" vertical="center"/>
    </xf>
    <xf numFmtId="0" fontId="102" fillId="0" borderId="23" xfId="0" applyFont="1" applyBorder="1" applyAlignment="1">
      <alignment vertical="center"/>
    </xf>
    <xf numFmtId="43" fontId="107" fillId="0" borderId="23" xfId="29" applyFont="1" applyBorder="1"/>
    <xf numFmtId="1" fontId="14" fillId="0" borderId="23" xfId="0" applyNumberFormat="1" applyFont="1" applyBorder="1" applyAlignment="1">
      <alignment horizontal="center" vertical="center"/>
    </xf>
    <xf numFmtId="0" fontId="100" fillId="0" borderId="23" xfId="0" applyFont="1" applyBorder="1" applyAlignment="1">
      <alignment vertical="center"/>
    </xf>
    <xf numFmtId="0" fontId="20" fillId="0" borderId="23" xfId="0" applyFont="1" applyBorder="1" applyAlignment="1">
      <alignment vertical="center"/>
    </xf>
    <xf numFmtId="0" fontId="122" fillId="4" borderId="23" xfId="0" applyFont="1" applyFill="1" applyBorder="1" applyAlignment="1">
      <alignment horizontal="right" vertical="center"/>
    </xf>
    <xf numFmtId="43" fontId="108" fillId="4" borderId="23" xfId="29" applyFont="1" applyFill="1" applyBorder="1"/>
    <xf numFmtId="0" fontId="72" fillId="0" borderId="23" xfId="0" applyFont="1" applyBorder="1"/>
    <xf numFmtId="0" fontId="72" fillId="0" borderId="23" xfId="0" applyFont="1" applyBorder="1" applyAlignment="1">
      <alignment horizontal="center"/>
    </xf>
    <xf numFmtId="0" fontId="71" fillId="0" borderId="23" xfId="0" applyFont="1" applyBorder="1"/>
    <xf numFmtId="0" fontId="71" fillId="0" borderId="23" xfId="0" applyFont="1" applyBorder="1" applyAlignment="1">
      <alignment horizontal="center"/>
    </xf>
    <xf numFmtId="0" fontId="71" fillId="0" borderId="23" xfId="0" applyFont="1" applyBorder="1" applyAlignment="1">
      <alignment wrapText="1"/>
    </xf>
    <xf numFmtId="0" fontId="28" fillId="21" borderId="15" xfId="5" applyFont="1" applyFill="1" applyBorder="1" applyAlignment="1">
      <alignment vertical="center"/>
    </xf>
    <xf numFmtId="0" fontId="25" fillId="21" borderId="15" xfId="5" applyFont="1" applyFill="1" applyBorder="1" applyAlignment="1">
      <alignment vertical="center"/>
    </xf>
    <xf numFmtId="49" fontId="17" fillId="21" borderId="15" xfId="6" applyFont="1" applyFill="1" applyBorder="1">
      <alignment horizontal="left" vertical="center"/>
    </xf>
    <xf numFmtId="49" fontId="17" fillId="21" borderId="0" xfId="6" applyFont="1" applyFill="1">
      <alignment horizontal="left" vertical="center"/>
    </xf>
    <xf numFmtId="49" fontId="25" fillId="21" borderId="15" xfId="5" applyNumberFormat="1" applyFont="1" applyFill="1" applyBorder="1" applyAlignment="1">
      <alignment horizontal="center" vertical="center"/>
    </xf>
    <xf numFmtId="0" fontId="33" fillId="21" borderId="0" xfId="0" applyFont="1" applyFill="1" applyAlignment="1">
      <alignment vertical="center"/>
    </xf>
    <xf numFmtId="49" fontId="109" fillId="21" borderId="15" xfId="6" applyFont="1" applyFill="1" applyBorder="1">
      <alignment horizontal="left" vertical="center"/>
    </xf>
    <xf numFmtId="49" fontId="95" fillId="21" borderId="15" xfId="6" applyFont="1" applyFill="1" applyBorder="1">
      <alignment horizontal="left" vertical="center"/>
    </xf>
    <xf numFmtId="49" fontId="25" fillId="21" borderId="15" xfId="5" applyNumberFormat="1" applyFont="1" applyFill="1" applyBorder="1" applyAlignment="1">
      <alignment horizontal="left" vertical="center"/>
    </xf>
    <xf numFmtId="0" fontId="19" fillId="21" borderId="15" xfId="5" applyFont="1" applyFill="1" applyBorder="1" applyAlignment="1">
      <alignment vertical="center"/>
    </xf>
    <xf numFmtId="0" fontId="22" fillId="0" borderId="0" xfId="0" applyFont="1" applyAlignment="1">
      <alignment horizontal="center" vertical="center"/>
    </xf>
    <xf numFmtId="0" fontId="15" fillId="3" borderId="0" xfId="0" applyFont="1" applyFill="1" applyAlignment="1">
      <alignment vertical="center"/>
    </xf>
    <xf numFmtId="0" fontId="20" fillId="3" borderId="0" xfId="0" applyFont="1" applyFill="1" applyAlignment="1">
      <alignment vertical="center"/>
    </xf>
    <xf numFmtId="0" fontId="20" fillId="3" borderId="0" xfId="0" applyFont="1" applyFill="1" applyAlignment="1">
      <alignment horizontal="center" vertical="center"/>
    </xf>
    <xf numFmtId="0" fontId="22" fillId="3" borderId="0" xfId="0" applyFont="1" applyFill="1" applyAlignment="1">
      <alignment horizontal="center" vertical="center"/>
    </xf>
    <xf numFmtId="0" fontId="13" fillId="0" borderId="0" xfId="24" applyFont="1" applyAlignment="1">
      <alignment horizontal="center" vertical="center"/>
    </xf>
    <xf numFmtId="1" fontId="27" fillId="0" borderId="0" xfId="0" applyNumberFormat="1" applyFont="1" applyAlignment="1">
      <alignment vertical="center"/>
    </xf>
    <xf numFmtId="0" fontId="14" fillId="0" borderId="0" xfId="23" applyFont="1"/>
    <xf numFmtId="0" fontId="125" fillId="0" borderId="0" xfId="0" applyFont="1" applyAlignment="1">
      <alignment vertical="center"/>
    </xf>
    <xf numFmtId="49" fontId="14" fillId="0" borderId="0" xfId="5" applyNumberFormat="1" applyFont="1" applyAlignment="1">
      <alignment horizontal="center"/>
    </xf>
    <xf numFmtId="0" fontId="122" fillId="0" borderId="0" xfId="0" applyFont="1" applyAlignment="1">
      <alignment vertical="center"/>
    </xf>
    <xf numFmtId="0" fontId="6" fillId="0" borderId="0" xfId="23" applyFont="1" applyAlignment="1">
      <alignment horizontal="left"/>
    </xf>
    <xf numFmtId="0" fontId="123" fillId="0" borderId="0" xfId="24" applyFont="1" applyAlignment="1">
      <alignment horizontal="left" vertical="center"/>
    </xf>
    <xf numFmtId="0" fontId="78" fillId="0" borderId="0" xfId="23" applyFont="1" applyAlignment="1">
      <alignment horizontal="left"/>
    </xf>
    <xf numFmtId="1" fontId="22" fillId="0" borderId="0" xfId="5" applyNumberFormat="1" applyFont="1" applyAlignment="1">
      <alignment horizontal="center" vertical="center"/>
    </xf>
    <xf numFmtId="0" fontId="10" fillId="0" borderId="0" xfId="119"/>
    <xf numFmtId="0" fontId="124" fillId="0" borderId="0" xfId="23" applyFont="1" applyAlignment="1">
      <alignment horizontal="left"/>
    </xf>
    <xf numFmtId="49" fontId="6" fillId="0" borderId="0" xfId="23" applyNumberFormat="1" applyFont="1"/>
    <xf numFmtId="1" fontId="5" fillId="0" borderId="0" xfId="23" applyNumberFormat="1" applyFont="1"/>
    <xf numFmtId="0" fontId="17" fillId="0" borderId="0" xfId="5" applyFont="1" applyAlignment="1">
      <alignment horizontal="left" vertical="center"/>
    </xf>
    <xf numFmtId="1" fontId="17" fillId="0" borderId="0" xfId="5" applyNumberFormat="1" applyFont="1" applyAlignment="1">
      <alignment vertical="center"/>
    </xf>
    <xf numFmtId="0" fontId="17" fillId="0" borderId="0" xfId="5" applyFont="1" applyAlignment="1">
      <alignment vertical="center"/>
    </xf>
    <xf numFmtId="0" fontId="126" fillId="0" borderId="1" xfId="0" applyFont="1" applyBorder="1" applyAlignment="1">
      <alignment horizontal="center" vertical="center"/>
    </xf>
    <xf numFmtId="0" fontId="126" fillId="0" borderId="2" xfId="0" applyFont="1" applyBorder="1" applyAlignment="1">
      <alignment horizontal="center" vertical="center"/>
    </xf>
    <xf numFmtId="0" fontId="126" fillId="0" borderId="19" xfId="0" applyFont="1" applyBorder="1" applyAlignment="1">
      <alignment horizontal="center" vertical="center"/>
    </xf>
    <xf numFmtId="0" fontId="127" fillId="0" borderId="19" xfId="0" applyFont="1" applyBorder="1" applyAlignment="1">
      <alignment horizontal="center" vertical="center"/>
    </xf>
    <xf numFmtId="0" fontId="127" fillId="28" borderId="1" xfId="0" applyFont="1" applyFill="1" applyBorder="1" applyAlignment="1">
      <alignment horizontal="center" vertical="center"/>
    </xf>
    <xf numFmtId="0" fontId="128" fillId="0" borderId="19" xfId="0" applyFont="1" applyBorder="1" applyAlignment="1">
      <alignment horizontal="center" vertical="center"/>
    </xf>
    <xf numFmtId="0" fontId="128" fillId="0" borderId="1" xfId="0" applyFont="1" applyBorder="1" applyAlignment="1">
      <alignment horizontal="center" vertical="center"/>
    </xf>
    <xf numFmtId="0" fontId="128" fillId="28" borderId="19" xfId="0" applyFont="1" applyFill="1" applyBorder="1" applyAlignment="1">
      <alignment horizontal="center" vertical="center"/>
    </xf>
    <xf numFmtId="0" fontId="128" fillId="28" borderId="1" xfId="0" applyFont="1" applyFill="1" applyBorder="1" applyAlignment="1">
      <alignment horizontal="center" vertical="center"/>
    </xf>
    <xf numFmtId="0" fontId="129" fillId="0" borderId="1" xfId="0" applyFont="1" applyBorder="1" applyAlignment="1">
      <alignment horizontal="center" vertical="center"/>
    </xf>
    <xf numFmtId="0" fontId="129" fillId="0" borderId="19" xfId="0" applyFont="1" applyBorder="1" applyAlignment="1">
      <alignment horizontal="center" vertical="center"/>
    </xf>
    <xf numFmtId="0" fontId="130" fillId="0" borderId="1" xfId="0" applyFont="1" applyBorder="1" applyAlignment="1">
      <alignment horizontal="center" vertical="center"/>
    </xf>
    <xf numFmtId="0" fontId="129" fillId="28" borderId="1" xfId="0" applyFont="1" applyFill="1" applyBorder="1" applyAlignment="1">
      <alignment horizontal="center" vertical="center"/>
    </xf>
    <xf numFmtId="0" fontId="129" fillId="0" borderId="0" xfId="0" applyFont="1" applyAlignment="1">
      <alignment horizontal="center" vertical="center"/>
    </xf>
    <xf numFmtId="0" fontId="129" fillId="28" borderId="0" xfId="0" applyFont="1" applyFill="1" applyAlignment="1">
      <alignment horizontal="center" vertical="center"/>
    </xf>
    <xf numFmtId="0" fontId="130" fillId="28" borderId="0" xfId="0" applyFont="1" applyFill="1" applyAlignment="1">
      <alignment horizontal="center" vertical="center"/>
    </xf>
    <xf numFmtId="0" fontId="130" fillId="28" borderId="1" xfId="0" applyFont="1" applyFill="1" applyBorder="1" applyAlignment="1">
      <alignment horizontal="center" vertical="center"/>
    </xf>
    <xf numFmtId="0" fontId="128" fillId="28" borderId="42" xfId="0" applyFont="1" applyFill="1" applyBorder="1" applyAlignment="1">
      <alignment horizontal="center"/>
    </xf>
    <xf numFmtId="0" fontId="126" fillId="0" borderId="43" xfId="0" applyFont="1" applyBorder="1" applyAlignment="1">
      <alignment horizontal="center" vertical="center"/>
    </xf>
    <xf numFmtId="0" fontId="126" fillId="0" borderId="44" xfId="0" applyFont="1" applyBorder="1" applyAlignment="1">
      <alignment horizontal="center" vertical="center"/>
    </xf>
    <xf numFmtId="0" fontId="127" fillId="0" borderId="43" xfId="0" applyFont="1" applyBorder="1" applyAlignment="1">
      <alignment horizontal="center" vertical="center"/>
    </xf>
    <xf numFmtId="0" fontId="127" fillId="29" borderId="43" xfId="0" applyFont="1" applyFill="1" applyBorder="1" applyAlignment="1">
      <alignment horizontal="center" vertical="center"/>
    </xf>
    <xf numFmtId="0" fontId="128" fillId="0" borderId="43" xfId="0" applyFont="1" applyBorder="1" applyAlignment="1">
      <alignment horizontal="center" vertical="center"/>
    </xf>
    <xf numFmtId="0" fontId="128" fillId="29" borderId="43" xfId="0" applyFont="1" applyFill="1" applyBorder="1" applyAlignment="1">
      <alignment horizontal="center" vertical="center"/>
    </xf>
    <xf numFmtId="0" fontId="129" fillId="0" borderId="43" xfId="0" applyFont="1" applyBorder="1" applyAlignment="1">
      <alignment horizontal="center" vertical="center"/>
    </xf>
    <xf numFmtId="0" fontId="17" fillId="21" borderId="15" xfId="5" applyFont="1" applyFill="1" applyBorder="1" applyAlignment="1">
      <alignment horizontal="center" vertical="center"/>
    </xf>
    <xf numFmtId="0" fontId="19" fillId="21" borderId="15" xfId="5" applyFont="1" applyFill="1" applyBorder="1" applyAlignment="1">
      <alignment horizontal="center" vertical="center"/>
    </xf>
    <xf numFmtId="49" fontId="17" fillId="0" borderId="0" xfId="6" applyFont="1" applyAlignment="1">
      <alignment horizontal="center" vertical="center"/>
    </xf>
    <xf numFmtId="0" fontId="5" fillId="23" borderId="0" xfId="24" applyFont="1" applyFill="1" applyAlignment="1">
      <alignment horizontal="left" vertical="center"/>
    </xf>
    <xf numFmtId="0" fontId="5" fillId="23" borderId="0" xfId="23" applyFont="1" applyFill="1" applyAlignment="1">
      <alignment horizontal="left"/>
    </xf>
    <xf numFmtId="0" fontId="0" fillId="23" borderId="0" xfId="24" applyFont="1" applyFill="1" applyAlignment="1">
      <alignment horizontal="left" vertical="center"/>
    </xf>
    <xf numFmtId="0" fontId="20" fillId="23" borderId="0" xfId="23" applyFont="1" applyFill="1" applyAlignment="1">
      <alignment horizontal="left"/>
    </xf>
    <xf numFmtId="0" fontId="33" fillId="23" borderId="0" xfId="23" applyFont="1" applyFill="1" applyAlignment="1">
      <alignment horizontal="left" indent="1"/>
    </xf>
    <xf numFmtId="0" fontId="5" fillId="23" borderId="0" xfId="24" applyFont="1" applyFill="1" applyAlignment="1">
      <alignment horizontal="center" vertical="center"/>
    </xf>
    <xf numFmtId="0" fontId="20" fillId="23" borderId="0" xfId="5" applyFont="1" applyFill="1" applyAlignment="1">
      <alignment horizontal="center" vertical="center"/>
    </xf>
    <xf numFmtId="0" fontId="0" fillId="23" borderId="0" xfId="23" applyFont="1" applyFill="1" applyAlignment="1">
      <alignment horizontal="center" vertical="center"/>
    </xf>
    <xf numFmtId="0" fontId="5" fillId="0" borderId="0" xfId="0" applyFont="1" applyAlignment="1">
      <alignment vertical="center"/>
    </xf>
    <xf numFmtId="0" fontId="123" fillId="0" borderId="0" xfId="0" applyFont="1" applyAlignment="1">
      <alignment vertical="center"/>
    </xf>
    <xf numFmtId="177" fontId="107" fillId="0" borderId="1" xfId="29" applyNumberFormat="1" applyFont="1" applyFill="1" applyBorder="1" applyAlignment="1">
      <alignment vertical="center"/>
    </xf>
    <xf numFmtId="0" fontId="15" fillId="5" borderId="37" xfId="0" applyFont="1" applyFill="1" applyBorder="1" applyAlignment="1">
      <alignment horizontal="left" vertical="center" wrapText="1"/>
    </xf>
    <xf numFmtId="0" fontId="15" fillId="5" borderId="38" xfId="0" applyFont="1" applyFill="1" applyBorder="1" applyAlignment="1">
      <alignment horizontal="left" vertical="center" wrapText="1"/>
    </xf>
    <xf numFmtId="0" fontId="115" fillId="3" borderId="31" xfId="0" applyFont="1" applyFill="1" applyBorder="1" applyAlignment="1">
      <alignment horizontal="center" vertical="center" wrapText="1"/>
    </xf>
    <xf numFmtId="0" fontId="115" fillId="3" borderId="32" xfId="0" applyFont="1" applyFill="1" applyBorder="1" applyAlignment="1">
      <alignment horizontal="center" vertical="center" wrapText="1"/>
    </xf>
    <xf numFmtId="0" fontId="115" fillId="3" borderId="33" xfId="0" applyFont="1" applyFill="1" applyBorder="1" applyAlignment="1">
      <alignment horizontal="center" vertical="center" wrapText="1"/>
    </xf>
    <xf numFmtId="0" fontId="115" fillId="3" borderId="34" xfId="0" applyFont="1" applyFill="1" applyBorder="1" applyAlignment="1">
      <alignment horizontal="center" vertical="center" wrapText="1"/>
    </xf>
    <xf numFmtId="0" fontId="15" fillId="3" borderId="35" xfId="0" applyFont="1" applyFill="1" applyBorder="1" applyAlignment="1">
      <alignment horizontal="center" vertical="center" wrapText="1"/>
    </xf>
    <xf numFmtId="0" fontId="15" fillId="3" borderId="0" xfId="0" applyFont="1" applyFill="1" applyAlignment="1">
      <alignment horizontal="center" vertical="center" wrapText="1"/>
    </xf>
    <xf numFmtId="0" fontId="15" fillId="3" borderId="36" xfId="0" applyFont="1" applyFill="1" applyBorder="1" applyAlignment="1">
      <alignment horizontal="center" vertical="center" wrapText="1"/>
    </xf>
    <xf numFmtId="0" fontId="15" fillId="5" borderId="1" xfId="0" applyFont="1" applyFill="1" applyBorder="1" applyAlignment="1">
      <alignment horizontal="left" vertical="center"/>
    </xf>
    <xf numFmtId="0" fontId="15" fillId="5" borderId="1" xfId="0" applyFont="1" applyFill="1" applyBorder="1" applyAlignment="1">
      <alignment horizontal="left" vertical="center" wrapText="1"/>
    </xf>
    <xf numFmtId="0" fontId="117" fillId="3" borderId="39" xfId="0" applyFont="1" applyFill="1" applyBorder="1" applyAlignment="1">
      <alignment horizontal="right" vertical="center" wrapText="1"/>
    </xf>
    <xf numFmtId="0" fontId="117" fillId="3" borderId="40" xfId="0" applyFont="1" applyFill="1" applyBorder="1" applyAlignment="1">
      <alignment horizontal="right" vertical="center" wrapText="1"/>
    </xf>
    <xf numFmtId="2" fontId="90" fillId="0" borderId="28" xfId="11" applyNumberFormat="1" applyFont="1" applyBorder="1" applyAlignment="1">
      <alignment horizontal="center" vertical="center" wrapText="1"/>
    </xf>
    <xf numFmtId="2" fontId="90" fillId="0" borderId="29" xfId="11" applyNumberFormat="1" applyFont="1" applyBorder="1" applyAlignment="1">
      <alignment horizontal="center" vertical="center" wrapText="1"/>
    </xf>
    <xf numFmtId="2" fontId="90" fillId="0" borderId="30" xfId="11" applyNumberFormat="1" applyFont="1" applyBorder="1" applyAlignment="1">
      <alignment horizontal="center" vertical="center" wrapText="1"/>
    </xf>
    <xf numFmtId="0" fontId="104" fillId="3" borderId="19" xfId="0" applyFont="1" applyFill="1" applyBorder="1" applyAlignment="1">
      <alignment horizontal="left" vertical="center" wrapText="1"/>
    </xf>
    <xf numFmtId="0" fontId="15" fillId="3" borderId="19" xfId="0" applyFont="1" applyFill="1" applyBorder="1" applyAlignment="1">
      <alignment horizontal="left" vertical="center" wrapText="1"/>
    </xf>
    <xf numFmtId="0" fontId="15" fillId="5" borderId="19" xfId="0" applyFont="1" applyFill="1" applyBorder="1" applyAlignment="1">
      <alignment horizontal="left" vertical="center"/>
    </xf>
    <xf numFmtId="0" fontId="15" fillId="5" borderId="19" xfId="0" applyFont="1" applyFill="1" applyBorder="1" applyAlignment="1">
      <alignment horizontal="left" vertical="center" wrapText="1"/>
    </xf>
    <xf numFmtId="1" fontId="13" fillId="21" borderId="15" xfId="10" applyNumberFormat="1" applyFont="1" applyFill="1" applyBorder="1" applyAlignment="1">
      <alignment horizontal="center" vertical="center" wrapText="1"/>
    </xf>
    <xf numFmtId="0" fontId="13" fillId="0" borderId="15" xfId="5" applyFont="1" applyBorder="1" applyAlignment="1">
      <alignment horizontal="center" vertical="center"/>
    </xf>
    <xf numFmtId="166" fontId="13" fillId="0" borderId="15" xfId="5" applyNumberFormat="1" applyFont="1" applyBorder="1" applyAlignment="1">
      <alignment horizontal="center" vertical="center"/>
    </xf>
    <xf numFmtId="1" fontId="13" fillId="0" borderId="16" xfId="10" applyNumberFormat="1" applyFont="1" applyBorder="1" applyAlignment="1">
      <alignment horizontal="center" vertical="center" wrapText="1"/>
    </xf>
    <xf numFmtId="1" fontId="13" fillId="0" borderId="18" xfId="10" applyNumberFormat="1" applyFont="1" applyBorder="1" applyAlignment="1">
      <alignment horizontal="center" vertical="center" wrapText="1"/>
    </xf>
    <xf numFmtId="1" fontId="13" fillId="0" borderId="17" xfId="10" applyNumberFormat="1" applyFont="1" applyBorder="1" applyAlignment="1">
      <alignment horizontal="center" vertical="center" wrapText="1"/>
    </xf>
    <xf numFmtId="1" fontId="13" fillId="0" borderId="15" xfId="5" applyNumberFormat="1" applyFont="1" applyBorder="1" applyAlignment="1">
      <alignment horizontal="center" vertical="center"/>
    </xf>
    <xf numFmtId="1" fontId="13" fillId="0" borderId="15" xfId="10" applyNumberFormat="1" applyFont="1" applyBorder="1" applyAlignment="1">
      <alignment horizontal="center" vertical="center" wrapText="1"/>
    </xf>
    <xf numFmtId="1" fontId="13" fillId="0" borderId="0" xfId="10" applyNumberFormat="1" applyFont="1" applyAlignment="1">
      <alignment horizontal="center" vertical="center" wrapText="1"/>
    </xf>
    <xf numFmtId="0" fontId="13" fillId="0" borderId="0" xfId="5" applyFont="1" applyAlignment="1">
      <alignment horizontal="center" vertical="center"/>
    </xf>
    <xf numFmtId="1" fontId="13" fillId="0" borderId="0" xfId="5" applyNumberFormat="1" applyFont="1" applyAlignment="1">
      <alignment horizontal="center" vertical="center"/>
    </xf>
    <xf numFmtId="1" fontId="13" fillId="0" borderId="2" xfId="10" applyNumberFormat="1" applyFont="1" applyBorder="1" applyAlignment="1">
      <alignment horizontal="center" vertical="center" wrapText="1"/>
    </xf>
    <xf numFmtId="1" fontId="13" fillId="0" borderId="3" xfId="10" applyNumberFormat="1" applyFont="1" applyBorder="1" applyAlignment="1">
      <alignment horizontal="center" vertical="center" wrapText="1"/>
    </xf>
    <xf numFmtId="1" fontId="13" fillId="0" borderId="4" xfId="10" applyNumberFormat="1" applyFont="1" applyBorder="1" applyAlignment="1">
      <alignment horizontal="center" vertical="center" wrapText="1"/>
    </xf>
    <xf numFmtId="0" fontId="13" fillId="0" borderId="1" xfId="5" applyFont="1" applyBorder="1" applyAlignment="1">
      <alignment horizontal="center" vertical="center"/>
    </xf>
    <xf numFmtId="1" fontId="13" fillId="0" borderId="1" xfId="5" applyNumberFormat="1" applyFont="1" applyBorder="1" applyAlignment="1">
      <alignment horizontal="center" vertical="center"/>
    </xf>
    <xf numFmtId="1" fontId="13" fillId="0" borderId="1" xfId="10" applyNumberFormat="1" applyFont="1" applyBorder="1" applyAlignment="1">
      <alignment horizontal="center" vertical="center" wrapText="1"/>
    </xf>
  </cellXfs>
  <cellStyles count="2256">
    <cellStyle name="20% - Accent1 2" xfId="131" xr:uid="{00000000-0005-0000-0000-000000000000}"/>
    <cellStyle name="20% - Accent2 2" xfId="132" xr:uid="{00000000-0005-0000-0000-000001000000}"/>
    <cellStyle name="20% - Accent3 2" xfId="133" xr:uid="{00000000-0005-0000-0000-000002000000}"/>
    <cellStyle name="20% - Accent4 2" xfId="134" xr:uid="{00000000-0005-0000-0000-000003000000}"/>
    <cellStyle name="20% - Accent5 2" xfId="135" xr:uid="{00000000-0005-0000-0000-000004000000}"/>
    <cellStyle name="20% - Accent6 2" xfId="136" xr:uid="{00000000-0005-0000-0000-000005000000}"/>
    <cellStyle name="40% - Accent1 2" xfId="137" xr:uid="{00000000-0005-0000-0000-000006000000}"/>
    <cellStyle name="40% - Accent2 2" xfId="138" xr:uid="{00000000-0005-0000-0000-000007000000}"/>
    <cellStyle name="40% - Accent3 2" xfId="139" xr:uid="{00000000-0005-0000-0000-000008000000}"/>
    <cellStyle name="40% - Accent4 2" xfId="140" xr:uid="{00000000-0005-0000-0000-000009000000}"/>
    <cellStyle name="40% - Accent5 2" xfId="141" xr:uid="{00000000-0005-0000-0000-00000A000000}"/>
    <cellStyle name="40% - Accent6 2" xfId="142" xr:uid="{00000000-0005-0000-0000-00000B000000}"/>
    <cellStyle name="60% - Accent1 2" xfId="143" xr:uid="{00000000-0005-0000-0000-00000C000000}"/>
    <cellStyle name="60% - Accent2 2" xfId="144" xr:uid="{00000000-0005-0000-0000-00000D000000}"/>
    <cellStyle name="60% - Accent3 2" xfId="145" xr:uid="{00000000-0005-0000-0000-00000E000000}"/>
    <cellStyle name="60% - Accent4 2" xfId="146" xr:uid="{00000000-0005-0000-0000-00000F000000}"/>
    <cellStyle name="60% - Accent5 2" xfId="147" xr:uid="{00000000-0005-0000-0000-000010000000}"/>
    <cellStyle name="60% - Accent6 2" xfId="148" xr:uid="{00000000-0005-0000-0000-000011000000}"/>
    <cellStyle name="Accent1 2" xfId="149" xr:uid="{00000000-0005-0000-0000-000012000000}"/>
    <cellStyle name="Accent2 2" xfId="150" xr:uid="{00000000-0005-0000-0000-000013000000}"/>
    <cellStyle name="Accent3 2" xfId="151" xr:uid="{00000000-0005-0000-0000-000014000000}"/>
    <cellStyle name="Accent4 2" xfId="152" xr:uid="{00000000-0005-0000-0000-000015000000}"/>
    <cellStyle name="Accent5 2" xfId="153" xr:uid="{00000000-0005-0000-0000-000016000000}"/>
    <cellStyle name="Accent6 2" xfId="154" xr:uid="{00000000-0005-0000-0000-000017000000}"/>
    <cellStyle name="Bad 2" xfId="155" xr:uid="{00000000-0005-0000-0000-000018000000}"/>
    <cellStyle name="Body" xfId="7" xr:uid="{00000000-0005-0000-0000-000019000000}"/>
    <cellStyle name="Calculation 2" xfId="156" xr:uid="{00000000-0005-0000-0000-00001A000000}"/>
    <cellStyle name="Check Cell 2" xfId="157" xr:uid="{00000000-0005-0000-0000-00001B000000}"/>
    <cellStyle name="Comma" xfId="29" builtinId="3"/>
    <cellStyle name="Comma 10" xfId="12" xr:uid="{00000000-0005-0000-0000-00001D000000}"/>
    <cellStyle name="Comma 10 10" xfId="109" xr:uid="{00000000-0005-0000-0000-00001E000000}"/>
    <cellStyle name="Comma 10 16" xfId="34" xr:uid="{00000000-0005-0000-0000-00001F000000}"/>
    <cellStyle name="Comma 10 2" xfId="2236" xr:uid="{00000000-0005-0000-0000-000020000000}"/>
    <cellStyle name="Comma 10 3" xfId="48" xr:uid="{00000000-0005-0000-0000-000021000000}"/>
    <cellStyle name="Comma 11" xfId="158" xr:uid="{00000000-0005-0000-0000-000022000000}"/>
    <cellStyle name="Comma 12 2" xfId="38" xr:uid="{00000000-0005-0000-0000-000023000000}"/>
    <cellStyle name="Comma 12 2 2 2" xfId="111" xr:uid="{00000000-0005-0000-0000-000024000000}"/>
    <cellStyle name="Comma 13" xfId="47" xr:uid="{00000000-0005-0000-0000-000025000000}"/>
    <cellStyle name="Comma 14 2" xfId="51" xr:uid="{00000000-0005-0000-0000-000026000000}"/>
    <cellStyle name="Comma 14 4" xfId="53" xr:uid="{00000000-0005-0000-0000-000027000000}"/>
    <cellStyle name="Comma 18 3" xfId="18" xr:uid="{00000000-0005-0000-0000-000028000000}"/>
    <cellStyle name="Comma 18 3 2" xfId="39" xr:uid="{00000000-0005-0000-0000-000029000000}"/>
    <cellStyle name="Comma 2" xfId="106" xr:uid="{00000000-0005-0000-0000-00002A000000}"/>
    <cellStyle name="Comma 2 10" xfId="13" xr:uid="{00000000-0005-0000-0000-00002B000000}"/>
    <cellStyle name="Comma 2 10 2" xfId="2237" xr:uid="{00000000-0005-0000-0000-00002C000000}"/>
    <cellStyle name="Comma 2 12" xfId="124" xr:uid="{00000000-0005-0000-0000-00002D000000}"/>
    <cellStyle name="Comma 2 2" xfId="117" xr:uid="{00000000-0005-0000-0000-00002E000000}"/>
    <cellStyle name="Comma 2 2 2" xfId="45" xr:uid="{00000000-0005-0000-0000-00002F000000}"/>
    <cellStyle name="Comma 2 2 2 2" xfId="161" xr:uid="{00000000-0005-0000-0000-000030000000}"/>
    <cellStyle name="Comma 2 2 2 3" xfId="64" xr:uid="{00000000-0005-0000-0000-000031000000}"/>
    <cellStyle name="Comma 2 2 3" xfId="162" xr:uid="{00000000-0005-0000-0000-000032000000}"/>
    <cellStyle name="Comma 2 2 4" xfId="163" xr:uid="{00000000-0005-0000-0000-000033000000}"/>
    <cellStyle name="Comma 2 2 5" xfId="160" xr:uid="{00000000-0005-0000-0000-000034000000}"/>
    <cellStyle name="Comma 2 2 5 3" xfId="69" xr:uid="{00000000-0005-0000-0000-000035000000}"/>
    <cellStyle name="Comma 2 3" xfId="159" xr:uid="{00000000-0005-0000-0000-000036000000}"/>
    <cellStyle name="Comma 2 57" xfId="43" xr:uid="{00000000-0005-0000-0000-000037000000}"/>
    <cellStyle name="Comma 2 59" xfId="105" xr:uid="{00000000-0005-0000-0000-000038000000}"/>
    <cellStyle name="Comma 2 8 2" xfId="72" xr:uid="{00000000-0005-0000-0000-000039000000}"/>
    <cellStyle name="Comma 24 3" xfId="83" xr:uid="{00000000-0005-0000-0000-00003A000000}"/>
    <cellStyle name="Comma 3" xfId="122" xr:uid="{00000000-0005-0000-0000-00003B000000}"/>
    <cellStyle name="Comma 3 2" xfId="164" xr:uid="{00000000-0005-0000-0000-00003C000000}"/>
    <cellStyle name="Comma 31" xfId="110" xr:uid="{00000000-0005-0000-0000-00003D000000}"/>
    <cellStyle name="Comma 4" xfId="118" xr:uid="{00000000-0005-0000-0000-00003E000000}"/>
    <cellStyle name="Comma 4 2" xfId="165" xr:uid="{00000000-0005-0000-0000-00003F000000}"/>
    <cellStyle name="Comma 42 4" xfId="103" xr:uid="{00000000-0005-0000-0000-000040000000}"/>
    <cellStyle name="Comma 43 3" xfId="102" xr:uid="{00000000-0005-0000-0000-000041000000}"/>
    <cellStyle name="Comma 45" xfId="36" xr:uid="{00000000-0005-0000-0000-000042000000}"/>
    <cellStyle name="Comma 46 2 2" xfId="54" xr:uid="{00000000-0005-0000-0000-000043000000}"/>
    <cellStyle name="Comma 46 2 2 2" xfId="58" xr:uid="{00000000-0005-0000-0000-000044000000}"/>
    <cellStyle name="Comma 47" xfId="2255" xr:uid="{F02640E5-68B4-4439-B22E-D35136B79C59}"/>
    <cellStyle name="Comma 47 2 2 2 2 2 2 2 2 2 2 2 2" xfId="42" xr:uid="{00000000-0005-0000-0000-000045000000}"/>
    <cellStyle name="Comma 48 3" xfId="101" xr:uid="{00000000-0005-0000-0000-000046000000}"/>
    <cellStyle name="Comma 5" xfId="126" xr:uid="{00000000-0005-0000-0000-000047000000}"/>
    <cellStyle name="Comma 5 2" xfId="166" xr:uid="{00000000-0005-0000-0000-000048000000}"/>
    <cellStyle name="Comma 50" xfId="104" xr:uid="{00000000-0005-0000-0000-000049000000}"/>
    <cellStyle name="Comma 53 2" xfId="100" xr:uid="{00000000-0005-0000-0000-00004A000000}"/>
    <cellStyle name="Comma 6" xfId="167" xr:uid="{00000000-0005-0000-0000-00004B000000}"/>
    <cellStyle name="Comma 68" xfId="98" xr:uid="{00000000-0005-0000-0000-00004C000000}"/>
    <cellStyle name="Comma 7" xfId="2232" xr:uid="{00000000-0005-0000-0000-00004D000000}"/>
    <cellStyle name="Comma 79" xfId="2228" xr:uid="{00000000-0005-0000-0000-00004E000000}"/>
    <cellStyle name="Comma 8" xfId="31" xr:uid="{00000000-0005-0000-0000-00004F000000}"/>
    <cellStyle name="Comma 8 3 4" xfId="80" xr:uid="{00000000-0005-0000-0000-000050000000}"/>
    <cellStyle name="Comma 83" xfId="114" xr:uid="{00000000-0005-0000-0000-000051000000}"/>
    <cellStyle name="Comma 9" xfId="2245" xr:uid="{00000000-0005-0000-0000-000052000000}"/>
    <cellStyle name="Excel Built-in Normal" xfId="8" xr:uid="{00000000-0005-0000-0000-000053000000}"/>
    <cellStyle name="Excel Built-in Normal 1" xfId="5" xr:uid="{00000000-0005-0000-0000-000054000000}"/>
    <cellStyle name="Excel Built-in Normal 1 2" xfId="169" xr:uid="{00000000-0005-0000-0000-000055000000}"/>
    <cellStyle name="Excel Built-in Normal 1 5" xfId="65" xr:uid="{00000000-0005-0000-0000-000056000000}"/>
    <cellStyle name="Excel Built-in Normal 10" xfId="75" xr:uid="{00000000-0005-0000-0000-000057000000}"/>
    <cellStyle name="Excel Built-in Normal 2" xfId="26" xr:uid="{00000000-0005-0000-0000-000058000000}"/>
    <cellStyle name="Excel Built-in Normal 2 2" xfId="171" xr:uid="{00000000-0005-0000-0000-000059000000}"/>
    <cellStyle name="Excel Built-in Normal 2 3" xfId="172" xr:uid="{00000000-0005-0000-0000-00005A000000}"/>
    <cellStyle name="Excel Built-in Normal 2 4" xfId="170" xr:uid="{00000000-0005-0000-0000-00005B000000}"/>
    <cellStyle name="Excel Built-in Normal 2 5" xfId="2251" xr:uid="{00000000-0005-0000-0000-00005C000000}"/>
    <cellStyle name="Excel Built-in Normal 3" xfId="130" xr:uid="{00000000-0005-0000-0000-00005D000000}"/>
    <cellStyle name="Excel Built-in Normal 3 2" xfId="173" xr:uid="{00000000-0005-0000-0000-00005E000000}"/>
    <cellStyle name="Excel Built-in Normal 3 3" xfId="174" xr:uid="{00000000-0005-0000-0000-00005F000000}"/>
    <cellStyle name="Excel Built-in Normal 3 4" xfId="84" xr:uid="{00000000-0005-0000-0000-000060000000}"/>
    <cellStyle name="Excel Built-in Normal 3 5" xfId="79" xr:uid="{00000000-0005-0000-0000-000061000000}"/>
    <cellStyle name="Excel Built-in Normal 3 6" xfId="87" xr:uid="{00000000-0005-0000-0000-000062000000}"/>
    <cellStyle name="Excel Built-in Normal 3 6 2" xfId="108" xr:uid="{00000000-0005-0000-0000-000063000000}"/>
    <cellStyle name="Excel Built-in Normal 4" xfId="127" xr:uid="{00000000-0005-0000-0000-000064000000}"/>
    <cellStyle name="Excel Built-in Normal 4 4" xfId="2233" xr:uid="{00000000-0005-0000-0000-000065000000}"/>
    <cellStyle name="Excel Built-in Normal 5" xfId="175" xr:uid="{00000000-0005-0000-0000-000066000000}"/>
    <cellStyle name="Excel Built-in Normal 6" xfId="176" xr:uid="{00000000-0005-0000-0000-000067000000}"/>
    <cellStyle name="Excel Built-in Normal 7" xfId="168" xr:uid="{00000000-0005-0000-0000-000068000000}"/>
    <cellStyle name="Excel Built-in Normal_PnS" xfId="177" xr:uid="{00000000-0005-0000-0000-000069000000}"/>
    <cellStyle name="Explanatory Text 2" xfId="178" xr:uid="{00000000-0005-0000-0000-00006A000000}"/>
    <cellStyle name="Good 2" xfId="179" xr:uid="{00000000-0005-0000-0000-00006B000000}"/>
    <cellStyle name="Heading 1 2" xfId="180" xr:uid="{00000000-0005-0000-0000-00006C000000}"/>
    <cellStyle name="Heading 2 2" xfId="181" xr:uid="{00000000-0005-0000-0000-00006D000000}"/>
    <cellStyle name="Heading 3 2" xfId="182" xr:uid="{00000000-0005-0000-0000-00006E000000}"/>
    <cellStyle name="Heading 4 2" xfId="183" xr:uid="{00000000-0005-0000-0000-00006F000000}"/>
    <cellStyle name="Input 2" xfId="184" xr:uid="{00000000-0005-0000-0000-000070000000}"/>
    <cellStyle name="Linked Cell 2" xfId="185" xr:uid="{00000000-0005-0000-0000-000071000000}"/>
    <cellStyle name="Neutral 2" xfId="186" xr:uid="{00000000-0005-0000-0000-000072000000}"/>
    <cellStyle name="Normal" xfId="0" builtinId="0"/>
    <cellStyle name="Normal 1" xfId="37" xr:uid="{00000000-0005-0000-0000-000074000000}"/>
    <cellStyle name="Normal 1 2" xfId="116" xr:uid="{00000000-0005-0000-0000-000075000000}"/>
    <cellStyle name="Normal 1 2 2" xfId="120" xr:uid="{00000000-0005-0000-0000-000076000000}"/>
    <cellStyle name="Normal 1 2 3" xfId="187" xr:uid="{00000000-0005-0000-0000-000077000000}"/>
    <cellStyle name="Normal 1 4" xfId="50" xr:uid="{00000000-0005-0000-0000-000078000000}"/>
    <cellStyle name="Normal 10" xfId="119" xr:uid="{00000000-0005-0000-0000-000079000000}"/>
    <cellStyle name="Normal 10 2" xfId="189" xr:uid="{00000000-0005-0000-0000-00007A000000}"/>
    <cellStyle name="Normal 10 2 2" xfId="190" xr:uid="{00000000-0005-0000-0000-00007B000000}"/>
    <cellStyle name="Normal 10 2 3" xfId="191" xr:uid="{00000000-0005-0000-0000-00007C000000}"/>
    <cellStyle name="Normal 10 2 4" xfId="192" xr:uid="{00000000-0005-0000-0000-00007D000000}"/>
    <cellStyle name="Normal 10 3" xfId="193" xr:uid="{00000000-0005-0000-0000-00007E000000}"/>
    <cellStyle name="Normal 10 3 2" xfId="194" xr:uid="{00000000-0005-0000-0000-00007F000000}"/>
    <cellStyle name="Normal 10 3 2 2" xfId="195" xr:uid="{00000000-0005-0000-0000-000080000000}"/>
    <cellStyle name="Normal 10 3 2 3" xfId="196" xr:uid="{00000000-0005-0000-0000-000081000000}"/>
    <cellStyle name="Normal 10 3 2 4" xfId="197" xr:uid="{00000000-0005-0000-0000-000082000000}"/>
    <cellStyle name="Normal 10 3 3" xfId="198" xr:uid="{00000000-0005-0000-0000-000083000000}"/>
    <cellStyle name="Normal 10 3 4" xfId="199" xr:uid="{00000000-0005-0000-0000-000084000000}"/>
    <cellStyle name="Normal 10 3 5" xfId="200" xr:uid="{00000000-0005-0000-0000-000085000000}"/>
    <cellStyle name="Normal 10 4" xfId="201" xr:uid="{00000000-0005-0000-0000-000086000000}"/>
    <cellStyle name="Normal 10 5" xfId="202" xr:uid="{00000000-0005-0000-0000-000087000000}"/>
    <cellStyle name="Normal 10 6" xfId="203" xr:uid="{00000000-0005-0000-0000-000088000000}"/>
    <cellStyle name="Normal 10 7" xfId="204" xr:uid="{00000000-0005-0000-0000-000089000000}"/>
    <cellStyle name="Normal 10 8" xfId="188" xr:uid="{00000000-0005-0000-0000-00008A000000}"/>
    <cellStyle name="Normal 11" xfId="205" xr:uid="{00000000-0005-0000-0000-00008B000000}"/>
    <cellStyle name="Normal 11 2" xfId="206" xr:uid="{00000000-0005-0000-0000-00008C000000}"/>
    <cellStyle name="Normal 11 2 2" xfId="207" xr:uid="{00000000-0005-0000-0000-00008D000000}"/>
    <cellStyle name="Normal 11 2 3" xfId="208" xr:uid="{00000000-0005-0000-0000-00008E000000}"/>
    <cellStyle name="Normal 11 2 4" xfId="209" xr:uid="{00000000-0005-0000-0000-00008F000000}"/>
    <cellStyle name="Normal 11 3" xfId="210" xr:uid="{00000000-0005-0000-0000-000090000000}"/>
    <cellStyle name="Normal 11 3 2" xfId="211" xr:uid="{00000000-0005-0000-0000-000091000000}"/>
    <cellStyle name="Normal 11 3 2 2" xfId="212" xr:uid="{00000000-0005-0000-0000-000092000000}"/>
    <cellStyle name="Normal 11 3 2 3" xfId="213" xr:uid="{00000000-0005-0000-0000-000093000000}"/>
    <cellStyle name="Normal 11 3 2 4" xfId="214" xr:uid="{00000000-0005-0000-0000-000094000000}"/>
    <cellStyle name="Normal 11 3 3" xfId="215" xr:uid="{00000000-0005-0000-0000-000095000000}"/>
    <cellStyle name="Normal 11 3 4" xfId="216" xr:uid="{00000000-0005-0000-0000-000096000000}"/>
    <cellStyle name="Normal 11 3 5" xfId="217" xr:uid="{00000000-0005-0000-0000-000097000000}"/>
    <cellStyle name="Normal 11 4" xfId="218" xr:uid="{00000000-0005-0000-0000-000098000000}"/>
    <cellStyle name="Normal 11 5" xfId="219" xr:uid="{00000000-0005-0000-0000-000099000000}"/>
    <cellStyle name="Normal 11 6" xfId="220" xr:uid="{00000000-0005-0000-0000-00009A000000}"/>
    <cellStyle name="Normal 12" xfId="221" xr:uid="{00000000-0005-0000-0000-00009B000000}"/>
    <cellStyle name="Normal 12 2" xfId="17" xr:uid="{00000000-0005-0000-0000-00009C000000}"/>
    <cellStyle name="Normal 12 2 2" xfId="71" xr:uid="{00000000-0005-0000-0000-00009D000000}"/>
    <cellStyle name="Normal 13" xfId="222" xr:uid="{00000000-0005-0000-0000-00009E000000}"/>
    <cellStyle name="Normal 13 2" xfId="223" xr:uid="{00000000-0005-0000-0000-00009F000000}"/>
    <cellStyle name="Normal 13 2 2" xfId="224" xr:uid="{00000000-0005-0000-0000-0000A0000000}"/>
    <cellStyle name="Normal 13 2 3" xfId="225" xr:uid="{00000000-0005-0000-0000-0000A1000000}"/>
    <cellStyle name="Normal 13 2 4" xfId="226" xr:uid="{00000000-0005-0000-0000-0000A2000000}"/>
    <cellStyle name="Normal 13 3" xfId="227" xr:uid="{00000000-0005-0000-0000-0000A3000000}"/>
    <cellStyle name="Normal 13 3 2" xfId="228" xr:uid="{00000000-0005-0000-0000-0000A4000000}"/>
    <cellStyle name="Normal 13 3 2 2" xfId="229" xr:uid="{00000000-0005-0000-0000-0000A5000000}"/>
    <cellStyle name="Normal 13 3 2 3" xfId="230" xr:uid="{00000000-0005-0000-0000-0000A6000000}"/>
    <cellStyle name="Normal 13 3 2 4" xfId="231" xr:uid="{00000000-0005-0000-0000-0000A7000000}"/>
    <cellStyle name="Normal 13 3 3" xfId="232" xr:uid="{00000000-0005-0000-0000-0000A8000000}"/>
    <cellStyle name="Normal 13 3 4" xfId="233" xr:uid="{00000000-0005-0000-0000-0000A9000000}"/>
    <cellStyle name="Normal 13 3 5" xfId="234" xr:uid="{00000000-0005-0000-0000-0000AA000000}"/>
    <cellStyle name="Normal 13 4" xfId="235" xr:uid="{00000000-0005-0000-0000-0000AB000000}"/>
    <cellStyle name="Normal 13 5" xfId="236" xr:uid="{00000000-0005-0000-0000-0000AC000000}"/>
    <cellStyle name="Normal 13 6" xfId="237" xr:uid="{00000000-0005-0000-0000-0000AD000000}"/>
    <cellStyle name="Normal 14" xfId="238" xr:uid="{00000000-0005-0000-0000-0000AE000000}"/>
    <cellStyle name="Normal 14 2" xfId="239" xr:uid="{00000000-0005-0000-0000-0000AF000000}"/>
    <cellStyle name="Normal 14 2 2" xfId="240" xr:uid="{00000000-0005-0000-0000-0000B0000000}"/>
    <cellStyle name="Normal 14 2 3" xfId="241" xr:uid="{00000000-0005-0000-0000-0000B1000000}"/>
    <cellStyle name="Normal 14 2 4" xfId="242" xr:uid="{00000000-0005-0000-0000-0000B2000000}"/>
    <cellStyle name="Normal 14 3" xfId="243" xr:uid="{00000000-0005-0000-0000-0000B3000000}"/>
    <cellStyle name="Normal 14 3 2" xfId="244" xr:uid="{00000000-0005-0000-0000-0000B4000000}"/>
    <cellStyle name="Normal 14 3 2 2" xfId="245" xr:uid="{00000000-0005-0000-0000-0000B5000000}"/>
    <cellStyle name="Normal 14 3 2 3" xfId="246" xr:uid="{00000000-0005-0000-0000-0000B6000000}"/>
    <cellStyle name="Normal 14 3 2 4" xfId="247" xr:uid="{00000000-0005-0000-0000-0000B7000000}"/>
    <cellStyle name="Normal 14 3 3" xfId="248" xr:uid="{00000000-0005-0000-0000-0000B8000000}"/>
    <cellStyle name="Normal 14 3 4" xfId="249" xr:uid="{00000000-0005-0000-0000-0000B9000000}"/>
    <cellStyle name="Normal 14 3 5" xfId="250" xr:uid="{00000000-0005-0000-0000-0000BA000000}"/>
    <cellStyle name="Normal 14 4" xfId="251" xr:uid="{00000000-0005-0000-0000-0000BB000000}"/>
    <cellStyle name="Normal 14 5" xfId="252" xr:uid="{00000000-0005-0000-0000-0000BC000000}"/>
    <cellStyle name="Normal 14 6" xfId="253" xr:uid="{00000000-0005-0000-0000-0000BD000000}"/>
    <cellStyle name="Normal 15" xfId="254" xr:uid="{00000000-0005-0000-0000-0000BE000000}"/>
    <cellStyle name="Normal 15 2" xfId="255" xr:uid="{00000000-0005-0000-0000-0000BF000000}"/>
    <cellStyle name="Normal 15 2 2" xfId="256" xr:uid="{00000000-0005-0000-0000-0000C0000000}"/>
    <cellStyle name="Normal 15 2 3" xfId="257" xr:uid="{00000000-0005-0000-0000-0000C1000000}"/>
    <cellStyle name="Normal 15 2 4" xfId="258" xr:uid="{00000000-0005-0000-0000-0000C2000000}"/>
    <cellStyle name="Normal 15 3" xfId="259" xr:uid="{00000000-0005-0000-0000-0000C3000000}"/>
    <cellStyle name="Normal 15 3 2" xfId="260" xr:uid="{00000000-0005-0000-0000-0000C4000000}"/>
    <cellStyle name="Normal 15 3 2 2" xfId="261" xr:uid="{00000000-0005-0000-0000-0000C5000000}"/>
    <cellStyle name="Normal 15 3 2 3" xfId="262" xr:uid="{00000000-0005-0000-0000-0000C6000000}"/>
    <cellStyle name="Normal 15 3 2 4" xfId="263" xr:uid="{00000000-0005-0000-0000-0000C7000000}"/>
    <cellStyle name="Normal 15 3 3" xfId="264" xr:uid="{00000000-0005-0000-0000-0000C8000000}"/>
    <cellStyle name="Normal 15 3 4" xfId="265" xr:uid="{00000000-0005-0000-0000-0000C9000000}"/>
    <cellStyle name="Normal 15 3 5" xfId="266" xr:uid="{00000000-0005-0000-0000-0000CA000000}"/>
    <cellStyle name="Normal 15 4" xfId="267" xr:uid="{00000000-0005-0000-0000-0000CB000000}"/>
    <cellStyle name="Normal 15 5" xfId="268" xr:uid="{00000000-0005-0000-0000-0000CC000000}"/>
    <cellStyle name="Normal 15 6" xfId="269" xr:uid="{00000000-0005-0000-0000-0000CD000000}"/>
    <cellStyle name="Normal 15 7" xfId="270" xr:uid="{00000000-0005-0000-0000-0000CE000000}"/>
    <cellStyle name="Normal 159" xfId="44" xr:uid="{00000000-0005-0000-0000-0000CF000000}"/>
    <cellStyle name="Normal 16" xfId="271" xr:uid="{00000000-0005-0000-0000-0000D0000000}"/>
    <cellStyle name="Normal 16 2" xfId="272" xr:uid="{00000000-0005-0000-0000-0000D1000000}"/>
    <cellStyle name="Normal 162" xfId="95" xr:uid="{00000000-0005-0000-0000-0000D2000000}"/>
    <cellStyle name="Normal 163" xfId="89" xr:uid="{00000000-0005-0000-0000-0000D3000000}"/>
    <cellStyle name="Normal 164" xfId="90" xr:uid="{00000000-0005-0000-0000-0000D4000000}"/>
    <cellStyle name="Normal 165" xfId="91" xr:uid="{00000000-0005-0000-0000-0000D5000000}"/>
    <cellStyle name="Normal 166" xfId="88" xr:uid="{00000000-0005-0000-0000-0000D6000000}"/>
    <cellStyle name="Normal 167" xfId="93" xr:uid="{00000000-0005-0000-0000-0000D7000000}"/>
    <cellStyle name="Normal 168" xfId="94" xr:uid="{00000000-0005-0000-0000-0000D8000000}"/>
    <cellStyle name="Normal 17" xfId="273" xr:uid="{00000000-0005-0000-0000-0000D9000000}"/>
    <cellStyle name="Normal 17 2" xfId="274" xr:uid="{00000000-0005-0000-0000-0000DA000000}"/>
    <cellStyle name="Normal 17 2 2" xfId="275" xr:uid="{00000000-0005-0000-0000-0000DB000000}"/>
    <cellStyle name="Normal 17 2 3" xfId="276" xr:uid="{00000000-0005-0000-0000-0000DC000000}"/>
    <cellStyle name="Normal 17 2 4" xfId="277" xr:uid="{00000000-0005-0000-0000-0000DD000000}"/>
    <cellStyle name="Normal 17 3" xfId="278" xr:uid="{00000000-0005-0000-0000-0000DE000000}"/>
    <cellStyle name="Normal 17 3 2" xfId="279" xr:uid="{00000000-0005-0000-0000-0000DF000000}"/>
    <cellStyle name="Normal 17 3 2 2" xfId="280" xr:uid="{00000000-0005-0000-0000-0000E0000000}"/>
    <cellStyle name="Normal 17 3 2 3" xfId="281" xr:uid="{00000000-0005-0000-0000-0000E1000000}"/>
    <cellStyle name="Normal 17 3 2 4" xfId="282" xr:uid="{00000000-0005-0000-0000-0000E2000000}"/>
    <cellStyle name="Normal 17 3 3" xfId="283" xr:uid="{00000000-0005-0000-0000-0000E3000000}"/>
    <cellStyle name="Normal 17 3 4" xfId="284" xr:uid="{00000000-0005-0000-0000-0000E4000000}"/>
    <cellStyle name="Normal 17 3 5" xfId="285" xr:uid="{00000000-0005-0000-0000-0000E5000000}"/>
    <cellStyle name="Normal 17 4" xfId="286" xr:uid="{00000000-0005-0000-0000-0000E6000000}"/>
    <cellStyle name="Normal 17 5" xfId="287" xr:uid="{00000000-0005-0000-0000-0000E7000000}"/>
    <cellStyle name="Normal 17 6" xfId="288" xr:uid="{00000000-0005-0000-0000-0000E8000000}"/>
    <cellStyle name="Normal 170" xfId="92" xr:uid="{00000000-0005-0000-0000-0000E9000000}"/>
    <cellStyle name="Normal 170 2 2" xfId="22" xr:uid="{00000000-0005-0000-0000-0000EA000000}"/>
    <cellStyle name="Normal 175" xfId="96" xr:uid="{00000000-0005-0000-0000-0000EB000000}"/>
    <cellStyle name="Normal 18" xfId="289" xr:uid="{00000000-0005-0000-0000-0000EC000000}"/>
    <cellStyle name="Normal 18 2" xfId="290" xr:uid="{00000000-0005-0000-0000-0000ED000000}"/>
    <cellStyle name="Normal 18 2 2" xfId="291" xr:uid="{00000000-0005-0000-0000-0000EE000000}"/>
    <cellStyle name="Normal 18 2 3" xfId="292" xr:uid="{00000000-0005-0000-0000-0000EF000000}"/>
    <cellStyle name="Normal 18 2 4" xfId="293" xr:uid="{00000000-0005-0000-0000-0000F0000000}"/>
    <cellStyle name="Normal 18 3" xfId="294" xr:uid="{00000000-0005-0000-0000-0000F1000000}"/>
    <cellStyle name="Normal 18 3 2" xfId="295" xr:uid="{00000000-0005-0000-0000-0000F2000000}"/>
    <cellStyle name="Normal 18 3 2 2" xfId="296" xr:uid="{00000000-0005-0000-0000-0000F3000000}"/>
    <cellStyle name="Normal 18 3 2 3" xfId="297" xr:uid="{00000000-0005-0000-0000-0000F4000000}"/>
    <cellStyle name="Normal 18 3 2 4" xfId="298" xr:uid="{00000000-0005-0000-0000-0000F5000000}"/>
    <cellStyle name="Normal 18 3 3" xfId="299" xr:uid="{00000000-0005-0000-0000-0000F6000000}"/>
    <cellStyle name="Normal 18 3 4" xfId="300" xr:uid="{00000000-0005-0000-0000-0000F7000000}"/>
    <cellStyle name="Normal 18 3 5" xfId="301" xr:uid="{00000000-0005-0000-0000-0000F8000000}"/>
    <cellStyle name="Normal 18 4" xfId="302" xr:uid="{00000000-0005-0000-0000-0000F9000000}"/>
    <cellStyle name="Normal 18 5" xfId="303" xr:uid="{00000000-0005-0000-0000-0000FA000000}"/>
    <cellStyle name="Normal 18 6" xfId="304" xr:uid="{00000000-0005-0000-0000-0000FB000000}"/>
    <cellStyle name="Normal 188" xfId="2227" xr:uid="{00000000-0005-0000-0000-0000FC000000}"/>
    <cellStyle name="Normal 19" xfId="305" xr:uid="{00000000-0005-0000-0000-0000FD000000}"/>
    <cellStyle name="Normal 192" xfId="113" xr:uid="{00000000-0005-0000-0000-0000FE000000}"/>
    <cellStyle name="Normal 193" xfId="2229" xr:uid="{00000000-0005-0000-0000-0000FF000000}"/>
    <cellStyle name="Normal 2" xfId="3" xr:uid="{00000000-0005-0000-0000-000000010000}"/>
    <cellStyle name="Normal 2 10" xfId="307" xr:uid="{00000000-0005-0000-0000-000001010000}"/>
    <cellStyle name="Normal 2 10 2" xfId="308" xr:uid="{00000000-0005-0000-0000-000002010000}"/>
    <cellStyle name="Normal 2 10 3" xfId="309" xr:uid="{00000000-0005-0000-0000-000003010000}"/>
    <cellStyle name="Normal 2 10 4" xfId="310" xr:uid="{00000000-0005-0000-0000-000004010000}"/>
    <cellStyle name="Normal 2 11" xfId="311" xr:uid="{00000000-0005-0000-0000-000005010000}"/>
    <cellStyle name="Normal 2 11 2" xfId="312" xr:uid="{00000000-0005-0000-0000-000006010000}"/>
    <cellStyle name="Normal 2 11 3" xfId="313" xr:uid="{00000000-0005-0000-0000-000007010000}"/>
    <cellStyle name="Normal 2 11 4" xfId="314" xr:uid="{00000000-0005-0000-0000-000008010000}"/>
    <cellStyle name="Normal 2 12" xfId="315" xr:uid="{00000000-0005-0000-0000-000009010000}"/>
    <cellStyle name="Normal 2 12 2" xfId="316" xr:uid="{00000000-0005-0000-0000-00000A010000}"/>
    <cellStyle name="Normal 2 12 3" xfId="317" xr:uid="{00000000-0005-0000-0000-00000B010000}"/>
    <cellStyle name="Normal 2 12 4" xfId="318" xr:uid="{00000000-0005-0000-0000-00000C010000}"/>
    <cellStyle name="Normal 2 13" xfId="319" xr:uid="{00000000-0005-0000-0000-00000D010000}"/>
    <cellStyle name="Normal 2 13 2" xfId="320" xr:uid="{00000000-0005-0000-0000-00000E010000}"/>
    <cellStyle name="Normal 2 13 3" xfId="321" xr:uid="{00000000-0005-0000-0000-00000F010000}"/>
    <cellStyle name="Normal 2 13 4" xfId="322" xr:uid="{00000000-0005-0000-0000-000010010000}"/>
    <cellStyle name="Normal 2 139" xfId="62" xr:uid="{00000000-0005-0000-0000-000011010000}"/>
    <cellStyle name="Normal 2 14" xfId="323" xr:uid="{00000000-0005-0000-0000-000012010000}"/>
    <cellStyle name="Normal 2 14 2" xfId="324" xr:uid="{00000000-0005-0000-0000-000013010000}"/>
    <cellStyle name="Normal 2 14 3" xfId="325" xr:uid="{00000000-0005-0000-0000-000014010000}"/>
    <cellStyle name="Normal 2 14 4" xfId="326" xr:uid="{00000000-0005-0000-0000-000015010000}"/>
    <cellStyle name="Normal 2 15" xfId="327" xr:uid="{00000000-0005-0000-0000-000016010000}"/>
    <cellStyle name="Normal 2 15 2" xfId="328" xr:uid="{00000000-0005-0000-0000-000017010000}"/>
    <cellStyle name="Normal 2 15 3" xfId="329" xr:uid="{00000000-0005-0000-0000-000018010000}"/>
    <cellStyle name="Normal 2 15 4" xfId="330" xr:uid="{00000000-0005-0000-0000-000019010000}"/>
    <cellStyle name="Normal 2 16" xfId="331" xr:uid="{00000000-0005-0000-0000-00001A010000}"/>
    <cellStyle name="Normal 2 16 2" xfId="332" xr:uid="{00000000-0005-0000-0000-00001B010000}"/>
    <cellStyle name="Normal 2 16 3" xfId="333" xr:uid="{00000000-0005-0000-0000-00001C010000}"/>
    <cellStyle name="Normal 2 16 4" xfId="334" xr:uid="{00000000-0005-0000-0000-00001D010000}"/>
    <cellStyle name="Normal 2 17" xfId="335" xr:uid="{00000000-0005-0000-0000-00001E010000}"/>
    <cellStyle name="Normal 2 17 2" xfId="336" xr:uid="{00000000-0005-0000-0000-00001F010000}"/>
    <cellStyle name="Normal 2 17 3" xfId="337" xr:uid="{00000000-0005-0000-0000-000020010000}"/>
    <cellStyle name="Normal 2 17 4" xfId="338" xr:uid="{00000000-0005-0000-0000-000021010000}"/>
    <cellStyle name="Normal 2 18" xfId="339" xr:uid="{00000000-0005-0000-0000-000022010000}"/>
    <cellStyle name="Normal 2 18 2" xfId="340" xr:uid="{00000000-0005-0000-0000-000023010000}"/>
    <cellStyle name="Normal 2 18 3" xfId="341" xr:uid="{00000000-0005-0000-0000-000024010000}"/>
    <cellStyle name="Normal 2 18 4" xfId="342" xr:uid="{00000000-0005-0000-0000-000025010000}"/>
    <cellStyle name="Normal 2 19" xfId="343" xr:uid="{00000000-0005-0000-0000-000026010000}"/>
    <cellStyle name="Normal 2 19 2" xfId="344" xr:uid="{00000000-0005-0000-0000-000027010000}"/>
    <cellStyle name="Normal 2 19 3" xfId="345" xr:uid="{00000000-0005-0000-0000-000028010000}"/>
    <cellStyle name="Normal 2 19 4" xfId="346" xr:uid="{00000000-0005-0000-0000-000029010000}"/>
    <cellStyle name="Normal 2 2" xfId="41" xr:uid="{00000000-0005-0000-0000-00002A010000}"/>
    <cellStyle name="Normal 2 2 10" xfId="347" xr:uid="{00000000-0005-0000-0000-00002B010000}"/>
    <cellStyle name="Normal 2 2 10 2" xfId="348" xr:uid="{00000000-0005-0000-0000-00002C010000}"/>
    <cellStyle name="Normal 2 2 10 3" xfId="349" xr:uid="{00000000-0005-0000-0000-00002D010000}"/>
    <cellStyle name="Normal 2 2 10 4" xfId="350" xr:uid="{00000000-0005-0000-0000-00002E010000}"/>
    <cellStyle name="Normal 2 2 11" xfId="351" xr:uid="{00000000-0005-0000-0000-00002F010000}"/>
    <cellStyle name="Normal 2 2 11 2" xfId="352" xr:uid="{00000000-0005-0000-0000-000030010000}"/>
    <cellStyle name="Normal 2 2 11 3" xfId="353" xr:uid="{00000000-0005-0000-0000-000031010000}"/>
    <cellStyle name="Normal 2 2 11 4" xfId="354" xr:uid="{00000000-0005-0000-0000-000032010000}"/>
    <cellStyle name="Normal 2 2 12" xfId="355" xr:uid="{00000000-0005-0000-0000-000033010000}"/>
    <cellStyle name="Normal 2 2 12 2" xfId="356" xr:uid="{00000000-0005-0000-0000-000034010000}"/>
    <cellStyle name="Normal 2 2 12 3" xfId="357" xr:uid="{00000000-0005-0000-0000-000035010000}"/>
    <cellStyle name="Normal 2 2 12 4" xfId="358" xr:uid="{00000000-0005-0000-0000-000036010000}"/>
    <cellStyle name="Normal 2 2 13" xfId="359" xr:uid="{00000000-0005-0000-0000-000037010000}"/>
    <cellStyle name="Normal 2 2 13 2" xfId="360" xr:uid="{00000000-0005-0000-0000-000038010000}"/>
    <cellStyle name="Normal 2 2 13 3" xfId="361" xr:uid="{00000000-0005-0000-0000-000039010000}"/>
    <cellStyle name="Normal 2 2 13 4" xfId="362" xr:uid="{00000000-0005-0000-0000-00003A010000}"/>
    <cellStyle name="Normal 2 2 14" xfId="363" xr:uid="{00000000-0005-0000-0000-00003B010000}"/>
    <cellStyle name="Normal 2 2 14 2" xfId="364" xr:uid="{00000000-0005-0000-0000-00003C010000}"/>
    <cellStyle name="Normal 2 2 14 3" xfId="365" xr:uid="{00000000-0005-0000-0000-00003D010000}"/>
    <cellStyle name="Normal 2 2 14 4" xfId="366" xr:uid="{00000000-0005-0000-0000-00003E010000}"/>
    <cellStyle name="Normal 2 2 15" xfId="367" xr:uid="{00000000-0005-0000-0000-00003F010000}"/>
    <cellStyle name="Normal 2 2 15 2" xfId="368" xr:uid="{00000000-0005-0000-0000-000040010000}"/>
    <cellStyle name="Normal 2 2 15 3" xfId="369" xr:uid="{00000000-0005-0000-0000-000041010000}"/>
    <cellStyle name="Normal 2 2 15 4" xfId="370" xr:uid="{00000000-0005-0000-0000-000042010000}"/>
    <cellStyle name="Normal 2 2 16" xfId="371" xr:uid="{00000000-0005-0000-0000-000043010000}"/>
    <cellStyle name="Normal 2 2 16 2" xfId="372" xr:uid="{00000000-0005-0000-0000-000044010000}"/>
    <cellStyle name="Normal 2 2 16 3" xfId="373" xr:uid="{00000000-0005-0000-0000-000045010000}"/>
    <cellStyle name="Normal 2 2 16 4" xfId="374" xr:uid="{00000000-0005-0000-0000-000046010000}"/>
    <cellStyle name="Normal 2 2 17" xfId="375" xr:uid="{00000000-0005-0000-0000-000047010000}"/>
    <cellStyle name="Normal 2 2 17 2" xfId="376" xr:uid="{00000000-0005-0000-0000-000048010000}"/>
    <cellStyle name="Normal 2 2 17 3" xfId="377" xr:uid="{00000000-0005-0000-0000-000049010000}"/>
    <cellStyle name="Normal 2 2 17 4" xfId="378" xr:uid="{00000000-0005-0000-0000-00004A010000}"/>
    <cellStyle name="Normal 2 2 18" xfId="379" xr:uid="{00000000-0005-0000-0000-00004B010000}"/>
    <cellStyle name="Normal 2 2 18 2" xfId="380" xr:uid="{00000000-0005-0000-0000-00004C010000}"/>
    <cellStyle name="Normal 2 2 18 3" xfId="381" xr:uid="{00000000-0005-0000-0000-00004D010000}"/>
    <cellStyle name="Normal 2 2 18 4" xfId="382" xr:uid="{00000000-0005-0000-0000-00004E010000}"/>
    <cellStyle name="Normal 2 2 19" xfId="383" xr:uid="{00000000-0005-0000-0000-00004F010000}"/>
    <cellStyle name="Normal 2 2 19 2" xfId="384" xr:uid="{00000000-0005-0000-0000-000050010000}"/>
    <cellStyle name="Normal 2 2 19 3" xfId="385" xr:uid="{00000000-0005-0000-0000-000051010000}"/>
    <cellStyle name="Normal 2 2 19 4" xfId="386" xr:uid="{00000000-0005-0000-0000-000052010000}"/>
    <cellStyle name="Normal 2 2 2" xfId="387" xr:uid="{00000000-0005-0000-0000-000053010000}"/>
    <cellStyle name="Normal 2 2 2 2" xfId="388" xr:uid="{00000000-0005-0000-0000-000054010000}"/>
    <cellStyle name="Normal 2 2 2 3" xfId="389" xr:uid="{00000000-0005-0000-0000-000055010000}"/>
    <cellStyle name="Normal 2 2 2 4" xfId="390" xr:uid="{00000000-0005-0000-0000-000056010000}"/>
    <cellStyle name="Normal 2 2 2 5" xfId="2254" xr:uid="{00000000-0005-0000-0000-000057010000}"/>
    <cellStyle name="Normal 2 2 20" xfId="391" xr:uid="{00000000-0005-0000-0000-000058010000}"/>
    <cellStyle name="Normal 2 2 20 2" xfId="392" xr:uid="{00000000-0005-0000-0000-000059010000}"/>
    <cellStyle name="Normal 2 2 20 3" xfId="393" xr:uid="{00000000-0005-0000-0000-00005A010000}"/>
    <cellStyle name="Normal 2 2 20 4" xfId="394" xr:uid="{00000000-0005-0000-0000-00005B010000}"/>
    <cellStyle name="Normal 2 2 21" xfId="395" xr:uid="{00000000-0005-0000-0000-00005C010000}"/>
    <cellStyle name="Normal 2 2 21 2" xfId="396" xr:uid="{00000000-0005-0000-0000-00005D010000}"/>
    <cellStyle name="Normal 2 2 21 3" xfId="397" xr:uid="{00000000-0005-0000-0000-00005E010000}"/>
    <cellStyle name="Normal 2 2 21 4" xfId="398" xr:uid="{00000000-0005-0000-0000-00005F010000}"/>
    <cellStyle name="Normal 2 2 22" xfId="399" xr:uid="{00000000-0005-0000-0000-000060010000}"/>
    <cellStyle name="Normal 2 2 22 2" xfId="400" xr:uid="{00000000-0005-0000-0000-000061010000}"/>
    <cellStyle name="Normal 2 2 22 3" xfId="401" xr:uid="{00000000-0005-0000-0000-000062010000}"/>
    <cellStyle name="Normal 2 2 22 4" xfId="402" xr:uid="{00000000-0005-0000-0000-000063010000}"/>
    <cellStyle name="Normal 2 2 23" xfId="403" xr:uid="{00000000-0005-0000-0000-000064010000}"/>
    <cellStyle name="Normal 2 2 23 2" xfId="404" xr:uid="{00000000-0005-0000-0000-000065010000}"/>
    <cellStyle name="Normal 2 2 23 3" xfId="405" xr:uid="{00000000-0005-0000-0000-000066010000}"/>
    <cellStyle name="Normal 2 2 23 4" xfId="406" xr:uid="{00000000-0005-0000-0000-000067010000}"/>
    <cellStyle name="Normal 2 2 24" xfId="407" xr:uid="{00000000-0005-0000-0000-000068010000}"/>
    <cellStyle name="Normal 2 2 24 2" xfId="408" xr:uid="{00000000-0005-0000-0000-000069010000}"/>
    <cellStyle name="Normal 2 2 24 3" xfId="409" xr:uid="{00000000-0005-0000-0000-00006A010000}"/>
    <cellStyle name="Normal 2 2 24 4" xfId="410" xr:uid="{00000000-0005-0000-0000-00006B010000}"/>
    <cellStyle name="Normal 2 2 25" xfId="411" xr:uid="{00000000-0005-0000-0000-00006C010000}"/>
    <cellStyle name="Normal 2 2 25 2" xfId="412" xr:uid="{00000000-0005-0000-0000-00006D010000}"/>
    <cellStyle name="Normal 2 2 25 3" xfId="413" xr:uid="{00000000-0005-0000-0000-00006E010000}"/>
    <cellStyle name="Normal 2 2 25 4" xfId="414" xr:uid="{00000000-0005-0000-0000-00006F010000}"/>
    <cellStyle name="Normal 2 2 26" xfId="415" xr:uid="{00000000-0005-0000-0000-000070010000}"/>
    <cellStyle name="Normal 2 2 26 2" xfId="416" xr:uid="{00000000-0005-0000-0000-000071010000}"/>
    <cellStyle name="Normal 2 2 26 3" xfId="417" xr:uid="{00000000-0005-0000-0000-000072010000}"/>
    <cellStyle name="Normal 2 2 26 4" xfId="418" xr:uid="{00000000-0005-0000-0000-000073010000}"/>
    <cellStyle name="Normal 2 2 27" xfId="419" xr:uid="{00000000-0005-0000-0000-000074010000}"/>
    <cellStyle name="Normal 2 2 27 2" xfId="420" xr:uid="{00000000-0005-0000-0000-000075010000}"/>
    <cellStyle name="Normal 2 2 27 3" xfId="421" xr:uid="{00000000-0005-0000-0000-000076010000}"/>
    <cellStyle name="Normal 2 2 27 4" xfId="422" xr:uid="{00000000-0005-0000-0000-000077010000}"/>
    <cellStyle name="Normal 2 2 28" xfId="423" xr:uid="{00000000-0005-0000-0000-000078010000}"/>
    <cellStyle name="Normal 2 2 28 2" xfId="424" xr:uid="{00000000-0005-0000-0000-000079010000}"/>
    <cellStyle name="Normal 2 2 28 3" xfId="425" xr:uid="{00000000-0005-0000-0000-00007A010000}"/>
    <cellStyle name="Normal 2 2 28 4" xfId="426" xr:uid="{00000000-0005-0000-0000-00007B010000}"/>
    <cellStyle name="Normal 2 2 29" xfId="427" xr:uid="{00000000-0005-0000-0000-00007C010000}"/>
    <cellStyle name="Normal 2 2 29 2" xfId="428" xr:uid="{00000000-0005-0000-0000-00007D010000}"/>
    <cellStyle name="Normal 2 2 29 3" xfId="429" xr:uid="{00000000-0005-0000-0000-00007E010000}"/>
    <cellStyle name="Normal 2 2 29 4" xfId="430" xr:uid="{00000000-0005-0000-0000-00007F010000}"/>
    <cellStyle name="Normal 2 2 3" xfId="28" xr:uid="{00000000-0005-0000-0000-000080010000}"/>
    <cellStyle name="Normal 2 2 3 2" xfId="432" xr:uid="{00000000-0005-0000-0000-000081010000}"/>
    <cellStyle name="Normal 2 2 3 3" xfId="433" xr:uid="{00000000-0005-0000-0000-000082010000}"/>
    <cellStyle name="Normal 2 2 3 4" xfId="434" xr:uid="{00000000-0005-0000-0000-000083010000}"/>
    <cellStyle name="Normal 2 2 3 5" xfId="431" xr:uid="{00000000-0005-0000-0000-000084010000}"/>
    <cellStyle name="Normal 2 2 3 6" xfId="2253" xr:uid="{00000000-0005-0000-0000-000085010000}"/>
    <cellStyle name="Normal 2 2 30" xfId="435" xr:uid="{00000000-0005-0000-0000-000086010000}"/>
    <cellStyle name="Normal 2 2 30 2" xfId="436" xr:uid="{00000000-0005-0000-0000-000087010000}"/>
    <cellStyle name="Normal 2 2 30 3" xfId="437" xr:uid="{00000000-0005-0000-0000-000088010000}"/>
    <cellStyle name="Normal 2 2 30 4" xfId="438" xr:uid="{00000000-0005-0000-0000-000089010000}"/>
    <cellStyle name="Normal 2 2 31" xfId="439" xr:uid="{00000000-0005-0000-0000-00008A010000}"/>
    <cellStyle name="Normal 2 2 31 2" xfId="440" xr:uid="{00000000-0005-0000-0000-00008B010000}"/>
    <cellStyle name="Normal 2 2 31 3" xfId="441" xr:uid="{00000000-0005-0000-0000-00008C010000}"/>
    <cellStyle name="Normal 2 2 31 4" xfId="442" xr:uid="{00000000-0005-0000-0000-00008D010000}"/>
    <cellStyle name="Normal 2 2 32" xfId="443" xr:uid="{00000000-0005-0000-0000-00008E010000}"/>
    <cellStyle name="Normal 2 2 32 2" xfId="444" xr:uid="{00000000-0005-0000-0000-00008F010000}"/>
    <cellStyle name="Normal 2 2 32 3" xfId="445" xr:uid="{00000000-0005-0000-0000-000090010000}"/>
    <cellStyle name="Normal 2 2 32 4" xfId="446" xr:uid="{00000000-0005-0000-0000-000091010000}"/>
    <cellStyle name="Normal 2 2 33" xfId="447" xr:uid="{00000000-0005-0000-0000-000092010000}"/>
    <cellStyle name="Normal 2 2 33 2" xfId="448" xr:uid="{00000000-0005-0000-0000-000093010000}"/>
    <cellStyle name="Normal 2 2 33 3" xfId="449" xr:uid="{00000000-0005-0000-0000-000094010000}"/>
    <cellStyle name="Normal 2 2 33 4" xfId="450" xr:uid="{00000000-0005-0000-0000-000095010000}"/>
    <cellStyle name="Normal 2 2 34" xfId="451" xr:uid="{00000000-0005-0000-0000-000096010000}"/>
    <cellStyle name="Normal 2 2 34 2" xfId="452" xr:uid="{00000000-0005-0000-0000-000097010000}"/>
    <cellStyle name="Normal 2 2 34 3" xfId="453" xr:uid="{00000000-0005-0000-0000-000098010000}"/>
    <cellStyle name="Normal 2 2 34 4" xfId="454" xr:uid="{00000000-0005-0000-0000-000099010000}"/>
    <cellStyle name="Normal 2 2 35" xfId="455" xr:uid="{00000000-0005-0000-0000-00009A010000}"/>
    <cellStyle name="Normal 2 2 35 2" xfId="456" xr:uid="{00000000-0005-0000-0000-00009B010000}"/>
    <cellStyle name="Normal 2 2 35 3" xfId="457" xr:uid="{00000000-0005-0000-0000-00009C010000}"/>
    <cellStyle name="Normal 2 2 35 4" xfId="458" xr:uid="{00000000-0005-0000-0000-00009D010000}"/>
    <cellStyle name="Normal 2 2 36" xfId="459" xr:uid="{00000000-0005-0000-0000-00009E010000}"/>
    <cellStyle name="Normal 2 2 36 2" xfId="460" xr:uid="{00000000-0005-0000-0000-00009F010000}"/>
    <cellStyle name="Normal 2 2 36 3" xfId="461" xr:uid="{00000000-0005-0000-0000-0000A0010000}"/>
    <cellStyle name="Normal 2 2 36 4" xfId="462" xr:uid="{00000000-0005-0000-0000-0000A1010000}"/>
    <cellStyle name="Normal 2 2 37" xfId="463" xr:uid="{00000000-0005-0000-0000-0000A2010000}"/>
    <cellStyle name="Normal 2 2 37 2" xfId="464" xr:uid="{00000000-0005-0000-0000-0000A3010000}"/>
    <cellStyle name="Normal 2 2 37 3" xfId="465" xr:uid="{00000000-0005-0000-0000-0000A4010000}"/>
    <cellStyle name="Normal 2 2 37 4" xfId="466" xr:uid="{00000000-0005-0000-0000-0000A5010000}"/>
    <cellStyle name="Normal 2 2 38" xfId="467" xr:uid="{00000000-0005-0000-0000-0000A6010000}"/>
    <cellStyle name="Normal 2 2 38 2" xfId="468" xr:uid="{00000000-0005-0000-0000-0000A7010000}"/>
    <cellStyle name="Normal 2 2 38 3" xfId="469" xr:uid="{00000000-0005-0000-0000-0000A8010000}"/>
    <cellStyle name="Normal 2 2 38 4" xfId="470" xr:uid="{00000000-0005-0000-0000-0000A9010000}"/>
    <cellStyle name="Normal 2 2 39" xfId="471" xr:uid="{00000000-0005-0000-0000-0000AA010000}"/>
    <cellStyle name="Normal 2 2 39 2" xfId="472" xr:uid="{00000000-0005-0000-0000-0000AB010000}"/>
    <cellStyle name="Normal 2 2 39 3" xfId="473" xr:uid="{00000000-0005-0000-0000-0000AC010000}"/>
    <cellStyle name="Normal 2 2 39 4" xfId="474" xr:uid="{00000000-0005-0000-0000-0000AD010000}"/>
    <cellStyle name="Normal 2 2 4" xfId="475" xr:uid="{00000000-0005-0000-0000-0000AE010000}"/>
    <cellStyle name="Normal 2 2 4 2" xfId="476" xr:uid="{00000000-0005-0000-0000-0000AF010000}"/>
    <cellStyle name="Normal 2 2 4 3" xfId="477" xr:uid="{00000000-0005-0000-0000-0000B0010000}"/>
    <cellStyle name="Normal 2 2 4 4" xfId="478" xr:uid="{00000000-0005-0000-0000-0000B1010000}"/>
    <cellStyle name="Normal 2 2 40" xfId="479" xr:uid="{00000000-0005-0000-0000-0000B2010000}"/>
    <cellStyle name="Normal 2 2 40 2" xfId="480" xr:uid="{00000000-0005-0000-0000-0000B3010000}"/>
    <cellStyle name="Normal 2 2 40 3" xfId="481" xr:uid="{00000000-0005-0000-0000-0000B4010000}"/>
    <cellStyle name="Normal 2 2 40 4" xfId="482" xr:uid="{00000000-0005-0000-0000-0000B5010000}"/>
    <cellStyle name="Normal 2 2 41" xfId="483" xr:uid="{00000000-0005-0000-0000-0000B6010000}"/>
    <cellStyle name="Normal 2 2 41 2" xfId="484" xr:uid="{00000000-0005-0000-0000-0000B7010000}"/>
    <cellStyle name="Normal 2 2 41 3" xfId="485" xr:uid="{00000000-0005-0000-0000-0000B8010000}"/>
    <cellStyle name="Normal 2 2 41 4" xfId="486" xr:uid="{00000000-0005-0000-0000-0000B9010000}"/>
    <cellStyle name="Normal 2 2 42" xfId="487" xr:uid="{00000000-0005-0000-0000-0000BA010000}"/>
    <cellStyle name="Normal 2 2 42 2" xfId="488" xr:uid="{00000000-0005-0000-0000-0000BB010000}"/>
    <cellStyle name="Normal 2 2 42 3" xfId="489" xr:uid="{00000000-0005-0000-0000-0000BC010000}"/>
    <cellStyle name="Normal 2 2 42 4" xfId="490" xr:uid="{00000000-0005-0000-0000-0000BD010000}"/>
    <cellStyle name="Normal 2 2 43" xfId="491" xr:uid="{00000000-0005-0000-0000-0000BE010000}"/>
    <cellStyle name="Normal 2 2 43 2" xfId="492" xr:uid="{00000000-0005-0000-0000-0000BF010000}"/>
    <cellStyle name="Normal 2 2 43 3" xfId="493" xr:uid="{00000000-0005-0000-0000-0000C0010000}"/>
    <cellStyle name="Normal 2 2 43 4" xfId="494" xr:uid="{00000000-0005-0000-0000-0000C1010000}"/>
    <cellStyle name="Normal 2 2 44" xfId="495" xr:uid="{00000000-0005-0000-0000-0000C2010000}"/>
    <cellStyle name="Normal 2 2 44 2" xfId="496" xr:uid="{00000000-0005-0000-0000-0000C3010000}"/>
    <cellStyle name="Normal 2 2 44 3" xfId="497" xr:uid="{00000000-0005-0000-0000-0000C4010000}"/>
    <cellStyle name="Normal 2 2 44 4" xfId="498" xr:uid="{00000000-0005-0000-0000-0000C5010000}"/>
    <cellStyle name="Normal 2 2 45" xfId="499" xr:uid="{00000000-0005-0000-0000-0000C6010000}"/>
    <cellStyle name="Normal 2 2 45 2" xfId="500" xr:uid="{00000000-0005-0000-0000-0000C7010000}"/>
    <cellStyle name="Normal 2 2 45 3" xfId="501" xr:uid="{00000000-0005-0000-0000-0000C8010000}"/>
    <cellStyle name="Normal 2 2 45 4" xfId="502" xr:uid="{00000000-0005-0000-0000-0000C9010000}"/>
    <cellStyle name="Normal 2 2 46" xfId="503" xr:uid="{00000000-0005-0000-0000-0000CA010000}"/>
    <cellStyle name="Normal 2 2 46 2" xfId="504" xr:uid="{00000000-0005-0000-0000-0000CB010000}"/>
    <cellStyle name="Normal 2 2 46 3" xfId="505" xr:uid="{00000000-0005-0000-0000-0000CC010000}"/>
    <cellStyle name="Normal 2 2 46 4" xfId="506" xr:uid="{00000000-0005-0000-0000-0000CD010000}"/>
    <cellStyle name="Normal 2 2 47" xfId="507" xr:uid="{00000000-0005-0000-0000-0000CE010000}"/>
    <cellStyle name="Normal 2 2 47 2" xfId="508" xr:uid="{00000000-0005-0000-0000-0000CF010000}"/>
    <cellStyle name="Normal 2 2 47 3" xfId="509" xr:uid="{00000000-0005-0000-0000-0000D0010000}"/>
    <cellStyle name="Normal 2 2 47 4" xfId="510" xr:uid="{00000000-0005-0000-0000-0000D1010000}"/>
    <cellStyle name="Normal 2 2 48" xfId="511" xr:uid="{00000000-0005-0000-0000-0000D2010000}"/>
    <cellStyle name="Normal 2 2 48 2" xfId="512" xr:uid="{00000000-0005-0000-0000-0000D3010000}"/>
    <cellStyle name="Normal 2 2 48 3" xfId="513" xr:uid="{00000000-0005-0000-0000-0000D4010000}"/>
    <cellStyle name="Normal 2 2 48 3 3" xfId="85" xr:uid="{00000000-0005-0000-0000-0000D5010000}"/>
    <cellStyle name="Normal 2 2 48 5" xfId="2231" xr:uid="{00000000-0005-0000-0000-0000D6010000}"/>
    <cellStyle name="Normal 2 2 49" xfId="514" xr:uid="{00000000-0005-0000-0000-0000D7010000}"/>
    <cellStyle name="Normal 2 2 5" xfId="515" xr:uid="{00000000-0005-0000-0000-0000D8010000}"/>
    <cellStyle name="Normal 2 2 5 2" xfId="516" xr:uid="{00000000-0005-0000-0000-0000D9010000}"/>
    <cellStyle name="Normal 2 2 5 3" xfId="517" xr:uid="{00000000-0005-0000-0000-0000DA010000}"/>
    <cellStyle name="Normal 2 2 5 4" xfId="518" xr:uid="{00000000-0005-0000-0000-0000DB010000}"/>
    <cellStyle name="Normal 2 2 50" xfId="519" xr:uid="{00000000-0005-0000-0000-0000DC010000}"/>
    <cellStyle name="Normal 2 2 51" xfId="520" xr:uid="{00000000-0005-0000-0000-0000DD010000}"/>
    <cellStyle name="Normal 2 2 52" xfId="40" xr:uid="{00000000-0005-0000-0000-0000DE010000}"/>
    <cellStyle name="Normal 2 2 52 3" xfId="81" xr:uid="{00000000-0005-0000-0000-0000DF010000}"/>
    <cellStyle name="Normal 2 2 53" xfId="2246" xr:uid="{00000000-0005-0000-0000-0000E0010000}"/>
    <cellStyle name="Normal 2 2 6" xfId="521" xr:uid="{00000000-0005-0000-0000-0000E1010000}"/>
    <cellStyle name="Normal 2 2 6 2" xfId="522" xr:uid="{00000000-0005-0000-0000-0000E2010000}"/>
    <cellStyle name="Normal 2 2 6 3" xfId="523" xr:uid="{00000000-0005-0000-0000-0000E3010000}"/>
    <cellStyle name="Normal 2 2 6 4" xfId="524" xr:uid="{00000000-0005-0000-0000-0000E4010000}"/>
    <cellStyle name="Normal 2 2 7" xfId="525" xr:uid="{00000000-0005-0000-0000-0000E5010000}"/>
    <cellStyle name="Normal 2 2 7 2" xfId="526" xr:uid="{00000000-0005-0000-0000-0000E6010000}"/>
    <cellStyle name="Normal 2 2 7 3" xfId="527" xr:uid="{00000000-0005-0000-0000-0000E7010000}"/>
    <cellStyle name="Normal 2 2 7 4" xfId="528" xr:uid="{00000000-0005-0000-0000-0000E8010000}"/>
    <cellStyle name="Normal 2 2 8" xfId="529" xr:uid="{00000000-0005-0000-0000-0000E9010000}"/>
    <cellStyle name="Normal 2 2 8 2" xfId="530" xr:uid="{00000000-0005-0000-0000-0000EA010000}"/>
    <cellStyle name="Normal 2 2 8 3" xfId="531" xr:uid="{00000000-0005-0000-0000-0000EB010000}"/>
    <cellStyle name="Normal 2 2 8 4" xfId="532" xr:uid="{00000000-0005-0000-0000-0000EC010000}"/>
    <cellStyle name="Normal 2 2 9" xfId="533" xr:uid="{00000000-0005-0000-0000-0000ED010000}"/>
    <cellStyle name="Normal 2 2 9 2" xfId="534" xr:uid="{00000000-0005-0000-0000-0000EE010000}"/>
    <cellStyle name="Normal 2 2 9 3" xfId="535" xr:uid="{00000000-0005-0000-0000-0000EF010000}"/>
    <cellStyle name="Normal 2 2 9 4" xfId="536" xr:uid="{00000000-0005-0000-0000-0000F0010000}"/>
    <cellStyle name="Normal 2 20" xfId="537" xr:uid="{00000000-0005-0000-0000-0000F1010000}"/>
    <cellStyle name="Normal 2 20 2" xfId="538" xr:uid="{00000000-0005-0000-0000-0000F2010000}"/>
    <cellStyle name="Normal 2 20 3" xfId="539" xr:uid="{00000000-0005-0000-0000-0000F3010000}"/>
    <cellStyle name="Normal 2 20 4" xfId="540" xr:uid="{00000000-0005-0000-0000-0000F4010000}"/>
    <cellStyle name="Normal 2 21" xfId="541" xr:uid="{00000000-0005-0000-0000-0000F5010000}"/>
    <cellStyle name="Normal 2 21 2" xfId="542" xr:uid="{00000000-0005-0000-0000-0000F6010000}"/>
    <cellStyle name="Normal 2 21 3" xfId="543" xr:uid="{00000000-0005-0000-0000-0000F7010000}"/>
    <cellStyle name="Normal 2 21 4" xfId="544" xr:uid="{00000000-0005-0000-0000-0000F8010000}"/>
    <cellStyle name="Normal 2 22" xfId="545" xr:uid="{00000000-0005-0000-0000-0000F9010000}"/>
    <cellStyle name="Normal 2 22 2" xfId="546" xr:uid="{00000000-0005-0000-0000-0000FA010000}"/>
    <cellStyle name="Normal 2 22 3" xfId="547" xr:uid="{00000000-0005-0000-0000-0000FB010000}"/>
    <cellStyle name="Normal 2 22 4" xfId="548" xr:uid="{00000000-0005-0000-0000-0000FC010000}"/>
    <cellStyle name="Normal 2 23" xfId="549" xr:uid="{00000000-0005-0000-0000-0000FD010000}"/>
    <cellStyle name="Normal 2 23 2" xfId="550" xr:uid="{00000000-0005-0000-0000-0000FE010000}"/>
    <cellStyle name="Normal 2 23 3" xfId="551" xr:uid="{00000000-0005-0000-0000-0000FF010000}"/>
    <cellStyle name="Normal 2 23 4" xfId="552" xr:uid="{00000000-0005-0000-0000-000000020000}"/>
    <cellStyle name="Normal 2 24" xfId="553" xr:uid="{00000000-0005-0000-0000-000001020000}"/>
    <cellStyle name="Normal 2 24 2" xfId="554" xr:uid="{00000000-0005-0000-0000-000002020000}"/>
    <cellStyle name="Normal 2 24 3" xfId="555" xr:uid="{00000000-0005-0000-0000-000003020000}"/>
    <cellStyle name="Normal 2 24 4" xfId="556" xr:uid="{00000000-0005-0000-0000-000004020000}"/>
    <cellStyle name="Normal 2 25" xfId="557" xr:uid="{00000000-0005-0000-0000-000005020000}"/>
    <cellStyle name="Normal 2 25 2" xfId="558" xr:uid="{00000000-0005-0000-0000-000006020000}"/>
    <cellStyle name="Normal 2 25 3" xfId="559" xr:uid="{00000000-0005-0000-0000-000007020000}"/>
    <cellStyle name="Normal 2 25 4" xfId="560" xr:uid="{00000000-0005-0000-0000-000008020000}"/>
    <cellStyle name="Normal 2 26" xfId="561" xr:uid="{00000000-0005-0000-0000-000009020000}"/>
    <cellStyle name="Normal 2 26 2" xfId="562" xr:uid="{00000000-0005-0000-0000-00000A020000}"/>
    <cellStyle name="Normal 2 26 3" xfId="563" xr:uid="{00000000-0005-0000-0000-00000B020000}"/>
    <cellStyle name="Normal 2 26 4" xfId="564" xr:uid="{00000000-0005-0000-0000-00000C020000}"/>
    <cellStyle name="Normal 2 27" xfId="565" xr:uid="{00000000-0005-0000-0000-00000D020000}"/>
    <cellStyle name="Normal 2 27 2" xfId="566" xr:uid="{00000000-0005-0000-0000-00000E020000}"/>
    <cellStyle name="Normal 2 27 3" xfId="567" xr:uid="{00000000-0005-0000-0000-00000F020000}"/>
    <cellStyle name="Normal 2 27 4" xfId="568" xr:uid="{00000000-0005-0000-0000-000010020000}"/>
    <cellStyle name="Normal 2 28" xfId="569" xr:uid="{00000000-0005-0000-0000-000011020000}"/>
    <cellStyle name="Normal 2 28 2" xfId="570" xr:uid="{00000000-0005-0000-0000-000012020000}"/>
    <cellStyle name="Normal 2 28 3" xfId="571" xr:uid="{00000000-0005-0000-0000-000013020000}"/>
    <cellStyle name="Normal 2 28 4" xfId="572" xr:uid="{00000000-0005-0000-0000-000014020000}"/>
    <cellStyle name="Normal 2 29" xfId="573" xr:uid="{00000000-0005-0000-0000-000015020000}"/>
    <cellStyle name="Normal 2 29 2" xfId="574" xr:uid="{00000000-0005-0000-0000-000016020000}"/>
    <cellStyle name="Normal 2 29 3" xfId="575" xr:uid="{00000000-0005-0000-0000-000017020000}"/>
    <cellStyle name="Normal 2 29 4" xfId="576" xr:uid="{00000000-0005-0000-0000-000018020000}"/>
    <cellStyle name="Normal 2 3" xfId="577" xr:uid="{00000000-0005-0000-0000-000019020000}"/>
    <cellStyle name="Normal 2 3 10" xfId="578" xr:uid="{00000000-0005-0000-0000-00001A020000}"/>
    <cellStyle name="Normal 2 3 10 2" xfId="579" xr:uid="{00000000-0005-0000-0000-00001B020000}"/>
    <cellStyle name="Normal 2 3 10 3" xfId="580" xr:uid="{00000000-0005-0000-0000-00001C020000}"/>
    <cellStyle name="Normal 2 3 10 4" xfId="581" xr:uid="{00000000-0005-0000-0000-00001D020000}"/>
    <cellStyle name="Normal 2 3 11" xfId="582" xr:uid="{00000000-0005-0000-0000-00001E020000}"/>
    <cellStyle name="Normal 2 3 11 2" xfId="583" xr:uid="{00000000-0005-0000-0000-00001F020000}"/>
    <cellStyle name="Normal 2 3 11 3" xfId="584" xr:uid="{00000000-0005-0000-0000-000020020000}"/>
    <cellStyle name="Normal 2 3 11 4" xfId="585" xr:uid="{00000000-0005-0000-0000-000021020000}"/>
    <cellStyle name="Normal 2 3 12" xfId="586" xr:uid="{00000000-0005-0000-0000-000022020000}"/>
    <cellStyle name="Normal 2 3 12 2" xfId="587" xr:uid="{00000000-0005-0000-0000-000023020000}"/>
    <cellStyle name="Normal 2 3 12 3" xfId="588" xr:uid="{00000000-0005-0000-0000-000024020000}"/>
    <cellStyle name="Normal 2 3 12 4" xfId="589" xr:uid="{00000000-0005-0000-0000-000025020000}"/>
    <cellStyle name="Normal 2 3 13" xfId="590" xr:uid="{00000000-0005-0000-0000-000026020000}"/>
    <cellStyle name="Normal 2 3 13 2" xfId="591" xr:uid="{00000000-0005-0000-0000-000027020000}"/>
    <cellStyle name="Normal 2 3 13 3" xfId="592" xr:uid="{00000000-0005-0000-0000-000028020000}"/>
    <cellStyle name="Normal 2 3 13 4" xfId="593" xr:uid="{00000000-0005-0000-0000-000029020000}"/>
    <cellStyle name="Normal 2 3 14" xfId="594" xr:uid="{00000000-0005-0000-0000-00002A020000}"/>
    <cellStyle name="Normal 2 3 14 2" xfId="595" xr:uid="{00000000-0005-0000-0000-00002B020000}"/>
    <cellStyle name="Normal 2 3 14 3" xfId="596" xr:uid="{00000000-0005-0000-0000-00002C020000}"/>
    <cellStyle name="Normal 2 3 14 4" xfId="597" xr:uid="{00000000-0005-0000-0000-00002D020000}"/>
    <cellStyle name="Normal 2 3 15" xfId="598" xr:uid="{00000000-0005-0000-0000-00002E020000}"/>
    <cellStyle name="Normal 2 3 15 2" xfId="599" xr:uid="{00000000-0005-0000-0000-00002F020000}"/>
    <cellStyle name="Normal 2 3 15 3" xfId="600" xr:uid="{00000000-0005-0000-0000-000030020000}"/>
    <cellStyle name="Normal 2 3 15 4" xfId="601" xr:uid="{00000000-0005-0000-0000-000031020000}"/>
    <cellStyle name="Normal 2 3 16" xfId="602" xr:uid="{00000000-0005-0000-0000-000032020000}"/>
    <cellStyle name="Normal 2 3 16 2" xfId="603" xr:uid="{00000000-0005-0000-0000-000033020000}"/>
    <cellStyle name="Normal 2 3 16 3" xfId="604" xr:uid="{00000000-0005-0000-0000-000034020000}"/>
    <cellStyle name="Normal 2 3 16 4" xfId="605" xr:uid="{00000000-0005-0000-0000-000035020000}"/>
    <cellStyle name="Normal 2 3 17" xfId="606" xr:uid="{00000000-0005-0000-0000-000036020000}"/>
    <cellStyle name="Normal 2 3 17 2" xfId="607" xr:uid="{00000000-0005-0000-0000-000037020000}"/>
    <cellStyle name="Normal 2 3 17 3" xfId="608" xr:uid="{00000000-0005-0000-0000-000038020000}"/>
    <cellStyle name="Normal 2 3 17 4" xfId="609" xr:uid="{00000000-0005-0000-0000-000039020000}"/>
    <cellStyle name="Normal 2 3 18" xfId="610" xr:uid="{00000000-0005-0000-0000-00003A020000}"/>
    <cellStyle name="Normal 2 3 18 2" xfId="611" xr:uid="{00000000-0005-0000-0000-00003B020000}"/>
    <cellStyle name="Normal 2 3 18 3" xfId="612" xr:uid="{00000000-0005-0000-0000-00003C020000}"/>
    <cellStyle name="Normal 2 3 18 4" xfId="613" xr:uid="{00000000-0005-0000-0000-00003D020000}"/>
    <cellStyle name="Normal 2 3 19" xfId="614" xr:uid="{00000000-0005-0000-0000-00003E020000}"/>
    <cellStyle name="Normal 2 3 19 2" xfId="615" xr:uid="{00000000-0005-0000-0000-00003F020000}"/>
    <cellStyle name="Normal 2 3 19 3" xfId="616" xr:uid="{00000000-0005-0000-0000-000040020000}"/>
    <cellStyle name="Normal 2 3 19 4" xfId="617" xr:uid="{00000000-0005-0000-0000-000041020000}"/>
    <cellStyle name="Normal 2 3 2" xfId="618" xr:uid="{00000000-0005-0000-0000-000042020000}"/>
    <cellStyle name="Normal 2 3 2 2" xfId="619" xr:uid="{00000000-0005-0000-0000-000043020000}"/>
    <cellStyle name="Normal 2 3 2 2 2" xfId="68" xr:uid="{00000000-0005-0000-0000-000044020000}"/>
    <cellStyle name="Normal 2 3 2 3" xfId="620" xr:uid="{00000000-0005-0000-0000-000045020000}"/>
    <cellStyle name="Normal 2 3 2 4" xfId="621" xr:uid="{00000000-0005-0000-0000-000046020000}"/>
    <cellStyle name="Normal 2 3 20" xfId="622" xr:uid="{00000000-0005-0000-0000-000047020000}"/>
    <cellStyle name="Normal 2 3 20 2" xfId="623" xr:uid="{00000000-0005-0000-0000-000048020000}"/>
    <cellStyle name="Normal 2 3 20 3" xfId="624" xr:uid="{00000000-0005-0000-0000-000049020000}"/>
    <cellStyle name="Normal 2 3 20 4" xfId="625" xr:uid="{00000000-0005-0000-0000-00004A020000}"/>
    <cellStyle name="Normal 2 3 21" xfId="626" xr:uid="{00000000-0005-0000-0000-00004B020000}"/>
    <cellStyle name="Normal 2 3 21 2" xfId="627" xr:uid="{00000000-0005-0000-0000-00004C020000}"/>
    <cellStyle name="Normal 2 3 21 3" xfId="628" xr:uid="{00000000-0005-0000-0000-00004D020000}"/>
    <cellStyle name="Normal 2 3 21 4" xfId="629" xr:uid="{00000000-0005-0000-0000-00004E020000}"/>
    <cellStyle name="Normal 2 3 22" xfId="630" xr:uid="{00000000-0005-0000-0000-00004F020000}"/>
    <cellStyle name="Normal 2 3 22 2" xfId="631" xr:uid="{00000000-0005-0000-0000-000050020000}"/>
    <cellStyle name="Normal 2 3 22 3" xfId="632" xr:uid="{00000000-0005-0000-0000-000051020000}"/>
    <cellStyle name="Normal 2 3 22 4" xfId="633" xr:uid="{00000000-0005-0000-0000-000052020000}"/>
    <cellStyle name="Normal 2 3 23" xfId="634" xr:uid="{00000000-0005-0000-0000-000053020000}"/>
    <cellStyle name="Normal 2 3 23 2" xfId="635" xr:uid="{00000000-0005-0000-0000-000054020000}"/>
    <cellStyle name="Normal 2 3 23 3" xfId="636" xr:uid="{00000000-0005-0000-0000-000055020000}"/>
    <cellStyle name="Normal 2 3 23 4" xfId="637" xr:uid="{00000000-0005-0000-0000-000056020000}"/>
    <cellStyle name="Normal 2 3 24" xfId="638" xr:uid="{00000000-0005-0000-0000-000057020000}"/>
    <cellStyle name="Normal 2 3 24 2" xfId="639" xr:uid="{00000000-0005-0000-0000-000058020000}"/>
    <cellStyle name="Normal 2 3 24 3" xfId="640" xr:uid="{00000000-0005-0000-0000-000059020000}"/>
    <cellStyle name="Normal 2 3 24 4" xfId="641" xr:uid="{00000000-0005-0000-0000-00005A020000}"/>
    <cellStyle name="Normal 2 3 25" xfId="642" xr:uid="{00000000-0005-0000-0000-00005B020000}"/>
    <cellStyle name="Normal 2 3 25 2" xfId="643" xr:uid="{00000000-0005-0000-0000-00005C020000}"/>
    <cellStyle name="Normal 2 3 25 3" xfId="644" xr:uid="{00000000-0005-0000-0000-00005D020000}"/>
    <cellStyle name="Normal 2 3 25 4" xfId="645" xr:uid="{00000000-0005-0000-0000-00005E020000}"/>
    <cellStyle name="Normal 2 3 26" xfId="646" xr:uid="{00000000-0005-0000-0000-00005F020000}"/>
    <cellStyle name="Normal 2 3 26 2" xfId="647" xr:uid="{00000000-0005-0000-0000-000060020000}"/>
    <cellStyle name="Normal 2 3 26 3" xfId="648" xr:uid="{00000000-0005-0000-0000-000061020000}"/>
    <cellStyle name="Normal 2 3 26 4" xfId="649" xr:uid="{00000000-0005-0000-0000-000062020000}"/>
    <cellStyle name="Normal 2 3 27" xfId="650" xr:uid="{00000000-0005-0000-0000-000063020000}"/>
    <cellStyle name="Normal 2 3 27 2" xfId="651" xr:uid="{00000000-0005-0000-0000-000064020000}"/>
    <cellStyle name="Normal 2 3 27 3" xfId="652" xr:uid="{00000000-0005-0000-0000-000065020000}"/>
    <cellStyle name="Normal 2 3 27 4" xfId="653" xr:uid="{00000000-0005-0000-0000-000066020000}"/>
    <cellStyle name="Normal 2 3 28" xfId="654" xr:uid="{00000000-0005-0000-0000-000067020000}"/>
    <cellStyle name="Normal 2 3 28 2" xfId="655" xr:uid="{00000000-0005-0000-0000-000068020000}"/>
    <cellStyle name="Normal 2 3 28 3" xfId="656" xr:uid="{00000000-0005-0000-0000-000069020000}"/>
    <cellStyle name="Normal 2 3 28 4" xfId="657" xr:uid="{00000000-0005-0000-0000-00006A020000}"/>
    <cellStyle name="Normal 2 3 29" xfId="658" xr:uid="{00000000-0005-0000-0000-00006B020000}"/>
    <cellStyle name="Normal 2 3 29 2" xfId="659" xr:uid="{00000000-0005-0000-0000-00006C020000}"/>
    <cellStyle name="Normal 2 3 29 3" xfId="660" xr:uid="{00000000-0005-0000-0000-00006D020000}"/>
    <cellStyle name="Normal 2 3 29 4" xfId="661" xr:uid="{00000000-0005-0000-0000-00006E020000}"/>
    <cellStyle name="Normal 2 3 3" xfId="662" xr:uid="{00000000-0005-0000-0000-00006F020000}"/>
    <cellStyle name="Normal 2 3 3 2" xfId="663" xr:uid="{00000000-0005-0000-0000-000070020000}"/>
    <cellStyle name="Normal 2 3 3 3" xfId="664" xr:uid="{00000000-0005-0000-0000-000071020000}"/>
    <cellStyle name="Normal 2 3 3 4" xfId="665" xr:uid="{00000000-0005-0000-0000-000072020000}"/>
    <cellStyle name="Normal 2 3 30" xfId="666" xr:uid="{00000000-0005-0000-0000-000073020000}"/>
    <cellStyle name="Normal 2 3 30 2" xfId="667" xr:uid="{00000000-0005-0000-0000-000074020000}"/>
    <cellStyle name="Normal 2 3 30 3" xfId="668" xr:uid="{00000000-0005-0000-0000-000075020000}"/>
    <cellStyle name="Normal 2 3 30 4" xfId="669" xr:uid="{00000000-0005-0000-0000-000076020000}"/>
    <cellStyle name="Normal 2 3 31" xfId="670" xr:uid="{00000000-0005-0000-0000-000077020000}"/>
    <cellStyle name="Normal 2 3 31 2" xfId="671" xr:uid="{00000000-0005-0000-0000-000078020000}"/>
    <cellStyle name="Normal 2 3 31 3" xfId="672" xr:uid="{00000000-0005-0000-0000-000079020000}"/>
    <cellStyle name="Normal 2 3 31 4" xfId="673" xr:uid="{00000000-0005-0000-0000-00007A020000}"/>
    <cellStyle name="Normal 2 3 32" xfId="674" xr:uid="{00000000-0005-0000-0000-00007B020000}"/>
    <cellStyle name="Normal 2 3 32 2" xfId="675" xr:uid="{00000000-0005-0000-0000-00007C020000}"/>
    <cellStyle name="Normal 2 3 32 3" xfId="676" xr:uid="{00000000-0005-0000-0000-00007D020000}"/>
    <cellStyle name="Normal 2 3 32 4" xfId="677" xr:uid="{00000000-0005-0000-0000-00007E020000}"/>
    <cellStyle name="Normal 2 3 33" xfId="678" xr:uid="{00000000-0005-0000-0000-00007F020000}"/>
    <cellStyle name="Normal 2 3 33 2" xfId="679" xr:uid="{00000000-0005-0000-0000-000080020000}"/>
    <cellStyle name="Normal 2 3 33 3" xfId="680" xr:uid="{00000000-0005-0000-0000-000081020000}"/>
    <cellStyle name="Normal 2 3 33 4" xfId="681" xr:uid="{00000000-0005-0000-0000-000082020000}"/>
    <cellStyle name="Normal 2 3 34" xfId="682" xr:uid="{00000000-0005-0000-0000-000083020000}"/>
    <cellStyle name="Normal 2 3 34 2" xfId="683" xr:uid="{00000000-0005-0000-0000-000084020000}"/>
    <cellStyle name="Normal 2 3 34 3" xfId="684" xr:uid="{00000000-0005-0000-0000-000085020000}"/>
    <cellStyle name="Normal 2 3 34 4" xfId="685" xr:uid="{00000000-0005-0000-0000-000086020000}"/>
    <cellStyle name="Normal 2 3 35" xfId="686" xr:uid="{00000000-0005-0000-0000-000087020000}"/>
    <cellStyle name="Normal 2 3 35 2" xfId="687" xr:uid="{00000000-0005-0000-0000-000088020000}"/>
    <cellStyle name="Normal 2 3 35 3" xfId="688" xr:uid="{00000000-0005-0000-0000-000089020000}"/>
    <cellStyle name="Normal 2 3 35 4" xfId="689" xr:uid="{00000000-0005-0000-0000-00008A020000}"/>
    <cellStyle name="Normal 2 3 36" xfId="690" xr:uid="{00000000-0005-0000-0000-00008B020000}"/>
    <cellStyle name="Normal 2 3 36 2" xfId="691" xr:uid="{00000000-0005-0000-0000-00008C020000}"/>
    <cellStyle name="Normal 2 3 36 3" xfId="692" xr:uid="{00000000-0005-0000-0000-00008D020000}"/>
    <cellStyle name="Normal 2 3 36 4" xfId="693" xr:uid="{00000000-0005-0000-0000-00008E020000}"/>
    <cellStyle name="Normal 2 3 37" xfId="694" xr:uid="{00000000-0005-0000-0000-00008F020000}"/>
    <cellStyle name="Normal 2 3 37 2" xfId="695" xr:uid="{00000000-0005-0000-0000-000090020000}"/>
    <cellStyle name="Normal 2 3 37 3" xfId="696" xr:uid="{00000000-0005-0000-0000-000091020000}"/>
    <cellStyle name="Normal 2 3 37 4" xfId="697" xr:uid="{00000000-0005-0000-0000-000092020000}"/>
    <cellStyle name="Normal 2 3 38" xfId="698" xr:uid="{00000000-0005-0000-0000-000093020000}"/>
    <cellStyle name="Normal 2 3 38 2" xfId="699" xr:uid="{00000000-0005-0000-0000-000094020000}"/>
    <cellStyle name="Normal 2 3 38 3" xfId="700" xr:uid="{00000000-0005-0000-0000-000095020000}"/>
    <cellStyle name="Normal 2 3 38 4" xfId="701" xr:uid="{00000000-0005-0000-0000-000096020000}"/>
    <cellStyle name="Normal 2 3 39" xfId="702" xr:uid="{00000000-0005-0000-0000-000097020000}"/>
    <cellStyle name="Normal 2 3 39 2" xfId="703" xr:uid="{00000000-0005-0000-0000-000098020000}"/>
    <cellStyle name="Normal 2 3 39 3" xfId="704" xr:uid="{00000000-0005-0000-0000-000099020000}"/>
    <cellStyle name="Normal 2 3 39 4" xfId="705" xr:uid="{00000000-0005-0000-0000-00009A020000}"/>
    <cellStyle name="Normal 2 3 4" xfId="706" xr:uid="{00000000-0005-0000-0000-00009B020000}"/>
    <cellStyle name="Normal 2 3 4 2" xfId="707" xr:uid="{00000000-0005-0000-0000-00009C020000}"/>
    <cellStyle name="Normal 2 3 4 3" xfId="708" xr:uid="{00000000-0005-0000-0000-00009D020000}"/>
    <cellStyle name="Normal 2 3 4 4" xfId="709" xr:uid="{00000000-0005-0000-0000-00009E020000}"/>
    <cellStyle name="Normal 2 3 40" xfId="710" xr:uid="{00000000-0005-0000-0000-00009F020000}"/>
    <cellStyle name="Normal 2 3 40 2" xfId="711" xr:uid="{00000000-0005-0000-0000-0000A0020000}"/>
    <cellStyle name="Normal 2 3 40 3" xfId="712" xr:uid="{00000000-0005-0000-0000-0000A1020000}"/>
    <cellStyle name="Normal 2 3 40 4" xfId="713" xr:uid="{00000000-0005-0000-0000-0000A2020000}"/>
    <cellStyle name="Normal 2 3 41" xfId="714" xr:uid="{00000000-0005-0000-0000-0000A3020000}"/>
    <cellStyle name="Normal 2 3 41 2" xfId="715" xr:uid="{00000000-0005-0000-0000-0000A4020000}"/>
    <cellStyle name="Normal 2 3 41 3" xfId="716" xr:uid="{00000000-0005-0000-0000-0000A5020000}"/>
    <cellStyle name="Normal 2 3 41 4" xfId="717" xr:uid="{00000000-0005-0000-0000-0000A6020000}"/>
    <cellStyle name="Normal 2 3 42" xfId="718" xr:uid="{00000000-0005-0000-0000-0000A7020000}"/>
    <cellStyle name="Normal 2 3 42 2" xfId="719" xr:uid="{00000000-0005-0000-0000-0000A8020000}"/>
    <cellStyle name="Normal 2 3 42 3" xfId="720" xr:uid="{00000000-0005-0000-0000-0000A9020000}"/>
    <cellStyle name="Normal 2 3 42 4" xfId="721" xr:uid="{00000000-0005-0000-0000-0000AA020000}"/>
    <cellStyle name="Normal 2 3 43" xfId="722" xr:uid="{00000000-0005-0000-0000-0000AB020000}"/>
    <cellStyle name="Normal 2 3 43 2" xfId="723" xr:uid="{00000000-0005-0000-0000-0000AC020000}"/>
    <cellStyle name="Normal 2 3 43 3" xfId="724" xr:uid="{00000000-0005-0000-0000-0000AD020000}"/>
    <cellStyle name="Normal 2 3 43 4" xfId="725" xr:uid="{00000000-0005-0000-0000-0000AE020000}"/>
    <cellStyle name="Normal 2 3 44" xfId="726" xr:uid="{00000000-0005-0000-0000-0000AF020000}"/>
    <cellStyle name="Normal 2 3 44 2" xfId="727" xr:uid="{00000000-0005-0000-0000-0000B0020000}"/>
    <cellStyle name="Normal 2 3 44 3" xfId="728" xr:uid="{00000000-0005-0000-0000-0000B1020000}"/>
    <cellStyle name="Normal 2 3 44 4" xfId="729" xr:uid="{00000000-0005-0000-0000-0000B2020000}"/>
    <cellStyle name="Normal 2 3 45" xfId="730" xr:uid="{00000000-0005-0000-0000-0000B3020000}"/>
    <cellStyle name="Normal 2 3 45 2" xfId="731" xr:uid="{00000000-0005-0000-0000-0000B4020000}"/>
    <cellStyle name="Normal 2 3 45 3" xfId="732" xr:uid="{00000000-0005-0000-0000-0000B5020000}"/>
    <cellStyle name="Normal 2 3 45 4" xfId="733" xr:uid="{00000000-0005-0000-0000-0000B6020000}"/>
    <cellStyle name="Normal 2 3 46" xfId="734" xr:uid="{00000000-0005-0000-0000-0000B7020000}"/>
    <cellStyle name="Normal 2 3 46 2" xfId="735" xr:uid="{00000000-0005-0000-0000-0000B8020000}"/>
    <cellStyle name="Normal 2 3 46 3" xfId="736" xr:uid="{00000000-0005-0000-0000-0000B9020000}"/>
    <cellStyle name="Normal 2 3 46 4" xfId="737" xr:uid="{00000000-0005-0000-0000-0000BA020000}"/>
    <cellStyle name="Normal 2 3 47" xfId="738" xr:uid="{00000000-0005-0000-0000-0000BB020000}"/>
    <cellStyle name="Normal 2 3 47 2" xfId="739" xr:uid="{00000000-0005-0000-0000-0000BC020000}"/>
    <cellStyle name="Normal 2 3 47 3" xfId="740" xr:uid="{00000000-0005-0000-0000-0000BD020000}"/>
    <cellStyle name="Normal 2 3 47 4" xfId="741" xr:uid="{00000000-0005-0000-0000-0000BE020000}"/>
    <cellStyle name="Normal 2 3 48" xfId="742" xr:uid="{00000000-0005-0000-0000-0000BF020000}"/>
    <cellStyle name="Normal 2 3 48 8" xfId="70" xr:uid="{00000000-0005-0000-0000-0000C0020000}"/>
    <cellStyle name="Normal 2 3 49" xfId="743" xr:uid="{00000000-0005-0000-0000-0000C1020000}"/>
    <cellStyle name="Normal 2 3 5" xfId="744" xr:uid="{00000000-0005-0000-0000-0000C2020000}"/>
    <cellStyle name="Normal 2 3 5 2" xfId="745" xr:uid="{00000000-0005-0000-0000-0000C3020000}"/>
    <cellStyle name="Normal 2 3 5 3" xfId="746" xr:uid="{00000000-0005-0000-0000-0000C4020000}"/>
    <cellStyle name="Normal 2 3 5 4" xfId="747" xr:uid="{00000000-0005-0000-0000-0000C5020000}"/>
    <cellStyle name="Normal 2 3 50" xfId="2247" xr:uid="{00000000-0005-0000-0000-0000C6020000}"/>
    <cellStyle name="Normal 2 3 6" xfId="748" xr:uid="{00000000-0005-0000-0000-0000C7020000}"/>
    <cellStyle name="Normal 2 3 6 2" xfId="749" xr:uid="{00000000-0005-0000-0000-0000C8020000}"/>
    <cellStyle name="Normal 2 3 6 3" xfId="750" xr:uid="{00000000-0005-0000-0000-0000C9020000}"/>
    <cellStyle name="Normal 2 3 6 4" xfId="751" xr:uid="{00000000-0005-0000-0000-0000CA020000}"/>
    <cellStyle name="Normal 2 3 7" xfId="752" xr:uid="{00000000-0005-0000-0000-0000CB020000}"/>
    <cellStyle name="Normal 2 3 7 2" xfId="753" xr:uid="{00000000-0005-0000-0000-0000CC020000}"/>
    <cellStyle name="Normal 2 3 7 3" xfId="754" xr:uid="{00000000-0005-0000-0000-0000CD020000}"/>
    <cellStyle name="Normal 2 3 7 4" xfId="755" xr:uid="{00000000-0005-0000-0000-0000CE020000}"/>
    <cellStyle name="Normal 2 3 8" xfId="756" xr:uid="{00000000-0005-0000-0000-0000CF020000}"/>
    <cellStyle name="Normal 2 3 8 2" xfId="757" xr:uid="{00000000-0005-0000-0000-0000D0020000}"/>
    <cellStyle name="Normal 2 3 8 3" xfId="758" xr:uid="{00000000-0005-0000-0000-0000D1020000}"/>
    <cellStyle name="Normal 2 3 8 4" xfId="759" xr:uid="{00000000-0005-0000-0000-0000D2020000}"/>
    <cellStyle name="Normal 2 3 9" xfId="760" xr:uid="{00000000-0005-0000-0000-0000D3020000}"/>
    <cellStyle name="Normal 2 3 9 2" xfId="761" xr:uid="{00000000-0005-0000-0000-0000D4020000}"/>
    <cellStyle name="Normal 2 3 9 3" xfId="762" xr:uid="{00000000-0005-0000-0000-0000D5020000}"/>
    <cellStyle name="Normal 2 3 9 4" xfId="763" xr:uid="{00000000-0005-0000-0000-0000D6020000}"/>
    <cellStyle name="Normal 2 30" xfId="764" xr:uid="{00000000-0005-0000-0000-0000D7020000}"/>
    <cellStyle name="Normal 2 30 2" xfId="765" xr:uid="{00000000-0005-0000-0000-0000D8020000}"/>
    <cellStyle name="Normal 2 30 3" xfId="766" xr:uid="{00000000-0005-0000-0000-0000D9020000}"/>
    <cellStyle name="Normal 2 30 4" xfId="767" xr:uid="{00000000-0005-0000-0000-0000DA020000}"/>
    <cellStyle name="Normal 2 31" xfId="768" xr:uid="{00000000-0005-0000-0000-0000DB020000}"/>
    <cellStyle name="Normal 2 31 2" xfId="769" xr:uid="{00000000-0005-0000-0000-0000DC020000}"/>
    <cellStyle name="Normal 2 31 3" xfId="770" xr:uid="{00000000-0005-0000-0000-0000DD020000}"/>
    <cellStyle name="Normal 2 31 4" xfId="771" xr:uid="{00000000-0005-0000-0000-0000DE020000}"/>
    <cellStyle name="Normal 2 32" xfId="772" xr:uid="{00000000-0005-0000-0000-0000DF020000}"/>
    <cellStyle name="Normal 2 32 2" xfId="773" xr:uid="{00000000-0005-0000-0000-0000E0020000}"/>
    <cellStyle name="Normal 2 32 3" xfId="774" xr:uid="{00000000-0005-0000-0000-0000E1020000}"/>
    <cellStyle name="Normal 2 32 4" xfId="775" xr:uid="{00000000-0005-0000-0000-0000E2020000}"/>
    <cellStyle name="Normal 2 33" xfId="776" xr:uid="{00000000-0005-0000-0000-0000E3020000}"/>
    <cellStyle name="Normal 2 33 2" xfId="777" xr:uid="{00000000-0005-0000-0000-0000E4020000}"/>
    <cellStyle name="Normal 2 33 3" xfId="778" xr:uid="{00000000-0005-0000-0000-0000E5020000}"/>
    <cellStyle name="Normal 2 33 4" xfId="779" xr:uid="{00000000-0005-0000-0000-0000E6020000}"/>
    <cellStyle name="Normal 2 34" xfId="780" xr:uid="{00000000-0005-0000-0000-0000E7020000}"/>
    <cellStyle name="Normal 2 34 2" xfId="781" xr:uid="{00000000-0005-0000-0000-0000E8020000}"/>
    <cellStyle name="Normal 2 34 3" xfId="782" xr:uid="{00000000-0005-0000-0000-0000E9020000}"/>
    <cellStyle name="Normal 2 34 4" xfId="783" xr:uid="{00000000-0005-0000-0000-0000EA020000}"/>
    <cellStyle name="Normal 2 35" xfId="784" xr:uid="{00000000-0005-0000-0000-0000EB020000}"/>
    <cellStyle name="Normal 2 35 2" xfId="785" xr:uid="{00000000-0005-0000-0000-0000EC020000}"/>
    <cellStyle name="Normal 2 35 3" xfId="786" xr:uid="{00000000-0005-0000-0000-0000ED020000}"/>
    <cellStyle name="Normal 2 35 4" xfId="787" xr:uid="{00000000-0005-0000-0000-0000EE020000}"/>
    <cellStyle name="Normal 2 36" xfId="788" xr:uid="{00000000-0005-0000-0000-0000EF020000}"/>
    <cellStyle name="Normal 2 36 2" xfId="789" xr:uid="{00000000-0005-0000-0000-0000F0020000}"/>
    <cellStyle name="Normal 2 36 3" xfId="790" xr:uid="{00000000-0005-0000-0000-0000F1020000}"/>
    <cellStyle name="Normal 2 36 4" xfId="791" xr:uid="{00000000-0005-0000-0000-0000F2020000}"/>
    <cellStyle name="Normal 2 37" xfId="792" xr:uid="{00000000-0005-0000-0000-0000F3020000}"/>
    <cellStyle name="Normal 2 37 2" xfId="793" xr:uid="{00000000-0005-0000-0000-0000F4020000}"/>
    <cellStyle name="Normal 2 37 3" xfId="794" xr:uid="{00000000-0005-0000-0000-0000F5020000}"/>
    <cellStyle name="Normal 2 37 4" xfId="795" xr:uid="{00000000-0005-0000-0000-0000F6020000}"/>
    <cellStyle name="Normal 2 38" xfId="796" xr:uid="{00000000-0005-0000-0000-0000F7020000}"/>
    <cellStyle name="Normal 2 38 2" xfId="797" xr:uid="{00000000-0005-0000-0000-0000F8020000}"/>
    <cellStyle name="Normal 2 38 3" xfId="798" xr:uid="{00000000-0005-0000-0000-0000F9020000}"/>
    <cellStyle name="Normal 2 38 4" xfId="799" xr:uid="{00000000-0005-0000-0000-0000FA020000}"/>
    <cellStyle name="Normal 2 39" xfId="800" xr:uid="{00000000-0005-0000-0000-0000FB020000}"/>
    <cellStyle name="Normal 2 39 2" xfId="801" xr:uid="{00000000-0005-0000-0000-0000FC020000}"/>
    <cellStyle name="Normal 2 39 3" xfId="802" xr:uid="{00000000-0005-0000-0000-0000FD020000}"/>
    <cellStyle name="Normal 2 39 4" xfId="803" xr:uid="{00000000-0005-0000-0000-0000FE020000}"/>
    <cellStyle name="Normal 2 4" xfId="27" xr:uid="{00000000-0005-0000-0000-0000FF020000}"/>
    <cellStyle name="Normal 2 4 2" xfId="805" xr:uid="{00000000-0005-0000-0000-000000030000}"/>
    <cellStyle name="Normal 2 4 2 2" xfId="806" xr:uid="{00000000-0005-0000-0000-000001030000}"/>
    <cellStyle name="Normal 2 4 2 3" xfId="807" xr:uid="{00000000-0005-0000-0000-000002030000}"/>
    <cellStyle name="Normal 2 4 2 4" xfId="808" xr:uid="{00000000-0005-0000-0000-000003030000}"/>
    <cellStyle name="Normal 2 4 3" xfId="809" xr:uid="{00000000-0005-0000-0000-000004030000}"/>
    <cellStyle name="Normal 2 4 4" xfId="810" xr:uid="{00000000-0005-0000-0000-000005030000}"/>
    <cellStyle name="Normal 2 4 5" xfId="811" xr:uid="{00000000-0005-0000-0000-000006030000}"/>
    <cellStyle name="Normal 2 4 6" xfId="804" xr:uid="{00000000-0005-0000-0000-000007030000}"/>
    <cellStyle name="Normal 2 40" xfId="812" xr:uid="{00000000-0005-0000-0000-000008030000}"/>
    <cellStyle name="Normal 2 40 2" xfId="813" xr:uid="{00000000-0005-0000-0000-000009030000}"/>
    <cellStyle name="Normal 2 40 3" xfId="814" xr:uid="{00000000-0005-0000-0000-00000A030000}"/>
    <cellStyle name="Normal 2 40 4" xfId="815" xr:uid="{00000000-0005-0000-0000-00000B030000}"/>
    <cellStyle name="Normal 2 41" xfId="816" xr:uid="{00000000-0005-0000-0000-00000C030000}"/>
    <cellStyle name="Normal 2 41 2" xfId="817" xr:uid="{00000000-0005-0000-0000-00000D030000}"/>
    <cellStyle name="Normal 2 41 3" xfId="818" xr:uid="{00000000-0005-0000-0000-00000E030000}"/>
    <cellStyle name="Normal 2 41 4" xfId="819" xr:uid="{00000000-0005-0000-0000-00000F030000}"/>
    <cellStyle name="Normal 2 42" xfId="820" xr:uid="{00000000-0005-0000-0000-000010030000}"/>
    <cellStyle name="Normal 2 42 2" xfId="821" xr:uid="{00000000-0005-0000-0000-000011030000}"/>
    <cellStyle name="Normal 2 42 3" xfId="822" xr:uid="{00000000-0005-0000-0000-000012030000}"/>
    <cellStyle name="Normal 2 42 4" xfId="823" xr:uid="{00000000-0005-0000-0000-000013030000}"/>
    <cellStyle name="Normal 2 43" xfId="824" xr:uid="{00000000-0005-0000-0000-000014030000}"/>
    <cellStyle name="Normal 2 43 2" xfId="825" xr:uid="{00000000-0005-0000-0000-000015030000}"/>
    <cellStyle name="Normal 2 43 3" xfId="826" xr:uid="{00000000-0005-0000-0000-000016030000}"/>
    <cellStyle name="Normal 2 43 4" xfId="827" xr:uid="{00000000-0005-0000-0000-000017030000}"/>
    <cellStyle name="Normal 2 44" xfId="828" xr:uid="{00000000-0005-0000-0000-000018030000}"/>
    <cellStyle name="Normal 2 44 2" xfId="829" xr:uid="{00000000-0005-0000-0000-000019030000}"/>
    <cellStyle name="Normal 2 44 3" xfId="830" xr:uid="{00000000-0005-0000-0000-00001A030000}"/>
    <cellStyle name="Normal 2 44 4" xfId="831" xr:uid="{00000000-0005-0000-0000-00001B030000}"/>
    <cellStyle name="Normal 2 45" xfId="832" xr:uid="{00000000-0005-0000-0000-00001C030000}"/>
    <cellStyle name="Normal 2 45 2" xfId="833" xr:uid="{00000000-0005-0000-0000-00001D030000}"/>
    <cellStyle name="Normal 2 45 3" xfId="834" xr:uid="{00000000-0005-0000-0000-00001E030000}"/>
    <cellStyle name="Normal 2 45 4" xfId="835" xr:uid="{00000000-0005-0000-0000-00001F030000}"/>
    <cellStyle name="Normal 2 46" xfId="836" xr:uid="{00000000-0005-0000-0000-000020030000}"/>
    <cellStyle name="Normal 2 46 2" xfId="837" xr:uid="{00000000-0005-0000-0000-000021030000}"/>
    <cellStyle name="Normal 2 46 3" xfId="838" xr:uid="{00000000-0005-0000-0000-000022030000}"/>
    <cellStyle name="Normal 2 46 4" xfId="839" xr:uid="{00000000-0005-0000-0000-000023030000}"/>
    <cellStyle name="Normal 2 47" xfId="840" xr:uid="{00000000-0005-0000-0000-000024030000}"/>
    <cellStyle name="Normal 2 47 2" xfId="841" xr:uid="{00000000-0005-0000-0000-000025030000}"/>
    <cellStyle name="Normal 2 47 3" xfId="842" xr:uid="{00000000-0005-0000-0000-000026030000}"/>
    <cellStyle name="Normal 2 47 4" xfId="843" xr:uid="{00000000-0005-0000-0000-000027030000}"/>
    <cellStyle name="Normal 2 48" xfId="844" xr:uid="{00000000-0005-0000-0000-000028030000}"/>
    <cellStyle name="Normal 2 48 2" xfId="845" xr:uid="{00000000-0005-0000-0000-000029030000}"/>
    <cellStyle name="Normal 2 48 3" xfId="846" xr:uid="{00000000-0005-0000-0000-00002A030000}"/>
    <cellStyle name="Normal 2 48 4" xfId="847" xr:uid="{00000000-0005-0000-0000-00002B030000}"/>
    <cellStyle name="Normal 2 49" xfId="848" xr:uid="{00000000-0005-0000-0000-00002C030000}"/>
    <cellStyle name="Normal 2 49 2" xfId="849" xr:uid="{00000000-0005-0000-0000-00002D030000}"/>
    <cellStyle name="Normal 2 49 3" xfId="850" xr:uid="{00000000-0005-0000-0000-00002E030000}"/>
    <cellStyle name="Normal 2 49 4" xfId="851" xr:uid="{00000000-0005-0000-0000-00002F030000}"/>
    <cellStyle name="Normal 2 5" xfId="852" xr:uid="{00000000-0005-0000-0000-000030030000}"/>
    <cellStyle name="Normal 2 5 2" xfId="853" xr:uid="{00000000-0005-0000-0000-000031030000}"/>
    <cellStyle name="Normal 2 5 3" xfId="854" xr:uid="{00000000-0005-0000-0000-000032030000}"/>
    <cellStyle name="Normal 2 5 4" xfId="855" xr:uid="{00000000-0005-0000-0000-000033030000}"/>
    <cellStyle name="Normal 2 50" xfId="856" xr:uid="{00000000-0005-0000-0000-000034030000}"/>
    <cellStyle name="Normal 2 50 2" xfId="857" xr:uid="{00000000-0005-0000-0000-000035030000}"/>
    <cellStyle name="Normal 2 50 2 2" xfId="858" xr:uid="{00000000-0005-0000-0000-000036030000}"/>
    <cellStyle name="Normal 2 50 2 3" xfId="859" xr:uid="{00000000-0005-0000-0000-000037030000}"/>
    <cellStyle name="Normal 2 50 3" xfId="860" xr:uid="{00000000-0005-0000-0000-000038030000}"/>
    <cellStyle name="Normal 2 50 4" xfId="861" xr:uid="{00000000-0005-0000-0000-000039030000}"/>
    <cellStyle name="Normal 2 50 5" xfId="862" xr:uid="{00000000-0005-0000-0000-00003A030000}"/>
    <cellStyle name="Normal 2 51" xfId="863" xr:uid="{00000000-0005-0000-0000-00003B030000}"/>
    <cellStyle name="Normal 2 51 2" xfId="864" xr:uid="{00000000-0005-0000-0000-00003C030000}"/>
    <cellStyle name="Normal 2 51 2 2" xfId="865" xr:uid="{00000000-0005-0000-0000-00003D030000}"/>
    <cellStyle name="Normal 2 51 3" xfId="866" xr:uid="{00000000-0005-0000-0000-00003E030000}"/>
    <cellStyle name="Normal 2 51 4" xfId="867" xr:uid="{00000000-0005-0000-0000-00003F030000}"/>
    <cellStyle name="Normal 2 51 5" xfId="868" xr:uid="{00000000-0005-0000-0000-000040030000}"/>
    <cellStyle name="Normal 2 52" xfId="869" xr:uid="{00000000-0005-0000-0000-000041030000}"/>
    <cellStyle name="Normal 2 53" xfId="870" xr:uid="{00000000-0005-0000-0000-000042030000}"/>
    <cellStyle name="Normal 2 54" xfId="871" xr:uid="{00000000-0005-0000-0000-000043030000}"/>
    <cellStyle name="Normal 2 55" xfId="306" xr:uid="{00000000-0005-0000-0000-000044030000}"/>
    <cellStyle name="Normal 2 56" xfId="125" xr:uid="{00000000-0005-0000-0000-000045030000}"/>
    <cellStyle name="Normal 2 6" xfId="872" xr:uid="{00000000-0005-0000-0000-000046030000}"/>
    <cellStyle name="Normal 2 6 2" xfId="873" xr:uid="{00000000-0005-0000-0000-000047030000}"/>
    <cellStyle name="Normal 2 6 3" xfId="874" xr:uid="{00000000-0005-0000-0000-000048030000}"/>
    <cellStyle name="Normal 2 6 4" xfId="875" xr:uid="{00000000-0005-0000-0000-000049030000}"/>
    <cellStyle name="Normal 2 7" xfId="876" xr:uid="{00000000-0005-0000-0000-00004A030000}"/>
    <cellStyle name="Normal 2 7 2" xfId="877" xr:uid="{00000000-0005-0000-0000-00004B030000}"/>
    <cellStyle name="Normal 2 7 3" xfId="878" xr:uid="{00000000-0005-0000-0000-00004C030000}"/>
    <cellStyle name="Normal 2 7 4" xfId="879" xr:uid="{00000000-0005-0000-0000-00004D030000}"/>
    <cellStyle name="Normal 2 78" xfId="33" xr:uid="{00000000-0005-0000-0000-00004E030000}"/>
    <cellStyle name="Normal 2 8" xfId="880" xr:uid="{00000000-0005-0000-0000-00004F030000}"/>
    <cellStyle name="Normal 2 8 2" xfId="881" xr:uid="{00000000-0005-0000-0000-000050030000}"/>
    <cellStyle name="Normal 2 8 3" xfId="882" xr:uid="{00000000-0005-0000-0000-000051030000}"/>
    <cellStyle name="Normal 2 8 4" xfId="883" xr:uid="{00000000-0005-0000-0000-000052030000}"/>
    <cellStyle name="Normal 2 9" xfId="884" xr:uid="{00000000-0005-0000-0000-000053030000}"/>
    <cellStyle name="Normal 2 9 2" xfId="885" xr:uid="{00000000-0005-0000-0000-000054030000}"/>
    <cellStyle name="Normal 2 9 3" xfId="886" xr:uid="{00000000-0005-0000-0000-000055030000}"/>
    <cellStyle name="Normal 2 9 4" xfId="887" xr:uid="{00000000-0005-0000-0000-000056030000}"/>
    <cellStyle name="Normal 20" xfId="888" xr:uid="{00000000-0005-0000-0000-000057030000}"/>
    <cellStyle name="Normal 21" xfId="889" xr:uid="{00000000-0005-0000-0000-000058030000}"/>
    <cellStyle name="Normal 21 2" xfId="890" xr:uid="{00000000-0005-0000-0000-000059030000}"/>
    <cellStyle name="Normal 21 2 2" xfId="891" xr:uid="{00000000-0005-0000-0000-00005A030000}"/>
    <cellStyle name="Normal 21 2 3" xfId="892" xr:uid="{00000000-0005-0000-0000-00005B030000}"/>
    <cellStyle name="Normal 21 2 4" xfId="893" xr:uid="{00000000-0005-0000-0000-00005C030000}"/>
    <cellStyle name="Normal 21 3" xfId="894" xr:uid="{00000000-0005-0000-0000-00005D030000}"/>
    <cellStyle name="Normal 21 3 2" xfId="895" xr:uid="{00000000-0005-0000-0000-00005E030000}"/>
    <cellStyle name="Normal 21 3 2 2" xfId="896" xr:uid="{00000000-0005-0000-0000-00005F030000}"/>
    <cellStyle name="Normal 21 3 2 3" xfId="897" xr:uid="{00000000-0005-0000-0000-000060030000}"/>
    <cellStyle name="Normal 21 3 2 4" xfId="898" xr:uid="{00000000-0005-0000-0000-000061030000}"/>
    <cellStyle name="Normal 21 3 3" xfId="899" xr:uid="{00000000-0005-0000-0000-000062030000}"/>
    <cellStyle name="Normal 21 3 4" xfId="900" xr:uid="{00000000-0005-0000-0000-000063030000}"/>
    <cellStyle name="Normal 21 3 5" xfId="901" xr:uid="{00000000-0005-0000-0000-000064030000}"/>
    <cellStyle name="Normal 21 4" xfId="902" xr:uid="{00000000-0005-0000-0000-000065030000}"/>
    <cellStyle name="Normal 21 5" xfId="903" xr:uid="{00000000-0005-0000-0000-000066030000}"/>
    <cellStyle name="Normal 21 6" xfId="904" xr:uid="{00000000-0005-0000-0000-000067030000}"/>
    <cellStyle name="Normal 22" xfId="30" xr:uid="{00000000-0005-0000-0000-000068030000}"/>
    <cellStyle name="Normal 23" xfId="905" xr:uid="{00000000-0005-0000-0000-000069030000}"/>
    <cellStyle name="Normal 23 2" xfId="906" xr:uid="{00000000-0005-0000-0000-00006A030000}"/>
    <cellStyle name="Normal 23 3" xfId="907" xr:uid="{00000000-0005-0000-0000-00006B030000}"/>
    <cellStyle name="Normal 23 4" xfId="908" xr:uid="{00000000-0005-0000-0000-00006C030000}"/>
    <cellStyle name="Normal 23 5" xfId="909" xr:uid="{00000000-0005-0000-0000-00006D030000}"/>
    <cellStyle name="Normal 24" xfId="910" xr:uid="{00000000-0005-0000-0000-00006E030000}"/>
    <cellStyle name="Normal 24 2" xfId="911" xr:uid="{00000000-0005-0000-0000-00006F030000}"/>
    <cellStyle name="Normal 24 2 2" xfId="912" xr:uid="{00000000-0005-0000-0000-000070030000}"/>
    <cellStyle name="Normal 24 2 3" xfId="913" xr:uid="{00000000-0005-0000-0000-000071030000}"/>
    <cellStyle name="Normal 24 2 4" xfId="914" xr:uid="{00000000-0005-0000-0000-000072030000}"/>
    <cellStyle name="Normal 24 3" xfId="915" xr:uid="{00000000-0005-0000-0000-000073030000}"/>
    <cellStyle name="Normal 24 3 2" xfId="916" xr:uid="{00000000-0005-0000-0000-000074030000}"/>
    <cellStyle name="Normal 24 3 2 2" xfId="917" xr:uid="{00000000-0005-0000-0000-000075030000}"/>
    <cellStyle name="Normal 24 3 2 3" xfId="918" xr:uid="{00000000-0005-0000-0000-000076030000}"/>
    <cellStyle name="Normal 24 3 2 4" xfId="919" xr:uid="{00000000-0005-0000-0000-000077030000}"/>
    <cellStyle name="Normal 24 3 3" xfId="920" xr:uid="{00000000-0005-0000-0000-000078030000}"/>
    <cellStyle name="Normal 24 3 4" xfId="921" xr:uid="{00000000-0005-0000-0000-000079030000}"/>
    <cellStyle name="Normal 24 3 5" xfId="922" xr:uid="{00000000-0005-0000-0000-00007A030000}"/>
    <cellStyle name="Normal 24 4" xfId="923" xr:uid="{00000000-0005-0000-0000-00007B030000}"/>
    <cellStyle name="Normal 24 5" xfId="924" xr:uid="{00000000-0005-0000-0000-00007C030000}"/>
    <cellStyle name="Normal 24 6" xfId="925" xr:uid="{00000000-0005-0000-0000-00007D030000}"/>
    <cellStyle name="Normal 25" xfId="926" xr:uid="{00000000-0005-0000-0000-00007E030000}"/>
    <cellStyle name="Normal 25 2" xfId="927" xr:uid="{00000000-0005-0000-0000-00007F030000}"/>
    <cellStyle name="Normal 25 2 2" xfId="928" xr:uid="{00000000-0005-0000-0000-000080030000}"/>
    <cellStyle name="Normal 25 2 3" xfId="929" xr:uid="{00000000-0005-0000-0000-000081030000}"/>
    <cellStyle name="Normal 25 2 4" xfId="930" xr:uid="{00000000-0005-0000-0000-000082030000}"/>
    <cellStyle name="Normal 25 3" xfId="931" xr:uid="{00000000-0005-0000-0000-000083030000}"/>
    <cellStyle name="Normal 25 3 2" xfId="932" xr:uid="{00000000-0005-0000-0000-000084030000}"/>
    <cellStyle name="Normal 25 3 2 2" xfId="933" xr:uid="{00000000-0005-0000-0000-000085030000}"/>
    <cellStyle name="Normal 25 3 2 3" xfId="934" xr:uid="{00000000-0005-0000-0000-000086030000}"/>
    <cellStyle name="Normal 25 3 2 4" xfId="935" xr:uid="{00000000-0005-0000-0000-000087030000}"/>
    <cellStyle name="Normal 25 3 3" xfId="936" xr:uid="{00000000-0005-0000-0000-000088030000}"/>
    <cellStyle name="Normal 25 3 4" xfId="937" xr:uid="{00000000-0005-0000-0000-000089030000}"/>
    <cellStyle name="Normal 25 3 5" xfId="938" xr:uid="{00000000-0005-0000-0000-00008A030000}"/>
    <cellStyle name="Normal 25 4" xfId="939" xr:uid="{00000000-0005-0000-0000-00008B030000}"/>
    <cellStyle name="Normal 25 5" xfId="940" xr:uid="{00000000-0005-0000-0000-00008C030000}"/>
    <cellStyle name="Normal 25 6" xfId="941" xr:uid="{00000000-0005-0000-0000-00008D030000}"/>
    <cellStyle name="Normal 25 6 2" xfId="56" xr:uid="{00000000-0005-0000-0000-00008E030000}"/>
    <cellStyle name="Normal 25 6 2 2" xfId="57" xr:uid="{00000000-0005-0000-0000-00008F030000}"/>
    <cellStyle name="Normal 26" xfId="942" xr:uid="{00000000-0005-0000-0000-000090030000}"/>
    <cellStyle name="Normal 26 2" xfId="943" xr:uid="{00000000-0005-0000-0000-000091030000}"/>
    <cellStyle name="Normal 26 2 2" xfId="944" xr:uid="{00000000-0005-0000-0000-000092030000}"/>
    <cellStyle name="Normal 26 3" xfId="945" xr:uid="{00000000-0005-0000-0000-000093030000}"/>
    <cellStyle name="Normal 26 4" xfId="946" xr:uid="{00000000-0005-0000-0000-000094030000}"/>
    <cellStyle name="Normal 26 5" xfId="947" xr:uid="{00000000-0005-0000-0000-000095030000}"/>
    <cellStyle name="Normal 27" xfId="948" xr:uid="{00000000-0005-0000-0000-000096030000}"/>
    <cellStyle name="Normal 27 2" xfId="949" xr:uid="{00000000-0005-0000-0000-000097030000}"/>
    <cellStyle name="Normal 27 2 2" xfId="950" xr:uid="{00000000-0005-0000-0000-000098030000}"/>
    <cellStyle name="Normal 27 2 3" xfId="951" xr:uid="{00000000-0005-0000-0000-000099030000}"/>
    <cellStyle name="Normal 27 2 4" xfId="952" xr:uid="{00000000-0005-0000-0000-00009A030000}"/>
    <cellStyle name="Normal 27 3" xfId="953" xr:uid="{00000000-0005-0000-0000-00009B030000}"/>
    <cellStyle name="Normal 27 3 2" xfId="954" xr:uid="{00000000-0005-0000-0000-00009C030000}"/>
    <cellStyle name="Normal 27 3 2 2" xfId="955" xr:uid="{00000000-0005-0000-0000-00009D030000}"/>
    <cellStyle name="Normal 27 3 2 3" xfId="956" xr:uid="{00000000-0005-0000-0000-00009E030000}"/>
    <cellStyle name="Normal 27 3 2 4" xfId="957" xr:uid="{00000000-0005-0000-0000-00009F030000}"/>
    <cellStyle name="Normal 27 3 3" xfId="958" xr:uid="{00000000-0005-0000-0000-0000A0030000}"/>
    <cellStyle name="Normal 27 3 4" xfId="959" xr:uid="{00000000-0005-0000-0000-0000A1030000}"/>
    <cellStyle name="Normal 27 3 5" xfId="960" xr:uid="{00000000-0005-0000-0000-0000A2030000}"/>
    <cellStyle name="Normal 27 4" xfId="961" xr:uid="{00000000-0005-0000-0000-0000A3030000}"/>
    <cellStyle name="Normal 27 5" xfId="962" xr:uid="{00000000-0005-0000-0000-0000A4030000}"/>
    <cellStyle name="Normal 27 6" xfId="963" xr:uid="{00000000-0005-0000-0000-0000A5030000}"/>
    <cellStyle name="Normal 29" xfId="964" xr:uid="{00000000-0005-0000-0000-0000A6030000}"/>
    <cellStyle name="Normal 29 2" xfId="965" xr:uid="{00000000-0005-0000-0000-0000A7030000}"/>
    <cellStyle name="Normal 29 2 2" xfId="966" xr:uid="{00000000-0005-0000-0000-0000A8030000}"/>
    <cellStyle name="Normal 29 2 3" xfId="967" xr:uid="{00000000-0005-0000-0000-0000A9030000}"/>
    <cellStyle name="Normal 29 2 4" xfId="968" xr:uid="{00000000-0005-0000-0000-0000AA030000}"/>
    <cellStyle name="Normal 29 3" xfId="969" xr:uid="{00000000-0005-0000-0000-0000AB030000}"/>
    <cellStyle name="Normal 29 3 2" xfId="970" xr:uid="{00000000-0005-0000-0000-0000AC030000}"/>
    <cellStyle name="Normal 29 3 2 2" xfId="971" xr:uid="{00000000-0005-0000-0000-0000AD030000}"/>
    <cellStyle name="Normal 29 3 2 3" xfId="972" xr:uid="{00000000-0005-0000-0000-0000AE030000}"/>
    <cellStyle name="Normal 29 3 2 4" xfId="973" xr:uid="{00000000-0005-0000-0000-0000AF030000}"/>
    <cellStyle name="Normal 29 3 3" xfId="974" xr:uid="{00000000-0005-0000-0000-0000B0030000}"/>
    <cellStyle name="Normal 29 3 4" xfId="975" xr:uid="{00000000-0005-0000-0000-0000B1030000}"/>
    <cellStyle name="Normal 29 3 5" xfId="976" xr:uid="{00000000-0005-0000-0000-0000B2030000}"/>
    <cellStyle name="Normal 29 4" xfId="977" xr:uid="{00000000-0005-0000-0000-0000B3030000}"/>
    <cellStyle name="Normal 29 5" xfId="978" xr:uid="{00000000-0005-0000-0000-0000B4030000}"/>
    <cellStyle name="Normal 29 6" xfId="979" xr:uid="{00000000-0005-0000-0000-0000B5030000}"/>
    <cellStyle name="Normal 3" xfId="2" xr:uid="{00000000-0005-0000-0000-0000B6030000}"/>
    <cellStyle name="Normal 3 10" xfId="980" xr:uid="{00000000-0005-0000-0000-0000B7030000}"/>
    <cellStyle name="Normal 3 10 2" xfId="981" xr:uid="{00000000-0005-0000-0000-0000B8030000}"/>
    <cellStyle name="Normal 3 10 3" xfId="982" xr:uid="{00000000-0005-0000-0000-0000B9030000}"/>
    <cellStyle name="Normal 3 10 4" xfId="983" xr:uid="{00000000-0005-0000-0000-0000BA030000}"/>
    <cellStyle name="Normal 3 11" xfId="984" xr:uid="{00000000-0005-0000-0000-0000BB030000}"/>
    <cellStyle name="Normal 3 11 2" xfId="985" xr:uid="{00000000-0005-0000-0000-0000BC030000}"/>
    <cellStyle name="Normal 3 11 3" xfId="986" xr:uid="{00000000-0005-0000-0000-0000BD030000}"/>
    <cellStyle name="Normal 3 11 4" xfId="987" xr:uid="{00000000-0005-0000-0000-0000BE030000}"/>
    <cellStyle name="Normal 3 12" xfId="988" xr:uid="{00000000-0005-0000-0000-0000BF030000}"/>
    <cellStyle name="Normal 3 12 2" xfId="989" xr:uid="{00000000-0005-0000-0000-0000C0030000}"/>
    <cellStyle name="Normal 3 12 3" xfId="990" xr:uid="{00000000-0005-0000-0000-0000C1030000}"/>
    <cellStyle name="Normal 3 12 4" xfId="991" xr:uid="{00000000-0005-0000-0000-0000C2030000}"/>
    <cellStyle name="Normal 3 13" xfId="992" xr:uid="{00000000-0005-0000-0000-0000C3030000}"/>
    <cellStyle name="Normal 3 13 2" xfId="993" xr:uid="{00000000-0005-0000-0000-0000C4030000}"/>
    <cellStyle name="Normal 3 13 3" xfId="994" xr:uid="{00000000-0005-0000-0000-0000C5030000}"/>
    <cellStyle name="Normal 3 13 4" xfId="995" xr:uid="{00000000-0005-0000-0000-0000C6030000}"/>
    <cellStyle name="Normal 3 14" xfId="996" xr:uid="{00000000-0005-0000-0000-0000C7030000}"/>
    <cellStyle name="Normal 3 14 2" xfId="997" xr:uid="{00000000-0005-0000-0000-0000C8030000}"/>
    <cellStyle name="Normal 3 14 3" xfId="998" xr:uid="{00000000-0005-0000-0000-0000C9030000}"/>
    <cellStyle name="Normal 3 14 4" xfId="999" xr:uid="{00000000-0005-0000-0000-0000CA030000}"/>
    <cellStyle name="Normal 3 15" xfId="1000" xr:uid="{00000000-0005-0000-0000-0000CB030000}"/>
    <cellStyle name="Normal 3 15 2" xfId="1001" xr:uid="{00000000-0005-0000-0000-0000CC030000}"/>
    <cellStyle name="Normal 3 15 3" xfId="1002" xr:uid="{00000000-0005-0000-0000-0000CD030000}"/>
    <cellStyle name="Normal 3 15 4" xfId="1003" xr:uid="{00000000-0005-0000-0000-0000CE030000}"/>
    <cellStyle name="Normal 3 16" xfId="1004" xr:uid="{00000000-0005-0000-0000-0000CF030000}"/>
    <cellStyle name="Normal 3 16 2" xfId="1005" xr:uid="{00000000-0005-0000-0000-0000D0030000}"/>
    <cellStyle name="Normal 3 16 3" xfId="1006" xr:uid="{00000000-0005-0000-0000-0000D1030000}"/>
    <cellStyle name="Normal 3 16 4" xfId="1007" xr:uid="{00000000-0005-0000-0000-0000D2030000}"/>
    <cellStyle name="Normal 3 17" xfId="1008" xr:uid="{00000000-0005-0000-0000-0000D3030000}"/>
    <cellStyle name="Normal 3 17 2" xfId="1009" xr:uid="{00000000-0005-0000-0000-0000D4030000}"/>
    <cellStyle name="Normal 3 17 3" xfId="1010" xr:uid="{00000000-0005-0000-0000-0000D5030000}"/>
    <cellStyle name="Normal 3 17 4" xfId="1011" xr:uid="{00000000-0005-0000-0000-0000D6030000}"/>
    <cellStyle name="Normal 3 18" xfId="1012" xr:uid="{00000000-0005-0000-0000-0000D7030000}"/>
    <cellStyle name="Normal 3 18 2" xfId="1013" xr:uid="{00000000-0005-0000-0000-0000D8030000}"/>
    <cellStyle name="Normal 3 18 3" xfId="1014" xr:uid="{00000000-0005-0000-0000-0000D9030000}"/>
    <cellStyle name="Normal 3 18 4" xfId="1015" xr:uid="{00000000-0005-0000-0000-0000DA030000}"/>
    <cellStyle name="Normal 3 19" xfId="1016" xr:uid="{00000000-0005-0000-0000-0000DB030000}"/>
    <cellStyle name="Normal 3 19 2" xfId="1017" xr:uid="{00000000-0005-0000-0000-0000DC030000}"/>
    <cellStyle name="Normal 3 19 3" xfId="1018" xr:uid="{00000000-0005-0000-0000-0000DD030000}"/>
    <cellStyle name="Normal 3 19 4" xfId="1019" xr:uid="{00000000-0005-0000-0000-0000DE030000}"/>
    <cellStyle name="Normal 3 2" xfId="128" xr:uid="{00000000-0005-0000-0000-0000DF030000}"/>
    <cellStyle name="Normal 3 2 10" xfId="1021" xr:uid="{00000000-0005-0000-0000-0000E0030000}"/>
    <cellStyle name="Normal 3 2 10 2" xfId="1022" xr:uid="{00000000-0005-0000-0000-0000E1030000}"/>
    <cellStyle name="Normal 3 2 10 3" xfId="1023" xr:uid="{00000000-0005-0000-0000-0000E2030000}"/>
    <cellStyle name="Normal 3 2 11" xfId="1024" xr:uid="{00000000-0005-0000-0000-0000E3030000}"/>
    <cellStyle name="Normal 3 2 11 2" xfId="1025" xr:uid="{00000000-0005-0000-0000-0000E4030000}"/>
    <cellStyle name="Normal 3 2 11 3" xfId="1026" xr:uid="{00000000-0005-0000-0000-0000E5030000}"/>
    <cellStyle name="Normal 3 2 12" xfId="1027" xr:uid="{00000000-0005-0000-0000-0000E6030000}"/>
    <cellStyle name="Normal 3 2 12 2" xfId="1028" xr:uid="{00000000-0005-0000-0000-0000E7030000}"/>
    <cellStyle name="Normal 3 2 12 3" xfId="1029" xr:uid="{00000000-0005-0000-0000-0000E8030000}"/>
    <cellStyle name="Normal 3 2 13" xfId="1030" xr:uid="{00000000-0005-0000-0000-0000E9030000}"/>
    <cellStyle name="Normal 3 2 13 2" xfId="1031" xr:uid="{00000000-0005-0000-0000-0000EA030000}"/>
    <cellStyle name="Normal 3 2 13 3" xfId="1032" xr:uid="{00000000-0005-0000-0000-0000EB030000}"/>
    <cellStyle name="Normal 3 2 14" xfId="1033" xr:uid="{00000000-0005-0000-0000-0000EC030000}"/>
    <cellStyle name="Normal 3 2 14 2" xfId="1034" xr:uid="{00000000-0005-0000-0000-0000ED030000}"/>
    <cellStyle name="Normal 3 2 14 3" xfId="1035" xr:uid="{00000000-0005-0000-0000-0000EE030000}"/>
    <cellStyle name="Normal 3 2 15" xfId="1036" xr:uid="{00000000-0005-0000-0000-0000EF030000}"/>
    <cellStyle name="Normal 3 2 15 2" xfId="1037" xr:uid="{00000000-0005-0000-0000-0000F0030000}"/>
    <cellStyle name="Normal 3 2 15 3" xfId="1038" xr:uid="{00000000-0005-0000-0000-0000F1030000}"/>
    <cellStyle name="Normal 3 2 16" xfId="1039" xr:uid="{00000000-0005-0000-0000-0000F2030000}"/>
    <cellStyle name="Normal 3 2 16 2" xfId="1040" xr:uid="{00000000-0005-0000-0000-0000F3030000}"/>
    <cellStyle name="Normal 3 2 16 3" xfId="1041" xr:uid="{00000000-0005-0000-0000-0000F4030000}"/>
    <cellStyle name="Normal 3 2 17" xfId="1042" xr:uid="{00000000-0005-0000-0000-0000F5030000}"/>
    <cellStyle name="Normal 3 2 17 2" xfId="1043" xr:uid="{00000000-0005-0000-0000-0000F6030000}"/>
    <cellStyle name="Normal 3 2 17 3" xfId="1044" xr:uid="{00000000-0005-0000-0000-0000F7030000}"/>
    <cellStyle name="Normal 3 2 18" xfId="1045" xr:uid="{00000000-0005-0000-0000-0000F8030000}"/>
    <cellStyle name="Normal 3 2 18 2" xfId="1046" xr:uid="{00000000-0005-0000-0000-0000F9030000}"/>
    <cellStyle name="Normal 3 2 18 3" xfId="1047" xr:uid="{00000000-0005-0000-0000-0000FA030000}"/>
    <cellStyle name="Normal 3 2 19" xfId="1048" xr:uid="{00000000-0005-0000-0000-0000FB030000}"/>
    <cellStyle name="Normal 3 2 19 2" xfId="1049" xr:uid="{00000000-0005-0000-0000-0000FC030000}"/>
    <cellStyle name="Normal 3 2 19 3" xfId="1050" xr:uid="{00000000-0005-0000-0000-0000FD030000}"/>
    <cellStyle name="Normal 3 2 2" xfId="10" xr:uid="{00000000-0005-0000-0000-0000FE030000}"/>
    <cellStyle name="Normal 3 2 2 10" xfId="1052" xr:uid="{00000000-0005-0000-0000-0000FF030000}"/>
    <cellStyle name="Normal 3 2 2 10 2" xfId="1053" xr:uid="{00000000-0005-0000-0000-000000040000}"/>
    <cellStyle name="Normal 3 2 2 10 3" xfId="1054" xr:uid="{00000000-0005-0000-0000-000001040000}"/>
    <cellStyle name="Normal 3 2 2 10 4" xfId="1055" xr:uid="{00000000-0005-0000-0000-000002040000}"/>
    <cellStyle name="Normal 3 2 2 11" xfId="1056" xr:uid="{00000000-0005-0000-0000-000003040000}"/>
    <cellStyle name="Normal 3 2 2 11 2" xfId="1057" xr:uid="{00000000-0005-0000-0000-000004040000}"/>
    <cellStyle name="Normal 3 2 2 11 3" xfId="1058" xr:uid="{00000000-0005-0000-0000-000005040000}"/>
    <cellStyle name="Normal 3 2 2 11 4" xfId="1059" xr:uid="{00000000-0005-0000-0000-000006040000}"/>
    <cellStyle name="Normal 3 2 2 12" xfId="1060" xr:uid="{00000000-0005-0000-0000-000007040000}"/>
    <cellStyle name="Normal 3 2 2 12 2" xfId="1061" xr:uid="{00000000-0005-0000-0000-000008040000}"/>
    <cellStyle name="Normal 3 2 2 12 3" xfId="1062" xr:uid="{00000000-0005-0000-0000-000009040000}"/>
    <cellStyle name="Normal 3 2 2 12 4" xfId="1063" xr:uid="{00000000-0005-0000-0000-00000A040000}"/>
    <cellStyle name="Normal 3 2 2 13" xfId="1064" xr:uid="{00000000-0005-0000-0000-00000B040000}"/>
    <cellStyle name="Normal 3 2 2 13 2" xfId="1065" xr:uid="{00000000-0005-0000-0000-00000C040000}"/>
    <cellStyle name="Normal 3 2 2 13 3" xfId="1066" xr:uid="{00000000-0005-0000-0000-00000D040000}"/>
    <cellStyle name="Normal 3 2 2 13 4" xfId="1067" xr:uid="{00000000-0005-0000-0000-00000E040000}"/>
    <cellStyle name="Normal 3 2 2 14" xfId="1068" xr:uid="{00000000-0005-0000-0000-00000F040000}"/>
    <cellStyle name="Normal 3 2 2 14 2" xfId="1069" xr:uid="{00000000-0005-0000-0000-000010040000}"/>
    <cellStyle name="Normal 3 2 2 14 3" xfId="1070" xr:uid="{00000000-0005-0000-0000-000011040000}"/>
    <cellStyle name="Normal 3 2 2 14 4" xfId="1071" xr:uid="{00000000-0005-0000-0000-000012040000}"/>
    <cellStyle name="Normal 3 2 2 15" xfId="1072" xr:uid="{00000000-0005-0000-0000-000013040000}"/>
    <cellStyle name="Normal 3 2 2 15 2" xfId="1073" xr:uid="{00000000-0005-0000-0000-000014040000}"/>
    <cellStyle name="Normal 3 2 2 15 3" xfId="1074" xr:uid="{00000000-0005-0000-0000-000015040000}"/>
    <cellStyle name="Normal 3 2 2 15 4" xfId="1075" xr:uid="{00000000-0005-0000-0000-000016040000}"/>
    <cellStyle name="Normal 3 2 2 16" xfId="1076" xr:uid="{00000000-0005-0000-0000-000017040000}"/>
    <cellStyle name="Normal 3 2 2 16 2" xfId="1077" xr:uid="{00000000-0005-0000-0000-000018040000}"/>
    <cellStyle name="Normal 3 2 2 16 3" xfId="1078" xr:uid="{00000000-0005-0000-0000-000019040000}"/>
    <cellStyle name="Normal 3 2 2 16 4" xfId="1079" xr:uid="{00000000-0005-0000-0000-00001A040000}"/>
    <cellStyle name="Normal 3 2 2 17" xfId="1080" xr:uid="{00000000-0005-0000-0000-00001B040000}"/>
    <cellStyle name="Normal 3 2 2 17 2" xfId="1081" xr:uid="{00000000-0005-0000-0000-00001C040000}"/>
    <cellStyle name="Normal 3 2 2 17 3" xfId="1082" xr:uid="{00000000-0005-0000-0000-00001D040000}"/>
    <cellStyle name="Normal 3 2 2 17 4" xfId="1083" xr:uid="{00000000-0005-0000-0000-00001E040000}"/>
    <cellStyle name="Normal 3 2 2 18" xfId="1084" xr:uid="{00000000-0005-0000-0000-00001F040000}"/>
    <cellStyle name="Normal 3 2 2 18 2" xfId="1085" xr:uid="{00000000-0005-0000-0000-000020040000}"/>
    <cellStyle name="Normal 3 2 2 18 3" xfId="1086" xr:uid="{00000000-0005-0000-0000-000021040000}"/>
    <cellStyle name="Normal 3 2 2 18 4" xfId="1087" xr:uid="{00000000-0005-0000-0000-000022040000}"/>
    <cellStyle name="Normal 3 2 2 19" xfId="1088" xr:uid="{00000000-0005-0000-0000-000023040000}"/>
    <cellStyle name="Normal 3 2 2 19 2" xfId="1089" xr:uid="{00000000-0005-0000-0000-000024040000}"/>
    <cellStyle name="Normal 3 2 2 19 3" xfId="1090" xr:uid="{00000000-0005-0000-0000-000025040000}"/>
    <cellStyle name="Normal 3 2 2 19 4" xfId="1091" xr:uid="{00000000-0005-0000-0000-000026040000}"/>
    <cellStyle name="Normal 3 2 2 2" xfId="21" xr:uid="{00000000-0005-0000-0000-000027040000}"/>
    <cellStyle name="Normal 3 2 2 2 2" xfId="1093" xr:uid="{00000000-0005-0000-0000-000028040000}"/>
    <cellStyle name="Normal 3 2 2 2 3" xfId="1094" xr:uid="{00000000-0005-0000-0000-000029040000}"/>
    <cellStyle name="Normal 3 2 2 2 4" xfId="1095" xr:uid="{00000000-0005-0000-0000-00002A040000}"/>
    <cellStyle name="Normal 3 2 2 2 5" xfId="1092" xr:uid="{00000000-0005-0000-0000-00002B040000}"/>
    <cellStyle name="Normal 3 2 2 2 6" xfId="2241" xr:uid="{00000000-0005-0000-0000-00002C040000}"/>
    <cellStyle name="Normal 3 2 2 20" xfId="1096" xr:uid="{00000000-0005-0000-0000-00002D040000}"/>
    <cellStyle name="Normal 3 2 2 20 2" xfId="1097" xr:uid="{00000000-0005-0000-0000-00002E040000}"/>
    <cellStyle name="Normal 3 2 2 20 3" xfId="1098" xr:uid="{00000000-0005-0000-0000-00002F040000}"/>
    <cellStyle name="Normal 3 2 2 20 4" xfId="1099" xr:uid="{00000000-0005-0000-0000-000030040000}"/>
    <cellStyle name="Normal 3 2 2 21" xfId="1100" xr:uid="{00000000-0005-0000-0000-000031040000}"/>
    <cellStyle name="Normal 3 2 2 21 2" xfId="1101" xr:uid="{00000000-0005-0000-0000-000032040000}"/>
    <cellStyle name="Normal 3 2 2 21 3" xfId="1102" xr:uid="{00000000-0005-0000-0000-000033040000}"/>
    <cellStyle name="Normal 3 2 2 21 4" xfId="1103" xr:uid="{00000000-0005-0000-0000-000034040000}"/>
    <cellStyle name="Normal 3 2 2 22" xfId="1104" xr:uid="{00000000-0005-0000-0000-000035040000}"/>
    <cellStyle name="Normal 3 2 2 22 2" xfId="1105" xr:uid="{00000000-0005-0000-0000-000036040000}"/>
    <cellStyle name="Normal 3 2 2 22 3" xfId="1106" xr:uid="{00000000-0005-0000-0000-000037040000}"/>
    <cellStyle name="Normal 3 2 2 22 4" xfId="1107" xr:uid="{00000000-0005-0000-0000-000038040000}"/>
    <cellStyle name="Normal 3 2 2 23" xfId="1108" xr:uid="{00000000-0005-0000-0000-000039040000}"/>
    <cellStyle name="Normal 3 2 2 23 2" xfId="1109" xr:uid="{00000000-0005-0000-0000-00003A040000}"/>
    <cellStyle name="Normal 3 2 2 23 3" xfId="1110" xr:uid="{00000000-0005-0000-0000-00003B040000}"/>
    <cellStyle name="Normal 3 2 2 23 4" xfId="1111" xr:uid="{00000000-0005-0000-0000-00003C040000}"/>
    <cellStyle name="Normal 3 2 2 24" xfId="1112" xr:uid="{00000000-0005-0000-0000-00003D040000}"/>
    <cellStyle name="Normal 3 2 2 24 2" xfId="1113" xr:uid="{00000000-0005-0000-0000-00003E040000}"/>
    <cellStyle name="Normal 3 2 2 24 3" xfId="1114" xr:uid="{00000000-0005-0000-0000-00003F040000}"/>
    <cellStyle name="Normal 3 2 2 24 4" xfId="1115" xr:uid="{00000000-0005-0000-0000-000040040000}"/>
    <cellStyle name="Normal 3 2 2 25" xfId="1116" xr:uid="{00000000-0005-0000-0000-000041040000}"/>
    <cellStyle name="Normal 3 2 2 25 2" xfId="1117" xr:uid="{00000000-0005-0000-0000-000042040000}"/>
    <cellStyle name="Normal 3 2 2 25 3" xfId="1118" xr:uid="{00000000-0005-0000-0000-000043040000}"/>
    <cellStyle name="Normal 3 2 2 25 4" xfId="1119" xr:uid="{00000000-0005-0000-0000-000044040000}"/>
    <cellStyle name="Normal 3 2 2 26" xfId="1120" xr:uid="{00000000-0005-0000-0000-000045040000}"/>
    <cellStyle name="Normal 3 2 2 26 2" xfId="1121" xr:uid="{00000000-0005-0000-0000-000046040000}"/>
    <cellStyle name="Normal 3 2 2 26 3" xfId="1122" xr:uid="{00000000-0005-0000-0000-000047040000}"/>
    <cellStyle name="Normal 3 2 2 26 4" xfId="1123" xr:uid="{00000000-0005-0000-0000-000048040000}"/>
    <cellStyle name="Normal 3 2 2 27" xfId="1124" xr:uid="{00000000-0005-0000-0000-000049040000}"/>
    <cellStyle name="Normal 3 2 2 27 2" xfId="1125" xr:uid="{00000000-0005-0000-0000-00004A040000}"/>
    <cellStyle name="Normal 3 2 2 27 3" xfId="1126" xr:uid="{00000000-0005-0000-0000-00004B040000}"/>
    <cellStyle name="Normal 3 2 2 27 4" xfId="1127" xr:uid="{00000000-0005-0000-0000-00004C040000}"/>
    <cellStyle name="Normal 3 2 2 28" xfId="1128" xr:uid="{00000000-0005-0000-0000-00004D040000}"/>
    <cellStyle name="Normal 3 2 2 28 2" xfId="1129" xr:uid="{00000000-0005-0000-0000-00004E040000}"/>
    <cellStyle name="Normal 3 2 2 28 3" xfId="1130" xr:uid="{00000000-0005-0000-0000-00004F040000}"/>
    <cellStyle name="Normal 3 2 2 28 4" xfId="1131" xr:uid="{00000000-0005-0000-0000-000050040000}"/>
    <cellStyle name="Normal 3 2 2 29" xfId="1132" xr:uid="{00000000-0005-0000-0000-000051040000}"/>
    <cellStyle name="Normal 3 2 2 29 2" xfId="1133" xr:uid="{00000000-0005-0000-0000-000052040000}"/>
    <cellStyle name="Normal 3 2 2 29 3" xfId="1134" xr:uid="{00000000-0005-0000-0000-000053040000}"/>
    <cellStyle name="Normal 3 2 2 29 4" xfId="1135" xr:uid="{00000000-0005-0000-0000-000054040000}"/>
    <cellStyle name="Normal 3 2 2 3" xfId="24" xr:uid="{00000000-0005-0000-0000-000055040000}"/>
    <cellStyle name="Normal 3 2 2 3 2" xfId="1137" xr:uid="{00000000-0005-0000-0000-000056040000}"/>
    <cellStyle name="Normal 3 2 2 3 3" xfId="1138" xr:uid="{00000000-0005-0000-0000-000057040000}"/>
    <cellStyle name="Normal 3 2 2 3 4" xfId="1139" xr:uid="{00000000-0005-0000-0000-000058040000}"/>
    <cellStyle name="Normal 3 2 2 3 5" xfId="1136" xr:uid="{00000000-0005-0000-0000-000059040000}"/>
    <cellStyle name="Normal 3 2 2 3 6" xfId="2243" xr:uid="{00000000-0005-0000-0000-00005A040000}"/>
    <cellStyle name="Normal 3 2 2 30" xfId="1140" xr:uid="{00000000-0005-0000-0000-00005B040000}"/>
    <cellStyle name="Normal 3 2 2 30 2" xfId="1141" xr:uid="{00000000-0005-0000-0000-00005C040000}"/>
    <cellStyle name="Normal 3 2 2 30 3" xfId="1142" xr:uid="{00000000-0005-0000-0000-00005D040000}"/>
    <cellStyle name="Normal 3 2 2 30 4" xfId="1143" xr:uid="{00000000-0005-0000-0000-00005E040000}"/>
    <cellStyle name="Normal 3 2 2 31" xfId="1144" xr:uid="{00000000-0005-0000-0000-00005F040000}"/>
    <cellStyle name="Normal 3 2 2 31 2" xfId="1145" xr:uid="{00000000-0005-0000-0000-000060040000}"/>
    <cellStyle name="Normal 3 2 2 31 3" xfId="1146" xr:uid="{00000000-0005-0000-0000-000061040000}"/>
    <cellStyle name="Normal 3 2 2 31 4" xfId="1147" xr:uid="{00000000-0005-0000-0000-000062040000}"/>
    <cellStyle name="Normal 3 2 2 32" xfId="1148" xr:uid="{00000000-0005-0000-0000-000063040000}"/>
    <cellStyle name="Normal 3 2 2 32 2" xfId="1149" xr:uid="{00000000-0005-0000-0000-000064040000}"/>
    <cellStyle name="Normal 3 2 2 32 3" xfId="1150" xr:uid="{00000000-0005-0000-0000-000065040000}"/>
    <cellStyle name="Normal 3 2 2 32 4" xfId="1151" xr:uid="{00000000-0005-0000-0000-000066040000}"/>
    <cellStyle name="Normal 3 2 2 33" xfId="1152" xr:uid="{00000000-0005-0000-0000-000067040000}"/>
    <cellStyle name="Normal 3 2 2 33 2" xfId="1153" xr:uid="{00000000-0005-0000-0000-000068040000}"/>
    <cellStyle name="Normal 3 2 2 33 3" xfId="1154" xr:uid="{00000000-0005-0000-0000-000069040000}"/>
    <cellStyle name="Normal 3 2 2 33 4" xfId="1155" xr:uid="{00000000-0005-0000-0000-00006A040000}"/>
    <cellStyle name="Normal 3 2 2 34" xfId="1156" xr:uid="{00000000-0005-0000-0000-00006B040000}"/>
    <cellStyle name="Normal 3 2 2 34 2" xfId="1157" xr:uid="{00000000-0005-0000-0000-00006C040000}"/>
    <cellStyle name="Normal 3 2 2 34 3" xfId="1158" xr:uid="{00000000-0005-0000-0000-00006D040000}"/>
    <cellStyle name="Normal 3 2 2 34 4" xfId="1159" xr:uid="{00000000-0005-0000-0000-00006E040000}"/>
    <cellStyle name="Normal 3 2 2 35" xfId="1160" xr:uid="{00000000-0005-0000-0000-00006F040000}"/>
    <cellStyle name="Normal 3 2 2 35 2" xfId="1161" xr:uid="{00000000-0005-0000-0000-000070040000}"/>
    <cellStyle name="Normal 3 2 2 35 3" xfId="1162" xr:uid="{00000000-0005-0000-0000-000071040000}"/>
    <cellStyle name="Normal 3 2 2 35 4" xfId="1163" xr:uid="{00000000-0005-0000-0000-000072040000}"/>
    <cellStyle name="Normal 3 2 2 36" xfId="1164" xr:uid="{00000000-0005-0000-0000-000073040000}"/>
    <cellStyle name="Normal 3 2 2 36 2" xfId="1165" xr:uid="{00000000-0005-0000-0000-000074040000}"/>
    <cellStyle name="Normal 3 2 2 36 3" xfId="1166" xr:uid="{00000000-0005-0000-0000-000075040000}"/>
    <cellStyle name="Normal 3 2 2 36 4" xfId="1167" xr:uid="{00000000-0005-0000-0000-000076040000}"/>
    <cellStyle name="Normal 3 2 2 37" xfId="1168" xr:uid="{00000000-0005-0000-0000-000077040000}"/>
    <cellStyle name="Normal 3 2 2 37 2" xfId="1169" xr:uid="{00000000-0005-0000-0000-000078040000}"/>
    <cellStyle name="Normal 3 2 2 37 3" xfId="1170" xr:uid="{00000000-0005-0000-0000-000079040000}"/>
    <cellStyle name="Normal 3 2 2 37 4" xfId="1171" xr:uid="{00000000-0005-0000-0000-00007A040000}"/>
    <cellStyle name="Normal 3 2 2 38" xfId="1172" xr:uid="{00000000-0005-0000-0000-00007B040000}"/>
    <cellStyle name="Normal 3 2 2 38 2" xfId="1173" xr:uid="{00000000-0005-0000-0000-00007C040000}"/>
    <cellStyle name="Normal 3 2 2 38 3" xfId="1174" xr:uid="{00000000-0005-0000-0000-00007D040000}"/>
    <cellStyle name="Normal 3 2 2 38 4" xfId="1175" xr:uid="{00000000-0005-0000-0000-00007E040000}"/>
    <cellStyle name="Normal 3 2 2 39" xfId="1176" xr:uid="{00000000-0005-0000-0000-00007F040000}"/>
    <cellStyle name="Normal 3 2 2 39 2" xfId="1177" xr:uid="{00000000-0005-0000-0000-000080040000}"/>
    <cellStyle name="Normal 3 2 2 39 3" xfId="1178" xr:uid="{00000000-0005-0000-0000-000081040000}"/>
    <cellStyle name="Normal 3 2 2 39 4" xfId="1179" xr:uid="{00000000-0005-0000-0000-000082040000}"/>
    <cellStyle name="Normal 3 2 2 4" xfId="1180" xr:uid="{00000000-0005-0000-0000-000083040000}"/>
    <cellStyle name="Normal 3 2 2 4 2" xfId="1181" xr:uid="{00000000-0005-0000-0000-000084040000}"/>
    <cellStyle name="Normal 3 2 2 4 3" xfId="1182" xr:uid="{00000000-0005-0000-0000-000085040000}"/>
    <cellStyle name="Normal 3 2 2 4 4" xfId="1183" xr:uid="{00000000-0005-0000-0000-000086040000}"/>
    <cellStyle name="Normal 3 2 2 40" xfId="1184" xr:uid="{00000000-0005-0000-0000-000087040000}"/>
    <cellStyle name="Normal 3 2 2 40 2" xfId="1185" xr:uid="{00000000-0005-0000-0000-000088040000}"/>
    <cellStyle name="Normal 3 2 2 40 3" xfId="1186" xr:uid="{00000000-0005-0000-0000-000089040000}"/>
    <cellStyle name="Normal 3 2 2 40 4" xfId="1187" xr:uid="{00000000-0005-0000-0000-00008A040000}"/>
    <cellStyle name="Normal 3 2 2 41" xfId="1188" xr:uid="{00000000-0005-0000-0000-00008B040000}"/>
    <cellStyle name="Normal 3 2 2 41 2" xfId="1189" xr:uid="{00000000-0005-0000-0000-00008C040000}"/>
    <cellStyle name="Normal 3 2 2 41 3" xfId="1190" xr:uid="{00000000-0005-0000-0000-00008D040000}"/>
    <cellStyle name="Normal 3 2 2 41 4" xfId="1191" xr:uid="{00000000-0005-0000-0000-00008E040000}"/>
    <cellStyle name="Normal 3 2 2 42" xfId="1192" xr:uid="{00000000-0005-0000-0000-00008F040000}"/>
    <cellStyle name="Normal 3 2 2 42 2" xfId="1193" xr:uid="{00000000-0005-0000-0000-000090040000}"/>
    <cellStyle name="Normal 3 2 2 42 3" xfId="1194" xr:uid="{00000000-0005-0000-0000-000091040000}"/>
    <cellStyle name="Normal 3 2 2 42 4" xfId="1195" xr:uid="{00000000-0005-0000-0000-000092040000}"/>
    <cellStyle name="Normal 3 2 2 43" xfId="1196" xr:uid="{00000000-0005-0000-0000-000093040000}"/>
    <cellStyle name="Normal 3 2 2 43 2" xfId="1197" xr:uid="{00000000-0005-0000-0000-000094040000}"/>
    <cellStyle name="Normal 3 2 2 43 3" xfId="1198" xr:uid="{00000000-0005-0000-0000-000095040000}"/>
    <cellStyle name="Normal 3 2 2 43 4" xfId="1199" xr:uid="{00000000-0005-0000-0000-000096040000}"/>
    <cellStyle name="Normal 3 2 2 44" xfId="1200" xr:uid="{00000000-0005-0000-0000-000097040000}"/>
    <cellStyle name="Normal 3 2 2 44 2" xfId="1201" xr:uid="{00000000-0005-0000-0000-000098040000}"/>
    <cellStyle name="Normal 3 2 2 44 3" xfId="1202" xr:uid="{00000000-0005-0000-0000-000099040000}"/>
    <cellStyle name="Normal 3 2 2 44 4" xfId="1203" xr:uid="{00000000-0005-0000-0000-00009A040000}"/>
    <cellStyle name="Normal 3 2 2 45" xfId="1204" xr:uid="{00000000-0005-0000-0000-00009B040000}"/>
    <cellStyle name="Normal 3 2 2 45 2" xfId="1205" xr:uid="{00000000-0005-0000-0000-00009C040000}"/>
    <cellStyle name="Normal 3 2 2 45 3" xfId="1206" xr:uid="{00000000-0005-0000-0000-00009D040000}"/>
    <cellStyle name="Normal 3 2 2 45 4" xfId="1207" xr:uid="{00000000-0005-0000-0000-00009E040000}"/>
    <cellStyle name="Normal 3 2 2 46" xfId="1208" xr:uid="{00000000-0005-0000-0000-00009F040000}"/>
    <cellStyle name="Normal 3 2 2 46 2" xfId="1209" xr:uid="{00000000-0005-0000-0000-0000A0040000}"/>
    <cellStyle name="Normal 3 2 2 46 3" xfId="1210" xr:uid="{00000000-0005-0000-0000-0000A1040000}"/>
    <cellStyle name="Normal 3 2 2 46 4" xfId="1211" xr:uid="{00000000-0005-0000-0000-0000A2040000}"/>
    <cellStyle name="Normal 3 2 2 47" xfId="1212" xr:uid="{00000000-0005-0000-0000-0000A3040000}"/>
    <cellStyle name="Normal 3 2 2 47 2" xfId="1213" xr:uid="{00000000-0005-0000-0000-0000A4040000}"/>
    <cellStyle name="Normal 3 2 2 47 3" xfId="1214" xr:uid="{00000000-0005-0000-0000-0000A5040000}"/>
    <cellStyle name="Normal 3 2 2 47 4" xfId="1215" xr:uid="{00000000-0005-0000-0000-0000A6040000}"/>
    <cellStyle name="Normal 3 2 2 48" xfId="1216" xr:uid="{00000000-0005-0000-0000-0000A7040000}"/>
    <cellStyle name="Normal 3 2 2 49" xfId="1217" xr:uid="{00000000-0005-0000-0000-0000A8040000}"/>
    <cellStyle name="Normal 3 2 2 5" xfId="1218" xr:uid="{00000000-0005-0000-0000-0000A9040000}"/>
    <cellStyle name="Normal 3 2 2 5 2" xfId="1219" xr:uid="{00000000-0005-0000-0000-0000AA040000}"/>
    <cellStyle name="Normal 3 2 2 5 3" xfId="1220" xr:uid="{00000000-0005-0000-0000-0000AB040000}"/>
    <cellStyle name="Normal 3 2 2 5 4" xfId="1221" xr:uid="{00000000-0005-0000-0000-0000AC040000}"/>
    <cellStyle name="Normal 3 2 2 50" xfId="1051" xr:uid="{00000000-0005-0000-0000-0000AD040000}"/>
    <cellStyle name="Normal 3 2 2 51" xfId="2235" xr:uid="{00000000-0005-0000-0000-0000AE040000}"/>
    <cellStyle name="Normal 3 2 2 6" xfId="1222" xr:uid="{00000000-0005-0000-0000-0000AF040000}"/>
    <cellStyle name="Normal 3 2 2 6 2" xfId="1223" xr:uid="{00000000-0005-0000-0000-0000B0040000}"/>
    <cellStyle name="Normal 3 2 2 6 3" xfId="1224" xr:uid="{00000000-0005-0000-0000-0000B1040000}"/>
    <cellStyle name="Normal 3 2 2 6 4" xfId="1225" xr:uid="{00000000-0005-0000-0000-0000B2040000}"/>
    <cellStyle name="Normal 3 2 2 7" xfId="1226" xr:uid="{00000000-0005-0000-0000-0000B3040000}"/>
    <cellStyle name="Normal 3 2 2 7 2" xfId="1227" xr:uid="{00000000-0005-0000-0000-0000B4040000}"/>
    <cellStyle name="Normal 3 2 2 7 3" xfId="1228" xr:uid="{00000000-0005-0000-0000-0000B5040000}"/>
    <cellStyle name="Normal 3 2 2 7 4" xfId="1229" xr:uid="{00000000-0005-0000-0000-0000B6040000}"/>
    <cellStyle name="Normal 3 2 2 8" xfId="1230" xr:uid="{00000000-0005-0000-0000-0000B7040000}"/>
    <cellStyle name="Normal 3 2 2 8 2" xfId="1231" xr:uid="{00000000-0005-0000-0000-0000B8040000}"/>
    <cellStyle name="Normal 3 2 2 8 3" xfId="1232" xr:uid="{00000000-0005-0000-0000-0000B9040000}"/>
    <cellStyle name="Normal 3 2 2 8 4" xfId="1233" xr:uid="{00000000-0005-0000-0000-0000BA040000}"/>
    <cellStyle name="Normal 3 2 2 9" xfId="1234" xr:uid="{00000000-0005-0000-0000-0000BB040000}"/>
    <cellStyle name="Normal 3 2 2 9 2" xfId="1235" xr:uid="{00000000-0005-0000-0000-0000BC040000}"/>
    <cellStyle name="Normal 3 2 2 9 3" xfId="1236" xr:uid="{00000000-0005-0000-0000-0000BD040000}"/>
    <cellStyle name="Normal 3 2 2 9 4" xfId="1237" xr:uid="{00000000-0005-0000-0000-0000BE040000}"/>
    <cellStyle name="Normal 3 2 20" xfId="1238" xr:uid="{00000000-0005-0000-0000-0000BF040000}"/>
    <cellStyle name="Normal 3 2 20 2" xfId="1239" xr:uid="{00000000-0005-0000-0000-0000C0040000}"/>
    <cellStyle name="Normal 3 2 20 3" xfId="1240" xr:uid="{00000000-0005-0000-0000-0000C1040000}"/>
    <cellStyle name="Normal 3 2 21" xfId="1241" xr:uid="{00000000-0005-0000-0000-0000C2040000}"/>
    <cellStyle name="Normal 3 2 21 2" xfId="1242" xr:uid="{00000000-0005-0000-0000-0000C3040000}"/>
    <cellStyle name="Normal 3 2 21 3" xfId="1243" xr:uid="{00000000-0005-0000-0000-0000C4040000}"/>
    <cellStyle name="Normal 3 2 22" xfId="1244" xr:uid="{00000000-0005-0000-0000-0000C5040000}"/>
    <cellStyle name="Normal 3 2 22 2" xfId="1245" xr:uid="{00000000-0005-0000-0000-0000C6040000}"/>
    <cellStyle name="Normal 3 2 22 3" xfId="1246" xr:uid="{00000000-0005-0000-0000-0000C7040000}"/>
    <cellStyle name="Normal 3 2 23" xfId="1247" xr:uid="{00000000-0005-0000-0000-0000C8040000}"/>
    <cellStyle name="Normal 3 2 23 2" xfId="1248" xr:uid="{00000000-0005-0000-0000-0000C9040000}"/>
    <cellStyle name="Normal 3 2 23 3" xfId="1249" xr:uid="{00000000-0005-0000-0000-0000CA040000}"/>
    <cellStyle name="Normal 3 2 24" xfId="1250" xr:uid="{00000000-0005-0000-0000-0000CB040000}"/>
    <cellStyle name="Normal 3 2 24 2" xfId="1251" xr:uid="{00000000-0005-0000-0000-0000CC040000}"/>
    <cellStyle name="Normal 3 2 24 3" xfId="1252" xr:uid="{00000000-0005-0000-0000-0000CD040000}"/>
    <cellStyle name="Normal 3 2 25" xfId="1253" xr:uid="{00000000-0005-0000-0000-0000CE040000}"/>
    <cellStyle name="Normal 3 2 25 2" xfId="1254" xr:uid="{00000000-0005-0000-0000-0000CF040000}"/>
    <cellStyle name="Normal 3 2 25 3" xfId="1255" xr:uid="{00000000-0005-0000-0000-0000D0040000}"/>
    <cellStyle name="Normal 3 2 26" xfId="1256" xr:uid="{00000000-0005-0000-0000-0000D1040000}"/>
    <cellStyle name="Normal 3 2 26 2" xfId="1257" xr:uid="{00000000-0005-0000-0000-0000D2040000}"/>
    <cellStyle name="Normal 3 2 26 3" xfId="1258" xr:uid="{00000000-0005-0000-0000-0000D3040000}"/>
    <cellStyle name="Normal 3 2 27" xfId="1259" xr:uid="{00000000-0005-0000-0000-0000D4040000}"/>
    <cellStyle name="Normal 3 2 27 2" xfId="1260" xr:uid="{00000000-0005-0000-0000-0000D5040000}"/>
    <cellStyle name="Normal 3 2 27 3" xfId="1261" xr:uid="{00000000-0005-0000-0000-0000D6040000}"/>
    <cellStyle name="Normal 3 2 28" xfId="1262" xr:uid="{00000000-0005-0000-0000-0000D7040000}"/>
    <cellStyle name="Normal 3 2 28 2" xfId="1263" xr:uid="{00000000-0005-0000-0000-0000D8040000}"/>
    <cellStyle name="Normal 3 2 28 3" xfId="1264" xr:uid="{00000000-0005-0000-0000-0000D9040000}"/>
    <cellStyle name="Normal 3 2 29" xfId="1265" xr:uid="{00000000-0005-0000-0000-0000DA040000}"/>
    <cellStyle name="Normal 3 2 29 2" xfId="1266" xr:uid="{00000000-0005-0000-0000-0000DB040000}"/>
    <cellStyle name="Normal 3 2 29 3" xfId="1267" xr:uid="{00000000-0005-0000-0000-0000DC040000}"/>
    <cellStyle name="Normal 3 2 3" xfId="1268" xr:uid="{00000000-0005-0000-0000-0000DD040000}"/>
    <cellStyle name="Normal 3 2 3 2" xfId="1269" xr:uid="{00000000-0005-0000-0000-0000DE040000}"/>
    <cellStyle name="Normal 3 2 3 3" xfId="1270" xr:uid="{00000000-0005-0000-0000-0000DF040000}"/>
    <cellStyle name="Normal 3 2 30" xfId="1271" xr:uid="{00000000-0005-0000-0000-0000E0040000}"/>
    <cellStyle name="Normal 3 2 30 2" xfId="1272" xr:uid="{00000000-0005-0000-0000-0000E1040000}"/>
    <cellStyle name="Normal 3 2 30 3" xfId="1273" xr:uid="{00000000-0005-0000-0000-0000E2040000}"/>
    <cellStyle name="Normal 3 2 31" xfId="1274" xr:uid="{00000000-0005-0000-0000-0000E3040000}"/>
    <cellStyle name="Normal 3 2 31 2" xfId="1275" xr:uid="{00000000-0005-0000-0000-0000E4040000}"/>
    <cellStyle name="Normal 3 2 31 3" xfId="1276" xr:uid="{00000000-0005-0000-0000-0000E5040000}"/>
    <cellStyle name="Normal 3 2 32" xfId="1277" xr:uid="{00000000-0005-0000-0000-0000E6040000}"/>
    <cellStyle name="Normal 3 2 32 2" xfId="1278" xr:uid="{00000000-0005-0000-0000-0000E7040000}"/>
    <cellStyle name="Normal 3 2 32 3" xfId="1279" xr:uid="{00000000-0005-0000-0000-0000E8040000}"/>
    <cellStyle name="Normal 3 2 33" xfId="1280" xr:uid="{00000000-0005-0000-0000-0000E9040000}"/>
    <cellStyle name="Normal 3 2 33 2" xfId="1281" xr:uid="{00000000-0005-0000-0000-0000EA040000}"/>
    <cellStyle name="Normal 3 2 33 3" xfId="1282" xr:uid="{00000000-0005-0000-0000-0000EB040000}"/>
    <cellStyle name="Normal 3 2 34" xfId="1283" xr:uid="{00000000-0005-0000-0000-0000EC040000}"/>
    <cellStyle name="Normal 3 2 34 2" xfId="1284" xr:uid="{00000000-0005-0000-0000-0000ED040000}"/>
    <cellStyle name="Normal 3 2 34 3" xfId="1285" xr:uid="{00000000-0005-0000-0000-0000EE040000}"/>
    <cellStyle name="Normal 3 2 35" xfId="1286" xr:uid="{00000000-0005-0000-0000-0000EF040000}"/>
    <cellStyle name="Normal 3 2 35 2" xfId="1287" xr:uid="{00000000-0005-0000-0000-0000F0040000}"/>
    <cellStyle name="Normal 3 2 35 3" xfId="1288" xr:uid="{00000000-0005-0000-0000-0000F1040000}"/>
    <cellStyle name="Normal 3 2 36" xfId="1289" xr:uid="{00000000-0005-0000-0000-0000F2040000}"/>
    <cellStyle name="Normal 3 2 36 2" xfId="1290" xr:uid="{00000000-0005-0000-0000-0000F3040000}"/>
    <cellStyle name="Normal 3 2 36 3" xfId="1291" xr:uid="{00000000-0005-0000-0000-0000F4040000}"/>
    <cellStyle name="Normal 3 2 37" xfId="1292" xr:uid="{00000000-0005-0000-0000-0000F5040000}"/>
    <cellStyle name="Normal 3 2 37 2" xfId="1293" xr:uid="{00000000-0005-0000-0000-0000F6040000}"/>
    <cellStyle name="Normal 3 2 37 3" xfId="1294" xr:uid="{00000000-0005-0000-0000-0000F7040000}"/>
    <cellStyle name="Normal 3 2 38" xfId="1295" xr:uid="{00000000-0005-0000-0000-0000F8040000}"/>
    <cellStyle name="Normal 3 2 38 2" xfId="1296" xr:uid="{00000000-0005-0000-0000-0000F9040000}"/>
    <cellStyle name="Normal 3 2 38 3" xfId="1297" xr:uid="{00000000-0005-0000-0000-0000FA040000}"/>
    <cellStyle name="Normal 3 2 39" xfId="1298" xr:uid="{00000000-0005-0000-0000-0000FB040000}"/>
    <cellStyle name="Normal 3 2 39 2" xfId="1299" xr:uid="{00000000-0005-0000-0000-0000FC040000}"/>
    <cellStyle name="Normal 3 2 39 3" xfId="1300" xr:uid="{00000000-0005-0000-0000-0000FD040000}"/>
    <cellStyle name="Normal 3 2 4" xfId="1301" xr:uid="{00000000-0005-0000-0000-0000FE040000}"/>
    <cellStyle name="Normal 3 2 4 2" xfId="1302" xr:uid="{00000000-0005-0000-0000-0000FF040000}"/>
    <cellStyle name="Normal 3 2 4 3" xfId="1303" xr:uid="{00000000-0005-0000-0000-000000050000}"/>
    <cellStyle name="Normal 3 2 40" xfId="1304" xr:uid="{00000000-0005-0000-0000-000001050000}"/>
    <cellStyle name="Normal 3 2 40 2" xfId="1305" xr:uid="{00000000-0005-0000-0000-000002050000}"/>
    <cellStyle name="Normal 3 2 40 3" xfId="1306" xr:uid="{00000000-0005-0000-0000-000003050000}"/>
    <cellStyle name="Normal 3 2 41" xfId="1307" xr:uid="{00000000-0005-0000-0000-000004050000}"/>
    <cellStyle name="Normal 3 2 41 2" xfId="1308" xr:uid="{00000000-0005-0000-0000-000005050000}"/>
    <cellStyle name="Normal 3 2 41 3" xfId="1309" xr:uid="{00000000-0005-0000-0000-000006050000}"/>
    <cellStyle name="Normal 3 2 42" xfId="1310" xr:uid="{00000000-0005-0000-0000-000007050000}"/>
    <cellStyle name="Normal 3 2 42 2" xfId="1311" xr:uid="{00000000-0005-0000-0000-000008050000}"/>
    <cellStyle name="Normal 3 2 42 3" xfId="1312" xr:uid="{00000000-0005-0000-0000-000009050000}"/>
    <cellStyle name="Normal 3 2 43" xfId="1313" xr:uid="{00000000-0005-0000-0000-00000A050000}"/>
    <cellStyle name="Normal 3 2 43 2" xfId="1314" xr:uid="{00000000-0005-0000-0000-00000B050000}"/>
    <cellStyle name="Normal 3 2 43 3" xfId="1315" xr:uid="{00000000-0005-0000-0000-00000C050000}"/>
    <cellStyle name="Normal 3 2 44" xfId="1316" xr:uid="{00000000-0005-0000-0000-00000D050000}"/>
    <cellStyle name="Normal 3 2 44 2" xfId="1317" xr:uid="{00000000-0005-0000-0000-00000E050000}"/>
    <cellStyle name="Normal 3 2 44 3" xfId="1318" xr:uid="{00000000-0005-0000-0000-00000F050000}"/>
    <cellStyle name="Normal 3 2 45" xfId="1319" xr:uid="{00000000-0005-0000-0000-000010050000}"/>
    <cellStyle name="Normal 3 2 45 2" xfId="1320" xr:uid="{00000000-0005-0000-0000-000011050000}"/>
    <cellStyle name="Normal 3 2 45 3" xfId="1321" xr:uid="{00000000-0005-0000-0000-000012050000}"/>
    <cellStyle name="Normal 3 2 46" xfId="1322" xr:uid="{00000000-0005-0000-0000-000013050000}"/>
    <cellStyle name="Normal 3 2 46 2" xfId="1323" xr:uid="{00000000-0005-0000-0000-000014050000}"/>
    <cellStyle name="Normal 3 2 46 3" xfId="1324" xr:uid="{00000000-0005-0000-0000-000015050000}"/>
    <cellStyle name="Normal 3 2 47" xfId="1325" xr:uid="{00000000-0005-0000-0000-000016050000}"/>
    <cellStyle name="Normal 3 2 47 2" xfId="1326" xr:uid="{00000000-0005-0000-0000-000017050000}"/>
    <cellStyle name="Normal 3 2 47 3" xfId="1327" xr:uid="{00000000-0005-0000-0000-000018050000}"/>
    <cellStyle name="Normal 3 2 48" xfId="1328" xr:uid="{00000000-0005-0000-0000-000019050000}"/>
    <cellStyle name="Normal 3 2 48 3 4" xfId="97" xr:uid="{00000000-0005-0000-0000-00001A050000}"/>
    <cellStyle name="Normal 3 2 49" xfId="1329" xr:uid="{00000000-0005-0000-0000-00001B050000}"/>
    <cellStyle name="Normal 3 2 5" xfId="1330" xr:uid="{00000000-0005-0000-0000-00001C050000}"/>
    <cellStyle name="Normal 3 2 5 2" xfId="1331" xr:uid="{00000000-0005-0000-0000-00001D050000}"/>
    <cellStyle name="Normal 3 2 5 3" xfId="1332" xr:uid="{00000000-0005-0000-0000-00001E050000}"/>
    <cellStyle name="Normal 3 2 50" xfId="1333" xr:uid="{00000000-0005-0000-0000-00001F050000}"/>
    <cellStyle name="Normal 3 2 51" xfId="1020" xr:uid="{00000000-0005-0000-0000-000020050000}"/>
    <cellStyle name="Normal 3 2 51 4" xfId="99" xr:uid="{00000000-0005-0000-0000-000021050000}"/>
    <cellStyle name="Normal 3 2 52" xfId="2252" xr:uid="{00000000-0005-0000-0000-000022050000}"/>
    <cellStyle name="Normal 3 2 6" xfId="1334" xr:uid="{00000000-0005-0000-0000-000023050000}"/>
    <cellStyle name="Normal 3 2 6 2" xfId="1335" xr:uid="{00000000-0005-0000-0000-000024050000}"/>
    <cellStyle name="Normal 3 2 6 3" xfId="1336" xr:uid="{00000000-0005-0000-0000-000025050000}"/>
    <cellStyle name="Normal 3 2 7" xfId="1337" xr:uid="{00000000-0005-0000-0000-000026050000}"/>
    <cellStyle name="Normal 3 2 7 2" xfId="1338" xr:uid="{00000000-0005-0000-0000-000027050000}"/>
    <cellStyle name="Normal 3 2 7 3" xfId="1339" xr:uid="{00000000-0005-0000-0000-000028050000}"/>
    <cellStyle name="Normal 3 2 8" xfId="1340" xr:uid="{00000000-0005-0000-0000-000029050000}"/>
    <cellStyle name="Normal 3 2 8 2" xfId="1341" xr:uid="{00000000-0005-0000-0000-00002A050000}"/>
    <cellStyle name="Normal 3 2 8 3" xfId="1342" xr:uid="{00000000-0005-0000-0000-00002B050000}"/>
    <cellStyle name="Normal 3 2 9" xfId="1343" xr:uid="{00000000-0005-0000-0000-00002C050000}"/>
    <cellStyle name="Normal 3 2 9 2" xfId="1344" xr:uid="{00000000-0005-0000-0000-00002D050000}"/>
    <cellStyle name="Normal 3 2 9 3" xfId="1345" xr:uid="{00000000-0005-0000-0000-00002E050000}"/>
    <cellStyle name="Normal 3 20" xfId="1346" xr:uid="{00000000-0005-0000-0000-00002F050000}"/>
    <cellStyle name="Normal 3 20 2" xfId="1347" xr:uid="{00000000-0005-0000-0000-000030050000}"/>
    <cellStyle name="Normal 3 20 3" xfId="1348" xr:uid="{00000000-0005-0000-0000-000031050000}"/>
    <cellStyle name="Normal 3 20 4" xfId="1349" xr:uid="{00000000-0005-0000-0000-000032050000}"/>
    <cellStyle name="Normal 3 21" xfId="1350" xr:uid="{00000000-0005-0000-0000-000033050000}"/>
    <cellStyle name="Normal 3 21 2" xfId="1351" xr:uid="{00000000-0005-0000-0000-000034050000}"/>
    <cellStyle name="Normal 3 21 3" xfId="1352" xr:uid="{00000000-0005-0000-0000-000035050000}"/>
    <cellStyle name="Normal 3 21 4" xfId="1353" xr:uid="{00000000-0005-0000-0000-000036050000}"/>
    <cellStyle name="Normal 3 22" xfId="1354" xr:uid="{00000000-0005-0000-0000-000037050000}"/>
    <cellStyle name="Normal 3 22 2" xfId="1355" xr:uid="{00000000-0005-0000-0000-000038050000}"/>
    <cellStyle name="Normal 3 22 3" xfId="1356" xr:uid="{00000000-0005-0000-0000-000039050000}"/>
    <cellStyle name="Normal 3 22 4" xfId="1357" xr:uid="{00000000-0005-0000-0000-00003A050000}"/>
    <cellStyle name="Normal 3 23" xfId="1358" xr:uid="{00000000-0005-0000-0000-00003B050000}"/>
    <cellStyle name="Normal 3 23 2" xfId="1359" xr:uid="{00000000-0005-0000-0000-00003C050000}"/>
    <cellStyle name="Normal 3 23 3" xfId="1360" xr:uid="{00000000-0005-0000-0000-00003D050000}"/>
    <cellStyle name="Normal 3 23 4" xfId="1361" xr:uid="{00000000-0005-0000-0000-00003E050000}"/>
    <cellStyle name="Normal 3 24" xfId="1362" xr:uid="{00000000-0005-0000-0000-00003F050000}"/>
    <cellStyle name="Normal 3 24 2" xfId="1363" xr:uid="{00000000-0005-0000-0000-000040050000}"/>
    <cellStyle name="Normal 3 24 3" xfId="1364" xr:uid="{00000000-0005-0000-0000-000041050000}"/>
    <cellStyle name="Normal 3 24 4" xfId="1365" xr:uid="{00000000-0005-0000-0000-000042050000}"/>
    <cellStyle name="Normal 3 25" xfId="1366" xr:uid="{00000000-0005-0000-0000-000043050000}"/>
    <cellStyle name="Normal 3 25 2" xfId="1367" xr:uid="{00000000-0005-0000-0000-000044050000}"/>
    <cellStyle name="Normal 3 25 3" xfId="1368" xr:uid="{00000000-0005-0000-0000-000045050000}"/>
    <cellStyle name="Normal 3 25 4" xfId="1369" xr:uid="{00000000-0005-0000-0000-000046050000}"/>
    <cellStyle name="Normal 3 26" xfId="1370" xr:uid="{00000000-0005-0000-0000-000047050000}"/>
    <cellStyle name="Normal 3 26 2" xfId="1371" xr:uid="{00000000-0005-0000-0000-000048050000}"/>
    <cellStyle name="Normal 3 26 3" xfId="1372" xr:uid="{00000000-0005-0000-0000-000049050000}"/>
    <cellStyle name="Normal 3 26 4" xfId="1373" xr:uid="{00000000-0005-0000-0000-00004A050000}"/>
    <cellStyle name="Normal 3 27" xfId="1374" xr:uid="{00000000-0005-0000-0000-00004B050000}"/>
    <cellStyle name="Normal 3 27 2" xfId="1375" xr:uid="{00000000-0005-0000-0000-00004C050000}"/>
    <cellStyle name="Normal 3 27 3" xfId="1376" xr:uid="{00000000-0005-0000-0000-00004D050000}"/>
    <cellStyle name="Normal 3 27 4" xfId="1377" xr:uid="{00000000-0005-0000-0000-00004E050000}"/>
    <cellStyle name="Normal 3 28" xfId="1378" xr:uid="{00000000-0005-0000-0000-00004F050000}"/>
    <cellStyle name="Normal 3 28 2" xfId="1379" xr:uid="{00000000-0005-0000-0000-000050050000}"/>
    <cellStyle name="Normal 3 28 3" xfId="1380" xr:uid="{00000000-0005-0000-0000-000051050000}"/>
    <cellStyle name="Normal 3 28 4" xfId="1381" xr:uid="{00000000-0005-0000-0000-000052050000}"/>
    <cellStyle name="Normal 3 29" xfId="1382" xr:uid="{00000000-0005-0000-0000-000053050000}"/>
    <cellStyle name="Normal 3 29 2" xfId="1383" xr:uid="{00000000-0005-0000-0000-000054050000}"/>
    <cellStyle name="Normal 3 29 3" xfId="1384" xr:uid="{00000000-0005-0000-0000-000055050000}"/>
    <cellStyle name="Normal 3 29 4" xfId="1385" xr:uid="{00000000-0005-0000-0000-000056050000}"/>
    <cellStyle name="Normal 3 3" xfId="1386" xr:uid="{00000000-0005-0000-0000-000057050000}"/>
    <cellStyle name="Normal 3 3 2" xfId="1387" xr:uid="{00000000-0005-0000-0000-000058050000}"/>
    <cellStyle name="Normal 3 3 3" xfId="1388" xr:uid="{00000000-0005-0000-0000-000059050000}"/>
    <cellStyle name="Normal 3 3 4" xfId="1389" xr:uid="{00000000-0005-0000-0000-00005A050000}"/>
    <cellStyle name="Normal 3 3 5" xfId="2250" xr:uid="{00000000-0005-0000-0000-00005B050000}"/>
    <cellStyle name="Normal 3 30" xfId="1390" xr:uid="{00000000-0005-0000-0000-00005C050000}"/>
    <cellStyle name="Normal 3 30 2" xfId="1391" xr:uid="{00000000-0005-0000-0000-00005D050000}"/>
    <cellStyle name="Normal 3 30 3" xfId="1392" xr:uid="{00000000-0005-0000-0000-00005E050000}"/>
    <cellStyle name="Normal 3 30 4" xfId="1393" xr:uid="{00000000-0005-0000-0000-00005F050000}"/>
    <cellStyle name="Normal 3 31" xfId="1394" xr:uid="{00000000-0005-0000-0000-000060050000}"/>
    <cellStyle name="Normal 3 31 2" xfId="1395" xr:uid="{00000000-0005-0000-0000-000061050000}"/>
    <cellStyle name="Normal 3 31 3" xfId="1396" xr:uid="{00000000-0005-0000-0000-000062050000}"/>
    <cellStyle name="Normal 3 31 4" xfId="1397" xr:uid="{00000000-0005-0000-0000-000063050000}"/>
    <cellStyle name="Normal 3 32" xfId="1398" xr:uid="{00000000-0005-0000-0000-000064050000}"/>
    <cellStyle name="Normal 3 32 2" xfId="1399" xr:uid="{00000000-0005-0000-0000-000065050000}"/>
    <cellStyle name="Normal 3 32 3" xfId="1400" xr:uid="{00000000-0005-0000-0000-000066050000}"/>
    <cellStyle name="Normal 3 32 4" xfId="1401" xr:uid="{00000000-0005-0000-0000-000067050000}"/>
    <cellStyle name="Normal 3 33" xfId="1402" xr:uid="{00000000-0005-0000-0000-000068050000}"/>
    <cellStyle name="Normal 3 33 2" xfId="1403" xr:uid="{00000000-0005-0000-0000-000069050000}"/>
    <cellStyle name="Normal 3 33 3" xfId="1404" xr:uid="{00000000-0005-0000-0000-00006A050000}"/>
    <cellStyle name="Normal 3 33 4" xfId="1405" xr:uid="{00000000-0005-0000-0000-00006B050000}"/>
    <cellStyle name="Normal 3 34" xfId="1406" xr:uid="{00000000-0005-0000-0000-00006C050000}"/>
    <cellStyle name="Normal 3 34 2" xfId="1407" xr:uid="{00000000-0005-0000-0000-00006D050000}"/>
    <cellStyle name="Normal 3 34 3" xfId="1408" xr:uid="{00000000-0005-0000-0000-00006E050000}"/>
    <cellStyle name="Normal 3 34 4" xfId="1409" xr:uid="{00000000-0005-0000-0000-00006F050000}"/>
    <cellStyle name="Normal 3 35" xfId="11" xr:uid="{00000000-0005-0000-0000-000070050000}"/>
    <cellStyle name="Normal 3 35 2" xfId="1411" xr:uid="{00000000-0005-0000-0000-000071050000}"/>
    <cellStyle name="Normal 3 35 3" xfId="1412" xr:uid="{00000000-0005-0000-0000-000072050000}"/>
    <cellStyle name="Normal 3 35 4" xfId="1413" xr:uid="{00000000-0005-0000-0000-000073050000}"/>
    <cellStyle name="Normal 3 35 5" xfId="1410" xr:uid="{00000000-0005-0000-0000-000074050000}"/>
    <cellStyle name="Normal 3 36" xfId="1414" xr:uid="{00000000-0005-0000-0000-000075050000}"/>
    <cellStyle name="Normal 3 36 2" xfId="1415" xr:uid="{00000000-0005-0000-0000-000076050000}"/>
    <cellStyle name="Normal 3 36 3" xfId="1416" xr:uid="{00000000-0005-0000-0000-000077050000}"/>
    <cellStyle name="Normal 3 36 4" xfId="1417" xr:uid="{00000000-0005-0000-0000-000078050000}"/>
    <cellStyle name="Normal 3 37" xfId="1418" xr:uid="{00000000-0005-0000-0000-000079050000}"/>
    <cellStyle name="Normal 3 37 2" xfId="1419" xr:uid="{00000000-0005-0000-0000-00007A050000}"/>
    <cellStyle name="Normal 3 37 3" xfId="1420" xr:uid="{00000000-0005-0000-0000-00007B050000}"/>
    <cellStyle name="Normal 3 37 4" xfId="1421" xr:uid="{00000000-0005-0000-0000-00007C050000}"/>
    <cellStyle name="Normal 3 38" xfId="1422" xr:uid="{00000000-0005-0000-0000-00007D050000}"/>
    <cellStyle name="Normal 3 38 2" xfId="1423" xr:uid="{00000000-0005-0000-0000-00007E050000}"/>
    <cellStyle name="Normal 3 38 3" xfId="1424" xr:uid="{00000000-0005-0000-0000-00007F050000}"/>
    <cellStyle name="Normal 3 38 4" xfId="1425" xr:uid="{00000000-0005-0000-0000-000080050000}"/>
    <cellStyle name="Normal 3 39" xfId="1426" xr:uid="{00000000-0005-0000-0000-000081050000}"/>
    <cellStyle name="Normal 3 39 2" xfId="1427" xr:uid="{00000000-0005-0000-0000-000082050000}"/>
    <cellStyle name="Normal 3 39 3" xfId="1428" xr:uid="{00000000-0005-0000-0000-000083050000}"/>
    <cellStyle name="Normal 3 39 4" xfId="1429" xr:uid="{00000000-0005-0000-0000-000084050000}"/>
    <cellStyle name="Normal 3 4" xfId="1430" xr:uid="{00000000-0005-0000-0000-000085050000}"/>
    <cellStyle name="Normal 3 4 2" xfId="1431" xr:uid="{00000000-0005-0000-0000-000086050000}"/>
    <cellStyle name="Normal 3 4 3" xfId="1432" xr:uid="{00000000-0005-0000-0000-000087050000}"/>
    <cellStyle name="Normal 3 4 4" xfId="1433" xr:uid="{00000000-0005-0000-0000-000088050000}"/>
    <cellStyle name="Normal 3 40" xfId="1434" xr:uid="{00000000-0005-0000-0000-000089050000}"/>
    <cellStyle name="Normal 3 40 2" xfId="1435" xr:uid="{00000000-0005-0000-0000-00008A050000}"/>
    <cellStyle name="Normal 3 40 3" xfId="1436" xr:uid="{00000000-0005-0000-0000-00008B050000}"/>
    <cellStyle name="Normal 3 40 4" xfId="1437" xr:uid="{00000000-0005-0000-0000-00008C050000}"/>
    <cellStyle name="Normal 3 41" xfId="1438" xr:uid="{00000000-0005-0000-0000-00008D050000}"/>
    <cellStyle name="Normal 3 41 2" xfId="1439" xr:uid="{00000000-0005-0000-0000-00008E050000}"/>
    <cellStyle name="Normal 3 41 3" xfId="1440" xr:uid="{00000000-0005-0000-0000-00008F050000}"/>
    <cellStyle name="Normal 3 41 4" xfId="1441" xr:uid="{00000000-0005-0000-0000-000090050000}"/>
    <cellStyle name="Normal 3 42" xfId="1442" xr:uid="{00000000-0005-0000-0000-000091050000}"/>
    <cellStyle name="Normal 3 42 2" xfId="1443" xr:uid="{00000000-0005-0000-0000-000092050000}"/>
    <cellStyle name="Normal 3 42 3" xfId="1444" xr:uid="{00000000-0005-0000-0000-000093050000}"/>
    <cellStyle name="Normal 3 42 4" xfId="1445" xr:uid="{00000000-0005-0000-0000-000094050000}"/>
    <cellStyle name="Normal 3 43" xfId="1446" xr:uid="{00000000-0005-0000-0000-000095050000}"/>
    <cellStyle name="Normal 3 43 2" xfId="1447" xr:uid="{00000000-0005-0000-0000-000096050000}"/>
    <cellStyle name="Normal 3 43 3" xfId="1448" xr:uid="{00000000-0005-0000-0000-000097050000}"/>
    <cellStyle name="Normal 3 43 4" xfId="1449" xr:uid="{00000000-0005-0000-0000-000098050000}"/>
    <cellStyle name="Normal 3 44" xfId="1450" xr:uid="{00000000-0005-0000-0000-000099050000}"/>
    <cellStyle name="Normal 3 44 2" xfId="1451" xr:uid="{00000000-0005-0000-0000-00009A050000}"/>
    <cellStyle name="Normal 3 44 3" xfId="1452" xr:uid="{00000000-0005-0000-0000-00009B050000}"/>
    <cellStyle name="Normal 3 44 4" xfId="1453" xr:uid="{00000000-0005-0000-0000-00009C050000}"/>
    <cellStyle name="Normal 3 45" xfId="1454" xr:uid="{00000000-0005-0000-0000-00009D050000}"/>
    <cellStyle name="Normal 3 45 2" xfId="1455" xr:uid="{00000000-0005-0000-0000-00009E050000}"/>
    <cellStyle name="Normal 3 45 3" xfId="1456" xr:uid="{00000000-0005-0000-0000-00009F050000}"/>
    <cellStyle name="Normal 3 45 4" xfId="1457" xr:uid="{00000000-0005-0000-0000-0000A0050000}"/>
    <cellStyle name="Normal 3 46" xfId="1458" xr:uid="{00000000-0005-0000-0000-0000A1050000}"/>
    <cellStyle name="Normal 3 46 2" xfId="1459" xr:uid="{00000000-0005-0000-0000-0000A2050000}"/>
    <cellStyle name="Normal 3 46 3" xfId="1460" xr:uid="{00000000-0005-0000-0000-0000A3050000}"/>
    <cellStyle name="Normal 3 46 4" xfId="1461" xr:uid="{00000000-0005-0000-0000-0000A4050000}"/>
    <cellStyle name="Normal 3 47" xfId="1462" xr:uid="{00000000-0005-0000-0000-0000A5050000}"/>
    <cellStyle name="Normal 3 47 2" xfId="1463" xr:uid="{00000000-0005-0000-0000-0000A6050000}"/>
    <cellStyle name="Normal 3 47 3" xfId="1464" xr:uid="{00000000-0005-0000-0000-0000A7050000}"/>
    <cellStyle name="Normal 3 47 4" xfId="1465" xr:uid="{00000000-0005-0000-0000-0000A8050000}"/>
    <cellStyle name="Normal 3 48" xfId="1466" xr:uid="{00000000-0005-0000-0000-0000A9050000}"/>
    <cellStyle name="Normal 3 48 2" xfId="1467" xr:uid="{00000000-0005-0000-0000-0000AA050000}"/>
    <cellStyle name="Normal 3 48 2 2" xfId="2234" xr:uid="{00000000-0005-0000-0000-0000AB050000}"/>
    <cellStyle name="Normal 3 48 3" xfId="1468" xr:uid="{00000000-0005-0000-0000-0000AC050000}"/>
    <cellStyle name="Normal 3 48 4" xfId="1469" xr:uid="{00000000-0005-0000-0000-0000AD050000}"/>
    <cellStyle name="Normal 3 48 5" xfId="74" xr:uid="{00000000-0005-0000-0000-0000AE050000}"/>
    <cellStyle name="Normal 3 49" xfId="1470" xr:uid="{00000000-0005-0000-0000-0000AF050000}"/>
    <cellStyle name="Normal 3 5" xfId="1471" xr:uid="{00000000-0005-0000-0000-0000B0050000}"/>
    <cellStyle name="Normal 3 5 2" xfId="1472" xr:uid="{00000000-0005-0000-0000-0000B1050000}"/>
    <cellStyle name="Normal 3 5 2 2" xfId="82" xr:uid="{00000000-0005-0000-0000-0000B2050000}"/>
    <cellStyle name="Normal 3 5 3" xfId="1473" xr:uid="{00000000-0005-0000-0000-0000B3050000}"/>
    <cellStyle name="Normal 3 5 4" xfId="1474" xr:uid="{00000000-0005-0000-0000-0000B4050000}"/>
    <cellStyle name="Normal 3 50" xfId="1475" xr:uid="{00000000-0005-0000-0000-0000B5050000}"/>
    <cellStyle name="Normal 3 51" xfId="1476" xr:uid="{00000000-0005-0000-0000-0000B6050000}"/>
    <cellStyle name="Normal 3 52" xfId="1477" xr:uid="{00000000-0005-0000-0000-0000B7050000}"/>
    <cellStyle name="Normal 3 53" xfId="107" xr:uid="{00000000-0005-0000-0000-0000B8050000}"/>
    <cellStyle name="Normal 3 54" xfId="2248" xr:uid="{00000000-0005-0000-0000-0000B9050000}"/>
    <cellStyle name="Normal 3 56" xfId="123" xr:uid="{00000000-0005-0000-0000-0000BA050000}"/>
    <cellStyle name="Normal 3 6" xfId="1478" xr:uid="{00000000-0005-0000-0000-0000BB050000}"/>
    <cellStyle name="Normal 3 6 2" xfId="1479" xr:uid="{00000000-0005-0000-0000-0000BC050000}"/>
    <cellStyle name="Normal 3 6 3" xfId="1480" xr:uid="{00000000-0005-0000-0000-0000BD050000}"/>
    <cellStyle name="Normal 3 6 4" xfId="1481" xr:uid="{00000000-0005-0000-0000-0000BE050000}"/>
    <cellStyle name="Normal 3 7" xfId="1482" xr:uid="{00000000-0005-0000-0000-0000BF050000}"/>
    <cellStyle name="Normal 3 7 2" xfId="1483" xr:uid="{00000000-0005-0000-0000-0000C0050000}"/>
    <cellStyle name="Normal 3 7 3" xfId="1484" xr:uid="{00000000-0005-0000-0000-0000C1050000}"/>
    <cellStyle name="Normal 3 7 4" xfId="1485" xr:uid="{00000000-0005-0000-0000-0000C2050000}"/>
    <cellStyle name="Normal 3 8" xfId="1486" xr:uid="{00000000-0005-0000-0000-0000C3050000}"/>
    <cellStyle name="Normal 3 8 2" xfId="1487" xr:uid="{00000000-0005-0000-0000-0000C4050000}"/>
    <cellStyle name="Normal 3 8 3" xfId="1488" xr:uid="{00000000-0005-0000-0000-0000C5050000}"/>
    <cellStyle name="Normal 3 8 4" xfId="1489" xr:uid="{00000000-0005-0000-0000-0000C6050000}"/>
    <cellStyle name="Normal 3 9" xfId="1490" xr:uid="{00000000-0005-0000-0000-0000C7050000}"/>
    <cellStyle name="Normal 3 9 2" xfId="1491" xr:uid="{00000000-0005-0000-0000-0000C8050000}"/>
    <cellStyle name="Normal 3 9 3" xfId="1492" xr:uid="{00000000-0005-0000-0000-0000C9050000}"/>
    <cellStyle name="Normal 3 9 4" xfId="1493" xr:uid="{00000000-0005-0000-0000-0000CA050000}"/>
    <cellStyle name="Normal 31" xfId="1494" xr:uid="{00000000-0005-0000-0000-0000CB050000}"/>
    <cellStyle name="Normal 31 2" xfId="1495" xr:uid="{00000000-0005-0000-0000-0000CC050000}"/>
    <cellStyle name="Normal 31 2 2" xfId="1496" xr:uid="{00000000-0005-0000-0000-0000CD050000}"/>
    <cellStyle name="Normal 31 2 3" xfId="1497" xr:uid="{00000000-0005-0000-0000-0000CE050000}"/>
    <cellStyle name="Normal 31 2 4" xfId="1498" xr:uid="{00000000-0005-0000-0000-0000CF050000}"/>
    <cellStyle name="Normal 31 3" xfId="1499" xr:uid="{00000000-0005-0000-0000-0000D0050000}"/>
    <cellStyle name="Normal 31 3 2" xfId="1500" xr:uid="{00000000-0005-0000-0000-0000D1050000}"/>
    <cellStyle name="Normal 31 3 2 2" xfId="1501" xr:uid="{00000000-0005-0000-0000-0000D2050000}"/>
    <cellStyle name="Normal 31 3 2 3" xfId="1502" xr:uid="{00000000-0005-0000-0000-0000D3050000}"/>
    <cellStyle name="Normal 31 3 2 4" xfId="1503" xr:uid="{00000000-0005-0000-0000-0000D4050000}"/>
    <cellStyle name="Normal 31 3 3" xfId="1504" xr:uid="{00000000-0005-0000-0000-0000D5050000}"/>
    <cellStyle name="Normal 31 3 4" xfId="1505" xr:uid="{00000000-0005-0000-0000-0000D6050000}"/>
    <cellStyle name="Normal 31 3 5" xfId="1506" xr:uid="{00000000-0005-0000-0000-0000D7050000}"/>
    <cellStyle name="Normal 31 4" xfId="1507" xr:uid="{00000000-0005-0000-0000-0000D8050000}"/>
    <cellStyle name="Normal 31 5" xfId="1508" xr:uid="{00000000-0005-0000-0000-0000D9050000}"/>
    <cellStyle name="Normal 31 6" xfId="1509" xr:uid="{00000000-0005-0000-0000-0000DA050000}"/>
    <cellStyle name="Normal 33" xfId="1510" xr:uid="{00000000-0005-0000-0000-0000DB050000}"/>
    <cellStyle name="Normal 33 2" xfId="1511" xr:uid="{00000000-0005-0000-0000-0000DC050000}"/>
    <cellStyle name="Normal 33 2 2" xfId="1512" xr:uid="{00000000-0005-0000-0000-0000DD050000}"/>
    <cellStyle name="Normal 33 2 3" xfId="1513" xr:uid="{00000000-0005-0000-0000-0000DE050000}"/>
    <cellStyle name="Normal 33 2 4" xfId="1514" xr:uid="{00000000-0005-0000-0000-0000DF050000}"/>
    <cellStyle name="Normal 33 3" xfId="1515" xr:uid="{00000000-0005-0000-0000-0000E0050000}"/>
    <cellStyle name="Normal 33 3 2" xfId="1516" xr:uid="{00000000-0005-0000-0000-0000E1050000}"/>
    <cellStyle name="Normal 33 3 2 2" xfId="1517" xr:uid="{00000000-0005-0000-0000-0000E2050000}"/>
    <cellStyle name="Normal 33 3 2 3" xfId="1518" xr:uid="{00000000-0005-0000-0000-0000E3050000}"/>
    <cellStyle name="Normal 33 3 2 4" xfId="1519" xr:uid="{00000000-0005-0000-0000-0000E4050000}"/>
    <cellStyle name="Normal 33 3 3" xfId="1520" xr:uid="{00000000-0005-0000-0000-0000E5050000}"/>
    <cellStyle name="Normal 33 3 4" xfId="1521" xr:uid="{00000000-0005-0000-0000-0000E6050000}"/>
    <cellStyle name="Normal 33 3 5" xfId="1522" xr:uid="{00000000-0005-0000-0000-0000E7050000}"/>
    <cellStyle name="Normal 33 4" xfId="1523" xr:uid="{00000000-0005-0000-0000-0000E8050000}"/>
    <cellStyle name="Normal 33 5" xfId="1524" xr:uid="{00000000-0005-0000-0000-0000E9050000}"/>
    <cellStyle name="Normal 33 6" xfId="1525" xr:uid="{00000000-0005-0000-0000-0000EA050000}"/>
    <cellStyle name="Normal 35" xfId="1526" xr:uid="{00000000-0005-0000-0000-0000EB050000}"/>
    <cellStyle name="Normal 35 2" xfId="1527" xr:uid="{00000000-0005-0000-0000-0000EC050000}"/>
    <cellStyle name="Normal 35 2 2" xfId="1528" xr:uid="{00000000-0005-0000-0000-0000ED050000}"/>
    <cellStyle name="Normal 35 2 3" xfId="1529" xr:uid="{00000000-0005-0000-0000-0000EE050000}"/>
    <cellStyle name="Normal 35 2 4" xfId="1530" xr:uid="{00000000-0005-0000-0000-0000EF050000}"/>
    <cellStyle name="Normal 35 3" xfId="1531" xr:uid="{00000000-0005-0000-0000-0000F0050000}"/>
    <cellStyle name="Normal 35 3 2" xfId="1532" xr:uid="{00000000-0005-0000-0000-0000F1050000}"/>
    <cellStyle name="Normal 35 3 2 2" xfId="1533" xr:uid="{00000000-0005-0000-0000-0000F2050000}"/>
    <cellStyle name="Normal 35 3 2 3" xfId="1534" xr:uid="{00000000-0005-0000-0000-0000F3050000}"/>
    <cellStyle name="Normal 35 3 2 4" xfId="1535" xr:uid="{00000000-0005-0000-0000-0000F4050000}"/>
    <cellStyle name="Normal 35 3 3" xfId="1536" xr:uid="{00000000-0005-0000-0000-0000F5050000}"/>
    <cellStyle name="Normal 35 3 4" xfId="1537" xr:uid="{00000000-0005-0000-0000-0000F6050000}"/>
    <cellStyle name="Normal 35 3 5" xfId="1538" xr:uid="{00000000-0005-0000-0000-0000F7050000}"/>
    <cellStyle name="Normal 35 4" xfId="1539" xr:uid="{00000000-0005-0000-0000-0000F8050000}"/>
    <cellStyle name="Normal 35 5" xfId="1540" xr:uid="{00000000-0005-0000-0000-0000F9050000}"/>
    <cellStyle name="Normal 35 6" xfId="1541" xr:uid="{00000000-0005-0000-0000-0000FA050000}"/>
    <cellStyle name="Normal 36" xfId="1542" xr:uid="{00000000-0005-0000-0000-0000FB050000}"/>
    <cellStyle name="Normal 36 2" xfId="1543" xr:uid="{00000000-0005-0000-0000-0000FC050000}"/>
    <cellStyle name="Normal 36 2 2" xfId="1544" xr:uid="{00000000-0005-0000-0000-0000FD050000}"/>
    <cellStyle name="Normal 36 2 3" xfId="1545" xr:uid="{00000000-0005-0000-0000-0000FE050000}"/>
    <cellStyle name="Normal 36 2 4" xfId="1546" xr:uid="{00000000-0005-0000-0000-0000FF050000}"/>
    <cellStyle name="Normal 36 3" xfId="1547" xr:uid="{00000000-0005-0000-0000-000000060000}"/>
    <cellStyle name="Normal 36 3 2" xfId="1548" xr:uid="{00000000-0005-0000-0000-000001060000}"/>
    <cellStyle name="Normal 36 3 2 2" xfId="1549" xr:uid="{00000000-0005-0000-0000-000002060000}"/>
    <cellStyle name="Normal 36 3 2 3" xfId="1550" xr:uid="{00000000-0005-0000-0000-000003060000}"/>
    <cellStyle name="Normal 36 3 2 4" xfId="1551" xr:uid="{00000000-0005-0000-0000-000004060000}"/>
    <cellStyle name="Normal 36 3 3" xfId="1552" xr:uid="{00000000-0005-0000-0000-000005060000}"/>
    <cellStyle name="Normal 36 3 4" xfId="1553" xr:uid="{00000000-0005-0000-0000-000006060000}"/>
    <cellStyle name="Normal 36 3 5" xfId="1554" xr:uid="{00000000-0005-0000-0000-000007060000}"/>
    <cellStyle name="Normal 36 4" xfId="1555" xr:uid="{00000000-0005-0000-0000-000008060000}"/>
    <cellStyle name="Normal 36 5" xfId="1556" xr:uid="{00000000-0005-0000-0000-000009060000}"/>
    <cellStyle name="Normal 36 6" xfId="1557" xr:uid="{00000000-0005-0000-0000-00000A060000}"/>
    <cellStyle name="Normal 38" xfId="1558" xr:uid="{00000000-0005-0000-0000-00000B060000}"/>
    <cellStyle name="Normal 38 2" xfId="1559" xr:uid="{00000000-0005-0000-0000-00000C060000}"/>
    <cellStyle name="Normal 38 2 2" xfId="1560" xr:uid="{00000000-0005-0000-0000-00000D060000}"/>
    <cellStyle name="Normal 38 2 3" xfId="1561" xr:uid="{00000000-0005-0000-0000-00000E060000}"/>
    <cellStyle name="Normal 38 2 4" xfId="1562" xr:uid="{00000000-0005-0000-0000-00000F060000}"/>
    <cellStyle name="Normal 38 3" xfId="1563" xr:uid="{00000000-0005-0000-0000-000010060000}"/>
    <cellStyle name="Normal 38 3 2" xfId="1564" xr:uid="{00000000-0005-0000-0000-000011060000}"/>
    <cellStyle name="Normal 38 3 2 2" xfId="1565" xr:uid="{00000000-0005-0000-0000-000012060000}"/>
    <cellStyle name="Normal 38 3 2 3" xfId="1566" xr:uid="{00000000-0005-0000-0000-000013060000}"/>
    <cellStyle name="Normal 38 3 2 4" xfId="1567" xr:uid="{00000000-0005-0000-0000-000014060000}"/>
    <cellStyle name="Normal 38 3 3" xfId="1568" xr:uid="{00000000-0005-0000-0000-000015060000}"/>
    <cellStyle name="Normal 38 3 4" xfId="1569" xr:uid="{00000000-0005-0000-0000-000016060000}"/>
    <cellStyle name="Normal 38 3 5" xfId="1570" xr:uid="{00000000-0005-0000-0000-000017060000}"/>
    <cellStyle name="Normal 38 4" xfId="1571" xr:uid="{00000000-0005-0000-0000-000018060000}"/>
    <cellStyle name="Normal 38 5" xfId="1572" xr:uid="{00000000-0005-0000-0000-000019060000}"/>
    <cellStyle name="Normal 38 6" xfId="1573" xr:uid="{00000000-0005-0000-0000-00001A060000}"/>
    <cellStyle name="Normal 4" xfId="4" xr:uid="{00000000-0005-0000-0000-00001B060000}"/>
    <cellStyle name="Normal 4 10" xfId="1575" xr:uid="{00000000-0005-0000-0000-00001C060000}"/>
    <cellStyle name="Normal 4 10 2" xfId="1576" xr:uid="{00000000-0005-0000-0000-00001D060000}"/>
    <cellStyle name="Normal 4 10 3" xfId="1577" xr:uid="{00000000-0005-0000-0000-00001E060000}"/>
    <cellStyle name="Normal 4 10 4" xfId="1578" xr:uid="{00000000-0005-0000-0000-00001F060000}"/>
    <cellStyle name="Normal 4 11" xfId="1579" xr:uid="{00000000-0005-0000-0000-000020060000}"/>
    <cellStyle name="Normal 4 11 2" xfId="1580" xr:uid="{00000000-0005-0000-0000-000021060000}"/>
    <cellStyle name="Normal 4 11 3" xfId="1581" xr:uid="{00000000-0005-0000-0000-000022060000}"/>
    <cellStyle name="Normal 4 11 4" xfId="1582" xr:uid="{00000000-0005-0000-0000-000023060000}"/>
    <cellStyle name="Normal 4 12" xfId="1583" xr:uid="{00000000-0005-0000-0000-000024060000}"/>
    <cellStyle name="Normal 4 12 2" xfId="1584" xr:uid="{00000000-0005-0000-0000-000025060000}"/>
    <cellStyle name="Normal 4 12 3" xfId="1585" xr:uid="{00000000-0005-0000-0000-000026060000}"/>
    <cellStyle name="Normal 4 12 4" xfId="1586" xr:uid="{00000000-0005-0000-0000-000027060000}"/>
    <cellStyle name="Normal 4 13" xfId="1587" xr:uid="{00000000-0005-0000-0000-000028060000}"/>
    <cellStyle name="Normal 4 13 2" xfId="1588" xr:uid="{00000000-0005-0000-0000-000029060000}"/>
    <cellStyle name="Normal 4 13 3" xfId="1589" xr:uid="{00000000-0005-0000-0000-00002A060000}"/>
    <cellStyle name="Normal 4 13 4" xfId="1590" xr:uid="{00000000-0005-0000-0000-00002B060000}"/>
    <cellStyle name="Normal 4 14" xfId="1591" xr:uid="{00000000-0005-0000-0000-00002C060000}"/>
    <cellStyle name="Normal 4 14 2" xfId="1592" xr:uid="{00000000-0005-0000-0000-00002D060000}"/>
    <cellStyle name="Normal 4 14 3" xfId="1593" xr:uid="{00000000-0005-0000-0000-00002E060000}"/>
    <cellStyle name="Normal 4 14 4" xfId="1594" xr:uid="{00000000-0005-0000-0000-00002F060000}"/>
    <cellStyle name="Normal 4 15" xfId="1595" xr:uid="{00000000-0005-0000-0000-000030060000}"/>
    <cellStyle name="Normal 4 15 2" xfId="1596" xr:uid="{00000000-0005-0000-0000-000031060000}"/>
    <cellStyle name="Normal 4 15 3" xfId="1597" xr:uid="{00000000-0005-0000-0000-000032060000}"/>
    <cellStyle name="Normal 4 15 4" xfId="1598" xr:uid="{00000000-0005-0000-0000-000033060000}"/>
    <cellStyle name="Normal 4 16" xfId="1599" xr:uid="{00000000-0005-0000-0000-000034060000}"/>
    <cellStyle name="Normal 4 16 2" xfId="1600" xr:uid="{00000000-0005-0000-0000-000035060000}"/>
    <cellStyle name="Normal 4 16 3" xfId="1601" xr:uid="{00000000-0005-0000-0000-000036060000}"/>
    <cellStyle name="Normal 4 16 4" xfId="1602" xr:uid="{00000000-0005-0000-0000-000037060000}"/>
    <cellStyle name="Normal 4 17" xfId="1603" xr:uid="{00000000-0005-0000-0000-000038060000}"/>
    <cellStyle name="Normal 4 17 2" xfId="1604" xr:uid="{00000000-0005-0000-0000-000039060000}"/>
    <cellStyle name="Normal 4 17 3" xfId="1605" xr:uid="{00000000-0005-0000-0000-00003A060000}"/>
    <cellStyle name="Normal 4 17 4" xfId="1606" xr:uid="{00000000-0005-0000-0000-00003B060000}"/>
    <cellStyle name="Normal 4 18" xfId="1607" xr:uid="{00000000-0005-0000-0000-00003C060000}"/>
    <cellStyle name="Normal 4 18 2" xfId="1608" xr:uid="{00000000-0005-0000-0000-00003D060000}"/>
    <cellStyle name="Normal 4 18 3" xfId="1609" xr:uid="{00000000-0005-0000-0000-00003E060000}"/>
    <cellStyle name="Normal 4 18 4" xfId="1610" xr:uid="{00000000-0005-0000-0000-00003F060000}"/>
    <cellStyle name="Normal 4 19" xfId="1611" xr:uid="{00000000-0005-0000-0000-000040060000}"/>
    <cellStyle name="Normal 4 19 2" xfId="1612" xr:uid="{00000000-0005-0000-0000-000041060000}"/>
    <cellStyle name="Normal 4 19 3" xfId="1613" xr:uid="{00000000-0005-0000-0000-000042060000}"/>
    <cellStyle name="Normal 4 19 4" xfId="1614" xr:uid="{00000000-0005-0000-0000-000043060000}"/>
    <cellStyle name="Normal 4 2" xfId="1615" xr:uid="{00000000-0005-0000-0000-000044060000}"/>
    <cellStyle name="Normal 4 2 2" xfId="1616" xr:uid="{00000000-0005-0000-0000-000045060000}"/>
    <cellStyle name="Normal 4 2 3" xfId="1617" xr:uid="{00000000-0005-0000-0000-000046060000}"/>
    <cellStyle name="Normal 4 2 4" xfId="1618" xr:uid="{00000000-0005-0000-0000-000047060000}"/>
    <cellStyle name="Normal 4 20" xfId="1619" xr:uid="{00000000-0005-0000-0000-000048060000}"/>
    <cellStyle name="Normal 4 20 2" xfId="1620" xr:uid="{00000000-0005-0000-0000-000049060000}"/>
    <cellStyle name="Normal 4 20 3" xfId="1621" xr:uid="{00000000-0005-0000-0000-00004A060000}"/>
    <cellStyle name="Normal 4 20 4" xfId="1622" xr:uid="{00000000-0005-0000-0000-00004B060000}"/>
    <cellStyle name="Normal 4 21" xfId="1623" xr:uid="{00000000-0005-0000-0000-00004C060000}"/>
    <cellStyle name="Normal 4 21 2" xfId="1624" xr:uid="{00000000-0005-0000-0000-00004D060000}"/>
    <cellStyle name="Normal 4 21 3" xfId="1625" xr:uid="{00000000-0005-0000-0000-00004E060000}"/>
    <cellStyle name="Normal 4 21 4" xfId="1626" xr:uid="{00000000-0005-0000-0000-00004F060000}"/>
    <cellStyle name="Normal 4 22" xfId="1627" xr:uid="{00000000-0005-0000-0000-000050060000}"/>
    <cellStyle name="Normal 4 22 2" xfId="1628" xr:uid="{00000000-0005-0000-0000-000051060000}"/>
    <cellStyle name="Normal 4 22 3" xfId="1629" xr:uid="{00000000-0005-0000-0000-000052060000}"/>
    <cellStyle name="Normal 4 22 4" xfId="1630" xr:uid="{00000000-0005-0000-0000-000053060000}"/>
    <cellStyle name="Normal 4 23" xfId="1631" xr:uid="{00000000-0005-0000-0000-000054060000}"/>
    <cellStyle name="Normal 4 23 2" xfId="1632" xr:uid="{00000000-0005-0000-0000-000055060000}"/>
    <cellStyle name="Normal 4 23 3" xfId="1633" xr:uid="{00000000-0005-0000-0000-000056060000}"/>
    <cellStyle name="Normal 4 23 4" xfId="1634" xr:uid="{00000000-0005-0000-0000-000057060000}"/>
    <cellStyle name="Normal 4 24" xfId="1635" xr:uid="{00000000-0005-0000-0000-000058060000}"/>
    <cellStyle name="Normal 4 24 2" xfId="1636" xr:uid="{00000000-0005-0000-0000-000059060000}"/>
    <cellStyle name="Normal 4 24 3" xfId="1637" xr:uid="{00000000-0005-0000-0000-00005A060000}"/>
    <cellStyle name="Normal 4 24 4" xfId="1638" xr:uid="{00000000-0005-0000-0000-00005B060000}"/>
    <cellStyle name="Normal 4 25" xfId="1639" xr:uid="{00000000-0005-0000-0000-00005C060000}"/>
    <cellStyle name="Normal 4 25 2" xfId="1640" xr:uid="{00000000-0005-0000-0000-00005D060000}"/>
    <cellStyle name="Normal 4 25 3" xfId="1641" xr:uid="{00000000-0005-0000-0000-00005E060000}"/>
    <cellStyle name="Normal 4 25 4" xfId="1642" xr:uid="{00000000-0005-0000-0000-00005F060000}"/>
    <cellStyle name="Normal 4 26" xfId="1643" xr:uid="{00000000-0005-0000-0000-000060060000}"/>
    <cellStyle name="Normal 4 26 2" xfId="1644" xr:uid="{00000000-0005-0000-0000-000061060000}"/>
    <cellStyle name="Normal 4 26 3" xfId="1645" xr:uid="{00000000-0005-0000-0000-000062060000}"/>
    <cellStyle name="Normal 4 26 4" xfId="1646" xr:uid="{00000000-0005-0000-0000-000063060000}"/>
    <cellStyle name="Normal 4 27" xfId="1647" xr:uid="{00000000-0005-0000-0000-000064060000}"/>
    <cellStyle name="Normal 4 27 2" xfId="1648" xr:uid="{00000000-0005-0000-0000-000065060000}"/>
    <cellStyle name="Normal 4 27 3" xfId="1649" xr:uid="{00000000-0005-0000-0000-000066060000}"/>
    <cellStyle name="Normal 4 27 4" xfId="1650" xr:uid="{00000000-0005-0000-0000-000067060000}"/>
    <cellStyle name="Normal 4 28" xfId="1651" xr:uid="{00000000-0005-0000-0000-000068060000}"/>
    <cellStyle name="Normal 4 28 2" xfId="1652" xr:uid="{00000000-0005-0000-0000-000069060000}"/>
    <cellStyle name="Normal 4 28 3" xfId="1653" xr:uid="{00000000-0005-0000-0000-00006A060000}"/>
    <cellStyle name="Normal 4 28 4" xfId="1654" xr:uid="{00000000-0005-0000-0000-00006B060000}"/>
    <cellStyle name="Normal 4 29" xfId="1655" xr:uid="{00000000-0005-0000-0000-00006C060000}"/>
    <cellStyle name="Normal 4 29 2" xfId="1656" xr:uid="{00000000-0005-0000-0000-00006D060000}"/>
    <cellStyle name="Normal 4 29 3" xfId="1657" xr:uid="{00000000-0005-0000-0000-00006E060000}"/>
    <cellStyle name="Normal 4 29 4" xfId="1658" xr:uid="{00000000-0005-0000-0000-00006F060000}"/>
    <cellStyle name="Normal 4 3" xfId="1659" xr:uid="{00000000-0005-0000-0000-000070060000}"/>
    <cellStyle name="Normal 4 3 2" xfId="1660" xr:uid="{00000000-0005-0000-0000-000071060000}"/>
    <cellStyle name="Normal 4 3 3" xfId="1661" xr:uid="{00000000-0005-0000-0000-000072060000}"/>
    <cellStyle name="Normal 4 3 4" xfId="1662" xr:uid="{00000000-0005-0000-0000-000073060000}"/>
    <cellStyle name="Normal 4 30" xfId="1663" xr:uid="{00000000-0005-0000-0000-000074060000}"/>
    <cellStyle name="Normal 4 30 2" xfId="1664" xr:uid="{00000000-0005-0000-0000-000075060000}"/>
    <cellStyle name="Normal 4 30 3" xfId="1665" xr:uid="{00000000-0005-0000-0000-000076060000}"/>
    <cellStyle name="Normal 4 30 4" xfId="1666" xr:uid="{00000000-0005-0000-0000-000077060000}"/>
    <cellStyle name="Normal 4 31" xfId="1667" xr:uid="{00000000-0005-0000-0000-000078060000}"/>
    <cellStyle name="Normal 4 31 2" xfId="1668" xr:uid="{00000000-0005-0000-0000-000079060000}"/>
    <cellStyle name="Normal 4 31 3" xfId="1669" xr:uid="{00000000-0005-0000-0000-00007A060000}"/>
    <cellStyle name="Normal 4 31 4" xfId="1670" xr:uid="{00000000-0005-0000-0000-00007B060000}"/>
    <cellStyle name="Normal 4 32" xfId="1671" xr:uid="{00000000-0005-0000-0000-00007C060000}"/>
    <cellStyle name="Normal 4 32 2" xfId="1672" xr:uid="{00000000-0005-0000-0000-00007D060000}"/>
    <cellStyle name="Normal 4 32 3" xfId="1673" xr:uid="{00000000-0005-0000-0000-00007E060000}"/>
    <cellStyle name="Normal 4 32 4" xfId="1674" xr:uid="{00000000-0005-0000-0000-00007F060000}"/>
    <cellStyle name="Normal 4 33" xfId="1675" xr:uid="{00000000-0005-0000-0000-000080060000}"/>
    <cellStyle name="Normal 4 33 2" xfId="1676" xr:uid="{00000000-0005-0000-0000-000081060000}"/>
    <cellStyle name="Normal 4 33 3" xfId="1677" xr:uid="{00000000-0005-0000-0000-000082060000}"/>
    <cellStyle name="Normal 4 33 4" xfId="1678" xr:uid="{00000000-0005-0000-0000-000083060000}"/>
    <cellStyle name="Normal 4 34" xfId="1679" xr:uid="{00000000-0005-0000-0000-000084060000}"/>
    <cellStyle name="Normal 4 34 2" xfId="1680" xr:uid="{00000000-0005-0000-0000-000085060000}"/>
    <cellStyle name="Normal 4 34 3" xfId="1681" xr:uid="{00000000-0005-0000-0000-000086060000}"/>
    <cellStyle name="Normal 4 34 4" xfId="1682" xr:uid="{00000000-0005-0000-0000-000087060000}"/>
    <cellStyle name="Normal 4 35" xfId="1683" xr:uid="{00000000-0005-0000-0000-000088060000}"/>
    <cellStyle name="Normal 4 35 2" xfId="1684" xr:uid="{00000000-0005-0000-0000-000089060000}"/>
    <cellStyle name="Normal 4 35 3" xfId="1685" xr:uid="{00000000-0005-0000-0000-00008A060000}"/>
    <cellStyle name="Normal 4 35 4" xfId="1686" xr:uid="{00000000-0005-0000-0000-00008B060000}"/>
    <cellStyle name="Normal 4 36" xfId="1687" xr:uid="{00000000-0005-0000-0000-00008C060000}"/>
    <cellStyle name="Normal 4 36 2" xfId="1688" xr:uid="{00000000-0005-0000-0000-00008D060000}"/>
    <cellStyle name="Normal 4 36 3" xfId="1689" xr:uid="{00000000-0005-0000-0000-00008E060000}"/>
    <cellStyle name="Normal 4 36 4" xfId="1690" xr:uid="{00000000-0005-0000-0000-00008F060000}"/>
    <cellStyle name="Normal 4 37" xfId="1691" xr:uid="{00000000-0005-0000-0000-000090060000}"/>
    <cellStyle name="Normal 4 37 2" xfId="1692" xr:uid="{00000000-0005-0000-0000-000091060000}"/>
    <cellStyle name="Normal 4 37 3" xfId="1693" xr:uid="{00000000-0005-0000-0000-000092060000}"/>
    <cellStyle name="Normal 4 37 4" xfId="1694" xr:uid="{00000000-0005-0000-0000-000093060000}"/>
    <cellStyle name="Normal 4 38" xfId="1695" xr:uid="{00000000-0005-0000-0000-000094060000}"/>
    <cellStyle name="Normal 4 38 2" xfId="1696" xr:uid="{00000000-0005-0000-0000-000095060000}"/>
    <cellStyle name="Normal 4 38 3" xfId="1697" xr:uid="{00000000-0005-0000-0000-000096060000}"/>
    <cellStyle name="Normal 4 38 4" xfId="1698" xr:uid="{00000000-0005-0000-0000-000097060000}"/>
    <cellStyle name="Normal 4 39" xfId="1699" xr:uid="{00000000-0005-0000-0000-000098060000}"/>
    <cellStyle name="Normal 4 39 2" xfId="1700" xr:uid="{00000000-0005-0000-0000-000099060000}"/>
    <cellStyle name="Normal 4 39 3" xfId="1701" xr:uid="{00000000-0005-0000-0000-00009A060000}"/>
    <cellStyle name="Normal 4 39 4" xfId="1702" xr:uid="{00000000-0005-0000-0000-00009B060000}"/>
    <cellStyle name="Normal 4 4" xfId="1703" xr:uid="{00000000-0005-0000-0000-00009C060000}"/>
    <cellStyle name="Normal 4 4 2" xfId="1704" xr:uid="{00000000-0005-0000-0000-00009D060000}"/>
    <cellStyle name="Normal 4 4 3" xfId="1705" xr:uid="{00000000-0005-0000-0000-00009E060000}"/>
    <cellStyle name="Normal 4 4 4" xfId="1706" xr:uid="{00000000-0005-0000-0000-00009F060000}"/>
    <cellStyle name="Normal 4 40" xfId="1707" xr:uid="{00000000-0005-0000-0000-0000A0060000}"/>
    <cellStyle name="Normal 4 40 2" xfId="1708" xr:uid="{00000000-0005-0000-0000-0000A1060000}"/>
    <cellStyle name="Normal 4 40 3" xfId="1709" xr:uid="{00000000-0005-0000-0000-0000A2060000}"/>
    <cellStyle name="Normal 4 40 4" xfId="1710" xr:uid="{00000000-0005-0000-0000-0000A3060000}"/>
    <cellStyle name="Normal 4 41" xfId="1711" xr:uid="{00000000-0005-0000-0000-0000A4060000}"/>
    <cellStyle name="Normal 4 41 2" xfId="1712" xr:uid="{00000000-0005-0000-0000-0000A5060000}"/>
    <cellStyle name="Normal 4 41 3" xfId="1713" xr:uid="{00000000-0005-0000-0000-0000A6060000}"/>
    <cellStyle name="Normal 4 41 4" xfId="1714" xr:uid="{00000000-0005-0000-0000-0000A7060000}"/>
    <cellStyle name="Normal 4 42" xfId="1715" xr:uid="{00000000-0005-0000-0000-0000A8060000}"/>
    <cellStyle name="Normal 4 42 2" xfId="1716" xr:uid="{00000000-0005-0000-0000-0000A9060000}"/>
    <cellStyle name="Normal 4 42 3" xfId="1717" xr:uid="{00000000-0005-0000-0000-0000AA060000}"/>
    <cellStyle name="Normal 4 42 4" xfId="1718" xr:uid="{00000000-0005-0000-0000-0000AB060000}"/>
    <cellStyle name="Normal 4 43" xfId="1719" xr:uid="{00000000-0005-0000-0000-0000AC060000}"/>
    <cellStyle name="Normal 4 43 2" xfId="1720" xr:uid="{00000000-0005-0000-0000-0000AD060000}"/>
    <cellStyle name="Normal 4 43 3" xfId="1721" xr:uid="{00000000-0005-0000-0000-0000AE060000}"/>
    <cellStyle name="Normal 4 43 4" xfId="1722" xr:uid="{00000000-0005-0000-0000-0000AF060000}"/>
    <cellStyle name="Normal 4 44" xfId="1723" xr:uid="{00000000-0005-0000-0000-0000B0060000}"/>
    <cellStyle name="Normal 4 44 2" xfId="1724" xr:uid="{00000000-0005-0000-0000-0000B1060000}"/>
    <cellStyle name="Normal 4 44 3" xfId="1725" xr:uid="{00000000-0005-0000-0000-0000B2060000}"/>
    <cellStyle name="Normal 4 44 4" xfId="1726" xr:uid="{00000000-0005-0000-0000-0000B3060000}"/>
    <cellStyle name="Normal 4 45" xfId="1727" xr:uid="{00000000-0005-0000-0000-0000B4060000}"/>
    <cellStyle name="Normal 4 45 2" xfId="1728" xr:uid="{00000000-0005-0000-0000-0000B5060000}"/>
    <cellStyle name="Normal 4 45 3" xfId="1729" xr:uid="{00000000-0005-0000-0000-0000B6060000}"/>
    <cellStyle name="Normal 4 45 4" xfId="1730" xr:uid="{00000000-0005-0000-0000-0000B7060000}"/>
    <cellStyle name="Normal 4 46" xfId="1731" xr:uid="{00000000-0005-0000-0000-0000B8060000}"/>
    <cellStyle name="Normal 4 46 2" xfId="1732" xr:uid="{00000000-0005-0000-0000-0000B9060000}"/>
    <cellStyle name="Normal 4 46 3" xfId="1733" xr:uid="{00000000-0005-0000-0000-0000BA060000}"/>
    <cellStyle name="Normal 4 46 4" xfId="1734" xr:uid="{00000000-0005-0000-0000-0000BB060000}"/>
    <cellStyle name="Normal 4 47" xfId="1735" xr:uid="{00000000-0005-0000-0000-0000BC060000}"/>
    <cellStyle name="Normal 4 47 2" xfId="1736" xr:uid="{00000000-0005-0000-0000-0000BD060000}"/>
    <cellStyle name="Normal 4 47 3" xfId="1737" xr:uid="{00000000-0005-0000-0000-0000BE060000}"/>
    <cellStyle name="Normal 4 47 4" xfId="1738" xr:uid="{00000000-0005-0000-0000-0000BF060000}"/>
    <cellStyle name="Normal 4 48" xfId="1739" xr:uid="{00000000-0005-0000-0000-0000C0060000}"/>
    <cellStyle name="Normal 4 49" xfId="1740" xr:uid="{00000000-0005-0000-0000-0000C1060000}"/>
    <cellStyle name="Normal 4 5" xfId="1741" xr:uid="{00000000-0005-0000-0000-0000C2060000}"/>
    <cellStyle name="Normal 4 5 2" xfId="1742" xr:uid="{00000000-0005-0000-0000-0000C3060000}"/>
    <cellStyle name="Normal 4 5 3" xfId="1743" xr:uid="{00000000-0005-0000-0000-0000C4060000}"/>
    <cellStyle name="Normal 4 5 4" xfId="1744" xr:uid="{00000000-0005-0000-0000-0000C5060000}"/>
    <cellStyle name="Normal 4 50" xfId="1745" xr:uid="{00000000-0005-0000-0000-0000C6060000}"/>
    <cellStyle name="Normal 4 51" xfId="1746" xr:uid="{00000000-0005-0000-0000-0000C7060000}"/>
    <cellStyle name="Normal 4 52" xfId="1574" xr:uid="{00000000-0005-0000-0000-0000C8060000}"/>
    <cellStyle name="Normal 4 53" xfId="2249" xr:uid="{00000000-0005-0000-0000-0000C9060000}"/>
    <cellStyle name="Normal 4 6" xfId="1747" xr:uid="{00000000-0005-0000-0000-0000CA060000}"/>
    <cellStyle name="Normal 4 6 2" xfId="1748" xr:uid="{00000000-0005-0000-0000-0000CB060000}"/>
    <cellStyle name="Normal 4 6 3" xfId="1749" xr:uid="{00000000-0005-0000-0000-0000CC060000}"/>
    <cellStyle name="Normal 4 6 4" xfId="1750" xr:uid="{00000000-0005-0000-0000-0000CD060000}"/>
    <cellStyle name="Normal 4 7" xfId="1751" xr:uid="{00000000-0005-0000-0000-0000CE060000}"/>
    <cellStyle name="Normal 4 7 2" xfId="1752" xr:uid="{00000000-0005-0000-0000-0000CF060000}"/>
    <cellStyle name="Normal 4 7 3" xfId="1753" xr:uid="{00000000-0005-0000-0000-0000D0060000}"/>
    <cellStyle name="Normal 4 7 4" xfId="1754" xr:uid="{00000000-0005-0000-0000-0000D1060000}"/>
    <cellStyle name="Normal 4 8" xfId="1755" xr:uid="{00000000-0005-0000-0000-0000D2060000}"/>
    <cellStyle name="Normal 4 8 2" xfId="1756" xr:uid="{00000000-0005-0000-0000-0000D3060000}"/>
    <cellStyle name="Normal 4 8 3" xfId="1757" xr:uid="{00000000-0005-0000-0000-0000D4060000}"/>
    <cellStyle name="Normal 4 8 4" xfId="1758" xr:uid="{00000000-0005-0000-0000-0000D5060000}"/>
    <cellStyle name="Normal 4 9" xfId="1759" xr:uid="{00000000-0005-0000-0000-0000D6060000}"/>
    <cellStyle name="Normal 4 9 2" xfId="1760" xr:uid="{00000000-0005-0000-0000-0000D7060000}"/>
    <cellStyle name="Normal 4 9 3" xfId="1761" xr:uid="{00000000-0005-0000-0000-0000D8060000}"/>
    <cellStyle name="Normal 4 9 4" xfId="1762" xr:uid="{00000000-0005-0000-0000-0000D9060000}"/>
    <cellStyle name="Normal 40" xfId="1763" xr:uid="{00000000-0005-0000-0000-0000DA060000}"/>
    <cellStyle name="Normal 40 2" xfId="1764" xr:uid="{00000000-0005-0000-0000-0000DB060000}"/>
    <cellStyle name="Normal 40 2 2" xfId="1765" xr:uid="{00000000-0005-0000-0000-0000DC060000}"/>
    <cellStyle name="Normal 40 2 3" xfId="1766" xr:uid="{00000000-0005-0000-0000-0000DD060000}"/>
    <cellStyle name="Normal 40 2 4" xfId="1767" xr:uid="{00000000-0005-0000-0000-0000DE060000}"/>
    <cellStyle name="Normal 40 3" xfId="1768" xr:uid="{00000000-0005-0000-0000-0000DF060000}"/>
    <cellStyle name="Normal 40 3 2" xfId="1769" xr:uid="{00000000-0005-0000-0000-0000E0060000}"/>
    <cellStyle name="Normal 40 3 2 2" xfId="1770" xr:uid="{00000000-0005-0000-0000-0000E1060000}"/>
    <cellStyle name="Normal 40 3 2 3" xfId="1771" xr:uid="{00000000-0005-0000-0000-0000E2060000}"/>
    <cellStyle name="Normal 40 3 2 4" xfId="1772" xr:uid="{00000000-0005-0000-0000-0000E3060000}"/>
    <cellStyle name="Normal 40 3 3" xfId="1773" xr:uid="{00000000-0005-0000-0000-0000E4060000}"/>
    <cellStyle name="Normal 40 3 4" xfId="1774" xr:uid="{00000000-0005-0000-0000-0000E5060000}"/>
    <cellStyle name="Normal 40 3 5" xfId="1775" xr:uid="{00000000-0005-0000-0000-0000E6060000}"/>
    <cellStyle name="Normal 40 4" xfId="1776" xr:uid="{00000000-0005-0000-0000-0000E7060000}"/>
    <cellStyle name="Normal 40 5" xfId="1777" xr:uid="{00000000-0005-0000-0000-0000E8060000}"/>
    <cellStyle name="Normal 40 6" xfId="1778" xr:uid="{00000000-0005-0000-0000-0000E9060000}"/>
    <cellStyle name="Normal 42" xfId="1779" xr:uid="{00000000-0005-0000-0000-0000EA060000}"/>
    <cellStyle name="Normal 42 2" xfId="1780" xr:uid="{00000000-0005-0000-0000-0000EB060000}"/>
    <cellStyle name="Normal 42 2 2" xfId="1781" xr:uid="{00000000-0005-0000-0000-0000EC060000}"/>
    <cellStyle name="Normal 42 2 3" xfId="1782" xr:uid="{00000000-0005-0000-0000-0000ED060000}"/>
    <cellStyle name="Normal 42 2 4" xfId="1783" xr:uid="{00000000-0005-0000-0000-0000EE060000}"/>
    <cellStyle name="Normal 42 3" xfId="1784" xr:uid="{00000000-0005-0000-0000-0000EF060000}"/>
    <cellStyle name="Normal 42 3 2" xfId="1785" xr:uid="{00000000-0005-0000-0000-0000F0060000}"/>
    <cellStyle name="Normal 42 3 2 2" xfId="1786" xr:uid="{00000000-0005-0000-0000-0000F1060000}"/>
    <cellStyle name="Normal 42 3 2 3" xfId="1787" xr:uid="{00000000-0005-0000-0000-0000F2060000}"/>
    <cellStyle name="Normal 42 3 2 4" xfId="1788" xr:uid="{00000000-0005-0000-0000-0000F3060000}"/>
    <cellStyle name="Normal 42 3 3" xfId="1789" xr:uid="{00000000-0005-0000-0000-0000F4060000}"/>
    <cellStyle name="Normal 42 3 4" xfId="1790" xr:uid="{00000000-0005-0000-0000-0000F5060000}"/>
    <cellStyle name="Normal 42 3 5" xfId="1791" xr:uid="{00000000-0005-0000-0000-0000F6060000}"/>
    <cellStyle name="Normal 42 4" xfId="1792" xr:uid="{00000000-0005-0000-0000-0000F7060000}"/>
    <cellStyle name="Normal 42 5" xfId="1793" xr:uid="{00000000-0005-0000-0000-0000F8060000}"/>
    <cellStyle name="Normal 42 6" xfId="1794" xr:uid="{00000000-0005-0000-0000-0000F9060000}"/>
    <cellStyle name="Normal 43" xfId="1795" xr:uid="{00000000-0005-0000-0000-0000FA060000}"/>
    <cellStyle name="Normal 43 2" xfId="1796" xr:uid="{00000000-0005-0000-0000-0000FB060000}"/>
    <cellStyle name="Normal 43 2 2" xfId="1797" xr:uid="{00000000-0005-0000-0000-0000FC060000}"/>
    <cellStyle name="Normal 43 2 3" xfId="1798" xr:uid="{00000000-0005-0000-0000-0000FD060000}"/>
    <cellStyle name="Normal 43 2 4" xfId="1799" xr:uid="{00000000-0005-0000-0000-0000FE060000}"/>
    <cellStyle name="Normal 43 3" xfId="1800" xr:uid="{00000000-0005-0000-0000-0000FF060000}"/>
    <cellStyle name="Normal 43 3 2" xfId="1801" xr:uid="{00000000-0005-0000-0000-000000070000}"/>
    <cellStyle name="Normal 43 3 2 2" xfId="1802" xr:uid="{00000000-0005-0000-0000-000001070000}"/>
    <cellStyle name="Normal 43 3 2 3" xfId="1803" xr:uid="{00000000-0005-0000-0000-000002070000}"/>
    <cellStyle name="Normal 43 3 2 4" xfId="1804" xr:uid="{00000000-0005-0000-0000-000003070000}"/>
    <cellStyle name="Normal 43 3 3" xfId="1805" xr:uid="{00000000-0005-0000-0000-000004070000}"/>
    <cellStyle name="Normal 43 3 4" xfId="1806" xr:uid="{00000000-0005-0000-0000-000005070000}"/>
    <cellStyle name="Normal 43 3 5" xfId="1807" xr:uid="{00000000-0005-0000-0000-000006070000}"/>
    <cellStyle name="Normal 43 4" xfId="1808" xr:uid="{00000000-0005-0000-0000-000007070000}"/>
    <cellStyle name="Normal 43 5" xfId="1809" xr:uid="{00000000-0005-0000-0000-000008070000}"/>
    <cellStyle name="Normal 43 6" xfId="1810" xr:uid="{00000000-0005-0000-0000-000009070000}"/>
    <cellStyle name="Normal 45" xfId="1811" xr:uid="{00000000-0005-0000-0000-00000A070000}"/>
    <cellStyle name="Normal 45 2" xfId="1812" xr:uid="{00000000-0005-0000-0000-00000B070000}"/>
    <cellStyle name="Normal 45 3" xfId="1813" xr:uid="{00000000-0005-0000-0000-00000C070000}"/>
    <cellStyle name="Normal 45 4" xfId="1814" xr:uid="{00000000-0005-0000-0000-00000D070000}"/>
    <cellStyle name="Normal 47" xfId="1815" xr:uid="{00000000-0005-0000-0000-00000E070000}"/>
    <cellStyle name="Normal 47 2" xfId="1816" xr:uid="{00000000-0005-0000-0000-00000F070000}"/>
    <cellStyle name="Normal 47 3" xfId="1817" xr:uid="{00000000-0005-0000-0000-000010070000}"/>
    <cellStyle name="Normal 47 4" xfId="1818" xr:uid="{00000000-0005-0000-0000-000011070000}"/>
    <cellStyle name="Normal 49" xfId="1819" xr:uid="{00000000-0005-0000-0000-000012070000}"/>
    <cellStyle name="Normal 49 2" xfId="1820" xr:uid="{00000000-0005-0000-0000-000013070000}"/>
    <cellStyle name="Normal 49 3" xfId="1821" xr:uid="{00000000-0005-0000-0000-000014070000}"/>
    <cellStyle name="Normal 49 4" xfId="1822" xr:uid="{00000000-0005-0000-0000-000015070000}"/>
    <cellStyle name="Normal 5" xfId="15" xr:uid="{00000000-0005-0000-0000-000016070000}"/>
    <cellStyle name="Normal 5 2" xfId="9" xr:uid="{00000000-0005-0000-0000-000017070000}"/>
    <cellStyle name="Normal 5 2 13" xfId="112" xr:uid="{00000000-0005-0000-0000-000018070000}"/>
    <cellStyle name="Normal 5 2 2" xfId="46" xr:uid="{00000000-0005-0000-0000-000019070000}"/>
    <cellStyle name="Normal 5 2 2 2" xfId="121" xr:uid="{00000000-0005-0000-0000-00001A070000}"/>
    <cellStyle name="Normal 5 2 3" xfId="115" xr:uid="{00000000-0005-0000-0000-00001B070000}"/>
    <cellStyle name="Normal 5 2 4" xfId="49" xr:uid="{00000000-0005-0000-0000-00001C070000}"/>
    <cellStyle name="Normal 5 2 5" xfId="1824" xr:uid="{00000000-0005-0000-0000-00001D070000}"/>
    <cellStyle name="Normal 5 3" xfId="20" xr:uid="{00000000-0005-0000-0000-00001E070000}"/>
    <cellStyle name="Normal 5 3 2" xfId="1825" xr:uid="{00000000-0005-0000-0000-00001F070000}"/>
    <cellStyle name="Normal 5 3 3" xfId="2240" xr:uid="{00000000-0005-0000-0000-000020070000}"/>
    <cellStyle name="Normal 5 4" xfId="25" xr:uid="{00000000-0005-0000-0000-000021070000}"/>
    <cellStyle name="Normal 5 4 2" xfId="1826" xr:uid="{00000000-0005-0000-0000-000022070000}"/>
    <cellStyle name="Normal 5 4 3" xfId="2244" xr:uid="{00000000-0005-0000-0000-000023070000}"/>
    <cellStyle name="Normal 5 5" xfId="1827" xr:uid="{00000000-0005-0000-0000-000024070000}"/>
    <cellStyle name="Normal 5 6" xfId="1823" xr:uid="{00000000-0005-0000-0000-000025070000}"/>
    <cellStyle name="Normal 5 7" xfId="2238" xr:uid="{00000000-0005-0000-0000-000026070000}"/>
    <cellStyle name="Normal 6" xfId="19" xr:uid="{00000000-0005-0000-0000-000027070000}"/>
    <cellStyle name="Normal 6 10" xfId="1829" xr:uid="{00000000-0005-0000-0000-000028070000}"/>
    <cellStyle name="Normal 6 10 2" xfId="1830" xr:uid="{00000000-0005-0000-0000-000029070000}"/>
    <cellStyle name="Normal 6 10 3" xfId="1831" xr:uid="{00000000-0005-0000-0000-00002A070000}"/>
    <cellStyle name="Normal 6 10 4" xfId="1832" xr:uid="{00000000-0005-0000-0000-00002B070000}"/>
    <cellStyle name="Normal 6 11" xfId="1833" xr:uid="{00000000-0005-0000-0000-00002C070000}"/>
    <cellStyle name="Normal 6 11 2" xfId="1834" xr:uid="{00000000-0005-0000-0000-00002D070000}"/>
    <cellStyle name="Normal 6 11 3" xfId="1835" xr:uid="{00000000-0005-0000-0000-00002E070000}"/>
    <cellStyle name="Normal 6 11 4" xfId="1836" xr:uid="{00000000-0005-0000-0000-00002F070000}"/>
    <cellStyle name="Normal 6 12" xfId="1837" xr:uid="{00000000-0005-0000-0000-000030070000}"/>
    <cellStyle name="Normal 6 12 2" xfId="1838" xr:uid="{00000000-0005-0000-0000-000031070000}"/>
    <cellStyle name="Normal 6 12 3" xfId="1839" xr:uid="{00000000-0005-0000-0000-000032070000}"/>
    <cellStyle name="Normal 6 12 4" xfId="1840" xr:uid="{00000000-0005-0000-0000-000033070000}"/>
    <cellStyle name="Normal 6 13" xfId="1841" xr:uid="{00000000-0005-0000-0000-000034070000}"/>
    <cellStyle name="Normal 6 13 2" xfId="1842" xr:uid="{00000000-0005-0000-0000-000035070000}"/>
    <cellStyle name="Normal 6 13 3" xfId="1843" xr:uid="{00000000-0005-0000-0000-000036070000}"/>
    <cellStyle name="Normal 6 13 4" xfId="1844" xr:uid="{00000000-0005-0000-0000-000037070000}"/>
    <cellStyle name="Normal 6 14" xfId="1845" xr:uid="{00000000-0005-0000-0000-000038070000}"/>
    <cellStyle name="Normal 6 14 2" xfId="1846" xr:uid="{00000000-0005-0000-0000-000039070000}"/>
    <cellStyle name="Normal 6 14 3" xfId="1847" xr:uid="{00000000-0005-0000-0000-00003A070000}"/>
    <cellStyle name="Normal 6 14 4" xfId="1848" xr:uid="{00000000-0005-0000-0000-00003B070000}"/>
    <cellStyle name="Normal 6 15" xfId="1849" xr:uid="{00000000-0005-0000-0000-00003C070000}"/>
    <cellStyle name="Normal 6 15 2" xfId="1850" xr:uid="{00000000-0005-0000-0000-00003D070000}"/>
    <cellStyle name="Normal 6 15 3" xfId="1851" xr:uid="{00000000-0005-0000-0000-00003E070000}"/>
    <cellStyle name="Normal 6 15 4" xfId="1852" xr:uid="{00000000-0005-0000-0000-00003F070000}"/>
    <cellStyle name="Normal 6 16" xfId="1853" xr:uid="{00000000-0005-0000-0000-000040070000}"/>
    <cellStyle name="Normal 6 16 2" xfId="1854" xr:uid="{00000000-0005-0000-0000-000041070000}"/>
    <cellStyle name="Normal 6 16 3" xfId="1855" xr:uid="{00000000-0005-0000-0000-000042070000}"/>
    <cellStyle name="Normal 6 16 4" xfId="1856" xr:uid="{00000000-0005-0000-0000-000043070000}"/>
    <cellStyle name="Normal 6 17" xfId="1857" xr:uid="{00000000-0005-0000-0000-000044070000}"/>
    <cellStyle name="Normal 6 17 2" xfId="1858" xr:uid="{00000000-0005-0000-0000-000045070000}"/>
    <cellStyle name="Normal 6 17 3" xfId="1859" xr:uid="{00000000-0005-0000-0000-000046070000}"/>
    <cellStyle name="Normal 6 17 4" xfId="1860" xr:uid="{00000000-0005-0000-0000-000047070000}"/>
    <cellStyle name="Normal 6 18" xfId="1861" xr:uid="{00000000-0005-0000-0000-000048070000}"/>
    <cellStyle name="Normal 6 18 2" xfId="1862" xr:uid="{00000000-0005-0000-0000-000049070000}"/>
    <cellStyle name="Normal 6 18 3" xfId="1863" xr:uid="{00000000-0005-0000-0000-00004A070000}"/>
    <cellStyle name="Normal 6 18 4" xfId="1864" xr:uid="{00000000-0005-0000-0000-00004B070000}"/>
    <cellStyle name="Normal 6 19" xfId="1865" xr:uid="{00000000-0005-0000-0000-00004C070000}"/>
    <cellStyle name="Normal 6 19 2" xfId="1866" xr:uid="{00000000-0005-0000-0000-00004D070000}"/>
    <cellStyle name="Normal 6 19 3" xfId="1867" xr:uid="{00000000-0005-0000-0000-00004E070000}"/>
    <cellStyle name="Normal 6 19 4" xfId="1868" xr:uid="{00000000-0005-0000-0000-00004F070000}"/>
    <cellStyle name="Normal 6 2" xfId="1869" xr:uid="{00000000-0005-0000-0000-000050070000}"/>
    <cellStyle name="Normal 6 2 2" xfId="1870" xr:uid="{00000000-0005-0000-0000-000051070000}"/>
    <cellStyle name="Normal 6 2 3" xfId="1871" xr:uid="{00000000-0005-0000-0000-000052070000}"/>
    <cellStyle name="Normal 6 2 4" xfId="1872" xr:uid="{00000000-0005-0000-0000-000053070000}"/>
    <cellStyle name="Normal 6 2 5" xfId="1873" xr:uid="{00000000-0005-0000-0000-000054070000}"/>
    <cellStyle name="Normal 6 20" xfId="1874" xr:uid="{00000000-0005-0000-0000-000055070000}"/>
    <cellStyle name="Normal 6 20 2" xfId="1875" xr:uid="{00000000-0005-0000-0000-000056070000}"/>
    <cellStyle name="Normal 6 20 3" xfId="1876" xr:uid="{00000000-0005-0000-0000-000057070000}"/>
    <cellStyle name="Normal 6 20 4" xfId="1877" xr:uid="{00000000-0005-0000-0000-000058070000}"/>
    <cellStyle name="Normal 6 21" xfId="1878" xr:uid="{00000000-0005-0000-0000-000059070000}"/>
    <cellStyle name="Normal 6 21 2" xfId="1879" xr:uid="{00000000-0005-0000-0000-00005A070000}"/>
    <cellStyle name="Normal 6 21 3" xfId="1880" xr:uid="{00000000-0005-0000-0000-00005B070000}"/>
    <cellStyle name="Normal 6 21 4" xfId="1881" xr:uid="{00000000-0005-0000-0000-00005C070000}"/>
    <cellStyle name="Normal 6 22" xfId="1882" xr:uid="{00000000-0005-0000-0000-00005D070000}"/>
    <cellStyle name="Normal 6 22 2" xfId="1883" xr:uid="{00000000-0005-0000-0000-00005E070000}"/>
    <cellStyle name="Normal 6 22 3" xfId="1884" xr:uid="{00000000-0005-0000-0000-00005F070000}"/>
    <cellStyle name="Normal 6 22 4" xfId="1885" xr:uid="{00000000-0005-0000-0000-000060070000}"/>
    <cellStyle name="Normal 6 23" xfId="1886" xr:uid="{00000000-0005-0000-0000-000061070000}"/>
    <cellStyle name="Normal 6 23 2" xfId="1887" xr:uid="{00000000-0005-0000-0000-000062070000}"/>
    <cellStyle name="Normal 6 23 3" xfId="1888" xr:uid="{00000000-0005-0000-0000-000063070000}"/>
    <cellStyle name="Normal 6 23 4" xfId="1889" xr:uid="{00000000-0005-0000-0000-000064070000}"/>
    <cellStyle name="Normal 6 24" xfId="1890" xr:uid="{00000000-0005-0000-0000-000065070000}"/>
    <cellStyle name="Normal 6 24 2" xfId="1891" xr:uid="{00000000-0005-0000-0000-000066070000}"/>
    <cellStyle name="Normal 6 24 3" xfId="1892" xr:uid="{00000000-0005-0000-0000-000067070000}"/>
    <cellStyle name="Normal 6 24 4" xfId="1893" xr:uid="{00000000-0005-0000-0000-000068070000}"/>
    <cellStyle name="Normal 6 25" xfId="1894" xr:uid="{00000000-0005-0000-0000-000069070000}"/>
    <cellStyle name="Normal 6 25 2" xfId="1895" xr:uid="{00000000-0005-0000-0000-00006A070000}"/>
    <cellStyle name="Normal 6 25 3" xfId="1896" xr:uid="{00000000-0005-0000-0000-00006B070000}"/>
    <cellStyle name="Normal 6 25 4" xfId="1897" xr:uid="{00000000-0005-0000-0000-00006C070000}"/>
    <cellStyle name="Normal 6 26" xfId="1898" xr:uid="{00000000-0005-0000-0000-00006D070000}"/>
    <cellStyle name="Normal 6 26 2" xfId="1899" xr:uid="{00000000-0005-0000-0000-00006E070000}"/>
    <cellStyle name="Normal 6 26 3" xfId="1900" xr:uid="{00000000-0005-0000-0000-00006F070000}"/>
    <cellStyle name="Normal 6 26 4" xfId="1901" xr:uid="{00000000-0005-0000-0000-000070070000}"/>
    <cellStyle name="Normal 6 27" xfId="1902" xr:uid="{00000000-0005-0000-0000-000071070000}"/>
    <cellStyle name="Normal 6 27 2" xfId="1903" xr:uid="{00000000-0005-0000-0000-000072070000}"/>
    <cellStyle name="Normal 6 27 3" xfId="1904" xr:uid="{00000000-0005-0000-0000-000073070000}"/>
    <cellStyle name="Normal 6 27 4" xfId="1905" xr:uid="{00000000-0005-0000-0000-000074070000}"/>
    <cellStyle name="Normal 6 28" xfId="1906" xr:uid="{00000000-0005-0000-0000-000075070000}"/>
    <cellStyle name="Normal 6 28 2" xfId="1907" xr:uid="{00000000-0005-0000-0000-000076070000}"/>
    <cellStyle name="Normal 6 28 3" xfId="1908" xr:uid="{00000000-0005-0000-0000-000077070000}"/>
    <cellStyle name="Normal 6 28 4" xfId="1909" xr:uid="{00000000-0005-0000-0000-000078070000}"/>
    <cellStyle name="Normal 6 29" xfId="1910" xr:uid="{00000000-0005-0000-0000-000079070000}"/>
    <cellStyle name="Normal 6 29 2" xfId="1911" xr:uid="{00000000-0005-0000-0000-00007A070000}"/>
    <cellStyle name="Normal 6 29 3" xfId="1912" xr:uid="{00000000-0005-0000-0000-00007B070000}"/>
    <cellStyle name="Normal 6 29 4" xfId="1913" xr:uid="{00000000-0005-0000-0000-00007C070000}"/>
    <cellStyle name="Normal 6 3" xfId="1914" xr:uid="{00000000-0005-0000-0000-00007D070000}"/>
    <cellStyle name="Normal 6 3 2" xfId="1915" xr:uid="{00000000-0005-0000-0000-00007E070000}"/>
    <cellStyle name="Normal 6 3 3" xfId="1916" xr:uid="{00000000-0005-0000-0000-00007F070000}"/>
    <cellStyle name="Normal 6 3 4" xfId="1917" xr:uid="{00000000-0005-0000-0000-000080070000}"/>
    <cellStyle name="Normal 6 30" xfId="1918" xr:uid="{00000000-0005-0000-0000-000081070000}"/>
    <cellStyle name="Normal 6 30 2" xfId="1919" xr:uid="{00000000-0005-0000-0000-000082070000}"/>
    <cellStyle name="Normal 6 30 3" xfId="1920" xr:uid="{00000000-0005-0000-0000-000083070000}"/>
    <cellStyle name="Normal 6 30 4" xfId="1921" xr:uid="{00000000-0005-0000-0000-000084070000}"/>
    <cellStyle name="Normal 6 31" xfId="1922" xr:uid="{00000000-0005-0000-0000-000085070000}"/>
    <cellStyle name="Normal 6 31 2" xfId="1923" xr:uid="{00000000-0005-0000-0000-000086070000}"/>
    <cellStyle name="Normal 6 31 3" xfId="1924" xr:uid="{00000000-0005-0000-0000-000087070000}"/>
    <cellStyle name="Normal 6 31 4" xfId="1925" xr:uid="{00000000-0005-0000-0000-000088070000}"/>
    <cellStyle name="Normal 6 32" xfId="1926" xr:uid="{00000000-0005-0000-0000-000089070000}"/>
    <cellStyle name="Normal 6 32 2" xfId="1927" xr:uid="{00000000-0005-0000-0000-00008A070000}"/>
    <cellStyle name="Normal 6 32 3" xfId="1928" xr:uid="{00000000-0005-0000-0000-00008B070000}"/>
    <cellStyle name="Normal 6 32 4" xfId="1929" xr:uid="{00000000-0005-0000-0000-00008C070000}"/>
    <cellStyle name="Normal 6 33" xfId="1930" xr:uid="{00000000-0005-0000-0000-00008D070000}"/>
    <cellStyle name="Normal 6 33 2" xfId="1931" xr:uid="{00000000-0005-0000-0000-00008E070000}"/>
    <cellStyle name="Normal 6 33 3" xfId="1932" xr:uid="{00000000-0005-0000-0000-00008F070000}"/>
    <cellStyle name="Normal 6 33 4" xfId="1933" xr:uid="{00000000-0005-0000-0000-000090070000}"/>
    <cellStyle name="Normal 6 34" xfId="1934" xr:uid="{00000000-0005-0000-0000-000091070000}"/>
    <cellStyle name="Normal 6 34 2" xfId="1935" xr:uid="{00000000-0005-0000-0000-000092070000}"/>
    <cellStyle name="Normal 6 34 3" xfId="1936" xr:uid="{00000000-0005-0000-0000-000093070000}"/>
    <cellStyle name="Normal 6 34 4" xfId="1937" xr:uid="{00000000-0005-0000-0000-000094070000}"/>
    <cellStyle name="Normal 6 35" xfId="1938" xr:uid="{00000000-0005-0000-0000-000095070000}"/>
    <cellStyle name="Normal 6 35 2" xfId="1939" xr:uid="{00000000-0005-0000-0000-000096070000}"/>
    <cellStyle name="Normal 6 35 3" xfId="1940" xr:uid="{00000000-0005-0000-0000-000097070000}"/>
    <cellStyle name="Normal 6 35 4" xfId="1941" xr:uid="{00000000-0005-0000-0000-000098070000}"/>
    <cellStyle name="Normal 6 36" xfId="1942" xr:uid="{00000000-0005-0000-0000-000099070000}"/>
    <cellStyle name="Normal 6 36 2" xfId="1943" xr:uid="{00000000-0005-0000-0000-00009A070000}"/>
    <cellStyle name="Normal 6 36 3" xfId="1944" xr:uid="{00000000-0005-0000-0000-00009B070000}"/>
    <cellStyle name="Normal 6 36 4" xfId="1945" xr:uid="{00000000-0005-0000-0000-00009C070000}"/>
    <cellStyle name="Normal 6 37" xfId="1946" xr:uid="{00000000-0005-0000-0000-00009D070000}"/>
    <cellStyle name="Normal 6 37 2" xfId="1947" xr:uid="{00000000-0005-0000-0000-00009E070000}"/>
    <cellStyle name="Normal 6 37 3" xfId="1948" xr:uid="{00000000-0005-0000-0000-00009F070000}"/>
    <cellStyle name="Normal 6 37 4" xfId="1949" xr:uid="{00000000-0005-0000-0000-0000A0070000}"/>
    <cellStyle name="Normal 6 38" xfId="1950" xr:uid="{00000000-0005-0000-0000-0000A1070000}"/>
    <cellStyle name="Normal 6 38 2" xfId="1951" xr:uid="{00000000-0005-0000-0000-0000A2070000}"/>
    <cellStyle name="Normal 6 38 3" xfId="1952" xr:uid="{00000000-0005-0000-0000-0000A3070000}"/>
    <cellStyle name="Normal 6 38 4" xfId="1953" xr:uid="{00000000-0005-0000-0000-0000A4070000}"/>
    <cellStyle name="Normal 6 39" xfId="1954" xr:uid="{00000000-0005-0000-0000-0000A5070000}"/>
    <cellStyle name="Normal 6 39 2" xfId="1955" xr:uid="{00000000-0005-0000-0000-0000A6070000}"/>
    <cellStyle name="Normal 6 39 3" xfId="1956" xr:uid="{00000000-0005-0000-0000-0000A7070000}"/>
    <cellStyle name="Normal 6 39 4" xfId="1957" xr:uid="{00000000-0005-0000-0000-0000A8070000}"/>
    <cellStyle name="Normal 6 4" xfId="1958" xr:uid="{00000000-0005-0000-0000-0000A9070000}"/>
    <cellStyle name="Normal 6 4 2" xfId="1959" xr:uid="{00000000-0005-0000-0000-0000AA070000}"/>
    <cellStyle name="Normal 6 4 3" xfId="1960" xr:uid="{00000000-0005-0000-0000-0000AB070000}"/>
    <cellStyle name="Normal 6 4 4" xfId="1961" xr:uid="{00000000-0005-0000-0000-0000AC070000}"/>
    <cellStyle name="Normal 6 4 5" xfId="1962" xr:uid="{00000000-0005-0000-0000-0000AD070000}"/>
    <cellStyle name="Normal 6 40" xfId="1963" xr:uid="{00000000-0005-0000-0000-0000AE070000}"/>
    <cellStyle name="Normal 6 40 2" xfId="1964" xr:uid="{00000000-0005-0000-0000-0000AF070000}"/>
    <cellStyle name="Normal 6 40 3" xfId="1965" xr:uid="{00000000-0005-0000-0000-0000B0070000}"/>
    <cellStyle name="Normal 6 40 4" xfId="1966" xr:uid="{00000000-0005-0000-0000-0000B1070000}"/>
    <cellStyle name="Normal 6 41" xfId="1967" xr:uid="{00000000-0005-0000-0000-0000B2070000}"/>
    <cellStyle name="Normal 6 41 2" xfId="1968" xr:uid="{00000000-0005-0000-0000-0000B3070000}"/>
    <cellStyle name="Normal 6 41 3" xfId="1969" xr:uid="{00000000-0005-0000-0000-0000B4070000}"/>
    <cellStyle name="Normal 6 41 4" xfId="1970" xr:uid="{00000000-0005-0000-0000-0000B5070000}"/>
    <cellStyle name="Normal 6 42" xfId="1971" xr:uid="{00000000-0005-0000-0000-0000B6070000}"/>
    <cellStyle name="Normal 6 42 2" xfId="1972" xr:uid="{00000000-0005-0000-0000-0000B7070000}"/>
    <cellStyle name="Normal 6 42 3" xfId="1973" xr:uid="{00000000-0005-0000-0000-0000B8070000}"/>
    <cellStyle name="Normal 6 42 4" xfId="1974" xr:uid="{00000000-0005-0000-0000-0000B9070000}"/>
    <cellStyle name="Normal 6 43" xfId="1975" xr:uid="{00000000-0005-0000-0000-0000BA070000}"/>
    <cellStyle name="Normal 6 43 2" xfId="1976" xr:uid="{00000000-0005-0000-0000-0000BB070000}"/>
    <cellStyle name="Normal 6 43 3" xfId="1977" xr:uid="{00000000-0005-0000-0000-0000BC070000}"/>
    <cellStyle name="Normal 6 43 4" xfId="1978" xr:uid="{00000000-0005-0000-0000-0000BD070000}"/>
    <cellStyle name="Normal 6 44" xfId="1979" xr:uid="{00000000-0005-0000-0000-0000BE070000}"/>
    <cellStyle name="Normal 6 44 2" xfId="1980" xr:uid="{00000000-0005-0000-0000-0000BF070000}"/>
    <cellStyle name="Normal 6 44 3" xfId="1981" xr:uid="{00000000-0005-0000-0000-0000C0070000}"/>
    <cellStyle name="Normal 6 44 4" xfId="1982" xr:uid="{00000000-0005-0000-0000-0000C1070000}"/>
    <cellStyle name="Normal 6 45" xfId="1983" xr:uid="{00000000-0005-0000-0000-0000C2070000}"/>
    <cellStyle name="Normal 6 45 2" xfId="1984" xr:uid="{00000000-0005-0000-0000-0000C3070000}"/>
    <cellStyle name="Normal 6 45 3" xfId="1985" xr:uid="{00000000-0005-0000-0000-0000C4070000}"/>
    <cellStyle name="Normal 6 45 4" xfId="1986" xr:uid="{00000000-0005-0000-0000-0000C5070000}"/>
    <cellStyle name="Normal 6 46" xfId="1828" xr:uid="{00000000-0005-0000-0000-0000C6070000}"/>
    <cellStyle name="Normal 6 47" xfId="2239" xr:uid="{00000000-0005-0000-0000-0000C7070000}"/>
    <cellStyle name="Normal 6 5" xfId="1987" xr:uid="{00000000-0005-0000-0000-0000C8070000}"/>
    <cellStyle name="Normal 6 5 2" xfId="1988" xr:uid="{00000000-0005-0000-0000-0000C9070000}"/>
    <cellStyle name="Normal 6 5 3" xfId="1989" xr:uid="{00000000-0005-0000-0000-0000CA070000}"/>
    <cellStyle name="Normal 6 5 4" xfId="1990" xr:uid="{00000000-0005-0000-0000-0000CB070000}"/>
    <cellStyle name="Normal 6 50 2" xfId="76" xr:uid="{00000000-0005-0000-0000-0000CC070000}"/>
    <cellStyle name="Normal 6 6" xfId="1991" xr:uid="{00000000-0005-0000-0000-0000CD070000}"/>
    <cellStyle name="Normal 6 6 2" xfId="1992" xr:uid="{00000000-0005-0000-0000-0000CE070000}"/>
    <cellStyle name="Normal 6 6 3" xfId="1993" xr:uid="{00000000-0005-0000-0000-0000CF070000}"/>
    <cellStyle name="Normal 6 6 4" xfId="1994" xr:uid="{00000000-0005-0000-0000-0000D0070000}"/>
    <cellStyle name="Normal 6 7" xfId="1995" xr:uid="{00000000-0005-0000-0000-0000D1070000}"/>
    <cellStyle name="Normal 6 7 2" xfId="1996" xr:uid="{00000000-0005-0000-0000-0000D2070000}"/>
    <cellStyle name="Normal 6 7 3" xfId="1997" xr:uid="{00000000-0005-0000-0000-0000D3070000}"/>
    <cellStyle name="Normal 6 7 4" xfId="1998" xr:uid="{00000000-0005-0000-0000-0000D4070000}"/>
    <cellStyle name="Normal 6 8" xfId="1999" xr:uid="{00000000-0005-0000-0000-0000D5070000}"/>
    <cellStyle name="Normal 6 8 2" xfId="2000" xr:uid="{00000000-0005-0000-0000-0000D6070000}"/>
    <cellStyle name="Normal 6 8 3" xfId="2001" xr:uid="{00000000-0005-0000-0000-0000D7070000}"/>
    <cellStyle name="Normal 6 8 4" xfId="2002" xr:uid="{00000000-0005-0000-0000-0000D8070000}"/>
    <cellStyle name="Normal 6 9" xfId="2003" xr:uid="{00000000-0005-0000-0000-0000D9070000}"/>
    <cellStyle name="Normal 6 9 2" xfId="2004" xr:uid="{00000000-0005-0000-0000-0000DA070000}"/>
    <cellStyle name="Normal 6 9 3" xfId="2005" xr:uid="{00000000-0005-0000-0000-0000DB070000}"/>
    <cellStyle name="Normal 6 9 4" xfId="2006" xr:uid="{00000000-0005-0000-0000-0000DC070000}"/>
    <cellStyle name="Normal 60 2" xfId="67" xr:uid="{00000000-0005-0000-0000-0000DD070000}"/>
    <cellStyle name="Normal 62" xfId="63" xr:uid="{00000000-0005-0000-0000-0000DE070000}"/>
    <cellStyle name="Normal 62 2" xfId="61" xr:uid="{00000000-0005-0000-0000-0000DF070000}"/>
    <cellStyle name="Normal 7" xfId="23" xr:uid="{00000000-0005-0000-0000-0000E0070000}"/>
    <cellStyle name="Normal 7 10" xfId="2008" xr:uid="{00000000-0005-0000-0000-0000E1070000}"/>
    <cellStyle name="Normal 7 10 2" xfId="2009" xr:uid="{00000000-0005-0000-0000-0000E2070000}"/>
    <cellStyle name="Normal 7 10 3" xfId="2010" xr:uid="{00000000-0005-0000-0000-0000E3070000}"/>
    <cellStyle name="Normal 7 10 4" xfId="2011" xr:uid="{00000000-0005-0000-0000-0000E4070000}"/>
    <cellStyle name="Normal 7 11" xfId="2012" xr:uid="{00000000-0005-0000-0000-0000E5070000}"/>
    <cellStyle name="Normal 7 11 2" xfId="2013" xr:uid="{00000000-0005-0000-0000-0000E6070000}"/>
    <cellStyle name="Normal 7 11 3" xfId="2014" xr:uid="{00000000-0005-0000-0000-0000E7070000}"/>
    <cellStyle name="Normal 7 11 4" xfId="2015" xr:uid="{00000000-0005-0000-0000-0000E8070000}"/>
    <cellStyle name="Normal 7 12" xfId="2016" xr:uid="{00000000-0005-0000-0000-0000E9070000}"/>
    <cellStyle name="Normal 7 12 2" xfId="2017" xr:uid="{00000000-0005-0000-0000-0000EA070000}"/>
    <cellStyle name="Normal 7 12 3" xfId="2018" xr:uid="{00000000-0005-0000-0000-0000EB070000}"/>
    <cellStyle name="Normal 7 12 4" xfId="2019" xr:uid="{00000000-0005-0000-0000-0000EC070000}"/>
    <cellStyle name="Normal 7 13" xfId="2020" xr:uid="{00000000-0005-0000-0000-0000ED070000}"/>
    <cellStyle name="Normal 7 13 2" xfId="2021" xr:uid="{00000000-0005-0000-0000-0000EE070000}"/>
    <cellStyle name="Normal 7 13 3" xfId="2022" xr:uid="{00000000-0005-0000-0000-0000EF070000}"/>
    <cellStyle name="Normal 7 13 4" xfId="2023" xr:uid="{00000000-0005-0000-0000-0000F0070000}"/>
    <cellStyle name="Normal 7 14" xfId="2024" xr:uid="{00000000-0005-0000-0000-0000F1070000}"/>
    <cellStyle name="Normal 7 14 2" xfId="2025" xr:uid="{00000000-0005-0000-0000-0000F2070000}"/>
    <cellStyle name="Normal 7 14 3" xfId="2026" xr:uid="{00000000-0005-0000-0000-0000F3070000}"/>
    <cellStyle name="Normal 7 14 4" xfId="2027" xr:uid="{00000000-0005-0000-0000-0000F4070000}"/>
    <cellStyle name="Normal 7 15" xfId="2028" xr:uid="{00000000-0005-0000-0000-0000F5070000}"/>
    <cellStyle name="Normal 7 15 2" xfId="2029" xr:uid="{00000000-0005-0000-0000-0000F6070000}"/>
    <cellStyle name="Normal 7 15 3" xfId="2030" xr:uid="{00000000-0005-0000-0000-0000F7070000}"/>
    <cellStyle name="Normal 7 15 4" xfId="2031" xr:uid="{00000000-0005-0000-0000-0000F8070000}"/>
    <cellStyle name="Normal 7 16" xfId="2032" xr:uid="{00000000-0005-0000-0000-0000F9070000}"/>
    <cellStyle name="Normal 7 16 2" xfId="2033" xr:uid="{00000000-0005-0000-0000-0000FA070000}"/>
    <cellStyle name="Normal 7 16 3" xfId="2034" xr:uid="{00000000-0005-0000-0000-0000FB070000}"/>
    <cellStyle name="Normal 7 16 4" xfId="2035" xr:uid="{00000000-0005-0000-0000-0000FC070000}"/>
    <cellStyle name="Normal 7 17" xfId="2036" xr:uid="{00000000-0005-0000-0000-0000FD070000}"/>
    <cellStyle name="Normal 7 17 2" xfId="2037" xr:uid="{00000000-0005-0000-0000-0000FE070000}"/>
    <cellStyle name="Normal 7 17 3" xfId="2038" xr:uid="{00000000-0005-0000-0000-0000FF070000}"/>
    <cellStyle name="Normal 7 17 4" xfId="2039" xr:uid="{00000000-0005-0000-0000-000000080000}"/>
    <cellStyle name="Normal 7 18" xfId="2040" xr:uid="{00000000-0005-0000-0000-000001080000}"/>
    <cellStyle name="Normal 7 18 2" xfId="2041" xr:uid="{00000000-0005-0000-0000-000002080000}"/>
    <cellStyle name="Normal 7 18 3" xfId="2042" xr:uid="{00000000-0005-0000-0000-000003080000}"/>
    <cellStyle name="Normal 7 18 4" xfId="2043" xr:uid="{00000000-0005-0000-0000-000004080000}"/>
    <cellStyle name="Normal 7 19" xfId="2044" xr:uid="{00000000-0005-0000-0000-000005080000}"/>
    <cellStyle name="Normal 7 19 2" xfId="2045" xr:uid="{00000000-0005-0000-0000-000006080000}"/>
    <cellStyle name="Normal 7 19 3" xfId="2046" xr:uid="{00000000-0005-0000-0000-000007080000}"/>
    <cellStyle name="Normal 7 19 4" xfId="2047" xr:uid="{00000000-0005-0000-0000-000008080000}"/>
    <cellStyle name="Normal 7 2" xfId="2048" xr:uid="{00000000-0005-0000-0000-000009080000}"/>
    <cellStyle name="Normal 7 2 2" xfId="2049" xr:uid="{00000000-0005-0000-0000-00000A080000}"/>
    <cellStyle name="Normal 7 2 3" xfId="2050" xr:uid="{00000000-0005-0000-0000-00000B080000}"/>
    <cellStyle name="Normal 7 2 4" xfId="2051" xr:uid="{00000000-0005-0000-0000-00000C080000}"/>
    <cellStyle name="Normal 7 20" xfId="2052" xr:uid="{00000000-0005-0000-0000-00000D080000}"/>
    <cellStyle name="Normal 7 20 2" xfId="2053" xr:uid="{00000000-0005-0000-0000-00000E080000}"/>
    <cellStyle name="Normal 7 20 3" xfId="2054" xr:uid="{00000000-0005-0000-0000-00000F080000}"/>
    <cellStyle name="Normal 7 20 4" xfId="2055" xr:uid="{00000000-0005-0000-0000-000010080000}"/>
    <cellStyle name="Normal 7 21" xfId="2056" xr:uid="{00000000-0005-0000-0000-000011080000}"/>
    <cellStyle name="Normal 7 21 2" xfId="2057" xr:uid="{00000000-0005-0000-0000-000012080000}"/>
    <cellStyle name="Normal 7 21 3" xfId="2058" xr:uid="{00000000-0005-0000-0000-000013080000}"/>
    <cellStyle name="Normal 7 21 4" xfId="2059" xr:uid="{00000000-0005-0000-0000-000014080000}"/>
    <cellStyle name="Normal 7 22" xfId="2060" xr:uid="{00000000-0005-0000-0000-000015080000}"/>
    <cellStyle name="Normal 7 22 2" xfId="2061" xr:uid="{00000000-0005-0000-0000-000016080000}"/>
    <cellStyle name="Normal 7 22 3" xfId="2062" xr:uid="{00000000-0005-0000-0000-000017080000}"/>
    <cellStyle name="Normal 7 22 4" xfId="2063" xr:uid="{00000000-0005-0000-0000-000018080000}"/>
    <cellStyle name="Normal 7 23" xfId="2064" xr:uid="{00000000-0005-0000-0000-000019080000}"/>
    <cellStyle name="Normal 7 23 2" xfId="2065" xr:uid="{00000000-0005-0000-0000-00001A080000}"/>
    <cellStyle name="Normal 7 23 3" xfId="2066" xr:uid="{00000000-0005-0000-0000-00001B080000}"/>
    <cellStyle name="Normal 7 23 4" xfId="2067" xr:uid="{00000000-0005-0000-0000-00001C080000}"/>
    <cellStyle name="Normal 7 24" xfId="2068" xr:uid="{00000000-0005-0000-0000-00001D080000}"/>
    <cellStyle name="Normal 7 24 2" xfId="2069" xr:uid="{00000000-0005-0000-0000-00001E080000}"/>
    <cellStyle name="Normal 7 24 3" xfId="2070" xr:uid="{00000000-0005-0000-0000-00001F080000}"/>
    <cellStyle name="Normal 7 24 4" xfId="2071" xr:uid="{00000000-0005-0000-0000-000020080000}"/>
    <cellStyle name="Normal 7 25" xfId="2072" xr:uid="{00000000-0005-0000-0000-000021080000}"/>
    <cellStyle name="Normal 7 25 2" xfId="2073" xr:uid="{00000000-0005-0000-0000-000022080000}"/>
    <cellStyle name="Normal 7 25 3" xfId="2074" xr:uid="{00000000-0005-0000-0000-000023080000}"/>
    <cellStyle name="Normal 7 25 4" xfId="2075" xr:uid="{00000000-0005-0000-0000-000024080000}"/>
    <cellStyle name="Normal 7 26" xfId="2076" xr:uid="{00000000-0005-0000-0000-000025080000}"/>
    <cellStyle name="Normal 7 26 2" xfId="2077" xr:uid="{00000000-0005-0000-0000-000026080000}"/>
    <cellStyle name="Normal 7 26 3" xfId="2078" xr:uid="{00000000-0005-0000-0000-000027080000}"/>
    <cellStyle name="Normal 7 26 4" xfId="2079" xr:uid="{00000000-0005-0000-0000-000028080000}"/>
    <cellStyle name="Normal 7 27" xfId="2080" xr:uid="{00000000-0005-0000-0000-000029080000}"/>
    <cellStyle name="Normal 7 27 2" xfId="2081" xr:uid="{00000000-0005-0000-0000-00002A080000}"/>
    <cellStyle name="Normal 7 27 3" xfId="2082" xr:uid="{00000000-0005-0000-0000-00002B080000}"/>
    <cellStyle name="Normal 7 27 4" xfId="2083" xr:uid="{00000000-0005-0000-0000-00002C080000}"/>
    <cellStyle name="Normal 7 28" xfId="2084" xr:uid="{00000000-0005-0000-0000-00002D080000}"/>
    <cellStyle name="Normal 7 28 2" xfId="2085" xr:uid="{00000000-0005-0000-0000-00002E080000}"/>
    <cellStyle name="Normal 7 28 3" xfId="2086" xr:uid="{00000000-0005-0000-0000-00002F080000}"/>
    <cellStyle name="Normal 7 28 4" xfId="2087" xr:uid="{00000000-0005-0000-0000-000030080000}"/>
    <cellStyle name="Normal 7 29" xfId="2088" xr:uid="{00000000-0005-0000-0000-000031080000}"/>
    <cellStyle name="Normal 7 29 2" xfId="2089" xr:uid="{00000000-0005-0000-0000-000032080000}"/>
    <cellStyle name="Normal 7 29 3" xfId="2090" xr:uid="{00000000-0005-0000-0000-000033080000}"/>
    <cellStyle name="Normal 7 29 4" xfId="2091" xr:uid="{00000000-0005-0000-0000-000034080000}"/>
    <cellStyle name="Normal 7 3" xfId="2092" xr:uid="{00000000-0005-0000-0000-000035080000}"/>
    <cellStyle name="Normal 7 3 2" xfId="2093" xr:uid="{00000000-0005-0000-0000-000036080000}"/>
    <cellStyle name="Normal 7 3 3" xfId="2094" xr:uid="{00000000-0005-0000-0000-000037080000}"/>
    <cellStyle name="Normal 7 3 4" xfId="2095" xr:uid="{00000000-0005-0000-0000-000038080000}"/>
    <cellStyle name="Normal 7 30" xfId="2096" xr:uid="{00000000-0005-0000-0000-000039080000}"/>
    <cellStyle name="Normal 7 30 2" xfId="2097" xr:uid="{00000000-0005-0000-0000-00003A080000}"/>
    <cellStyle name="Normal 7 30 3" xfId="2098" xr:uid="{00000000-0005-0000-0000-00003B080000}"/>
    <cellStyle name="Normal 7 30 4" xfId="2099" xr:uid="{00000000-0005-0000-0000-00003C080000}"/>
    <cellStyle name="Normal 7 31" xfId="2100" xr:uid="{00000000-0005-0000-0000-00003D080000}"/>
    <cellStyle name="Normal 7 31 2" xfId="2101" xr:uid="{00000000-0005-0000-0000-00003E080000}"/>
    <cellStyle name="Normal 7 31 3" xfId="2102" xr:uid="{00000000-0005-0000-0000-00003F080000}"/>
    <cellStyle name="Normal 7 31 4" xfId="2103" xr:uid="{00000000-0005-0000-0000-000040080000}"/>
    <cellStyle name="Normal 7 32" xfId="2104" xr:uid="{00000000-0005-0000-0000-000041080000}"/>
    <cellStyle name="Normal 7 32 2" xfId="2105" xr:uid="{00000000-0005-0000-0000-000042080000}"/>
    <cellStyle name="Normal 7 32 3" xfId="2106" xr:uid="{00000000-0005-0000-0000-000043080000}"/>
    <cellStyle name="Normal 7 32 4" xfId="2107" xr:uid="{00000000-0005-0000-0000-000044080000}"/>
    <cellStyle name="Normal 7 33" xfId="2108" xr:uid="{00000000-0005-0000-0000-000045080000}"/>
    <cellStyle name="Normal 7 33 2" xfId="2109" xr:uid="{00000000-0005-0000-0000-000046080000}"/>
    <cellStyle name="Normal 7 33 3" xfId="2110" xr:uid="{00000000-0005-0000-0000-000047080000}"/>
    <cellStyle name="Normal 7 33 4" xfId="2111" xr:uid="{00000000-0005-0000-0000-000048080000}"/>
    <cellStyle name="Normal 7 34" xfId="2112" xr:uid="{00000000-0005-0000-0000-000049080000}"/>
    <cellStyle name="Normal 7 34 2" xfId="2113" xr:uid="{00000000-0005-0000-0000-00004A080000}"/>
    <cellStyle name="Normal 7 34 3" xfId="2114" xr:uid="{00000000-0005-0000-0000-00004B080000}"/>
    <cellStyle name="Normal 7 34 4" xfId="2115" xr:uid="{00000000-0005-0000-0000-00004C080000}"/>
    <cellStyle name="Normal 7 35" xfId="2116" xr:uid="{00000000-0005-0000-0000-00004D080000}"/>
    <cellStyle name="Normal 7 35 2" xfId="2117" xr:uid="{00000000-0005-0000-0000-00004E080000}"/>
    <cellStyle name="Normal 7 35 3" xfId="2118" xr:uid="{00000000-0005-0000-0000-00004F080000}"/>
    <cellStyle name="Normal 7 35 4" xfId="2119" xr:uid="{00000000-0005-0000-0000-000050080000}"/>
    <cellStyle name="Normal 7 36" xfId="2120" xr:uid="{00000000-0005-0000-0000-000051080000}"/>
    <cellStyle name="Normal 7 36 2" xfId="2121" xr:uid="{00000000-0005-0000-0000-000052080000}"/>
    <cellStyle name="Normal 7 36 3" xfId="2122" xr:uid="{00000000-0005-0000-0000-000053080000}"/>
    <cellStyle name="Normal 7 36 4" xfId="2123" xr:uid="{00000000-0005-0000-0000-000054080000}"/>
    <cellStyle name="Normal 7 37" xfId="2124" xr:uid="{00000000-0005-0000-0000-000055080000}"/>
    <cellStyle name="Normal 7 37 2" xfId="2125" xr:uid="{00000000-0005-0000-0000-000056080000}"/>
    <cellStyle name="Normal 7 37 3" xfId="2126" xr:uid="{00000000-0005-0000-0000-000057080000}"/>
    <cellStyle name="Normal 7 37 4" xfId="2127" xr:uid="{00000000-0005-0000-0000-000058080000}"/>
    <cellStyle name="Normal 7 38" xfId="2128" xr:uid="{00000000-0005-0000-0000-000059080000}"/>
    <cellStyle name="Normal 7 38 2" xfId="2129" xr:uid="{00000000-0005-0000-0000-00005A080000}"/>
    <cellStyle name="Normal 7 38 3" xfId="2130" xr:uid="{00000000-0005-0000-0000-00005B080000}"/>
    <cellStyle name="Normal 7 38 4" xfId="2131" xr:uid="{00000000-0005-0000-0000-00005C080000}"/>
    <cellStyle name="Normal 7 39" xfId="2132" xr:uid="{00000000-0005-0000-0000-00005D080000}"/>
    <cellStyle name="Normal 7 39 2" xfId="2133" xr:uid="{00000000-0005-0000-0000-00005E080000}"/>
    <cellStyle name="Normal 7 39 3" xfId="2134" xr:uid="{00000000-0005-0000-0000-00005F080000}"/>
    <cellStyle name="Normal 7 39 4" xfId="2135" xr:uid="{00000000-0005-0000-0000-000060080000}"/>
    <cellStyle name="Normal 7 4" xfId="2136" xr:uid="{00000000-0005-0000-0000-000061080000}"/>
    <cellStyle name="Normal 7 4 2" xfId="2137" xr:uid="{00000000-0005-0000-0000-000062080000}"/>
    <cellStyle name="Normal 7 4 3" xfId="2138" xr:uid="{00000000-0005-0000-0000-000063080000}"/>
    <cellStyle name="Normal 7 4 4" xfId="2139" xr:uid="{00000000-0005-0000-0000-000064080000}"/>
    <cellStyle name="Normal 7 40" xfId="2140" xr:uid="{00000000-0005-0000-0000-000065080000}"/>
    <cellStyle name="Normal 7 40 2" xfId="2141" xr:uid="{00000000-0005-0000-0000-000066080000}"/>
    <cellStyle name="Normal 7 40 3" xfId="2142" xr:uid="{00000000-0005-0000-0000-000067080000}"/>
    <cellStyle name="Normal 7 40 4" xfId="2143" xr:uid="{00000000-0005-0000-0000-000068080000}"/>
    <cellStyle name="Normal 7 41" xfId="2144" xr:uid="{00000000-0005-0000-0000-000069080000}"/>
    <cellStyle name="Normal 7 41 2" xfId="2145" xr:uid="{00000000-0005-0000-0000-00006A080000}"/>
    <cellStyle name="Normal 7 41 3" xfId="2146" xr:uid="{00000000-0005-0000-0000-00006B080000}"/>
    <cellStyle name="Normal 7 41 4" xfId="2147" xr:uid="{00000000-0005-0000-0000-00006C080000}"/>
    <cellStyle name="Normal 7 42" xfId="2148" xr:uid="{00000000-0005-0000-0000-00006D080000}"/>
    <cellStyle name="Normal 7 42 2" xfId="2149" xr:uid="{00000000-0005-0000-0000-00006E080000}"/>
    <cellStyle name="Normal 7 42 3" xfId="2150" xr:uid="{00000000-0005-0000-0000-00006F080000}"/>
    <cellStyle name="Normal 7 42 4" xfId="2151" xr:uid="{00000000-0005-0000-0000-000070080000}"/>
    <cellStyle name="Normal 7 43" xfId="2152" xr:uid="{00000000-0005-0000-0000-000071080000}"/>
    <cellStyle name="Normal 7 43 2" xfId="2153" xr:uid="{00000000-0005-0000-0000-000072080000}"/>
    <cellStyle name="Normal 7 43 3" xfId="2154" xr:uid="{00000000-0005-0000-0000-000073080000}"/>
    <cellStyle name="Normal 7 43 4" xfId="2155" xr:uid="{00000000-0005-0000-0000-000074080000}"/>
    <cellStyle name="Normal 7 44" xfId="2156" xr:uid="{00000000-0005-0000-0000-000075080000}"/>
    <cellStyle name="Normal 7 44 2" xfId="2157" xr:uid="{00000000-0005-0000-0000-000076080000}"/>
    <cellStyle name="Normal 7 44 3" xfId="2158" xr:uid="{00000000-0005-0000-0000-000077080000}"/>
    <cellStyle name="Normal 7 44 4" xfId="2159" xr:uid="{00000000-0005-0000-0000-000078080000}"/>
    <cellStyle name="Normal 7 45" xfId="2160" xr:uid="{00000000-0005-0000-0000-000079080000}"/>
    <cellStyle name="Normal 7 45 2" xfId="2161" xr:uid="{00000000-0005-0000-0000-00007A080000}"/>
    <cellStyle name="Normal 7 45 3" xfId="2162" xr:uid="{00000000-0005-0000-0000-00007B080000}"/>
    <cellStyle name="Normal 7 45 4" xfId="2163" xr:uid="{00000000-0005-0000-0000-00007C080000}"/>
    <cellStyle name="Normal 7 46" xfId="2164" xr:uid="{00000000-0005-0000-0000-00007D080000}"/>
    <cellStyle name="Normal 7 46 2" xfId="2165" xr:uid="{00000000-0005-0000-0000-00007E080000}"/>
    <cellStyle name="Normal 7 46 2 2" xfId="2166" xr:uid="{00000000-0005-0000-0000-00007F080000}"/>
    <cellStyle name="Normal 7 46 2 3" xfId="2167" xr:uid="{00000000-0005-0000-0000-000080080000}"/>
    <cellStyle name="Normal 7 46 2 4" xfId="2168" xr:uid="{00000000-0005-0000-0000-000081080000}"/>
    <cellStyle name="Normal 7 46 3" xfId="2169" xr:uid="{00000000-0005-0000-0000-000082080000}"/>
    <cellStyle name="Normal 7 46 4" xfId="2170" xr:uid="{00000000-0005-0000-0000-000083080000}"/>
    <cellStyle name="Normal 7 46 5" xfId="2171" xr:uid="{00000000-0005-0000-0000-000084080000}"/>
    <cellStyle name="Normal 7 47" xfId="2172" xr:uid="{00000000-0005-0000-0000-000085080000}"/>
    <cellStyle name="Normal 7 47 2" xfId="2173" xr:uid="{00000000-0005-0000-0000-000086080000}"/>
    <cellStyle name="Normal 7 47 2 2" xfId="2174" xr:uid="{00000000-0005-0000-0000-000087080000}"/>
    <cellStyle name="Normal 7 47 2 3" xfId="2175" xr:uid="{00000000-0005-0000-0000-000088080000}"/>
    <cellStyle name="Normal 7 47 2 4" xfId="2176" xr:uid="{00000000-0005-0000-0000-000089080000}"/>
    <cellStyle name="Normal 7 47 3" xfId="2177" xr:uid="{00000000-0005-0000-0000-00008A080000}"/>
    <cellStyle name="Normal 7 47 4" xfId="2178" xr:uid="{00000000-0005-0000-0000-00008B080000}"/>
    <cellStyle name="Normal 7 47 5" xfId="2179" xr:uid="{00000000-0005-0000-0000-00008C080000}"/>
    <cellStyle name="Normal 7 48" xfId="2180" xr:uid="{00000000-0005-0000-0000-00008D080000}"/>
    <cellStyle name="Normal 7 49" xfId="2181" xr:uid="{00000000-0005-0000-0000-00008E080000}"/>
    <cellStyle name="Normal 7 5" xfId="2182" xr:uid="{00000000-0005-0000-0000-00008F080000}"/>
    <cellStyle name="Normal 7 5 2" xfId="2183" xr:uid="{00000000-0005-0000-0000-000090080000}"/>
    <cellStyle name="Normal 7 5 3" xfId="2184" xr:uid="{00000000-0005-0000-0000-000091080000}"/>
    <cellStyle name="Normal 7 5 4" xfId="2185" xr:uid="{00000000-0005-0000-0000-000092080000}"/>
    <cellStyle name="Normal 7 50" xfId="2186" xr:uid="{00000000-0005-0000-0000-000093080000}"/>
    <cellStyle name="Normal 7 51" xfId="2187" xr:uid="{00000000-0005-0000-0000-000094080000}"/>
    <cellStyle name="Normal 7 52" xfId="2007" xr:uid="{00000000-0005-0000-0000-000095080000}"/>
    <cellStyle name="Normal 7 53" xfId="2242" xr:uid="{00000000-0005-0000-0000-000096080000}"/>
    <cellStyle name="Normal 7 6" xfId="2188" xr:uid="{00000000-0005-0000-0000-000097080000}"/>
    <cellStyle name="Normal 7 6 2" xfId="2189" xr:uid="{00000000-0005-0000-0000-000098080000}"/>
    <cellStyle name="Normal 7 6 3" xfId="2190" xr:uid="{00000000-0005-0000-0000-000099080000}"/>
    <cellStyle name="Normal 7 6 4" xfId="2191" xr:uid="{00000000-0005-0000-0000-00009A080000}"/>
    <cellStyle name="Normal 7 7" xfId="2192" xr:uid="{00000000-0005-0000-0000-00009B080000}"/>
    <cellStyle name="Normal 7 7 2" xfId="2193" xr:uid="{00000000-0005-0000-0000-00009C080000}"/>
    <cellStyle name="Normal 7 7 3" xfId="2194" xr:uid="{00000000-0005-0000-0000-00009D080000}"/>
    <cellStyle name="Normal 7 7 4" xfId="2195" xr:uid="{00000000-0005-0000-0000-00009E080000}"/>
    <cellStyle name="Normal 7 8" xfId="2196" xr:uid="{00000000-0005-0000-0000-00009F080000}"/>
    <cellStyle name="Normal 7 8 2" xfId="2197" xr:uid="{00000000-0005-0000-0000-0000A0080000}"/>
    <cellStyle name="Normal 7 8 3" xfId="2198" xr:uid="{00000000-0005-0000-0000-0000A1080000}"/>
    <cellStyle name="Normal 7 8 4" xfId="2199" xr:uid="{00000000-0005-0000-0000-0000A2080000}"/>
    <cellStyle name="Normal 7 9" xfId="2200" xr:uid="{00000000-0005-0000-0000-0000A3080000}"/>
    <cellStyle name="Normal 7 9 13" xfId="78" xr:uid="{00000000-0005-0000-0000-0000A4080000}"/>
    <cellStyle name="Normal 7 9 2" xfId="2201" xr:uid="{00000000-0005-0000-0000-0000A5080000}"/>
    <cellStyle name="Normal 7 9 3" xfId="2202" xr:uid="{00000000-0005-0000-0000-0000A6080000}"/>
    <cellStyle name="Normal 7 9 4" xfId="2203" xr:uid="{00000000-0005-0000-0000-0000A7080000}"/>
    <cellStyle name="Normal 71" xfId="66" xr:uid="{00000000-0005-0000-0000-0000A8080000}"/>
    <cellStyle name="Normal 72 2" xfId="60" xr:uid="{00000000-0005-0000-0000-0000A9080000}"/>
    <cellStyle name="Normal 8" xfId="2204" xr:uid="{00000000-0005-0000-0000-0000AA080000}"/>
    <cellStyle name="Normal 8 2" xfId="2205" xr:uid="{00000000-0005-0000-0000-0000AB080000}"/>
    <cellStyle name="Normal 8 2 2" xfId="2206" xr:uid="{00000000-0005-0000-0000-0000AC080000}"/>
    <cellStyle name="Normal 8 2 3" xfId="2207" xr:uid="{00000000-0005-0000-0000-0000AD080000}"/>
    <cellStyle name="Normal 8 2 4" xfId="2208" xr:uid="{00000000-0005-0000-0000-0000AE080000}"/>
    <cellStyle name="Normal 8 3" xfId="2209" xr:uid="{00000000-0005-0000-0000-0000AF080000}"/>
    <cellStyle name="Normal 8 3 2" xfId="2210" xr:uid="{00000000-0005-0000-0000-0000B0080000}"/>
    <cellStyle name="Normal 8 3 2 2" xfId="2211" xr:uid="{00000000-0005-0000-0000-0000B1080000}"/>
    <cellStyle name="Normal 8 3 2 3" xfId="2212" xr:uid="{00000000-0005-0000-0000-0000B2080000}"/>
    <cellStyle name="Normal 8 3 2 4" xfId="2213" xr:uid="{00000000-0005-0000-0000-0000B3080000}"/>
    <cellStyle name="Normal 8 3 3" xfId="2214" xr:uid="{00000000-0005-0000-0000-0000B4080000}"/>
    <cellStyle name="Normal 8 3 4" xfId="2215" xr:uid="{00000000-0005-0000-0000-0000B5080000}"/>
    <cellStyle name="Normal 8 3 5" xfId="2216" xr:uid="{00000000-0005-0000-0000-0000B6080000}"/>
    <cellStyle name="Normal 8 4" xfId="2217" xr:uid="{00000000-0005-0000-0000-0000B7080000}"/>
    <cellStyle name="Normal 8 5" xfId="2218" xr:uid="{00000000-0005-0000-0000-0000B8080000}"/>
    <cellStyle name="Normal 8 6" xfId="2219" xr:uid="{00000000-0005-0000-0000-0000B9080000}"/>
    <cellStyle name="Normal 87" xfId="59" xr:uid="{00000000-0005-0000-0000-0000BA080000}"/>
    <cellStyle name="Normal 9" xfId="129" xr:uid="{00000000-0005-0000-0000-0000BB080000}"/>
    <cellStyle name="Normal 9 10 2" xfId="73" xr:uid="{00000000-0005-0000-0000-0000BC080000}"/>
    <cellStyle name="Normal 9 11 2" xfId="77" xr:uid="{00000000-0005-0000-0000-0000BD080000}"/>
    <cellStyle name="Normal 9 4" xfId="86" xr:uid="{00000000-0005-0000-0000-0000BE080000}"/>
    <cellStyle name="Normal 9 4 2" xfId="2230" xr:uid="{00000000-0005-0000-0000-0000BF080000}"/>
    <cellStyle name="Note 2" xfId="2220" xr:uid="{00000000-0005-0000-0000-0000C0080000}"/>
    <cellStyle name="Output 2" xfId="2221" xr:uid="{00000000-0005-0000-0000-0000C1080000}"/>
    <cellStyle name="Percent" xfId="1" builtinId="5"/>
    <cellStyle name="Percent 10" xfId="14" xr:uid="{00000000-0005-0000-0000-0000C3080000}"/>
    <cellStyle name="Percent 12" xfId="35" xr:uid="{00000000-0005-0000-0000-0000C4080000}"/>
    <cellStyle name="Percent 13" xfId="55" xr:uid="{00000000-0005-0000-0000-0000C5080000}"/>
    <cellStyle name="Percent 16" xfId="52" xr:uid="{00000000-0005-0000-0000-0000C6080000}"/>
    <cellStyle name="Percent 2" xfId="32" xr:uid="{00000000-0005-0000-0000-0000C7080000}"/>
    <cellStyle name="Percent 2 60" xfId="16" xr:uid="{00000000-0005-0000-0000-0000C8080000}"/>
    <cellStyle name="Style 1" xfId="2222" xr:uid="{00000000-0005-0000-0000-0000C9080000}"/>
    <cellStyle name="Style 2" xfId="2223" xr:uid="{00000000-0005-0000-0000-0000CA080000}"/>
    <cellStyle name="SUB HEADING" xfId="6" xr:uid="{00000000-0005-0000-0000-0000CB080000}"/>
    <cellStyle name="Title 2" xfId="2224" xr:uid="{00000000-0005-0000-0000-0000CC080000}"/>
    <cellStyle name="Total 2" xfId="2225" xr:uid="{00000000-0005-0000-0000-0000CD080000}"/>
    <cellStyle name="Warning Text 2" xfId="2226" xr:uid="{00000000-0005-0000-0000-0000CE080000}"/>
  </cellStyles>
  <dxfs count="18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gradientFill type="path" left="0.5" right="0.5" top="0.5" bottom="0.5">
          <stop position="0">
            <color theme="0"/>
          </stop>
          <stop position="1">
            <color theme="4"/>
          </stop>
        </gradientFill>
      </fill>
    </dxf>
    <dxf>
      <fill>
        <gradientFill degree="90">
          <stop position="0">
            <color theme="0"/>
          </stop>
          <stop position="0.5">
            <color theme="4"/>
          </stop>
          <stop position="1">
            <color theme="0"/>
          </stop>
        </gradient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ont>
        <strike/>
        <color rgb="FFFF6600"/>
      </font>
      <fill>
        <patternFill>
          <bgColor theme="6" tint="0.79998168889431442"/>
        </patternFill>
      </fill>
    </dxf>
    <dxf>
      <fill>
        <patternFill>
          <bgColor theme="9" tint="0.79998168889431442"/>
        </patternFill>
      </fill>
    </dxf>
    <dxf>
      <font>
        <color theme="1"/>
      </font>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theme="9" tint="0.79998168889431442"/>
        </patternFill>
      </fill>
    </dxf>
    <dxf>
      <fill>
        <patternFill>
          <bgColor theme="5" tint="0.79998168889431442"/>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s>
  <tableStyles count="0" defaultTableStyle="TableStyleMedium2" defaultPivotStyle="PivotStyleLight16"/>
  <colors>
    <mruColors>
      <color rgb="FF96363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styles" Target="styles.xml"/><Relationship Id="rId27" Type="http://schemas.openxmlformats.org/officeDocument/2006/relationships/customXml" Target="../customXml/item2.xml"/></Relationships>
</file>

<file path=xl/documenttasks/documenttask1.xml><?xml version="1.0" encoding="utf-8"?>
<Tasks xmlns="http://schemas.microsoft.com/office/tasks/2019/documenttasks">
  <Task id="{7BE80657-A6F6-4043-AC1B-0DEC5AD8DA81}">
    <Anchor>
      <Comment id="{FE7003D4-0922-4D54-BF98-907E4E4C9DDD}"/>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FE7003D4-0922-4D54-BF98-907E4E4C9DDD}"/>
        </Anchor>
        <SetTitle title="@Vinod Soudi Please check why this is not loaded ???"/>
      </Event>
      <Event time="2023-03-13T04:04:35.36" id="{6C478326-E222-4C77-8D9B-857D1520913B}">
        <Attribution userId="COUNT(_{r0})" userName="IF(_{r11}&gt;0,2,&quot;-&quot;)" userProvider="IF(_{r17}&gt;0,2,&quot;-&quot;)"/>
        <Progress percentComplete="100"/>
      </Event>
    </History>
  </Task>
  <Task id="{F7213D76-DC7E-4730-AF56-210F9899C530}">
    <Anchor>
      <Comment id="{003155F1-8E7C-4757-863F-A70E6D2B638A}"/>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003155F1-8E7C-4757-863F-A70E6D2B638A}"/>
        </Anchor>
        <SetTitle title="@Vinod Soudi Please check why this is not loaded ???"/>
      </Event>
      <Event time="2023-03-13T04:04:35.36" id="{6C478326-E222-4C77-8D9B-857D1520913B}">
        <Attribution userId="COUNT(_{r0})" userName="IF(_{r11}&gt;0,2,&quot;-&quot;)" userProvider="IF(_{r17}&gt;0,2,&quot;-&quot;)"/>
        <Progress percentComplete="100"/>
      </Event>
    </History>
  </Task>
  <Task id="{8DF4D992-4B06-4E5D-B6BB-08B51772DFB7}">
    <Anchor>
      <Comment id="{19BB1253-43DB-4296-A183-397F4B153831}"/>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19BB1253-43DB-4296-A183-397F4B153831}"/>
        </Anchor>
        <SetTitle title="@Vinod Soudi Please check why this is not loaded ???"/>
      </Event>
      <Event time="2023-03-13T04:04:35.36" id="{6C478326-E222-4C77-8D9B-857D1520913B}">
        <Attribution userId="COUNT(_{r0})" userName="IF(_{r11}&gt;0,2,&quot;-&quot;)" userProvider="IF(_{r17}&gt;0,2,&quot;-&quot;)"/>
        <Progress percentComplete="100"/>
      </Event>
    </History>
  </Task>
  <Task id="{6518EDAA-B157-4B3C-BA41-786CADCC297E}">
    <Anchor>
      <Comment id="{DCD7DA0E-0BB3-4768-9640-0395EEAAA930}"/>
    </Anchor>
    <History>
      <Event time="2023-03-12T10:41:50.07" id="{10DA624B-3B2F-4140-8C96-618EDF063C5B}">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Create/>
      </Event>
      <Event time="2023-03-12T10:41:50.07" id="{E16F8B44-4089-435A-B936-EFF4291ABB47}">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Assign userId="COUNT(_{r0})" userName="IF(_{r11}&gt;0,2,&quot;-&quot;)" userProvider="IF(_{r17}&gt;0,2,&quot;-&quot;)"/>
      </Event>
      <Event time="2023-03-12T10:41:50.07" id="{92DF80E2-72B4-40E3-B8AC-C078D584385C}">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DCD7DA0E-0BB3-4768-9640-0395EEAAA930}"/>
        </Anchor>
        <SetTitle title="@Vinod Soudi Please check why this is not loaded ???"/>
      </Event>
      <Event time="2023-03-13T04:04:35.36" id="{6C478326-E222-4C77-8D9B-857D1520913B}">
        <Attribution userId="COUNT(_{r0})" userName="IF(_{r11}&gt;0,2,&quot;-&quot;)" userProvider="IF(_{r17}&gt;0,2,&quot;-&quot;)"/>
        <Progress percentComplete="100"/>
      </Event>
    </History>
  </Task>
  <Task id="{E2ADD4EB-343A-4FBD-BF4D-96868AB20E81}">
    <Anchor>
      <Comment id="{5776E866-BA41-44B4-876F-8CB4620EB153}"/>
    </Anchor>
    <History>
      <Event time="2023-03-12T10:46:06.01" id="{21D8224E-7078-4752-9671-7D1B30BDC97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Create/>
      </Event>
      <Event time="2023-03-12T10:46:06.01" id="{8D89A772-41EF-4E92-B3F4-BDFDB9D0782E}">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Assign userId="COUNT(_{r0})" userName="IF(_{r11}&gt;0,2,&quot;-&quot;)" userProvider="IF(_{r17}&gt;0,2,&quot;-&quot;)"/>
      </Event>
      <Event time="2023-03-12T10:46:06.01" id="{5E5C5BE8-1FB7-4311-8BDB-7CE43215BDF1}">
        <Attribution userId="IF(_{r20}&gt;0,2,&quot;-&quot;)" userName="IF(_{r2}&gt;0,2,&quot;-&quot;)" userProvider="訝Ẅ 299==AAEEGG &#10;&#10;&#10;Q&#10;&#10;299==AAEEGGXLSﱉ큸耀IF(_{r1}&gt;0,2,&quot;-&quot;)튰竪ȴ脀⡐⛉ȴ脀⥀⛉ȴ脀⿐⛉ȴ膀僐⛝ȴ膀戠翾絸ȴ茘翾ꡐ䟰ȴ葘翾ꡐ䟰ȴﱞ큩耀IF(_{r2}&gt;0,2,&quot;-&quot;)2_88E4_00104B2D4E50_.wvu.PrintTitles怀虐穭ȴ惈塭翷怀蝠穭ȴ惈塭翷怀貰穭ȴ惈塭翷怀骀穭ȴ惈塭翷怀⬸鶰穭ȴ惈塭翷怀뇠穭ȴ惈塭翷怀ﾯ쾞耀IF(_{r9}&gt;0,2,&quot;-&quot;)ƀﾼ쾏耀IF(_{r10}&gt;0,2,&quot;-&quot;)䄂ȴ㝀絹ȴ䄂å㕠絹ȴ䄂å㕠絹ȴ䄂å㝀絹ȴ䄂å㏠絹ȴ䄂å㗀絹ȴ䄂å㗀絹ȴ䄂å㏠絹ȴ䄂å㐐絹ȴ䄂å䘠臎ȴ䄂ȴ亠臎ȴ䄂ȴ䙠臎ȴ䄂ȴ錐奦ȴ䄂ȴﾍ쾼耀IF(_{r12}&gt;0,2,&quot;-&quot;)鮰翾睰翾翾秈翾°絹ȴ稀翾址翾箰翾＀絸ȴ䍀翾쪨翾䒰翾翾䕀翾翾䚐翾盘翾愸翾攐絸ȴ翾翾翾鮰翾翾鮰翾￢쾭耀IF(_{r13}&gt;0,2,&quot;-&quot;)Ѱ絹ȴ㝨翾棐絸ȴ㣘翾棐絸ȴ㮘翾萠絥ȴ㱐翾쪨翾ꀈ翾翾ꁀ翾萠絥ȴꂐ翾挀絸ȴ翾鳰翾翾鳰翾戠翾￀絸ȴ茘翾슐䟰ȴ葘翾슐䟰ȴ０翾쪨翾￳쿂耀IF(_{r5}&gt;0,2,&quot;-&quot;)裰⣴翿裰⣴翿裰⣴翿裰⣴翿裰⣴翿裰⣴翿裰⣴翿裰⣴翿裰⣴翿裰⣴翿裰⣴翿裰⣴翿裰⣴翿裰⣴翿裰⣴翿裰⣴翿裰⣴翿裰⣴翿裰⣴翿裰⣴翿裰⣴翿裰⣴翿裰⣴翿裰⣴翿裰⣴翿裰⣴翿裰⣴翿裰⣴翿￀쿳耀IF(_{r6}&gt;0,2,&quot;-&quot;).2776436Z [message     ] processing message: {&quot;C&quot;:&quot;d-650429B0-B,0!T16a,0!T16b,0!T16c,0!T16d,B0&quot;,&quot;M&quot;:[]}&#10;줉ﶾ뵈ƀ￑쿠耀IF(_{r16}&gt;0,2,&quot;-&quot;)숀胜ȴᅼ翾挀ఋȴٞڳh,슐胜ȴ㩀俈ȴٞڳnt슐胜ȴ錀伧ȴ๙翾왐翾Ꟑ穭ȴ鍐伧ȴＦ켑耀IF(_{r21}&gt;0,2,&quot;-&quot;)nvironment.com3064_.wvu.FilterData/Dropbox/00 BAG/Goals Y19 I 15-16/[TEMP.XLS]grp 灯쬀ਘ褁圏湩潤獷䐠獥瑫灯ⲩＷ켆龜耀IF(_{r18}&gt;0,2,&quot;-&quot;)ὀ絹ȴ㝨翾栐絸ȴ㣘翾栐絸ȴ㮘翾﬐絤ȴ愸翾榐絸ȴꀈ翾翾ꁀ翾﬐絤ȴꂐ翾ↀ絹ȴ翾鳰翾翾鳰翾戠翾ῐ絹ȴ茘翾௰絥ȴ葘翾௰絥ȴ＄켷切耀IF(_{r19}&gt;0,2,&quot;-&quot;)䳠臎ȴ䗠臎ȴ䱠臎ȴ䖠臎ȴ䖠臎ȴ䱠臎ȴ䗠臎ȴ䳠臎ȴ䘠臎ȴ亠臎ȴ䙠臎ȴ錐奦ȴ긠䟰ȴ緐翾翾⩐翾翾ະ翾쪨翾翾⊣ȴ翾鳰翾㕈翾翾㖀翾＀⊙ȴ５켤ﯷ耀IF(_{r20}&gt;0,2,&quot;-&quot;)鮰翾睰翾翾秈翾絸ȴ稀翾址翾箰翾絸ȴ㿨翾㽐翾䍀翾쪨翾䒰翾翾䕀翾翾䚐翾盘翾愸翾嬐絹ȴ翾翾翾鮰翾翾鮰翾ｪ콕ﰀ耀IF(_{r21}&gt;0,2,&quot;-&quot;)2776436Z [message     ] processing message: {&quot;C&quot;:&quot;d-650429B0-B,0!T16a,0!T16b,0!T16c,0!T16d,B0&quot;,&quot;M&quot;:[]}&#10;桃楡⹮浸祬ｻ콊ﶋ耀IF(_{r22}&gt;0,2,&quot;-&quot;)Āʀ糁ȴĀी糁ȴĀ훀她ȴĀ퉀她ȴĀ她ȴĀ她ȴĀ她ȴĀ她ȴĀ죠㇧ȴĀ유㇧ȴĀ쾠㇧ȴĀ퀠㇧ȴĀ欠㇨ȴĀｈ콻︀退჈侧ȴៈ侧ȴᠸ侧ȴᖘ侧ȴỈ侧ȴ✘侧ȴ␈侧ȴᵸ侧ȴᢨ侧ȴศ侧ȴᤘ侧ȴᾨ侧ȴ⇘侧ȴｙ콨＀耀IF(_{r24}&gt;0,2,&quot;-&quot;)鮰翾睰翾翾秈翾ՠ絹ȴ稀翾址翾箰翾ɠ絹ȴ䍀翾쪨翾䒰翾翾䕀翾翾䚐翾盘翾愸翾枰絸ȴ翾翾翾鮰翾翾鮰翾ﺮ캙老IF('Design Fee'!ID73&gt;0,2,&quot;-&quot;)ost Construction is not planned in CY23ﺿ캎Ā老IF('Design Fee'!IE73&gt;0,2,&quot;-&quot;)this is not loaded ???ﺌ캿Ȁ老IF('Design Fee'!JH73&gt;0,2,&quot;-&quot;)95% is divided by 12ﺝ캬̀老IF('Design Fee'!ES73&gt;0,2,&quot;-&quot;)95% is divided by 12ﻲ컝Ѐ老IF('Design Fee'!JK73&gt;0,2,&quot;-&quot;)95% is divided by 120Documents/02%20Design/Projects/Contracts/0059_PoaRR/Design%20Fee%2023ﻃ컲Ԁ老IF('Design Fee'!JM73&gt;0,2,&quot;-&quot;)this is not loaded ???c42-a951-14bb20890f34ﻐ컣؀老IF('Design Fee'!JN73&gt;0,2,&quot;-&quot;)ued till dec'22 had got deleted. Hence the values were not appearing︡츐܀老IF('Design Fee'!JO73&gt;0,2,&quot;-&quot;)comites/pmo/Shared%20Documents/02%20Design/Projects/Contracts/0059_PoaRR/Design%20Fee%2023︶츁ࠀ老IF('Design Fee'!JP73&gt;0,2,&quot;-&quot;)95% is divided by 12︇츶ऀ老IF('Design Fee'!EK73&gt;0,2,&quot;-&quot;)sued, Check and confirm︔츧਀老IF('Design Fee'!ER73&gt;0,2,&quot;-&quot;)this is not loaded ???﹥칔଀老IF('Design Fee'!DF73&gt;0,2,&quot;-&quot;)ﹺ칅ఀ老IF('Design Fee'!FN73&gt;0,2,&quot;-&quot;)95% is divided by 12﹋칺ഀ老IF('Design Fee'!FV73&gt;0,2,&quot;-&quot;)95% is divided by 12﹘칫฀老IF('Design Fee'!GX73&gt;0,2,&quot;-&quot;)95% is divided by 12囹춘ༀ老IF('Design Fee'!GY73&gt;0,2,&quot;-&quot;)ost Construction is not planned in CY23俟ȴ保ȴ０保ȴ保ȴ保ȴ縷保ȴ﬐保ȴ保ȴﾐ保ȴ保ȴ保ȴ戀保ȴ保ȴ保ȴ料춉က老IF('Design Fee'!HA73&gt;0,2,&quot;-&quot;)95% is divided by 12憐춾ᄀ老IF('Design Fee'!DE73&gt;0,2,&quot;-&quot;)this is not loaded ???c42-a951-14bb20890f34列춯ሀ老IF('Design Fee'!EI73&gt;0,2,&quot;-&quot;)this is not loaded ???[Ā४[Ā४[Ā४[Ā४[Ā४Ā४Ā४Ā४Ā४Ā४६७吝췜ጀ老IF('Design Fee'!FU73&gt;0,2,&quot;-&quot;)95% is divided by 120Documents/02%20Design/Projects/Contracts/0059_PoaRR/Design%20Fee%2023蓼췍᐀老IF('Design Fee'!HD73&gt;0,2,&quot;-&quot;)齀㶆翿ꃈ㶆翿꠰㶆翿黈㶆翿龈㶆翿陸췢ᔀ老IF('Design Fee'!IF73&gt;0,2,&quot;-&quot;)95% is divided by 12鸞촓᛿老IF('Design Fee'!FX73&gt;0,2,&quot;-&quot;)ost Construction is not planned in CY23櫓촀ᜀ老IF('Design Fee'!HC73&gt;0,2,&quot;-&quot;)爀摯捵楴湯句촱᠇老IF('Design Fee'!IB73&gt;0,2,&quot;-&quot;)this is not loaded ???c42-a951-14bb20890f3474珞촦ᤀ老IF('Design Fee'!II73&gt;0,2,&quot;-&quot;)ost Construction is not planned in CY23磻쵗ᨇ老IF('Design Fee'!EM73&gt;0,2,&quot;-&quot;)this is not loaded ???c42-a951-14bb20890f34掠쵄ᬀ老IF('Design Fee'!CC73&gt;0,2,&quot;-&quot;)爀摯捵楴湯壘쵵ᰇ老IF('Design Fee'!DH73&gt;0,2,&quot;-&quot;)95% is divided by 12拏쵪ᴀ老IF('Design Fee'!FP73&gt;0,2,&quot;-&quot;)ost Construction is not planned in CY230f34첛ỷ老IF('Design Fee'!EL73&gt;0,2,&quot;-&quot;)95% is divided by 12첈ἀ老IF('Design Fee'!GZ73&gt;0,2,&quot;-&quot;)95% is divided by 12첹⃣老IF('Design Fee'!DJ73&gt;0,2,&quot;-&quot;)95% is divided by 12瑣摉첮℀老IF('Design Fee'!EJ73&gt;0,2,&quot;-&quot;)95% is divided by 1256e-45f3-adac-be6829c80874쳟∀老IF('Design Fee'!DD73&gt;0,2,&quot;-&quot;)95% is divided by 12-4c42-a951-14bb20890f34쳌⌀老IF('Design Fee'!FT73&gt;0,2,&quot;-&quot;)95% is divided by 12쳽␀老IF('Design Fee'!CD73&gt;0,2,&quot;-&quot;)95% is divided by 1256e-45f3-adac-be6829c80874찒─老IF('Design Fee'!DM73&gt;0,2,&quot;-&quot;)95% is divided by 12찃☀老IF('Design Fee'!DK73&gt;0,2,&quot;-&quot;)95% is divided by 12ꢀꌹﳞࣙ찰✀老IF('Design Fee'!FQ73&gt;0,2,&quot;-&quot;)95% is divided by 12찡⠀老IF('Design Fee'!DG73&gt;0,2,&quot;-&quot;)95% is divided by 12:3pt;width:100.8pt;height:60pt;z-index:19;&#10;  visibility:hidden''en'챖⤀老IF('Design Fee'!DN73&gt;0,2,&quot;-&quot;)95% is divided by 12챇⨀老IF('Design Fee'!FW73&gt;0,2,&quot;-&quot;)7EBF1F7A30}[:[:[g챴⬀老IF('Design Fee'!DL73&gt;0,2,&quot;-&quot;)95% is divided by 12챥Ⰰ老IF('Design Fee'!GW73&gt;0,2,&quot;-&quot;)ued till dec'22 had got deleted. Hence the values were not appearingﮫ쮚ⴀ老IF('Design Fee'!HG73&gt;0,2,&quot;-&quot;)7E352E8FB3};margin-top:413.4pt;width:99pt;height:60pt;z-index:2;&#10;  visibility:hidden'en'﮸쮋⸀老IF('Design Fee'!IC73&gt;0,2,&quot;-&quot;)ost Construction is not planned in CY23ﮉ쮸⼀老IF('Design Fee'!IH73&gt;0,2,&quot;-&quot;)sued, Check and confirm-45f3-adac-be6829c80874ﮞ쮩　老IF('Design Fee'!IJ73&gt;0,2,&quot;-&quot;)絰舁ȴ‐舃ȴ泐臱ȴ믐妧ȴ糈ȴ㑰䟢ȴ夼ȴ㮐ㆿȴ倠糁ȴڻȴ퀐蘶ȴ†妯ȴﯯ쯞㄀老IF('Design Fee'!EP73&gt;0,2,&quot;-&quot;)009CBD48D2}¦ĐĒŮƿǒ̷;΀ψǡǼǔǟƽƽϊћǾəﯼ쯏㈀老IF(_{r24}&gt;0,2,&quot;-&quot;)潦浲缀椀㍮2﯍쯼㌀老IF('Design Fee'!CB73&gt;0,2,&quot;-&quot;)ued, Check and confirmﬢ쯭㐀老IF('Design Fee'!EO73&gt;0,2,&quot;-&quot;)דּ쬂㔀老IF('Design Fee'!HE73&gt;0,2,&quot;-&quot;)　〮ﬀ쬳㘀老IF('Design Fee'!IK73&gt;0,2,&quot;-&quot;)this is not loaded ???﬑쬠㜀老IF('Design Fee'!CE73&gt;0,2,&quot;-&quot;)&#10;ﭦ쭑㠀老IF('Design Fee'!FR73&gt;0,2,&quot;-&quot;)ost Construction is not planned in CY23ﭷ쭆㧿老IF('Design Fee'!EQ73&gt;0,2,&quot;-&quot;)ost Construction is not planned in CY239c80874פּ쭷㨀老IF('Design Fee'!IL73&gt;0,2,&quot;-&quot;)ued, Check and confirmc42-a951-14bb20890f3474ﭕ쭤㬇老IF('Design Fee'!JG73&gt;0,2,&quot;-&quot;)comꃈ㶆翿꠰㶆翿黈㶆翿龈㶆翿着쪕㰀老IF('Design Fee'!JI73&gt;0,2,&quot;-&quot;)this is not loaded ???c42-a951-14bb20890f3474請쪊㴇老IF('Design Fee'!FO73&gt;0,2,&quot;-&quot;)舀伧ȴ愈쪻㸀老IF('Design Fee'!HF73&gt;0,2,&quot;-&quot;)㈀㈶1滋쪨㼇老IF('Design Fee'!JJ73&gt;0,2,&quot;-&quot;)this is not loaded ???[Ā४[Ā४[Ā४[Ā४[Ā४Ā४Ā४Ā४Ā४Ā४६﫮쫙䀀老IF('Design Fee'!KR73&gt;0,2,&quot;-&quot;)櫋䴤惻㬻헢弡畬档瀺⎇糵봌뿾뭅瑛൛⦯묣ℙ귨館苚笫昈᭤ꎾЅ鏋씴鴤훧뽶礫呸軼딲腂ዾ诖奧샭暒䂖Ꞙᮨ䄦Ἷખ㎐傶떧籪폦餜壥䥅ⶴ℉勞ᧄ䃗⟾㉣䓧ꎴ槪尤䒼氌㮀ぁ즭룜ꑹᩃ妶첢㥪蚲ᗖ쑕抯碥゛L.T﫿쫎䇷老℡笁ȴ䄂å℡笁ȴ䄂å‡笁ȴ䄂åᎡ笁ȴ䄂åὡ笁ȴ䄂å₡笁ȴ䄂åᏡ笁ȴ䄂å᭡笁ȴ䄂åᐡ笁ȴ䄂å䏠笁ȴ䄂ȴ⊟ȴĂ翾鸞笂ȴ䄂笂ȴ䄂쁰ںȴ䄂ȴ쌐ںȴ䄂翾怒笂ȴ䄂翾頻쫿䈀老㿡笁ȴ䄂㿡笁ȴ䄂㹡笁ȴ䄂㍡笁ȴ䄂㪡笁ȴ䄂㚡笁ȴ䄂㝡笁ȴ䄂㜡笁ȴ䄂㣡笁ȴ䄂㸡笁ȴ䄂96A0C-F192-11D4-A65F-0040963251E5}\InprocServer32﫝쫬䍬老ꯡ笂ȴ䄂ꯡ笂ȴ䄂ꌡ笂ȴ䄂ꞡ笂ȴ䄂ꡡ笂ȴ䄂ꧡ笂ȴ䄂軁ںȴ䄂褡ںȴ䄂꺡笂ȴ䄂겡笂ȴ䄂免쨝䐀老꫏䥩ఀꁘ鼴ꮮ；㝅葊徏ɉ癄聻聵䟙䡂䖤瓨챠᫻쀀‬鼜ꮮ；㝅葊徏ɉ癄ͻ_쀀鼛ꮮ；㝅葊徏ɉ癄ͻͷ甀ώς쉷ȃ眀ǧô撰偟͋਄ࠀ℀Ȁༀ砀⽬潷歲潢歯砮汭ꂰ 鼜ꮮ；㝅葊徏ɉ癄{ﱷࠀ⤫鵔츧罔嘆飳荿䤫䬬ูᄐ/⭸逩䈾꜍쌘ڰ밹෡掫ḃ線չ糖쨲䔀老뭪輧ᆢ텂돽鿱淪葘壌὚澙賧贋簄톕턞䣔봟쉫貢弄탿溰䪾鼱ﮩට띒峨녅ꣿ⩓埏阷껸嵓藶ʊ׳魳绻鑊⒑贇턘᭔ꘅ᪢⁍䁢ꭨ╁쪧𛯬닧脴幏ꞔὺ艟Ρ朝量⒙䞗憝촚ᎂ轭돜頩膫㚤଎쯭㇙ද襷␠劓띇勉璎䶳᛬붢᝾錔儝첅ⱔ⥿₉▝Ṙ詽彎廖ꔋ틻蹺└ᚦꬩ蝡䪵吳뾓寤ﬢ♗塚쨣䘀老È翾Ѐȋ.ǡ&lt;翿翿::㾀㾀⓿ሃֲᖘ莄Ǡ䄀企⋂-ȴ䄀翾視쩐䜀老潡笁ȴ䄂潡笁ȴ䄂污笁ȴ䄂烡笁ȴ䄂搡笁ȴ䄂浡笁ȴ䄂翿㹑ںȴ䄂朡笁ȴ䄂翿䆁ںȴ䄂柠笁ȴ䄂棠笁ȴ䄂抠笁ȴ䄂㹐ںȴ䄂涠笁ȴ䄂淠笁ȴ䄂拠笁ȴ䄂2勇쩁䠀老ﰀ臌ȴᅼ翾 ٞڳ12ﱀ臌ȴ鎐臠ȴٞڳ-0ﱀ臌ȴ蔀䟬ȴ 왐翾﷠穭ȴ薠䟬ȴ漢쩶䤀老IF('Design Fee'!KT73&gt;0,2,&quot;-&quot;)捜ꌴ䣙夒齲༕創鞞쓿苹䚕橶頞䙦鬺혷퀃喼駺㘷㯤㤦晑긹枣氨땂럝뇑濝홧勡뢶Σﰪ葿䊌癖䍪䯉煄ߜ㣻ഛ䕐⾴瑇ঙ벘⽛臶糒㕀ꪰ⁫嫶ﰠ퀔剷Ӝ莤坄᫔޶䀧䁄좚솪訕釗唪㎭韘⸸측H.T穀쩧䨀老笂ȴ䄂笂ȴ䄂笂ȴ䄂笂ȴ䄂笂ȴ䄂笂ȴ䄂笂ȴ䄂笂ȴ䄂笂ȴ䄂笂ȴ䄂96A0C-F192-11D4-A65F-0040963251E5}\InprocHandler얥즔䬀老IF('Design Fee'!KV73&gt;0,2,&quot;-&quot;)弩㹰쿒崱需Ⴁ悥넄콷藜ꆨ⧴巋꼢㧤긵棣쯧鲰砇に⏡놤ミዊ硷췦髵외׆伺鍬ᑲ딏徳部⴫騎㡖ꦙ悎䡰쎊ᅓ⎣㸳舍柧瑄㎩左䬟儶䈸ᕭ랈谤篪ﲕͧ뢨᪜ḙ㛾ⴎ胅턿鼖௱ﶌ뵅ꍗໄ꽞ା味鍁朘逃礓炃襬ᨼ뼁얙Ѩȴ2얺즅䰀老Authorᆀ穮ȴ» v䠽ȴ污呬灹e얋즺䴀老獡笁ȴ䄂獡笁ȴ䄂羡笁ȴ䄂粡笁ȴ䄂绡笁ȴ䄂繡笁ȴ䄂翿䡱ںȴ䄂聡笁ȴ䄂翿䣑ںȴ䄂珠笁ȴ䄂缠笁ȴ䄂穠笁ȴ䄂䡰ںȴ䄂狠笁ȴ䄂璠笁ȴ䄂甠笁ȴ䄂얘즫一老ɐ⛜ȴåΠⅱȴℐ⛌ȴܠʀW䗻ᘯ䘪ᘯA媇엩짘伀老런臠ȴ말臠ȴ배臠ȴ벐臠ȴ뤰臠ȴ뺰臠ȴ롐臠ȴ뼐臠ȴ륐臠ȴ쀰臠ȴ숰臠ȴ슐臠ȴ臠ȴ臠ȴ臠ȴ臠ȴ臠ȴ臠ȴ엾짉倀老쌑ںȴ䄂쌑ںȴ䄂笂ȴ䄂笂ȴ䄂率笂ȴ䄂뻱ںȴ䄂笂ȴ䄂笂ȴ䄂笂ȴ䄂엏짾儀老엜짯刀送⊾ȴଠ䟦ȴਠ䟦ȴዠ䟦ȴ௠䟦ȴ๠䟦ȴ࿠䟦ȴᐠ䟦ȴጠ䟦ȴᆠ䟦ȴࠠ䟦ȴྠ䟦ȴૠ䟦ȴ۠䟦ȴᏠ䟦ȴ۠䟦ȴૠ䟦ȴྠ䟦ȴࠠ䟦ȴᆠ䟦ȴጠ䟦ȴᐠ䟦ȴ࿠䟦ȴ๠䟦ȴ௠䟦ȴዠ䟦ȴਠ䟦ȴଠ䟦ȴ헐翾꛰⊳ȴ홨翾翾2씭줜匀老黡笁ȴ䄂黡笁ȴ䄂饡笁ȴ䄂ꃡ笁ȴ䄂鍡笁ȴ䄂釡笁ȴ䄂鱡笁ȴ䄂翿呱ںȴ䄂陡笁ȴ䄂翿嘡ںȴ䄂211B6-3650-4F75-8334-FA359598E1C5}\InprocServer32씂줍吀老ⓡ笁ȴ䄂ⓡ笁ȴ䄂╡笁ȴ䄂⠡笁ȴ䄂◡笁ȴ䄂⦡笁ȴ䄂⤡笁ȴ䄂ⱡ笁ȴ䄂♡笁ȴ䄂⚡笁ȴ䄂〡笁ȴ䄂씓줢唀老魡笁ȴ䄂魡笁ȴ䄂鮡笁ȴ䄂ꝡ笁ȴ䄂겡笁ȴ䄂ꐡ笁ȴ䄂翿卑ںȴ䄂ꑡ笁ȴ䄂翿叡ںȴ䄂ꊠ笁ȴ䄂ꅠ笁ȴ䄂ꤠ笁ȴ䄂卐ںȴ䄂뀠笁ȴ䄂ꓠ笁ȴ䄂ꔠ笁ȴ䄂애쥓嘀老牵潩ీ穮ȴీ穮ȴ嵐妯ȴౘ穮ȴౘ穮ȴ顈⋡翿ƻ앱쥀圀老앆쥱堀老쏑ںȴ䄂쏑ںȴ䄂李笂ȴ䄂﨡笂ȴ䄂笀ȴ䄂笀ȴ䄂뽑ںȴ䄂á笁ȴ䄂￡笀ȴ䄂笀ȴ䄂96A0C-F192-11D4-A65F-0040963251E5}\InprocHandler32앗쥦夀老ᣡ笁ȴ䄂ᣡ笁ȴ䄂᳡笁ȴ䄂ῡ笁ȴ䄂ጡ笁ȴ䄂ỡ笁ȴ䄂ᢡ笁ȴ䄂ሡ笁ȴ䄂ᛡ笁ȴ䄂쒤좗娀老翾㽀ںȴ绐翾ಸ仴ȴ㜰翾鱸翾㝨翾⿰貢ȴ㟨翾ꯐ⊳ȴ㨀翾ꯐ⊳ȴ㨸翾⤀貢ȴ愸翾㪐ںȴ鱸翾⨠貢ȴ턀翾김⊳ȴ퓈翾쪨翾픀翾쪨翾홨翾翾홨翾翾홨翾翾cServer32쒵좄嬀老IF('Design Fee'!KP73&gt;0,2,&quot;-&quot;)l\Microsoft\Office\16.0\OfficeFileCache\0\0\A4HAAAANBSFNEMFCCDESFUEGDJBVG6BY\P7D4OLJDQV66Q.T66Q.T쒊좵峿老臌ȴᅼ翾挀ఋȴٞڳ/0臌ȴ鯐臠ȴٞڳå臌ȴ吀僜ȴ๙翾왐翾ጠ穮ȴ咐僜ȴ2쒛좪崀送귫⊝ȴ盘翾꺒⊝ȴ쪨翾껛⊝ȴ쪨翾꽻⊝ȴ쪨翾뀘⊝ȴ紐ȴ끵⊝ȴ邐਎ȴ냉⊝ȴ邐਎ȴ늸⊝ȴ쪨翾㜰翾鱸翾㝨翾ꮀ等ȴ㟨翾檠ਧȴ㣘翾ꮀ等ȴꂐ翾灀伧ȴ翾紐ȴ萠翾㨘䢋ȴ쓨죛帇送藈⊾ȴ֠䟦ȴà䟦ȴﮠ䟥ȴ＠䟥ȴŠ䟦ȴ﫠䟥ȴ猪䟥ȴʠ䟦ȴѠ䟦ȴ褐䟥ȴ怒䟥ȴ鸞䟥ȴ裂䟥ȴﵠ䟥ȴ裂䟥ȴ鸞䟥ȴ怒䟥ȴ褐䟥ȴѠ䟦ȴʠ䟦ȴ猪䟥ȴ﫠䟥ȴŠ䟦ȴ＠䟥ȴﮠ䟥ȴà䟦ȴ֠䟦ȴ8=쓹죈开老莡笁ȴ䄂莡笁ȴ䄂薡笁ȴ䄂赡笁ȴ䄂財笁ȴ䄂躡笁ȴ䄂翿僡ںȴ䄂蒡笁ȴ䄂翿凑ںȴ䄂SID\{54E211B6-3650-4F75-8334-FA359598E1C5}\InprocServer32쓎죹怇老魸㲹翿Ԡⅱȴℐ⛌ȴࠠ@W䎻ᚎ䑗ᚎA皼쓟죮愀老https://totalenvmt.sharepoint.com/sites/pmo/Shared Documents/02 Design/Projects/Contracts/0059_PoaRR/Design Fee 23/03 Yearly/T08/쐬젟戇老E&lt;resolutionId provider=&quot;None&quot;&gt;&lt;localId name=&quot;Author&quot;/&gt;&lt;/resolutionId&gt;쐽젌挀老턡笂ȴ䄂턡笂ȴ䄂쒡笂ȴ䄂욡笂ȴ䄂읡笂ȴ䄂졡笂ȴ䄂쪡笂ȴ䄂챡笂ȴ䄂鷱ںȴ䄂쐒젽擷老笂ȴ䄂翾笂ȴ䄂翾笂ȴ䄂笂ȴ䄂笂ȴ䄂視笂ȴ䄂笂ȴ䄂瑱笂ȴ䄂ﬡ笂ȴ䄂ﴡ笂ȴ䄂Ａ笂ȴ䄂ﰡ笂ȴ䄂笂ȴ䄂笂ȴ䄂笂ȴ䄂笂ȴ䄂쑣졒攀老ers쑰졃暎老ㅷࠟ힗鬒퉣攑ꘈ时뢹鋺쬃纡죡谍됾鄛ʾ师妟筱ﴑ샠迣흙加킡呋䣒䢖矯⧩쬆၃⾠ᘼⶎỾ㱕쏬ഘⶳꯄ獗匛﮺﨟貽凓⁑幇翯ꮘ䈗藊齜㜢䔴幃鸀茢톯쟦ᜓꓩ摩职꒶轿祝鞞⹩邳Ფ정쮬⥏竬嵜誟풸묌볐뗋ấ켈䇄ഃڽꃃ죴唷䉹ꬵ顁ﳯ㤓믃揯聼좜䙉歰芠㹐Ӑ쪶씥ׁ录糲圯꿑澕涬歹쑁조最老ڹȴ胈ڹȴ胈ڹȴ臚ᐑ৛ȴ耐⟱৚ȴ聀橁翾聀䜠夰ȴĀ翾䡀夰ȴĀ翾䢀夰ȴĀ翾䥠夰ȴĀ翾䥠夰ȴĀ翾눸膬ȴĀ﷠ㆰȴĀ翾ÀㆱȴĀ翾ÀㆱȴĀ翾쬐如ȴ䄂翿៫쑖졡栀老잧잖椀老잴잇樀老Author遰臠ȴā臠ȴlags翿ȁād㕿å㕿å&#10;臍ȴ笁ȴs翿鄑㕿å㕿å&#10;ime翿뷧揀Ǚ㕿å㕿å입잴欀老\REGISTRY\USER\S-1-5-21-2616738511-4190267537-3980908136-2754\Software\Microsoft\Office\16.0\Common\TargetedMessagingService잚장氀老핡笂ȴ䄂핡笂ȴ䄂笂ȴ䄂혡笂ȴ䄂笂ȴ䄂笂ȴ䄂햡笂ȴ䄂笂ȴ䄂홡笂ȴ䄂휡笂ȴ䄂넑ںȴ䄂녁ںȴ䄂笂ȴ䄂笂ȴ䄂5}\InprocServer32쟫쟚洀老笂ȴ䄂翾笂ȴ䄂翾﷡笂ȴ䄂翾說笂ȴ䄂翾ﭡ笂ȴ䄂翾︡笂ȴ䄂翾笂ȴ䄂翾｡笂ȴ䄂翾ﾡ笂ȴ䄂翾笂ȴ䄂翾쟸쟋渀老ɐ⛜ȴå龰㶆翿黠㶆翿ꀨ㶆翿齠㶆翿鼀㶆翿鼠㶆翿齀㶆翿ꃈ㶆翿꠰㶆翿黈㶆翿龈㶆翿쟉쟸漀老濸伂ȴ捈伂ȴ瘘伂ȴ皈伂ȴ筘伂ȴ橈伂ȴ罈伂ȴ踨伂ȴ羸伂ȴ靘伂ȴ쟞쟩瀀老윯윞焀老⤀穮ȴ⧠穮ȴlenvhttp://schemas.openxmlformats.org/package/2006/relationshipsoje륔㪚翿nt⤀穮ȴ&lt;00윀ⱜȴ윀ⱜȴ⧀穮ȴ03%20Yearly/으윏爀老IF('Design Fee'!JQ73&gt;0,2,&quot;-&quot;)l\Microsoft\Office\16.0\OfficeFileCache\0\0\A4HAAAANBSFNEMFCCDESFUEGDJBVG6BY\OHPHPCCAL27XK.T撯㲯K.T윍으猀老悀窅ȴ00zx'q'ă0ă0⬀穮ȴ읢윭琀老魸㲹翿චⅱȴℐ⛌ȴࠠ̀Wꗰᘿ똹ᙆA崯읳읂甀老牵潩ⴰ穮ȴⴰ穮ȴ捐妯ȴⵈ穮ȴⵈ穮ȴ顈⋡翿ƻ은읳瘀老IF('Design Fee'!KQ73&gt;0,2,&quot;-&quot;)䞞契ꃆ쁴鰋憈嬻׍䣦鬽㝺㵅왧뤙쟂䴣隧솒뭿랸鷏嘵祡꼪셷ᩍ픏䘩铓ﾧ潃㧓䌵앪娇竗族烣騗릙ꔘㅂ꒧⁥뿝튅ᙓὄ扄ê᳞ࢂ繇䏡抝䆓鳍犯ꠝ디㦝ꔴ錝䲱ﾜ䚡㸺僟䄲僡픐嬞칻䮩щ寺ǵꞕﮀ徒Ꙫވ㐴O.T응읠眀老꫏䥩ఁ䁚ྜྷⷾ髊農䱉붫릩䁕覀똦愩ꄱꁎ붘ᐬ଀ì⻀赀️쨭늚䦏ꭌꦽ޹嗞̀ͷ쀀쀮ྑⷾ髊農䱉붫릩䁕崃칵숀ȃᔀς뀀΢釀️쨭늚䦏ꭌꦽ޹嗞@ﱷࠀ⤫虼鷳뫋ﶽ돹抆᥉狇ᄐ.⭸䈩⎮␵⁚쀈踰롪ద摩஁紈抰偝͋ᐄ؀ࠀ℀븀嚆ࡧı숀߂က砀⽬慣捬桃楡⹮浸祬욦욑砀老IF('Design Fee'!KS73&gt;0,2,&quot;-&quot;)铠ᾱӦ넥뵕岧ḫ䊪归粈ᙁ齐⏢ꙭ籎寍ģ鸐Ӿ尮存칋蚅ḹ攋䢁嚝Შ꺶烥習៾鄤액䣪ɩ侖ꏋ㬃雷큍渴腾⩵⚂か栅贺ﾊ쳳즙챉⏀珗샶厯Ꮍꌷ낤덈솞䣠䴍渌෦憦싌褋ﲔ৛麉惊㤜뼁딌赝葫ꬃꨨ흲隁饝霿욷욆礀老魰ख़ȴå裰⣴翿裰⣴翿裰⣴翿裰⣴翿裰⣴翿裰⣴翿裰⣴翿裰⣴翿裰⣴翿裰⣴翿裰⣴翿裰⣴翿裰⣴翿裰⣴翿裰⣴翿裰⣴翿裰⣴翿裰⣴翿裰⣴翿裰⣴翿裰⣴翿裰⣴翿裰⣴翿裰⣴翿裰⣴翿裰⣴翿裰⣴翿裰⣴翿裰⣴翿裰⣴翿욄욷稀老욕욤笀老쒈訝Ẅ|嬈塭翷(ྠ웪웕簀老쒈訝Ẅ|嬈塭翷ྠ웻웊紀老椡笂ȴ䄂翾椡笂ȴ䄂翾採笂ȴ䄂翾梡笂ȴ䄂翾昡笂ȴ䄂翾泡笂ȴ䄂翾擡笂ȴ䄂翾桡笂ȴ䄂翾没笂ȴ䄂翾次笂ȴ䄂翾憡笂ȴ䄂翾棡笂ȴ䄂翾㮠笁ȴ䄂翾㮠笁ȴ䄂翾㵠笁ȴ䄂翾퓀⊟ȴĂ翾웈웻縀老쳡笂ȴ䄂쳡笂ȴ䄂췡笂ȴ䄂칡笂ȴ䄂캡笂ȴ䄂콡笂ȴ䄂킡笂ȴ䄂쇡笂ȴ䄂퉡笂ȴ䄂푡笂ȴ䄂ꛁںȴ䄂ꔑںȴ䄂笂ȴ䄂笂ȴ䄂웙웨翿老翐䟣ȴ翐䟣ȴ葐䟣ȴ磐䟣ȴ窐䟣ȴ縐䟣ȴ耐䟣ȴ蛐䟣ȴ舐䟣ȴ蘐䟣ȴ碐䟣ȴ籐䟣ȴ罐䟣ȴ艐䟣ȴ結䟣ȴ聐䟣ȴ竐䟣ȴ蠐䟣ȴ繐䟣ȴ礐䟣ȴ糐䟣ȴ肐䟣ȴ芐䟣ȴ綐䟣ȴ胐䟣ȴĂ翾퀐苣ȴ䄂翾ퟰ苣ȴ䄂翾튰苣ȴ䄂翿옮옙耀老IF(_{r0}&gt;0,2,&quot;-&quot;)\-#,##0.0_ ;_ * &quot;-&quot;??_ ;_ @_ @_ 옿옎脇送!vinod.soudi@total-environment.com㈀㈶1옌옿舀老IF('Design Fee'!KY73&gt;0,2,&quot;-&quot;)_ * &quot;-&quot;??_ ;_ @_  옝올茇老IF(_{r6}&gt;0,2,&quot;-&quot;)#,##0_ ;_ * &quot;-&quot;??_ ;_ @_ 　〮왲왝萀老IF(_{r5}&gt;0,2,&quot;-&quot;)* \-#,##0.000_ ;_ * &quot;-&quot;??_ ;_ @_ 왃왲蔇老IF(_{r14}&gt;0,2,&quot;-&quot;),##0\);_(* &quot;-&quot;??_);_(@_)왐왣蘀老IF(_{r19}&gt;0,2,&quot;-&quot;)\(#,##0.00\);_(* &quot;-&quot;??_);_(@_)騤칋Ოୁ椗ⴥ᰺鈨㦨茎삒泝Ѯ㴠㓱㉎뺢돟ꜫꇿ␶솜괁됢跧鱒⵳返훎࿦뗆Ữꋥ郁ଐₓ㕆혻扔㰡覩ۀ蘖붚鎬线헰讖毪釶楧盗㻱琼嶻ᖘቱ䤖薒᝹ཷ亮涾횿빯＀Ͽ송얐蟷老COUNT(_{r0})(* \(#,##0\);_(* &quot;-&quot;??_);_(@_)砀散l솶얁蠀老IF(_{r22}&gt;0,2,&quot;-&quot;)\-#,##0.00_ ;_ * &quot;-&quot;??_ ;_ @_ @_ 솇얶褣老IF(_{r23}&gt;0,2,&quot;-&quot;)汆条s?솔얧言老È翾Ѐȵ.$翿$$$㾀㾀⣿∛޲Ԁ莄徠傱ȴ㏠傱ȴ㫠傱ȴ㌀傱ȴ因傱ȴ쇥엔謀老IF(_{r7}&gt;0,2,&quot;-&quot;)\-#,##0.0_ ;_ * &quot;-&quot;??_ ;_ @_ 쇺업谀老IF('Design Fee'!CE51&gt;0,2,&quot;-&quot;)쇋엺贀老뤀苟ȴᅼ翾/ٞہ/0륰苟ȴ퀰৚ȴٞہnt륰苟ȴ吀苤ȴ棁ıå왐翾䜰穮ȴ哐苤ȴ쇘엫踀老IF(_{r2}&gt;0,2,&quot;-&quot;)* \-#,##0.000_ ;_ * &quot;-&quot;??_ ;_ @_ kage/2006/relationships륔㪚翿䟐穮ȴ&lt;ᕠ聽ȴᕠ聽ȴ䢐穮ȴ섩씘輀老IF(_{r15}&gt;0,2,&quot;-&quot;),##0_ ;_ * &quot;-&quot;??_ ;_ @_ ꅋ섾씉退老IF(_{r20}&gt;0,2,&quot;-&quot;)섏씾鄀老IF(_{r12}&gt;0,2,&quot;-&quot;),##0\);_(* &quot;-&quot;??_);_(@_)㌀㄰䨭湡서씯鈀老IF(_{r21}&gt;0,2,&quot;-&quot;)\-#,##0.00_ ;_ * &quot;-&quot;??_ ;_ @_ 셭앜錀老IF(_{r24}&gt;0,2,&quot;-&quot;)\-#,##0.00_ ;_ * &quot;-&quot;??_ ;_ @_ @_ 셂앍鐀老IF('Design Fee'!CC51&gt;0,2,&quot;-&quot;)栀牡灥楯瑮挮浯셓앢销老Ꞑ⊓ȴ쪨翾睠翾盘翾翾⩰⊳ȴ厸翾쌀僔ȴ睰翾翾禀翾鸰翾秈翾엀苣ȴ稀翾址翾箰翾쬰苣ȴ緐翾翾䒰翾翾愸翾⊙ȴ赸翾ﴠ⊙ȴ翾翾翾鮰翾삠쒓阀老IF('Design Fee'!KW73&gt;0,2,&quot;-&quot;) ;_ * &quot;-&quot;??_ ;_ @_  삱쒀需老IF(_{r0}&gt;0,2,&quot;-&quot;)#,##0_ ;_ * &quot;-&quot;??_ ;_ @_ _(@_)ꢀꌹﳞࣙ삆쒱頀老È翾Ѐȑ.D&amp;DD㾀㾀⣿∛䆱ᖘ茄,輐翾삗쒦餀老COUNT(_{r0}) * \-#,##0_ ;_ * &quot;-&quot;??_ ;_ @_ @_  @_ 샤쓗騀老쒈訝Ẅ 299==AAEEGG &#10;&#10;&#10;Q&#10;&#10;299==AAEEGG샵쓄鬀老IF('Design Fee'!CD51&gt;0,2,&quot;-&quot;)0_ ;_ * &quot;-&quot;??_ ;_ @_  샊쓵鰀老COUNT(_{r0}) ;_ * \-#,##0.00_ ;_ * &quot;-&quot;??_ ;_ @_ 샛쓪鴀老COUNT(_{r0}) ;_ * \-#,##0.00_ ;_ * &quot;-&quot;??_ ;_ @_ 쀨쐛鸀老띠翾쁀翾❠Ċ鏠ĀǴ렀翾茈奨ȴ茈奨ȴЄB쀹쐈鼀老IF(_{r3}&gt;0,2,&quot;-&quot;)#,##0\);_(* &quot;-&quot;??_);_(@_)_ @_  쀎쐹ꀀ老IF(_{r9}&gt;0,2,&quot;-&quot;) \(#,##0.00\);_(* &quot;-&quot;??_);_(@_)쀟쐮ꄀ老IF('Design Fee'!KX73&gt;0,2,&quot;-&quot;)&quot;-&quot;??_ ;_ @_ _ @_ 쁬쑟ꋿ老IF('Design Fee'!CB51&gt;0,2,&quot;-&quot;)&quot;-&quot;??_);_(@_)쁽쑌ꌀ老COUNT(_{r0});_ * \-#,##0.0_ ;_ * &quot;-&quot;??_ ;_ @_ ㈶1쁒쑽ꐇ老_{r0}##0_);_(* \(#,##0\);_(* &quot;-&quot;??_);_(@_)愓폃攫㽩쎣쎒ꔀ老IF(_{r10}&gt;0,2,&quot;-&quot;)-#,##0.0_ ;_ * &quot;-&quot;??_ ;_ @_  ackage/2006/relationships륔㪚翿恀穮ȴ&lt;彐聽ȴ彐聽ȴ愀穮ȴ쎰쎃ꘇ老瓠翾愰穮ȴЀ吮湥 㟀穮ȴ䄸翾䃈翾䄀翾㨰翾)&#10;쎁쎰꜀老IF(_{r13}&gt;0,2,&quot;-&quot;),##0_ ;_ * &quot;-&quot;??_ ;_ @_ 椀㍮2쎖쎡ꠇ老COUNT(_{r0});_ * \-#,##0.0_ ;_ * &quot;-&quot;??_ ;_ @_ 苤ȴ쏧쏖꤀老쏴쏇꫷老촀苟ȴᅼ翾鞘翾ٞڳ/0춰苟ȴ컰৚ȴٞڳnt춰苟ȴ넀䟣ȴ왐翾昀穮ȴ뇐䟣ȴ쏅쏴꬀老IF(_{r0}&gt;0,2,&quot;-&quot;) \(#,##0.00\);_(* &quot;-&quot;??_);_(@_)쏚쏥갠老È翾Ѐ#簮Π⊥ȴ㾀㾀⣿ယ঱茄翾缀⊥ȴ輐翾ȴ翾쌫쌚관老IF(_{r11}&gt;0,2,&quot;-&quot;),##0\);_(* &quot;-&quot;??_);_(@_)_ @_ 쌸쌋글老癸翾쪨翾盈翾쪨翾ꑠ翾纈翾䖈翾⊤ȴ俈翾翾㏨翾圐⊳ȴ䊈翾⛀貢ȴ䋀翾鷠翾䎈翾ڹȴ䏀翾쪨翾䏸翾쪨翾ະ翾쪨翾䣠翾꿰⊳ȴ㏈翾⊙ȴ㐀翾쪨翾㐀翾쪨翾쌉쌸꼀老ꗑ如ȴ䄂翾ꗑ如ȴ䄂翾ꁑ如ȴ䄂翾ꬑ如ȴ䄂翾ꢑ如ȴ䄂翾ꓑ如ȴ䄂翾깑如ȴ䄂翾꼑如ȴ䄂翾Ā翾金䟣ȴ䄂褑䟣ȴ䄂鎑䟣ȴ䄂阑䟣ȴ䄂∀⊠ȴĀ翾쌞쌩뀀老COUNT(_{r0});_ * \-#,##0.0_ ;_ * &quot;-&quot;??_ ;_ @_    썯썞넀老苟ȴᅼ翾빠䏊翿ٞڳ苟ȴ톐৚ȴٞڳ苟ȴ开絴ȴp왐翾浰穮ȴ忀絴ȴ썼썏눀老볐如ȴ볐如ȴ땐如ȴ닐如ȴ밐如ȴ랐如ȴ뗐如ȴ묐如ȴ뢐如ȴ댐如ȴ느如ȴ紐䟣ȴ腐䟣ȴ菐䟣ȴ脐䟣ȴ菐䟣ȴ腐䟣ȴ紐䟣ȴ썍썼대老IF(_{r0}&gt;0,2,&quot;-&quot;)耀==AAEEGG &#10;&#10;&#10;Q&#10;&#10;299==AAEEGG슢썭됀老COUNT(_{r0});_ * \-#,##0.0_ ;_ * &quot;-&quot;??_ ;_ @_   &#10;슳슂딀老IF(_{r16}&gt;0,2,&quot;-&quot;)준翾슀슳똀老IF(_{r1}&gt;0,2,&quot;-&quot;)d翾슑슠뜀老IF(_{r17}&gt;0,2,&quot;-&quot;)䌮畯瑮싦싑렀老싷싆뤀老IF(_{r8}&gt;0,2,&quot;-&quot;)#,##0\);_(* &quot;-&quot;??_);_(@_)_ @_ 싄싷먀老IF(_{r18}&gt;0,2,&quot;-&quot;)档缀싕실묀送$suchita.sharma@total-environment.com숪숕밀老竨苟ȴ묠笂ȴ뜠笂ȴ놠笂ȴ顀絵ȴ멠笂ȴ룠笂ȴ률笂ȴ릠笂ȴ몠笂ȴ髀絵ȴ뭠笂ȴ銠絵ȴ둠笂ȴ蹀絵ȴ눠笂ȴ뮠笂ȴ뉠笂ȴ钀絵ȴ뙠笂ȴ앀僌ȴ쓰僌ȴ퓠僌ȴ쥐僌ȴ쒠僌ȴ찠僌ȴ挐僠ȴ提僠ȴ搐僠ȴ꼰備ȴ栐僠ȴ桐僠ȴ숻숊봀老꒑如ȴ䄂翾꒑如ȴ䄂翾ꖑ如ȴ䄂翾광如ȴ䄂翾Ā翾跑䟣ȴ䄂翾闑䟣ȴ䄂翾躑䟣ȴ䄂翾軑䟣ȴ䄂ڠ⊠ȴĀ翾숈숻븀老_{r0}##0_);_(* \(#,##0\);_(* &quot;-&quot;??_);_(@_)숙숨뼀老IF(_{r4}&gt;0,2,&quot;-&quot;) \-#,##0.00_ ;_ * &quot;-&quot;??_ ;_ @_ 쉮쉙쀀老IF('Design Fee'!FT63&gt;0,2,&quot;-&quot;)最苣ȴ쉿쉎섀老COUNT(_{r2})nv怀苤ȴ䕳癮缀䰀䉏䱁쉌쉿숀老IF(_{r22}&gt;0,2,&quot;-&quot;)瑮慲瑣欀苤ȴ쉝쉬쌀老IF('Design Fee'!FU63&gt;0,2,&quot;-&quot;)&quot;-&quot;??_);_(@_)퐀䟣ȴ춲솝쐀老IF('Design Fee'!FV63&gt;0,2,&quot;-&quot;)猀牥扏敪瑣摉춃솲엿老IF('Design Fee'!FR63&gt;0,2,&quot;-&quot;)猀牥扏敪瑣摉춐솣였老IF(_{r17}&gt;0,2,&quot;-&quot;)敒潣摲s췡쇐윇老IF('Design Fee'!FW63&gt;0,2,&quot;-&quot;)唀䥐췶쇁저老IF(_{r14}&gt;0,2,&quot;-&quot;)㏏å一倱偅う〰㄰い2췇쇶줇老IF('Design Fee'!EK63&gt;0,2,&quot;-&quot;)췔쇧쨀老IF('Design Fee'!CE63&gt;0,2,&quot;-&quot;)쨀䟣ȴ촥섔쬇老IF(_{r1}&gt;0,2,&quot;-&quot;)湡䥴d䰀䉏䱁촺섅찀老IF(_{r2}&gt;0,2,&quot;-&quot;)敓畱湥散敱촋섺췷老IF('Design Fee'!CB63&gt;0,2,&quot;-&quot;)猀o촘섫츀老IF('Design Fee'!DK63&gt;0,2,&quot;-&quot;)준䟣ȴ쵩션켠老IF(_{r10}&gt;0,2,&quot;-&quot;)䘮摱n䰀䉏䱁쵾셉퀀老IF(_{r6}&gt;0,2,&quot;-&quot;)䌮畯瑮攀苤ȴ쵏셾턀老COUNT(_{r0})ȴ栀苤ȴ齠㶆翿최셯툀老IF(_{r15}&gt;0,2,&quot;-&quot;)ƈ笣ȴȕ청삜팀老IF(_{r0}&gt;0,2,&quot;-&quot;)hare봀䟣ȴ첂삍퐀老IF(_{r8}&gt;0,2,&quot;-&quot;)#,##0_ ;_ * &quot;-&quot;??_ ;_ @_ 䰀䉏䱁첓삢픀老IF('Design Fee'!CD63&gt;0,2,&quot;-&quot;)漀浭牥楣污쳠샓혀老IF(_{r16}&gt;0,2,&quot;-&quot;)污呬灹e쳱샀휀老IF('Design Fee'!DJ63&gt;0,2,&quot;-&quot;)氀硳쳆샱老IF(_{r18}&gt;0,2,&quot;-&quot;)ƈ笣ȴ伀䥐쳗샦老IF('Design Fee'!DD63&gt;0,2,&quot;-&quot;)찤쀗老COUNT(_{r4})翿瘀湥⹴摉攀翾촀䟣ȴ찵쀄老IF(_{r7}&gt;0,2,&quot;-&quot;)普⹯敌敶l찊쀵老IF(_{r13}&gt;0,2,&quot;-&quot;)⹯敌敶l찛쀪老IF('Design Fee'!EJ63&gt;0,2,&quot;-&quot;)챨쁛老IF('Design Fee'!DH63&gt;0,2,&quot;-&quot;)最絴ȴ챹쁈老IF('Design Fee'!DN63&gt;0,2,&quot;-&quot;)챎쁹老IF('Design Fee'!EM63&gt;0,2,&quot;-&quot;)敭챟쁮老COUNT(_{r0})最苤ȴ湡䥴d툀䟣ȴ쾬ﾟ老IF(_{r3}&gt;0,2,&quot;-&quot;)摉攀翾팀䟣ȴ쾽ﾌ老IF('Design Fee'!EQ63&gt;0,2,&quot;-&quot;) ;_ * &quot;-&quot;??_ ;_ @_ 뼁ān쾒ﾽ老IF(_{r21}&gt;0,2,&quot;-&quot;)\-#,##0.00_ ;_ * &quot;-&quot;??_ ;_ @_ 쿣ￒ老COUNT(_{r3})翿挀苤ȴ湡䥴d쿰ￃ老IF(_{r11}&gt;0,2,&quot;-&quot;)atch쿁￰老IF('Design Fee'!ER63&gt;0,2,&quot;-&quot;)欀苤ȴ쿖￡老IF('Design Fee'!EI63&gt;0,2,&quot;-&quot;)켧６老COUNT(_{r1})nv渀苤ȴ条sȴ樀苤ȴ켴＇老IF('Design Fee'!CC63&gt;0,2,&quot;-&quot;)켅Ｔ老IF(_{r23}&gt;0,2,&quot;-&quot;)湡䥴d켚Ｅ老IF('Design Fee'!DG63&gt;0,2,&quot;-&quot;)敲콫ｚ老IF('Design Fee'!EL63&gt;0,2,&quot;-&quot;)苟ȴ콸ｋ老IF(_{r24}&gt;0,2,&quot;-&quot;),##0_ ;_ * &quot;-&quot;??_ ;_ @_ ㌀㈰ち浹は㍢㌰콉ｸ老IF('Design Fee'!DF63&gt;0,2,&quot;-&quot;)콞ｩ老IF('Design Fee'!ES63&gt;0,2,&quot;-&quot;)㿰캯ﺞ老IF('Design Fee'!FN63&gt;0,2,&quot;-&quot;)ໄ㇘ࣛ캼ﺏ老IF('Design Fee'!DM63&gt;0,2,&quot;-&quot;)준䟣ȴ캍ﺼ老IF(_{r5}&gt;0,2,&quot;-&quot;)敳呲灹e컢ﺭ老IF(_{r9}&gt;0,2,&quot;-&quot;)⹯敌敶l漀浭牥楣污컳ﻂ老IF(_{r12}&gt;0,2,&quot;-&quot;)hare컀ﻳ老IF(_{r19}&gt;0,2,&quot;-&quot;)湡䥴d컑ﻠ老IF(_{r20}&gt;0,2,&quot;-&quot;)\-#,##0.00_ ;_ * &quot;-&quot;??_ ;_ @_ -츦︑老IF('Design Fee'!DL63&gt;0,2,&quot;-&quot;)&quot;-&quot;??_);_(@_)츷︆豈老IF('Design Fee'!FO63&gt;0,2,&quot;-&quot;)준䟣ȴ츄︷切老IF('Design Fee'!FP63&gt;0,2,&quot;-&quot;)츕︤ﬀ老IF('Design Fee'!FQ63&gt;0,2,&quot;-&quot;)&quot;-&quot;??_);_(@_)_ @_ 칪﹕ﰀ老IF('Design Fee'!EO63&gt;0,2,&quot;-&quot;)칻﹊ﴀ老IF(_{r4}&gt;0,2,&quot;-&quot;)殗춯랁칈ﹻ︀老IF('Design Fee'!EP63&gt;0,2,&quot;-&quot;)칙﹨＀老IF('Design Fee'!DE63&gt;0,2,&quot;-&quot;)즮ﶙ耂IF('Design Fee'!ND63&gt;0,2,&quot;-&quot;)즿ﶎĀ耂IF('Design Fee'!NH63&gt;0,2,&quot;-&quot;)ᑻ䞮竡㾔즌ﶿȀ耂IF('Design Fee'!GY63&gt;0,2,&quot;-&quot;)증ﶬ̀耂IF('Design Fee'!NG63&gt;0,2,&quot;-&quot;)猀o짲﷝Ѐ耂IF('Design Fee'!JK63&gt;0,2,&quot;-&quot;)뤀䟣ȴ짃ﷲԀ耂IF('Design Fee'!NJ63&gt;0,2,&quot;-&quot;)弮෰㇘ࣛ짐﷣؀耂IF('Design Fee'!JQ63&gt;0,2,&quot;-&quot;)븀䟣ȴ줡ﴐ܀耂COUNT(_{r0}) ;_ * \-#,##0.00_ ;_ * &quot;-&quot;??_ ;_ @_ 8줶ﴁࠀ耂IF('Design Fee'!GZ63&gt;0,2,&quot;-&quot;)줇ﴶऀ耂IF('Design Fee'!NC63&gt;0,2,&quot;-&quot;)搀苣ȴ줔ﴧ਀耂COUNT(_{r2}) ;_ * \-#,##0.00_ ;_ * &quot;-&quot;??_ ;_ @_ ǽ쥥ﵔ௿耂IF('Design Fee'!ID63&gt;0,2,&quot;-&quot;)뼁ān쥺﵅ఀ耂IF('Design Fee'!HG63&gt;0,2,&quot;-&quot;)쥋ﵺഇ耂IF('Design Fee'!MA63&gt;0,2,&quot;-&quot;)뎀揀Ǚ쥘ﵫ฀耂IF('Design Fee'!HC63&gt;0,2,&quot;-&quot;)Ĭ좩ﲘ༇耂IF('Design Fee'!JG63&gt;0,2,&quot;-&quot;)섀䟣ȴ좾ﲉက耂IF('Design Fee'!ME63&gt;0,2,&quot;-&quot;)좏ﲾᄇ耂IF('Design Fee'!FX63&gt;0,2,&quot;-&quot;)묀䟣ȴ좜ﲯሀ耂COUNT(_{r1})(* \(#,##0\);_(* &quot;-&quot;??_);_(@_)ꅶ죭ﳜ᏷耂IF('Design Fee'!MD63&gt;0,2,&quot;-&quot;)宐揀Ǚ죂ﳍ᐀耂IF('Design Fee'!JH63&gt;0,2,&quot;-&quot;)j죓ﳢᔠ耂IF('Design Fee'!JN63&gt;0,2,&quot;-&quot;)뎀揀Ǚ젠ﰓᘀ耂IF('Design Fee'!LW63&gt;0,2,&quot;-&quot;)樀苣ȴ젱ﰀᜀ耂IF('Design Fee'!MZ63&gt;0,2,&quot;-&quot;)쐀䟣ȴ젆ﰱ᠀耂IF('Design Fee'!KS63&gt;0,2,&quot;-&quot;)젗ﰦᤀ耂IF('Design Fee'!KV63&gt;0,2,&quot;-&quot;)敥졤ﱗᨀ耂IF('Design Fee'!KR63&gt;0,2,&quot;-&quot;)졵ﱄᬀ耂IF('Design Fee'!IB63&gt;0,2,&quot;-&quot;)唀䥐졊ﱵᰀ耂IF('Design Fee'!NF63&gt;0,2,&quot;-&quot;)䤀I졛ﱪᴀ耂IF('Design Fee'!KZ63&gt;0,2,&quot;-&quot;)摭쮨ﮛḀ耂IF('Design Fee'!NI63&gt;0,2,&quot;-&quot;)쮹ﮈἀ耂IF('Design Fee'!IC63&gt;0,2,&quot;-&quot;)⩨쮎﮹ 耂IF('Design Fee'!LV63&gt;0,2,&quot;-&quot;)쮟ﮮ℀耂IF('Design Fee'!LY63&gt;0,2,&quot;-&quot;)쯬ﯟ∀耂IF('Design Fee'!IE63&gt;0,2,&quot;-&quot;)쯽﯌⌀耂IF('Design Fee'!JJ63&gt;0,2,&quot;-&quot;)쯒ﯽ␀耂IF('Design Fee'!GX63&gt;0,2,&quot;-&quot;)退䟬ȴ쬣﬒─耂IF('Design Fee'!GW63&gt;0,2,&quot;-&quot;)ᴀ䟮ȴ쬰ﬃ☀耂IF('Design Fee'!IF63&gt;0,2,&quot;-&quot;)禝쬁אּ✀耂IF('Design Fee'!JM63&gt;0,2,&quot;-&quot;)문쬖ﬡ⠀耂IF('Design Fee'!IK63&gt;0,2,&quot;-&quot;)䐀僜ȴ쭧ﭖ⤀耂IF('Design Fee'!JO63&gt;0,2,&quot;-&quot;)쭴קּ⨀耂IF('Design Fee'!JI63&gt;0,2,&quot;-&quot;)쭅ﭴ⬀耂IF('Design Fee'!JP63&gt;0,2,&quot;-&quot;)坸쭚ﭥⰀ耂IF('Design Fee'!KX63&gt;0,2,&quot;-&quot;)樀苤ȴ쪫漢ⴀ耂IF('Design Fee'!LX63&gt;0,2,&quot;-&quot;)쪸懲⻿耂IF('Design Fee'!LU63&gt;0,2,&quot;-&quot;)禝쪉視⼀耂IF('Design Fee'!KT63&gt;0,2,&quot;-&quot;)쪞睊〇耂IF('Design Fee'!IJ63&gt;0,2,&quot;-&quot;)문쫯﫞㄀耂IF('Design Fee'!II63&gt;0,2,&quot;-&quot;)쫼𢡊㈇耂IF('Design Fee'!HE63&gt;0,2,&quot;-&quot;)㿰쫍﫼㌀耂IF('Design Fee'!HF63&gt;0,2,&quot;-&quot;)뎀揀Ǚ쨢﫭㐇耂IF('Design Fee'!IH63&gt;0,2,&quot;-&quot;)쨳拓㔀耂IF('Design Fee'!KP63&gt;0,2,&quot;-&quot;)猀牥扏敪瑣摉쨀勉㛷耂IF('Design Fee'!KW63&gt;0,2,&quot;-&quot;)쨑蘒㜀耂IF('Design Fee'!HA63&gt;0,2,&quot;-&quot;)먀䟣ȴ쩦祝㠽耂IF('Design Fee'!IL63&gt;0,2,&quot;-&quot;)䰀䉏䱁쩷渚㤀耂IF('Design Fee'!KY63&gt;0,2,&quot;-&quot;)뎀揀Ǚ쩄勺㨀耂IF('Design Fee'!KQ63&gt;0,2,&quot;-&quot;)쩕賓㬀耂IF('Design Fee'!MB63&gt;0,2,&quot;-&quot;)ǽ햪秊㰀耂IF('Design Fee'!HD63&gt;0,2,&quot;-&quot;)漀浭牥楣污햻力㴀耂IF('Design Fee'!MC63&gt;0,2,&quot;-&quot;)했僚㸀耂IF('Design Fee'!NA63&gt;0,2,&quot;-&quot;)䜀䠽ȴ햙令㼀耂IF('Design Fee'!NB63&gt;0,2,&quot;-&quot;)猀o헮慄䀀耂IF('Design Fee'!GX63&gt;0,2,&quot;-&quot;)齀㶆翿ꃈ㶆翿꠰㶆翿黈㶆翿龈㶆翿헿硫䄀耂IF(_{r10}&gt;0,2,&quot;-&quot;)齠㶆翿鼀㶆翿鼠㶆翿齀㶆翿ꃈ㶆翿꠰㶆翿黈㶆翿龈㶆翿헌刺䈀耂IF('Design Fee'!EJ63&gt;0,2,&quot;-&quot;)齀㶆翿ꃈ㶆翿꠰㶆翿黈㶆翿龈㶆翿헝溺䌀耂IF('Design Fee'!GZ63&gt;0,2,&quot;-&quot;)齀㶆翿ꃈ㶆翿꠰㶆翿黈㶆翿龈㶆翿픲欄䐀耂IF('Design Fee'!HA63&gt;0,2,&quot;-&quot;)齀㶆翿ꃈ㶆翿꠰㶆翿黈㶆翿龈㶆翿픃爐䔀耂IF('Design Fee'!HC63&gt;0,2,&quot;-&quot;)齀㶆翿ꃈ㶆翿꠰㶆翿黈㶆翿龈㶆翿픐藍䘀耂IF(_{r7}&gt;0,2,&quot;-&quot;)齠㶆翿鼀㶆翿鼠㶆翿齀㶆翿ꃈ㶆翿꠰㶆翿黈㶆翿龈㶆翿핡縷䜀耂IF('Design Fee'!DG63&gt;0,2,&quot;-&quot;)齀㶆翿ꃈ㶆翿꠰㶆翿黈㶆翿龈㶆翿핶論䠀耂IF('Design Fee'!FQ63&gt;0,2,&quot;-&quot;)齀㶆翿ꃈ㶆翿꠰㶆翿黈㶆翿龈㶆翿핇略䤀耂IF('Design Fee'!FU63&gt;0,2,&quot;-&quot;)齀㶆翿ꃈ㶆翿꠰㶆翿黈㶆翿龈㶆翿핔不䨀耂IF('Design Fee'!GY63&gt;0,2,&quot;-&quot;)齀㶆翿ꃈ㶆翿꠰㶆翿黈㶆翿龈㶆翿풥䬀耂IF('Design Fee'!HD63&gt;0,2,&quot;-&quot;)齀㶆翿ꃈ㶆翿꠰㶆翿黈㶆翿龈㶆翿풺䰀耂IF('Design Fee'!HE63&gt;0,2,&quot;-&quot;)齀㶆翿ꃈ㶆翿꠰㶆翿黈㶆翿龈㶆翿풋䴀耂IF(_{r22}&gt;0,2,&quot;-&quot;)齠㶆翿鼀㶆翿鼠㶆翿齀㶆翿ꃈ㶆翿꠰㶆翿黈㶆翿龈㶆翿풘一耂IF(_{r9}&gt;0,2,&quot;-&quot;)齠㶆翿鼀㶆翿鼠㶆翿齀㶆翿ꃈ㶆翿꠰㶆翿黈㶆翿龈㶆翿퓩伀耂IF('Design Fee'!ES63&gt;0,2,&quot;-&quot;)齀㶆翿ꃈ㶆翿꠰㶆翿黈㶆翿龈㶆翿퓾倀耂IF(_{r20}&gt;0,2,&quot;-&quot;)齠㶆翿鼀㶆翿鼠㶆翿齀㶆翿ꃈ㶆翿꠰㶆翿黈㶆翿龈㶆翿퓏凿耂IF('Design Fee'!EO63&gt;0,2,&quot;-&quot;)齀㶆翿ꃈ㶆翿꠰㶆翿黈㶆翿龈㶆翿퓜刀耂COUNT(_{r4})翿ꀨ㶆翿齠㶆翿鼀㶆翿鼠㶆翿齀㶆翿ꃈ㶆翿꠰㶆翿黈㶆翿龈㶆翿퐭匇耂IF('Design Fee'!FR63&gt;0,2,&quot;-&quot;)齀㶆翿ꃈ㶆翿꠰㶆翿黈㶆翿龈㶆翿퐂吀耂IF('Design Fee'!CB63&gt;0,2,&quot;-&quot;)齀㶆翿ꃈ㶆翿꠰㶆翿黈㶆翿龈㶆翿퐓唇耂IF(_{r6}&gt;0,2,&quot;-&quot;)齠㶆翿鼀㶆翿鼠㶆翿齀㶆翿ꃈ㶆翿꠰㶆翿黈㶆翿龈㶆翿푠嘀耂IF(_{r24}&gt;0,2,&quot;-&quot;)齠㶆翿鼀㶆翿鼠㶆翿齀㶆翿ꃈ㶆翿꠰㶆翿黈㶆翿龈㶆翿푱圇耂IF('Design Fee'!EQ63&gt;0,2,&quot;-&quot;)齀㶆翿ꃈ㶆翿꠰㶆翿黈㶆翿龈㶆翿푆堀耂COUNT(_{r3})翿ꀨ㶆翿齠㶆翿鼀㶆翿鼠㶆翿齀㶆翿ꃈ㶆翿꠰㶆翿黈㶆翿龈㶆翿푗姷耂IF('Design Fee'!DL63&gt;0,2,&quot;-&quot;)齀㶆翿ꃈ㶆翿꠰㶆翿黈㶆翿龈㶆翿힤娀耂IF('Design Fee'!DK63&gt;0,2,&quot;-&quot;)齀㶆翿ꃈ㶆翿꠰㶆翿黈㶆翿龈㶆翿ힵ實耂IF('Design Fee'!DN63&gt;0,2,&quot;-&quot;)齀㶆翿ꃈ㶆翿꠰㶆翿黈㶆翿龈㶆翿힊尀耂IF('Design Fee'!EL63&gt;0,2,&quot;-&quot;)齀㶆翿ꃈ㶆翿꠰㶆翿黈㶆翿龈㶆翿힛崀耂IF(_{r14}&gt;0,2,&quot;-&quot;)齠㶆翿鼀㶆翿鼠㶆翿齀㶆翿ꃈ㶆翿꠰㶆翿黈㶆翿龈㶆翿ퟨ帀耂IF(_{r23}&gt;0,2,&quot;-&quot;)齠㶆翿鼀㶆翿鼠㶆翿齀㶆翿ꃈ㶆翿꠰㶆翿黈㶆翿龈㶆翿ퟹ开耂IF('Design Fee'!CE63&gt;0,2,&quot;-&quot;)齀㶆翿ꃈ㶆翿꠰㶆翿黈㶆翿龈㶆翿"/>
        <Anchor>
          <Comment id="{5776E866-BA41-44B4-876F-8CB4620EB153}"/>
        </Anchor>
        <SetTitle title="@Vinod Soudi This has been issued, Check and confirm"/>
      </Event>
      <Event time="2023-03-13T04:29:08.85" id="{460D922F-AB8B-4881-8381-276A9BAF986C}">
        <Attribution userId="COUNT(_{r0})" userName="IF(_{r11}&gt;0,2,&quot;-&quot;)" userProvider="IF(_{r17}&gt;0,2,&quot;-&quot;)"/>
        <Progress percentComplete="100"/>
      </Event>
    </History>
  </Task>
</Tasks>
</file>

<file path=xl/documenttasks/documenttask2.xml><?xml version="1.0" encoding="utf-8"?>
<Tasks xmlns="http://schemas.microsoft.com/office/tasks/2019/documenttasks">
  <Task id="{7A26CA42-EC3C-4D30-B140-FE6E3EC4E6DF}">
    <Anchor>
      <Comment id="{E0DCE2BB-9DC4-46BD-B3BA-FC65E9F4BD49}"/>
    </Anchor>
    <History>
      <Event time="2023-03-12T10:41:50.07" id="{10DA624B-3B2F-4140-8C96-618EDF063C5B}">
        <Attribution userId="S::suchita.sharma@total-environment.com::22e1a589-456e-45f3-adac-be6829c80874" userName="Suchita Sharma" userProvider="AD"/>
        <Anchor>
          <Comment id="{E0DCE2BB-9DC4-46BD-B3BA-FC65E9F4BD49}"/>
        </Anchor>
        <Create/>
      </Event>
      <Event time="2023-03-12T10:41:50.07" id="{E16F8B44-4089-435A-B936-EFF4291ABB47}">
        <Attribution userId="S::suchita.sharma@total-environment.com::22e1a589-456e-45f3-adac-be6829c80874" userName="Suchita Sharma" userProvider="AD"/>
        <Anchor>
          <Comment id="{E0DCE2BB-9DC4-46BD-B3BA-FC65E9F4BD49}"/>
        </Anchor>
        <Assign userId="S::vinod.soudi@total-environment.com::3569dcb6-9f9e-4c42-a951-14bb20890f34" userName="Vinod Appanna Soudi" userProvider="AD"/>
      </Event>
      <Event time="2023-03-12T10:41:50.07" id="{92DF80E2-72B4-40E3-B8AC-C078D584385C}">
        <Attribution userId="S::suchita.sharma@total-environment.com::22e1a589-456e-45f3-adac-be6829c80874" userName="Suchita Sharma" userProvider="AD"/>
        <Anchor>
          <Comment id="{E0DCE2BB-9DC4-46BD-B3BA-FC65E9F4BD49}"/>
        </Anchor>
        <SetTitle title="@Vinod Soudi Please check why this is not loaded ???"/>
      </Event>
      <Event time="2023-03-13T04:04:35.36" id="{6C478326-E222-4C77-8D9B-857D1520913B}">
        <Attribution userId="S::vinod.soudi@total-environment.com::3569dcb6-9f9e-4c42-a951-14bb20890f34" userName="Vinod Appanna Soudi" userProvider="AD"/>
        <Progress percentComplete="100"/>
      </Event>
    </History>
  </Task>
</Tasks>
</file>

<file path=xl/externalLinks/_rels/externalLink1.xml.rels><?xml version="1.0" encoding="UTF-8" standalone="yes"?>
<Relationships xmlns="http://schemas.openxmlformats.org/package/2006/relationships"><Relationship Id="rId1" Type="http://schemas.openxmlformats.org/officeDocument/2006/relationships/externalLinkPath" Target="https://totalenvmt-my.sharepoint.com/Users/nithish.bhat/Library/Application%20Support/Microsoft/Office/Office%202011%20AutoRecovery/Rate%20Analysi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otalenvmt-my.sharepoint.com/Applications/Microsoft%20Office%202011/Microsoft%20Excel.app/Contents/MacOS/SINGHVI_DEV_UNNI/VOL4/STAT/SCARAB/1998-99/SCB9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otalenvmt-my.sharepoint.com/C/Users/nithish.bhat/Dropbox/Sharing%20with%20Nithish/Goal%20Setting%20FY%2015-16/srb_b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totalenvmt-my.sharepoint.com/C/Users/nithish.bhat/Dropbox/Sharing%20with%20Nithish/Goal%20Setting%20FY%2015-16/FCM-hyd-airport-final.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totalenvmt-my.sharepoint.com/Users/nithish.bhat/Dropbox/Corporate%20Goals/Detailed%20Budget%20FY%2015-16/Accounts%20Receivables%20-%2031-01-2004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totalenvmt-my.sharepoint.com/Users/nithish.bhat/Library/Caches/TemporaryItems/Outlook%20Temp/dep%20co's%20law%20_mar02.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totalenvmt-my.sharepoint.com/Users/nithish.bhat/Dropbox/00%20BAG/Goals%20Y19%20I%2015-16/TEMP.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totalenvmt-my.sharepoint.com/C/Users/nithish.bhat/Dropbox/Sharing%20with%20Nithish/Goal%20Setting%20FY%2015-16/EAWFINAL.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totalenvmt-my.sharepoint.com/Applications/Microsoft%20Office%202011/Microsoft%20Excel.app/Contents/MacOS/192.168.60.117/c/My%20Documents/ACL/ACL_ACCOUNTS_MAR04/Financials_0304/MIS-wkg/mis_arw_mar04_23-06-04.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otalenvmt-my.sharepoint.com/Users/nithish.bhat/Library/Caches/TemporaryItems/Outlook%20Temp/Mfg%20Cost%20Feb%20200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89762AB1\Worksheet%20in%202261.1%20Final%20Account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otalenvmt-my.sharepoint.com/Users/nithish.bhat/Library/Application%20Support/Microsoft/Office/Office%202011%20AutoRecovery/Mfg%20Cost%20March%202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ate Analysis"/>
      <sheetName val="IDC"/>
      <sheetName val="Shuttering"/>
      <sheetName val="Misc. points"/>
      <sheetName val="qty abst"/>
      <sheetName val="Programe"/>
      <sheetName val="boq"/>
      <sheetName val="P&amp;M"/>
      <sheetName val="LABOUR"/>
      <sheetName val="histogram"/>
      <sheetName val="basic "/>
      <sheetName val="bua"/>
      <sheetName val="topshee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B"/>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b 9&amp;10"/>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P Break Up"/>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sheetName val="Sheet1"/>
      <sheetName val="DETAILED SUMMARY"/>
      <sheetName val="jan'04"/>
      <sheetName val="Accounts Receivables - 31-01-20"/>
      <sheetName val="gc"/>
      <sheetName val="Sheet3"/>
    </sheetNames>
    <sheetDataSet>
      <sheetData sheetId="0"/>
      <sheetData sheetId="1"/>
      <sheetData sheetId="2"/>
      <sheetData sheetId="3"/>
      <sheetData sheetId="4" refreshError="1"/>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
      <sheetName val="2003-2004Colaw"/>
      <sheetName val="2002-2003"/>
    </sheetNames>
    <sheetDataSet>
      <sheetData sheetId="0"/>
      <sheetData sheetId="1"/>
      <sheetData sheetId="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p "/>
      <sheetName val="xxxxxx"/>
      <sheetName val="results"/>
      <sheetName val="Frango Work sheet"/>
      <sheetName val="personnel"/>
      <sheetName val="Bs"/>
      <sheetName val="Group"/>
      <sheetName val="TCMO (2)"/>
      <sheetName val="TCMO"/>
      <sheetName val="FC2"/>
      <sheetName val="Advance tax"/>
      <sheetName val="DeprYTD"/>
      <sheetName val="Cashflow "/>
      <sheetName val="Variance"/>
      <sheetName val="Bud99"/>
      <sheetName val="ITCOMP"/>
      <sheetName val="ITDEP"/>
      <sheetName val="ITDEP revised"/>
      <sheetName val="Deferred tax"/>
      <sheetName val="GRP"/>
      <sheetName val="Temp"/>
      <sheetName val="Bud2000"/>
      <sheetName val="FD"/>
      <sheetName val="TB"/>
      <sheetName val="Debtors Ageing "/>
      <sheetName val="fasch"/>
      <sheetName val="notes"/>
      <sheetName val="part-IV"/>
      <sheetName val="BL Staff"/>
      <sheetName val="BS-203"/>
      <sheetName val="PRECAST lightconc-II"/>
      <sheetName val="PRECAST-conc-II"/>
      <sheetName val="Miscellaneous-civil"/>
      <sheetName val="basic"/>
      <sheetName val="GN-ST-10"/>
      <sheetName val="PRECAST lightconc_II"/>
      <sheetName val="Friends"/>
      <sheetName val="College Details"/>
      <sheetName val="Personal "/>
      <sheetName val="Office"/>
      <sheetName val="CF-det"/>
      <sheetName val="Cleaning &amp; Grubbing"/>
      <sheetName val="GN_ST_10"/>
      <sheetName val="IHC"/>
      <sheetName val="bhilai"/>
      <sheetName val="jidal dam"/>
      <sheetName val="delo"/>
      <sheetName val="fran temp"/>
      <sheetName val="gagan"/>
      <sheetName val="hsbc"/>
      <sheetName val="jeedi"/>
      <sheetName val="kona swit"/>
      <sheetName val="template (8)"/>
      <sheetName val="template (9)"/>
      <sheetName val="OVER HEADS"/>
      <sheetName val="Cover Sheet"/>
      <sheetName val="BOQ REV A"/>
      <sheetName val="BOQ"/>
      <sheetName val="PTB (IO)"/>
      <sheetName val="BMS "/>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AW Final Accounts - 99"/>
      <sheetName val="Customize Your Purchase Order"/>
      <sheetName val="Forecast Sales Model"/>
      <sheetName val="BS-203"/>
      <sheetName val="BL Staff"/>
      <sheetName val="RM-Summary"/>
      <sheetName val="Schedule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F"/>
    </sheet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ouping"/>
      <sheetName val="Check list"/>
      <sheetName val="Summary"/>
      <sheetName val="Bal Sheet as per grouping"/>
      <sheetName val="Bal Sheet"/>
      <sheetName val="Sell Exp"/>
      <sheetName val="S&amp;M for Jap Rep"/>
      <sheetName val="comments t suchiya"/>
      <sheetName val="comments"/>
      <sheetName val="mfg fin with .5 adm cost"/>
      <sheetName val="mfg without .5 adm cost"/>
      <sheetName val="Working-Feb 2000"/>
      <sheetName val="Tally Control"/>
      <sheetName val="OSF"/>
      <sheetName val="qty"/>
      <sheetName val="Rev &amp; GP"/>
      <sheetName val="Plant goals"/>
      <sheetName val="Capex &amp; Headcount"/>
      <sheetName val="PL"/>
      <sheetName val="BS"/>
      <sheetName val="COGS"/>
      <sheetName val="Comments (2)"/>
      <sheetName val="WIP"/>
      <sheetName val="Kobayashi Detail"/>
      <sheetName val="Sheet1"/>
      <sheetName val="FA sch as per Jap Rep."/>
      <sheetName val="Sales Summ."/>
      <sheetName val="Prodn.Summ."/>
      <sheetName val="Fin.Summ."/>
      <sheetName val="Half Yrly"/>
      <sheetName val="Control Sheet"/>
      <sheetName val="BS-203"/>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A"/>
      <sheetName val="Sheet1"/>
      <sheetName val="Profit Reco"/>
      <sheetName val="BS"/>
      <sheetName val="P&amp;L"/>
      <sheetName val="Schedules"/>
      <sheetName val="IT Depn"/>
      <sheetName val="ANN2 C"/>
      <sheetName val="ANN4"/>
      <sheetName val="ANN2"/>
      <sheetName val="RBI Timeline"/>
      <sheetName val="ANN1 A"/>
      <sheetName val="Lead"/>
      <sheetName val="Links"/>
      <sheetName val="Normal"/>
      <sheetName val="Tickmarks"/>
      <sheetName val="LISTS"/>
      <sheetName val="1900"/>
      <sheetName val="Sch to PL"/>
      <sheetName val="Sheet3 (2)"/>
      <sheetName val="Worksheet in 2261"/>
      <sheetName val="HEAD"/>
      <sheetName val="Addition"/>
      <sheetName val="Budget"/>
      <sheetName val="Assupmtion"/>
      <sheetName val="Grouping"/>
      <sheetName val="Sch 1-11"/>
      <sheetName val="WDV Workings"/>
      <sheetName val="ANALYSIS"/>
      <sheetName val="co lease rental"/>
      <sheetName val="IOU-factory-9"/>
      <sheetName val="IOU-sales-9"/>
      <sheetName val="Instructions"/>
      <sheetName val="Cost Summary - SOP"/>
      <sheetName val="Project Overview Input"/>
      <sheetName val="Benefit Input"/>
      <sheetName val="wordsdata"/>
      <sheetName val="Construction"/>
      <sheetName val="Expectation and Summary"/>
      <sheetName val="Jackets"/>
      <sheetName val="Shirts"/>
      <sheetName val="Accessories"/>
      <sheetName val="Summ"/>
      <sheetName val="std.wt."/>
      <sheetName val="O2"/>
      <sheetName val="0. Data Validation List"/>
      <sheetName val="Crest"/>
      <sheetName val="Pinnacle"/>
      <sheetName val="Zenith"/>
      <sheetName val="stacking sheet"/>
      <sheetName val="Ward areas"/>
      <sheetName val="Intro"/>
      <sheetName val="Consolidated"/>
      <sheetName val="Break up Sheet"/>
      <sheetName val="Summary 2"/>
      <sheetName val="XREF"/>
      <sheetName val="Assumptions"/>
      <sheetName val="MF NAV&amp;MARKET VALUE 31.03.2006"/>
    </sheetNames>
    <sheetDataSet>
      <sheetData sheetId="0"/>
      <sheetData sheetId="1" refreshError="1"/>
      <sheetData sheetId="2" refreshError="1"/>
      <sheetData sheetId="3"/>
      <sheetData sheetId="4" refreshError="1"/>
      <sheetData sheetId="5"/>
      <sheetData sheetId="6"/>
      <sheetData sheetId="7"/>
      <sheetData sheetId="8" refreshError="1"/>
      <sheetData sheetId="9" refreshError="1"/>
      <sheetData sheetId="10" refreshError="1"/>
      <sheetData sheetId="11" refreshError="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 sheetId="47"/>
      <sheetData sheetId="48"/>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rouping"/>
      <sheetName val="Check list"/>
      <sheetName val="Summary"/>
      <sheetName val="Bal Sheet as per grouping"/>
      <sheetName val="Bal Sheet"/>
      <sheetName val="Sell Exp"/>
      <sheetName val="S&amp;M for Jap Rep"/>
      <sheetName val="comments t suchiya"/>
      <sheetName val="comments"/>
      <sheetName val="mfg fin with .5 adm cost"/>
      <sheetName val="mfg without .5 adm cost"/>
      <sheetName val="Working-Mar 2000"/>
      <sheetName val="Tally Control"/>
      <sheetName val="OSF"/>
      <sheetName val="qty"/>
      <sheetName val="COGS"/>
      <sheetName val="Comments (2)"/>
      <sheetName val="Plant goals"/>
      <sheetName val="Capex &amp; Headcount"/>
      <sheetName val="Rev &amp; GP"/>
      <sheetName val="PL"/>
      <sheetName val="Fin.Summ."/>
      <sheetName val="Sales &amp; Pdn.Summ."/>
      <sheetName val="BS"/>
      <sheetName val="WIP"/>
      <sheetName val="Kobayashi Detail"/>
      <sheetName val="Sheet1"/>
      <sheetName val="FA sch as per Jap Rep."/>
      <sheetName val="Sheet2"/>
      <sheetName val="Half Yrly"/>
      <sheetName val="Control Sheet"/>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Set>
  </externalBook>
</externalLink>
</file>

<file path=xl/persons/person.xml><?xml version="1.0" encoding="utf-8"?>
<personList xmlns="http://schemas.microsoft.com/office/spreadsheetml/2018/threadedcomments" xmlns:x="http://schemas.openxmlformats.org/spreadsheetml/2006/main">
  <person displayName="Vinod Soudi" id="{822E5669-F207-4DA0-AF5F-7AFF037357F3}" userId="Vinod Soudi" providerId="None"/>
  <person displayName="Vinod Soudi" id="{35780349-E3B4-41A1-86D1-431A50DBE5E6}" userId="vinod.soudi@total-environment.com" providerId="PeoplePicker"/>
  <person displayName="Suchita Sharma" id="{1864233B-6AE8-4B57-977D-20A19E73A274}" userId="suchita.sharma@total-environment.com" providerId="PeoplePicker"/>
  <person displayName="Vinod Appanna Soudi" id="{2BCB4966-638C-4494-AA75-651C31C43E0F}" userId="S::vinod.soudi@total-environment.com::3569dcb6-9f9e-4c42-a951-14bb20890f34" providerId="AD"/>
  <person displayName="Suchita Sharma" id="{07BA70FA-1805-40A0-95A4-0BB9DE543C58}" userId="S::suchita.sharma@total-environment.com::22e1a589-456e-45f3-adac-be6829c80874" providerId="AD"/>
  <person displayName="Vivek Anbalagan" id="{4CF998CE-73C8-4228-9427-8B99D3829B96}" userId="S::vivek.anbalagan@total-environment.com::2cc9674f-7c72-4277-bbb7-deff80205425"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K128" dT="2023-03-12T10:41:50.08" personId="{07BA70FA-1805-40A0-95A4-0BB9DE543C58}" id="{19BB1253-43DB-4296-A183-397F4B153831}" done="1">
    <text>@Vinod Soudi Please check why this is not loaded ???</text>
    <mentions>
      <mention mentionpersonId="{35780349-E3B4-41A1-86D1-431A50DBE5E6}" mentionId="{3720E13C-4489-4759-B9F8-F1809EB9BD1B}" startIndex="0" length="12"/>
    </mentions>
  </threadedComment>
  <threadedComment ref="AB128" dT="2023-03-12T10:41:50.08" personId="{07BA70FA-1805-40A0-95A4-0BB9DE543C58}" id="{FE7003D4-0922-4D54-BF98-907E4E4C9DDD}" done="1">
    <text>@Vinod Soudi Please check why this is not loaded ???</text>
    <mentions>
      <mention mentionpersonId="{35780349-E3B4-41A1-86D1-431A50DBE5E6}" mentionId="{B089B789-9B60-453D-B096-5E5DA0874557}" startIndex="0" length="12"/>
    </mentions>
  </threadedComment>
  <threadedComment ref="AS128" dT="2023-03-12T10:41:50.08" personId="{07BA70FA-1805-40A0-95A4-0BB9DE543C58}" id="{DCD7DA0E-0BB3-4768-9640-0395EEAAA930}" done="1">
    <text>@Vinod Soudi Please check why this is not loaded ???</text>
    <mentions>
      <mention mentionpersonId="{35780349-E3B4-41A1-86D1-431A50DBE5E6}" mentionId="{19217F6B-C8A3-4DBF-8213-E783126A37C3}" startIndex="0" length="12"/>
    </mentions>
  </threadedComment>
  <threadedComment ref="BJ128" dT="2023-03-12T10:41:50.08" personId="{07BA70FA-1805-40A0-95A4-0BB9DE543C58}" id="{003155F1-8E7C-4757-863F-A70E6D2B638A}" done="1">
    <text>@Vinod Soudi Please check why this is not loaded ???</text>
    <mentions>
      <mention mentionpersonId="{35780349-E3B4-41A1-86D1-431A50DBE5E6}" mentionId="{2D146184-CCA4-4279-AF0D-3278699C9E09}" startIndex="0" length="12"/>
    </mentions>
  </threadedComment>
  <threadedComment ref="D207" dT="2023-03-12T10:46:06.01" personId="{07BA70FA-1805-40A0-95A4-0BB9DE543C58}" id="{5776E866-BA41-44B4-876F-8CB4620EB153}" done="1">
    <text>@Vinod Soudi  This has been issued, Check and confirm</text>
    <mentions>
      <mention mentionpersonId="{35780349-E3B4-41A1-86D1-431A50DBE5E6}" mentionId="{7A9B255C-EB3B-424A-9D87-271E009CD3FE}" startIndex="0" length="12"/>
    </mentions>
  </threadedComment>
  <threadedComment ref="O219" dT="2023-03-12T10:49:24.77" personId="{07BA70FA-1805-40A0-95A4-0BB9DE543C58}" id="{A99B1133-7F04-4F38-800C-67F2EDE242B0}">
    <text xml:space="preserve">@Vinod Soudi Data is wrong </text>
    <mentions>
      <mention mentionpersonId="{35780349-E3B4-41A1-86D1-431A50DBE5E6}" mentionId="{DBC0F0C8-C81F-43A5-8140-95AEC05AD5D8}" startIndex="0" length="12"/>
    </mentions>
  </threadedComment>
  <threadedComment ref="O219" dT="2023-03-13T04:03:22.04" personId="{2BCB4966-638C-4494-AA75-651C31C43E0F}" id="{1D49A100-EF5F-45D3-A823-DB71FE88FFA5}" parentId="{A99B1133-7F04-4F38-800C-67F2EDE242B0}">
    <text>@Suchita Sharma The column issued till dec'22 had got deleted. Hence the values were not appearing</text>
    <mentions>
      <mention mentionpersonId="{1864233B-6AE8-4B57-977D-20A19E73A274}" mentionId="{2BAAD08B-512A-4599-A88B-27E6E4F98C4A}" startIndex="0" length="15"/>
    </mentions>
  </threadedComment>
</ThreadedComments>
</file>

<file path=xl/threadedComments/threadedComment2.xml><?xml version="1.0" encoding="utf-8"?>
<ThreadedComments xmlns="http://schemas.microsoft.com/office/spreadsheetml/2018/threadedcomments" xmlns:x="http://schemas.openxmlformats.org/spreadsheetml/2006/main">
  <threadedComment ref="U130" dT="2023-03-12T10:41:50.08" personId="{07BA70FA-1805-40A0-95A4-0BB9DE543C58}" id="{E0DCE2BB-9DC4-46BD-B3BA-FC65E9F4BD49}" done="1">
    <text>@Vinod Soudi Please check why this is not loaded ???</text>
    <mentions>
      <mention mentionpersonId="{35780349-E3B4-41A1-86D1-431A50DBE5E6}" mentionId="{E82F48D1-0E02-478C-952F-145DAD2FD831}" startIndex="0" length="12"/>
    </mentions>
  </threadedComment>
  <threadedComment ref="BG150" dT="2023-02-07T05:42:06.27" personId="{2BCB4966-638C-4494-AA75-651C31C43E0F}" id="{4701E450-83C3-4130-A611-E8D4D55DA0A5}">
    <text>Since 12 ext bsmnts are there 95% is divided by 12</text>
  </threadedComment>
  <threadedComment ref="BG154" dT="2023-02-07T05:42:06.27" personId="{2BCB4966-638C-4494-AA75-651C31C43E0F}" id="{D74A9174-3183-4572-9207-ED6A3C1C4312}">
    <text>Since 12 ext bsmnts are there 95% is divided by 12</text>
  </threadedComment>
  <threadedComment ref="BG158" dT="2023-02-07T05:42:06.27" personId="{2BCB4966-638C-4494-AA75-651C31C43E0F}" id="{E59CECE2-47C4-4497-BA21-D7A2F41F0C48}">
    <text>Since 12 ext bsmnts are there 95% is divided by 12</text>
  </threadedComment>
  <threadedComment ref="BG162" dT="2023-02-07T05:42:06.27" personId="{2BCB4966-638C-4494-AA75-651C31C43E0F}" id="{1B02617F-168D-475C-AA4D-D0745BC90C49}">
    <text>Since 12 ext bsmnts are there 95% is divided by 12</text>
  </threadedComment>
  <threadedComment ref="BG166" dT="2023-02-07T05:42:06.27" personId="{2BCB4966-638C-4494-AA75-651C31C43E0F}" id="{21969036-7773-4B37-8DE4-84B1781F3B98}">
    <text>Since 12 ext bsmnts are there 95% is divided by 12</text>
  </threadedComment>
  <threadedComment ref="BG170" dT="2023-02-07T05:42:06.27" personId="{2BCB4966-638C-4494-AA75-651C31C43E0F}" id="{D9B285B6-1204-4A08-8034-9AD663501649}">
    <text>Since 12 ext bsmnts are there 95% is divided by 12</text>
  </threadedComment>
  <threadedComment ref="BG174" dT="2023-02-07T05:42:06.27" personId="{2BCB4966-638C-4494-AA75-651C31C43E0F}" id="{0F1A9748-48B1-47BC-B67E-BAF6410A16DC}">
    <text>Since 12 ext bsmnts are there 95% is divided by 12</text>
  </threadedComment>
  <threadedComment ref="BG178" dT="2023-02-07T05:42:06.27" personId="{2BCB4966-638C-4494-AA75-651C31C43E0F}" id="{7A30D015-AA95-49D5-822C-F606A0DABC03}">
    <text>Since 12 ext bsmnts are there 95% is divided by 12</text>
  </threadedComment>
  <threadedComment ref="BG182" dT="2023-02-07T05:42:06.27" personId="{2BCB4966-638C-4494-AA75-651C31C43E0F}" id="{697F3CBA-605B-4ED6-A40C-5598D80F03F7}">
    <text>Since 12 ext bsmnts are there 95% is divided by 12</text>
  </threadedComment>
  <threadedComment ref="BG186" dT="2023-02-07T05:42:06.27" personId="{2BCB4966-638C-4494-AA75-651C31C43E0F}" id="{FBFA9D5B-79C6-4C1B-B709-BE47C0498A3E}">
    <text>Since 12 ext bsmnts are there 95% is divided by 12</text>
  </threadedComment>
  <threadedComment ref="BG190" dT="2023-02-07T05:42:06.27" personId="{2BCB4966-638C-4494-AA75-651C31C43E0F}" id="{57FA2A3E-6B50-4558-A595-A634B2B3DA42}">
    <text>Since 12 ext bsmnts are there 95% is divided by 12</text>
  </threadedComment>
  <threadedComment ref="BG194" dT="2023-02-07T05:42:06.27" personId="{2BCB4966-638C-4494-AA75-651C31C43E0F}" id="{ABC98081-EE19-4B85-A773-2AADBBF6551B}">
    <text>Since 12 ext bsmnts are there 95% is divided by 12</text>
  </threadedComment>
  <threadedComment ref="Y221" dT="2023-03-12T10:49:24.77" personId="{07BA70FA-1805-40A0-95A4-0BB9DE543C58}" id="{3FC84205-7DE1-4005-952E-8DA3BE8A6848}">
    <text xml:space="preserve">@Vinod Soudi Data is wrong </text>
    <mentions>
      <mention mentionpersonId="{35780349-E3B4-41A1-86D1-431A50DBE5E6}" mentionId="{CB7771D8-E708-442F-9FDE-B23B4CF9C87B}" startIndex="0" length="12"/>
    </mentions>
  </threadedComment>
  <threadedComment ref="Y221" dT="2023-03-13T04:03:22.04" personId="{2BCB4966-638C-4494-AA75-651C31C43E0F}" id="{4653B1F4-E519-4B54-97A6-D8B36744876D}" parentId="{3FC84205-7DE1-4005-952E-8DA3BE8A6848}">
    <text>@Suchita Sharma The column issued till dec'22 had got deleted. Hence the values were not appearing</text>
    <mentions>
      <mention mentionpersonId="{1864233B-6AE8-4B57-977D-20A19E73A274}" mentionId="{1D8852E6-AD7C-4360-B618-090A64CF6DFC}" startIndex="0" length="15"/>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R21" dT="2024-03-25T05:17:04.18" personId="{2BCB4966-638C-4494-AA75-651C31C43E0F}" id="{8C1245EA-EAEC-4F0D-8CD1-43F31C7E7097}">
    <text>As there were only minimal lights and majorly by LDS, it is released as site instruction</text>
  </threadedComment>
  <threadedComment ref="R29" dT="2023-06-09T09:51:38.41" personId="{822E5669-F207-4DA0-AF5F-7AFF037357F3}" id="{07E270B3-D7AC-4BC7-B7C2-7BEBD2481833}">
    <text>Part of Masonry dwg for T2S and TXS</text>
  </threadedComment>
  <threadedComment ref="R33" dT="2023-06-09T09:52:50.57" personId="{822E5669-F207-4DA0-AF5F-7AFF037357F3}" id="{A8C0E991-59C2-40AA-936C-8EEAF896A261}">
    <text>Part of basement drawing no. T2VB-1101</text>
  </threadedComment>
  <threadedComment ref="R34" dT="2023-06-09T09:52:50.57" personId="{822E5669-F207-4DA0-AF5F-7AFF037357F3}" id="{2B21C1F8-310C-4731-8B2C-506BE86E2D5A}">
    <text>Part of basement drawing no. T2VB-1101</text>
  </threadedComment>
  <threadedComment ref="S304" dT="2023-07-04T07:14:28.31" personId="{822E5669-F207-4DA0-AF5F-7AFF037357F3}" id="{5B920A67-4F90-4660-BCFA-77F89785A320}">
    <text>356</text>
  </threadedComment>
  <threadedComment ref="S419" dT="2023-06-09T09:53:49.73" personId="{822E5669-F207-4DA0-AF5F-7AFF037357F3}" id="{32381D34-F003-4136-92A8-A9313506830A}">
    <text>Same as T2V drawing</text>
  </threadedComment>
  <threadedComment ref="S420" dT="2023-06-09T09:53:49.73" personId="{822E5669-F207-4DA0-AF5F-7AFF037357F3}" id="{BD921470-BF99-4C0C-9C14-4DBF1F20EE96}">
    <text>Same as T2V drawing</text>
  </threadedComment>
  <threadedComment ref="S423" dT="2023-06-09T09:52:50.57" personId="{822E5669-F207-4DA0-AF5F-7AFF037357F3}" id="{F9D562AD-25AB-48F9-9DB8-D768DB0CBFB0}">
    <text>Part of basement drawing no. T2VB-1101</text>
  </threadedComment>
  <threadedComment ref="S439" dT="2023-06-09T09:53:49.73" personId="{822E5669-F207-4DA0-AF5F-7AFF037357F3}" id="{E55EE104-AA67-4C09-97E5-7EB839723328}">
    <text>Same as T2V drawing</text>
  </threadedComment>
  <threadedComment ref="S440" dT="2023-06-09T09:53:49.73" personId="{822E5669-F207-4DA0-AF5F-7AFF037357F3}" id="{306EBE15-182E-4875-99E6-99A7FBDF0A2A}">
    <text>Same as T2V drawing</text>
  </threadedComment>
  <threadedComment ref="R483" dT="2023-03-09T11:07:45.88" personId="{2BCB4966-638C-4494-AA75-651C31C43E0F}" id="{5CAACAA5-A391-4F48-AA41-1C7E352E8FB3}">
    <text>301</text>
  </threadedComment>
  <threadedComment ref="S484" dT="2023-05-08T06:45:34.27" personId="{2BCB4966-638C-4494-AA75-651C31C43E0F}" id="{ACA20B72-9A78-4967-B2D3-6D7BD22B9C81}">
    <text>317</text>
  </threadedComment>
  <threadedComment ref="S485" dT="2023-05-08T06:43:28.25" personId="{2BCB4966-638C-4494-AA75-651C31C43E0F}" id="{28DA589C-48C1-455B-878E-A64B6775DB3D}">
    <text>319</text>
  </threadedComment>
  <threadedComment ref="S505" dT="2023-06-08T05:45:53.29" personId="{822E5669-F207-4DA0-AF5F-7AFF037357F3}" id="{E13933EE-ECD4-43D5-9ED6-ABFA88191C04}">
    <text>352</text>
  </threadedComment>
  <threadedComment ref="S506" dT="2023-06-08T05:45:53.29" personId="{822E5669-F207-4DA0-AF5F-7AFF037357F3}" id="{1C3F51F9-3973-4D3C-BF7B-E41B29BBD91D}">
    <text>352</text>
  </threadedComment>
  <threadedComment ref="S507" dT="2023-06-08T05:45:53.29" personId="{822E5669-F207-4DA0-AF5F-7AFF037357F3}" id="{B066D22D-77B0-4C2F-A5A5-2C771C7377A3}">
    <text>352</text>
  </threadedComment>
  <threadedComment ref="S508" dT="2023-06-08T05:45:53.29" personId="{822E5669-F207-4DA0-AF5F-7AFF037357F3}" id="{671D7E39-D954-4723-A08D-2A6BC67EE375}">
    <text>352</text>
  </threadedComment>
  <threadedComment ref="R661" dT="2024-02-06T02:53:18.69" personId="{2BCB4966-638C-4494-AA75-651C31C43E0F}" id="{DD32A88B-FFF7-4E27-AABE-6D931FABC40E}">
    <text>Part of T2S Drawings</text>
  </threadedComment>
  <threadedComment ref="R678" dT="2024-02-06T02:53:18.69" personId="{2BCB4966-638C-4494-AA75-651C31C43E0F}" id="{9F8BDD83-6CF8-4574-A1D1-0993A266B7AE}">
    <text>Part of T2S Drawings</text>
  </threadedComment>
  <threadedComment ref="R679" dT="2024-02-06T02:53:18.69" personId="{2BCB4966-638C-4494-AA75-651C31C43E0F}" id="{15CC8526-779D-4EDE-BFDF-68B726CFC038}">
    <text>Part of T2S Drawings</text>
  </threadedComment>
  <threadedComment ref="R680" dT="2024-02-06T02:53:18.69" personId="{2BCB4966-638C-4494-AA75-651C31C43E0F}" id="{CB825A84-E99A-43BF-9C81-4BF0C02CD566}">
    <text>Part of T2S Drawings</text>
  </threadedComment>
  <threadedComment ref="R683" dT="2024-02-06T02:53:18.69" personId="{2BCB4966-638C-4494-AA75-651C31C43E0F}" id="{7FC77FC1-8FCA-49F2-BD46-24C7742900D2}">
    <text>Part of T2S Drawings</text>
  </threadedComment>
  <threadedComment ref="R684" dT="2024-02-06T02:53:18.69" personId="{2BCB4966-638C-4494-AA75-651C31C43E0F}" id="{71212483-2D25-4C29-A2BC-8151DFC664F9}">
    <text>Part of T2S Drawings</text>
  </threadedComment>
  <threadedComment ref="R685" dT="2024-02-06T02:53:18.69" personId="{2BCB4966-638C-4494-AA75-651C31C43E0F}" id="{0D7AB5A4-06A0-45D7-B4F3-6487C60682F6}">
    <text>Part of T2S Drawings</text>
  </threadedComment>
  <threadedComment ref="R686" dT="2024-02-06T02:53:18.69" personId="{2BCB4966-638C-4494-AA75-651C31C43E0F}" id="{279891EE-0BA0-449D-84FF-096810B8DB49}">
    <text>Part of T2S Drawings</text>
  </threadedComment>
  <threadedComment ref="R687" dT="2024-02-06T02:53:18.69" personId="{2BCB4966-638C-4494-AA75-651C31C43E0F}" id="{3E9A61BD-AA48-4F78-809C-432C97879D63}">
    <text>Part of T2S Drawings</text>
  </threadedComment>
  <threadedComment ref="R688" dT="2024-02-06T02:53:18.69" personId="{2BCB4966-638C-4494-AA75-651C31C43E0F}" id="{6E4BA349-513C-4056-B519-E4A8B700688A}">
    <text>Part of T2S Drawings</text>
  </threadedComment>
  <threadedComment ref="R689" dT="2024-02-06T02:53:18.69" personId="{2BCB4966-638C-4494-AA75-651C31C43E0F}" id="{12FFA399-3343-4D3F-8D81-E856A253A6CF}">
    <text>Part of T2S Drawings</text>
  </threadedComment>
  <threadedComment ref="R690" dT="2024-02-06T02:53:18.69" personId="{2BCB4966-638C-4494-AA75-651C31C43E0F}" id="{D65F5A64-D0CF-4CC0-9BCE-EC488E17D579}">
    <text>Part of T2S Drawings</text>
  </threadedComment>
  <threadedComment ref="R693" dT="2024-02-06T02:53:18.69" personId="{2BCB4966-638C-4494-AA75-651C31C43E0F}" id="{29E8979A-29F6-4DC5-A814-FB4585CCA01D}">
    <text>Part of T2S Drawings</text>
  </threadedComment>
  <threadedComment ref="R694" dT="2024-02-06T02:53:18.69" personId="{2BCB4966-638C-4494-AA75-651C31C43E0F}" id="{D10F057A-8C16-4743-B36A-092678CA6D90}">
    <text>Part of T2S Drawings</text>
  </threadedComment>
  <threadedComment ref="R695" dT="2024-02-06T02:53:18.69" personId="{2BCB4966-638C-4494-AA75-651C31C43E0F}" id="{44100819-7BEC-4EA9-870E-7EBDB16CC585}">
    <text>Part of T2S Drawings</text>
  </threadedComment>
  <threadedComment ref="R696" dT="2024-02-06T02:53:18.69" personId="{2BCB4966-638C-4494-AA75-651C31C43E0F}" id="{D1C07A83-95DC-4402-9891-776279D1CD12}">
    <text>Part of T2S Drawings</text>
  </threadedComment>
  <threadedComment ref="R697" dT="2024-02-06T02:53:18.69" personId="{2BCB4966-638C-4494-AA75-651C31C43E0F}" id="{6E8D90B6-A33D-4428-ACD2-D8708E20AD4E}">
    <text>Part of T2S Drawings</text>
  </threadedComment>
  <threadedComment ref="R698" dT="2024-02-06T02:53:18.69" personId="{2BCB4966-638C-4494-AA75-651C31C43E0F}" id="{C97CFC99-4A9B-4039-ADF7-68F271FA7518}">
    <text>Part of T2S Drawings</text>
  </threadedComment>
  <threadedComment ref="R699" dT="2024-02-06T02:53:18.69" personId="{2BCB4966-638C-4494-AA75-651C31C43E0F}" id="{87D38E09-4DC0-4A84-A9A8-7593C5632588}">
    <text>Part of T2S Drawings</text>
  </threadedComment>
  <threadedComment ref="R700" dT="2024-02-06T02:53:18.69" personId="{2BCB4966-638C-4494-AA75-651C31C43E0F}" id="{39323C47-513F-4DCB-93D0-5BAF0C27E141}">
    <text>Part of T2S Drawings</text>
  </threadedComment>
  <threadedComment ref="R704" dT="2024-02-06T02:53:18.69" personId="{2BCB4966-638C-4494-AA75-651C31C43E0F}" id="{5DD7DBBE-6149-4B4B-BA86-62051E4F713B}">
    <text>Part of T2S Drawings</text>
  </threadedComment>
  <threadedComment ref="R705" dT="2024-02-06T02:53:18.69" personId="{2BCB4966-638C-4494-AA75-651C31C43E0F}" id="{0FC52DA6-FBB6-4E01-90E0-1BCCC68EFBF4}">
    <text>Part of T2S Drawings</text>
  </threadedComment>
  <threadedComment ref="R706" dT="2024-02-06T02:53:18.69" personId="{2BCB4966-638C-4494-AA75-651C31C43E0F}" id="{0706E203-0263-4240-B925-2A253FDD6CA2}">
    <text>Part of T2S Drawings</text>
  </threadedComment>
  <threadedComment ref="R707" dT="2024-02-06T02:53:18.69" personId="{2BCB4966-638C-4494-AA75-651C31C43E0F}" id="{F18960B9-3704-4454-A2F5-A4F26B29CE04}">
    <text>Part of T2S Drawings</text>
  </threadedComment>
  <threadedComment ref="R708" dT="2024-03-13T04:35:56.16" personId="{4CF998CE-73C8-4228-9427-8B99D3829B96}" id="{5A0477C1-023D-4837-95D3-724A06657C57}">
    <text>North side external wall details</text>
  </threadedComment>
  <threadedComment ref="R709" dT="2024-02-06T05:00:36.07" personId="{2BCB4966-638C-4494-AA75-651C31C43E0F}" id="{5EF65E9F-DA3C-465F-8BE4-C43E739C0EFF}">
    <text>Part of TXS</text>
  </threadedComment>
  <threadedComment ref="R710" dT="2024-02-06T05:00:36.07" personId="{2BCB4966-638C-4494-AA75-651C31C43E0F}" id="{E6CF0066-2FA2-4FFA-838F-7FA9A8FED038}">
    <text>Part of TXS</text>
  </threadedComment>
  <threadedComment ref="R713" dT="2024-02-06T02:53:18.69" personId="{2BCB4966-638C-4494-AA75-651C31C43E0F}" id="{8583318D-6FED-4C88-96AB-F75262856C7C}">
    <text>Part of T2S Drawings</text>
  </threadedComment>
  <threadedComment ref="R714" dT="2024-02-06T02:53:18.69" personId="{2BCB4966-638C-4494-AA75-651C31C43E0F}" id="{14744407-9170-46CE-9DF6-76BF8AEDB782}">
    <text>Part of T2S Drawings</text>
  </threadedComment>
  <threadedComment ref="R717" dT="2024-02-06T02:53:18.69" personId="{2BCB4966-638C-4494-AA75-651C31C43E0F}" id="{475B0A43-A67E-4BD7-A61A-F3C973406B79}">
    <text>Part of T2S Drawings</text>
  </threadedComment>
  <threadedComment ref="R718" dT="2024-02-06T02:53:18.69" personId="{2BCB4966-638C-4494-AA75-651C31C43E0F}" id="{4F8431CD-F1B2-403E-8BA6-3CD7AF144590}">
    <text>Part of T2S Drawings</text>
  </threadedComment>
  <threadedComment ref="R721" dT="2024-02-06T02:53:18.69" personId="{2BCB4966-638C-4494-AA75-651C31C43E0F}" id="{F2079767-4BDB-432E-AA55-9E92CD063A65}">
    <text>Part of T2S Drawings</text>
  </threadedComment>
  <threadedComment ref="R722" dT="2024-02-06T02:53:18.69" personId="{2BCB4966-638C-4494-AA75-651C31C43E0F}" id="{443077B1-C19C-4AB0-B42C-8B21E0D0FD18}">
    <text>Part of T2S Drawings</text>
  </threadedComment>
  <threadedComment ref="R723" dT="2024-02-06T02:53:18.69" personId="{2BCB4966-638C-4494-AA75-651C31C43E0F}" id="{65DA0D49-1B5B-447F-9515-F5B6814F8D1F}">
    <text>Part of T2S Drawings</text>
  </threadedComment>
  <threadedComment ref="R724" dT="2024-02-06T02:53:18.69" personId="{2BCB4966-638C-4494-AA75-651C31C43E0F}" id="{4BF9D0CE-9130-414A-B681-3AA985BB42CA}">
    <text>Part of T2S Drawings</text>
  </threadedComment>
  <threadedComment ref="R725" dT="2024-02-06T02:53:18.69" personId="{2BCB4966-638C-4494-AA75-651C31C43E0F}" id="{A6DDE6F2-4810-41ED-8D00-A24E34A95479}">
    <text>Part of T2S Drawings</text>
  </threadedComment>
  <threadedComment ref="R726" dT="2024-02-06T02:53:18.69" personId="{2BCB4966-638C-4494-AA75-651C31C43E0F}" id="{EC3468AE-8EF5-423B-9569-35C887698C2B}">
    <text>Part of T2S Drawings</text>
  </threadedComment>
  <threadedComment ref="R727" dT="2024-02-06T02:53:18.69" personId="{2BCB4966-638C-4494-AA75-651C31C43E0F}" id="{95E33DD6-DD92-4947-9A0E-FF9D7777BB0F}">
    <text>Part of T2S Drawings</text>
  </threadedComment>
  <threadedComment ref="R728" dT="2024-02-06T02:53:18.69" personId="{2BCB4966-638C-4494-AA75-651C31C43E0F}" id="{2A8C016A-3908-479C-8042-B14F07371D41}">
    <text>Part of T2S Drawings</text>
  </threadedComment>
  <threadedComment ref="R729" dT="2024-02-06T02:53:18.69" personId="{2BCB4966-638C-4494-AA75-651C31C43E0F}" id="{0542BC2A-D434-4127-9957-1C0B6425C96B}">
    <text>Part of T2S Drawings</text>
  </threadedComment>
  <threadedComment ref="R732" dT="2024-02-06T02:53:18.69" personId="{2BCB4966-638C-4494-AA75-651C31C43E0F}" id="{99B7F6AF-C067-423C-9396-A5F9B7DEC48B}">
    <text>Part of T2S Drawings</text>
  </threadedComment>
  <threadedComment ref="R764" dT="2023-06-09T09:58:18.29" personId="{822E5669-F207-4DA0-AF5F-7AFF037357F3}" id="{DCD457D1-F1A1-423E-B8FD-CA1289246C3B}">
    <text>Refer T1 drawings</text>
  </threadedComment>
  <threadedComment ref="R765" dT="2023-06-09T09:58:18.29" personId="{822E5669-F207-4DA0-AF5F-7AFF037357F3}" id="{D0B714B8-6945-4DAC-A8B7-F80A6D075F12}">
    <text>Refer T1 drawings</text>
  </threadedComment>
  <threadedComment ref="R777" dT="2023-06-09T09:58:18.29" personId="{822E5669-F207-4DA0-AF5F-7AFF037357F3}" id="{D039BBF4-7E3C-4D25-80F1-3C863DCB07C2}">
    <text>Refer T1 drawings</text>
  </threadedComment>
  <threadedComment ref="R781" dT="2023-06-09T09:58:18.29" personId="{822E5669-F207-4DA0-AF5F-7AFF037357F3}" id="{BC6C5DE3-ECF1-4DC2-98F0-4444F8B48897}">
    <text>Refer T1 drawings</text>
  </threadedComment>
  <threadedComment ref="R794" dT="2023-06-09T09:58:18.29" personId="{822E5669-F207-4DA0-AF5F-7AFF037357F3}" id="{A26FB02B-A984-48DB-B9CE-6967DF018EE4}">
    <text>Refer T1 drawings</text>
  </threadedComment>
  <threadedComment ref="R844" dT="2023-06-09T09:58:18.29" personId="{822E5669-F207-4DA0-AF5F-7AFF037357F3}" id="{35004DE4-3F48-42E9-8628-350850BA9DB2}">
    <text>Refer T1 drawings</text>
  </threadedComment>
  <threadedComment ref="R845" dT="2023-06-09T09:58:18.29" personId="{822E5669-F207-4DA0-AF5F-7AFF037357F3}" id="{62ACD33A-1117-4CE9-BDCD-BC430CC70363}">
    <text>Refer T1 drawings</text>
  </threadedComment>
  <threadedComment ref="R846" dT="2023-06-09T09:58:18.29" personId="{822E5669-F207-4DA0-AF5F-7AFF037357F3}" id="{621D4B63-C6D2-4C01-A008-3668CB9D79C5}">
    <text>Refer T1 drawings</text>
  </threadedComment>
  <threadedComment ref="R847" dT="2023-06-09T09:58:18.29" personId="{822E5669-F207-4DA0-AF5F-7AFF037357F3}" id="{EA217FF3-04AF-40FF-A6F4-80E19D6A3B7E}">
    <text>Refer T1 drawings</text>
  </threadedComment>
  <threadedComment ref="S944" dT="2024-07-02T12:01:50.00" personId="{2BCB4966-638C-4494-AA75-651C31C43E0F}" id="{D453D539-C672-41B3-8691-8BBF5B576B46}">
    <text>510</text>
  </threadedComment>
  <threadedComment ref="S947" dT="2024-07-02T12:01:50.00" personId="{2BCB4966-638C-4494-AA75-651C31C43E0F}" id="{C88A3977-1E6B-492E-9E86-A99AD3AFE2C9}">
    <text>510</text>
  </threadedComment>
  <threadedComment ref="S948" dT="2024-07-02T12:01:50.00" personId="{2BCB4966-638C-4494-AA75-651C31C43E0F}" id="{F65D5BD9-06AA-47DF-9901-D2AE6EF148E5}">
    <text>510</text>
  </threadedComment>
  <threadedComment ref="S953" dT="2024-07-02T12:01:50.00" personId="{2BCB4966-638C-4494-AA75-651C31C43E0F}" id="{381817D9-4E08-43B5-ACCB-5C10F3180D7D}">
    <text>510</text>
  </threadedComment>
  <threadedComment ref="S954" dT="2024-07-02T12:01:50.00" personId="{2BCB4966-638C-4494-AA75-651C31C43E0F}" id="{B6E862FB-DD4A-4A8D-AEDB-17A19489022D}">
    <text>510</text>
  </threadedComment>
  <threadedComment ref="S955" dT="2024-07-02T12:01:50.00" personId="{2BCB4966-638C-4494-AA75-651C31C43E0F}" id="{FA1928BA-6EE3-4041-908C-D8389B69EB4C}">
    <text>510</text>
  </threadedComment>
  <threadedComment ref="S958" dT="2024-07-02T12:01:50.00" personId="{2BCB4966-638C-4494-AA75-651C31C43E0F}" id="{FAA1522F-1FBF-4803-A3F1-AC58190ED154}">
    <text>510</text>
  </threadedComment>
  <threadedComment ref="S959" dT="2024-07-02T12:01:50.00" personId="{2BCB4966-638C-4494-AA75-651C31C43E0F}" id="{1A1D4EE9-1D22-4846-B755-5D5A63DC157B}">
    <text>510</text>
  </threadedComment>
  <threadedComment ref="R1081" dT="2023-02-28T13:03:32.37" personId="{2BCB4966-638C-4494-AA75-651C31C43E0F}" id="{55DBE332-C873-4E09-95D4-CF009CBD48D2}">
    <text>298</text>
  </threadedComment>
  <threadedComment ref="S1870" dT="2024-07-02T03:58:15.01" personId="{2BCB4966-638C-4494-AA75-651C31C43E0F}" id="{A1A215A9-1DA2-4E61-B416-9765A1B5FEDA}">
    <text>510</text>
  </threadedComment>
</ThreadedComments>
</file>

<file path=xl/threadedComments/threadedComment4.xml><?xml version="1.0" encoding="utf-8"?>
<ThreadedComments xmlns="http://schemas.microsoft.com/office/spreadsheetml/2018/threadedcomments" xmlns:x="http://schemas.openxmlformats.org/spreadsheetml/2006/main">
  <threadedComment ref="S176" dT="2024-06-25T06:14:35.08" personId="{2BCB4966-638C-4494-AA75-651C31C43E0F}" id="{538C18C4-9F7C-47A1-9EAB-6C9C8D38F7B4}">
    <text>T301</text>
  </threadedComment>
  <threadedComment ref="T386" dT="2025-06-04T06:59:35.49" personId="{2BCB4966-638C-4494-AA75-651C31C43E0F}" id="{04F9AFFC-8270-4EB2-B3CF-580BDBD40BCA}">
    <text xml:space="preserve">357
</text>
  </threadedComment>
  <threadedComment ref="T387" dT="2025-06-04T06:59:35.49" personId="{2BCB4966-638C-4494-AA75-651C31C43E0F}" id="{FBAEC1E8-18DA-44FE-AD9F-452647BFE21A}">
    <text xml:space="preserve">357
</text>
  </threadedComment>
  <threadedComment ref="T388" dT="2025-06-04T06:59:35.49" personId="{2BCB4966-638C-4494-AA75-651C31C43E0F}" id="{0DF4D4E8-4D3E-4455-9229-0F7393138231}">
    <text xml:space="preserve">357
</text>
  </threadedComment>
  <threadedComment ref="T389" dT="2025-06-04T06:59:35.49" personId="{2BCB4966-638C-4494-AA75-651C31C43E0F}" id="{05C01F8D-9920-4F4E-A466-D966BB5956B0}">
    <text>336</text>
  </threadedComment>
  <threadedComment ref="T390" dT="2025-06-04T06:59:35.49" personId="{2BCB4966-638C-4494-AA75-651C31C43E0F}" id="{9628983A-800F-4C5F-8179-76C14C166964}">
    <text>336</text>
  </threadedComment>
  <threadedComment ref="T391" dT="2025-06-04T06:59:35.49" personId="{2BCB4966-638C-4494-AA75-651C31C43E0F}" id="{977ED3ED-7F80-49CC-90AC-D1DF431D96DC}">
    <text>336</text>
  </threadedComment>
  <threadedComment ref="T392" dT="2025-06-04T06:59:35.49" personId="{2BCB4966-638C-4494-AA75-651C31C43E0F}" id="{9DAE8677-354F-4D93-9DDB-6C93B1D7F918}">
    <text>336</text>
  </threadedComment>
</ThreadedComments>
</file>

<file path=xl/threadedComments/threadedComment5.xml><?xml version="1.0" encoding="utf-8"?>
<ThreadedComments xmlns="http://schemas.microsoft.com/office/spreadsheetml/2018/threadedcomments" xmlns:x="http://schemas.openxmlformats.org/spreadsheetml/2006/main">
  <threadedComment ref="S21" dT="2024-04-19T06:37:45.95" personId="{2BCB4966-638C-4494-AA75-651C31C43E0F}" id="{EB250EB5-A4F1-4995-9C3A-56945A38537C}">
    <text>Tr 24</text>
  </threadedComment>
  <threadedComment ref="S39" dT="2024-06-03T08:42:39.03" personId="{2BCB4966-638C-4494-AA75-651C31C43E0F}" id="{D05270F0-EA68-47F8-8BBA-5F5CA31CD81E}">
    <text>T-26</text>
  </threadedComment>
  <threadedComment ref="R66" dT="2024-06-03T08:55:47.40" personId="{2BCB4966-638C-4494-AA75-651C31C43E0F}" id="{648CBEFD-E66E-4CBE-9F2F-44DFEE6F65FD}">
    <text>T-21</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9/04/relationships/documenttask" Target="../documenttasks/documenttask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9/04/relationships/documenttask" Target="../documenttasks/documenttask2.xml"/><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microsoft.com/office/2017/10/relationships/threadedComment" Target="../threadedComments/threadedComment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5E5CE-F89E-49B4-8F2E-DFCFFEA624F9}">
  <sheetPr codeName="Sheet8">
    <outlinePr summaryBelow="0" summaryRight="0"/>
    <pageSetUpPr fitToPage="1"/>
  </sheetPr>
  <dimension ref="A1:CN248"/>
  <sheetViews>
    <sheetView zoomScale="85" zoomScaleNormal="85" zoomScaleSheetLayoutView="35" workbookViewId="0">
      <pane xSplit="5" ySplit="6" topLeftCell="BN231" activePane="bottomRight" state="frozen"/>
      <selection pane="topRight" activeCell="F1" sqref="F1"/>
      <selection pane="bottomLeft" activeCell="A7" sqref="A7"/>
      <selection pane="bottomRight" activeCell="BN231" sqref="BN231"/>
    </sheetView>
  </sheetViews>
  <sheetFormatPr defaultColWidth="11.42578125" defaultRowHeight="11.85" customHeight="1" outlineLevelRow="3" outlineLevelCol="1"/>
  <cols>
    <col min="1" max="1" width="0.5703125" style="59" customWidth="1"/>
    <col min="2" max="2" width="8.5703125" style="110" customWidth="1"/>
    <col min="3" max="3" width="5.42578125" style="110" bestFit="1" customWidth="1"/>
    <col min="4" max="4" width="69.42578125" style="86" bestFit="1" customWidth="1"/>
    <col min="5" max="5" width="0.42578125" style="59" customWidth="1"/>
    <col min="6" max="6" width="11.7109375" style="113" customWidth="1" collapsed="1"/>
    <col min="7" max="8" width="11.7109375" style="114" hidden="1" customWidth="1" outlineLevel="1"/>
    <col min="9" max="9" width="11.28515625" style="114" hidden="1" customWidth="1" outlineLevel="1"/>
    <col min="10" max="10" width="0.5703125" style="116" customWidth="1"/>
    <col min="11" max="11" width="7.5703125" style="111" customWidth="1"/>
    <col min="12" max="12" width="0.42578125" style="112" customWidth="1"/>
    <col min="13" max="13" width="11.7109375" style="113" customWidth="1"/>
    <col min="14" max="14" width="11.7109375" style="113" customWidth="1" collapsed="1"/>
    <col min="15" max="15" width="11.28515625" style="114" hidden="1" customWidth="1" outlineLevel="1" collapsed="1"/>
    <col min="16" max="20" width="10.28515625" style="114" hidden="1" customWidth="1" outlineLevel="1"/>
    <col min="21" max="21" width="0.5703125" style="116" hidden="1" customWidth="1" outlineLevel="1"/>
    <col min="22" max="26" width="15.5703125" style="114" hidden="1" customWidth="1" outlineLevel="1"/>
    <col min="27" max="27" width="0.5703125" style="116" customWidth="1"/>
    <col min="28" max="28" width="6.42578125" style="117" customWidth="1"/>
    <col min="29" max="29" width="0.5703125" style="112" customWidth="1"/>
    <col min="30" max="30" width="11.7109375" style="113" customWidth="1"/>
    <col min="31" max="31" width="11.7109375" style="113" customWidth="1" collapsed="1"/>
    <col min="32" max="32" width="11.42578125" style="114" hidden="1" customWidth="1" outlineLevel="1" collapsed="1"/>
    <col min="33" max="33" width="11.42578125" style="114" hidden="1" customWidth="1" outlineLevel="1"/>
    <col min="34" max="34" width="6.42578125" style="114" hidden="1" customWidth="1" outlineLevel="1"/>
    <col min="35" max="36" width="5.7109375" style="114" hidden="1" customWidth="1" outlineLevel="1"/>
    <col min="37" max="37" width="7.7109375" style="114" hidden="1" customWidth="1" outlineLevel="1"/>
    <col min="38" max="38" width="0.5703125" style="112" hidden="1" customWidth="1" outlineLevel="1"/>
    <col min="39" max="39" width="11.42578125" style="114" hidden="1" customWidth="1" outlineLevel="1"/>
    <col min="40" max="41" width="5.28515625" style="114" hidden="1" customWidth="1" outlineLevel="1"/>
    <col min="42" max="42" width="5.7109375" style="114" hidden="1" customWidth="1" outlineLevel="1"/>
    <col min="43" max="43" width="5.28515625" style="114" hidden="1" customWidth="1" outlineLevel="1"/>
    <col min="44" max="44" width="0.5703125" style="112" customWidth="1"/>
    <col min="45" max="45" width="6.42578125" style="117" customWidth="1"/>
    <col min="46" max="46" width="0.5703125" style="112" customWidth="1"/>
    <col min="47" max="48" width="11.7109375" style="113" customWidth="1"/>
    <col min="49" max="49" width="10.42578125" style="114" customWidth="1" outlineLevel="1" collapsed="1"/>
    <col min="50" max="50" width="10.42578125" style="114" customWidth="1" outlineLevel="1"/>
    <col min="51" max="52" width="5.7109375" style="114" customWidth="1" outlineLevel="1"/>
    <col min="53" max="53" width="6.85546875" style="114" customWidth="1" outlineLevel="1"/>
    <col min="54" max="54" width="5.7109375" style="114" customWidth="1" outlineLevel="1"/>
    <col min="55" max="55" width="0.5703125" style="112" customWidth="1" outlineLevel="1"/>
    <col min="56" max="56" width="10.42578125" style="114" customWidth="1" outlineLevel="1"/>
    <col min="57" max="57" width="5.28515625" style="114" customWidth="1" outlineLevel="1"/>
    <col min="58" max="58" width="5.7109375" style="114" customWidth="1" outlineLevel="1"/>
    <col min="59" max="59" width="5.28515625" style="114" customWidth="1" outlineLevel="1"/>
    <col min="60" max="60" width="5.7109375" style="114" customWidth="1" outlineLevel="1"/>
    <col min="61" max="61" width="0.5703125" style="112" customWidth="1"/>
    <col min="62" max="62" width="6.42578125" style="111" bestFit="1" customWidth="1"/>
    <col min="63" max="63" width="0.5703125" style="112" customWidth="1"/>
    <col min="64" max="65" width="11.7109375" style="113" customWidth="1"/>
    <col min="66" max="66" width="10.42578125" style="114" customWidth="1" outlineLevel="1" collapsed="1"/>
    <col min="67" max="67" width="10.42578125" style="114" customWidth="1" outlineLevel="1"/>
    <col min="68" max="71" width="5.7109375" style="114" customWidth="1" outlineLevel="1"/>
    <col min="72" max="72" width="0.5703125" style="59" customWidth="1" outlineLevel="1"/>
    <col min="73" max="73" width="10.42578125" style="114" customWidth="1" outlineLevel="1"/>
    <col min="74" max="74" width="5.85546875" style="114" bestFit="1" customWidth="1" outlineLevel="1"/>
    <col min="75" max="75" width="5.7109375" style="114" customWidth="1" outlineLevel="1"/>
    <col min="76" max="76" width="5.85546875" style="114" bestFit="1" customWidth="1" outlineLevel="1"/>
    <col min="77" max="77" width="5.7109375" style="114" customWidth="1" outlineLevel="1"/>
    <col min="78" max="78" width="0.5703125" style="59" customWidth="1"/>
    <col min="79" max="16384" width="11.42578125" style="59"/>
  </cols>
  <sheetData>
    <row r="1" spans="1:78" ht="3" customHeight="1">
      <c r="A1" s="383"/>
      <c r="B1" s="384"/>
      <c r="C1" s="384"/>
      <c r="D1" s="385"/>
      <c r="E1" s="383"/>
      <c r="F1" s="388"/>
      <c r="G1" s="389"/>
      <c r="H1" s="389"/>
      <c r="I1" s="389"/>
      <c r="J1" s="390"/>
      <c r="K1" s="386"/>
      <c r="L1" s="387"/>
      <c r="M1" s="388"/>
      <c r="N1" s="388"/>
      <c r="O1" s="389"/>
      <c r="P1" s="389"/>
      <c r="Q1" s="389"/>
      <c r="R1" s="389"/>
      <c r="S1" s="389"/>
      <c r="T1" s="389"/>
      <c r="U1" s="390"/>
      <c r="V1" s="389"/>
      <c r="W1" s="389"/>
      <c r="X1" s="389"/>
      <c r="Y1" s="389"/>
      <c r="Z1" s="389"/>
      <c r="AA1" s="390"/>
      <c r="AB1" s="391"/>
      <c r="AC1" s="387"/>
      <c r="AD1" s="388"/>
      <c r="AE1" s="388"/>
      <c r="AF1" s="389"/>
      <c r="AG1" s="389"/>
      <c r="AH1" s="389"/>
      <c r="AI1" s="389"/>
      <c r="AJ1" s="389"/>
      <c r="AK1" s="389"/>
      <c r="AL1" s="387"/>
      <c r="AM1" s="389"/>
      <c r="AN1" s="389"/>
      <c r="AO1" s="389"/>
      <c r="AP1" s="389"/>
      <c r="AQ1" s="389"/>
      <c r="AR1" s="387"/>
      <c r="AS1" s="391"/>
      <c r="AT1" s="387"/>
      <c r="AU1" s="388"/>
      <c r="AV1" s="388"/>
      <c r="AW1" s="389"/>
      <c r="AX1" s="389"/>
      <c r="AY1" s="389"/>
      <c r="AZ1" s="389"/>
      <c r="BA1" s="389"/>
      <c r="BB1" s="389"/>
      <c r="BC1" s="387"/>
      <c r="BD1" s="389"/>
      <c r="BE1" s="389"/>
      <c r="BF1" s="389"/>
      <c r="BG1" s="389"/>
      <c r="BH1" s="389"/>
      <c r="BI1" s="387"/>
      <c r="BJ1" s="386"/>
      <c r="BK1" s="387"/>
      <c r="BL1" s="388"/>
      <c r="BM1" s="388"/>
      <c r="BN1" s="389"/>
      <c r="BO1" s="389"/>
      <c r="BP1" s="389"/>
      <c r="BQ1" s="389"/>
      <c r="BR1" s="389"/>
      <c r="BS1" s="389"/>
      <c r="BT1" s="383"/>
      <c r="BU1" s="389"/>
      <c r="BV1" s="389"/>
      <c r="BW1" s="389"/>
      <c r="BX1" s="389"/>
      <c r="BY1" s="389"/>
      <c r="BZ1" s="383"/>
    </row>
    <row r="2" spans="1:78" s="60" customFormat="1" ht="48.6" customHeight="1">
      <c r="A2" s="398"/>
      <c r="B2" s="398"/>
      <c r="C2" s="794" t="s">
        <v>0</v>
      </c>
      <c r="D2" s="795"/>
      <c r="E2" s="399"/>
      <c r="F2" s="402" t="s">
        <v>1</v>
      </c>
      <c r="G2" s="402" t="s">
        <v>2</v>
      </c>
      <c r="H2" s="402" t="s">
        <v>3</v>
      </c>
      <c r="I2" s="402" t="s">
        <v>4</v>
      </c>
      <c r="J2" s="403"/>
      <c r="K2" s="400" t="s">
        <v>5</v>
      </c>
      <c r="L2" s="401"/>
      <c r="M2" s="402" t="s">
        <v>1</v>
      </c>
      <c r="N2" s="402" t="s">
        <v>2</v>
      </c>
      <c r="O2" s="402" t="s">
        <v>3</v>
      </c>
      <c r="P2" s="402" t="s">
        <v>6</v>
      </c>
      <c r="Q2" s="402" t="s">
        <v>7</v>
      </c>
      <c r="R2" s="402" t="s">
        <v>8</v>
      </c>
      <c r="S2" s="402" t="s">
        <v>9</v>
      </c>
      <c r="T2" s="402" t="s">
        <v>10</v>
      </c>
      <c r="U2" s="403"/>
      <c r="V2" s="402" t="s">
        <v>11</v>
      </c>
      <c r="W2" s="402" t="s">
        <v>7</v>
      </c>
      <c r="X2" s="402" t="s">
        <v>8</v>
      </c>
      <c r="Y2" s="402" t="s">
        <v>9</v>
      </c>
      <c r="Z2" s="402" t="s">
        <v>10</v>
      </c>
      <c r="AA2" s="403"/>
      <c r="AB2" s="400" t="s">
        <v>12</v>
      </c>
      <c r="AC2" s="401"/>
      <c r="AD2" s="402" t="s">
        <v>1</v>
      </c>
      <c r="AE2" s="402" t="s">
        <v>13</v>
      </c>
      <c r="AF2" s="402" t="s">
        <v>14</v>
      </c>
      <c r="AG2" s="402" t="s">
        <v>15</v>
      </c>
      <c r="AH2" s="402" t="s">
        <v>7</v>
      </c>
      <c r="AI2" s="402" t="s">
        <v>8</v>
      </c>
      <c r="AJ2" s="402" t="s">
        <v>9</v>
      </c>
      <c r="AK2" s="402" t="s">
        <v>10</v>
      </c>
      <c r="AL2" s="404"/>
      <c r="AM2" s="402" t="s">
        <v>16</v>
      </c>
      <c r="AN2" s="402" t="s">
        <v>7</v>
      </c>
      <c r="AO2" s="402" t="s">
        <v>8</v>
      </c>
      <c r="AP2" s="402" t="s">
        <v>9</v>
      </c>
      <c r="AQ2" s="402" t="s">
        <v>10</v>
      </c>
      <c r="AR2" s="404"/>
      <c r="AS2" s="400" t="s">
        <v>17</v>
      </c>
      <c r="AT2" s="401"/>
      <c r="AU2" s="402" t="s">
        <v>1</v>
      </c>
      <c r="AV2" s="402" t="s">
        <v>18</v>
      </c>
      <c r="AW2" s="602" t="s">
        <v>14</v>
      </c>
      <c r="AX2" s="402" t="s">
        <v>15</v>
      </c>
      <c r="AY2" s="402" t="s">
        <v>7</v>
      </c>
      <c r="AZ2" s="402" t="s">
        <v>8</v>
      </c>
      <c r="BA2" s="402" t="s">
        <v>9</v>
      </c>
      <c r="BB2" s="402" t="s">
        <v>10</v>
      </c>
      <c r="BC2" s="404"/>
      <c r="BD2" s="402" t="s">
        <v>16</v>
      </c>
      <c r="BE2" s="402" t="s">
        <v>7</v>
      </c>
      <c r="BF2" s="402" t="s">
        <v>8</v>
      </c>
      <c r="BG2" s="402" t="s">
        <v>9</v>
      </c>
      <c r="BH2" s="402" t="s">
        <v>10</v>
      </c>
      <c r="BI2" s="404"/>
      <c r="BJ2" s="400" t="s">
        <v>19</v>
      </c>
      <c r="BK2" s="401"/>
      <c r="BL2" s="402" t="s">
        <v>1</v>
      </c>
      <c r="BM2" s="402" t="s">
        <v>18</v>
      </c>
      <c r="BN2" s="602" t="s">
        <v>14</v>
      </c>
      <c r="BO2" s="402" t="s">
        <v>15</v>
      </c>
      <c r="BP2" s="402" t="s">
        <v>7</v>
      </c>
      <c r="BQ2" s="402" t="s">
        <v>8</v>
      </c>
      <c r="BR2" s="402" t="s">
        <v>9</v>
      </c>
      <c r="BS2" s="402" t="s">
        <v>10</v>
      </c>
      <c r="BT2" s="404"/>
      <c r="BU2" s="402" t="s">
        <v>16</v>
      </c>
      <c r="BV2" s="402" t="s">
        <v>7</v>
      </c>
      <c r="BW2" s="402" t="s">
        <v>8</v>
      </c>
      <c r="BX2" s="402" t="s">
        <v>9</v>
      </c>
      <c r="BY2" s="402" t="s">
        <v>10</v>
      </c>
      <c r="BZ2" s="383"/>
    </row>
    <row r="3" spans="1:78" s="284" customFormat="1" ht="15">
      <c r="A3" s="392"/>
      <c r="B3" s="393"/>
      <c r="C3" s="393"/>
      <c r="D3" s="394"/>
      <c r="E3" s="392"/>
      <c r="F3" s="395">
        <f>M3+AD3+AU3+BL3</f>
        <v>293</v>
      </c>
      <c r="G3" s="395">
        <f t="shared" ref="G3:I3" si="0">N3+AE3+AV3+BM3</f>
        <v>266</v>
      </c>
      <c r="H3" s="395">
        <f t="shared" si="0"/>
        <v>223</v>
      </c>
      <c r="I3" s="395">
        <f t="shared" si="0"/>
        <v>70</v>
      </c>
      <c r="J3" s="396"/>
      <c r="K3" s="392"/>
      <c r="L3" s="392"/>
      <c r="M3" s="395">
        <f t="shared" ref="M3:T3" si="1">COUNTIF(M62:M71,"=✔")+COUNTIF(M74:M82,"=✔")+COUNTIF(M85:M94,"=✔")+COUNTIF(M50:M59,"=✔")+COUNTIF(M97:M105,"=✔")+COUNTIF(M108:M117,"=✔")+COUNTIF(M120:M128,"=✔")+COUNTIF(M131:M140,"=✔")+COUNTIF(M143:M146,"=✔")+COUNTIF(M149:M150,"=✔")+COUNTIF(M157:M158,"=✔")+COUNTIF(M161:M162,"=✔")+COUNTIF(M165:M166,"=✔")+COUNTIF(M169:M170,"=✔")+COUNTIF(M173:M174,"=✔")+COUNTIF(M181:M182,"=✔")+COUNTIF(M153:M154,"=✔")+COUNTIF(M185:M186,"=✔")+COUNTIF(M202:M204,"=✔")+COUNTIF(M177:M178,"=✔")+COUNTIF(M207:M216,"=✔")+COUNTIF(M219:M222,"=✔")+COUNTIF(M225:M229,"=✔")+COUNTIF(M197:M199,"=✔")+COUNTIF(M234,"=✔")+COUNTIF(M9,"=✔")+COUNTIF(M15,"=✔")+COUNTIF(M21,"=✔")+COUNTIF(M28,"=✔")+COUNTIF(M37,"=✔")+COUNTIF(M193:M194,"=✔")+COUNTIF(M189:M190,"=✔")</f>
        <v>107</v>
      </c>
      <c r="N3" s="395">
        <f t="shared" si="1"/>
        <v>96</v>
      </c>
      <c r="O3" s="395">
        <f t="shared" si="1"/>
        <v>78</v>
      </c>
      <c r="P3" s="395">
        <f t="shared" si="1"/>
        <v>29</v>
      </c>
      <c r="Q3" s="395">
        <f t="shared" si="1"/>
        <v>27</v>
      </c>
      <c r="R3" s="395">
        <f t="shared" si="1"/>
        <v>2</v>
      </c>
      <c r="S3" s="395">
        <f t="shared" si="1"/>
        <v>0</v>
      </c>
      <c r="T3" s="395">
        <f t="shared" si="1"/>
        <v>0</v>
      </c>
      <c r="U3" s="396"/>
      <c r="V3" s="395">
        <f>COUNTIF(V62:V71,"=✔")+COUNTIF(V74:V82,"=✔")+COUNTIF(V85:V94,"=✔")+COUNTIF(V50:V59,"=✔")+COUNTIF(V97:V105,"=✔")+COUNTIF(V108:V117,"=✔")+COUNTIF(V120:V128,"=✔")+COUNTIF(V131:V140,"=✔")+COUNTIF(V143:V146,"=✔")+COUNTIF(V149:V150,"=✔")+COUNTIF(V157:V158,"=✔")+COUNTIF(V161:V162,"=✔")+COUNTIF(V165:V166,"=✔")+COUNTIF(V169:V170,"=✔")+COUNTIF(V173:V174,"=✔")+COUNTIF(V181:V182,"=✔")+COUNTIF(V153:V154,"=✔")+COUNTIF(V185:V186,"=✔")+COUNTIF(V202:V204,"=✔")+COUNTIF(V177:V178,"=✔")+COUNTIF(V207:V216,"=✔")+COUNTIF(V219:V222,"=✔")+COUNTIF(V225:V229,"=✔")+COUNTIF(V197:V199,"=✔")+COUNTIF(V234,"=✔")+COUNTIF(V9,"=✔")+COUNTIF(V15,"=✔")+COUNTIF(V21,"=✔")+COUNTIF(V28,"=✔")+COUNTIF(V37,"=✔")+COUNTIF(V193:V194,"=✔")+COUNTIF(V189:V190,"=✔")</f>
        <v>18</v>
      </c>
      <c r="W3" s="395">
        <f>COUNTIF(W62:W71,"=✔")+COUNTIF(W74:W82,"=✔")+COUNTIF(W85:W94,"=✔")+COUNTIF(W50:W59,"=✔")+COUNTIF(W97:W105,"=✔")+COUNTIF(W108:W117,"=✔")+COUNTIF(W120:W128,"=✔")+COUNTIF(W131:W140,"=✔")+COUNTIF(W143:W146,"=✔")+COUNTIF(W149:W150,"=✔")+COUNTIF(W157:W158,"=✔")+COUNTIF(W161:W162,"=✔")+COUNTIF(W165:W166,"=✔")+COUNTIF(W169:W170,"=✔")+COUNTIF(W173:W174,"=✔")+COUNTIF(W181:W182,"=✔")+COUNTIF(W153:W154,"=✔")+COUNTIF(W185:W186,"=✔")+COUNTIF(W202:W204,"=✔")+COUNTIF(W177:W178,"=✔")+COUNTIF(W207:W216,"=✔")+COUNTIF(W219:W222,"=✔")+COUNTIF(W225:W229,"=✔")+COUNTIF(W197:W199,"=✔")+COUNTIF(W234,"=✔")+COUNTIF(W9,"=✔")+COUNTIF(W15,"=✔")+COUNTIF(W21,"=✔")+COUNTIF(W28,"=✔")+COUNTIF(W37,"=✔")+COUNTIF(W193:W194,"=✔")+COUNTIF(W189:W190,"=✔")</f>
        <v>11</v>
      </c>
      <c r="X3" s="395">
        <f>COUNTIF(X62:X71,"=✔")+COUNTIF(X74:X82,"=✔")+COUNTIF(X85:X94,"=✔")+COUNTIF(X50:X59,"=✔")+COUNTIF(X97:X105,"=✔")+COUNTIF(X108:X117,"=✔")+COUNTIF(X120:X128,"=✔")+COUNTIF(X131:X140,"=✔")+COUNTIF(X143:X146,"=✔")+COUNTIF(X149:X150,"=✔")+COUNTIF(X157:X158,"=✔")+COUNTIF(X161:X162,"=✔")+COUNTIF(X165:X166,"=✔")+COUNTIF(X169:X170,"=✔")+COUNTIF(X173:X174,"=✔")+COUNTIF(X181:X182,"=✔")+COUNTIF(X153:X154,"=✔")+COUNTIF(X185:X186,"=✔")+COUNTIF(X202:X204,"=✔")+COUNTIF(X177:X178,"=✔")+COUNTIF(X207:X216,"=✔")+COUNTIF(X219:X222,"=✔")+COUNTIF(X225:X229,"=✔")+COUNTIF(X197:X199,"=✔")+COUNTIF(X234,"=✔")+COUNTIF(X9,"=✔")+COUNTIF(X15,"=✔")+COUNTIF(X21,"=✔")+COUNTIF(X28,"=✔")+COUNTIF(X37,"=✔")+COUNTIF(X193:X194,"=✔")+COUNTIF(X189:X190,"=✔")</f>
        <v>5</v>
      </c>
      <c r="Y3" s="395">
        <f>COUNTIF(Y62:Y71,"=✔")+COUNTIF(Y74:Y82,"=✔")+COUNTIF(Y85:Y94,"=✔")+COUNTIF(Y50:Y59,"=✔")+COUNTIF(Y97:Y105,"=✔")+COUNTIF(Y108:Y117,"=✔")+COUNTIF(Y120:Y128,"=✔")+COUNTIF(Y131:Y140,"=✔")+COUNTIF(Y143:Y146,"=✔")+COUNTIF(Y149:Y150,"=✔")+COUNTIF(Y157:Y158,"=✔")+COUNTIF(Y161:Y162,"=✔")+COUNTIF(Y165:Y166,"=✔")+COUNTIF(Y169:Y170,"=✔")+COUNTIF(Y173:Y174,"=✔")+COUNTIF(Y181:Y182,"=✔")+COUNTIF(Y153:Y154,"=✔")+COUNTIF(Y185:Y186,"=✔")+COUNTIF(Y202:Y204,"=✔")+COUNTIF(Y177:Y178,"=✔")+COUNTIF(Y207:Y216,"=✔")+COUNTIF(Y219:Y222,"=✔")+COUNTIF(Y225:Y229,"=✔")+COUNTIF(Y197:Y199,"=✔")+COUNTIF(Y234,"=✔")+COUNTIF(Y9,"=✔")+COUNTIF(Y15,"=✔")+COUNTIF(Y21,"=✔")+COUNTIF(Y28,"=✔")+COUNTIF(Y37,"=✔")+COUNTIF(Y193:Y194,"=✔")+COUNTIF(Y189:Y190,"=✔")</f>
        <v>2</v>
      </c>
      <c r="Z3" s="395">
        <f>COUNTIF(Z62:Z71,"=✔")+COUNTIF(Z74:Z82,"=✔")+COUNTIF(Z85:Z94,"=✔")+COUNTIF(Z50:Z59,"=✔")+COUNTIF(Z97:Z105,"=✔")+COUNTIF(Z108:Z117,"=✔")+COUNTIF(Z120:Z128,"=✔")+COUNTIF(Z131:Z140,"=✔")+COUNTIF(Z143:Z146,"=✔")+COUNTIF(Z149:Z150,"=✔")+COUNTIF(Z157:Z158,"=✔")+COUNTIF(Z161:Z162,"=✔")+COUNTIF(Z165:Z166,"=✔")+COUNTIF(Z169:Z170,"=✔")+COUNTIF(Z173:Z174,"=✔")+COUNTIF(Z181:Z182,"=✔")+COUNTIF(Z153:Z154,"=✔")+COUNTIF(Z185:Z186,"=✔")+COUNTIF(Z202:Z204,"=✔")+COUNTIF(Z177:Z178,"=✔")+COUNTIF(Z207:Z216,"=✔")+COUNTIF(Z219:Z222,"=✔")+COUNTIF(Z225:Z229,"=✔")+COUNTIF(Z197:Z199,"=✔")+COUNTIF(Z234,"=✔")+COUNTIF(Z9,"=✔")+COUNTIF(Z15,"=✔")+COUNTIF(Z21,"=✔")+COUNTIF(Z28,"=✔")+COUNTIF(Z37,"=✔")+COUNTIF(Z193:Z194,"=✔")+COUNTIF(Z189:Z190,"=✔")</f>
        <v>0</v>
      </c>
      <c r="AA3" s="396"/>
      <c r="AB3" s="392"/>
      <c r="AC3" s="392"/>
      <c r="AD3" s="395">
        <f t="shared" ref="AD3:AK3" si="2">COUNTIF(AD62:AD71,"=✔")+COUNTIF(AD74:AD82,"=✔")+COUNTIF(AD85:AD94,"=✔")+COUNTIF(AD50:AD59,"=✔")+COUNTIF(AD97:AD105,"=✔")+COUNTIF(AD108:AD117,"=✔")+COUNTIF(AD120:AD128,"=✔")+COUNTIF(AD131:AD140,"=✔")+COUNTIF(AD143:AD146,"=✔")+COUNTIF(AD149:AD150,"=✔")+COUNTIF(AD157:AD158,"=✔")+COUNTIF(AD161:AD162,"=✔")+COUNTIF(AD165:AD166,"=✔")+COUNTIF(AD169:AD170,"=✔")+COUNTIF(AD173:AD174,"=✔")+COUNTIF(AD181:AD182,"=✔")+COUNTIF(AD153:AD154,"=✔")+COUNTIF(AD185:AD186,"=✔")+COUNTIF(AD202:AD204,"=✔")+COUNTIF(AD177:AD178,"=✔")+COUNTIF(AD207:AD216,"=✔")+COUNTIF(AD219:AD222,"=✔")+COUNTIF(AD225:AD229,"=✔")+COUNTIF(AD197:AD199,"=✔")+COUNTIF(AD234,"=✔")+COUNTIF(AD9,"=✔")+COUNTIF(AD15,"=✔")+COUNTIF(AD21,"=✔")+COUNTIF(AD28,"=✔")+COUNTIF(AD37,"=✔")+COUNTIF(AD193:AD194,"=✔")+COUNTIF(AD189:AD190,"=✔")</f>
        <v>92</v>
      </c>
      <c r="AE3" s="395">
        <f t="shared" si="2"/>
        <v>87</v>
      </c>
      <c r="AF3" s="395">
        <f t="shared" si="2"/>
        <v>86</v>
      </c>
      <c r="AG3" s="395">
        <f t="shared" si="2"/>
        <v>6</v>
      </c>
      <c r="AH3" s="395">
        <f t="shared" si="2"/>
        <v>5</v>
      </c>
      <c r="AI3" s="395">
        <f t="shared" si="2"/>
        <v>1</v>
      </c>
      <c r="AJ3" s="395">
        <f t="shared" si="2"/>
        <v>0</v>
      </c>
      <c r="AK3" s="395">
        <f t="shared" si="2"/>
        <v>0</v>
      </c>
      <c r="AL3" s="397"/>
      <c r="AM3" s="395">
        <f>COUNTIF(AM62:AM71,"=✔")+COUNTIF(AM74:AM82,"=✔")+COUNTIF(AM85:AM94,"=✔")+COUNTIF(AM50:AM59,"=✔")+COUNTIF(AM97:AM105,"=✔")+COUNTIF(AM108:AM117,"=✔")+COUNTIF(AM120:AM128,"=✔")+COUNTIF(AM131:AM140,"=✔")+COUNTIF(AM143:AM146,"=✔")+COUNTIF(AM149:AM150,"=✔")+COUNTIF(AM157:AM158,"=✔")+COUNTIF(AM161:AM162,"=✔")+COUNTIF(AM165:AM166,"=✔")+COUNTIF(AM169:AM170,"=✔")+COUNTIF(AM173:AM174,"=✔")+COUNTIF(AM181:AM182,"=✔")+COUNTIF(AM153:AM154,"=✔")+COUNTIF(AM185:AM186,"=✔")+COUNTIF(AM202:AM204,"=✔")+COUNTIF(AM177:AM178,"=✔")+COUNTIF(AM207:AM216,"=✔")+COUNTIF(AM219:AM222,"=✔")+COUNTIF(AM225:AM229,"=✔")+COUNTIF(AM197:AM199,"=✔")+COUNTIF(AM234,"=✔")+COUNTIF(AM9,"=✔")+COUNTIF(AM15,"=✔")+COUNTIF(AM21,"=✔")+COUNTIF(AM28,"=✔")+COUNTIF(AM37,"=✔")+COUNTIF(AM193:AM194,"=✔")+COUNTIF(AM189:AM190,"=✔")</f>
        <v>1</v>
      </c>
      <c r="AN3" s="395">
        <f>COUNTIF(AN62:AN71,"=✔")+COUNTIF(AN74:AN82,"=✔")+COUNTIF(AN85:AN94,"=✔")+COUNTIF(AN50:AN59,"=✔")+COUNTIF(AN97:AN105,"=✔")+COUNTIF(AN108:AN117,"=✔")+COUNTIF(AN120:AN128,"=✔")+COUNTIF(AN131:AN140,"=✔")+COUNTIF(AN143:AN146,"=✔")+COUNTIF(AN149:AN150,"=✔")+COUNTIF(AN157:AN158,"=✔")+COUNTIF(AN161:AN162,"=✔")+COUNTIF(AN165:AN166,"=✔")+COUNTIF(AN169:AN170,"=✔")+COUNTIF(AN173:AN174,"=✔")+COUNTIF(AN181:AN182,"=✔")+COUNTIF(AN153:AN154,"=✔")+COUNTIF(AN185:AN186,"=✔")+COUNTIF(AN202:AN204,"=✔")+COUNTIF(AN177:AN178,"=✔")+COUNTIF(AN207:AN216,"=✔")+COUNTIF(AN219:AN222,"=✔")+COUNTIF(AN225:AN229,"=✔")+COUNTIF(AN197:AN199,"=✔")+COUNTIF(AN234,"=✔")+COUNTIF(AN9,"=✔")+COUNTIF(AN15,"=✔")+COUNTIF(AN21,"=✔")+COUNTIF(AN28,"=✔")+COUNTIF(AN37,"=✔")+COUNTIF(AN193:AN194,"=✔")+COUNTIF(AN189:AN190,"=✔")</f>
        <v>0</v>
      </c>
      <c r="AO3" s="395">
        <f>COUNTIF(AO62:AO71,"=✔")+COUNTIF(AO74:AO82,"=✔")+COUNTIF(AO85:AO94,"=✔")+COUNTIF(AO50:AO59,"=✔")+COUNTIF(AO97:AO105,"=✔")+COUNTIF(AO108:AO117,"=✔")+COUNTIF(AO120:AO128,"=✔")+COUNTIF(AO131:AO140,"=✔")+COUNTIF(AO143:AO146,"=✔")+COUNTIF(AO149:AO150,"=✔")+COUNTIF(AO157:AO158,"=✔")+COUNTIF(AO161:AO162,"=✔")+COUNTIF(AO165:AO166,"=✔")+COUNTIF(AO169:AO170,"=✔")+COUNTIF(AO173:AO174,"=✔")+COUNTIF(AO181:AO182,"=✔")+COUNTIF(AO153:AO154,"=✔")+COUNTIF(AO185:AO186,"=✔")+COUNTIF(AO202:AO204,"=✔")+COUNTIF(AO177:AO178,"=✔")+COUNTIF(AO207:AO216,"=✔")+COUNTIF(AO219:AO222,"=✔")+COUNTIF(AO225:AO229,"=✔")+COUNTIF(AO197:AO199,"=✔")+COUNTIF(AO234,"=✔")+COUNTIF(AO9,"=✔")+COUNTIF(AO15,"=✔")+COUNTIF(AO21,"=✔")+COUNTIF(AO28,"=✔")+COUNTIF(AO37,"=✔")+COUNTIF(AO193:AO194,"=✔")+COUNTIF(AO189:AO190,"=✔")</f>
        <v>0</v>
      </c>
      <c r="AP3" s="395">
        <f>COUNTIF(AP62:AP71,"=✔")+COUNTIF(AP74:AP82,"=✔")+COUNTIF(AP85:AP94,"=✔")+COUNTIF(AP50:AP59,"=✔")+COUNTIF(AP97:AP105,"=✔")+COUNTIF(AP108:AP117,"=✔")+COUNTIF(AP120:AP128,"=✔")+COUNTIF(AP131:AP140,"=✔")+COUNTIF(AP143:AP146,"=✔")+COUNTIF(AP149:AP150,"=✔")+COUNTIF(AP157:AP158,"=✔")+COUNTIF(AP161:AP162,"=✔")+COUNTIF(AP165:AP166,"=✔")+COUNTIF(AP169:AP170,"=✔")+COUNTIF(AP173:AP174,"=✔")+COUNTIF(AP181:AP182,"=✔")+COUNTIF(AP153:AP154,"=✔")+COUNTIF(AP185:AP186,"=✔")+COUNTIF(AP202:AP204,"=✔")+COUNTIF(AP177:AP178,"=✔")+COUNTIF(AP207:AP216,"=✔")+COUNTIF(AP219:AP222,"=✔")+COUNTIF(AP225:AP229,"=✔")+COUNTIF(AP197:AP199,"=✔")+COUNTIF(AP234,"=✔")+COUNTIF(AP9,"=✔")+COUNTIF(AP15,"=✔")+COUNTIF(AP21,"=✔")+COUNTIF(AP28,"=✔")+COUNTIF(AP37,"=✔")+COUNTIF(AP193:AP194,"=✔")+COUNTIF(AP189:AP190,"=✔")</f>
        <v>1</v>
      </c>
      <c r="AQ3" s="395">
        <f>COUNTIF(AQ62:AQ71,"=✔")+COUNTIF(AQ74:AQ82,"=✔")+COUNTIF(AQ85:AQ94,"=✔")+COUNTIF(AQ50:AQ59,"=✔")+COUNTIF(AQ97:AQ105,"=✔")+COUNTIF(AQ108:AQ117,"=✔")+COUNTIF(AQ120:AQ128,"=✔")+COUNTIF(AQ131:AQ140,"=✔")+COUNTIF(AQ143:AQ146,"=✔")+COUNTIF(AQ149:AQ150,"=✔")+COUNTIF(AQ157:AQ158,"=✔")+COUNTIF(AQ161:AQ162,"=✔")+COUNTIF(AQ165:AQ166,"=✔")+COUNTIF(AQ169:AQ170,"=✔")+COUNTIF(AQ173:AQ174,"=✔")+COUNTIF(AQ181:AQ182,"=✔")+COUNTIF(AQ153:AQ154,"=✔")+COUNTIF(AQ185:AQ186,"=✔")+COUNTIF(AQ202:AQ204,"=✔")+COUNTIF(AQ177:AQ178,"=✔")+COUNTIF(AQ207:AQ216,"=✔")+COUNTIF(AQ219:AQ222,"=✔")+COUNTIF(AQ225:AQ229,"=✔")+COUNTIF(AQ197:AQ199,"=✔")+COUNTIF(AQ234,"=✔")+COUNTIF(AQ9,"=✔")+COUNTIF(AQ15,"=✔")+COUNTIF(AQ21,"=✔")+COUNTIF(AQ28,"=✔")+COUNTIF(AQ37,"=✔")+COUNTIF(AQ193:AQ194,"=✔")+COUNTIF(AQ189:AQ190,"=✔")</f>
        <v>0</v>
      </c>
      <c r="AR3" s="397"/>
      <c r="AS3" s="392"/>
      <c r="AT3" s="392"/>
      <c r="AU3" s="395">
        <f t="shared" ref="AU3:BB3" si="3">COUNTIF(AU62:AU71,"=✔")+COUNTIF(AU74:AU82,"=✔")+COUNTIF(AU85:AU94,"=✔")+COUNTIF(AU50:AU59,"=✔")+COUNTIF(AU97:AU105,"=✔")+COUNTIF(AU108:AU117,"=✔")+COUNTIF(AU120:AU128,"=✔")+COUNTIF(AU131:AU140,"=✔")+COUNTIF(AU143:AU146,"=✔")+COUNTIF(AU149:AU150,"=✔")+COUNTIF(AU157:AU158,"=✔")+COUNTIF(AU161:AU162,"=✔")+COUNTIF(AU165:AU166,"=✔")+COUNTIF(AU169:AU170,"=✔")+COUNTIF(AU173:AU174,"=✔")+COUNTIF(AU181:AU182,"=✔")+COUNTIF(AU153:AU154,"=✔")+COUNTIF(AU185:AU186,"=✔")+COUNTIF(AU202:AU204,"=✔")+COUNTIF(AU177:AU178,"=✔")+COUNTIF(AU207:AU216,"=✔")+COUNTIF(AU219:AU222,"=✔")+COUNTIF(AU225:AU229,"=✔")+COUNTIF(AU197:AU199,"=✔")+COUNTIF(AU234,"=✔")+COUNTIF(AU9,"=✔")+COUNTIF(AU15,"=✔")+COUNTIF(AU21,"=✔")+COUNTIF(AU28,"=✔")+COUNTIF(AU37,"=✔")+COUNTIF(AU193:AU194,"=✔")+COUNTIF(AU189:AU190,"=✔")</f>
        <v>66</v>
      </c>
      <c r="AV3" s="395">
        <f t="shared" si="3"/>
        <v>57</v>
      </c>
      <c r="AW3" s="395">
        <f t="shared" si="3"/>
        <v>45</v>
      </c>
      <c r="AX3" s="395">
        <f t="shared" si="3"/>
        <v>21</v>
      </c>
      <c r="AY3" s="395">
        <f t="shared" si="3"/>
        <v>19</v>
      </c>
      <c r="AZ3" s="395">
        <f t="shared" si="3"/>
        <v>1</v>
      </c>
      <c r="BA3" s="395">
        <f t="shared" si="3"/>
        <v>0</v>
      </c>
      <c r="BB3" s="395">
        <f t="shared" si="3"/>
        <v>1</v>
      </c>
      <c r="BC3" s="397"/>
      <c r="BD3" s="395">
        <f>COUNTIF(BD62:BD71,"=✔")+COUNTIF(BD74:BD82,"=✔")+COUNTIF(BD85:BD94,"=✔")+COUNTIF(BD50:BD59,"=✔")+COUNTIF(BD97:BD105,"=✔")+COUNTIF(BD108:BD117,"=✔")+COUNTIF(BD120:BD128,"=✔")+COUNTIF(BD131:BD140,"=✔")+COUNTIF(BD143:BD146,"=✔")+COUNTIF(BD149:BD150,"=✔")+COUNTIF(BD157:BD158,"=✔")+COUNTIF(BD161:BD162,"=✔")+COUNTIF(BD165:BD166,"=✔")+COUNTIF(BD169:BD170,"=✔")+COUNTIF(BD173:BD174,"=✔")+COUNTIF(BD181:BD182,"=✔")+COUNTIF(BD153:BD154,"=✔")+COUNTIF(BD185:BD186,"=✔")+COUNTIF(BD202:BD204,"=✔")+COUNTIF(BD177:BD178,"=✔")+COUNTIF(BD207:BD216,"=✔")+COUNTIF(BD219:BD222,"=✔")+COUNTIF(BD225:BD229,"=✔")+COUNTIF(BD197:BD199,"=✔")+COUNTIF(BD234,"=✔")+COUNTIF(BD9,"=✔")+COUNTIF(BD15,"=✔")+COUNTIF(BD21,"=✔")+COUNTIF(BD28,"=✔")+COUNTIF(BD37,"=✔")+COUNTIF(BD193:BD194,"=✔")+COUNTIF(BD189:BD190,"=✔")</f>
        <v>12</v>
      </c>
      <c r="BE3" s="395">
        <f>COUNTIF(BE62:BE71,"=✔")+COUNTIF(BE74:BE82,"=✔")+COUNTIF(BE85:BE94,"=✔")+COUNTIF(BE50:BE59,"=✔")+COUNTIF(BE97:BE105,"=✔")+COUNTIF(BE108:BE117,"=✔")+COUNTIF(BE120:BE128,"=✔")+COUNTIF(BE131:BE140,"=✔")+COUNTIF(BE143:BE146,"=✔")+COUNTIF(BE149:BE150,"=✔")+COUNTIF(BE157:BE158,"=✔")+COUNTIF(BE161:BE162,"=✔")+COUNTIF(BE165:BE166,"=✔")+COUNTIF(BE169:BE170,"=✔")+COUNTIF(BE173:BE174,"=✔")+COUNTIF(BE181:BE182,"=✔")+COUNTIF(BE153:BE154,"=✔")+COUNTIF(BE185:BE186,"=✔")+COUNTIF(BE202:BE204,"=✔")+COUNTIF(BE177:BE178,"=✔")+COUNTIF(BE207:BE216,"=✔")+COUNTIF(BE219:BE222,"=✔")+COUNTIF(BE225:BE229,"=✔")+COUNTIF(BE197:BE199,"=✔")+COUNTIF(BE234,"=✔")+COUNTIF(BE9,"=✔")+COUNTIF(BE15,"=✔")+COUNTIF(BE21,"=✔")+COUNTIF(BE28,"=✔")+COUNTIF(BE37,"=✔")+COUNTIF(BE193:BE194,"=✔")+COUNTIF(BE189:BE190,"=✔")</f>
        <v>0</v>
      </c>
      <c r="BF3" s="395">
        <f>COUNTIF(BF62:BF71,"=✔")+COUNTIF(BF74:BF82,"=✔")+COUNTIF(BF85:BF94,"=✔")+COUNTIF(BF50:BF59,"=✔")+COUNTIF(BF97:BF105,"=✔")+COUNTIF(BF108:BF117,"=✔")+COUNTIF(BF120:BF128,"=✔")+COUNTIF(BF131:BF140,"=✔")+COUNTIF(BF143:BF146,"=✔")+COUNTIF(BF149:BF150,"=✔")+COUNTIF(BF157:BF158,"=✔")+COUNTIF(BF161:BF162,"=✔")+COUNTIF(BF165:BF166,"=✔")+COUNTIF(BF169:BF170,"=✔")+COUNTIF(BF173:BF174,"=✔")+COUNTIF(BF181:BF182,"=✔")+COUNTIF(BF153:BF154,"=✔")+COUNTIF(BF185:BF186,"=✔")+COUNTIF(BF202:BF204,"=✔")+COUNTIF(BF177:BF178,"=✔")+COUNTIF(BF207:BF216,"=✔")+COUNTIF(BF219:BF222,"=✔")+COUNTIF(BF225:BF229,"=✔")+COUNTIF(BF197:BF199,"=✔")+COUNTIF(BF234,"=✔")+COUNTIF(BF9,"=✔")+COUNTIF(BF15,"=✔")+COUNTIF(BF21,"=✔")+COUNTIF(BF28,"=✔")+COUNTIF(BF37,"=✔")+COUNTIF(BF193:BF194,"=✔")+COUNTIF(BF189:BF190,"=✔")</f>
        <v>6</v>
      </c>
      <c r="BG3" s="395">
        <f>COUNTIF(BG62:BG71,"=✔")+COUNTIF(BG74:BG82,"=✔")+COUNTIF(BG85:BG94,"=✔")+COUNTIF(BG50:BG59,"=✔")+COUNTIF(BG97:BG105,"=✔")+COUNTIF(BG108:BG117,"=✔")+COUNTIF(BG120:BG128,"=✔")+COUNTIF(BG131:BG140,"=✔")+COUNTIF(BG143:BG146,"=✔")+COUNTIF(BG149:BG150,"=✔")+COUNTIF(BG157:BG158,"=✔")+COUNTIF(BG161:BG162,"=✔")+COUNTIF(BG165:BG166,"=✔")+COUNTIF(BG169:BG170,"=✔")+COUNTIF(BG173:BG174,"=✔")+COUNTIF(BG181:BG182,"=✔")+COUNTIF(BG153:BG154,"=✔")+COUNTIF(BG185:BG186,"=✔")+COUNTIF(BG202:BG204,"=✔")+COUNTIF(BG177:BG178,"=✔")+COUNTIF(BG207:BG216,"=✔")+COUNTIF(BG219:BG222,"=✔")+COUNTIF(BG225:BG229,"=✔")+COUNTIF(BG197:BG199,"=✔")+COUNTIF(BG234,"=✔")+COUNTIF(BG9,"=✔")+COUNTIF(BG15,"=✔")+COUNTIF(BG21,"=✔")+COUNTIF(BG28,"=✔")+COUNTIF(BG37,"=✔")+COUNTIF(BG193:BG194,"=✔")+COUNTIF(BG189:BG190,"=✔")</f>
        <v>3</v>
      </c>
      <c r="BH3" s="395">
        <f>COUNTIF(BH62:BH71,"=✔")+COUNTIF(BH74:BH82,"=✔")+COUNTIF(BH85:BH94,"=✔")+COUNTIF(BH50:BH59,"=✔")+COUNTIF(BH97:BH105,"=✔")+COUNTIF(BH108:BH117,"=✔")+COUNTIF(BH120:BH128,"=✔")+COUNTIF(BH131:BH140,"=✔")+COUNTIF(BH143:BH146,"=✔")+COUNTIF(BH149:BH150,"=✔")+COUNTIF(BH157:BH158,"=✔")+COUNTIF(BH161:BH162,"=✔")+COUNTIF(BH165:BH166,"=✔")+COUNTIF(BH169:BH170,"=✔")+COUNTIF(BH173:BH174,"=✔")+COUNTIF(BH181:BH182,"=✔")+COUNTIF(BH153:BH154,"=✔")+COUNTIF(BH185:BH186,"=✔")+COUNTIF(BH202:BH204,"=✔")+COUNTIF(BH177:BH178,"=✔")+COUNTIF(BH207:BH216,"=✔")+COUNTIF(BH219:BH222,"=✔")+COUNTIF(BH225:BH229,"=✔")+COUNTIF(BH197:BH199,"=✔")+COUNTIF(BH234,"=✔")+COUNTIF(BH9,"=✔")+COUNTIF(BH15,"=✔")+COUNTIF(BH21,"=✔")+COUNTIF(BH28,"=✔")+COUNTIF(BH37,"=✔")+COUNTIF(BH193:BH194,"=✔")+COUNTIF(BH189:BH190,"=✔")</f>
        <v>3</v>
      </c>
      <c r="BI3" s="397"/>
      <c r="BJ3" s="392"/>
      <c r="BK3" s="392"/>
      <c r="BL3" s="395">
        <f t="shared" ref="BL3:BS3" si="4">COUNTIF(BL62:BL71,"=✔")+COUNTIF(BL74:BL82,"=✔")+COUNTIF(BL85:BL94,"=✔")+COUNTIF(BL50:BL59,"=✔")+COUNTIF(BL97:BL105,"=✔")+COUNTIF(BL108:BL117,"=✔")+COUNTIF(BL120:BL128,"=✔")+COUNTIF(BL131:BL140,"=✔")+COUNTIF(BL143:BL146,"=✔")+COUNTIF(BL149:BL150,"=✔")+COUNTIF(BL157:BL158,"=✔")+COUNTIF(BL161:BL162,"=✔")+COUNTIF(BL165:BL166,"=✔")+COUNTIF(BL169:BL170,"=✔")+COUNTIF(BL173:BL174,"=✔")+COUNTIF(BL181:BL182,"=✔")+COUNTIF(BL153:BL154,"=✔")+COUNTIF(BL185:BL186,"=✔")+COUNTIF(BL202:BL204,"=✔")+COUNTIF(BL177:BL178,"=✔")+COUNTIF(BL207:BL216,"=✔")+COUNTIF(BL219:BL222,"=✔")+COUNTIF(BL225:BL229,"=✔")+COUNTIF(BL197:BL199,"=✔")+COUNTIF(BL234,"=✔")+COUNTIF(BL9,"=✔")+COUNTIF(BL15,"=✔")+COUNTIF(BL21,"=✔")+COUNTIF(BL28,"=✔")+COUNTIF(BL37,"=✔")+COUNTIF(BL193:BL194,"=✔")+COUNTIF(BL189:BL190,"=✔")</f>
        <v>28</v>
      </c>
      <c r="BM3" s="395">
        <f t="shared" si="4"/>
        <v>26</v>
      </c>
      <c r="BN3" s="395">
        <f t="shared" si="4"/>
        <v>14</v>
      </c>
      <c r="BO3" s="395">
        <f>COUNTIF(BO62:BO71,"=✔")+COUNTIF(BO74:BO82,"=✔")+COUNTIF(BO85:BO94,"=✔")+COUNTIF(BO50:BO59,"=✔")+COUNTIF(BO97:BO105,"=✔")+COUNTIF(BO108:BO117,"=✔")+COUNTIF(BO120:BO128,"=✔")+COUNTIF(BO131:BO140,"=✔")+COUNTIF(BO143:BO146,"=✔")+COUNTIF(BO149:BO150,"=✔")+COUNTIF(BO157:BO158,"=✔")+COUNTIF(BO161:BO162,"=✔")+COUNTIF(BO165:BO166,"=✔")+COUNTIF(BO169:BO170,"=✔")+COUNTIF(BO173:BO174,"=✔")+COUNTIF(BO181:BO182,"=✔")+COUNTIF(BO153:BO154,"=✔")+COUNTIF(BO185:BO186,"=✔")+COUNTIF(BO202:BO204,"=✔")+COUNTIF(BO177:BO178,"=✔")+COUNTIF(BO207:BO216,"=✔")+COUNTIF(BO219:BO222,"=✔")+COUNTIF(BO225:BO229,"=✔")+COUNTIF(BO197:BO199,"=✔")+COUNTIF(BO234,"=✔")+COUNTIF(BO9,"=✔")+COUNTIF(BO15,"=✔")+COUNTIF(BO21,"=✔")+COUNTIF(BO28,"=✔")+COUNTIF(BO37,"=✔")+COUNTIF(BO193:BO194,"=✔")+COUNTIF(BO189:BO190,"=✔")</f>
        <v>14</v>
      </c>
      <c r="BP3" s="395">
        <f t="shared" si="4"/>
        <v>13</v>
      </c>
      <c r="BQ3" s="395">
        <f t="shared" si="4"/>
        <v>1</v>
      </c>
      <c r="BR3" s="395">
        <f t="shared" si="4"/>
        <v>0</v>
      </c>
      <c r="BS3" s="395">
        <f t="shared" si="4"/>
        <v>0</v>
      </c>
      <c r="BT3" s="397"/>
      <c r="BU3" s="395">
        <f>COUNTIF(BU62:BU71,"=✔")+COUNTIF(BU74:BU82,"=✔")+COUNTIF(BU85:BU94,"=✔")+COUNTIF(BU50:BU59,"=✔")+COUNTIF(BU97:BU105,"=✔")+COUNTIF(BU108:BU117,"=✔")+COUNTIF(BU120:BU128,"=✔")+COUNTIF(BU131:BU140,"=✔")+COUNTIF(BU143:BU146,"=✔")+COUNTIF(BU149:BU150,"=✔")+COUNTIF(BU157:BU158,"=✔")+COUNTIF(BU161:BU162,"=✔")+COUNTIF(BU165:BU166,"=✔")+COUNTIF(BU169:BU170,"=✔")+COUNTIF(BU173:BU174,"=✔")+COUNTIF(BU181:BU182,"=✔")+COUNTIF(BU153:BU154,"=✔")+COUNTIF(BU185:BU186,"=✔")+COUNTIF(BU202:BU204,"=✔")+COUNTIF(BU177:BU178,"=✔")+COUNTIF(BU207:BU216,"=✔")+COUNTIF(BU219:BU222,"=✔")+COUNTIF(BU225:BU229,"=✔")+COUNTIF(BU197:BU199,"=✔")+COUNTIF(BU234,"=✔")+COUNTIF(BU9,"=✔")+COUNTIF(BU15,"=✔")+COUNTIF(BU21,"=✔")+COUNTIF(BU28,"=✔")+COUNTIF(BU37,"=✔")+COUNTIF(BU193:BU194,"=✔")+COUNTIF(BU189:BU190,"=✔")</f>
        <v>12</v>
      </c>
      <c r="BV3" s="395">
        <f>COUNTIF(BV62:BV71,"=✔")+COUNTIF(BV74:BV82,"=✔")+COUNTIF(BV85:BV94,"=✔")+COUNTIF(BV50:BV59,"=✔")+COUNTIF(BV97:BV105,"=✔")+COUNTIF(BV108:BV117,"=✔")+COUNTIF(BV120:BV128,"=✔")+COUNTIF(BV131:BV140,"=✔")+COUNTIF(BV143:BV146,"=✔")+COUNTIF(BV149:BV150,"=✔")+COUNTIF(BV157:BV158,"=✔")+COUNTIF(BV161:BV162,"=✔")+COUNTIF(BV165:BV166,"=✔")+COUNTIF(BV169:BV170,"=✔")+COUNTIF(BV173:BV174,"=✔")+COUNTIF(BV181:BV182,"=✔")+COUNTIF(BV153:BV154,"=✔")+COUNTIF(BV185:BV186,"=✔")+COUNTIF(BV202:BV204,"=✔")+COUNTIF(BV177:BV178,"=✔")+COUNTIF(BV207:BV216,"=✔")+COUNTIF(BV219:BV222,"=✔")+COUNTIF(BV225:BV229,"=✔")+COUNTIF(BV197:BV199,"=✔")+COUNTIF(BV234,"=✔")+COUNTIF(BV9,"=✔")+COUNTIF(BV15,"=✔")+COUNTIF(BV21,"=✔")+COUNTIF(BV28,"=✔")+COUNTIF(BV37,"=✔")+COUNTIF(BV193:BV194,"=✔")+COUNTIF(BV189:BV190,"=✔")</f>
        <v>0</v>
      </c>
      <c r="BW3" s="395">
        <f>COUNTIF(BW62:BW71,"=✔")+COUNTIF(BW74:BW82,"=✔")+COUNTIF(BW85:BW94,"=✔")+COUNTIF(BW50:BW59,"=✔")+COUNTIF(BW97:BW105,"=✔")+COUNTIF(BW108:BW117,"=✔")+COUNTIF(BW120:BW128,"=✔")+COUNTIF(BW131:BW140,"=✔")+COUNTIF(BW143:BW146,"=✔")+COUNTIF(BW149:BW150,"=✔")+COUNTIF(BW157:BW158,"=✔")+COUNTIF(BW161:BW162,"=✔")+COUNTIF(BW165:BW166,"=✔")+COUNTIF(BW169:BW170,"=✔")+COUNTIF(BW173:BW174,"=✔")+COUNTIF(BW181:BW182,"=✔")+COUNTIF(BW153:BW154,"=✔")+COUNTIF(BW185:BW186,"=✔")+COUNTIF(BW202:BW204,"=✔")+COUNTIF(BW177:BW178,"=✔")+COUNTIF(BW207:BW216,"=✔")+COUNTIF(BW219:BW222,"=✔")+COUNTIF(BW225:BW229,"=✔")+COUNTIF(BW197:BW199,"=✔")+COUNTIF(BW234,"=✔")+COUNTIF(BW9,"=✔")+COUNTIF(BW15,"=✔")+COUNTIF(BW21,"=✔")+COUNTIF(BW28,"=✔")+COUNTIF(BW37,"=✔")+COUNTIF(BW193:BW194,"=✔")+COUNTIF(BW189:BW190,"=✔")</f>
        <v>6</v>
      </c>
      <c r="BX3" s="395">
        <f>COUNTIF(BX62:BX71,"=✔")+COUNTIF(BX74:BX82,"=✔")+COUNTIF(BX85:BX94,"=✔")+COUNTIF(BX50:BX59,"=✔")+COUNTIF(BX97:BX105,"=✔")+COUNTIF(BX108:BX117,"=✔")+COUNTIF(BX120:BX128,"=✔")+COUNTIF(BX131:BX140,"=✔")+COUNTIF(BX143:BX146,"=✔")+COUNTIF(BX149:BX150,"=✔")+COUNTIF(BX157:BX158,"=✔")+COUNTIF(BX161:BX162,"=✔")+COUNTIF(BX165:BX166,"=✔")+COUNTIF(BX169:BX170,"=✔")+COUNTIF(BX173:BX174,"=✔")+COUNTIF(BX181:BX182,"=✔")+COUNTIF(BX153:BX154,"=✔")+COUNTIF(BX185:BX186,"=✔")+COUNTIF(BX202:BX204,"=✔")+COUNTIF(BX177:BX178,"=✔")+COUNTIF(BX207:BX216,"=✔")+COUNTIF(BX219:BX222,"=✔")+COUNTIF(BX225:BX229,"=✔")+COUNTIF(BX197:BX199,"=✔")+COUNTIF(BX234,"=✔")+COUNTIF(BX9,"=✔")+COUNTIF(BX15,"=✔")+COUNTIF(BX21,"=✔")+COUNTIF(BX28,"=✔")+COUNTIF(BX37,"=✔")+COUNTIF(BX193:BX194,"=✔")+COUNTIF(BX189:BX190,"=✔")</f>
        <v>0</v>
      </c>
      <c r="BY3" s="395">
        <f>COUNTIF(BY62:BY71,"=✔")+COUNTIF(BY74:BY82,"=✔")+COUNTIF(BY85:BY94,"=✔")+COUNTIF(BY50:BY59,"=✔")+COUNTIF(BY97:BY105,"=✔")+COUNTIF(BY108:BY117,"=✔")+COUNTIF(BY120:BY128,"=✔")+COUNTIF(BY131:BY140,"=✔")+COUNTIF(BY143:BY146,"=✔")+COUNTIF(BY149:BY150,"=✔")+COUNTIF(BY157:BY158,"=✔")+COUNTIF(BY161:BY162,"=✔")+COUNTIF(BY165:BY166,"=✔")+COUNTIF(BY169:BY170,"=✔")+COUNTIF(BY173:BY174,"=✔")+COUNTIF(BY181:BY182,"=✔")+COUNTIF(BY153:BY154,"=✔")+COUNTIF(BY185:BY186,"=✔")+COUNTIF(BY202:BY204,"=✔")+COUNTIF(BY177:BY178,"=✔")+COUNTIF(BY207:BY216,"=✔")+COUNTIF(BY219:BY222,"=✔")+COUNTIF(BY225:BY229,"=✔")+COUNTIF(BY197:BY199,"=✔")+COUNTIF(BY234,"=✔")+COUNTIF(BY9,"=✔")+COUNTIF(BY15,"=✔")+COUNTIF(BY21,"=✔")+COUNTIF(BY28,"=✔")+COUNTIF(BY37,"=✔")+COUNTIF(BY193:BY194,"=✔")+COUNTIF(BY189:BY190,"=✔")</f>
        <v>6</v>
      </c>
      <c r="BZ3" s="383"/>
    </row>
    <row r="4" spans="1:78" ht="3" customHeight="1">
      <c r="A4" s="383"/>
      <c r="B4" s="384"/>
      <c r="C4" s="384"/>
      <c r="D4" s="405"/>
      <c r="E4" s="406"/>
      <c r="F4" s="408"/>
      <c r="G4" s="409"/>
      <c r="H4" s="409"/>
      <c r="I4" s="409"/>
      <c r="J4" s="411"/>
      <c r="K4" s="386"/>
      <c r="L4" s="407"/>
      <c r="M4" s="408"/>
      <c r="N4" s="408"/>
      <c r="O4" s="409"/>
      <c r="P4" s="409"/>
      <c r="Q4" s="409"/>
      <c r="R4" s="409"/>
      <c r="S4" s="409"/>
      <c r="T4" s="410"/>
      <c r="U4" s="411"/>
      <c r="V4" s="409"/>
      <c r="W4" s="409"/>
      <c r="X4" s="409"/>
      <c r="Y4" s="409"/>
      <c r="Z4" s="410"/>
      <c r="AA4" s="411"/>
      <c r="AB4" s="386"/>
      <c r="AC4" s="407"/>
      <c r="AD4" s="408"/>
      <c r="AE4" s="408"/>
      <c r="AF4" s="409"/>
      <c r="AG4" s="409"/>
      <c r="AH4" s="409"/>
      <c r="AI4" s="409"/>
      <c r="AJ4" s="409"/>
      <c r="AK4" s="410"/>
      <c r="AL4" s="407"/>
      <c r="AM4" s="409"/>
      <c r="AN4" s="409"/>
      <c r="AO4" s="409"/>
      <c r="AP4" s="409"/>
      <c r="AQ4" s="410"/>
      <c r="AR4" s="407"/>
      <c r="AS4" s="386"/>
      <c r="AT4" s="407"/>
      <c r="AU4" s="408"/>
      <c r="AV4" s="408"/>
      <c r="AW4" s="409"/>
      <c r="AX4" s="409"/>
      <c r="AY4" s="409"/>
      <c r="AZ4" s="409"/>
      <c r="BA4" s="409"/>
      <c r="BB4" s="410"/>
      <c r="BC4" s="407"/>
      <c r="BD4" s="409"/>
      <c r="BE4" s="409"/>
      <c r="BF4" s="409"/>
      <c r="BG4" s="409"/>
      <c r="BH4" s="410"/>
      <c r="BI4" s="407"/>
      <c r="BJ4" s="386"/>
      <c r="BK4" s="407"/>
      <c r="BL4" s="408"/>
      <c r="BM4" s="408"/>
      <c r="BN4" s="409"/>
      <c r="BO4" s="409"/>
      <c r="BP4" s="409"/>
      <c r="BQ4" s="409"/>
      <c r="BR4" s="409"/>
      <c r="BS4" s="410"/>
      <c r="BT4" s="406"/>
      <c r="BU4" s="409"/>
      <c r="BV4" s="409"/>
      <c r="BW4" s="409"/>
      <c r="BX4" s="409"/>
      <c r="BY4" s="410"/>
      <c r="BZ4" s="383"/>
    </row>
    <row r="5" spans="1:78" ht="3" customHeight="1">
      <c r="A5" s="383"/>
      <c r="B5" s="412"/>
      <c r="C5" s="412"/>
      <c r="D5" s="413"/>
      <c r="E5" s="414"/>
      <c r="F5" s="416"/>
      <c r="G5" s="417"/>
      <c r="H5" s="417"/>
      <c r="I5" s="417"/>
      <c r="J5" s="415"/>
      <c r="K5" s="415"/>
      <c r="L5" s="415"/>
      <c r="M5" s="416"/>
      <c r="N5" s="416"/>
      <c r="O5" s="417"/>
      <c r="P5" s="417"/>
      <c r="Q5" s="417"/>
      <c r="R5" s="417"/>
      <c r="S5" s="417"/>
      <c r="T5" s="418"/>
      <c r="U5" s="415"/>
      <c r="V5" s="417"/>
      <c r="W5" s="417"/>
      <c r="X5" s="417"/>
      <c r="Y5" s="417"/>
      <c r="Z5" s="418"/>
      <c r="AA5" s="415"/>
      <c r="AB5" s="415"/>
      <c r="AC5" s="415"/>
      <c r="AD5" s="416"/>
      <c r="AE5" s="416"/>
      <c r="AF5" s="417"/>
      <c r="AG5" s="417"/>
      <c r="AH5" s="417"/>
      <c r="AI5" s="417"/>
      <c r="AJ5" s="417"/>
      <c r="AK5" s="418"/>
      <c r="AL5" s="419"/>
      <c r="AM5" s="417"/>
      <c r="AN5" s="417"/>
      <c r="AO5" s="417"/>
      <c r="AP5" s="417"/>
      <c r="AQ5" s="418"/>
      <c r="AR5" s="419"/>
      <c r="AS5" s="415"/>
      <c r="AT5" s="415"/>
      <c r="AU5" s="416"/>
      <c r="AV5" s="416"/>
      <c r="AW5" s="417"/>
      <c r="AX5" s="417"/>
      <c r="AY5" s="417"/>
      <c r="AZ5" s="417"/>
      <c r="BA5" s="417"/>
      <c r="BB5" s="418"/>
      <c r="BC5" s="419"/>
      <c r="BD5" s="417"/>
      <c r="BE5" s="417"/>
      <c r="BF5" s="417"/>
      <c r="BG5" s="417"/>
      <c r="BH5" s="418"/>
      <c r="BI5" s="419"/>
      <c r="BJ5" s="415"/>
      <c r="BK5" s="415"/>
      <c r="BL5" s="416"/>
      <c r="BM5" s="416"/>
      <c r="BN5" s="417"/>
      <c r="BO5" s="417"/>
      <c r="BP5" s="417"/>
      <c r="BQ5" s="417"/>
      <c r="BR5" s="417"/>
      <c r="BS5" s="418"/>
      <c r="BT5" s="415"/>
      <c r="BU5" s="417"/>
      <c r="BV5" s="417"/>
      <c r="BW5" s="417"/>
      <c r="BX5" s="417"/>
      <c r="BY5" s="418"/>
      <c r="BZ5" s="383"/>
    </row>
    <row r="6" spans="1:78" ht="3.6" customHeight="1">
      <c r="A6" s="383"/>
      <c r="B6" s="384"/>
      <c r="C6" s="384"/>
      <c r="D6" s="405"/>
      <c r="E6" s="406"/>
      <c r="F6" s="408"/>
      <c r="G6" s="421"/>
      <c r="H6" s="421"/>
      <c r="I6" s="421"/>
      <c r="J6" s="423"/>
      <c r="K6" s="420"/>
      <c r="L6" s="407"/>
      <c r="M6" s="408"/>
      <c r="N6" s="408"/>
      <c r="O6" s="421"/>
      <c r="P6" s="421"/>
      <c r="Q6" s="421"/>
      <c r="R6" s="421"/>
      <c r="S6" s="421"/>
      <c r="T6" s="422"/>
      <c r="U6" s="423"/>
      <c r="V6" s="421"/>
      <c r="W6" s="421"/>
      <c r="X6" s="421"/>
      <c r="Y6" s="421"/>
      <c r="Z6" s="422"/>
      <c r="AA6" s="423"/>
      <c r="AB6" s="420"/>
      <c r="AC6" s="407"/>
      <c r="AD6" s="408"/>
      <c r="AE6" s="408"/>
      <c r="AF6" s="421"/>
      <c r="AG6" s="421"/>
      <c r="AH6" s="421"/>
      <c r="AI6" s="421"/>
      <c r="AJ6" s="421"/>
      <c r="AK6" s="422"/>
      <c r="AL6" s="407"/>
      <c r="AM6" s="421"/>
      <c r="AN6" s="421"/>
      <c r="AO6" s="421"/>
      <c r="AP6" s="421"/>
      <c r="AQ6" s="422"/>
      <c r="AR6" s="407"/>
      <c r="AS6" s="420"/>
      <c r="AT6" s="407"/>
      <c r="AU6" s="408"/>
      <c r="AV6" s="408"/>
      <c r="AW6" s="421"/>
      <c r="AX6" s="421"/>
      <c r="AY6" s="421"/>
      <c r="AZ6" s="421"/>
      <c r="BA6" s="421"/>
      <c r="BB6" s="422"/>
      <c r="BC6" s="407"/>
      <c r="BD6" s="421"/>
      <c r="BE6" s="421"/>
      <c r="BF6" s="421"/>
      <c r="BG6" s="421"/>
      <c r="BH6" s="422"/>
      <c r="BI6" s="407"/>
      <c r="BJ6" s="420"/>
      <c r="BK6" s="407"/>
      <c r="BL6" s="408"/>
      <c r="BM6" s="408"/>
      <c r="BN6" s="421"/>
      <c r="BO6" s="421"/>
      <c r="BP6" s="421"/>
      <c r="BQ6" s="421"/>
      <c r="BR6" s="421"/>
      <c r="BS6" s="422"/>
      <c r="BT6" s="406"/>
      <c r="BU6" s="421"/>
      <c r="BV6" s="421"/>
      <c r="BW6" s="421"/>
      <c r="BX6" s="421"/>
      <c r="BY6" s="422"/>
      <c r="BZ6" s="383"/>
    </row>
    <row r="7" spans="1:78" ht="18">
      <c r="A7" s="383"/>
      <c r="B7" s="383"/>
      <c r="C7" s="796" t="s">
        <v>20</v>
      </c>
      <c r="D7" s="796"/>
      <c r="E7" s="406"/>
      <c r="F7" s="426"/>
      <c r="G7" s="426"/>
      <c r="H7" s="426"/>
      <c r="I7" s="426"/>
      <c r="J7" s="427"/>
      <c r="K7" s="424"/>
      <c r="L7" s="425"/>
      <c r="M7" s="426"/>
      <c r="N7" s="426"/>
      <c r="O7" s="426"/>
      <c r="P7" s="426"/>
      <c r="Q7" s="426"/>
      <c r="R7" s="426"/>
      <c r="S7" s="426"/>
      <c r="T7" s="426"/>
      <c r="U7" s="427"/>
      <c r="V7" s="426"/>
      <c r="W7" s="426"/>
      <c r="X7" s="426"/>
      <c r="Y7" s="426"/>
      <c r="Z7" s="426"/>
      <c r="AA7" s="427"/>
      <c r="AB7" s="424"/>
      <c r="AC7" s="425"/>
      <c r="AD7" s="426"/>
      <c r="AE7" s="426"/>
      <c r="AF7" s="426"/>
      <c r="AG7" s="426"/>
      <c r="AH7" s="426"/>
      <c r="AI7" s="426"/>
      <c r="AJ7" s="426"/>
      <c r="AK7" s="426"/>
      <c r="AL7" s="425"/>
      <c r="AM7" s="426"/>
      <c r="AN7" s="426"/>
      <c r="AO7" s="426"/>
      <c r="AP7" s="426"/>
      <c r="AQ7" s="426"/>
      <c r="AR7" s="425"/>
      <c r="AS7" s="424"/>
      <c r="AT7" s="425"/>
      <c r="AU7" s="426"/>
      <c r="AV7" s="426"/>
      <c r="AW7" s="426"/>
      <c r="AX7" s="426"/>
      <c r="AY7" s="426"/>
      <c r="AZ7" s="426"/>
      <c r="BA7" s="426"/>
      <c r="BB7" s="426"/>
      <c r="BC7" s="425"/>
      <c r="BD7" s="426"/>
      <c r="BE7" s="426"/>
      <c r="BF7" s="426"/>
      <c r="BG7" s="426"/>
      <c r="BH7" s="426"/>
      <c r="BI7" s="425"/>
      <c r="BJ7" s="424"/>
      <c r="BK7" s="425"/>
      <c r="BL7" s="426"/>
      <c r="BM7" s="426"/>
      <c r="BN7" s="426"/>
      <c r="BO7" s="426"/>
      <c r="BP7" s="426"/>
      <c r="BQ7" s="426"/>
      <c r="BR7" s="426"/>
      <c r="BS7" s="426"/>
      <c r="BT7" s="428"/>
      <c r="BU7" s="426"/>
      <c r="BV7" s="426"/>
      <c r="BW7" s="426"/>
      <c r="BX7" s="426"/>
      <c r="BY7" s="426"/>
      <c r="BZ7" s="383"/>
    </row>
    <row r="8" spans="1:78" ht="3" customHeight="1" outlineLevel="1">
      <c r="A8" s="383"/>
      <c r="B8" s="384"/>
      <c r="C8" s="384"/>
      <c r="D8" s="406"/>
      <c r="E8" s="406"/>
      <c r="F8" s="408"/>
      <c r="G8" s="421"/>
      <c r="H8" s="421"/>
      <c r="I8" s="421"/>
      <c r="J8" s="430"/>
      <c r="K8" s="420"/>
      <c r="L8" s="429"/>
      <c r="M8" s="408"/>
      <c r="N8" s="408"/>
      <c r="O8" s="421"/>
      <c r="P8" s="421"/>
      <c r="Q8" s="421"/>
      <c r="R8" s="421"/>
      <c r="S8" s="421"/>
      <c r="T8" s="421"/>
      <c r="U8" s="430"/>
      <c r="V8" s="421"/>
      <c r="W8" s="421"/>
      <c r="X8" s="421"/>
      <c r="Y8" s="421"/>
      <c r="Z8" s="421"/>
      <c r="AA8" s="430"/>
      <c r="AB8" s="420"/>
      <c r="AC8" s="429"/>
      <c r="AD8" s="408"/>
      <c r="AE8" s="408"/>
      <c r="AF8" s="421"/>
      <c r="AG8" s="421"/>
      <c r="AH8" s="421"/>
      <c r="AI8" s="421"/>
      <c r="AJ8" s="421"/>
      <c r="AK8" s="421"/>
      <c r="AL8" s="421"/>
      <c r="AM8" s="421"/>
      <c r="AN8" s="421"/>
      <c r="AO8" s="421"/>
      <c r="AP8" s="421"/>
      <c r="AQ8" s="421"/>
      <c r="AR8" s="421"/>
      <c r="AS8" s="421"/>
      <c r="AT8" s="421"/>
      <c r="AU8" s="408"/>
      <c r="AV8" s="408"/>
      <c r="AW8" s="421"/>
      <c r="AX8" s="421"/>
      <c r="AY8" s="421"/>
      <c r="AZ8" s="421"/>
      <c r="BA8" s="421"/>
      <c r="BB8" s="421"/>
      <c r="BC8" s="421"/>
      <c r="BD8" s="421"/>
      <c r="BE8" s="421"/>
      <c r="BF8" s="421"/>
      <c r="BG8" s="421"/>
      <c r="BH8" s="421"/>
      <c r="BI8" s="421"/>
      <c r="BJ8" s="421"/>
      <c r="BK8" s="421"/>
      <c r="BL8" s="408"/>
      <c r="BM8" s="408"/>
      <c r="BN8" s="421"/>
      <c r="BO8" s="421"/>
      <c r="BP8" s="421"/>
      <c r="BQ8" s="421"/>
      <c r="BR8" s="421"/>
      <c r="BS8" s="421"/>
      <c r="BT8" s="406"/>
      <c r="BU8" s="421"/>
      <c r="BV8" s="421"/>
      <c r="BW8" s="421"/>
      <c r="BX8" s="421"/>
      <c r="BY8" s="421"/>
      <c r="BZ8" s="383"/>
    </row>
    <row r="9" spans="1:78" ht="12.75" outlineLevel="1">
      <c r="A9" s="383"/>
      <c r="B9" s="431">
        <v>1</v>
      </c>
      <c r="C9" s="432">
        <v>1</v>
      </c>
      <c r="D9" s="433" t="s">
        <v>21</v>
      </c>
      <c r="E9" s="434"/>
      <c r="F9" s="436">
        <f>COUNTIF(M9,"✔")+COUNTIF(AD9,"✔")+COUNTIF(BL9,"✔")+COUNTIF(AU9,"✔")</f>
        <v>1</v>
      </c>
      <c r="G9" s="436">
        <f>COUNTIF(N9,"✔")+COUNTIF(AE9,"✔")+COUNTIF(BM9,"✔")+COUNTIF(AV9,"✔")</f>
        <v>1</v>
      </c>
      <c r="H9" s="436">
        <f>COUNTIF(O9,"✔")+COUNTIF(AF9,"✔")+COUNTIF(BN9,"✔")+COUNTIF(AW9,"✔")</f>
        <v>1</v>
      </c>
      <c r="I9" s="437">
        <f>F9-G9</f>
        <v>0</v>
      </c>
      <c r="J9" s="438"/>
      <c r="K9" s="436"/>
      <c r="L9" s="435"/>
      <c r="M9" s="436" t="str">
        <f>IF('Design Fee'!W11&gt;0,"✔","-")</f>
        <v>✔</v>
      </c>
      <c r="N9" s="436" t="str">
        <f>IF('Design Fee'!X11&gt;0,"✔","-")</f>
        <v>✔</v>
      </c>
      <c r="O9" s="437" t="str">
        <f>IF('Design Fee'!Y11&gt;0,"✔","-")</f>
        <v>✔</v>
      </c>
      <c r="P9" s="437" t="str">
        <f>IF('Design Fee'!Z11&gt;0,"✔","-")</f>
        <v>-</v>
      </c>
      <c r="Q9" s="437" t="str">
        <f>IF('Design Fee'!AA11&gt;0,"✔","-")</f>
        <v>-</v>
      </c>
      <c r="R9" s="437" t="str">
        <f>IF('Design Fee'!AB11&gt;0,"✔","-")</f>
        <v>-</v>
      </c>
      <c r="S9" s="437" t="str">
        <f>IF('Design Fee'!AC11&gt;0,"✔","-")</f>
        <v>-</v>
      </c>
      <c r="T9" s="437" t="str">
        <f>IF('Design Fee'!AD11&gt;0,"✔","-")</f>
        <v>-</v>
      </c>
      <c r="U9" s="438"/>
      <c r="V9" s="437" t="str">
        <f>IF('Design Fee'!AF11&gt;0,"✔","-")</f>
        <v>-</v>
      </c>
      <c r="W9" s="437" t="str">
        <f>IF('Design Fee'!AG11&gt;0,"✔","-")</f>
        <v>-</v>
      </c>
      <c r="X9" s="437" t="str">
        <f>IF('Design Fee'!AH11&gt;0,"✔","-")</f>
        <v>-</v>
      </c>
      <c r="Y9" s="437" t="str">
        <f>IF('Design Fee'!AI11&gt;0,"✔","-")</f>
        <v>-</v>
      </c>
      <c r="Z9" s="437" t="str">
        <f>IF('Design Fee'!AJ11&gt;0,"✔","-")</f>
        <v>-</v>
      </c>
      <c r="AA9" s="438"/>
      <c r="AB9" s="436" t="str">
        <f>AD9</f>
        <v>-</v>
      </c>
      <c r="AC9" s="435"/>
      <c r="AD9" s="436" t="str">
        <f>IF('Design Fee'!BG11&gt;0,"✔","-")</f>
        <v>-</v>
      </c>
      <c r="AE9" s="436" t="str">
        <f>IF('Design Fee'!BH11&gt;0,"✔","-")</f>
        <v>-</v>
      </c>
      <c r="AF9" s="437" t="str">
        <f>IF('Design Fee'!BI11&gt;0,"✔","-")</f>
        <v>-</v>
      </c>
      <c r="AG9" s="437" t="str">
        <f>IF('Design Fee'!BJ11&gt;0,"✔","-")</f>
        <v>-</v>
      </c>
      <c r="AH9" s="437" t="str">
        <f>IF('Design Fee'!BK11&gt;0,"✔","-")</f>
        <v>-</v>
      </c>
      <c r="AI9" s="437" t="str">
        <f>IF('Design Fee'!BL11&gt;0,"✔","-")</f>
        <v>-</v>
      </c>
      <c r="AJ9" s="437" t="str">
        <f>IF('Design Fee'!BM11&gt;0,"✔","-")</f>
        <v>-</v>
      </c>
      <c r="AK9" s="437" t="str">
        <f>IF('Design Fee'!BN11&gt;0,"✔","-")</f>
        <v>-</v>
      </c>
      <c r="AL9" s="435"/>
      <c r="AM9" s="437" t="str">
        <f>IF('Design Fee'!BP11&gt;0,"✔","-")</f>
        <v>-</v>
      </c>
      <c r="AN9" s="437" t="str">
        <f>IF('Design Fee'!BQ11&gt;0,"✔","-")</f>
        <v>-</v>
      </c>
      <c r="AO9" s="437" t="str">
        <f>IF('Design Fee'!BR11&gt;0,"✔","-")</f>
        <v>-</v>
      </c>
      <c r="AP9" s="437" t="str">
        <f>IF('Design Fee'!BS11&gt;0,"✔","-")</f>
        <v>-</v>
      </c>
      <c r="AQ9" s="437" t="str">
        <f>IF('Design Fee'!BT11&gt;0,"✔","-")</f>
        <v>-</v>
      </c>
      <c r="AR9" s="435"/>
      <c r="AS9" s="436" t="str">
        <f>AU9</f>
        <v>-</v>
      </c>
      <c r="AT9" s="435"/>
      <c r="AU9" s="436" t="str">
        <f>IF('Design Fee'!CQ11&gt;0,"✔","-")</f>
        <v>-</v>
      </c>
      <c r="AV9" s="436" t="str">
        <f>IF('Design Fee'!CR11&gt;0,"✔","-")</f>
        <v>-</v>
      </c>
      <c r="AW9" s="437" t="str">
        <f>IF('Design Fee'!CS11&gt;0,"✔","-")</f>
        <v>-</v>
      </c>
      <c r="AX9" s="437" t="str">
        <f>IF('Design Fee'!CT11&gt;0,"✔","-")</f>
        <v>-</v>
      </c>
      <c r="AY9" s="437" t="str">
        <f>IF('Design Fee'!CU11&gt;0,"✔","-")</f>
        <v>-</v>
      </c>
      <c r="AZ9" s="437" t="str">
        <f>IF('Design Fee'!CV11&gt;0,"✔","-")</f>
        <v>-</v>
      </c>
      <c r="BA9" s="437" t="str">
        <f>IF('Design Fee'!CW11&gt;0,"✔","-")</f>
        <v>-</v>
      </c>
      <c r="BB9" s="437" t="str">
        <f>IF('Design Fee'!CX11&gt;0,"✔","-")</f>
        <v>-</v>
      </c>
      <c r="BC9" s="435"/>
      <c r="BD9" s="437" t="str">
        <f>IF('Design Fee'!CZ11&gt;0,"✔","-")</f>
        <v>-</v>
      </c>
      <c r="BE9" s="437" t="str">
        <f>IF('Design Fee'!DA11&gt;0,"✔","-")</f>
        <v>-</v>
      </c>
      <c r="BF9" s="437" t="str">
        <f>IF('Design Fee'!DB11&gt;0,"✔","-")</f>
        <v>-</v>
      </c>
      <c r="BG9" s="437" t="str">
        <f>IF('Design Fee'!DC11&gt;0,"✔","-")</f>
        <v>-</v>
      </c>
      <c r="BH9" s="437" t="str">
        <f>IF('Design Fee'!DD11&gt;0,"✔","-")</f>
        <v>-</v>
      </c>
      <c r="BI9" s="435"/>
      <c r="BJ9" s="436" t="str">
        <f>BL9</f>
        <v>-</v>
      </c>
      <c r="BK9" s="435"/>
      <c r="BL9" s="436" t="str">
        <f>IF('Design Fee'!EA11&gt;0,"✔","-")</f>
        <v>-</v>
      </c>
      <c r="BM9" s="436" t="str">
        <f>IF('Design Fee'!EB11&gt;0,"✔","-")</f>
        <v>-</v>
      </c>
      <c r="BN9" s="437" t="str">
        <f>IF('Design Fee'!EC11&gt;0,"✔","-")</f>
        <v>-</v>
      </c>
      <c r="BO9" s="437" t="str">
        <f>IF('Design Fee'!ED11&gt;0,"✔","-")</f>
        <v>-</v>
      </c>
      <c r="BP9" s="437" t="str">
        <f>IF('Design Fee'!EE11&gt;0,"✔","-")</f>
        <v>-</v>
      </c>
      <c r="BQ9" s="437" t="str">
        <f>IF('Design Fee'!EF11&gt;0,"✔","-")</f>
        <v>-</v>
      </c>
      <c r="BR9" s="437" t="str">
        <f>IF('Design Fee'!EG11&gt;0,"✔","-")</f>
        <v>-</v>
      </c>
      <c r="BS9" s="437" t="str">
        <f>IF('Design Fee'!EH11&gt;0,"✔","-")</f>
        <v>-</v>
      </c>
      <c r="BT9" s="383"/>
      <c r="BU9" s="437" t="str">
        <f>IF('Design Fee'!EJ11&gt;0,"✔","-")</f>
        <v>-</v>
      </c>
      <c r="BV9" s="437" t="str">
        <f>IF('Design Fee'!EK11&gt;0,"✔","-")</f>
        <v>-</v>
      </c>
      <c r="BW9" s="437" t="str">
        <f>IF('Design Fee'!EL11&gt;0,"✔","-")</f>
        <v>-</v>
      </c>
      <c r="BX9" s="437" t="str">
        <f>IF('Design Fee'!EM11&gt;0,"✔","-")</f>
        <v>-</v>
      </c>
      <c r="BY9" s="437" t="str">
        <f>IF('Design Fee'!EN11&gt;0,"✔","-")</f>
        <v>-</v>
      </c>
      <c r="BZ9" s="383"/>
    </row>
    <row r="10" spans="1:78" ht="13.35" customHeight="1" outlineLevel="2">
      <c r="A10" s="383"/>
      <c r="B10" s="439"/>
      <c r="C10" s="439">
        <v>1</v>
      </c>
      <c r="D10" s="440" t="s">
        <v>22</v>
      </c>
      <c r="E10" s="383"/>
      <c r="F10" s="443"/>
      <c r="G10" s="444"/>
      <c r="H10" s="444"/>
      <c r="I10" s="444"/>
      <c r="J10" s="430"/>
      <c r="K10" s="441"/>
      <c r="L10" s="442"/>
      <c r="M10" s="443" t="str">
        <f>IF('Design Fee'!W12&gt;0,"✔","-")</f>
        <v>-</v>
      </c>
      <c r="N10" s="443" t="str">
        <f>IF('Design Fee'!X12&gt;0,"✔","-")</f>
        <v>-</v>
      </c>
      <c r="O10" s="444" t="str">
        <f>IF('Design Fee'!Y12&gt;0,"✔","-")</f>
        <v>-</v>
      </c>
      <c r="P10" s="444" t="str">
        <f>IF('Design Fee'!Z12&gt;0,"✔","-")</f>
        <v>-</v>
      </c>
      <c r="Q10" s="444" t="str">
        <f>IF('Design Fee'!AA12&gt;0,"✔","-")</f>
        <v>-</v>
      </c>
      <c r="R10" s="444" t="str">
        <f>IF('Design Fee'!AB12&gt;0,"✔","-")</f>
        <v>-</v>
      </c>
      <c r="S10" s="444" t="str">
        <f>IF('Design Fee'!AC12&gt;0,"✔","-")</f>
        <v>-</v>
      </c>
      <c r="T10" s="444" t="str">
        <f>IF('Design Fee'!AD12&gt;0,"✔","-")</f>
        <v>-</v>
      </c>
      <c r="U10" s="430"/>
      <c r="V10" s="444" t="str">
        <f>IF('Design Fee'!AF12&gt;0,"✔","-")</f>
        <v>-</v>
      </c>
      <c r="W10" s="444" t="str">
        <f>IF('Design Fee'!AG12&gt;0,"✔","-")</f>
        <v>-</v>
      </c>
      <c r="X10" s="444" t="str">
        <f>IF('Design Fee'!AH12&gt;0,"✔","-")</f>
        <v>-</v>
      </c>
      <c r="Y10" s="444" t="str">
        <f>IF('Design Fee'!AI12&gt;0,"✔","-")</f>
        <v>-</v>
      </c>
      <c r="Z10" s="444" t="str">
        <f>IF('Design Fee'!AJ12&gt;0,"✔","-")</f>
        <v>-</v>
      </c>
      <c r="AA10" s="430"/>
      <c r="AB10" s="441"/>
      <c r="AC10" s="442"/>
      <c r="AD10" s="443" t="str">
        <f>IF('Design Fee'!BG12&gt;0,"✔","-")</f>
        <v>-</v>
      </c>
      <c r="AE10" s="443" t="str">
        <f>IF('Design Fee'!BH12&gt;0,"✔","-")</f>
        <v>-</v>
      </c>
      <c r="AF10" s="444" t="str">
        <f>IF('Design Fee'!BI12&gt;0,"✔","-")</f>
        <v>-</v>
      </c>
      <c r="AG10" s="444" t="str">
        <f>IF('Design Fee'!BJ12&gt;0,"✔","-")</f>
        <v>-</v>
      </c>
      <c r="AH10" s="444" t="str">
        <f>IF('Design Fee'!BK12&gt;0,"✔","-")</f>
        <v>-</v>
      </c>
      <c r="AI10" s="444" t="str">
        <f>IF('Design Fee'!BL12&gt;0,"✔","-")</f>
        <v>-</v>
      </c>
      <c r="AJ10" s="444" t="str">
        <f>IF('Design Fee'!BM12&gt;0,"✔","-")</f>
        <v>-</v>
      </c>
      <c r="AK10" s="444" t="str">
        <f>IF('Design Fee'!BN12&gt;0,"✔","-")</f>
        <v>-</v>
      </c>
      <c r="AL10" s="445"/>
      <c r="AM10" s="444" t="str">
        <f>IF('Design Fee'!BP12&gt;0,"✔","-")</f>
        <v>-</v>
      </c>
      <c r="AN10" s="444" t="str">
        <f>IF('Design Fee'!BQ12&gt;0,"✔","-")</f>
        <v>-</v>
      </c>
      <c r="AO10" s="444" t="str">
        <f>IF('Design Fee'!BR12&gt;0,"✔","-")</f>
        <v>-</v>
      </c>
      <c r="AP10" s="444" t="str">
        <f>IF('Design Fee'!BS12&gt;0,"✔","-")</f>
        <v>-</v>
      </c>
      <c r="AQ10" s="444" t="str">
        <f>IF('Design Fee'!BT12&gt;0,"✔","-")</f>
        <v>-</v>
      </c>
      <c r="AR10" s="445"/>
      <c r="AS10" s="441"/>
      <c r="AT10" s="442"/>
      <c r="AU10" s="443" t="str">
        <f>IF('Design Fee'!CQ12&gt;0,"✔","-")</f>
        <v>-</v>
      </c>
      <c r="AV10" s="443" t="str">
        <f>IF('Design Fee'!CR12&gt;0,"✔","-")</f>
        <v>-</v>
      </c>
      <c r="AW10" s="444" t="str">
        <f>IF('Design Fee'!CS12&gt;0,"✔","-")</f>
        <v>-</v>
      </c>
      <c r="AX10" s="444" t="str">
        <f>IF('Design Fee'!CT12&gt;0,"✔","-")</f>
        <v>-</v>
      </c>
      <c r="AY10" s="444" t="str">
        <f>IF('Design Fee'!CU12&gt;0,"✔","-")</f>
        <v>-</v>
      </c>
      <c r="AZ10" s="444" t="str">
        <f>IF('Design Fee'!CV12&gt;0,"✔","-")</f>
        <v>-</v>
      </c>
      <c r="BA10" s="444" t="str">
        <f>IF('Design Fee'!CW12&gt;0,"✔","-")</f>
        <v>-</v>
      </c>
      <c r="BB10" s="444" t="str">
        <f>IF('Design Fee'!CX12&gt;0,"✔","-")</f>
        <v>-</v>
      </c>
      <c r="BC10" s="445"/>
      <c r="BD10" s="444" t="str">
        <f>IF('Design Fee'!CZ12&gt;0,"✔","-")</f>
        <v>-</v>
      </c>
      <c r="BE10" s="444" t="str">
        <f>IF('Design Fee'!DA12&gt;0,"✔","-")</f>
        <v>-</v>
      </c>
      <c r="BF10" s="444" t="str">
        <f>IF('Design Fee'!DB12&gt;0,"✔","-")</f>
        <v>-</v>
      </c>
      <c r="BG10" s="444" t="str">
        <f>IF('Design Fee'!DC12&gt;0,"✔","-")</f>
        <v>-</v>
      </c>
      <c r="BH10" s="444" t="str">
        <f>IF('Design Fee'!DD12&gt;0,"✔","-")</f>
        <v>-</v>
      </c>
      <c r="BI10" s="445"/>
      <c r="BJ10" s="441"/>
      <c r="BK10" s="442"/>
      <c r="BL10" s="443" t="str">
        <f>IF('Design Fee'!EA12&gt;0,"✔","-")</f>
        <v>-</v>
      </c>
      <c r="BM10" s="443" t="str">
        <f>IF('Design Fee'!EB12&gt;0,"✔","-")</f>
        <v>-</v>
      </c>
      <c r="BN10" s="444" t="str">
        <f>IF('Design Fee'!EC12&gt;0,"✔","-")</f>
        <v>-</v>
      </c>
      <c r="BO10" s="444" t="str">
        <f>IF('Design Fee'!ED12&gt;0,"✔","-")</f>
        <v>-</v>
      </c>
      <c r="BP10" s="444" t="str">
        <f>IF('Design Fee'!EE12&gt;0,"✔","-")</f>
        <v>-</v>
      </c>
      <c r="BQ10" s="444" t="str">
        <f>IF('Design Fee'!EF12&gt;0,"✔","-")</f>
        <v>-</v>
      </c>
      <c r="BR10" s="444" t="str">
        <f>IF('Design Fee'!EG12&gt;0,"✔","-")</f>
        <v>-</v>
      </c>
      <c r="BS10" s="444" t="str">
        <f>IF('Design Fee'!EH12&gt;0,"✔","-")</f>
        <v>-</v>
      </c>
      <c r="BT10" s="383"/>
      <c r="BU10" s="444" t="str">
        <f>IF('Design Fee'!EJ12&gt;0,"✔","-")</f>
        <v>-</v>
      </c>
      <c r="BV10" s="444" t="str">
        <f>IF('Design Fee'!EK12&gt;0,"✔","-")</f>
        <v>-</v>
      </c>
      <c r="BW10" s="444" t="str">
        <f>IF('Design Fee'!EL12&gt;0,"✔","-")</f>
        <v>-</v>
      </c>
      <c r="BX10" s="444" t="str">
        <f>IF('Design Fee'!EM12&gt;0,"✔","-")</f>
        <v>-</v>
      </c>
      <c r="BY10" s="444" t="str">
        <f>IF('Design Fee'!EN12&gt;0,"✔","-")</f>
        <v>-</v>
      </c>
      <c r="BZ10" s="383"/>
    </row>
    <row r="11" spans="1:78" ht="15" customHeight="1" outlineLevel="2">
      <c r="A11" s="383"/>
      <c r="B11" s="439"/>
      <c r="C11" s="439">
        <v>2</v>
      </c>
      <c r="D11" s="446" t="s">
        <v>23</v>
      </c>
      <c r="E11" s="383"/>
      <c r="F11" s="443"/>
      <c r="G11" s="444"/>
      <c r="H11" s="444"/>
      <c r="I11" s="444"/>
      <c r="J11" s="430"/>
      <c r="K11" s="441"/>
      <c r="L11" s="442"/>
      <c r="M11" s="443" t="str">
        <f>IF('Design Fee'!W13&gt;0,"✔","-")</f>
        <v>-</v>
      </c>
      <c r="N11" s="443" t="str">
        <f>IF('Design Fee'!X13&gt;0,"✔","-")</f>
        <v>-</v>
      </c>
      <c r="O11" s="444" t="str">
        <f>IF('Design Fee'!Y13&gt;0,"✔","-")</f>
        <v>-</v>
      </c>
      <c r="P11" s="444" t="str">
        <f>IF('Design Fee'!Z13&gt;0,"✔","-")</f>
        <v>-</v>
      </c>
      <c r="Q11" s="444" t="str">
        <f>IF('Design Fee'!AA13&gt;0,"✔","-")</f>
        <v>-</v>
      </c>
      <c r="R11" s="444" t="str">
        <f>IF('Design Fee'!AB13&gt;0,"✔","-")</f>
        <v>-</v>
      </c>
      <c r="S11" s="444" t="str">
        <f>IF('Design Fee'!AC13&gt;0,"✔","-")</f>
        <v>-</v>
      </c>
      <c r="T11" s="444" t="str">
        <f>IF('Design Fee'!AD13&gt;0,"✔","-")</f>
        <v>-</v>
      </c>
      <c r="U11" s="430"/>
      <c r="V11" s="444" t="str">
        <f>IF('Design Fee'!AF13&gt;0,"✔","-")</f>
        <v>-</v>
      </c>
      <c r="W11" s="444" t="str">
        <f>IF('Design Fee'!AG13&gt;0,"✔","-")</f>
        <v>-</v>
      </c>
      <c r="X11" s="444" t="str">
        <f>IF('Design Fee'!AH13&gt;0,"✔","-")</f>
        <v>-</v>
      </c>
      <c r="Y11" s="444" t="str">
        <f>IF('Design Fee'!AI13&gt;0,"✔","-")</f>
        <v>-</v>
      </c>
      <c r="Z11" s="444" t="str">
        <f>IF('Design Fee'!AJ13&gt;0,"✔","-")</f>
        <v>-</v>
      </c>
      <c r="AA11" s="430"/>
      <c r="AB11" s="441"/>
      <c r="AC11" s="442"/>
      <c r="AD11" s="443" t="str">
        <f>IF('Design Fee'!BG13&gt;0,"✔","-")</f>
        <v>-</v>
      </c>
      <c r="AE11" s="443" t="str">
        <f>IF('Design Fee'!BH13&gt;0,"✔","-")</f>
        <v>-</v>
      </c>
      <c r="AF11" s="444" t="str">
        <f>IF('Design Fee'!BI13&gt;0,"✔","-")</f>
        <v>-</v>
      </c>
      <c r="AG11" s="444" t="str">
        <f>IF('Design Fee'!BJ13&gt;0,"✔","-")</f>
        <v>-</v>
      </c>
      <c r="AH11" s="444" t="str">
        <f>IF('Design Fee'!BK13&gt;0,"✔","-")</f>
        <v>-</v>
      </c>
      <c r="AI11" s="444" t="str">
        <f>IF('Design Fee'!BL13&gt;0,"✔","-")</f>
        <v>-</v>
      </c>
      <c r="AJ11" s="444" t="str">
        <f>IF('Design Fee'!BM13&gt;0,"✔","-")</f>
        <v>-</v>
      </c>
      <c r="AK11" s="444" t="str">
        <f>IF('Design Fee'!BN13&gt;0,"✔","-")</f>
        <v>-</v>
      </c>
      <c r="AL11" s="445"/>
      <c r="AM11" s="444" t="str">
        <f>IF('Design Fee'!BP13&gt;0,"✔","-")</f>
        <v>-</v>
      </c>
      <c r="AN11" s="444" t="str">
        <f>IF('Design Fee'!BQ13&gt;0,"✔","-")</f>
        <v>-</v>
      </c>
      <c r="AO11" s="444" t="str">
        <f>IF('Design Fee'!BR13&gt;0,"✔","-")</f>
        <v>-</v>
      </c>
      <c r="AP11" s="444" t="str">
        <f>IF('Design Fee'!BS13&gt;0,"✔","-")</f>
        <v>-</v>
      </c>
      <c r="AQ11" s="444" t="str">
        <f>IF('Design Fee'!BT13&gt;0,"✔","-")</f>
        <v>-</v>
      </c>
      <c r="AR11" s="445"/>
      <c r="AS11" s="441"/>
      <c r="AT11" s="442"/>
      <c r="AU11" s="443" t="str">
        <f>IF('Design Fee'!CQ13&gt;0,"✔","-")</f>
        <v>-</v>
      </c>
      <c r="AV11" s="443" t="str">
        <f>IF('Design Fee'!CR13&gt;0,"✔","-")</f>
        <v>-</v>
      </c>
      <c r="AW11" s="444" t="str">
        <f>IF('Design Fee'!CS13&gt;0,"✔","-")</f>
        <v>-</v>
      </c>
      <c r="AX11" s="444" t="str">
        <f>IF('Design Fee'!CT13&gt;0,"✔","-")</f>
        <v>-</v>
      </c>
      <c r="AY11" s="444" t="str">
        <f>IF('Design Fee'!CU13&gt;0,"✔","-")</f>
        <v>-</v>
      </c>
      <c r="AZ11" s="444" t="str">
        <f>IF('Design Fee'!CV13&gt;0,"✔","-")</f>
        <v>-</v>
      </c>
      <c r="BA11" s="444" t="str">
        <f>IF('Design Fee'!CW13&gt;0,"✔","-")</f>
        <v>-</v>
      </c>
      <c r="BB11" s="444" t="str">
        <f>IF('Design Fee'!CX13&gt;0,"✔","-")</f>
        <v>-</v>
      </c>
      <c r="BC11" s="445"/>
      <c r="BD11" s="444" t="str">
        <f>IF('Design Fee'!CZ13&gt;0,"✔","-")</f>
        <v>-</v>
      </c>
      <c r="BE11" s="444" t="str">
        <f>IF('Design Fee'!DA13&gt;0,"✔","-")</f>
        <v>-</v>
      </c>
      <c r="BF11" s="444" t="str">
        <f>IF('Design Fee'!DB13&gt;0,"✔","-")</f>
        <v>-</v>
      </c>
      <c r="BG11" s="444" t="str">
        <f>IF('Design Fee'!DC13&gt;0,"✔","-")</f>
        <v>-</v>
      </c>
      <c r="BH11" s="444" t="str">
        <f>IF('Design Fee'!DD13&gt;0,"✔","-")</f>
        <v>-</v>
      </c>
      <c r="BI11" s="445"/>
      <c r="BJ11" s="441"/>
      <c r="BK11" s="442"/>
      <c r="BL11" s="443" t="str">
        <f>IF('Design Fee'!EA13&gt;0,"✔","-")</f>
        <v>-</v>
      </c>
      <c r="BM11" s="443" t="str">
        <f>IF('Design Fee'!EB13&gt;0,"✔","-")</f>
        <v>-</v>
      </c>
      <c r="BN11" s="444" t="str">
        <f>IF('Design Fee'!EC13&gt;0,"✔","-")</f>
        <v>-</v>
      </c>
      <c r="BO11" s="444" t="str">
        <f>IF('Design Fee'!ED13&gt;0,"✔","-")</f>
        <v>-</v>
      </c>
      <c r="BP11" s="444" t="str">
        <f>IF('Design Fee'!EE13&gt;0,"✔","-")</f>
        <v>-</v>
      </c>
      <c r="BQ11" s="444" t="str">
        <f>IF('Design Fee'!EF13&gt;0,"✔","-")</f>
        <v>-</v>
      </c>
      <c r="BR11" s="444" t="str">
        <f>IF('Design Fee'!EG13&gt;0,"✔","-")</f>
        <v>-</v>
      </c>
      <c r="BS11" s="444" t="str">
        <f>IF('Design Fee'!EH13&gt;0,"✔","-")</f>
        <v>-</v>
      </c>
      <c r="BT11" s="383"/>
      <c r="BU11" s="444" t="str">
        <f>IF('Design Fee'!EJ13&gt;0,"✔","-")</f>
        <v>-</v>
      </c>
      <c r="BV11" s="444" t="str">
        <f>IF('Design Fee'!EK13&gt;0,"✔","-")</f>
        <v>-</v>
      </c>
      <c r="BW11" s="444" t="str">
        <f>IF('Design Fee'!EL13&gt;0,"✔","-")</f>
        <v>-</v>
      </c>
      <c r="BX11" s="444" t="str">
        <f>IF('Design Fee'!EM13&gt;0,"✔","-")</f>
        <v>-</v>
      </c>
      <c r="BY11" s="444" t="str">
        <f>IF('Design Fee'!EN13&gt;0,"✔","-")</f>
        <v>-</v>
      </c>
      <c r="BZ11" s="383"/>
    </row>
    <row r="12" spans="1:78" ht="13.35" customHeight="1" outlineLevel="2">
      <c r="A12" s="383"/>
      <c r="B12" s="439"/>
      <c r="C12" s="439">
        <v>3</v>
      </c>
      <c r="D12" s="440" t="s">
        <v>24</v>
      </c>
      <c r="E12" s="383"/>
      <c r="F12" s="443"/>
      <c r="G12" s="444"/>
      <c r="H12" s="444"/>
      <c r="I12" s="444"/>
      <c r="J12" s="430"/>
      <c r="K12" s="441"/>
      <c r="L12" s="442"/>
      <c r="M12" s="443" t="str">
        <f>IF('Design Fee'!W14&gt;0,"✔","-")</f>
        <v>-</v>
      </c>
      <c r="N12" s="443" t="str">
        <f>IF('Design Fee'!X14&gt;0,"✔","-")</f>
        <v>-</v>
      </c>
      <c r="O12" s="444" t="str">
        <f>IF('Design Fee'!Y14&gt;0,"✔","-")</f>
        <v>-</v>
      </c>
      <c r="P12" s="444" t="str">
        <f>IF('Design Fee'!Z14&gt;0,"✔","-")</f>
        <v>-</v>
      </c>
      <c r="Q12" s="444" t="str">
        <f>IF('Design Fee'!AA14&gt;0,"✔","-")</f>
        <v>-</v>
      </c>
      <c r="R12" s="444" t="str">
        <f>IF('Design Fee'!AB14&gt;0,"✔","-")</f>
        <v>-</v>
      </c>
      <c r="S12" s="444" t="str">
        <f>IF('Design Fee'!AC14&gt;0,"✔","-")</f>
        <v>-</v>
      </c>
      <c r="T12" s="444" t="str">
        <f>IF('Design Fee'!AD14&gt;0,"✔","-")</f>
        <v>-</v>
      </c>
      <c r="U12" s="430"/>
      <c r="V12" s="444" t="str">
        <f>IF('Design Fee'!AF14&gt;0,"✔","-")</f>
        <v>-</v>
      </c>
      <c r="W12" s="444" t="str">
        <f>IF('Design Fee'!AG14&gt;0,"✔","-")</f>
        <v>-</v>
      </c>
      <c r="X12" s="444" t="str">
        <f>IF('Design Fee'!AH14&gt;0,"✔","-")</f>
        <v>-</v>
      </c>
      <c r="Y12" s="444" t="str">
        <f>IF('Design Fee'!AI14&gt;0,"✔","-")</f>
        <v>-</v>
      </c>
      <c r="Z12" s="444" t="str">
        <f>IF('Design Fee'!AJ14&gt;0,"✔","-")</f>
        <v>-</v>
      </c>
      <c r="AA12" s="430"/>
      <c r="AB12" s="441"/>
      <c r="AC12" s="442"/>
      <c r="AD12" s="443" t="str">
        <f>IF('Design Fee'!BG14&gt;0,"✔","-")</f>
        <v>-</v>
      </c>
      <c r="AE12" s="443" t="str">
        <f>IF('Design Fee'!BH14&gt;0,"✔","-")</f>
        <v>-</v>
      </c>
      <c r="AF12" s="444" t="str">
        <f>IF('Design Fee'!BI14&gt;0,"✔","-")</f>
        <v>-</v>
      </c>
      <c r="AG12" s="444" t="str">
        <f>IF('Design Fee'!BJ14&gt;0,"✔","-")</f>
        <v>-</v>
      </c>
      <c r="AH12" s="444" t="str">
        <f>IF('Design Fee'!BK14&gt;0,"✔","-")</f>
        <v>-</v>
      </c>
      <c r="AI12" s="444" t="str">
        <f>IF('Design Fee'!BL14&gt;0,"✔","-")</f>
        <v>-</v>
      </c>
      <c r="AJ12" s="444" t="str">
        <f>IF('Design Fee'!BM14&gt;0,"✔","-")</f>
        <v>-</v>
      </c>
      <c r="AK12" s="444" t="str">
        <f>IF('Design Fee'!BN14&gt;0,"✔","-")</f>
        <v>-</v>
      </c>
      <c r="AL12" s="445"/>
      <c r="AM12" s="444" t="str">
        <f>IF('Design Fee'!BP14&gt;0,"✔","-")</f>
        <v>-</v>
      </c>
      <c r="AN12" s="444" t="str">
        <f>IF('Design Fee'!BQ14&gt;0,"✔","-")</f>
        <v>-</v>
      </c>
      <c r="AO12" s="444" t="str">
        <f>IF('Design Fee'!BR14&gt;0,"✔","-")</f>
        <v>-</v>
      </c>
      <c r="AP12" s="444" t="str">
        <f>IF('Design Fee'!BS14&gt;0,"✔","-")</f>
        <v>-</v>
      </c>
      <c r="AQ12" s="444" t="str">
        <f>IF('Design Fee'!BT14&gt;0,"✔","-")</f>
        <v>-</v>
      </c>
      <c r="AR12" s="445"/>
      <c r="AS12" s="441"/>
      <c r="AT12" s="442"/>
      <c r="AU12" s="443" t="str">
        <f>IF('Design Fee'!CQ14&gt;0,"✔","-")</f>
        <v>-</v>
      </c>
      <c r="AV12" s="443" t="str">
        <f>IF('Design Fee'!CR14&gt;0,"✔","-")</f>
        <v>-</v>
      </c>
      <c r="AW12" s="444" t="str">
        <f>IF('Design Fee'!CS14&gt;0,"✔","-")</f>
        <v>-</v>
      </c>
      <c r="AX12" s="444" t="str">
        <f>IF('Design Fee'!CT14&gt;0,"✔","-")</f>
        <v>-</v>
      </c>
      <c r="AY12" s="444" t="str">
        <f>IF('Design Fee'!CU14&gt;0,"✔","-")</f>
        <v>-</v>
      </c>
      <c r="AZ12" s="444" t="str">
        <f>IF('Design Fee'!CV14&gt;0,"✔","-")</f>
        <v>-</v>
      </c>
      <c r="BA12" s="444" t="str">
        <f>IF('Design Fee'!CW14&gt;0,"✔","-")</f>
        <v>-</v>
      </c>
      <c r="BB12" s="444" t="str">
        <f>IF('Design Fee'!CX14&gt;0,"✔","-")</f>
        <v>-</v>
      </c>
      <c r="BC12" s="445"/>
      <c r="BD12" s="444" t="str">
        <f>IF('Design Fee'!CZ14&gt;0,"✔","-")</f>
        <v>-</v>
      </c>
      <c r="BE12" s="444" t="str">
        <f>IF('Design Fee'!DA14&gt;0,"✔","-")</f>
        <v>-</v>
      </c>
      <c r="BF12" s="444" t="str">
        <f>IF('Design Fee'!DB14&gt;0,"✔","-")</f>
        <v>-</v>
      </c>
      <c r="BG12" s="444" t="str">
        <f>IF('Design Fee'!DC14&gt;0,"✔","-")</f>
        <v>-</v>
      </c>
      <c r="BH12" s="444" t="str">
        <f>IF('Design Fee'!DD14&gt;0,"✔","-")</f>
        <v>-</v>
      </c>
      <c r="BI12" s="445"/>
      <c r="BJ12" s="441"/>
      <c r="BK12" s="442"/>
      <c r="BL12" s="443" t="str">
        <f>IF('Design Fee'!EA14&gt;0,"✔","-")</f>
        <v>-</v>
      </c>
      <c r="BM12" s="443" t="str">
        <f>IF('Design Fee'!EB14&gt;0,"✔","-")</f>
        <v>-</v>
      </c>
      <c r="BN12" s="444" t="str">
        <f>IF('Design Fee'!EC14&gt;0,"✔","-")</f>
        <v>-</v>
      </c>
      <c r="BO12" s="444" t="str">
        <f>IF('Design Fee'!ED14&gt;0,"✔","-")</f>
        <v>-</v>
      </c>
      <c r="BP12" s="444" t="str">
        <f>IF('Design Fee'!EE14&gt;0,"✔","-")</f>
        <v>-</v>
      </c>
      <c r="BQ12" s="444" t="str">
        <f>IF('Design Fee'!EF14&gt;0,"✔","-")</f>
        <v>-</v>
      </c>
      <c r="BR12" s="444" t="str">
        <f>IF('Design Fee'!EG14&gt;0,"✔","-")</f>
        <v>-</v>
      </c>
      <c r="BS12" s="444" t="str">
        <f>IF('Design Fee'!EH14&gt;0,"✔","-")</f>
        <v>-</v>
      </c>
      <c r="BT12" s="383"/>
      <c r="BU12" s="444" t="str">
        <f>IF('Design Fee'!EJ14&gt;0,"✔","-")</f>
        <v>-</v>
      </c>
      <c r="BV12" s="444" t="str">
        <f>IF('Design Fee'!EK14&gt;0,"✔","-")</f>
        <v>-</v>
      </c>
      <c r="BW12" s="444" t="str">
        <f>IF('Design Fee'!EL14&gt;0,"✔","-")</f>
        <v>-</v>
      </c>
      <c r="BX12" s="444" t="str">
        <f>IF('Design Fee'!EM14&gt;0,"✔","-")</f>
        <v>-</v>
      </c>
      <c r="BY12" s="444" t="str">
        <f>IF('Design Fee'!EN14&gt;0,"✔","-")</f>
        <v>-</v>
      </c>
      <c r="BZ12" s="383"/>
    </row>
    <row r="13" spans="1:78" ht="13.35" customHeight="1" outlineLevel="2">
      <c r="A13" s="383"/>
      <c r="B13" s="439"/>
      <c r="C13" s="439">
        <v>4</v>
      </c>
      <c r="D13" s="440" t="s">
        <v>25</v>
      </c>
      <c r="E13" s="383"/>
      <c r="F13" s="443"/>
      <c r="G13" s="444"/>
      <c r="H13" s="444"/>
      <c r="I13" s="444"/>
      <c r="J13" s="430"/>
      <c r="K13" s="441"/>
      <c r="L13" s="442"/>
      <c r="M13" s="443" t="str">
        <f>IF('Design Fee'!W15&gt;0,"✔","-")</f>
        <v>-</v>
      </c>
      <c r="N13" s="443" t="str">
        <f>IF('Design Fee'!X15&gt;0,"✔","-")</f>
        <v>-</v>
      </c>
      <c r="O13" s="444" t="str">
        <f>IF('Design Fee'!Y15&gt;0,"✔","-")</f>
        <v>-</v>
      </c>
      <c r="P13" s="444" t="str">
        <f>IF('Design Fee'!Z15&gt;0,"✔","-")</f>
        <v>-</v>
      </c>
      <c r="Q13" s="444" t="str">
        <f>IF('Design Fee'!AA15&gt;0,"✔","-")</f>
        <v>-</v>
      </c>
      <c r="R13" s="444" t="str">
        <f>IF('Design Fee'!AB15&gt;0,"✔","-")</f>
        <v>-</v>
      </c>
      <c r="S13" s="444" t="str">
        <f>IF('Design Fee'!AC15&gt;0,"✔","-")</f>
        <v>-</v>
      </c>
      <c r="T13" s="444" t="str">
        <f>IF('Design Fee'!AD15&gt;0,"✔","-")</f>
        <v>-</v>
      </c>
      <c r="U13" s="430"/>
      <c r="V13" s="444" t="str">
        <f>IF('Design Fee'!AF15&gt;0,"✔","-")</f>
        <v>-</v>
      </c>
      <c r="W13" s="444" t="str">
        <f>IF('Design Fee'!AG15&gt;0,"✔","-")</f>
        <v>-</v>
      </c>
      <c r="X13" s="444" t="str">
        <f>IF('Design Fee'!AH15&gt;0,"✔","-")</f>
        <v>-</v>
      </c>
      <c r="Y13" s="444" t="str">
        <f>IF('Design Fee'!AI15&gt;0,"✔","-")</f>
        <v>-</v>
      </c>
      <c r="Z13" s="444" t="str">
        <f>IF('Design Fee'!AJ15&gt;0,"✔","-")</f>
        <v>-</v>
      </c>
      <c r="AA13" s="430"/>
      <c r="AB13" s="441"/>
      <c r="AC13" s="442"/>
      <c r="AD13" s="443" t="str">
        <f>IF('Design Fee'!BG15&gt;0,"✔","-")</f>
        <v>-</v>
      </c>
      <c r="AE13" s="443" t="str">
        <f>IF('Design Fee'!BH15&gt;0,"✔","-")</f>
        <v>-</v>
      </c>
      <c r="AF13" s="444" t="str">
        <f>IF('Design Fee'!BI15&gt;0,"✔","-")</f>
        <v>-</v>
      </c>
      <c r="AG13" s="444" t="str">
        <f>IF('Design Fee'!BJ15&gt;0,"✔","-")</f>
        <v>-</v>
      </c>
      <c r="AH13" s="444" t="str">
        <f>IF('Design Fee'!BK15&gt;0,"✔","-")</f>
        <v>-</v>
      </c>
      <c r="AI13" s="444" t="str">
        <f>IF('Design Fee'!BL15&gt;0,"✔","-")</f>
        <v>-</v>
      </c>
      <c r="AJ13" s="444" t="str">
        <f>IF('Design Fee'!BM15&gt;0,"✔","-")</f>
        <v>-</v>
      </c>
      <c r="AK13" s="444" t="str">
        <f>IF('Design Fee'!BN15&gt;0,"✔","-")</f>
        <v>-</v>
      </c>
      <c r="AL13" s="445"/>
      <c r="AM13" s="444" t="str">
        <f>IF('Design Fee'!BP15&gt;0,"✔","-")</f>
        <v>-</v>
      </c>
      <c r="AN13" s="444" t="str">
        <f>IF('Design Fee'!BQ15&gt;0,"✔","-")</f>
        <v>-</v>
      </c>
      <c r="AO13" s="444" t="str">
        <f>IF('Design Fee'!BR15&gt;0,"✔","-")</f>
        <v>-</v>
      </c>
      <c r="AP13" s="444" t="str">
        <f>IF('Design Fee'!BS15&gt;0,"✔","-")</f>
        <v>-</v>
      </c>
      <c r="AQ13" s="444" t="str">
        <f>IF('Design Fee'!BT15&gt;0,"✔","-")</f>
        <v>-</v>
      </c>
      <c r="AR13" s="445"/>
      <c r="AS13" s="441"/>
      <c r="AT13" s="442"/>
      <c r="AU13" s="443" t="str">
        <f>IF('Design Fee'!CQ15&gt;0,"✔","-")</f>
        <v>-</v>
      </c>
      <c r="AV13" s="443" t="str">
        <f>IF('Design Fee'!CR15&gt;0,"✔","-")</f>
        <v>-</v>
      </c>
      <c r="AW13" s="444" t="str">
        <f>IF('Design Fee'!CS15&gt;0,"✔","-")</f>
        <v>-</v>
      </c>
      <c r="AX13" s="444" t="str">
        <f>IF('Design Fee'!CT15&gt;0,"✔","-")</f>
        <v>-</v>
      </c>
      <c r="AY13" s="444" t="str">
        <f>IF('Design Fee'!CU15&gt;0,"✔","-")</f>
        <v>-</v>
      </c>
      <c r="AZ13" s="444" t="str">
        <f>IF('Design Fee'!CV15&gt;0,"✔","-")</f>
        <v>-</v>
      </c>
      <c r="BA13" s="444" t="str">
        <f>IF('Design Fee'!CW15&gt;0,"✔","-")</f>
        <v>-</v>
      </c>
      <c r="BB13" s="444" t="str">
        <f>IF('Design Fee'!CX15&gt;0,"✔","-")</f>
        <v>-</v>
      </c>
      <c r="BC13" s="445"/>
      <c r="BD13" s="444" t="str">
        <f>IF('Design Fee'!CZ15&gt;0,"✔","-")</f>
        <v>-</v>
      </c>
      <c r="BE13" s="444" t="str">
        <f>IF('Design Fee'!DA15&gt;0,"✔","-")</f>
        <v>-</v>
      </c>
      <c r="BF13" s="444" t="str">
        <f>IF('Design Fee'!DB15&gt;0,"✔","-")</f>
        <v>-</v>
      </c>
      <c r="BG13" s="444" t="str">
        <f>IF('Design Fee'!DC15&gt;0,"✔","-")</f>
        <v>-</v>
      </c>
      <c r="BH13" s="444" t="str">
        <f>IF('Design Fee'!DD15&gt;0,"✔","-")</f>
        <v>-</v>
      </c>
      <c r="BI13" s="445"/>
      <c r="BJ13" s="441"/>
      <c r="BK13" s="442"/>
      <c r="BL13" s="443" t="str">
        <f>IF('Design Fee'!EA15&gt;0,"✔","-")</f>
        <v>-</v>
      </c>
      <c r="BM13" s="443" t="str">
        <f>IF('Design Fee'!EB15&gt;0,"✔","-")</f>
        <v>-</v>
      </c>
      <c r="BN13" s="444" t="str">
        <f>IF('Design Fee'!EC15&gt;0,"✔","-")</f>
        <v>-</v>
      </c>
      <c r="BO13" s="444" t="str">
        <f>IF('Design Fee'!ED15&gt;0,"✔","-")</f>
        <v>-</v>
      </c>
      <c r="BP13" s="444" t="str">
        <f>IF('Design Fee'!EE15&gt;0,"✔","-")</f>
        <v>-</v>
      </c>
      <c r="BQ13" s="444" t="str">
        <f>IF('Design Fee'!EF15&gt;0,"✔","-")</f>
        <v>-</v>
      </c>
      <c r="BR13" s="444" t="str">
        <f>IF('Design Fee'!EG15&gt;0,"✔","-")</f>
        <v>-</v>
      </c>
      <c r="BS13" s="444" t="str">
        <f>IF('Design Fee'!EH15&gt;0,"✔","-")</f>
        <v>-</v>
      </c>
      <c r="BT13" s="383"/>
      <c r="BU13" s="444" t="str">
        <f>IF('Design Fee'!EJ15&gt;0,"✔","-")</f>
        <v>-</v>
      </c>
      <c r="BV13" s="444" t="str">
        <f>IF('Design Fee'!EK15&gt;0,"✔","-")</f>
        <v>-</v>
      </c>
      <c r="BW13" s="444" t="str">
        <f>IF('Design Fee'!EL15&gt;0,"✔","-")</f>
        <v>-</v>
      </c>
      <c r="BX13" s="444" t="str">
        <f>IF('Design Fee'!EM15&gt;0,"✔","-")</f>
        <v>-</v>
      </c>
      <c r="BY13" s="444" t="str">
        <f>IF('Design Fee'!EN15&gt;0,"✔","-")</f>
        <v>-</v>
      </c>
      <c r="BZ13" s="383"/>
    </row>
    <row r="14" spans="1:78" ht="3" customHeight="1" outlineLevel="1">
      <c r="A14" s="383"/>
      <c r="B14" s="384"/>
      <c r="C14" s="384"/>
      <c r="D14" s="383"/>
      <c r="E14" s="383"/>
      <c r="F14" s="408"/>
      <c r="G14" s="421"/>
      <c r="H14" s="421"/>
      <c r="I14" s="421"/>
      <c r="J14" s="430"/>
      <c r="K14" s="441"/>
      <c r="L14" s="442"/>
      <c r="M14" s="408"/>
      <c r="N14" s="408"/>
      <c r="O14" s="421"/>
      <c r="P14" s="421"/>
      <c r="Q14" s="421"/>
      <c r="R14" s="421"/>
      <c r="S14" s="421"/>
      <c r="T14" s="421"/>
      <c r="U14" s="430"/>
      <c r="V14" s="421"/>
      <c r="W14" s="421"/>
      <c r="X14" s="421"/>
      <c r="Y14" s="421"/>
      <c r="Z14" s="421"/>
      <c r="AA14" s="430"/>
      <c r="AB14" s="441"/>
      <c r="AC14" s="442"/>
      <c r="AD14" s="408"/>
      <c r="AE14" s="408"/>
      <c r="AF14" s="421"/>
      <c r="AG14" s="421"/>
      <c r="AH14" s="421"/>
      <c r="AI14" s="421"/>
      <c r="AJ14" s="421"/>
      <c r="AK14" s="421"/>
      <c r="AL14" s="421"/>
      <c r="AM14" s="421"/>
      <c r="AN14" s="421"/>
      <c r="AO14" s="421"/>
      <c r="AP14" s="421"/>
      <c r="AQ14" s="421"/>
      <c r="AR14" s="421"/>
      <c r="AS14" s="441"/>
      <c r="AT14" s="421"/>
      <c r="AU14" s="408"/>
      <c r="AV14" s="408"/>
      <c r="AW14" s="421"/>
      <c r="AX14" s="421"/>
      <c r="AY14" s="421"/>
      <c r="AZ14" s="421"/>
      <c r="BA14" s="421"/>
      <c r="BB14" s="421"/>
      <c r="BC14" s="421"/>
      <c r="BD14" s="421"/>
      <c r="BE14" s="421"/>
      <c r="BF14" s="421"/>
      <c r="BG14" s="421"/>
      <c r="BH14" s="421"/>
      <c r="BI14" s="421"/>
      <c r="BJ14" s="441"/>
      <c r="BK14" s="421"/>
      <c r="BL14" s="408"/>
      <c r="BM14" s="408"/>
      <c r="BN14" s="421"/>
      <c r="BO14" s="421"/>
      <c r="BP14" s="421"/>
      <c r="BQ14" s="421"/>
      <c r="BR14" s="421"/>
      <c r="BS14" s="421"/>
      <c r="BT14" s="383"/>
      <c r="BU14" s="421"/>
      <c r="BV14" s="421"/>
      <c r="BW14" s="421"/>
      <c r="BX14" s="421"/>
      <c r="BY14" s="421"/>
      <c r="BZ14" s="383"/>
    </row>
    <row r="15" spans="1:78" ht="12.75" outlineLevel="1">
      <c r="A15" s="383"/>
      <c r="B15" s="431">
        <v>2</v>
      </c>
      <c r="C15" s="432">
        <v>2</v>
      </c>
      <c r="D15" s="433" t="s">
        <v>26</v>
      </c>
      <c r="E15" s="434"/>
      <c r="F15" s="436">
        <f>COUNTIF(M15,"✔")+COUNTIF(AD15,"✔")+COUNTIF(BL15,"✔")+COUNTIF(AU15,"✔")</f>
        <v>4</v>
      </c>
      <c r="G15" s="436">
        <f>COUNTIF(N15,"✔")+COUNTIF(AE15,"✔")+COUNTIF(BM15,"✔")+COUNTIF(AV15,"✔")</f>
        <v>4</v>
      </c>
      <c r="H15" s="436">
        <f>COUNTIF(O15,"✔")+COUNTIF(AF15,"✔")+COUNTIF(BN15,"✔")+COUNTIF(AW15,"✔")</f>
        <v>4</v>
      </c>
      <c r="I15" s="437">
        <f>F15-G15</f>
        <v>0</v>
      </c>
      <c r="J15" s="438"/>
      <c r="K15" s="436"/>
      <c r="L15" s="435"/>
      <c r="M15" s="436" t="str">
        <f>IF('Design Fee'!W17&gt;0,"✔","-")</f>
        <v>✔</v>
      </c>
      <c r="N15" s="436" t="str">
        <f>IF('Design Fee'!X17&gt;0,"✔","-")</f>
        <v>✔</v>
      </c>
      <c r="O15" s="436" t="str">
        <f>IF('Design Fee'!Y17&gt;0,"✔","-")</f>
        <v>✔</v>
      </c>
      <c r="P15" s="437" t="str">
        <f>IF('Design Fee'!Z17&gt;0,"✔","-")</f>
        <v>-</v>
      </c>
      <c r="Q15" s="437" t="str">
        <f>IF('Design Fee'!AA17&gt;0,"✔","-")</f>
        <v>-</v>
      </c>
      <c r="R15" s="437" t="str">
        <f>IF('Design Fee'!AB17&gt;0,"✔","-")</f>
        <v>-</v>
      </c>
      <c r="S15" s="437" t="str">
        <f>IF('Design Fee'!AC17&gt;0,"✔","-")</f>
        <v>-</v>
      </c>
      <c r="T15" s="437" t="str">
        <f>IF('Design Fee'!AD17&gt;0,"✔","-")</f>
        <v>-</v>
      </c>
      <c r="U15" s="438"/>
      <c r="V15" s="437" t="str">
        <f>IF('Design Fee'!AF17&gt;0,"✔","-")</f>
        <v>-</v>
      </c>
      <c r="W15" s="437" t="str">
        <f>IF('Design Fee'!AG17&gt;0,"✔","-")</f>
        <v>-</v>
      </c>
      <c r="X15" s="437" t="str">
        <f>IF('Design Fee'!AH17&gt;0,"✔","-")</f>
        <v>-</v>
      </c>
      <c r="Y15" s="437" t="str">
        <f>IF('Design Fee'!AI17&gt;0,"✔","-")</f>
        <v>-</v>
      </c>
      <c r="Z15" s="437" t="str">
        <f>IF('Design Fee'!AJ17&gt;0,"✔","-")</f>
        <v>-</v>
      </c>
      <c r="AA15" s="438"/>
      <c r="AB15" s="436" t="str">
        <f>AD15</f>
        <v>✔</v>
      </c>
      <c r="AC15" s="435"/>
      <c r="AD15" s="436" t="str">
        <f>IF('Design Fee'!BG17&gt;0,"✔","-")</f>
        <v>✔</v>
      </c>
      <c r="AE15" s="436" t="str">
        <f>IF('Design Fee'!BH17&gt;0,"✔","-")</f>
        <v>✔</v>
      </c>
      <c r="AF15" s="436" t="str">
        <f>IF('Design Fee'!BI17&gt;0,"✔","-")</f>
        <v>✔</v>
      </c>
      <c r="AG15" s="437" t="str">
        <f>IF('Design Fee'!BJ17&gt;0,"✔","-")</f>
        <v>-</v>
      </c>
      <c r="AH15" s="437" t="str">
        <f>IF('Design Fee'!BK17&gt;0,"✔","-")</f>
        <v>-</v>
      </c>
      <c r="AI15" s="437" t="str">
        <f>IF('Design Fee'!BL17&gt;0,"✔","-")</f>
        <v>-</v>
      </c>
      <c r="AJ15" s="437" t="str">
        <f>IF('Design Fee'!BM17&gt;0,"✔","-")</f>
        <v>-</v>
      </c>
      <c r="AK15" s="437" t="str">
        <f>IF('Design Fee'!BN17&gt;0,"✔","-")</f>
        <v>-</v>
      </c>
      <c r="AL15" s="435"/>
      <c r="AM15" s="437" t="str">
        <f>IF('Design Fee'!BP17&gt;0,"✔","-")</f>
        <v>-</v>
      </c>
      <c r="AN15" s="437" t="str">
        <f>IF('Design Fee'!BQ17&gt;0,"✔","-")</f>
        <v>-</v>
      </c>
      <c r="AO15" s="437" t="str">
        <f>IF('Design Fee'!BR17&gt;0,"✔","-")</f>
        <v>-</v>
      </c>
      <c r="AP15" s="437" t="str">
        <f>IF('Design Fee'!BS17&gt;0,"✔","-")</f>
        <v>-</v>
      </c>
      <c r="AQ15" s="437" t="str">
        <f>IF('Design Fee'!BT17&gt;0,"✔","-")</f>
        <v>-</v>
      </c>
      <c r="AR15" s="435"/>
      <c r="AS15" s="436" t="str">
        <f>AU15</f>
        <v>✔</v>
      </c>
      <c r="AT15" s="435"/>
      <c r="AU15" s="436" t="str">
        <f>IF('Design Fee'!CQ17&gt;0,"✔","-")</f>
        <v>✔</v>
      </c>
      <c r="AV15" s="436" t="str">
        <f>IF('Design Fee'!CR17&gt;0,"✔","-")</f>
        <v>✔</v>
      </c>
      <c r="AW15" s="436" t="str">
        <f>IF('Design Fee'!CS17&gt;0,"✔","-")</f>
        <v>✔</v>
      </c>
      <c r="AX15" s="437" t="str">
        <f>IF('Design Fee'!CT17&gt;0,"✔","-")</f>
        <v>-</v>
      </c>
      <c r="AY15" s="437" t="str">
        <f>IF('Design Fee'!CU17&gt;0,"✔","-")</f>
        <v>-</v>
      </c>
      <c r="AZ15" s="437" t="str">
        <f>IF('Design Fee'!CV17&gt;0,"✔","-")</f>
        <v>-</v>
      </c>
      <c r="BA15" s="437" t="str">
        <f>IF('Design Fee'!CW17&gt;0,"✔","-")</f>
        <v>-</v>
      </c>
      <c r="BB15" s="437" t="str">
        <f>IF('Design Fee'!CX17&gt;0,"✔","-")</f>
        <v>-</v>
      </c>
      <c r="BC15" s="435"/>
      <c r="BD15" s="437" t="str">
        <f>IF('Design Fee'!CZ17&gt;0,"✔","-")</f>
        <v>-</v>
      </c>
      <c r="BE15" s="437" t="str">
        <f>IF('Design Fee'!DA17&gt;0,"✔","-")</f>
        <v>-</v>
      </c>
      <c r="BF15" s="437" t="str">
        <f>IF('Design Fee'!DB17&gt;0,"✔","-")</f>
        <v>-</v>
      </c>
      <c r="BG15" s="437" t="str">
        <f>IF('Design Fee'!DC17&gt;0,"✔","-")</f>
        <v>-</v>
      </c>
      <c r="BH15" s="437" t="str">
        <f>IF('Design Fee'!DD17&gt;0,"✔","-")</f>
        <v>-</v>
      </c>
      <c r="BI15" s="435"/>
      <c r="BJ15" s="436" t="str">
        <f>BL15</f>
        <v>✔</v>
      </c>
      <c r="BK15" s="435"/>
      <c r="BL15" s="436" t="str">
        <f>IF('Design Fee'!EA17&gt;0,"✔","-")</f>
        <v>✔</v>
      </c>
      <c r="BM15" s="436" t="str">
        <f>IF('Design Fee'!EB17&gt;0,"✔","-")</f>
        <v>✔</v>
      </c>
      <c r="BN15" s="436" t="str">
        <f>IF('Design Fee'!EC17&gt;0,"✔","-")</f>
        <v>✔</v>
      </c>
      <c r="BO15" s="437" t="str">
        <f>IF('Design Fee'!ED17&gt;0,"✔","-")</f>
        <v>-</v>
      </c>
      <c r="BP15" s="437" t="str">
        <f>IF('Design Fee'!EE17&gt;0,"✔","-")</f>
        <v>-</v>
      </c>
      <c r="BQ15" s="437" t="str">
        <f>IF('Design Fee'!EF17&gt;0,"✔","-")</f>
        <v>-</v>
      </c>
      <c r="BR15" s="437" t="str">
        <f>IF('Design Fee'!EG17&gt;0,"✔","-")</f>
        <v>-</v>
      </c>
      <c r="BS15" s="437" t="str">
        <f>IF('Design Fee'!EH17&gt;0,"✔","-")</f>
        <v>-</v>
      </c>
      <c r="BT15" s="383"/>
      <c r="BU15" s="437" t="str">
        <f>IF('Design Fee'!EJ17&gt;0,"✔","-")</f>
        <v>-</v>
      </c>
      <c r="BV15" s="437" t="str">
        <f>IF('Design Fee'!EK17&gt;0,"✔","-")</f>
        <v>-</v>
      </c>
      <c r="BW15" s="437" t="str">
        <f>IF('Design Fee'!EL17&gt;0,"✔","-")</f>
        <v>-</v>
      </c>
      <c r="BX15" s="437" t="str">
        <f>IF('Design Fee'!EM17&gt;0,"✔","-")</f>
        <v>-</v>
      </c>
      <c r="BY15" s="437" t="str">
        <f>IF('Design Fee'!EN17&gt;0,"✔","-")</f>
        <v>-</v>
      </c>
      <c r="BZ15" s="383"/>
    </row>
    <row r="16" spans="1:78" ht="13.35" customHeight="1" outlineLevel="2">
      <c r="A16" s="383"/>
      <c r="B16" s="439"/>
      <c r="C16" s="439">
        <v>1</v>
      </c>
      <c r="D16" s="447" t="s">
        <v>27</v>
      </c>
      <c r="E16" s="448"/>
      <c r="F16" s="443"/>
      <c r="G16" s="444"/>
      <c r="H16" s="444"/>
      <c r="I16" s="444"/>
      <c r="J16" s="430"/>
      <c r="K16" s="449"/>
      <c r="L16" s="450"/>
      <c r="M16" s="443" t="str">
        <f>IF('Design Fee'!W18&gt;0,"✔","-")</f>
        <v>-</v>
      </c>
      <c r="N16" s="443" t="str">
        <f>IF('Design Fee'!X18&gt;0,"✔","-")</f>
        <v>-</v>
      </c>
      <c r="O16" s="444" t="str">
        <f>IF('Design Fee'!Y18&gt;0,"✔","-")</f>
        <v>-</v>
      </c>
      <c r="P16" s="444" t="str">
        <f>IF('Design Fee'!Z18&gt;0,"✔","-")</f>
        <v>-</v>
      </c>
      <c r="Q16" s="444" t="str">
        <f>IF('Design Fee'!AA18&gt;0,"✔","-")</f>
        <v>-</v>
      </c>
      <c r="R16" s="444" t="str">
        <f>IF('Design Fee'!AB18&gt;0,"✔","-")</f>
        <v>-</v>
      </c>
      <c r="S16" s="444" t="str">
        <f>IF('Design Fee'!AC18&gt;0,"✔","-")</f>
        <v>-</v>
      </c>
      <c r="T16" s="444" t="str">
        <f>IF('Design Fee'!AD18&gt;0,"✔","-")</f>
        <v>-</v>
      </c>
      <c r="U16" s="430"/>
      <c r="V16" s="444" t="str">
        <f>IF('Design Fee'!AF18&gt;0,"✔","-")</f>
        <v>-</v>
      </c>
      <c r="W16" s="444" t="str">
        <f>IF('Design Fee'!AG18&gt;0,"✔","-")</f>
        <v>-</v>
      </c>
      <c r="X16" s="444" t="str">
        <f>IF('Design Fee'!AH18&gt;0,"✔","-")</f>
        <v>-</v>
      </c>
      <c r="Y16" s="444" t="str">
        <f>IF('Design Fee'!AI18&gt;0,"✔","-")</f>
        <v>-</v>
      </c>
      <c r="Z16" s="444" t="str">
        <f>IF('Design Fee'!AJ18&gt;0,"✔","-")</f>
        <v>-</v>
      </c>
      <c r="AA16" s="430"/>
      <c r="AB16" s="449"/>
      <c r="AC16" s="450"/>
      <c r="AD16" s="443" t="str">
        <f>IF('Design Fee'!BG18&gt;0,"✔","-")</f>
        <v>-</v>
      </c>
      <c r="AE16" s="443" t="str">
        <f>IF('Design Fee'!BH18&gt;0,"✔","-")</f>
        <v>-</v>
      </c>
      <c r="AF16" s="444" t="str">
        <f>IF('Design Fee'!BI18&gt;0,"✔","-")</f>
        <v>-</v>
      </c>
      <c r="AG16" s="444" t="str">
        <f>IF('Design Fee'!BJ18&gt;0,"✔","-")</f>
        <v>-</v>
      </c>
      <c r="AH16" s="444" t="str">
        <f>IF('Design Fee'!BK18&gt;0,"✔","-")</f>
        <v>-</v>
      </c>
      <c r="AI16" s="444" t="str">
        <f>IF('Design Fee'!BL18&gt;0,"✔","-")</f>
        <v>-</v>
      </c>
      <c r="AJ16" s="444" t="str">
        <f>IF('Design Fee'!BM18&gt;0,"✔","-")</f>
        <v>-</v>
      </c>
      <c r="AK16" s="444" t="str">
        <f>IF('Design Fee'!BN18&gt;0,"✔","-")</f>
        <v>-</v>
      </c>
      <c r="AL16" s="451"/>
      <c r="AM16" s="444" t="str">
        <f>IF('Design Fee'!BP18&gt;0,"✔","-")</f>
        <v>-</v>
      </c>
      <c r="AN16" s="444" t="str">
        <f>IF('Design Fee'!BQ18&gt;0,"✔","-")</f>
        <v>-</v>
      </c>
      <c r="AO16" s="444" t="str">
        <f>IF('Design Fee'!BR18&gt;0,"✔","-")</f>
        <v>-</v>
      </c>
      <c r="AP16" s="444" t="str">
        <f>IF('Design Fee'!BS18&gt;0,"✔","-")</f>
        <v>-</v>
      </c>
      <c r="AQ16" s="444" t="str">
        <f>IF('Design Fee'!BT18&gt;0,"✔","-")</f>
        <v>-</v>
      </c>
      <c r="AR16" s="451"/>
      <c r="AS16" s="449"/>
      <c r="AT16" s="450"/>
      <c r="AU16" s="443" t="str">
        <f>IF('Design Fee'!CQ18&gt;0,"✔","-")</f>
        <v>-</v>
      </c>
      <c r="AV16" s="443" t="str">
        <f>IF('Design Fee'!CR18&gt;0,"✔","-")</f>
        <v>-</v>
      </c>
      <c r="AW16" s="444" t="str">
        <f>IF('Design Fee'!CS18&gt;0,"✔","-")</f>
        <v>-</v>
      </c>
      <c r="AX16" s="444" t="str">
        <f>IF('Design Fee'!CT18&gt;0,"✔","-")</f>
        <v>-</v>
      </c>
      <c r="AY16" s="444" t="str">
        <f>IF('Design Fee'!CU18&gt;0,"✔","-")</f>
        <v>-</v>
      </c>
      <c r="AZ16" s="444" t="str">
        <f>IF('Design Fee'!CV18&gt;0,"✔","-")</f>
        <v>-</v>
      </c>
      <c r="BA16" s="444" t="str">
        <f>IF('Design Fee'!CW18&gt;0,"✔","-")</f>
        <v>-</v>
      </c>
      <c r="BB16" s="444" t="str">
        <f>IF('Design Fee'!CX18&gt;0,"✔","-")</f>
        <v>-</v>
      </c>
      <c r="BC16" s="451"/>
      <c r="BD16" s="444" t="str">
        <f>IF('Design Fee'!CZ18&gt;0,"✔","-")</f>
        <v>-</v>
      </c>
      <c r="BE16" s="444" t="str">
        <f>IF('Design Fee'!DA18&gt;0,"✔","-")</f>
        <v>-</v>
      </c>
      <c r="BF16" s="444" t="str">
        <f>IF('Design Fee'!DB18&gt;0,"✔","-")</f>
        <v>-</v>
      </c>
      <c r="BG16" s="444" t="str">
        <f>IF('Design Fee'!DC18&gt;0,"✔","-")</f>
        <v>-</v>
      </c>
      <c r="BH16" s="444" t="str">
        <f>IF('Design Fee'!DD18&gt;0,"✔","-")</f>
        <v>-</v>
      </c>
      <c r="BI16" s="451"/>
      <c r="BJ16" s="449"/>
      <c r="BK16" s="450"/>
      <c r="BL16" s="443" t="str">
        <f>IF('Design Fee'!EA18&gt;0,"✔","-")</f>
        <v>-</v>
      </c>
      <c r="BM16" s="443" t="str">
        <f>IF('Design Fee'!EB18&gt;0,"✔","-")</f>
        <v>-</v>
      </c>
      <c r="BN16" s="444" t="str">
        <f>IF('Design Fee'!EC18&gt;0,"✔","-")</f>
        <v>-</v>
      </c>
      <c r="BO16" s="444" t="str">
        <f>IF('Design Fee'!ED18&gt;0,"✔","-")</f>
        <v>-</v>
      </c>
      <c r="BP16" s="444" t="str">
        <f>IF('Design Fee'!EE18&gt;0,"✔","-")</f>
        <v>-</v>
      </c>
      <c r="BQ16" s="444" t="str">
        <f>IF('Design Fee'!EF18&gt;0,"✔","-")</f>
        <v>-</v>
      </c>
      <c r="BR16" s="444" t="str">
        <f>IF('Design Fee'!EG18&gt;0,"✔","-")</f>
        <v>-</v>
      </c>
      <c r="BS16" s="444" t="str">
        <f>IF('Design Fee'!EH18&gt;0,"✔","-")</f>
        <v>-</v>
      </c>
      <c r="BT16" s="448"/>
      <c r="BU16" s="444" t="str">
        <f>IF('Design Fee'!EJ18&gt;0,"✔","-")</f>
        <v>-</v>
      </c>
      <c r="BV16" s="444" t="str">
        <f>IF('Design Fee'!EK18&gt;0,"✔","-")</f>
        <v>-</v>
      </c>
      <c r="BW16" s="444" t="str">
        <f>IF('Design Fee'!EL18&gt;0,"✔","-")</f>
        <v>-</v>
      </c>
      <c r="BX16" s="444" t="str">
        <f>IF('Design Fee'!EM18&gt;0,"✔","-")</f>
        <v>-</v>
      </c>
      <c r="BY16" s="444" t="str">
        <f>IF('Design Fee'!EN18&gt;0,"✔","-")</f>
        <v>-</v>
      </c>
      <c r="BZ16" s="383"/>
    </row>
    <row r="17" spans="2:78" ht="13.35" customHeight="1" outlineLevel="2">
      <c r="B17" s="439"/>
      <c r="C17" s="439">
        <v>2</v>
      </c>
      <c r="D17" s="447" t="s">
        <v>28</v>
      </c>
      <c r="E17" s="448"/>
      <c r="F17" s="443"/>
      <c r="G17" s="444"/>
      <c r="H17" s="444"/>
      <c r="I17" s="444"/>
      <c r="J17" s="430"/>
      <c r="K17" s="449"/>
      <c r="L17" s="450"/>
      <c r="M17" s="443" t="str">
        <f>IF('Design Fee'!W19&gt;0,"✔","-")</f>
        <v>-</v>
      </c>
      <c r="N17" s="443" t="str">
        <f>IF('Design Fee'!X19&gt;0,"✔","-")</f>
        <v>-</v>
      </c>
      <c r="O17" s="444" t="str">
        <f>IF('Design Fee'!Y19&gt;0,"✔","-")</f>
        <v>-</v>
      </c>
      <c r="P17" s="444" t="str">
        <f>IF('Design Fee'!Z19&gt;0,"✔","-")</f>
        <v>-</v>
      </c>
      <c r="Q17" s="444" t="str">
        <f>IF('Design Fee'!AA19&gt;0,"✔","-")</f>
        <v>-</v>
      </c>
      <c r="R17" s="444" t="str">
        <f>IF('Design Fee'!AB19&gt;0,"✔","-")</f>
        <v>-</v>
      </c>
      <c r="S17" s="444" t="str">
        <f>IF('Design Fee'!AC19&gt;0,"✔","-")</f>
        <v>-</v>
      </c>
      <c r="T17" s="444" t="str">
        <f>IF('Design Fee'!AD19&gt;0,"✔","-")</f>
        <v>-</v>
      </c>
      <c r="U17" s="430"/>
      <c r="V17" s="444" t="str">
        <f>IF('Design Fee'!AF19&gt;0,"✔","-")</f>
        <v>-</v>
      </c>
      <c r="W17" s="444" t="str">
        <f>IF('Design Fee'!AG19&gt;0,"✔","-")</f>
        <v>-</v>
      </c>
      <c r="X17" s="444" t="str">
        <f>IF('Design Fee'!AH19&gt;0,"✔","-")</f>
        <v>-</v>
      </c>
      <c r="Y17" s="444" t="str">
        <f>IF('Design Fee'!AI19&gt;0,"✔","-")</f>
        <v>-</v>
      </c>
      <c r="Z17" s="444" t="str">
        <f>IF('Design Fee'!AJ19&gt;0,"✔","-")</f>
        <v>-</v>
      </c>
      <c r="AA17" s="430"/>
      <c r="AB17" s="449"/>
      <c r="AC17" s="450"/>
      <c r="AD17" s="443" t="str">
        <f>IF('Design Fee'!BG19&gt;0,"✔","-")</f>
        <v>-</v>
      </c>
      <c r="AE17" s="443" t="str">
        <f>IF('Design Fee'!BH19&gt;0,"✔","-")</f>
        <v>-</v>
      </c>
      <c r="AF17" s="444" t="str">
        <f>IF('Design Fee'!BI19&gt;0,"✔","-")</f>
        <v>-</v>
      </c>
      <c r="AG17" s="444" t="str">
        <f>IF('Design Fee'!BJ19&gt;0,"✔","-")</f>
        <v>-</v>
      </c>
      <c r="AH17" s="444" t="str">
        <f>IF('Design Fee'!BK19&gt;0,"✔","-")</f>
        <v>-</v>
      </c>
      <c r="AI17" s="444" t="str">
        <f>IF('Design Fee'!BL19&gt;0,"✔","-")</f>
        <v>-</v>
      </c>
      <c r="AJ17" s="444" t="str">
        <f>IF('Design Fee'!BM19&gt;0,"✔","-")</f>
        <v>-</v>
      </c>
      <c r="AK17" s="444" t="str">
        <f>IF('Design Fee'!BN19&gt;0,"✔","-")</f>
        <v>-</v>
      </c>
      <c r="AL17" s="451"/>
      <c r="AM17" s="444" t="str">
        <f>IF('Design Fee'!BP19&gt;0,"✔","-")</f>
        <v>-</v>
      </c>
      <c r="AN17" s="444" t="str">
        <f>IF('Design Fee'!BQ19&gt;0,"✔","-")</f>
        <v>-</v>
      </c>
      <c r="AO17" s="444" t="str">
        <f>IF('Design Fee'!BR19&gt;0,"✔","-")</f>
        <v>-</v>
      </c>
      <c r="AP17" s="444" t="str">
        <f>IF('Design Fee'!BS19&gt;0,"✔","-")</f>
        <v>-</v>
      </c>
      <c r="AQ17" s="444" t="str">
        <f>IF('Design Fee'!BT19&gt;0,"✔","-")</f>
        <v>-</v>
      </c>
      <c r="AR17" s="451"/>
      <c r="AS17" s="449"/>
      <c r="AT17" s="450"/>
      <c r="AU17" s="443" t="str">
        <f>IF('Design Fee'!CQ19&gt;0,"✔","-")</f>
        <v>-</v>
      </c>
      <c r="AV17" s="443" t="str">
        <f>IF('Design Fee'!CR19&gt;0,"✔","-")</f>
        <v>-</v>
      </c>
      <c r="AW17" s="444" t="str">
        <f>IF('Design Fee'!CS19&gt;0,"✔","-")</f>
        <v>-</v>
      </c>
      <c r="AX17" s="444" t="str">
        <f>IF('Design Fee'!CT19&gt;0,"✔","-")</f>
        <v>-</v>
      </c>
      <c r="AY17" s="444" t="str">
        <f>IF('Design Fee'!CU19&gt;0,"✔","-")</f>
        <v>-</v>
      </c>
      <c r="AZ17" s="444" t="str">
        <f>IF('Design Fee'!CV19&gt;0,"✔","-")</f>
        <v>-</v>
      </c>
      <c r="BA17" s="444" t="str">
        <f>IF('Design Fee'!CW19&gt;0,"✔","-")</f>
        <v>-</v>
      </c>
      <c r="BB17" s="444" t="str">
        <f>IF('Design Fee'!CX19&gt;0,"✔","-")</f>
        <v>-</v>
      </c>
      <c r="BC17" s="451"/>
      <c r="BD17" s="444" t="str">
        <f>IF('Design Fee'!CZ19&gt;0,"✔","-")</f>
        <v>-</v>
      </c>
      <c r="BE17" s="444" t="str">
        <f>IF('Design Fee'!DA19&gt;0,"✔","-")</f>
        <v>-</v>
      </c>
      <c r="BF17" s="444" t="str">
        <f>IF('Design Fee'!DB19&gt;0,"✔","-")</f>
        <v>-</v>
      </c>
      <c r="BG17" s="444" t="str">
        <f>IF('Design Fee'!DC19&gt;0,"✔","-")</f>
        <v>-</v>
      </c>
      <c r="BH17" s="444" t="str">
        <f>IF('Design Fee'!DD19&gt;0,"✔","-")</f>
        <v>-</v>
      </c>
      <c r="BI17" s="451"/>
      <c r="BJ17" s="449"/>
      <c r="BK17" s="450"/>
      <c r="BL17" s="443" t="str">
        <f>IF('Design Fee'!EA19&gt;0,"✔","-")</f>
        <v>-</v>
      </c>
      <c r="BM17" s="443" t="str">
        <f>IF('Design Fee'!EB19&gt;0,"✔","-")</f>
        <v>-</v>
      </c>
      <c r="BN17" s="444" t="str">
        <f>IF('Design Fee'!EC19&gt;0,"✔","-")</f>
        <v>-</v>
      </c>
      <c r="BO17" s="444" t="str">
        <f>IF('Design Fee'!ED19&gt;0,"✔","-")</f>
        <v>-</v>
      </c>
      <c r="BP17" s="444" t="str">
        <f>IF('Design Fee'!EE19&gt;0,"✔","-")</f>
        <v>-</v>
      </c>
      <c r="BQ17" s="444" t="str">
        <f>IF('Design Fee'!EF19&gt;0,"✔","-")</f>
        <v>-</v>
      </c>
      <c r="BR17" s="444" t="str">
        <f>IF('Design Fee'!EG19&gt;0,"✔","-")</f>
        <v>-</v>
      </c>
      <c r="BS17" s="444" t="str">
        <f>IF('Design Fee'!EH19&gt;0,"✔","-")</f>
        <v>-</v>
      </c>
      <c r="BT17" s="448"/>
      <c r="BU17" s="444" t="str">
        <f>IF('Design Fee'!EJ19&gt;0,"✔","-")</f>
        <v>-</v>
      </c>
      <c r="BV17" s="444" t="str">
        <f>IF('Design Fee'!EK19&gt;0,"✔","-")</f>
        <v>-</v>
      </c>
      <c r="BW17" s="444" t="str">
        <f>IF('Design Fee'!EL19&gt;0,"✔","-")</f>
        <v>-</v>
      </c>
      <c r="BX17" s="444" t="str">
        <f>IF('Design Fee'!EM19&gt;0,"✔","-")</f>
        <v>-</v>
      </c>
      <c r="BY17" s="444" t="str">
        <f>IF('Design Fee'!EN19&gt;0,"✔","-")</f>
        <v>-</v>
      </c>
      <c r="BZ17" s="383"/>
    </row>
    <row r="18" spans="2:78" ht="13.35" customHeight="1" outlineLevel="2">
      <c r="B18" s="439"/>
      <c r="C18" s="439">
        <v>3</v>
      </c>
      <c r="D18" s="447" t="s">
        <v>29</v>
      </c>
      <c r="E18" s="448"/>
      <c r="F18" s="443"/>
      <c r="G18" s="444"/>
      <c r="H18" s="444"/>
      <c r="I18" s="444"/>
      <c r="J18" s="430"/>
      <c r="K18" s="449"/>
      <c r="L18" s="450"/>
      <c r="M18" s="443" t="str">
        <f>IF('Design Fee'!W20&gt;0,"✔","-")</f>
        <v>-</v>
      </c>
      <c r="N18" s="443" t="str">
        <f>IF('Design Fee'!X20&gt;0,"✔","-")</f>
        <v>-</v>
      </c>
      <c r="O18" s="444" t="str">
        <f>IF('Design Fee'!Y20&gt;0,"✔","-")</f>
        <v>-</v>
      </c>
      <c r="P18" s="444" t="str">
        <f>IF('Design Fee'!Z20&gt;0,"✔","-")</f>
        <v>-</v>
      </c>
      <c r="Q18" s="444" t="str">
        <f>IF('Design Fee'!AA20&gt;0,"✔","-")</f>
        <v>-</v>
      </c>
      <c r="R18" s="444" t="str">
        <f>IF('Design Fee'!AB20&gt;0,"✔","-")</f>
        <v>-</v>
      </c>
      <c r="S18" s="444" t="str">
        <f>IF('Design Fee'!AC20&gt;0,"✔","-")</f>
        <v>-</v>
      </c>
      <c r="T18" s="444" t="str">
        <f>IF('Design Fee'!AD20&gt;0,"✔","-")</f>
        <v>-</v>
      </c>
      <c r="U18" s="430"/>
      <c r="V18" s="444" t="str">
        <f>IF('Design Fee'!AF20&gt;0,"✔","-")</f>
        <v>-</v>
      </c>
      <c r="W18" s="444" t="str">
        <f>IF('Design Fee'!AG20&gt;0,"✔","-")</f>
        <v>-</v>
      </c>
      <c r="X18" s="444" t="str">
        <f>IF('Design Fee'!AH20&gt;0,"✔","-")</f>
        <v>-</v>
      </c>
      <c r="Y18" s="444" t="str">
        <f>IF('Design Fee'!AI20&gt;0,"✔","-")</f>
        <v>-</v>
      </c>
      <c r="Z18" s="444" t="str">
        <f>IF('Design Fee'!AJ20&gt;0,"✔","-")</f>
        <v>-</v>
      </c>
      <c r="AA18" s="430"/>
      <c r="AB18" s="449"/>
      <c r="AC18" s="450"/>
      <c r="AD18" s="443" t="str">
        <f>IF('Design Fee'!BG20&gt;0,"✔","-")</f>
        <v>-</v>
      </c>
      <c r="AE18" s="443" t="str">
        <f>IF('Design Fee'!BH20&gt;0,"✔","-")</f>
        <v>-</v>
      </c>
      <c r="AF18" s="444" t="str">
        <f>IF('Design Fee'!BI20&gt;0,"✔","-")</f>
        <v>-</v>
      </c>
      <c r="AG18" s="444" t="str">
        <f>IF('Design Fee'!BJ20&gt;0,"✔","-")</f>
        <v>-</v>
      </c>
      <c r="AH18" s="444" t="str">
        <f>IF('Design Fee'!BK20&gt;0,"✔","-")</f>
        <v>-</v>
      </c>
      <c r="AI18" s="444" t="str">
        <f>IF('Design Fee'!BL20&gt;0,"✔","-")</f>
        <v>-</v>
      </c>
      <c r="AJ18" s="444" t="str">
        <f>IF('Design Fee'!BM20&gt;0,"✔","-")</f>
        <v>-</v>
      </c>
      <c r="AK18" s="444" t="str">
        <f>IF('Design Fee'!BN20&gt;0,"✔","-")</f>
        <v>-</v>
      </c>
      <c r="AL18" s="451"/>
      <c r="AM18" s="444" t="str">
        <f>IF('Design Fee'!BP20&gt;0,"✔","-")</f>
        <v>-</v>
      </c>
      <c r="AN18" s="444" t="str">
        <f>IF('Design Fee'!BQ20&gt;0,"✔","-")</f>
        <v>-</v>
      </c>
      <c r="AO18" s="444" t="str">
        <f>IF('Design Fee'!BR20&gt;0,"✔","-")</f>
        <v>-</v>
      </c>
      <c r="AP18" s="444" t="str">
        <f>IF('Design Fee'!BS20&gt;0,"✔","-")</f>
        <v>-</v>
      </c>
      <c r="AQ18" s="444" t="str">
        <f>IF('Design Fee'!BT20&gt;0,"✔","-")</f>
        <v>-</v>
      </c>
      <c r="AR18" s="451"/>
      <c r="AS18" s="449"/>
      <c r="AT18" s="450"/>
      <c r="AU18" s="443" t="str">
        <f>IF('Design Fee'!CQ20&gt;0,"✔","-")</f>
        <v>-</v>
      </c>
      <c r="AV18" s="443" t="str">
        <f>IF('Design Fee'!CR20&gt;0,"✔","-")</f>
        <v>-</v>
      </c>
      <c r="AW18" s="444" t="str">
        <f>IF('Design Fee'!CS20&gt;0,"✔","-")</f>
        <v>-</v>
      </c>
      <c r="AX18" s="444" t="str">
        <f>IF('Design Fee'!CT20&gt;0,"✔","-")</f>
        <v>-</v>
      </c>
      <c r="AY18" s="444" t="str">
        <f>IF('Design Fee'!CU20&gt;0,"✔","-")</f>
        <v>-</v>
      </c>
      <c r="AZ18" s="444" t="str">
        <f>IF('Design Fee'!CV20&gt;0,"✔","-")</f>
        <v>-</v>
      </c>
      <c r="BA18" s="444" t="str">
        <f>IF('Design Fee'!CW20&gt;0,"✔","-")</f>
        <v>-</v>
      </c>
      <c r="BB18" s="444" t="str">
        <f>IF('Design Fee'!CX20&gt;0,"✔","-")</f>
        <v>-</v>
      </c>
      <c r="BC18" s="451"/>
      <c r="BD18" s="444" t="str">
        <f>IF('Design Fee'!CZ20&gt;0,"✔","-")</f>
        <v>-</v>
      </c>
      <c r="BE18" s="444" t="str">
        <f>IF('Design Fee'!DA20&gt;0,"✔","-")</f>
        <v>-</v>
      </c>
      <c r="BF18" s="444" t="str">
        <f>IF('Design Fee'!DB20&gt;0,"✔","-")</f>
        <v>-</v>
      </c>
      <c r="BG18" s="444" t="str">
        <f>IF('Design Fee'!DC20&gt;0,"✔","-")</f>
        <v>-</v>
      </c>
      <c r="BH18" s="444" t="str">
        <f>IF('Design Fee'!DD20&gt;0,"✔","-")</f>
        <v>-</v>
      </c>
      <c r="BI18" s="451"/>
      <c r="BJ18" s="449"/>
      <c r="BK18" s="450"/>
      <c r="BL18" s="443" t="str">
        <f>IF('Design Fee'!EA20&gt;0,"✔","-")</f>
        <v>-</v>
      </c>
      <c r="BM18" s="443" t="str">
        <f>IF('Design Fee'!EB20&gt;0,"✔","-")</f>
        <v>-</v>
      </c>
      <c r="BN18" s="444" t="str">
        <f>IF('Design Fee'!EC20&gt;0,"✔","-")</f>
        <v>-</v>
      </c>
      <c r="BO18" s="444" t="str">
        <f>IF('Design Fee'!ED20&gt;0,"✔","-")</f>
        <v>-</v>
      </c>
      <c r="BP18" s="444" t="str">
        <f>IF('Design Fee'!EE20&gt;0,"✔","-")</f>
        <v>-</v>
      </c>
      <c r="BQ18" s="444" t="str">
        <f>IF('Design Fee'!EF20&gt;0,"✔","-")</f>
        <v>-</v>
      </c>
      <c r="BR18" s="444" t="str">
        <f>IF('Design Fee'!EG20&gt;0,"✔","-")</f>
        <v>-</v>
      </c>
      <c r="BS18" s="444" t="str">
        <f>IF('Design Fee'!EH20&gt;0,"✔","-")</f>
        <v>-</v>
      </c>
      <c r="BT18" s="448"/>
      <c r="BU18" s="444" t="str">
        <f>IF('Design Fee'!EJ20&gt;0,"✔","-")</f>
        <v>-</v>
      </c>
      <c r="BV18" s="444" t="str">
        <f>IF('Design Fee'!EK20&gt;0,"✔","-")</f>
        <v>-</v>
      </c>
      <c r="BW18" s="444" t="str">
        <f>IF('Design Fee'!EL20&gt;0,"✔","-")</f>
        <v>-</v>
      </c>
      <c r="BX18" s="444" t="str">
        <f>IF('Design Fee'!EM20&gt;0,"✔","-")</f>
        <v>-</v>
      </c>
      <c r="BY18" s="444" t="str">
        <f>IF('Design Fee'!EN20&gt;0,"✔","-")</f>
        <v>-</v>
      </c>
      <c r="BZ18" s="383"/>
    </row>
    <row r="19" spans="2:78" ht="13.35" customHeight="1" outlineLevel="2">
      <c r="B19" s="439"/>
      <c r="C19" s="439">
        <v>4</v>
      </c>
      <c r="D19" s="447" t="s">
        <v>30</v>
      </c>
      <c r="E19" s="448"/>
      <c r="F19" s="443"/>
      <c r="G19" s="444"/>
      <c r="H19" s="444"/>
      <c r="I19" s="444"/>
      <c r="J19" s="430"/>
      <c r="K19" s="449"/>
      <c r="L19" s="450"/>
      <c r="M19" s="443" t="str">
        <f>IF('Design Fee'!W21&gt;0,"✔","-")</f>
        <v>-</v>
      </c>
      <c r="N19" s="443" t="str">
        <f>IF('Design Fee'!X21&gt;0,"✔","-")</f>
        <v>-</v>
      </c>
      <c r="O19" s="444" t="str">
        <f>IF('Design Fee'!Y21&gt;0,"✔","-")</f>
        <v>-</v>
      </c>
      <c r="P19" s="444" t="str">
        <f>IF('Design Fee'!Z21&gt;0,"✔","-")</f>
        <v>-</v>
      </c>
      <c r="Q19" s="444" t="str">
        <f>IF('Design Fee'!AA21&gt;0,"✔","-")</f>
        <v>-</v>
      </c>
      <c r="R19" s="444" t="str">
        <f>IF('Design Fee'!AB21&gt;0,"✔","-")</f>
        <v>-</v>
      </c>
      <c r="S19" s="444" t="str">
        <f>IF('Design Fee'!AC21&gt;0,"✔","-")</f>
        <v>-</v>
      </c>
      <c r="T19" s="444" t="str">
        <f>IF('Design Fee'!AD21&gt;0,"✔","-")</f>
        <v>-</v>
      </c>
      <c r="U19" s="430"/>
      <c r="V19" s="444" t="str">
        <f>IF('Design Fee'!AF21&gt;0,"✔","-")</f>
        <v>-</v>
      </c>
      <c r="W19" s="444" t="str">
        <f>IF('Design Fee'!AG21&gt;0,"✔","-")</f>
        <v>-</v>
      </c>
      <c r="X19" s="444" t="str">
        <f>IF('Design Fee'!AH21&gt;0,"✔","-")</f>
        <v>-</v>
      </c>
      <c r="Y19" s="444" t="str">
        <f>IF('Design Fee'!AI21&gt;0,"✔","-")</f>
        <v>-</v>
      </c>
      <c r="Z19" s="444" t="str">
        <f>IF('Design Fee'!AJ21&gt;0,"✔","-")</f>
        <v>-</v>
      </c>
      <c r="AA19" s="430"/>
      <c r="AB19" s="449"/>
      <c r="AC19" s="450"/>
      <c r="AD19" s="443" t="str">
        <f>IF('Design Fee'!BG21&gt;0,"✔","-")</f>
        <v>-</v>
      </c>
      <c r="AE19" s="443" t="str">
        <f>IF('Design Fee'!BH21&gt;0,"✔","-")</f>
        <v>-</v>
      </c>
      <c r="AF19" s="444" t="str">
        <f>IF('Design Fee'!BI21&gt;0,"✔","-")</f>
        <v>-</v>
      </c>
      <c r="AG19" s="444" t="str">
        <f>IF('Design Fee'!BJ21&gt;0,"✔","-")</f>
        <v>-</v>
      </c>
      <c r="AH19" s="444" t="str">
        <f>IF('Design Fee'!BK21&gt;0,"✔","-")</f>
        <v>-</v>
      </c>
      <c r="AI19" s="444" t="str">
        <f>IF('Design Fee'!BL21&gt;0,"✔","-")</f>
        <v>-</v>
      </c>
      <c r="AJ19" s="444" t="str">
        <f>IF('Design Fee'!BM21&gt;0,"✔","-")</f>
        <v>-</v>
      </c>
      <c r="AK19" s="444" t="str">
        <f>IF('Design Fee'!BN21&gt;0,"✔","-")</f>
        <v>-</v>
      </c>
      <c r="AL19" s="451"/>
      <c r="AM19" s="444" t="str">
        <f>IF('Design Fee'!BP21&gt;0,"✔","-")</f>
        <v>-</v>
      </c>
      <c r="AN19" s="444" t="str">
        <f>IF('Design Fee'!BQ21&gt;0,"✔","-")</f>
        <v>-</v>
      </c>
      <c r="AO19" s="444" t="str">
        <f>IF('Design Fee'!BR21&gt;0,"✔","-")</f>
        <v>-</v>
      </c>
      <c r="AP19" s="444" t="str">
        <f>IF('Design Fee'!BS21&gt;0,"✔","-")</f>
        <v>-</v>
      </c>
      <c r="AQ19" s="444" t="str">
        <f>IF('Design Fee'!BT21&gt;0,"✔","-")</f>
        <v>-</v>
      </c>
      <c r="AR19" s="451"/>
      <c r="AS19" s="449"/>
      <c r="AT19" s="450"/>
      <c r="AU19" s="443" t="str">
        <f>IF('Design Fee'!CQ21&gt;0,"✔","-")</f>
        <v>-</v>
      </c>
      <c r="AV19" s="443" t="str">
        <f>IF('Design Fee'!CR21&gt;0,"✔","-")</f>
        <v>-</v>
      </c>
      <c r="AW19" s="444" t="str">
        <f>IF('Design Fee'!CS21&gt;0,"✔","-")</f>
        <v>-</v>
      </c>
      <c r="AX19" s="444" t="str">
        <f>IF('Design Fee'!CT21&gt;0,"✔","-")</f>
        <v>-</v>
      </c>
      <c r="AY19" s="444" t="str">
        <f>IF('Design Fee'!CU21&gt;0,"✔","-")</f>
        <v>-</v>
      </c>
      <c r="AZ19" s="444" t="str">
        <f>IF('Design Fee'!CV21&gt;0,"✔","-")</f>
        <v>-</v>
      </c>
      <c r="BA19" s="444" t="str">
        <f>IF('Design Fee'!CW21&gt;0,"✔","-")</f>
        <v>-</v>
      </c>
      <c r="BB19" s="444" t="str">
        <f>IF('Design Fee'!CX21&gt;0,"✔","-")</f>
        <v>-</v>
      </c>
      <c r="BC19" s="451"/>
      <c r="BD19" s="444" t="str">
        <f>IF('Design Fee'!CZ21&gt;0,"✔","-")</f>
        <v>-</v>
      </c>
      <c r="BE19" s="444" t="str">
        <f>IF('Design Fee'!DA21&gt;0,"✔","-")</f>
        <v>-</v>
      </c>
      <c r="BF19" s="444" t="str">
        <f>IF('Design Fee'!DB21&gt;0,"✔","-")</f>
        <v>-</v>
      </c>
      <c r="BG19" s="444" t="str">
        <f>IF('Design Fee'!DC21&gt;0,"✔","-")</f>
        <v>-</v>
      </c>
      <c r="BH19" s="444" t="str">
        <f>IF('Design Fee'!DD21&gt;0,"✔","-")</f>
        <v>-</v>
      </c>
      <c r="BI19" s="451"/>
      <c r="BJ19" s="449"/>
      <c r="BK19" s="450"/>
      <c r="BL19" s="443" t="str">
        <f>IF('Design Fee'!EA21&gt;0,"✔","-")</f>
        <v>-</v>
      </c>
      <c r="BM19" s="443" t="str">
        <f>IF('Design Fee'!EB21&gt;0,"✔","-")</f>
        <v>-</v>
      </c>
      <c r="BN19" s="444" t="str">
        <f>IF('Design Fee'!EC21&gt;0,"✔","-")</f>
        <v>-</v>
      </c>
      <c r="BO19" s="444" t="str">
        <f>IF('Design Fee'!ED21&gt;0,"✔","-")</f>
        <v>-</v>
      </c>
      <c r="BP19" s="444" t="str">
        <f>IF('Design Fee'!EE21&gt;0,"✔","-")</f>
        <v>-</v>
      </c>
      <c r="BQ19" s="444" t="str">
        <f>IF('Design Fee'!EF21&gt;0,"✔","-")</f>
        <v>-</v>
      </c>
      <c r="BR19" s="444" t="str">
        <f>IF('Design Fee'!EG21&gt;0,"✔","-")</f>
        <v>-</v>
      </c>
      <c r="BS19" s="444" t="str">
        <f>IF('Design Fee'!EH21&gt;0,"✔","-")</f>
        <v>-</v>
      </c>
      <c r="BT19" s="448"/>
      <c r="BU19" s="444" t="str">
        <f>IF('Design Fee'!EJ21&gt;0,"✔","-")</f>
        <v>-</v>
      </c>
      <c r="BV19" s="444" t="str">
        <f>IF('Design Fee'!EK21&gt;0,"✔","-")</f>
        <v>-</v>
      </c>
      <c r="BW19" s="444" t="str">
        <f>IF('Design Fee'!EL21&gt;0,"✔","-")</f>
        <v>-</v>
      </c>
      <c r="BX19" s="444" t="str">
        <f>IF('Design Fee'!EM21&gt;0,"✔","-")</f>
        <v>-</v>
      </c>
      <c r="BY19" s="444" t="str">
        <f>IF('Design Fee'!EN21&gt;0,"✔","-")</f>
        <v>-</v>
      </c>
      <c r="BZ19" s="383"/>
    </row>
    <row r="20" spans="2:78" ht="3" customHeight="1" outlineLevel="1">
      <c r="B20" s="384"/>
      <c r="C20" s="384"/>
      <c r="D20" s="383"/>
      <c r="E20" s="383"/>
      <c r="F20" s="408"/>
      <c r="G20" s="421"/>
      <c r="H20" s="421"/>
      <c r="I20" s="421"/>
      <c r="J20" s="453"/>
      <c r="K20" s="441"/>
      <c r="L20" s="442"/>
      <c r="M20" s="443"/>
      <c r="N20" s="443"/>
      <c r="O20" s="452"/>
      <c r="P20" s="452"/>
      <c r="Q20" s="452"/>
      <c r="R20" s="452"/>
      <c r="S20" s="452"/>
      <c r="T20" s="452"/>
      <c r="U20" s="453"/>
      <c r="V20" s="452"/>
      <c r="W20" s="452"/>
      <c r="X20" s="452"/>
      <c r="Y20" s="452"/>
      <c r="Z20" s="452"/>
      <c r="AA20" s="453"/>
      <c r="AB20" s="441"/>
      <c r="AC20" s="442"/>
      <c r="AD20" s="443"/>
      <c r="AE20" s="443"/>
      <c r="AF20" s="421"/>
      <c r="AG20" s="421"/>
      <c r="AH20" s="421"/>
      <c r="AI20" s="421"/>
      <c r="AJ20" s="421"/>
      <c r="AK20" s="421"/>
      <c r="AL20" s="421"/>
      <c r="AM20" s="421"/>
      <c r="AN20" s="421"/>
      <c r="AO20" s="421"/>
      <c r="AP20" s="421"/>
      <c r="AQ20" s="421"/>
      <c r="AR20" s="421"/>
      <c r="AS20" s="441"/>
      <c r="AT20" s="421"/>
      <c r="AU20" s="443"/>
      <c r="AV20" s="443"/>
      <c r="AW20" s="421"/>
      <c r="AX20" s="421"/>
      <c r="AY20" s="421"/>
      <c r="AZ20" s="421"/>
      <c r="BA20" s="421"/>
      <c r="BB20" s="421"/>
      <c r="BC20" s="421"/>
      <c r="BD20" s="421"/>
      <c r="BE20" s="421"/>
      <c r="BF20" s="421"/>
      <c r="BG20" s="421"/>
      <c r="BH20" s="421"/>
      <c r="BI20" s="421"/>
      <c r="BJ20" s="441"/>
      <c r="BK20" s="421"/>
      <c r="BL20" s="443"/>
      <c r="BM20" s="443"/>
      <c r="BN20" s="421"/>
      <c r="BO20" s="421"/>
      <c r="BP20" s="421"/>
      <c r="BQ20" s="421"/>
      <c r="BR20" s="421"/>
      <c r="BS20" s="421"/>
      <c r="BT20" s="383"/>
      <c r="BU20" s="421"/>
      <c r="BV20" s="421"/>
      <c r="BW20" s="421"/>
      <c r="BX20" s="421"/>
      <c r="BY20" s="421"/>
      <c r="BZ20" s="383"/>
    </row>
    <row r="21" spans="2:78" ht="14.25" outlineLevel="1">
      <c r="B21" s="431">
        <v>2</v>
      </c>
      <c r="C21" s="432">
        <v>3</v>
      </c>
      <c r="D21" s="433" t="s">
        <v>31</v>
      </c>
      <c r="E21" s="434"/>
      <c r="F21" s="436">
        <f>COUNTIF(M21,"✔")+COUNTIF(AD21,"✔")+COUNTIF(BL21,"✔")+COUNTIF(AU21,"✔")</f>
        <v>4</v>
      </c>
      <c r="G21" s="436">
        <f>COUNTIF(N21,"✔")+COUNTIF(AE21,"✔")+COUNTIF(BM21,"✔")+COUNTIF(AV21,"✔")</f>
        <v>4</v>
      </c>
      <c r="H21" s="436">
        <f>COUNTIF(O21,"✔")+COUNTIF(AF21,"✔")+COUNTIF(BN21,"✔")+COUNTIF(AW21,"✔")</f>
        <v>4</v>
      </c>
      <c r="I21" s="437">
        <f>F21-G21</f>
        <v>0</v>
      </c>
      <c r="J21" s="456"/>
      <c r="K21" s="436"/>
      <c r="L21" s="454"/>
      <c r="M21" s="436" t="str">
        <f>IF('Design Fee'!W23&gt;0,"✔","-")</f>
        <v>✔</v>
      </c>
      <c r="N21" s="436" t="str">
        <f>IF('Design Fee'!X23&gt;0,"✔","-")</f>
        <v>✔</v>
      </c>
      <c r="O21" s="437" t="str">
        <f>IF('Design Fee'!Y23&gt;0,"✔","-")</f>
        <v>✔</v>
      </c>
      <c r="P21" s="455" t="str">
        <f>IF('Design Fee'!Z23&gt;0,"✔","-")</f>
        <v>-</v>
      </c>
      <c r="Q21" s="455" t="str">
        <f>IF('Design Fee'!AA23&gt;0,"✔","-")</f>
        <v>-</v>
      </c>
      <c r="R21" s="455" t="str">
        <f>IF('Design Fee'!AB23&gt;0,"✔","-")</f>
        <v>-</v>
      </c>
      <c r="S21" s="455" t="str">
        <f>IF('Design Fee'!AC23&gt;0,"✔","-")</f>
        <v>-</v>
      </c>
      <c r="T21" s="455" t="str">
        <f>IF('Design Fee'!AD23&gt;0,"✔","-")</f>
        <v>-</v>
      </c>
      <c r="U21" s="456"/>
      <c r="V21" s="455" t="str">
        <f>IF('Design Fee'!AF23&gt;0,"✔","-")</f>
        <v>-</v>
      </c>
      <c r="W21" s="455" t="str">
        <f>IF('Design Fee'!AG23&gt;0,"✔","-")</f>
        <v>-</v>
      </c>
      <c r="X21" s="455" t="str">
        <f>IF('Design Fee'!AH23&gt;0,"✔","-")</f>
        <v>-</v>
      </c>
      <c r="Y21" s="455" t="str">
        <f>IF('Design Fee'!AI23&gt;0,"✔","-")</f>
        <v>-</v>
      </c>
      <c r="Z21" s="455" t="str">
        <f>IF('Design Fee'!AJ23&gt;0,"✔","-")</f>
        <v>-</v>
      </c>
      <c r="AA21" s="456"/>
      <c r="AB21" s="436" t="str">
        <f>AD21</f>
        <v>✔</v>
      </c>
      <c r="AC21" s="454"/>
      <c r="AD21" s="436" t="str">
        <f>IF('Design Fee'!BG23&gt;0,"✔","-")</f>
        <v>✔</v>
      </c>
      <c r="AE21" s="436" t="str">
        <f>IF('Design Fee'!BH23&gt;0,"✔","-")</f>
        <v>✔</v>
      </c>
      <c r="AF21" s="437" t="str">
        <f>IF('Design Fee'!BI23&gt;0,"✔","-")</f>
        <v>✔</v>
      </c>
      <c r="AG21" s="455" t="str">
        <f>IF('Design Fee'!BJ23&gt;0,"✔","-")</f>
        <v>-</v>
      </c>
      <c r="AH21" s="455" t="str">
        <f>IF('Design Fee'!BK23&gt;0,"✔","-")</f>
        <v>-</v>
      </c>
      <c r="AI21" s="455" t="str">
        <f>IF('Design Fee'!BL23&gt;0,"✔","-")</f>
        <v>-</v>
      </c>
      <c r="AJ21" s="455" t="str">
        <f>IF('Design Fee'!BM23&gt;0,"✔","-")</f>
        <v>-</v>
      </c>
      <c r="AK21" s="455" t="str">
        <f>IF('Design Fee'!BN23&gt;0,"✔","-")</f>
        <v>-</v>
      </c>
      <c r="AL21" s="457"/>
      <c r="AM21" s="455" t="str">
        <f>IF('Design Fee'!BP23&gt;0,"✔","-")</f>
        <v>-</v>
      </c>
      <c r="AN21" s="455" t="str">
        <f>IF('Design Fee'!BQ23&gt;0,"✔","-")</f>
        <v>-</v>
      </c>
      <c r="AO21" s="455" t="str">
        <f>IF('Design Fee'!BR23&gt;0,"✔","-")</f>
        <v>-</v>
      </c>
      <c r="AP21" s="455" t="str">
        <f>IF('Design Fee'!BS23&gt;0,"✔","-")</f>
        <v>-</v>
      </c>
      <c r="AQ21" s="455" t="str">
        <f>IF('Design Fee'!BT23&gt;0,"✔","-")</f>
        <v>-</v>
      </c>
      <c r="AR21" s="457"/>
      <c r="AS21" s="436" t="str">
        <f>AU21</f>
        <v>✔</v>
      </c>
      <c r="AT21" s="454"/>
      <c r="AU21" s="436" t="str">
        <f>IF('Design Fee'!CQ23&gt;0,"✔","-")</f>
        <v>✔</v>
      </c>
      <c r="AV21" s="436" t="str">
        <f>IF('Design Fee'!CR23&gt;0,"✔","-")</f>
        <v>✔</v>
      </c>
      <c r="AW21" s="437" t="str">
        <f>IF('Design Fee'!CS23&gt;0,"✔","-")</f>
        <v>✔</v>
      </c>
      <c r="AX21" s="455" t="str">
        <f>IF('Design Fee'!CT23&gt;0,"✔","-")</f>
        <v>-</v>
      </c>
      <c r="AY21" s="455" t="str">
        <f>IF('Design Fee'!CU23&gt;0,"✔","-")</f>
        <v>-</v>
      </c>
      <c r="AZ21" s="455" t="str">
        <f>IF('Design Fee'!CV23&gt;0,"✔","-")</f>
        <v>-</v>
      </c>
      <c r="BA21" s="455" t="str">
        <f>IF('Design Fee'!CW23&gt;0,"✔","-")</f>
        <v>-</v>
      </c>
      <c r="BB21" s="455" t="str">
        <f>IF('Design Fee'!CX23&gt;0,"✔","-")</f>
        <v>-</v>
      </c>
      <c r="BC21" s="457"/>
      <c r="BD21" s="455" t="str">
        <f>IF('Design Fee'!CZ23&gt;0,"✔","-")</f>
        <v>-</v>
      </c>
      <c r="BE21" s="455" t="str">
        <f>IF('Design Fee'!DA23&gt;0,"✔","-")</f>
        <v>-</v>
      </c>
      <c r="BF21" s="455" t="str">
        <f>IF('Design Fee'!DB23&gt;0,"✔","-")</f>
        <v>-</v>
      </c>
      <c r="BG21" s="455" t="str">
        <f>IF('Design Fee'!DC23&gt;0,"✔","-")</f>
        <v>-</v>
      </c>
      <c r="BH21" s="455" t="str">
        <f>IF('Design Fee'!DD23&gt;0,"✔","-")</f>
        <v>-</v>
      </c>
      <c r="BI21" s="457"/>
      <c r="BJ21" s="436" t="str">
        <f>BL21</f>
        <v>✔</v>
      </c>
      <c r="BK21" s="454"/>
      <c r="BL21" s="436" t="str">
        <f>IF('Design Fee'!EA23&gt;0,"✔","-")</f>
        <v>✔</v>
      </c>
      <c r="BM21" s="436" t="str">
        <f>IF('Design Fee'!EB23&gt;0,"✔","-")</f>
        <v>✔</v>
      </c>
      <c r="BN21" s="437" t="str">
        <f>IF('Design Fee'!EC23&gt;0,"✔","-")</f>
        <v>✔</v>
      </c>
      <c r="BO21" s="455" t="str">
        <f>IF('Design Fee'!ED23&gt;0,"✔","-")</f>
        <v>-</v>
      </c>
      <c r="BP21" s="455" t="str">
        <f>IF('Design Fee'!EE23&gt;0,"✔","-")</f>
        <v>-</v>
      </c>
      <c r="BQ21" s="455" t="str">
        <f>IF('Design Fee'!EF23&gt;0,"✔","-")</f>
        <v>-</v>
      </c>
      <c r="BR21" s="455" t="str">
        <f>IF('Design Fee'!EG23&gt;0,"✔","-")</f>
        <v>-</v>
      </c>
      <c r="BS21" s="455" t="str">
        <f>IF('Design Fee'!EH23&gt;0,"✔","-")</f>
        <v>-</v>
      </c>
      <c r="BT21" s="383"/>
      <c r="BU21" s="455" t="str">
        <f>IF('Design Fee'!EJ23&gt;0,"✔","-")</f>
        <v>-</v>
      </c>
      <c r="BV21" s="455" t="str">
        <f>IF('Design Fee'!EK23&gt;0,"✔","-")</f>
        <v>-</v>
      </c>
      <c r="BW21" s="455" t="str">
        <f>IF('Design Fee'!EL23&gt;0,"✔","-")</f>
        <v>-</v>
      </c>
      <c r="BX21" s="455" t="str">
        <f>IF('Design Fee'!EM23&gt;0,"✔","-")</f>
        <v>-</v>
      </c>
      <c r="BY21" s="455" t="str">
        <f>IF('Design Fee'!EN23&gt;0,"✔","-")</f>
        <v>-</v>
      </c>
      <c r="BZ21" s="383"/>
    </row>
    <row r="22" spans="2:78" ht="13.35" customHeight="1" outlineLevel="2">
      <c r="B22" s="439"/>
      <c r="C22" s="439">
        <v>1</v>
      </c>
      <c r="D22" s="447" t="s">
        <v>27</v>
      </c>
      <c r="E22" s="383"/>
      <c r="F22" s="443"/>
      <c r="G22" s="458"/>
      <c r="H22" s="458"/>
      <c r="I22" s="444"/>
      <c r="J22" s="430"/>
      <c r="K22" s="441"/>
      <c r="L22" s="442"/>
      <c r="M22" s="443" t="str">
        <f>IF('Design Fee'!W24&gt;0,"✔","-")</f>
        <v>-</v>
      </c>
      <c r="N22" s="443" t="str">
        <f>IF('Design Fee'!X24&gt;0,"✔","-")</f>
        <v>-</v>
      </c>
      <c r="O22" s="458" t="str">
        <f>IF('Design Fee'!Y24&gt;0,"✔","-")</f>
        <v>-</v>
      </c>
      <c r="P22" s="444" t="str">
        <f>IF('Design Fee'!Z24&gt;0,"✔","-")</f>
        <v>-</v>
      </c>
      <c r="Q22" s="444" t="str">
        <f>IF('Design Fee'!AA24&gt;0,"✔","-")</f>
        <v>-</v>
      </c>
      <c r="R22" s="444" t="str">
        <f>IF('Design Fee'!AB24&gt;0,"✔","-")</f>
        <v>-</v>
      </c>
      <c r="S22" s="444" t="str">
        <f>IF('Design Fee'!AC24&gt;0,"✔","-")</f>
        <v>-</v>
      </c>
      <c r="T22" s="444" t="str">
        <f>IF('Design Fee'!AD24&gt;0,"✔","-")</f>
        <v>-</v>
      </c>
      <c r="U22" s="430"/>
      <c r="V22" s="444" t="str">
        <f>IF('Design Fee'!AF24&gt;0,"✔","-")</f>
        <v>-</v>
      </c>
      <c r="W22" s="444" t="str">
        <f>IF('Design Fee'!AG24&gt;0,"✔","-")</f>
        <v>-</v>
      </c>
      <c r="X22" s="444" t="str">
        <f>IF('Design Fee'!AH24&gt;0,"✔","-")</f>
        <v>-</v>
      </c>
      <c r="Y22" s="444" t="str">
        <f>IF('Design Fee'!AI24&gt;0,"✔","-")</f>
        <v>-</v>
      </c>
      <c r="Z22" s="444" t="str">
        <f>IF('Design Fee'!AJ24&gt;0,"✔","-")</f>
        <v>-</v>
      </c>
      <c r="AA22" s="430"/>
      <c r="AB22" s="441"/>
      <c r="AC22" s="442"/>
      <c r="AD22" s="443" t="str">
        <f>IF('Design Fee'!BG24&gt;0,"✔","-")</f>
        <v>-</v>
      </c>
      <c r="AE22" s="443" t="str">
        <f>IF('Design Fee'!BH24&gt;0,"✔","-")</f>
        <v>-</v>
      </c>
      <c r="AF22" s="458" t="str">
        <f>IF('Design Fee'!BI24&gt;0,"✔","-")</f>
        <v>-</v>
      </c>
      <c r="AG22" s="444" t="str">
        <f>IF('Design Fee'!BJ24&gt;0,"✔","-")</f>
        <v>-</v>
      </c>
      <c r="AH22" s="444" t="str">
        <f>IF('Design Fee'!BK24&gt;0,"✔","-")</f>
        <v>-</v>
      </c>
      <c r="AI22" s="444" t="str">
        <f>IF('Design Fee'!BL24&gt;0,"✔","-")</f>
        <v>-</v>
      </c>
      <c r="AJ22" s="444" t="str">
        <f>IF('Design Fee'!BM24&gt;0,"✔","-")</f>
        <v>-</v>
      </c>
      <c r="AK22" s="444" t="str">
        <f>IF('Design Fee'!BN24&gt;0,"✔","-")</f>
        <v>-</v>
      </c>
      <c r="AL22" s="445"/>
      <c r="AM22" s="444" t="str">
        <f>IF('Design Fee'!BP24&gt;0,"✔","-")</f>
        <v>-</v>
      </c>
      <c r="AN22" s="444" t="str">
        <f>IF('Design Fee'!BQ24&gt;0,"✔","-")</f>
        <v>-</v>
      </c>
      <c r="AO22" s="444" t="str">
        <f>IF('Design Fee'!BR24&gt;0,"✔","-")</f>
        <v>-</v>
      </c>
      <c r="AP22" s="444" t="str">
        <f>IF('Design Fee'!BS24&gt;0,"✔","-")</f>
        <v>-</v>
      </c>
      <c r="AQ22" s="444" t="str">
        <f>IF('Design Fee'!BT24&gt;0,"✔","-")</f>
        <v>-</v>
      </c>
      <c r="AR22" s="445"/>
      <c r="AS22" s="441"/>
      <c r="AT22" s="442"/>
      <c r="AU22" s="443" t="str">
        <f>IF('Design Fee'!CQ24&gt;0,"✔","-")</f>
        <v>-</v>
      </c>
      <c r="AV22" s="443" t="str">
        <f>IF('Design Fee'!CR24&gt;0,"✔","-")</f>
        <v>-</v>
      </c>
      <c r="AW22" s="458" t="str">
        <f>IF('Design Fee'!CS24&gt;0,"✔","-")</f>
        <v>-</v>
      </c>
      <c r="AX22" s="444" t="str">
        <f>IF('Design Fee'!CT24&gt;0,"✔","-")</f>
        <v>-</v>
      </c>
      <c r="AY22" s="444" t="str">
        <f>IF('Design Fee'!CU24&gt;0,"✔","-")</f>
        <v>-</v>
      </c>
      <c r="AZ22" s="444" t="str">
        <f>IF('Design Fee'!CV24&gt;0,"✔","-")</f>
        <v>-</v>
      </c>
      <c r="BA22" s="444" t="str">
        <f>IF('Design Fee'!CW24&gt;0,"✔","-")</f>
        <v>-</v>
      </c>
      <c r="BB22" s="444" t="str">
        <f>IF('Design Fee'!CX24&gt;0,"✔","-")</f>
        <v>-</v>
      </c>
      <c r="BC22" s="445"/>
      <c r="BD22" s="444" t="str">
        <f>IF('Design Fee'!CZ24&gt;0,"✔","-")</f>
        <v>-</v>
      </c>
      <c r="BE22" s="444" t="str">
        <f>IF('Design Fee'!DA24&gt;0,"✔","-")</f>
        <v>-</v>
      </c>
      <c r="BF22" s="444" t="str">
        <f>IF('Design Fee'!DB24&gt;0,"✔","-")</f>
        <v>-</v>
      </c>
      <c r="BG22" s="444" t="str">
        <f>IF('Design Fee'!DC24&gt;0,"✔","-")</f>
        <v>-</v>
      </c>
      <c r="BH22" s="444" t="str">
        <f>IF('Design Fee'!DD24&gt;0,"✔","-")</f>
        <v>-</v>
      </c>
      <c r="BI22" s="445"/>
      <c r="BJ22" s="441"/>
      <c r="BK22" s="442"/>
      <c r="BL22" s="443" t="str">
        <f>IF('Design Fee'!EA24&gt;0,"✔","-")</f>
        <v>-</v>
      </c>
      <c r="BM22" s="443" t="str">
        <f>IF('Design Fee'!EB24&gt;0,"✔","-")</f>
        <v>-</v>
      </c>
      <c r="BN22" s="458" t="str">
        <f>IF('Design Fee'!EC24&gt;0,"✔","-")</f>
        <v>-</v>
      </c>
      <c r="BO22" s="444" t="str">
        <f>IF('Design Fee'!ED24&gt;0,"✔","-")</f>
        <v>-</v>
      </c>
      <c r="BP22" s="444" t="str">
        <f>IF('Design Fee'!EE24&gt;0,"✔","-")</f>
        <v>-</v>
      </c>
      <c r="BQ22" s="444" t="str">
        <f>IF('Design Fee'!EF24&gt;0,"✔","-")</f>
        <v>-</v>
      </c>
      <c r="BR22" s="444" t="str">
        <f>IF('Design Fee'!EG24&gt;0,"✔","-")</f>
        <v>-</v>
      </c>
      <c r="BS22" s="444" t="str">
        <f>IF('Design Fee'!EH24&gt;0,"✔","-")</f>
        <v>-</v>
      </c>
      <c r="BT22" s="383"/>
      <c r="BU22" s="444" t="str">
        <f>IF('Design Fee'!EJ24&gt;0,"✔","-")</f>
        <v>-</v>
      </c>
      <c r="BV22" s="444" t="str">
        <f>IF('Design Fee'!EK24&gt;0,"✔","-")</f>
        <v>-</v>
      </c>
      <c r="BW22" s="444" t="str">
        <f>IF('Design Fee'!EL24&gt;0,"✔","-")</f>
        <v>-</v>
      </c>
      <c r="BX22" s="444" t="str">
        <f>IF('Design Fee'!EM24&gt;0,"✔","-")</f>
        <v>-</v>
      </c>
      <c r="BY22" s="444" t="str">
        <f>IF('Design Fee'!EN24&gt;0,"✔","-")</f>
        <v>-</v>
      </c>
      <c r="BZ22" s="383"/>
    </row>
    <row r="23" spans="2:78" ht="13.35" customHeight="1" outlineLevel="2">
      <c r="B23" s="439"/>
      <c r="C23" s="439">
        <v>2</v>
      </c>
      <c r="D23" s="447" t="s">
        <v>32</v>
      </c>
      <c r="E23" s="383"/>
      <c r="F23" s="443"/>
      <c r="G23" s="458"/>
      <c r="H23" s="458"/>
      <c r="I23" s="444"/>
      <c r="J23" s="430"/>
      <c r="K23" s="441"/>
      <c r="L23" s="442"/>
      <c r="M23" s="443" t="str">
        <f>IF('Design Fee'!W25&gt;0,"✔","-")</f>
        <v>-</v>
      </c>
      <c r="N23" s="443" t="str">
        <f>IF('Design Fee'!X25&gt;0,"✔","-")</f>
        <v>-</v>
      </c>
      <c r="O23" s="458" t="str">
        <f>IF('Design Fee'!Y25&gt;0,"✔","-")</f>
        <v>-</v>
      </c>
      <c r="P23" s="444" t="str">
        <f>IF('Design Fee'!Z25&gt;0,"✔","-")</f>
        <v>-</v>
      </c>
      <c r="Q23" s="444" t="str">
        <f>IF('Design Fee'!AA25&gt;0,"✔","-")</f>
        <v>-</v>
      </c>
      <c r="R23" s="444" t="str">
        <f>IF('Design Fee'!AB25&gt;0,"✔","-")</f>
        <v>-</v>
      </c>
      <c r="S23" s="444" t="str">
        <f>IF('Design Fee'!AC25&gt;0,"✔","-")</f>
        <v>-</v>
      </c>
      <c r="T23" s="444" t="str">
        <f>IF('Design Fee'!AD25&gt;0,"✔","-")</f>
        <v>-</v>
      </c>
      <c r="U23" s="430"/>
      <c r="V23" s="444" t="str">
        <f>IF('Design Fee'!AF25&gt;0,"✔","-")</f>
        <v>-</v>
      </c>
      <c r="W23" s="444" t="str">
        <f>IF('Design Fee'!AG25&gt;0,"✔","-")</f>
        <v>-</v>
      </c>
      <c r="X23" s="444" t="str">
        <f>IF('Design Fee'!AH25&gt;0,"✔","-")</f>
        <v>-</v>
      </c>
      <c r="Y23" s="444" t="str">
        <f>IF('Design Fee'!AI25&gt;0,"✔","-")</f>
        <v>-</v>
      </c>
      <c r="Z23" s="444" t="str">
        <f>IF('Design Fee'!AJ25&gt;0,"✔","-")</f>
        <v>-</v>
      </c>
      <c r="AA23" s="430"/>
      <c r="AB23" s="441"/>
      <c r="AC23" s="442"/>
      <c r="AD23" s="443" t="str">
        <f>IF('Design Fee'!BG25&gt;0,"✔","-")</f>
        <v>-</v>
      </c>
      <c r="AE23" s="443" t="str">
        <f>IF('Design Fee'!BH25&gt;0,"✔","-")</f>
        <v>-</v>
      </c>
      <c r="AF23" s="458" t="str">
        <f>IF('Design Fee'!BI25&gt;0,"✔","-")</f>
        <v>-</v>
      </c>
      <c r="AG23" s="444" t="str">
        <f>IF('Design Fee'!BJ25&gt;0,"✔","-")</f>
        <v>-</v>
      </c>
      <c r="AH23" s="444" t="str">
        <f>IF('Design Fee'!BK25&gt;0,"✔","-")</f>
        <v>-</v>
      </c>
      <c r="AI23" s="444" t="str">
        <f>IF('Design Fee'!BL25&gt;0,"✔","-")</f>
        <v>-</v>
      </c>
      <c r="AJ23" s="444" t="str">
        <f>IF('Design Fee'!BM25&gt;0,"✔","-")</f>
        <v>-</v>
      </c>
      <c r="AK23" s="444" t="str">
        <f>IF('Design Fee'!BN25&gt;0,"✔","-")</f>
        <v>-</v>
      </c>
      <c r="AL23" s="445"/>
      <c r="AM23" s="444" t="str">
        <f>IF('Design Fee'!BP25&gt;0,"✔","-")</f>
        <v>-</v>
      </c>
      <c r="AN23" s="444" t="str">
        <f>IF('Design Fee'!BQ25&gt;0,"✔","-")</f>
        <v>-</v>
      </c>
      <c r="AO23" s="444" t="str">
        <f>IF('Design Fee'!BR25&gt;0,"✔","-")</f>
        <v>-</v>
      </c>
      <c r="AP23" s="444" t="str">
        <f>IF('Design Fee'!BS25&gt;0,"✔","-")</f>
        <v>-</v>
      </c>
      <c r="AQ23" s="444" t="str">
        <f>IF('Design Fee'!BT25&gt;0,"✔","-")</f>
        <v>-</v>
      </c>
      <c r="AR23" s="445"/>
      <c r="AS23" s="441"/>
      <c r="AT23" s="442"/>
      <c r="AU23" s="443" t="str">
        <f>IF('Design Fee'!CQ25&gt;0,"✔","-")</f>
        <v>-</v>
      </c>
      <c r="AV23" s="443" t="str">
        <f>IF('Design Fee'!CR25&gt;0,"✔","-")</f>
        <v>-</v>
      </c>
      <c r="AW23" s="458" t="str">
        <f>IF('Design Fee'!CS25&gt;0,"✔","-")</f>
        <v>-</v>
      </c>
      <c r="AX23" s="444" t="str">
        <f>IF('Design Fee'!CT25&gt;0,"✔","-")</f>
        <v>-</v>
      </c>
      <c r="AY23" s="444" t="str">
        <f>IF('Design Fee'!CU25&gt;0,"✔","-")</f>
        <v>-</v>
      </c>
      <c r="AZ23" s="444" t="str">
        <f>IF('Design Fee'!CV25&gt;0,"✔","-")</f>
        <v>-</v>
      </c>
      <c r="BA23" s="444" t="str">
        <f>IF('Design Fee'!CW25&gt;0,"✔","-")</f>
        <v>-</v>
      </c>
      <c r="BB23" s="444" t="str">
        <f>IF('Design Fee'!CX25&gt;0,"✔","-")</f>
        <v>-</v>
      </c>
      <c r="BC23" s="445"/>
      <c r="BD23" s="444" t="str">
        <f>IF('Design Fee'!CZ25&gt;0,"✔","-")</f>
        <v>-</v>
      </c>
      <c r="BE23" s="444" t="str">
        <f>IF('Design Fee'!DA25&gt;0,"✔","-")</f>
        <v>-</v>
      </c>
      <c r="BF23" s="444" t="str">
        <f>IF('Design Fee'!DB25&gt;0,"✔","-")</f>
        <v>-</v>
      </c>
      <c r="BG23" s="444" t="str">
        <f>IF('Design Fee'!DC25&gt;0,"✔","-")</f>
        <v>-</v>
      </c>
      <c r="BH23" s="444" t="str">
        <f>IF('Design Fee'!DD25&gt;0,"✔","-")</f>
        <v>-</v>
      </c>
      <c r="BI23" s="445"/>
      <c r="BJ23" s="441"/>
      <c r="BK23" s="442"/>
      <c r="BL23" s="443" t="str">
        <f>IF('Design Fee'!EA25&gt;0,"✔","-")</f>
        <v>-</v>
      </c>
      <c r="BM23" s="443" t="str">
        <f>IF('Design Fee'!EB25&gt;0,"✔","-")</f>
        <v>-</v>
      </c>
      <c r="BN23" s="458" t="str">
        <f>IF('Design Fee'!EC25&gt;0,"✔","-")</f>
        <v>-</v>
      </c>
      <c r="BO23" s="444" t="str">
        <f>IF('Design Fee'!ED25&gt;0,"✔","-")</f>
        <v>-</v>
      </c>
      <c r="BP23" s="444" t="str">
        <f>IF('Design Fee'!EE25&gt;0,"✔","-")</f>
        <v>-</v>
      </c>
      <c r="BQ23" s="444" t="str">
        <f>IF('Design Fee'!EF25&gt;0,"✔","-")</f>
        <v>-</v>
      </c>
      <c r="BR23" s="444" t="str">
        <f>IF('Design Fee'!EG25&gt;0,"✔","-")</f>
        <v>-</v>
      </c>
      <c r="BS23" s="444" t="str">
        <f>IF('Design Fee'!EH25&gt;0,"✔","-")</f>
        <v>-</v>
      </c>
      <c r="BT23" s="383"/>
      <c r="BU23" s="444" t="str">
        <f>IF('Design Fee'!EJ25&gt;0,"✔","-")</f>
        <v>-</v>
      </c>
      <c r="BV23" s="444" t="str">
        <f>IF('Design Fee'!EK25&gt;0,"✔","-")</f>
        <v>-</v>
      </c>
      <c r="BW23" s="444" t="str">
        <f>IF('Design Fee'!EL25&gt;0,"✔","-")</f>
        <v>-</v>
      </c>
      <c r="BX23" s="444" t="str">
        <f>IF('Design Fee'!EM25&gt;0,"✔","-")</f>
        <v>-</v>
      </c>
      <c r="BY23" s="444" t="str">
        <f>IF('Design Fee'!EN25&gt;0,"✔","-")</f>
        <v>-</v>
      </c>
      <c r="BZ23" s="383"/>
    </row>
    <row r="24" spans="2:78" ht="13.35" customHeight="1" outlineLevel="2">
      <c r="B24" s="439"/>
      <c r="C24" s="439">
        <v>3</v>
      </c>
      <c r="D24" s="447" t="s">
        <v>33</v>
      </c>
      <c r="E24" s="383"/>
      <c r="F24" s="443"/>
      <c r="G24" s="458"/>
      <c r="H24" s="458"/>
      <c r="I24" s="444"/>
      <c r="J24" s="430"/>
      <c r="K24" s="441"/>
      <c r="L24" s="442"/>
      <c r="M24" s="443" t="str">
        <f>IF('Design Fee'!W26&gt;0,"✔","-")</f>
        <v>-</v>
      </c>
      <c r="N24" s="443" t="str">
        <f>IF('Design Fee'!X26&gt;0,"✔","-")</f>
        <v>-</v>
      </c>
      <c r="O24" s="458" t="str">
        <f>IF('Design Fee'!Y26&gt;0,"✔","-")</f>
        <v>-</v>
      </c>
      <c r="P24" s="444" t="str">
        <f>IF('Design Fee'!Z26&gt;0,"✔","-")</f>
        <v>-</v>
      </c>
      <c r="Q24" s="444" t="str">
        <f>IF('Design Fee'!AA26&gt;0,"✔","-")</f>
        <v>-</v>
      </c>
      <c r="R24" s="444" t="str">
        <f>IF('Design Fee'!AB26&gt;0,"✔","-")</f>
        <v>-</v>
      </c>
      <c r="S24" s="444" t="str">
        <f>IF('Design Fee'!AC26&gt;0,"✔","-")</f>
        <v>-</v>
      </c>
      <c r="T24" s="444" t="str">
        <f>IF('Design Fee'!AD26&gt;0,"✔","-")</f>
        <v>-</v>
      </c>
      <c r="U24" s="430"/>
      <c r="V24" s="444" t="str">
        <f>IF('Design Fee'!AF26&gt;0,"✔","-")</f>
        <v>-</v>
      </c>
      <c r="W24" s="444" t="str">
        <f>IF('Design Fee'!AG26&gt;0,"✔","-")</f>
        <v>-</v>
      </c>
      <c r="X24" s="444" t="str">
        <f>IF('Design Fee'!AH26&gt;0,"✔","-")</f>
        <v>-</v>
      </c>
      <c r="Y24" s="444" t="str">
        <f>IF('Design Fee'!AI26&gt;0,"✔","-")</f>
        <v>-</v>
      </c>
      <c r="Z24" s="444" t="str">
        <f>IF('Design Fee'!AJ26&gt;0,"✔","-")</f>
        <v>-</v>
      </c>
      <c r="AA24" s="430"/>
      <c r="AB24" s="441"/>
      <c r="AC24" s="442"/>
      <c r="AD24" s="443" t="str">
        <f>IF('Design Fee'!BG26&gt;0,"✔","-")</f>
        <v>-</v>
      </c>
      <c r="AE24" s="443" t="str">
        <f>IF('Design Fee'!BH26&gt;0,"✔","-")</f>
        <v>-</v>
      </c>
      <c r="AF24" s="458" t="str">
        <f>IF('Design Fee'!BI26&gt;0,"✔","-")</f>
        <v>-</v>
      </c>
      <c r="AG24" s="444" t="str">
        <f>IF('Design Fee'!BJ26&gt;0,"✔","-")</f>
        <v>-</v>
      </c>
      <c r="AH24" s="444" t="str">
        <f>IF('Design Fee'!BK26&gt;0,"✔","-")</f>
        <v>-</v>
      </c>
      <c r="AI24" s="444" t="str">
        <f>IF('Design Fee'!BL26&gt;0,"✔","-")</f>
        <v>-</v>
      </c>
      <c r="AJ24" s="444" t="str">
        <f>IF('Design Fee'!BM26&gt;0,"✔","-")</f>
        <v>-</v>
      </c>
      <c r="AK24" s="444" t="str">
        <f>IF('Design Fee'!BN26&gt;0,"✔","-")</f>
        <v>-</v>
      </c>
      <c r="AL24" s="445"/>
      <c r="AM24" s="444" t="str">
        <f>IF('Design Fee'!BP26&gt;0,"✔","-")</f>
        <v>-</v>
      </c>
      <c r="AN24" s="444" t="str">
        <f>IF('Design Fee'!BQ26&gt;0,"✔","-")</f>
        <v>-</v>
      </c>
      <c r="AO24" s="444" t="str">
        <f>IF('Design Fee'!BR26&gt;0,"✔","-")</f>
        <v>-</v>
      </c>
      <c r="AP24" s="444" t="str">
        <f>IF('Design Fee'!BS26&gt;0,"✔","-")</f>
        <v>-</v>
      </c>
      <c r="AQ24" s="444" t="str">
        <f>IF('Design Fee'!BT26&gt;0,"✔","-")</f>
        <v>-</v>
      </c>
      <c r="AR24" s="445"/>
      <c r="AS24" s="441"/>
      <c r="AT24" s="442"/>
      <c r="AU24" s="443" t="str">
        <f>IF('Design Fee'!CQ26&gt;0,"✔","-")</f>
        <v>-</v>
      </c>
      <c r="AV24" s="443" t="str">
        <f>IF('Design Fee'!CR26&gt;0,"✔","-")</f>
        <v>-</v>
      </c>
      <c r="AW24" s="458" t="str">
        <f>IF('Design Fee'!CS26&gt;0,"✔","-")</f>
        <v>-</v>
      </c>
      <c r="AX24" s="444" t="str">
        <f>IF('Design Fee'!CT26&gt;0,"✔","-")</f>
        <v>-</v>
      </c>
      <c r="AY24" s="444" t="str">
        <f>IF('Design Fee'!CU26&gt;0,"✔","-")</f>
        <v>-</v>
      </c>
      <c r="AZ24" s="444" t="str">
        <f>IF('Design Fee'!CV26&gt;0,"✔","-")</f>
        <v>-</v>
      </c>
      <c r="BA24" s="444" t="str">
        <f>IF('Design Fee'!CW26&gt;0,"✔","-")</f>
        <v>-</v>
      </c>
      <c r="BB24" s="444" t="str">
        <f>IF('Design Fee'!CX26&gt;0,"✔","-")</f>
        <v>-</v>
      </c>
      <c r="BC24" s="445"/>
      <c r="BD24" s="444" t="str">
        <f>IF('Design Fee'!CZ26&gt;0,"✔","-")</f>
        <v>-</v>
      </c>
      <c r="BE24" s="444" t="str">
        <f>IF('Design Fee'!DA26&gt;0,"✔","-")</f>
        <v>-</v>
      </c>
      <c r="BF24" s="444" t="str">
        <f>IF('Design Fee'!DB26&gt;0,"✔","-")</f>
        <v>-</v>
      </c>
      <c r="BG24" s="444" t="str">
        <f>IF('Design Fee'!DC26&gt;0,"✔","-")</f>
        <v>-</v>
      </c>
      <c r="BH24" s="444" t="str">
        <f>IF('Design Fee'!DD26&gt;0,"✔","-")</f>
        <v>-</v>
      </c>
      <c r="BI24" s="445"/>
      <c r="BJ24" s="441"/>
      <c r="BK24" s="442"/>
      <c r="BL24" s="443" t="str">
        <f>IF('Design Fee'!EA26&gt;0,"✔","-")</f>
        <v>-</v>
      </c>
      <c r="BM24" s="443" t="str">
        <f>IF('Design Fee'!EB26&gt;0,"✔","-")</f>
        <v>-</v>
      </c>
      <c r="BN24" s="458" t="str">
        <f>IF('Design Fee'!EC26&gt;0,"✔","-")</f>
        <v>-</v>
      </c>
      <c r="BO24" s="444" t="str">
        <f>IF('Design Fee'!ED26&gt;0,"✔","-")</f>
        <v>-</v>
      </c>
      <c r="BP24" s="444" t="str">
        <f>IF('Design Fee'!EE26&gt;0,"✔","-")</f>
        <v>-</v>
      </c>
      <c r="BQ24" s="444" t="str">
        <f>IF('Design Fee'!EF26&gt;0,"✔","-")</f>
        <v>-</v>
      </c>
      <c r="BR24" s="444" t="str">
        <f>IF('Design Fee'!EG26&gt;0,"✔","-")</f>
        <v>-</v>
      </c>
      <c r="BS24" s="444" t="str">
        <f>IF('Design Fee'!EH26&gt;0,"✔","-")</f>
        <v>-</v>
      </c>
      <c r="BT24" s="383"/>
      <c r="BU24" s="444" t="str">
        <f>IF('Design Fee'!EJ26&gt;0,"✔","-")</f>
        <v>-</v>
      </c>
      <c r="BV24" s="444" t="str">
        <f>IF('Design Fee'!EK26&gt;0,"✔","-")</f>
        <v>-</v>
      </c>
      <c r="BW24" s="444" t="str">
        <f>IF('Design Fee'!EL26&gt;0,"✔","-")</f>
        <v>-</v>
      </c>
      <c r="BX24" s="444" t="str">
        <f>IF('Design Fee'!EM26&gt;0,"✔","-")</f>
        <v>-</v>
      </c>
      <c r="BY24" s="444" t="str">
        <f>IF('Design Fee'!EN26&gt;0,"✔","-")</f>
        <v>-</v>
      </c>
      <c r="BZ24" s="383"/>
    </row>
    <row r="25" spans="2:78" ht="13.35" customHeight="1" outlineLevel="2">
      <c r="B25" s="439"/>
      <c r="C25" s="439">
        <v>4</v>
      </c>
      <c r="D25" s="447" t="s">
        <v>29</v>
      </c>
      <c r="E25" s="383"/>
      <c r="F25" s="443"/>
      <c r="G25" s="458"/>
      <c r="H25" s="458"/>
      <c r="I25" s="444"/>
      <c r="J25" s="430"/>
      <c r="K25" s="441"/>
      <c r="L25" s="442"/>
      <c r="M25" s="443" t="str">
        <f>IF('Design Fee'!W27&gt;0,"✔","-")</f>
        <v>-</v>
      </c>
      <c r="N25" s="443" t="str">
        <f>IF('Design Fee'!X27&gt;0,"✔","-")</f>
        <v>-</v>
      </c>
      <c r="O25" s="458" t="str">
        <f>IF('Design Fee'!Y27&gt;0,"✔","-")</f>
        <v>-</v>
      </c>
      <c r="P25" s="444" t="str">
        <f>IF('Design Fee'!Z27&gt;0,"✔","-")</f>
        <v>-</v>
      </c>
      <c r="Q25" s="444" t="str">
        <f>IF('Design Fee'!AA27&gt;0,"✔","-")</f>
        <v>-</v>
      </c>
      <c r="R25" s="444" t="str">
        <f>IF('Design Fee'!AB27&gt;0,"✔","-")</f>
        <v>-</v>
      </c>
      <c r="S25" s="444" t="str">
        <f>IF('Design Fee'!AC27&gt;0,"✔","-")</f>
        <v>-</v>
      </c>
      <c r="T25" s="444" t="str">
        <f>IF('Design Fee'!AD27&gt;0,"✔","-")</f>
        <v>-</v>
      </c>
      <c r="U25" s="430"/>
      <c r="V25" s="444" t="str">
        <f>IF('Design Fee'!AF27&gt;0,"✔","-")</f>
        <v>-</v>
      </c>
      <c r="W25" s="444" t="str">
        <f>IF('Design Fee'!AG27&gt;0,"✔","-")</f>
        <v>-</v>
      </c>
      <c r="X25" s="444" t="str">
        <f>IF('Design Fee'!AH27&gt;0,"✔","-")</f>
        <v>-</v>
      </c>
      <c r="Y25" s="444" t="str">
        <f>IF('Design Fee'!AI27&gt;0,"✔","-")</f>
        <v>-</v>
      </c>
      <c r="Z25" s="444" t="str">
        <f>IF('Design Fee'!AJ27&gt;0,"✔","-")</f>
        <v>-</v>
      </c>
      <c r="AA25" s="430"/>
      <c r="AB25" s="441"/>
      <c r="AC25" s="442"/>
      <c r="AD25" s="443" t="str">
        <f>IF('Design Fee'!BG27&gt;0,"✔","-")</f>
        <v>-</v>
      </c>
      <c r="AE25" s="443" t="str">
        <f>IF('Design Fee'!BH27&gt;0,"✔","-")</f>
        <v>-</v>
      </c>
      <c r="AF25" s="458" t="str">
        <f>IF('Design Fee'!BI27&gt;0,"✔","-")</f>
        <v>-</v>
      </c>
      <c r="AG25" s="444" t="str">
        <f>IF('Design Fee'!BJ27&gt;0,"✔","-")</f>
        <v>-</v>
      </c>
      <c r="AH25" s="444" t="str">
        <f>IF('Design Fee'!BK27&gt;0,"✔","-")</f>
        <v>-</v>
      </c>
      <c r="AI25" s="444" t="str">
        <f>IF('Design Fee'!BL27&gt;0,"✔","-")</f>
        <v>-</v>
      </c>
      <c r="AJ25" s="444" t="str">
        <f>IF('Design Fee'!BM27&gt;0,"✔","-")</f>
        <v>-</v>
      </c>
      <c r="AK25" s="444" t="str">
        <f>IF('Design Fee'!BN27&gt;0,"✔","-")</f>
        <v>-</v>
      </c>
      <c r="AL25" s="445"/>
      <c r="AM25" s="444" t="str">
        <f>IF('Design Fee'!BP27&gt;0,"✔","-")</f>
        <v>-</v>
      </c>
      <c r="AN25" s="444" t="str">
        <f>IF('Design Fee'!BQ27&gt;0,"✔","-")</f>
        <v>-</v>
      </c>
      <c r="AO25" s="444" t="str">
        <f>IF('Design Fee'!BR27&gt;0,"✔","-")</f>
        <v>-</v>
      </c>
      <c r="AP25" s="444" t="str">
        <f>IF('Design Fee'!BS27&gt;0,"✔","-")</f>
        <v>-</v>
      </c>
      <c r="AQ25" s="444" t="str">
        <f>IF('Design Fee'!BT27&gt;0,"✔","-")</f>
        <v>-</v>
      </c>
      <c r="AR25" s="445"/>
      <c r="AS25" s="441"/>
      <c r="AT25" s="442"/>
      <c r="AU25" s="443" t="str">
        <f>IF('Design Fee'!CQ27&gt;0,"✔","-")</f>
        <v>-</v>
      </c>
      <c r="AV25" s="443" t="str">
        <f>IF('Design Fee'!CR27&gt;0,"✔","-")</f>
        <v>-</v>
      </c>
      <c r="AW25" s="458" t="str">
        <f>IF('Design Fee'!CS27&gt;0,"✔","-")</f>
        <v>-</v>
      </c>
      <c r="AX25" s="444" t="str">
        <f>IF('Design Fee'!CT27&gt;0,"✔","-")</f>
        <v>-</v>
      </c>
      <c r="AY25" s="444" t="str">
        <f>IF('Design Fee'!CU27&gt;0,"✔","-")</f>
        <v>-</v>
      </c>
      <c r="AZ25" s="444" t="str">
        <f>IF('Design Fee'!CV27&gt;0,"✔","-")</f>
        <v>-</v>
      </c>
      <c r="BA25" s="444" t="str">
        <f>IF('Design Fee'!CW27&gt;0,"✔","-")</f>
        <v>-</v>
      </c>
      <c r="BB25" s="444" t="str">
        <f>IF('Design Fee'!CX27&gt;0,"✔","-")</f>
        <v>-</v>
      </c>
      <c r="BC25" s="445"/>
      <c r="BD25" s="444" t="str">
        <f>IF('Design Fee'!CZ27&gt;0,"✔","-")</f>
        <v>-</v>
      </c>
      <c r="BE25" s="444" t="str">
        <f>IF('Design Fee'!DA27&gt;0,"✔","-")</f>
        <v>-</v>
      </c>
      <c r="BF25" s="444" t="str">
        <f>IF('Design Fee'!DB27&gt;0,"✔","-")</f>
        <v>-</v>
      </c>
      <c r="BG25" s="444" t="str">
        <f>IF('Design Fee'!DC27&gt;0,"✔","-")</f>
        <v>-</v>
      </c>
      <c r="BH25" s="444" t="str">
        <f>IF('Design Fee'!DD27&gt;0,"✔","-")</f>
        <v>-</v>
      </c>
      <c r="BI25" s="445"/>
      <c r="BJ25" s="441"/>
      <c r="BK25" s="442"/>
      <c r="BL25" s="443" t="str">
        <f>IF('Design Fee'!EA27&gt;0,"✔","-")</f>
        <v>-</v>
      </c>
      <c r="BM25" s="443" t="str">
        <f>IF('Design Fee'!EB27&gt;0,"✔","-")</f>
        <v>-</v>
      </c>
      <c r="BN25" s="458" t="str">
        <f>IF('Design Fee'!EC27&gt;0,"✔","-")</f>
        <v>-</v>
      </c>
      <c r="BO25" s="444" t="str">
        <f>IF('Design Fee'!ED27&gt;0,"✔","-")</f>
        <v>-</v>
      </c>
      <c r="BP25" s="444" t="str">
        <f>IF('Design Fee'!EE27&gt;0,"✔","-")</f>
        <v>-</v>
      </c>
      <c r="BQ25" s="444" t="str">
        <f>IF('Design Fee'!EF27&gt;0,"✔","-")</f>
        <v>-</v>
      </c>
      <c r="BR25" s="444" t="str">
        <f>IF('Design Fee'!EG27&gt;0,"✔","-")</f>
        <v>-</v>
      </c>
      <c r="BS25" s="444" t="str">
        <f>IF('Design Fee'!EH27&gt;0,"✔","-")</f>
        <v>-</v>
      </c>
      <c r="BT25" s="383"/>
      <c r="BU25" s="444" t="str">
        <f>IF('Design Fee'!EJ27&gt;0,"✔","-")</f>
        <v>-</v>
      </c>
      <c r="BV25" s="444" t="str">
        <f>IF('Design Fee'!EK27&gt;0,"✔","-")</f>
        <v>-</v>
      </c>
      <c r="BW25" s="444" t="str">
        <f>IF('Design Fee'!EL27&gt;0,"✔","-")</f>
        <v>-</v>
      </c>
      <c r="BX25" s="444" t="str">
        <f>IF('Design Fee'!EM27&gt;0,"✔","-")</f>
        <v>-</v>
      </c>
      <c r="BY25" s="444" t="str">
        <f>IF('Design Fee'!EN27&gt;0,"✔","-")</f>
        <v>-</v>
      </c>
      <c r="BZ25" s="383"/>
    </row>
    <row r="26" spans="2:78" ht="13.35" customHeight="1" outlineLevel="2">
      <c r="B26" s="439"/>
      <c r="C26" s="439">
        <v>5</v>
      </c>
      <c r="D26" s="447" t="s">
        <v>30</v>
      </c>
      <c r="E26" s="448"/>
      <c r="F26" s="443"/>
      <c r="G26" s="458"/>
      <c r="H26" s="458"/>
      <c r="I26" s="444"/>
      <c r="J26" s="430"/>
      <c r="K26" s="449"/>
      <c r="L26" s="450"/>
      <c r="M26" s="443" t="str">
        <f>IF('Design Fee'!W28&gt;0,"✔","-")</f>
        <v>-</v>
      </c>
      <c r="N26" s="443" t="str">
        <f>IF('Design Fee'!X28&gt;0,"✔","-")</f>
        <v>-</v>
      </c>
      <c r="O26" s="458" t="str">
        <f>IF('Design Fee'!Y28&gt;0,"✔","-")</f>
        <v>-</v>
      </c>
      <c r="P26" s="444" t="str">
        <f>IF('Design Fee'!Z28&gt;0,"✔","-")</f>
        <v>-</v>
      </c>
      <c r="Q26" s="444" t="str">
        <f>IF('Design Fee'!AA28&gt;0,"✔","-")</f>
        <v>-</v>
      </c>
      <c r="R26" s="444" t="str">
        <f>IF('Design Fee'!AB28&gt;0,"✔","-")</f>
        <v>-</v>
      </c>
      <c r="S26" s="444" t="str">
        <f>IF('Design Fee'!AC28&gt;0,"✔","-")</f>
        <v>-</v>
      </c>
      <c r="T26" s="444" t="str">
        <f>IF('Design Fee'!AD28&gt;0,"✔","-")</f>
        <v>-</v>
      </c>
      <c r="U26" s="430"/>
      <c r="V26" s="444" t="str">
        <f>IF('Design Fee'!AF28&gt;0,"✔","-")</f>
        <v>-</v>
      </c>
      <c r="W26" s="444" t="str">
        <f>IF('Design Fee'!AG28&gt;0,"✔","-")</f>
        <v>-</v>
      </c>
      <c r="X26" s="444" t="str">
        <f>IF('Design Fee'!AH28&gt;0,"✔","-")</f>
        <v>-</v>
      </c>
      <c r="Y26" s="444" t="str">
        <f>IF('Design Fee'!AI28&gt;0,"✔","-")</f>
        <v>-</v>
      </c>
      <c r="Z26" s="444" t="str">
        <f>IF('Design Fee'!AJ28&gt;0,"✔","-")</f>
        <v>-</v>
      </c>
      <c r="AA26" s="430"/>
      <c r="AB26" s="449"/>
      <c r="AC26" s="450"/>
      <c r="AD26" s="443" t="str">
        <f>IF('Design Fee'!BG28&gt;0,"✔","-")</f>
        <v>-</v>
      </c>
      <c r="AE26" s="443" t="str">
        <f>IF('Design Fee'!BH28&gt;0,"✔","-")</f>
        <v>-</v>
      </c>
      <c r="AF26" s="458" t="str">
        <f>IF('Design Fee'!BI28&gt;0,"✔","-")</f>
        <v>-</v>
      </c>
      <c r="AG26" s="444" t="str">
        <f>IF('Design Fee'!BJ28&gt;0,"✔","-")</f>
        <v>-</v>
      </c>
      <c r="AH26" s="444" t="str">
        <f>IF('Design Fee'!BK28&gt;0,"✔","-")</f>
        <v>-</v>
      </c>
      <c r="AI26" s="444" t="str">
        <f>IF('Design Fee'!BL28&gt;0,"✔","-")</f>
        <v>-</v>
      </c>
      <c r="AJ26" s="444" t="str">
        <f>IF('Design Fee'!BM28&gt;0,"✔","-")</f>
        <v>-</v>
      </c>
      <c r="AK26" s="444" t="str">
        <f>IF('Design Fee'!BN28&gt;0,"✔","-")</f>
        <v>-</v>
      </c>
      <c r="AL26" s="451"/>
      <c r="AM26" s="444" t="str">
        <f>IF('Design Fee'!BP28&gt;0,"✔","-")</f>
        <v>-</v>
      </c>
      <c r="AN26" s="444" t="str">
        <f>IF('Design Fee'!BQ28&gt;0,"✔","-")</f>
        <v>-</v>
      </c>
      <c r="AO26" s="444" t="str">
        <f>IF('Design Fee'!BR28&gt;0,"✔","-")</f>
        <v>-</v>
      </c>
      <c r="AP26" s="444" t="str">
        <f>IF('Design Fee'!BS28&gt;0,"✔","-")</f>
        <v>-</v>
      </c>
      <c r="AQ26" s="444" t="str">
        <f>IF('Design Fee'!BT28&gt;0,"✔","-")</f>
        <v>-</v>
      </c>
      <c r="AR26" s="451"/>
      <c r="AS26" s="449"/>
      <c r="AT26" s="450"/>
      <c r="AU26" s="443" t="str">
        <f>IF('Design Fee'!CQ28&gt;0,"✔","-")</f>
        <v>-</v>
      </c>
      <c r="AV26" s="443" t="str">
        <f>IF('Design Fee'!CR28&gt;0,"✔","-")</f>
        <v>-</v>
      </c>
      <c r="AW26" s="458" t="str">
        <f>IF('Design Fee'!CS28&gt;0,"✔","-")</f>
        <v>-</v>
      </c>
      <c r="AX26" s="444" t="str">
        <f>IF('Design Fee'!CT28&gt;0,"✔","-")</f>
        <v>-</v>
      </c>
      <c r="AY26" s="444" t="str">
        <f>IF('Design Fee'!CU28&gt;0,"✔","-")</f>
        <v>-</v>
      </c>
      <c r="AZ26" s="444" t="str">
        <f>IF('Design Fee'!CV28&gt;0,"✔","-")</f>
        <v>-</v>
      </c>
      <c r="BA26" s="444" t="str">
        <f>IF('Design Fee'!CW28&gt;0,"✔","-")</f>
        <v>-</v>
      </c>
      <c r="BB26" s="444" t="str">
        <f>IF('Design Fee'!CX28&gt;0,"✔","-")</f>
        <v>-</v>
      </c>
      <c r="BC26" s="451"/>
      <c r="BD26" s="444" t="str">
        <f>IF('Design Fee'!CZ28&gt;0,"✔","-")</f>
        <v>-</v>
      </c>
      <c r="BE26" s="444" t="str">
        <f>IF('Design Fee'!DA28&gt;0,"✔","-")</f>
        <v>-</v>
      </c>
      <c r="BF26" s="444" t="str">
        <f>IF('Design Fee'!DB28&gt;0,"✔","-")</f>
        <v>-</v>
      </c>
      <c r="BG26" s="444" t="str">
        <f>IF('Design Fee'!DC28&gt;0,"✔","-")</f>
        <v>-</v>
      </c>
      <c r="BH26" s="444" t="str">
        <f>IF('Design Fee'!DD28&gt;0,"✔","-")</f>
        <v>-</v>
      </c>
      <c r="BI26" s="451"/>
      <c r="BJ26" s="449"/>
      <c r="BK26" s="450"/>
      <c r="BL26" s="443" t="str">
        <f>IF('Design Fee'!EA28&gt;0,"✔","-")</f>
        <v>-</v>
      </c>
      <c r="BM26" s="443" t="str">
        <f>IF('Design Fee'!EB28&gt;0,"✔","-")</f>
        <v>-</v>
      </c>
      <c r="BN26" s="458" t="str">
        <f>IF('Design Fee'!EC28&gt;0,"✔","-")</f>
        <v>-</v>
      </c>
      <c r="BO26" s="444" t="str">
        <f>IF('Design Fee'!ED28&gt;0,"✔","-")</f>
        <v>-</v>
      </c>
      <c r="BP26" s="444" t="str">
        <f>IF('Design Fee'!EE28&gt;0,"✔","-")</f>
        <v>-</v>
      </c>
      <c r="BQ26" s="444" t="str">
        <f>IF('Design Fee'!EF28&gt;0,"✔","-")</f>
        <v>-</v>
      </c>
      <c r="BR26" s="444" t="str">
        <f>IF('Design Fee'!EG28&gt;0,"✔","-")</f>
        <v>-</v>
      </c>
      <c r="BS26" s="444" t="str">
        <f>IF('Design Fee'!EH28&gt;0,"✔","-")</f>
        <v>-</v>
      </c>
      <c r="BT26" s="448"/>
      <c r="BU26" s="444" t="str">
        <f>IF('Design Fee'!EJ28&gt;0,"✔","-")</f>
        <v>-</v>
      </c>
      <c r="BV26" s="444" t="str">
        <f>IF('Design Fee'!EK28&gt;0,"✔","-")</f>
        <v>-</v>
      </c>
      <c r="BW26" s="444" t="str">
        <f>IF('Design Fee'!EL28&gt;0,"✔","-")</f>
        <v>-</v>
      </c>
      <c r="BX26" s="444" t="str">
        <f>IF('Design Fee'!EM28&gt;0,"✔","-")</f>
        <v>-</v>
      </c>
      <c r="BY26" s="444" t="str">
        <f>IF('Design Fee'!EN28&gt;0,"✔","-")</f>
        <v>-</v>
      </c>
      <c r="BZ26" s="383"/>
    </row>
    <row r="27" spans="2:78" ht="3" customHeight="1" outlineLevel="1">
      <c r="B27" s="384"/>
      <c r="C27" s="384"/>
      <c r="D27" s="383"/>
      <c r="E27" s="383"/>
      <c r="F27" s="408"/>
      <c r="G27" s="421"/>
      <c r="H27" s="421"/>
      <c r="I27" s="421"/>
      <c r="J27" s="453"/>
      <c r="K27" s="441"/>
      <c r="L27" s="442"/>
      <c r="M27" s="443"/>
      <c r="N27" s="443"/>
      <c r="O27" s="421"/>
      <c r="P27" s="452"/>
      <c r="Q27" s="452"/>
      <c r="R27" s="452"/>
      <c r="S27" s="452"/>
      <c r="T27" s="452"/>
      <c r="U27" s="453"/>
      <c r="V27" s="452"/>
      <c r="W27" s="452"/>
      <c r="X27" s="452"/>
      <c r="Y27" s="452"/>
      <c r="Z27" s="452"/>
      <c r="AA27" s="453"/>
      <c r="AB27" s="441"/>
      <c r="AC27" s="442"/>
      <c r="AD27" s="443"/>
      <c r="AE27" s="443"/>
      <c r="AF27" s="421"/>
      <c r="AG27" s="421"/>
      <c r="AH27" s="421"/>
      <c r="AI27" s="421"/>
      <c r="AJ27" s="421"/>
      <c r="AK27" s="421"/>
      <c r="AL27" s="421"/>
      <c r="AM27" s="421"/>
      <c r="AN27" s="421"/>
      <c r="AO27" s="421"/>
      <c r="AP27" s="421"/>
      <c r="AQ27" s="421"/>
      <c r="AR27" s="421"/>
      <c r="AS27" s="441"/>
      <c r="AT27" s="421"/>
      <c r="AU27" s="443"/>
      <c r="AV27" s="443"/>
      <c r="AW27" s="421"/>
      <c r="AX27" s="421"/>
      <c r="AY27" s="421"/>
      <c r="AZ27" s="421"/>
      <c r="BA27" s="421"/>
      <c r="BB27" s="421"/>
      <c r="BC27" s="421"/>
      <c r="BD27" s="421"/>
      <c r="BE27" s="421"/>
      <c r="BF27" s="421"/>
      <c r="BG27" s="421"/>
      <c r="BH27" s="421"/>
      <c r="BI27" s="421"/>
      <c r="BJ27" s="441"/>
      <c r="BK27" s="421"/>
      <c r="BL27" s="443"/>
      <c r="BM27" s="443"/>
      <c r="BN27" s="421"/>
      <c r="BO27" s="421"/>
      <c r="BP27" s="421"/>
      <c r="BQ27" s="421"/>
      <c r="BR27" s="421"/>
      <c r="BS27" s="421"/>
      <c r="BT27" s="383"/>
      <c r="BU27" s="421"/>
      <c r="BV27" s="421"/>
      <c r="BW27" s="421"/>
      <c r="BX27" s="421"/>
      <c r="BY27" s="421"/>
      <c r="BZ27" s="383"/>
    </row>
    <row r="28" spans="2:78" ht="14.25" outlineLevel="1">
      <c r="B28" s="431">
        <v>3</v>
      </c>
      <c r="C28" s="432">
        <v>4</v>
      </c>
      <c r="D28" s="433" t="s">
        <v>34</v>
      </c>
      <c r="E28" s="434"/>
      <c r="F28" s="436">
        <f>COUNTIF(M28,"✔")+COUNTIF(AD28,"✔")+COUNTIF(BL28,"✔")+COUNTIF(AU28,"✔")</f>
        <v>3</v>
      </c>
      <c r="G28" s="436">
        <f>COUNTIF(N28,"✔")+COUNTIF(AE28,"✔")+COUNTIF(BM28,"✔")+COUNTIF(AV28,"✔")</f>
        <v>3</v>
      </c>
      <c r="H28" s="436">
        <f>COUNTIF(O28,"✔")+COUNTIF(AF28,"✔")+COUNTIF(BN28,"✔")+COUNTIF(AW28,"✔")</f>
        <v>3</v>
      </c>
      <c r="I28" s="437">
        <f>F28-G28</f>
        <v>0</v>
      </c>
      <c r="J28" s="456"/>
      <c r="K28" s="436"/>
      <c r="L28" s="454"/>
      <c r="M28" s="436" t="str">
        <f>IF('Design Fee'!W30&gt;0,"✔","-")</f>
        <v>✔</v>
      </c>
      <c r="N28" s="436" t="str">
        <f>IF('Design Fee'!X30&gt;0,"✔","-")</f>
        <v>✔</v>
      </c>
      <c r="O28" s="437" t="str">
        <f>IF('Design Fee'!Y30&gt;0,"✔","-")</f>
        <v>✔</v>
      </c>
      <c r="P28" s="455" t="str">
        <f>IF('Design Fee'!Z30&gt;0,"✔","-")</f>
        <v>-</v>
      </c>
      <c r="Q28" s="455" t="str">
        <f>IF('Design Fee'!AA30&gt;0,"✔","-")</f>
        <v>-</v>
      </c>
      <c r="R28" s="455" t="str">
        <f>IF('Design Fee'!AB30&gt;0,"✔","-")</f>
        <v>-</v>
      </c>
      <c r="S28" s="455" t="str">
        <f>IF('Design Fee'!AC30&gt;0,"✔","-")</f>
        <v>-</v>
      </c>
      <c r="T28" s="455" t="str">
        <f>IF('Design Fee'!AD30&gt;0,"✔","-")</f>
        <v>-</v>
      </c>
      <c r="U28" s="456"/>
      <c r="V28" s="455" t="str">
        <f>IF('Design Fee'!AF30&gt;0,"✔","-")</f>
        <v>-</v>
      </c>
      <c r="W28" s="455" t="str">
        <f>IF('Design Fee'!AG30&gt;0,"✔","-")</f>
        <v>-</v>
      </c>
      <c r="X28" s="455" t="str">
        <f>IF('Design Fee'!AH30&gt;0,"✔","-")</f>
        <v>-</v>
      </c>
      <c r="Y28" s="455" t="str">
        <f>IF('Design Fee'!AI30&gt;0,"✔","-")</f>
        <v>-</v>
      </c>
      <c r="Z28" s="455" t="str">
        <f>IF('Design Fee'!AJ30&gt;0,"✔","-")</f>
        <v>-</v>
      </c>
      <c r="AA28" s="456"/>
      <c r="AB28" s="436" t="str">
        <f>AD28</f>
        <v>-</v>
      </c>
      <c r="AC28" s="454"/>
      <c r="AD28" s="436" t="str">
        <f>IF('Design Fee'!BG30&gt;0,"✔","-")</f>
        <v>-</v>
      </c>
      <c r="AE28" s="436" t="str">
        <f>IF('Design Fee'!BH30&gt;0,"✔","-")</f>
        <v>-</v>
      </c>
      <c r="AF28" s="437" t="str">
        <f>IF('Design Fee'!BI30&gt;0,"✔","-")</f>
        <v>-</v>
      </c>
      <c r="AG28" s="455" t="str">
        <f>IF('Design Fee'!BJ30&gt;0,"✔","-")</f>
        <v>-</v>
      </c>
      <c r="AH28" s="455" t="str">
        <f>IF('Design Fee'!BK30&gt;0,"✔","-")</f>
        <v>-</v>
      </c>
      <c r="AI28" s="455" t="str">
        <f>IF('Design Fee'!BL30&gt;0,"✔","-")</f>
        <v>-</v>
      </c>
      <c r="AJ28" s="455" t="str">
        <f>IF('Design Fee'!BM30&gt;0,"✔","-")</f>
        <v>-</v>
      </c>
      <c r="AK28" s="455" t="str">
        <f>IF('Design Fee'!BN30&gt;0,"✔","-")</f>
        <v>-</v>
      </c>
      <c r="AL28" s="457"/>
      <c r="AM28" s="455" t="str">
        <f>IF('Design Fee'!BP30&gt;0,"✔","-")</f>
        <v>-</v>
      </c>
      <c r="AN28" s="455" t="str">
        <f>IF('Design Fee'!BQ30&gt;0,"✔","-")</f>
        <v>-</v>
      </c>
      <c r="AO28" s="455" t="str">
        <f>IF('Design Fee'!BR30&gt;0,"✔","-")</f>
        <v>-</v>
      </c>
      <c r="AP28" s="455" t="str">
        <f>IF('Design Fee'!BS30&gt;0,"✔","-")</f>
        <v>-</v>
      </c>
      <c r="AQ28" s="455" t="str">
        <f>IF('Design Fee'!BT30&gt;0,"✔","-")</f>
        <v>-</v>
      </c>
      <c r="AR28" s="457"/>
      <c r="AS28" s="436" t="str">
        <f>AU28</f>
        <v>✔</v>
      </c>
      <c r="AT28" s="454"/>
      <c r="AU28" s="436" t="str">
        <f>IF('Design Fee'!CQ30&gt;0,"✔","-")</f>
        <v>✔</v>
      </c>
      <c r="AV28" s="436" t="str">
        <f>IF('Design Fee'!CR30&gt;0,"✔","-")</f>
        <v>✔</v>
      </c>
      <c r="AW28" s="437" t="str">
        <f>IF('Design Fee'!CS30&gt;0,"✔","-")</f>
        <v>✔</v>
      </c>
      <c r="AX28" s="455" t="str">
        <f>IF('Design Fee'!CT30&gt;0,"✔","-")</f>
        <v>-</v>
      </c>
      <c r="AY28" s="455" t="str">
        <f>IF('Design Fee'!CU30&gt;0,"✔","-")</f>
        <v>-</v>
      </c>
      <c r="AZ28" s="455" t="str">
        <f>IF('Design Fee'!CV30&gt;0,"✔","-")</f>
        <v>-</v>
      </c>
      <c r="BA28" s="455" t="str">
        <f>IF('Design Fee'!CW30&gt;0,"✔","-")</f>
        <v>-</v>
      </c>
      <c r="BB28" s="455" t="str">
        <f>IF('Design Fee'!CX30&gt;0,"✔","-")</f>
        <v>-</v>
      </c>
      <c r="BC28" s="457"/>
      <c r="BD28" s="455" t="str">
        <f>IF('Design Fee'!CZ30&gt;0,"✔","-")</f>
        <v>-</v>
      </c>
      <c r="BE28" s="455" t="str">
        <f>IF('Design Fee'!DA30&gt;0,"✔","-")</f>
        <v>-</v>
      </c>
      <c r="BF28" s="455" t="str">
        <f>IF('Design Fee'!DB30&gt;0,"✔","-")</f>
        <v>-</v>
      </c>
      <c r="BG28" s="455" t="str">
        <f>IF('Design Fee'!DC30&gt;0,"✔","-")</f>
        <v>-</v>
      </c>
      <c r="BH28" s="455" t="str">
        <f>IF('Design Fee'!DD30&gt;0,"✔","-")</f>
        <v>-</v>
      </c>
      <c r="BI28" s="457"/>
      <c r="BJ28" s="436" t="str">
        <f>BL28</f>
        <v>✔</v>
      </c>
      <c r="BK28" s="454"/>
      <c r="BL28" s="436" t="str">
        <f>IF('Design Fee'!EA30&gt;0,"✔","-")</f>
        <v>✔</v>
      </c>
      <c r="BM28" s="436" t="str">
        <f>IF('Design Fee'!EB30&gt;0,"✔","-")</f>
        <v>✔</v>
      </c>
      <c r="BN28" s="437" t="str">
        <f>IF('Design Fee'!EC30&gt;0,"✔","-")</f>
        <v>✔</v>
      </c>
      <c r="BO28" s="455" t="str">
        <f>IF('Design Fee'!ED30&gt;0,"✔","-")</f>
        <v>-</v>
      </c>
      <c r="BP28" s="455" t="str">
        <f>IF('Design Fee'!EE30&gt;0,"✔","-")</f>
        <v>-</v>
      </c>
      <c r="BQ28" s="455" t="str">
        <f>IF('Design Fee'!EF30&gt;0,"✔","-")</f>
        <v>-</v>
      </c>
      <c r="BR28" s="455" t="str">
        <f>IF('Design Fee'!EG30&gt;0,"✔","-")</f>
        <v>-</v>
      </c>
      <c r="BS28" s="455" t="str">
        <f>IF('Design Fee'!EH30&gt;0,"✔","-")</f>
        <v>-</v>
      </c>
      <c r="BT28" s="383"/>
      <c r="BU28" s="455" t="str">
        <f>IF('Design Fee'!EJ30&gt;0,"✔","-")</f>
        <v>-</v>
      </c>
      <c r="BV28" s="455" t="str">
        <f>IF('Design Fee'!EK30&gt;0,"✔","-")</f>
        <v>-</v>
      </c>
      <c r="BW28" s="455" t="str">
        <f>IF('Design Fee'!EL30&gt;0,"✔","-")</f>
        <v>-</v>
      </c>
      <c r="BX28" s="455" t="str">
        <f>IF('Design Fee'!EM30&gt;0,"✔","-")</f>
        <v>-</v>
      </c>
      <c r="BY28" s="455" t="str">
        <f>IF('Design Fee'!EN30&gt;0,"✔","-")</f>
        <v>-</v>
      </c>
      <c r="BZ28" s="383"/>
    </row>
    <row r="29" spans="2:78" ht="13.35" customHeight="1" outlineLevel="2">
      <c r="B29" s="439"/>
      <c r="C29" s="439">
        <v>1</v>
      </c>
      <c r="D29" s="440" t="s">
        <v>35</v>
      </c>
      <c r="E29" s="383"/>
      <c r="F29" s="443"/>
      <c r="G29" s="458"/>
      <c r="H29" s="458"/>
      <c r="I29" s="444"/>
      <c r="J29" s="430"/>
      <c r="K29" s="441"/>
      <c r="L29" s="442"/>
      <c r="M29" s="443" t="str">
        <f>IF('Design Fee'!W31&gt;0,"✔","-")</f>
        <v>-</v>
      </c>
      <c r="N29" s="443" t="str">
        <f>IF('Design Fee'!X31&gt;0,"✔","-")</f>
        <v>-</v>
      </c>
      <c r="O29" s="458" t="str">
        <f>IF('Design Fee'!Y31&gt;0,"✔","-")</f>
        <v>-</v>
      </c>
      <c r="P29" s="444" t="str">
        <f>IF('Design Fee'!Z31&gt;0,"✔","-")</f>
        <v>-</v>
      </c>
      <c r="Q29" s="444" t="str">
        <f>IF('Design Fee'!AA31&gt;0,"✔","-")</f>
        <v>-</v>
      </c>
      <c r="R29" s="444" t="str">
        <f>IF('Design Fee'!AB31&gt;0,"✔","-")</f>
        <v>-</v>
      </c>
      <c r="S29" s="444" t="str">
        <f>IF('Design Fee'!AC31&gt;0,"✔","-")</f>
        <v>-</v>
      </c>
      <c r="T29" s="444" t="str">
        <f>IF('Design Fee'!AD31&gt;0,"✔","-")</f>
        <v>-</v>
      </c>
      <c r="U29" s="430"/>
      <c r="V29" s="444" t="str">
        <f>IF('Design Fee'!AF31&gt;0,"✔","-")</f>
        <v>-</v>
      </c>
      <c r="W29" s="444" t="str">
        <f>IF('Design Fee'!AG31&gt;0,"✔","-")</f>
        <v>-</v>
      </c>
      <c r="X29" s="444" t="str">
        <f>IF('Design Fee'!AH31&gt;0,"✔","-")</f>
        <v>-</v>
      </c>
      <c r="Y29" s="444" t="str">
        <f>IF('Design Fee'!AI31&gt;0,"✔","-")</f>
        <v>-</v>
      </c>
      <c r="Z29" s="444" t="str">
        <f>IF('Design Fee'!AJ31&gt;0,"✔","-")</f>
        <v>-</v>
      </c>
      <c r="AA29" s="430"/>
      <c r="AB29" s="441"/>
      <c r="AC29" s="442"/>
      <c r="AD29" s="443" t="str">
        <f>IF('Design Fee'!BG31&gt;0,"✔","-")</f>
        <v>-</v>
      </c>
      <c r="AE29" s="443" t="str">
        <f>IF('Design Fee'!BH31&gt;0,"✔","-")</f>
        <v>-</v>
      </c>
      <c r="AF29" s="458" t="str">
        <f>IF('Design Fee'!BI31&gt;0,"✔","-")</f>
        <v>-</v>
      </c>
      <c r="AG29" s="444" t="str">
        <f>IF('Design Fee'!BJ31&gt;0,"✔","-")</f>
        <v>-</v>
      </c>
      <c r="AH29" s="444" t="str">
        <f>IF('Design Fee'!BK31&gt;0,"✔","-")</f>
        <v>-</v>
      </c>
      <c r="AI29" s="444" t="str">
        <f>IF('Design Fee'!BL31&gt;0,"✔","-")</f>
        <v>-</v>
      </c>
      <c r="AJ29" s="444" t="str">
        <f>IF('Design Fee'!BM31&gt;0,"✔","-")</f>
        <v>-</v>
      </c>
      <c r="AK29" s="444" t="str">
        <f>IF('Design Fee'!BN31&gt;0,"✔","-")</f>
        <v>-</v>
      </c>
      <c r="AL29" s="445"/>
      <c r="AM29" s="444" t="str">
        <f>IF('Design Fee'!BP31&gt;0,"✔","-")</f>
        <v>-</v>
      </c>
      <c r="AN29" s="444" t="str">
        <f>IF('Design Fee'!BQ31&gt;0,"✔","-")</f>
        <v>-</v>
      </c>
      <c r="AO29" s="444" t="str">
        <f>IF('Design Fee'!BR31&gt;0,"✔","-")</f>
        <v>-</v>
      </c>
      <c r="AP29" s="444" t="str">
        <f>IF('Design Fee'!BS31&gt;0,"✔","-")</f>
        <v>-</v>
      </c>
      <c r="AQ29" s="444" t="str">
        <f>IF('Design Fee'!BT31&gt;0,"✔","-")</f>
        <v>-</v>
      </c>
      <c r="AR29" s="445"/>
      <c r="AS29" s="441"/>
      <c r="AT29" s="442"/>
      <c r="AU29" s="443" t="str">
        <f>IF('Design Fee'!CQ31&gt;0,"✔","-")</f>
        <v>-</v>
      </c>
      <c r="AV29" s="443" t="str">
        <f>IF('Design Fee'!CR31&gt;0,"✔","-")</f>
        <v>-</v>
      </c>
      <c r="AW29" s="458" t="str">
        <f>IF('Design Fee'!CS31&gt;0,"✔","-")</f>
        <v>-</v>
      </c>
      <c r="AX29" s="444" t="str">
        <f>IF('Design Fee'!CT31&gt;0,"✔","-")</f>
        <v>-</v>
      </c>
      <c r="AY29" s="444" t="str">
        <f>IF('Design Fee'!CU31&gt;0,"✔","-")</f>
        <v>-</v>
      </c>
      <c r="AZ29" s="444" t="str">
        <f>IF('Design Fee'!CV31&gt;0,"✔","-")</f>
        <v>-</v>
      </c>
      <c r="BA29" s="444" t="str">
        <f>IF('Design Fee'!CW31&gt;0,"✔","-")</f>
        <v>-</v>
      </c>
      <c r="BB29" s="444" t="str">
        <f>IF('Design Fee'!CX31&gt;0,"✔","-")</f>
        <v>-</v>
      </c>
      <c r="BC29" s="445"/>
      <c r="BD29" s="444" t="str">
        <f>IF('Design Fee'!CZ31&gt;0,"✔","-")</f>
        <v>-</v>
      </c>
      <c r="BE29" s="444" t="str">
        <f>IF('Design Fee'!DA31&gt;0,"✔","-")</f>
        <v>-</v>
      </c>
      <c r="BF29" s="444" t="str">
        <f>IF('Design Fee'!DB31&gt;0,"✔","-")</f>
        <v>-</v>
      </c>
      <c r="BG29" s="444" t="str">
        <f>IF('Design Fee'!DC31&gt;0,"✔","-")</f>
        <v>-</v>
      </c>
      <c r="BH29" s="444" t="str">
        <f>IF('Design Fee'!DD31&gt;0,"✔","-")</f>
        <v>-</v>
      </c>
      <c r="BI29" s="445"/>
      <c r="BJ29" s="441"/>
      <c r="BK29" s="442"/>
      <c r="BL29" s="443" t="str">
        <f>IF('Design Fee'!EA31&gt;0,"✔","-")</f>
        <v>-</v>
      </c>
      <c r="BM29" s="443" t="str">
        <f>IF('Design Fee'!EB31&gt;0,"✔","-")</f>
        <v>-</v>
      </c>
      <c r="BN29" s="458" t="str">
        <f>IF('Design Fee'!EC31&gt;0,"✔","-")</f>
        <v>-</v>
      </c>
      <c r="BO29" s="444" t="str">
        <f>IF('Design Fee'!ED31&gt;0,"✔","-")</f>
        <v>-</v>
      </c>
      <c r="BP29" s="444" t="str">
        <f>IF('Design Fee'!EE31&gt;0,"✔","-")</f>
        <v>-</v>
      </c>
      <c r="BQ29" s="444" t="str">
        <f>IF('Design Fee'!EF31&gt;0,"✔","-")</f>
        <v>-</v>
      </c>
      <c r="BR29" s="444" t="str">
        <f>IF('Design Fee'!EG31&gt;0,"✔","-")</f>
        <v>-</v>
      </c>
      <c r="BS29" s="444" t="str">
        <f>IF('Design Fee'!EH31&gt;0,"✔","-")</f>
        <v>-</v>
      </c>
      <c r="BT29" s="383"/>
      <c r="BU29" s="444" t="str">
        <f>IF('Design Fee'!EJ31&gt;0,"✔","-")</f>
        <v>-</v>
      </c>
      <c r="BV29" s="444" t="str">
        <f>IF('Design Fee'!EK31&gt;0,"✔","-")</f>
        <v>-</v>
      </c>
      <c r="BW29" s="444" t="str">
        <f>IF('Design Fee'!EL31&gt;0,"✔","-")</f>
        <v>-</v>
      </c>
      <c r="BX29" s="444" t="str">
        <f>IF('Design Fee'!EM31&gt;0,"✔","-")</f>
        <v>-</v>
      </c>
      <c r="BY29" s="444" t="str">
        <f>IF('Design Fee'!EN31&gt;0,"✔","-")</f>
        <v>-</v>
      </c>
      <c r="BZ29" s="383"/>
    </row>
    <row r="30" spans="2:78" ht="13.35" customHeight="1" outlineLevel="2">
      <c r="B30" s="439"/>
      <c r="C30" s="439">
        <v>2</v>
      </c>
      <c r="D30" s="440" t="s">
        <v>36</v>
      </c>
      <c r="E30" s="383"/>
      <c r="F30" s="443"/>
      <c r="G30" s="458"/>
      <c r="H30" s="458"/>
      <c r="I30" s="444"/>
      <c r="J30" s="430"/>
      <c r="K30" s="441"/>
      <c r="L30" s="442"/>
      <c r="M30" s="443" t="str">
        <f>IF('Design Fee'!W32&gt;0,"✔","-")</f>
        <v>-</v>
      </c>
      <c r="N30" s="443" t="str">
        <f>IF('Design Fee'!X32&gt;0,"✔","-")</f>
        <v>-</v>
      </c>
      <c r="O30" s="458" t="str">
        <f>IF('Design Fee'!Y32&gt;0,"✔","-")</f>
        <v>-</v>
      </c>
      <c r="P30" s="444" t="str">
        <f>IF('Design Fee'!Z32&gt;0,"✔","-")</f>
        <v>-</v>
      </c>
      <c r="Q30" s="444" t="str">
        <f>IF('Design Fee'!AA32&gt;0,"✔","-")</f>
        <v>-</v>
      </c>
      <c r="R30" s="444" t="str">
        <f>IF('Design Fee'!AB32&gt;0,"✔","-")</f>
        <v>-</v>
      </c>
      <c r="S30" s="444" t="str">
        <f>IF('Design Fee'!AC32&gt;0,"✔","-")</f>
        <v>-</v>
      </c>
      <c r="T30" s="444" t="str">
        <f>IF('Design Fee'!AD32&gt;0,"✔","-")</f>
        <v>-</v>
      </c>
      <c r="U30" s="430"/>
      <c r="V30" s="444" t="str">
        <f>IF('Design Fee'!AF32&gt;0,"✔","-")</f>
        <v>-</v>
      </c>
      <c r="W30" s="444" t="str">
        <f>IF('Design Fee'!AG32&gt;0,"✔","-")</f>
        <v>-</v>
      </c>
      <c r="X30" s="444" t="str">
        <f>IF('Design Fee'!AH32&gt;0,"✔","-")</f>
        <v>-</v>
      </c>
      <c r="Y30" s="444" t="str">
        <f>IF('Design Fee'!AI32&gt;0,"✔","-")</f>
        <v>-</v>
      </c>
      <c r="Z30" s="444" t="str">
        <f>IF('Design Fee'!AJ32&gt;0,"✔","-")</f>
        <v>-</v>
      </c>
      <c r="AA30" s="430"/>
      <c r="AB30" s="441"/>
      <c r="AC30" s="442"/>
      <c r="AD30" s="443" t="str">
        <f>IF('Design Fee'!BG32&gt;0,"✔","-")</f>
        <v>-</v>
      </c>
      <c r="AE30" s="443" t="str">
        <f>IF('Design Fee'!BH32&gt;0,"✔","-")</f>
        <v>-</v>
      </c>
      <c r="AF30" s="458" t="str">
        <f>IF('Design Fee'!BI32&gt;0,"✔","-")</f>
        <v>-</v>
      </c>
      <c r="AG30" s="444" t="str">
        <f>IF('Design Fee'!BJ32&gt;0,"✔","-")</f>
        <v>-</v>
      </c>
      <c r="AH30" s="444" t="str">
        <f>IF('Design Fee'!BK32&gt;0,"✔","-")</f>
        <v>-</v>
      </c>
      <c r="AI30" s="444" t="str">
        <f>IF('Design Fee'!BL32&gt;0,"✔","-")</f>
        <v>-</v>
      </c>
      <c r="AJ30" s="444" t="str">
        <f>IF('Design Fee'!BM32&gt;0,"✔","-")</f>
        <v>-</v>
      </c>
      <c r="AK30" s="444" t="str">
        <f>IF('Design Fee'!BN32&gt;0,"✔","-")</f>
        <v>-</v>
      </c>
      <c r="AL30" s="445"/>
      <c r="AM30" s="444" t="str">
        <f>IF('Design Fee'!BP32&gt;0,"✔","-")</f>
        <v>-</v>
      </c>
      <c r="AN30" s="444" t="str">
        <f>IF('Design Fee'!BQ32&gt;0,"✔","-")</f>
        <v>-</v>
      </c>
      <c r="AO30" s="444" t="str">
        <f>IF('Design Fee'!BR32&gt;0,"✔","-")</f>
        <v>-</v>
      </c>
      <c r="AP30" s="444" t="str">
        <f>IF('Design Fee'!BS32&gt;0,"✔","-")</f>
        <v>-</v>
      </c>
      <c r="AQ30" s="444" t="str">
        <f>IF('Design Fee'!BT32&gt;0,"✔","-")</f>
        <v>-</v>
      </c>
      <c r="AR30" s="445"/>
      <c r="AS30" s="441"/>
      <c r="AT30" s="442"/>
      <c r="AU30" s="443" t="str">
        <f>IF('Design Fee'!CQ32&gt;0,"✔","-")</f>
        <v>-</v>
      </c>
      <c r="AV30" s="443" t="str">
        <f>IF('Design Fee'!CR32&gt;0,"✔","-")</f>
        <v>-</v>
      </c>
      <c r="AW30" s="458" t="str">
        <f>IF('Design Fee'!CS32&gt;0,"✔","-")</f>
        <v>-</v>
      </c>
      <c r="AX30" s="444" t="str">
        <f>IF('Design Fee'!CT32&gt;0,"✔","-")</f>
        <v>-</v>
      </c>
      <c r="AY30" s="444" t="str">
        <f>IF('Design Fee'!CU32&gt;0,"✔","-")</f>
        <v>-</v>
      </c>
      <c r="AZ30" s="444" t="str">
        <f>IF('Design Fee'!CV32&gt;0,"✔","-")</f>
        <v>-</v>
      </c>
      <c r="BA30" s="444" t="str">
        <f>IF('Design Fee'!CW32&gt;0,"✔","-")</f>
        <v>-</v>
      </c>
      <c r="BB30" s="444" t="str">
        <f>IF('Design Fee'!CX32&gt;0,"✔","-")</f>
        <v>-</v>
      </c>
      <c r="BC30" s="445"/>
      <c r="BD30" s="444" t="str">
        <f>IF('Design Fee'!CZ32&gt;0,"✔","-")</f>
        <v>-</v>
      </c>
      <c r="BE30" s="444" t="str">
        <f>IF('Design Fee'!DA32&gt;0,"✔","-")</f>
        <v>-</v>
      </c>
      <c r="BF30" s="444" t="str">
        <f>IF('Design Fee'!DB32&gt;0,"✔","-")</f>
        <v>-</v>
      </c>
      <c r="BG30" s="444" t="str">
        <f>IF('Design Fee'!DC32&gt;0,"✔","-")</f>
        <v>-</v>
      </c>
      <c r="BH30" s="444" t="str">
        <f>IF('Design Fee'!DD32&gt;0,"✔","-")</f>
        <v>-</v>
      </c>
      <c r="BI30" s="445"/>
      <c r="BJ30" s="441"/>
      <c r="BK30" s="442"/>
      <c r="BL30" s="443" t="str">
        <f>IF('Design Fee'!EA32&gt;0,"✔","-")</f>
        <v>-</v>
      </c>
      <c r="BM30" s="443" t="str">
        <f>IF('Design Fee'!EB32&gt;0,"✔","-")</f>
        <v>-</v>
      </c>
      <c r="BN30" s="458" t="str">
        <f>IF('Design Fee'!EC32&gt;0,"✔","-")</f>
        <v>-</v>
      </c>
      <c r="BO30" s="444" t="str">
        <f>IF('Design Fee'!ED32&gt;0,"✔","-")</f>
        <v>-</v>
      </c>
      <c r="BP30" s="444" t="str">
        <f>IF('Design Fee'!EE32&gt;0,"✔","-")</f>
        <v>-</v>
      </c>
      <c r="BQ30" s="444" t="str">
        <f>IF('Design Fee'!EF32&gt;0,"✔","-")</f>
        <v>-</v>
      </c>
      <c r="BR30" s="444" t="str">
        <f>IF('Design Fee'!EG32&gt;0,"✔","-")</f>
        <v>-</v>
      </c>
      <c r="BS30" s="444" t="str">
        <f>IF('Design Fee'!EH32&gt;0,"✔","-")</f>
        <v>-</v>
      </c>
      <c r="BT30" s="383"/>
      <c r="BU30" s="444" t="str">
        <f>IF('Design Fee'!EJ32&gt;0,"✔","-")</f>
        <v>-</v>
      </c>
      <c r="BV30" s="444" t="str">
        <f>IF('Design Fee'!EK32&gt;0,"✔","-")</f>
        <v>-</v>
      </c>
      <c r="BW30" s="444" t="str">
        <f>IF('Design Fee'!EL32&gt;0,"✔","-")</f>
        <v>-</v>
      </c>
      <c r="BX30" s="444" t="str">
        <f>IF('Design Fee'!EM32&gt;0,"✔","-")</f>
        <v>-</v>
      </c>
      <c r="BY30" s="444" t="str">
        <f>IF('Design Fee'!EN32&gt;0,"✔","-")</f>
        <v>-</v>
      </c>
      <c r="BZ30" s="383"/>
    </row>
    <row r="31" spans="2:78" ht="13.35" customHeight="1" outlineLevel="2">
      <c r="B31" s="439"/>
      <c r="C31" s="439">
        <v>3</v>
      </c>
      <c r="D31" s="440" t="s">
        <v>37</v>
      </c>
      <c r="E31" s="383"/>
      <c r="F31" s="443"/>
      <c r="G31" s="458"/>
      <c r="H31" s="458"/>
      <c r="I31" s="444"/>
      <c r="J31" s="453"/>
      <c r="K31" s="441"/>
      <c r="L31" s="442"/>
      <c r="M31" s="443" t="str">
        <f>IF('Design Fee'!W33&gt;0,"✔","-")</f>
        <v>-</v>
      </c>
      <c r="N31" s="443" t="str">
        <f>IF('Design Fee'!X33&gt;0,"✔","-")</f>
        <v>-</v>
      </c>
      <c r="O31" s="458" t="str">
        <f>IF('Design Fee'!Y33&gt;0,"✔","-")</f>
        <v>-</v>
      </c>
      <c r="P31" s="444" t="str">
        <f>IF('Design Fee'!Z33&gt;0,"✔","-")</f>
        <v>-</v>
      </c>
      <c r="Q31" s="444" t="str">
        <f>IF('Design Fee'!AA33&gt;0,"✔","-")</f>
        <v>-</v>
      </c>
      <c r="R31" s="444" t="str">
        <f>IF('Design Fee'!AB33&gt;0,"✔","-")</f>
        <v>-</v>
      </c>
      <c r="S31" s="444" t="str">
        <f>IF('Design Fee'!AC33&gt;0,"✔","-")</f>
        <v>-</v>
      </c>
      <c r="T31" s="444" t="str">
        <f>IF('Design Fee'!AD33&gt;0,"✔","-")</f>
        <v>-</v>
      </c>
      <c r="U31" s="453"/>
      <c r="V31" s="444" t="str">
        <f>IF('Design Fee'!AF33&gt;0,"✔","-")</f>
        <v>-</v>
      </c>
      <c r="W31" s="444" t="str">
        <f>IF('Design Fee'!AG33&gt;0,"✔","-")</f>
        <v>-</v>
      </c>
      <c r="X31" s="444" t="str">
        <f>IF('Design Fee'!AH33&gt;0,"✔","-")</f>
        <v>-</v>
      </c>
      <c r="Y31" s="444" t="str">
        <f>IF('Design Fee'!AI33&gt;0,"✔","-")</f>
        <v>-</v>
      </c>
      <c r="Z31" s="444" t="str">
        <f>IF('Design Fee'!AJ33&gt;0,"✔","-")</f>
        <v>-</v>
      </c>
      <c r="AA31" s="453"/>
      <c r="AB31" s="441"/>
      <c r="AC31" s="442"/>
      <c r="AD31" s="443" t="str">
        <f>IF('Design Fee'!BG33&gt;0,"✔","-")</f>
        <v>-</v>
      </c>
      <c r="AE31" s="443" t="str">
        <f>IF('Design Fee'!BH33&gt;0,"✔","-")</f>
        <v>-</v>
      </c>
      <c r="AF31" s="458" t="str">
        <f>IF('Design Fee'!BI33&gt;0,"✔","-")</f>
        <v>-</v>
      </c>
      <c r="AG31" s="444" t="str">
        <f>IF('Design Fee'!BJ33&gt;0,"✔","-")</f>
        <v>-</v>
      </c>
      <c r="AH31" s="444" t="str">
        <f>IF('Design Fee'!BK33&gt;0,"✔","-")</f>
        <v>-</v>
      </c>
      <c r="AI31" s="444" t="str">
        <f>IF('Design Fee'!BL33&gt;0,"✔","-")</f>
        <v>-</v>
      </c>
      <c r="AJ31" s="444" t="str">
        <f>IF('Design Fee'!BM33&gt;0,"✔","-")</f>
        <v>-</v>
      </c>
      <c r="AK31" s="444" t="str">
        <f>IF('Design Fee'!BN33&gt;0,"✔","-")</f>
        <v>-</v>
      </c>
      <c r="AL31" s="445"/>
      <c r="AM31" s="444" t="str">
        <f>IF('Design Fee'!BP33&gt;0,"✔","-")</f>
        <v>-</v>
      </c>
      <c r="AN31" s="444" t="str">
        <f>IF('Design Fee'!BQ33&gt;0,"✔","-")</f>
        <v>-</v>
      </c>
      <c r="AO31" s="444" t="str">
        <f>IF('Design Fee'!BR33&gt;0,"✔","-")</f>
        <v>-</v>
      </c>
      <c r="AP31" s="444" t="str">
        <f>IF('Design Fee'!BS33&gt;0,"✔","-")</f>
        <v>-</v>
      </c>
      <c r="AQ31" s="444" t="str">
        <f>IF('Design Fee'!BT33&gt;0,"✔","-")</f>
        <v>-</v>
      </c>
      <c r="AR31" s="445"/>
      <c r="AS31" s="441"/>
      <c r="AT31" s="442"/>
      <c r="AU31" s="443" t="str">
        <f>IF('Design Fee'!CQ33&gt;0,"✔","-")</f>
        <v>-</v>
      </c>
      <c r="AV31" s="443" t="str">
        <f>IF('Design Fee'!CR33&gt;0,"✔","-")</f>
        <v>-</v>
      </c>
      <c r="AW31" s="458" t="str">
        <f>IF('Design Fee'!CS33&gt;0,"✔","-")</f>
        <v>-</v>
      </c>
      <c r="AX31" s="444" t="str">
        <f>IF('Design Fee'!CT33&gt;0,"✔","-")</f>
        <v>-</v>
      </c>
      <c r="AY31" s="444" t="str">
        <f>IF('Design Fee'!CU33&gt;0,"✔","-")</f>
        <v>-</v>
      </c>
      <c r="AZ31" s="444" t="str">
        <f>IF('Design Fee'!CV33&gt;0,"✔","-")</f>
        <v>-</v>
      </c>
      <c r="BA31" s="444" t="str">
        <f>IF('Design Fee'!CW33&gt;0,"✔","-")</f>
        <v>-</v>
      </c>
      <c r="BB31" s="444" t="str">
        <f>IF('Design Fee'!CX33&gt;0,"✔","-")</f>
        <v>-</v>
      </c>
      <c r="BC31" s="445"/>
      <c r="BD31" s="444" t="str">
        <f>IF('Design Fee'!CZ33&gt;0,"✔","-")</f>
        <v>-</v>
      </c>
      <c r="BE31" s="444" t="str">
        <f>IF('Design Fee'!DA33&gt;0,"✔","-")</f>
        <v>-</v>
      </c>
      <c r="BF31" s="444" t="str">
        <f>IF('Design Fee'!DB33&gt;0,"✔","-")</f>
        <v>-</v>
      </c>
      <c r="BG31" s="444" t="str">
        <f>IF('Design Fee'!DC33&gt;0,"✔","-")</f>
        <v>-</v>
      </c>
      <c r="BH31" s="444" t="str">
        <f>IF('Design Fee'!DD33&gt;0,"✔","-")</f>
        <v>-</v>
      </c>
      <c r="BI31" s="445"/>
      <c r="BJ31" s="441"/>
      <c r="BK31" s="442"/>
      <c r="BL31" s="443" t="str">
        <f>IF('Design Fee'!EA33&gt;0,"✔","-")</f>
        <v>-</v>
      </c>
      <c r="BM31" s="443" t="str">
        <f>IF('Design Fee'!EB33&gt;0,"✔","-")</f>
        <v>-</v>
      </c>
      <c r="BN31" s="458" t="str">
        <f>IF('Design Fee'!EC33&gt;0,"✔","-")</f>
        <v>-</v>
      </c>
      <c r="BO31" s="444" t="str">
        <f>IF('Design Fee'!ED33&gt;0,"✔","-")</f>
        <v>-</v>
      </c>
      <c r="BP31" s="444" t="str">
        <f>IF('Design Fee'!EE33&gt;0,"✔","-")</f>
        <v>-</v>
      </c>
      <c r="BQ31" s="444" t="str">
        <f>IF('Design Fee'!EF33&gt;0,"✔","-")</f>
        <v>-</v>
      </c>
      <c r="BR31" s="444" t="str">
        <f>IF('Design Fee'!EG33&gt;0,"✔","-")</f>
        <v>-</v>
      </c>
      <c r="BS31" s="444" t="str">
        <f>IF('Design Fee'!EH33&gt;0,"✔","-")</f>
        <v>-</v>
      </c>
      <c r="BT31" s="383"/>
      <c r="BU31" s="444" t="str">
        <f>IF('Design Fee'!EJ33&gt;0,"✔","-")</f>
        <v>-</v>
      </c>
      <c r="BV31" s="444" t="str">
        <f>IF('Design Fee'!EK33&gt;0,"✔","-")</f>
        <v>-</v>
      </c>
      <c r="BW31" s="444" t="str">
        <f>IF('Design Fee'!EL33&gt;0,"✔","-")</f>
        <v>-</v>
      </c>
      <c r="BX31" s="444" t="str">
        <f>IF('Design Fee'!EM33&gt;0,"✔","-")</f>
        <v>-</v>
      </c>
      <c r="BY31" s="444" t="str">
        <f>IF('Design Fee'!EN33&gt;0,"✔","-")</f>
        <v>-</v>
      </c>
      <c r="BZ31" s="383"/>
    </row>
    <row r="32" spans="2:78" ht="13.35" customHeight="1" outlineLevel="2">
      <c r="B32" s="439"/>
      <c r="C32" s="439">
        <v>4</v>
      </c>
      <c r="D32" s="440" t="s">
        <v>38</v>
      </c>
      <c r="E32" s="383"/>
      <c r="F32" s="443"/>
      <c r="G32" s="458"/>
      <c r="H32" s="458"/>
      <c r="I32" s="444"/>
      <c r="J32" s="453"/>
      <c r="K32" s="441"/>
      <c r="L32" s="442"/>
      <c r="M32" s="443" t="str">
        <f>IF('Design Fee'!W34&gt;0,"✔","-")</f>
        <v>-</v>
      </c>
      <c r="N32" s="443" t="str">
        <f>IF('Design Fee'!X34&gt;0,"✔","-")</f>
        <v>-</v>
      </c>
      <c r="O32" s="458" t="str">
        <f>IF('Design Fee'!Y34&gt;0,"✔","-")</f>
        <v>-</v>
      </c>
      <c r="P32" s="444" t="str">
        <f>IF('Design Fee'!Z34&gt;0,"✔","-")</f>
        <v>-</v>
      </c>
      <c r="Q32" s="444" t="str">
        <f>IF('Design Fee'!AA34&gt;0,"✔","-")</f>
        <v>-</v>
      </c>
      <c r="R32" s="444" t="str">
        <f>IF('Design Fee'!AB34&gt;0,"✔","-")</f>
        <v>-</v>
      </c>
      <c r="S32" s="444" t="str">
        <f>IF('Design Fee'!AC34&gt;0,"✔","-")</f>
        <v>-</v>
      </c>
      <c r="T32" s="444" t="str">
        <f>IF('Design Fee'!AD34&gt;0,"✔","-")</f>
        <v>-</v>
      </c>
      <c r="U32" s="453"/>
      <c r="V32" s="444" t="str">
        <f>IF('Design Fee'!AF34&gt;0,"✔","-")</f>
        <v>-</v>
      </c>
      <c r="W32" s="444" t="str">
        <f>IF('Design Fee'!AG34&gt;0,"✔","-")</f>
        <v>-</v>
      </c>
      <c r="X32" s="444" t="str">
        <f>IF('Design Fee'!AH34&gt;0,"✔","-")</f>
        <v>-</v>
      </c>
      <c r="Y32" s="444" t="str">
        <f>IF('Design Fee'!AI34&gt;0,"✔","-")</f>
        <v>-</v>
      </c>
      <c r="Z32" s="444" t="str">
        <f>IF('Design Fee'!AJ34&gt;0,"✔","-")</f>
        <v>-</v>
      </c>
      <c r="AA32" s="453"/>
      <c r="AB32" s="441"/>
      <c r="AC32" s="442"/>
      <c r="AD32" s="443" t="str">
        <f>IF('Design Fee'!BG34&gt;0,"✔","-")</f>
        <v>-</v>
      </c>
      <c r="AE32" s="443" t="str">
        <f>IF('Design Fee'!BH34&gt;0,"✔","-")</f>
        <v>-</v>
      </c>
      <c r="AF32" s="458" t="str">
        <f>IF('Design Fee'!BI34&gt;0,"✔","-")</f>
        <v>-</v>
      </c>
      <c r="AG32" s="444" t="str">
        <f>IF('Design Fee'!BJ34&gt;0,"✔","-")</f>
        <v>-</v>
      </c>
      <c r="AH32" s="444" t="str">
        <f>IF('Design Fee'!BK34&gt;0,"✔","-")</f>
        <v>-</v>
      </c>
      <c r="AI32" s="444" t="str">
        <f>IF('Design Fee'!BL34&gt;0,"✔","-")</f>
        <v>-</v>
      </c>
      <c r="AJ32" s="444" t="str">
        <f>IF('Design Fee'!BM34&gt;0,"✔","-")</f>
        <v>-</v>
      </c>
      <c r="AK32" s="444" t="str">
        <f>IF('Design Fee'!BN34&gt;0,"✔","-")</f>
        <v>-</v>
      </c>
      <c r="AL32" s="445"/>
      <c r="AM32" s="444" t="str">
        <f>IF('Design Fee'!BP34&gt;0,"✔","-")</f>
        <v>-</v>
      </c>
      <c r="AN32" s="444" t="str">
        <f>IF('Design Fee'!BQ34&gt;0,"✔","-")</f>
        <v>-</v>
      </c>
      <c r="AO32" s="444" t="str">
        <f>IF('Design Fee'!BR34&gt;0,"✔","-")</f>
        <v>-</v>
      </c>
      <c r="AP32" s="444" t="str">
        <f>IF('Design Fee'!BS34&gt;0,"✔","-")</f>
        <v>-</v>
      </c>
      <c r="AQ32" s="444" t="str">
        <f>IF('Design Fee'!BT34&gt;0,"✔","-")</f>
        <v>-</v>
      </c>
      <c r="AR32" s="445"/>
      <c r="AS32" s="441"/>
      <c r="AT32" s="442"/>
      <c r="AU32" s="443" t="str">
        <f>IF('Design Fee'!CQ34&gt;0,"✔","-")</f>
        <v>-</v>
      </c>
      <c r="AV32" s="443" t="str">
        <f>IF('Design Fee'!CR34&gt;0,"✔","-")</f>
        <v>-</v>
      </c>
      <c r="AW32" s="458" t="str">
        <f>IF('Design Fee'!CS34&gt;0,"✔","-")</f>
        <v>-</v>
      </c>
      <c r="AX32" s="444" t="str">
        <f>IF('Design Fee'!CT34&gt;0,"✔","-")</f>
        <v>-</v>
      </c>
      <c r="AY32" s="444" t="str">
        <f>IF('Design Fee'!CU34&gt;0,"✔","-")</f>
        <v>-</v>
      </c>
      <c r="AZ32" s="444" t="str">
        <f>IF('Design Fee'!CV34&gt;0,"✔","-")</f>
        <v>-</v>
      </c>
      <c r="BA32" s="444" t="str">
        <f>IF('Design Fee'!CW34&gt;0,"✔","-")</f>
        <v>-</v>
      </c>
      <c r="BB32" s="444" t="str">
        <f>IF('Design Fee'!CX34&gt;0,"✔","-")</f>
        <v>-</v>
      </c>
      <c r="BC32" s="445"/>
      <c r="BD32" s="444" t="str">
        <f>IF('Design Fee'!CZ34&gt;0,"✔","-")</f>
        <v>-</v>
      </c>
      <c r="BE32" s="444" t="str">
        <f>IF('Design Fee'!DA34&gt;0,"✔","-")</f>
        <v>-</v>
      </c>
      <c r="BF32" s="444" t="str">
        <f>IF('Design Fee'!DB34&gt;0,"✔","-")</f>
        <v>-</v>
      </c>
      <c r="BG32" s="444" t="str">
        <f>IF('Design Fee'!DC34&gt;0,"✔","-")</f>
        <v>-</v>
      </c>
      <c r="BH32" s="444" t="str">
        <f>IF('Design Fee'!DD34&gt;0,"✔","-")</f>
        <v>-</v>
      </c>
      <c r="BI32" s="445"/>
      <c r="BJ32" s="441"/>
      <c r="BK32" s="442"/>
      <c r="BL32" s="443" t="str">
        <f>IF('Design Fee'!EA34&gt;0,"✔","-")</f>
        <v>-</v>
      </c>
      <c r="BM32" s="443" t="str">
        <f>IF('Design Fee'!EB34&gt;0,"✔","-")</f>
        <v>-</v>
      </c>
      <c r="BN32" s="458" t="str">
        <f>IF('Design Fee'!EC34&gt;0,"✔","-")</f>
        <v>-</v>
      </c>
      <c r="BO32" s="444" t="str">
        <f>IF('Design Fee'!ED34&gt;0,"✔","-")</f>
        <v>-</v>
      </c>
      <c r="BP32" s="444" t="str">
        <f>IF('Design Fee'!EE34&gt;0,"✔","-")</f>
        <v>-</v>
      </c>
      <c r="BQ32" s="444" t="str">
        <f>IF('Design Fee'!EF34&gt;0,"✔","-")</f>
        <v>-</v>
      </c>
      <c r="BR32" s="444" t="str">
        <f>IF('Design Fee'!EG34&gt;0,"✔","-")</f>
        <v>-</v>
      </c>
      <c r="BS32" s="444" t="str">
        <f>IF('Design Fee'!EH34&gt;0,"✔","-")</f>
        <v>-</v>
      </c>
      <c r="BT32" s="383"/>
      <c r="BU32" s="444" t="str">
        <f>IF('Design Fee'!EJ34&gt;0,"✔","-")</f>
        <v>-</v>
      </c>
      <c r="BV32" s="444" t="str">
        <f>IF('Design Fee'!EK34&gt;0,"✔","-")</f>
        <v>-</v>
      </c>
      <c r="BW32" s="444" t="str">
        <f>IF('Design Fee'!EL34&gt;0,"✔","-")</f>
        <v>-</v>
      </c>
      <c r="BX32" s="444" t="str">
        <f>IF('Design Fee'!EM34&gt;0,"✔","-")</f>
        <v>-</v>
      </c>
      <c r="BY32" s="444" t="str">
        <f>IF('Design Fee'!EN34&gt;0,"✔","-")</f>
        <v>-</v>
      </c>
      <c r="BZ32" s="383"/>
    </row>
    <row r="33" spans="2:78" ht="13.35" customHeight="1" outlineLevel="2">
      <c r="B33" s="439"/>
      <c r="C33" s="439">
        <v>5</v>
      </c>
      <c r="D33" s="440" t="s">
        <v>39</v>
      </c>
      <c r="E33" s="383"/>
      <c r="F33" s="443"/>
      <c r="G33" s="458"/>
      <c r="H33" s="458"/>
      <c r="I33" s="444"/>
      <c r="J33" s="453"/>
      <c r="K33" s="441"/>
      <c r="L33" s="442"/>
      <c r="M33" s="443" t="str">
        <f>IF('Design Fee'!W35&gt;0,"✔","-")</f>
        <v>-</v>
      </c>
      <c r="N33" s="443" t="str">
        <f>IF('Design Fee'!X35&gt;0,"✔","-")</f>
        <v>-</v>
      </c>
      <c r="O33" s="458" t="str">
        <f>IF('Design Fee'!Y35&gt;0,"✔","-")</f>
        <v>-</v>
      </c>
      <c r="P33" s="444" t="str">
        <f>IF('Design Fee'!Z35&gt;0,"✔","-")</f>
        <v>-</v>
      </c>
      <c r="Q33" s="444" t="str">
        <f>IF('Design Fee'!AA35&gt;0,"✔","-")</f>
        <v>-</v>
      </c>
      <c r="R33" s="444" t="str">
        <f>IF('Design Fee'!AB35&gt;0,"✔","-")</f>
        <v>-</v>
      </c>
      <c r="S33" s="444" t="str">
        <f>IF('Design Fee'!AC35&gt;0,"✔","-")</f>
        <v>-</v>
      </c>
      <c r="T33" s="444" t="str">
        <f>IF('Design Fee'!AD35&gt;0,"✔","-")</f>
        <v>-</v>
      </c>
      <c r="U33" s="453"/>
      <c r="V33" s="444" t="str">
        <f>IF('Design Fee'!AF35&gt;0,"✔","-")</f>
        <v>-</v>
      </c>
      <c r="W33" s="444" t="str">
        <f>IF('Design Fee'!AG35&gt;0,"✔","-")</f>
        <v>-</v>
      </c>
      <c r="X33" s="444" t="str">
        <f>IF('Design Fee'!AH35&gt;0,"✔","-")</f>
        <v>-</v>
      </c>
      <c r="Y33" s="444" t="str">
        <f>IF('Design Fee'!AI35&gt;0,"✔","-")</f>
        <v>-</v>
      </c>
      <c r="Z33" s="444" t="str">
        <f>IF('Design Fee'!AJ35&gt;0,"✔","-")</f>
        <v>-</v>
      </c>
      <c r="AA33" s="453"/>
      <c r="AB33" s="441"/>
      <c r="AC33" s="442"/>
      <c r="AD33" s="443" t="str">
        <f>IF('Design Fee'!BG35&gt;0,"✔","-")</f>
        <v>-</v>
      </c>
      <c r="AE33" s="443" t="str">
        <f>IF('Design Fee'!BH35&gt;0,"✔","-")</f>
        <v>-</v>
      </c>
      <c r="AF33" s="458" t="str">
        <f>IF('Design Fee'!BI35&gt;0,"✔","-")</f>
        <v>-</v>
      </c>
      <c r="AG33" s="444" t="str">
        <f>IF('Design Fee'!BJ35&gt;0,"✔","-")</f>
        <v>-</v>
      </c>
      <c r="AH33" s="444" t="str">
        <f>IF('Design Fee'!BK35&gt;0,"✔","-")</f>
        <v>-</v>
      </c>
      <c r="AI33" s="444" t="str">
        <f>IF('Design Fee'!BL35&gt;0,"✔","-")</f>
        <v>-</v>
      </c>
      <c r="AJ33" s="444" t="str">
        <f>IF('Design Fee'!BM35&gt;0,"✔","-")</f>
        <v>-</v>
      </c>
      <c r="AK33" s="444" t="str">
        <f>IF('Design Fee'!BN35&gt;0,"✔","-")</f>
        <v>-</v>
      </c>
      <c r="AL33" s="445"/>
      <c r="AM33" s="444" t="str">
        <f>IF('Design Fee'!BP35&gt;0,"✔","-")</f>
        <v>-</v>
      </c>
      <c r="AN33" s="444" t="str">
        <f>IF('Design Fee'!BQ35&gt;0,"✔","-")</f>
        <v>-</v>
      </c>
      <c r="AO33" s="444" t="str">
        <f>IF('Design Fee'!BR35&gt;0,"✔","-")</f>
        <v>-</v>
      </c>
      <c r="AP33" s="444" t="str">
        <f>IF('Design Fee'!BS35&gt;0,"✔","-")</f>
        <v>-</v>
      </c>
      <c r="AQ33" s="444" t="str">
        <f>IF('Design Fee'!BT35&gt;0,"✔","-")</f>
        <v>-</v>
      </c>
      <c r="AR33" s="445"/>
      <c r="AS33" s="441"/>
      <c r="AT33" s="442"/>
      <c r="AU33" s="443" t="str">
        <f>IF('Design Fee'!CQ35&gt;0,"✔","-")</f>
        <v>-</v>
      </c>
      <c r="AV33" s="443" t="str">
        <f>IF('Design Fee'!CR35&gt;0,"✔","-")</f>
        <v>-</v>
      </c>
      <c r="AW33" s="458" t="str">
        <f>IF('Design Fee'!CS35&gt;0,"✔","-")</f>
        <v>-</v>
      </c>
      <c r="AX33" s="444" t="str">
        <f>IF('Design Fee'!CT35&gt;0,"✔","-")</f>
        <v>-</v>
      </c>
      <c r="AY33" s="444" t="str">
        <f>IF('Design Fee'!CU35&gt;0,"✔","-")</f>
        <v>-</v>
      </c>
      <c r="AZ33" s="444" t="str">
        <f>IF('Design Fee'!CV35&gt;0,"✔","-")</f>
        <v>-</v>
      </c>
      <c r="BA33" s="444" t="str">
        <f>IF('Design Fee'!CW35&gt;0,"✔","-")</f>
        <v>-</v>
      </c>
      <c r="BB33" s="444" t="str">
        <f>IF('Design Fee'!CX35&gt;0,"✔","-")</f>
        <v>-</v>
      </c>
      <c r="BC33" s="445"/>
      <c r="BD33" s="444" t="str">
        <f>IF('Design Fee'!CZ35&gt;0,"✔","-")</f>
        <v>-</v>
      </c>
      <c r="BE33" s="444" t="str">
        <f>IF('Design Fee'!DA35&gt;0,"✔","-")</f>
        <v>-</v>
      </c>
      <c r="BF33" s="444" t="str">
        <f>IF('Design Fee'!DB35&gt;0,"✔","-")</f>
        <v>-</v>
      </c>
      <c r="BG33" s="444" t="str">
        <f>IF('Design Fee'!DC35&gt;0,"✔","-")</f>
        <v>-</v>
      </c>
      <c r="BH33" s="444" t="str">
        <f>IF('Design Fee'!DD35&gt;0,"✔","-")</f>
        <v>-</v>
      </c>
      <c r="BI33" s="445"/>
      <c r="BJ33" s="441"/>
      <c r="BK33" s="442"/>
      <c r="BL33" s="443" t="str">
        <f>IF('Design Fee'!EA35&gt;0,"✔","-")</f>
        <v>-</v>
      </c>
      <c r="BM33" s="443" t="str">
        <f>IF('Design Fee'!EB35&gt;0,"✔","-")</f>
        <v>-</v>
      </c>
      <c r="BN33" s="458" t="str">
        <f>IF('Design Fee'!EC35&gt;0,"✔","-")</f>
        <v>-</v>
      </c>
      <c r="BO33" s="444" t="str">
        <f>IF('Design Fee'!ED35&gt;0,"✔","-")</f>
        <v>-</v>
      </c>
      <c r="BP33" s="444" t="str">
        <f>IF('Design Fee'!EE35&gt;0,"✔","-")</f>
        <v>-</v>
      </c>
      <c r="BQ33" s="444" t="str">
        <f>IF('Design Fee'!EF35&gt;0,"✔","-")</f>
        <v>-</v>
      </c>
      <c r="BR33" s="444" t="str">
        <f>IF('Design Fee'!EG35&gt;0,"✔","-")</f>
        <v>-</v>
      </c>
      <c r="BS33" s="444" t="str">
        <f>IF('Design Fee'!EH35&gt;0,"✔","-")</f>
        <v>-</v>
      </c>
      <c r="BT33" s="383"/>
      <c r="BU33" s="444" t="str">
        <f>IF('Design Fee'!EJ35&gt;0,"✔","-")</f>
        <v>-</v>
      </c>
      <c r="BV33" s="444" t="str">
        <f>IF('Design Fee'!EK35&gt;0,"✔","-")</f>
        <v>-</v>
      </c>
      <c r="BW33" s="444" t="str">
        <f>IF('Design Fee'!EL35&gt;0,"✔","-")</f>
        <v>-</v>
      </c>
      <c r="BX33" s="444" t="str">
        <f>IF('Design Fee'!EM35&gt;0,"✔","-")</f>
        <v>-</v>
      </c>
      <c r="BY33" s="444" t="str">
        <f>IF('Design Fee'!EN35&gt;0,"✔","-")</f>
        <v>-</v>
      </c>
      <c r="BZ33" s="383"/>
    </row>
    <row r="34" spans="2:78" ht="13.35" customHeight="1" outlineLevel="2">
      <c r="B34" s="439"/>
      <c r="C34" s="439">
        <v>6</v>
      </c>
      <c r="D34" s="440" t="s">
        <v>40</v>
      </c>
      <c r="E34" s="383"/>
      <c r="F34" s="443"/>
      <c r="G34" s="458"/>
      <c r="H34" s="458"/>
      <c r="I34" s="444"/>
      <c r="J34" s="430"/>
      <c r="K34" s="441"/>
      <c r="L34" s="442"/>
      <c r="M34" s="443" t="str">
        <f>IF('Design Fee'!W36&gt;0,"✔","-")</f>
        <v>-</v>
      </c>
      <c r="N34" s="443" t="str">
        <f>IF('Design Fee'!X36&gt;0,"✔","-")</f>
        <v>-</v>
      </c>
      <c r="O34" s="458" t="str">
        <f>IF('Design Fee'!Y36&gt;0,"✔","-")</f>
        <v>-</v>
      </c>
      <c r="P34" s="444" t="str">
        <f>IF('Design Fee'!Z36&gt;0,"✔","-")</f>
        <v>-</v>
      </c>
      <c r="Q34" s="444" t="str">
        <f>IF('Design Fee'!AA36&gt;0,"✔","-")</f>
        <v>-</v>
      </c>
      <c r="R34" s="444" t="str">
        <f>IF('Design Fee'!AB36&gt;0,"✔","-")</f>
        <v>-</v>
      </c>
      <c r="S34" s="444" t="str">
        <f>IF('Design Fee'!AC36&gt;0,"✔","-")</f>
        <v>-</v>
      </c>
      <c r="T34" s="444" t="str">
        <f>IF('Design Fee'!AD36&gt;0,"✔","-")</f>
        <v>-</v>
      </c>
      <c r="U34" s="430"/>
      <c r="V34" s="444" t="str">
        <f>IF('Design Fee'!AF36&gt;0,"✔","-")</f>
        <v>-</v>
      </c>
      <c r="W34" s="444" t="str">
        <f>IF('Design Fee'!AG36&gt;0,"✔","-")</f>
        <v>-</v>
      </c>
      <c r="X34" s="444" t="str">
        <f>IF('Design Fee'!AH36&gt;0,"✔","-")</f>
        <v>-</v>
      </c>
      <c r="Y34" s="444" t="str">
        <f>IF('Design Fee'!AI36&gt;0,"✔","-")</f>
        <v>-</v>
      </c>
      <c r="Z34" s="444" t="str">
        <f>IF('Design Fee'!AJ36&gt;0,"✔","-")</f>
        <v>-</v>
      </c>
      <c r="AA34" s="430"/>
      <c r="AB34" s="441"/>
      <c r="AC34" s="442"/>
      <c r="AD34" s="443" t="str">
        <f>IF('Design Fee'!BG36&gt;0,"✔","-")</f>
        <v>-</v>
      </c>
      <c r="AE34" s="443" t="str">
        <f>IF('Design Fee'!BH36&gt;0,"✔","-")</f>
        <v>-</v>
      </c>
      <c r="AF34" s="458" t="str">
        <f>IF('Design Fee'!BI36&gt;0,"✔","-")</f>
        <v>-</v>
      </c>
      <c r="AG34" s="444" t="str">
        <f>IF('Design Fee'!BJ36&gt;0,"✔","-")</f>
        <v>-</v>
      </c>
      <c r="AH34" s="444" t="str">
        <f>IF('Design Fee'!BK36&gt;0,"✔","-")</f>
        <v>-</v>
      </c>
      <c r="AI34" s="444" t="str">
        <f>IF('Design Fee'!BL36&gt;0,"✔","-")</f>
        <v>-</v>
      </c>
      <c r="AJ34" s="444" t="str">
        <f>IF('Design Fee'!BM36&gt;0,"✔","-")</f>
        <v>-</v>
      </c>
      <c r="AK34" s="444" t="str">
        <f>IF('Design Fee'!BN36&gt;0,"✔","-")</f>
        <v>-</v>
      </c>
      <c r="AL34" s="445"/>
      <c r="AM34" s="444" t="str">
        <f>IF('Design Fee'!BP36&gt;0,"✔","-")</f>
        <v>-</v>
      </c>
      <c r="AN34" s="444" t="str">
        <f>IF('Design Fee'!BQ36&gt;0,"✔","-")</f>
        <v>-</v>
      </c>
      <c r="AO34" s="444" t="str">
        <f>IF('Design Fee'!BR36&gt;0,"✔","-")</f>
        <v>-</v>
      </c>
      <c r="AP34" s="444" t="str">
        <f>IF('Design Fee'!BS36&gt;0,"✔","-")</f>
        <v>-</v>
      </c>
      <c r="AQ34" s="444" t="str">
        <f>IF('Design Fee'!BT36&gt;0,"✔","-")</f>
        <v>-</v>
      </c>
      <c r="AR34" s="445"/>
      <c r="AS34" s="441"/>
      <c r="AT34" s="442"/>
      <c r="AU34" s="443" t="str">
        <f>IF('Design Fee'!CQ36&gt;0,"✔","-")</f>
        <v>-</v>
      </c>
      <c r="AV34" s="443" t="str">
        <f>IF('Design Fee'!CR36&gt;0,"✔","-")</f>
        <v>-</v>
      </c>
      <c r="AW34" s="458" t="str">
        <f>IF('Design Fee'!CS36&gt;0,"✔","-")</f>
        <v>-</v>
      </c>
      <c r="AX34" s="444" t="str">
        <f>IF('Design Fee'!CT36&gt;0,"✔","-")</f>
        <v>-</v>
      </c>
      <c r="AY34" s="444" t="str">
        <f>IF('Design Fee'!CU36&gt;0,"✔","-")</f>
        <v>-</v>
      </c>
      <c r="AZ34" s="444" t="str">
        <f>IF('Design Fee'!CV36&gt;0,"✔","-")</f>
        <v>-</v>
      </c>
      <c r="BA34" s="444" t="str">
        <f>IF('Design Fee'!CW36&gt;0,"✔","-")</f>
        <v>-</v>
      </c>
      <c r="BB34" s="444" t="str">
        <f>IF('Design Fee'!CX36&gt;0,"✔","-")</f>
        <v>-</v>
      </c>
      <c r="BC34" s="445"/>
      <c r="BD34" s="444" t="str">
        <f>IF('Design Fee'!CZ36&gt;0,"✔","-")</f>
        <v>-</v>
      </c>
      <c r="BE34" s="444" t="str">
        <f>IF('Design Fee'!DA36&gt;0,"✔","-")</f>
        <v>-</v>
      </c>
      <c r="BF34" s="444" t="str">
        <f>IF('Design Fee'!DB36&gt;0,"✔","-")</f>
        <v>-</v>
      </c>
      <c r="BG34" s="444" t="str">
        <f>IF('Design Fee'!DC36&gt;0,"✔","-")</f>
        <v>-</v>
      </c>
      <c r="BH34" s="444" t="str">
        <f>IF('Design Fee'!DD36&gt;0,"✔","-")</f>
        <v>-</v>
      </c>
      <c r="BI34" s="445"/>
      <c r="BJ34" s="441"/>
      <c r="BK34" s="442"/>
      <c r="BL34" s="443" t="str">
        <f>IF('Design Fee'!EA36&gt;0,"✔","-")</f>
        <v>-</v>
      </c>
      <c r="BM34" s="443" t="str">
        <f>IF('Design Fee'!EB36&gt;0,"✔","-")</f>
        <v>-</v>
      </c>
      <c r="BN34" s="458" t="str">
        <f>IF('Design Fee'!EC36&gt;0,"✔","-")</f>
        <v>-</v>
      </c>
      <c r="BO34" s="444" t="str">
        <f>IF('Design Fee'!ED36&gt;0,"✔","-")</f>
        <v>-</v>
      </c>
      <c r="BP34" s="444" t="str">
        <f>IF('Design Fee'!EE36&gt;0,"✔","-")</f>
        <v>-</v>
      </c>
      <c r="BQ34" s="444" t="str">
        <f>IF('Design Fee'!EF36&gt;0,"✔","-")</f>
        <v>-</v>
      </c>
      <c r="BR34" s="444" t="str">
        <f>IF('Design Fee'!EG36&gt;0,"✔","-")</f>
        <v>-</v>
      </c>
      <c r="BS34" s="444" t="str">
        <f>IF('Design Fee'!EH36&gt;0,"✔","-")</f>
        <v>-</v>
      </c>
      <c r="BT34" s="383"/>
      <c r="BU34" s="444" t="str">
        <f>IF('Design Fee'!EJ36&gt;0,"✔","-")</f>
        <v>-</v>
      </c>
      <c r="BV34" s="444" t="str">
        <f>IF('Design Fee'!EK36&gt;0,"✔","-")</f>
        <v>-</v>
      </c>
      <c r="BW34" s="444" t="str">
        <f>IF('Design Fee'!EL36&gt;0,"✔","-")</f>
        <v>-</v>
      </c>
      <c r="BX34" s="444" t="str">
        <f>IF('Design Fee'!EM36&gt;0,"✔","-")</f>
        <v>-</v>
      </c>
      <c r="BY34" s="444" t="str">
        <f>IF('Design Fee'!EN36&gt;0,"✔","-")</f>
        <v>-</v>
      </c>
      <c r="BZ34" s="383"/>
    </row>
    <row r="35" spans="2:78" ht="13.35" customHeight="1" outlineLevel="2">
      <c r="B35" s="439"/>
      <c r="C35" s="439">
        <v>7</v>
      </c>
      <c r="D35" s="440" t="s">
        <v>41</v>
      </c>
      <c r="E35" s="383"/>
      <c r="F35" s="443"/>
      <c r="G35" s="458"/>
      <c r="H35" s="458"/>
      <c r="I35" s="444"/>
      <c r="J35" s="430"/>
      <c r="K35" s="441"/>
      <c r="L35" s="442"/>
      <c r="M35" s="443" t="str">
        <f>IF('Design Fee'!W37&gt;0,"✔","-")</f>
        <v>-</v>
      </c>
      <c r="N35" s="443" t="str">
        <f>IF('Design Fee'!X37&gt;0,"✔","-")</f>
        <v>-</v>
      </c>
      <c r="O35" s="458" t="str">
        <f>IF('Design Fee'!Y37&gt;0,"✔","-")</f>
        <v>-</v>
      </c>
      <c r="P35" s="444" t="str">
        <f>IF('Design Fee'!Z37&gt;0,"✔","-")</f>
        <v>-</v>
      </c>
      <c r="Q35" s="444" t="str">
        <f>IF('Design Fee'!AA37&gt;0,"✔","-")</f>
        <v>-</v>
      </c>
      <c r="R35" s="444" t="str">
        <f>IF('Design Fee'!AB37&gt;0,"✔","-")</f>
        <v>-</v>
      </c>
      <c r="S35" s="444" t="str">
        <f>IF('Design Fee'!AC37&gt;0,"✔","-")</f>
        <v>-</v>
      </c>
      <c r="T35" s="444" t="str">
        <f>IF('Design Fee'!AD37&gt;0,"✔","-")</f>
        <v>-</v>
      </c>
      <c r="U35" s="430"/>
      <c r="V35" s="444" t="str">
        <f>IF('Design Fee'!AF37&gt;0,"✔","-")</f>
        <v>-</v>
      </c>
      <c r="W35" s="444" t="str">
        <f>IF('Design Fee'!AG37&gt;0,"✔","-")</f>
        <v>-</v>
      </c>
      <c r="X35" s="444" t="str">
        <f>IF('Design Fee'!AH37&gt;0,"✔","-")</f>
        <v>-</v>
      </c>
      <c r="Y35" s="444" t="str">
        <f>IF('Design Fee'!AI37&gt;0,"✔","-")</f>
        <v>-</v>
      </c>
      <c r="Z35" s="444" t="str">
        <f>IF('Design Fee'!AJ37&gt;0,"✔","-")</f>
        <v>-</v>
      </c>
      <c r="AA35" s="430"/>
      <c r="AB35" s="441"/>
      <c r="AC35" s="442"/>
      <c r="AD35" s="443" t="str">
        <f>IF('Design Fee'!BG37&gt;0,"✔","-")</f>
        <v>-</v>
      </c>
      <c r="AE35" s="443" t="str">
        <f>IF('Design Fee'!BH37&gt;0,"✔","-")</f>
        <v>-</v>
      </c>
      <c r="AF35" s="458" t="str">
        <f>IF('Design Fee'!BI37&gt;0,"✔","-")</f>
        <v>-</v>
      </c>
      <c r="AG35" s="444" t="str">
        <f>IF('Design Fee'!BJ37&gt;0,"✔","-")</f>
        <v>-</v>
      </c>
      <c r="AH35" s="444" t="str">
        <f>IF('Design Fee'!BK37&gt;0,"✔","-")</f>
        <v>-</v>
      </c>
      <c r="AI35" s="444" t="str">
        <f>IF('Design Fee'!BL37&gt;0,"✔","-")</f>
        <v>-</v>
      </c>
      <c r="AJ35" s="444" t="str">
        <f>IF('Design Fee'!BM37&gt;0,"✔","-")</f>
        <v>-</v>
      </c>
      <c r="AK35" s="444" t="str">
        <f>IF('Design Fee'!BN37&gt;0,"✔","-")</f>
        <v>-</v>
      </c>
      <c r="AL35" s="445"/>
      <c r="AM35" s="444" t="str">
        <f>IF('Design Fee'!BP37&gt;0,"✔","-")</f>
        <v>-</v>
      </c>
      <c r="AN35" s="444" t="str">
        <f>IF('Design Fee'!BQ37&gt;0,"✔","-")</f>
        <v>-</v>
      </c>
      <c r="AO35" s="444" t="str">
        <f>IF('Design Fee'!BR37&gt;0,"✔","-")</f>
        <v>-</v>
      </c>
      <c r="AP35" s="444" t="str">
        <f>IF('Design Fee'!BS37&gt;0,"✔","-")</f>
        <v>-</v>
      </c>
      <c r="AQ35" s="444" t="str">
        <f>IF('Design Fee'!BT37&gt;0,"✔","-")</f>
        <v>-</v>
      </c>
      <c r="AR35" s="445"/>
      <c r="AS35" s="441"/>
      <c r="AT35" s="442"/>
      <c r="AU35" s="443" t="str">
        <f>IF('Design Fee'!CQ37&gt;0,"✔","-")</f>
        <v>-</v>
      </c>
      <c r="AV35" s="443" t="str">
        <f>IF('Design Fee'!CR37&gt;0,"✔","-")</f>
        <v>-</v>
      </c>
      <c r="AW35" s="458" t="str">
        <f>IF('Design Fee'!CS37&gt;0,"✔","-")</f>
        <v>-</v>
      </c>
      <c r="AX35" s="444" t="str">
        <f>IF('Design Fee'!CT37&gt;0,"✔","-")</f>
        <v>-</v>
      </c>
      <c r="AY35" s="444" t="str">
        <f>IF('Design Fee'!CU37&gt;0,"✔","-")</f>
        <v>-</v>
      </c>
      <c r="AZ35" s="444" t="str">
        <f>IF('Design Fee'!CV37&gt;0,"✔","-")</f>
        <v>-</v>
      </c>
      <c r="BA35" s="444" t="str">
        <f>IF('Design Fee'!CW37&gt;0,"✔","-")</f>
        <v>-</v>
      </c>
      <c r="BB35" s="444" t="str">
        <f>IF('Design Fee'!CX37&gt;0,"✔","-")</f>
        <v>-</v>
      </c>
      <c r="BC35" s="445"/>
      <c r="BD35" s="444" t="str">
        <f>IF('Design Fee'!CZ37&gt;0,"✔","-")</f>
        <v>-</v>
      </c>
      <c r="BE35" s="444" t="str">
        <f>IF('Design Fee'!DA37&gt;0,"✔","-")</f>
        <v>-</v>
      </c>
      <c r="BF35" s="444" t="str">
        <f>IF('Design Fee'!DB37&gt;0,"✔","-")</f>
        <v>-</v>
      </c>
      <c r="BG35" s="444" t="str">
        <f>IF('Design Fee'!DC37&gt;0,"✔","-")</f>
        <v>-</v>
      </c>
      <c r="BH35" s="444" t="str">
        <f>IF('Design Fee'!DD37&gt;0,"✔","-")</f>
        <v>-</v>
      </c>
      <c r="BI35" s="445"/>
      <c r="BJ35" s="441"/>
      <c r="BK35" s="442"/>
      <c r="BL35" s="443" t="str">
        <f>IF('Design Fee'!EA37&gt;0,"✔","-")</f>
        <v>-</v>
      </c>
      <c r="BM35" s="443" t="str">
        <f>IF('Design Fee'!EB37&gt;0,"✔","-")</f>
        <v>-</v>
      </c>
      <c r="BN35" s="458" t="str">
        <f>IF('Design Fee'!EC37&gt;0,"✔","-")</f>
        <v>-</v>
      </c>
      <c r="BO35" s="444" t="str">
        <f>IF('Design Fee'!ED37&gt;0,"✔","-")</f>
        <v>-</v>
      </c>
      <c r="BP35" s="444" t="str">
        <f>IF('Design Fee'!EE37&gt;0,"✔","-")</f>
        <v>-</v>
      </c>
      <c r="BQ35" s="444" t="str">
        <f>IF('Design Fee'!EF37&gt;0,"✔","-")</f>
        <v>-</v>
      </c>
      <c r="BR35" s="444" t="str">
        <f>IF('Design Fee'!EG37&gt;0,"✔","-")</f>
        <v>-</v>
      </c>
      <c r="BS35" s="444" t="str">
        <f>IF('Design Fee'!EH37&gt;0,"✔","-")</f>
        <v>-</v>
      </c>
      <c r="BT35" s="383"/>
      <c r="BU35" s="444" t="str">
        <f>IF('Design Fee'!EJ37&gt;0,"✔","-")</f>
        <v>-</v>
      </c>
      <c r="BV35" s="444" t="str">
        <f>IF('Design Fee'!EK37&gt;0,"✔","-")</f>
        <v>-</v>
      </c>
      <c r="BW35" s="444" t="str">
        <f>IF('Design Fee'!EL37&gt;0,"✔","-")</f>
        <v>-</v>
      </c>
      <c r="BX35" s="444" t="str">
        <f>IF('Design Fee'!EM37&gt;0,"✔","-")</f>
        <v>-</v>
      </c>
      <c r="BY35" s="444" t="str">
        <f>IF('Design Fee'!EN37&gt;0,"✔","-")</f>
        <v>-</v>
      </c>
      <c r="BZ35" s="383"/>
    </row>
    <row r="36" spans="2:78" ht="3" customHeight="1" outlineLevel="1">
      <c r="B36" s="384"/>
      <c r="C36" s="384"/>
      <c r="D36" s="383"/>
      <c r="E36" s="383"/>
      <c r="F36" s="408"/>
      <c r="G36" s="421"/>
      <c r="H36" s="421"/>
      <c r="I36" s="421"/>
      <c r="J36" s="430"/>
      <c r="K36" s="441"/>
      <c r="L36" s="442"/>
      <c r="M36" s="443"/>
      <c r="N36" s="443"/>
      <c r="O36" s="458"/>
      <c r="P36" s="444"/>
      <c r="Q36" s="444"/>
      <c r="R36" s="444"/>
      <c r="S36" s="444"/>
      <c r="T36" s="444"/>
      <c r="U36" s="430"/>
      <c r="V36" s="444"/>
      <c r="W36" s="444"/>
      <c r="X36" s="444"/>
      <c r="Y36" s="444"/>
      <c r="Z36" s="444"/>
      <c r="AA36" s="430"/>
      <c r="AB36" s="441"/>
      <c r="AC36" s="442"/>
      <c r="AD36" s="443"/>
      <c r="AE36" s="443"/>
      <c r="AF36" s="421"/>
      <c r="AG36" s="421"/>
      <c r="AH36" s="421"/>
      <c r="AI36" s="421"/>
      <c r="AJ36" s="421"/>
      <c r="AK36" s="421"/>
      <c r="AL36" s="421"/>
      <c r="AM36" s="421"/>
      <c r="AN36" s="421"/>
      <c r="AO36" s="421"/>
      <c r="AP36" s="421"/>
      <c r="AQ36" s="421"/>
      <c r="AR36" s="421"/>
      <c r="AS36" s="441"/>
      <c r="AT36" s="421"/>
      <c r="AU36" s="443"/>
      <c r="AV36" s="443"/>
      <c r="AW36" s="421"/>
      <c r="AX36" s="421"/>
      <c r="AY36" s="421"/>
      <c r="AZ36" s="421"/>
      <c r="BA36" s="421"/>
      <c r="BB36" s="421"/>
      <c r="BC36" s="421"/>
      <c r="BD36" s="421"/>
      <c r="BE36" s="421"/>
      <c r="BF36" s="421"/>
      <c r="BG36" s="421"/>
      <c r="BH36" s="421"/>
      <c r="BI36" s="421"/>
      <c r="BJ36" s="441"/>
      <c r="BK36" s="421"/>
      <c r="BL36" s="443"/>
      <c r="BM36" s="443"/>
      <c r="BN36" s="421"/>
      <c r="BO36" s="421"/>
      <c r="BP36" s="421"/>
      <c r="BQ36" s="421"/>
      <c r="BR36" s="421"/>
      <c r="BS36" s="421"/>
      <c r="BT36" s="383"/>
      <c r="BU36" s="421"/>
      <c r="BV36" s="421"/>
      <c r="BW36" s="421"/>
      <c r="BX36" s="421"/>
      <c r="BY36" s="421"/>
      <c r="BZ36" s="383"/>
    </row>
    <row r="37" spans="2:78" ht="14.25" outlineLevel="1">
      <c r="B37" s="431">
        <v>4</v>
      </c>
      <c r="C37" s="432">
        <v>5</v>
      </c>
      <c r="D37" s="433" t="s">
        <v>42</v>
      </c>
      <c r="E37" s="434"/>
      <c r="F37" s="436">
        <f>COUNTIF(M37,"✔")+COUNTIF(AD37,"✔")+COUNTIF(BL37,"✔")+COUNTIF(AU37,"✔")</f>
        <v>2</v>
      </c>
      <c r="G37" s="436">
        <f>COUNTIF(N37,"✔")+COUNTIF(AE37,"✔")+COUNTIF(BM37,"✔")+COUNTIF(AV37,"✔")</f>
        <v>2</v>
      </c>
      <c r="H37" s="436">
        <f>COUNTIF(O37,"✔")+COUNTIF(AF37,"✔")+COUNTIF(BN37,"✔")+COUNTIF(AW37,"✔")</f>
        <v>2</v>
      </c>
      <c r="I37" s="437">
        <f>F37-G37</f>
        <v>0</v>
      </c>
      <c r="J37" s="456"/>
      <c r="K37" s="436"/>
      <c r="L37" s="454"/>
      <c r="M37" s="436" t="str">
        <f>IF('Design Fee'!W39&gt;0,"✔","-")</f>
        <v>✔</v>
      </c>
      <c r="N37" s="436" t="str">
        <f>IF('Design Fee'!X39&gt;0,"✔","-")</f>
        <v>✔</v>
      </c>
      <c r="O37" s="437" t="str">
        <f>IF('Design Fee'!Y39&gt;0,"✔","-")</f>
        <v>✔</v>
      </c>
      <c r="P37" s="455" t="str">
        <f>IF('Design Fee'!Z39&gt;0,"✔","-")</f>
        <v>-</v>
      </c>
      <c r="Q37" s="455" t="str">
        <f>IF('Design Fee'!AA39&gt;0,"✔","-")</f>
        <v>-</v>
      </c>
      <c r="R37" s="455" t="str">
        <f>IF('Design Fee'!AB39&gt;0,"✔","-")</f>
        <v>-</v>
      </c>
      <c r="S37" s="455" t="str">
        <f>IF('Design Fee'!AC39&gt;0,"✔","-")</f>
        <v>-</v>
      </c>
      <c r="T37" s="455" t="str">
        <f>IF('Design Fee'!AD39&gt;0,"✔","-")</f>
        <v>-</v>
      </c>
      <c r="U37" s="456"/>
      <c r="V37" s="455" t="str">
        <f>IF('Design Fee'!AF39&gt;0,"✔","-")</f>
        <v>-</v>
      </c>
      <c r="W37" s="455" t="str">
        <f>IF('Design Fee'!AG39&gt;0,"✔","-")</f>
        <v>-</v>
      </c>
      <c r="X37" s="455" t="str">
        <f>IF('Design Fee'!AH39&gt;0,"✔","-")</f>
        <v>-</v>
      </c>
      <c r="Y37" s="455" t="str">
        <f>IF('Design Fee'!AI39&gt;0,"✔","-")</f>
        <v>-</v>
      </c>
      <c r="Z37" s="455" t="str">
        <f>IF('Design Fee'!AJ39&gt;0,"✔","-")</f>
        <v>-</v>
      </c>
      <c r="AA37" s="456"/>
      <c r="AB37" s="436" t="str">
        <f>AD37</f>
        <v>-</v>
      </c>
      <c r="AC37" s="454"/>
      <c r="AD37" s="436" t="str">
        <f>IF('Design Fee'!BG39&gt;0,"✔","-")</f>
        <v>-</v>
      </c>
      <c r="AE37" s="436" t="str">
        <f>IF('Design Fee'!BH39&gt;0,"✔","-")</f>
        <v>-</v>
      </c>
      <c r="AF37" s="437" t="str">
        <f>IF('Design Fee'!BI39&gt;0,"✔","-")</f>
        <v>-</v>
      </c>
      <c r="AG37" s="455" t="str">
        <f>IF('Design Fee'!BJ39&gt;0,"✔","-")</f>
        <v>-</v>
      </c>
      <c r="AH37" s="455" t="str">
        <f>IF('Design Fee'!BK39&gt;0,"✔","-")</f>
        <v>-</v>
      </c>
      <c r="AI37" s="455" t="str">
        <f>IF('Design Fee'!BL39&gt;0,"✔","-")</f>
        <v>-</v>
      </c>
      <c r="AJ37" s="455" t="str">
        <f>IF('Design Fee'!BM39&gt;0,"✔","-")</f>
        <v>-</v>
      </c>
      <c r="AK37" s="455" t="str">
        <f>IF('Design Fee'!BN39&gt;0,"✔","-")</f>
        <v>-</v>
      </c>
      <c r="AL37" s="457"/>
      <c r="AM37" s="455" t="str">
        <f>IF('Design Fee'!BP39&gt;0,"✔","-")</f>
        <v>-</v>
      </c>
      <c r="AN37" s="455" t="str">
        <f>IF('Design Fee'!BQ39&gt;0,"✔","-")</f>
        <v>-</v>
      </c>
      <c r="AO37" s="455" t="str">
        <f>IF('Design Fee'!BR39&gt;0,"✔","-")</f>
        <v>-</v>
      </c>
      <c r="AP37" s="455" t="str">
        <f>IF('Design Fee'!BS39&gt;0,"✔","-")</f>
        <v>-</v>
      </c>
      <c r="AQ37" s="455" t="str">
        <f>IF('Design Fee'!BT39&gt;0,"✔","-")</f>
        <v>-</v>
      </c>
      <c r="AR37" s="457"/>
      <c r="AS37" s="436" t="str">
        <f>AU37</f>
        <v>-</v>
      </c>
      <c r="AT37" s="454"/>
      <c r="AU37" s="436" t="str">
        <f>IF('Design Fee'!CQ39&gt;0,"✔","-")</f>
        <v>-</v>
      </c>
      <c r="AV37" s="436" t="str">
        <f>IF('Design Fee'!CR39&gt;0,"✔","-")</f>
        <v>-</v>
      </c>
      <c r="AW37" s="437" t="str">
        <f>IF('Design Fee'!CS39&gt;0,"✔","-")</f>
        <v>-</v>
      </c>
      <c r="AX37" s="455" t="str">
        <f>IF('Design Fee'!CT39&gt;0,"✔","-")</f>
        <v>-</v>
      </c>
      <c r="AY37" s="455" t="str">
        <f>IF('Design Fee'!CU39&gt;0,"✔","-")</f>
        <v>-</v>
      </c>
      <c r="AZ37" s="455" t="str">
        <f>IF('Design Fee'!CV39&gt;0,"✔","-")</f>
        <v>-</v>
      </c>
      <c r="BA37" s="455" t="str">
        <f>IF('Design Fee'!CW39&gt;0,"✔","-")</f>
        <v>-</v>
      </c>
      <c r="BB37" s="455" t="str">
        <f>IF('Design Fee'!CX39&gt;0,"✔","-")</f>
        <v>-</v>
      </c>
      <c r="BC37" s="457"/>
      <c r="BD37" s="455" t="str">
        <f>IF('Design Fee'!CZ39&gt;0,"✔","-")</f>
        <v>-</v>
      </c>
      <c r="BE37" s="455" t="str">
        <f>IF('Design Fee'!DA39&gt;0,"✔","-")</f>
        <v>-</v>
      </c>
      <c r="BF37" s="455" t="str">
        <f>IF('Design Fee'!DB39&gt;0,"✔","-")</f>
        <v>-</v>
      </c>
      <c r="BG37" s="455" t="str">
        <f>IF('Design Fee'!DC39&gt;0,"✔","-")</f>
        <v>-</v>
      </c>
      <c r="BH37" s="455" t="str">
        <f>IF('Design Fee'!DD39&gt;0,"✔","-")</f>
        <v>-</v>
      </c>
      <c r="BI37" s="457"/>
      <c r="BJ37" s="436" t="str">
        <f>BL37</f>
        <v>✔</v>
      </c>
      <c r="BK37" s="454"/>
      <c r="BL37" s="436" t="str">
        <f>IF('Design Fee'!EA39&gt;0,"✔","-")</f>
        <v>✔</v>
      </c>
      <c r="BM37" s="436" t="str">
        <f>IF('Design Fee'!EB39&gt;0,"✔","-")</f>
        <v>✔</v>
      </c>
      <c r="BN37" s="437" t="str">
        <f>IF('Design Fee'!EC39&gt;0,"✔","-")</f>
        <v>✔</v>
      </c>
      <c r="BO37" s="455" t="str">
        <f>IF('Design Fee'!ED39&gt;0,"✔","-")</f>
        <v>-</v>
      </c>
      <c r="BP37" s="455" t="str">
        <f>IF('Design Fee'!EE39&gt;0,"✔","-")</f>
        <v>-</v>
      </c>
      <c r="BQ37" s="455" t="str">
        <f>IF('Design Fee'!EF39&gt;0,"✔","-")</f>
        <v>-</v>
      </c>
      <c r="BR37" s="455" t="str">
        <f>IF('Design Fee'!EG39&gt;0,"✔","-")</f>
        <v>-</v>
      </c>
      <c r="BS37" s="455" t="str">
        <f>IF('Design Fee'!EH39&gt;0,"✔","-")</f>
        <v>-</v>
      </c>
      <c r="BT37" s="383"/>
      <c r="BU37" s="455" t="str">
        <f>IF('Design Fee'!EJ39&gt;0,"✔","-")</f>
        <v>-</v>
      </c>
      <c r="BV37" s="455" t="str">
        <f>IF('Design Fee'!EK39&gt;0,"✔","-")</f>
        <v>-</v>
      </c>
      <c r="BW37" s="455" t="str">
        <f>IF('Design Fee'!EL39&gt;0,"✔","-")</f>
        <v>-</v>
      </c>
      <c r="BX37" s="455" t="str">
        <f>IF('Design Fee'!EM39&gt;0,"✔","-")</f>
        <v>-</v>
      </c>
      <c r="BY37" s="455" t="str">
        <f>IF('Design Fee'!EN39&gt;0,"✔","-")</f>
        <v>-</v>
      </c>
      <c r="BZ37" s="383"/>
    </row>
    <row r="38" spans="2:78" ht="13.35" customHeight="1" outlineLevel="2">
      <c r="B38" s="439"/>
      <c r="C38" s="439">
        <v>1</v>
      </c>
      <c r="D38" s="440" t="s">
        <v>43</v>
      </c>
      <c r="E38" s="383"/>
      <c r="F38" s="443"/>
      <c r="G38" s="444"/>
      <c r="H38" s="444"/>
      <c r="I38" s="444"/>
      <c r="J38" s="430"/>
      <c r="K38" s="441"/>
      <c r="L38" s="442"/>
      <c r="M38" s="443" t="str">
        <f>IF('Design Fee'!W40&gt;0,"✔","-")</f>
        <v>-</v>
      </c>
      <c r="N38" s="443" t="str">
        <f>IF('Design Fee'!X40&gt;0,"✔","-")</f>
        <v>-</v>
      </c>
      <c r="O38" s="444" t="str">
        <f>IF('Design Fee'!Y40&gt;0,"✔","-")</f>
        <v>-</v>
      </c>
      <c r="P38" s="444" t="str">
        <f>IF('Design Fee'!Z40&gt;0,"✔","-")</f>
        <v>-</v>
      </c>
      <c r="Q38" s="444" t="str">
        <f>IF('Design Fee'!AA40&gt;0,"✔","-")</f>
        <v>-</v>
      </c>
      <c r="R38" s="444" t="str">
        <f>IF('Design Fee'!AB40&gt;0,"✔","-")</f>
        <v>-</v>
      </c>
      <c r="S38" s="444" t="str">
        <f>IF('Design Fee'!AC40&gt;0,"✔","-")</f>
        <v>-</v>
      </c>
      <c r="T38" s="444" t="str">
        <f>IF('Design Fee'!AD40&gt;0,"✔","-")</f>
        <v>-</v>
      </c>
      <c r="U38" s="430"/>
      <c r="V38" s="444" t="str">
        <f>IF('Design Fee'!AF40&gt;0,"✔","-")</f>
        <v>-</v>
      </c>
      <c r="W38" s="444" t="str">
        <f>IF('Design Fee'!AG40&gt;0,"✔","-")</f>
        <v>-</v>
      </c>
      <c r="X38" s="444" t="str">
        <f>IF('Design Fee'!AH40&gt;0,"✔","-")</f>
        <v>-</v>
      </c>
      <c r="Y38" s="444" t="str">
        <f>IF('Design Fee'!AI40&gt;0,"✔","-")</f>
        <v>-</v>
      </c>
      <c r="Z38" s="444" t="str">
        <f>IF('Design Fee'!AJ40&gt;0,"✔","-")</f>
        <v>-</v>
      </c>
      <c r="AA38" s="430"/>
      <c r="AB38" s="441"/>
      <c r="AC38" s="442"/>
      <c r="AD38" s="443" t="str">
        <f>IF('Design Fee'!BG40&gt;0,"✔","-")</f>
        <v>-</v>
      </c>
      <c r="AE38" s="443" t="str">
        <f>IF('Design Fee'!BH40&gt;0,"✔","-")</f>
        <v>-</v>
      </c>
      <c r="AF38" s="444" t="str">
        <f>IF('Design Fee'!BI40&gt;0,"✔","-")</f>
        <v>-</v>
      </c>
      <c r="AG38" s="444" t="str">
        <f>IF('Design Fee'!BJ40&gt;0,"✔","-")</f>
        <v>-</v>
      </c>
      <c r="AH38" s="444" t="str">
        <f>IF('Design Fee'!BK40&gt;0,"✔","-")</f>
        <v>-</v>
      </c>
      <c r="AI38" s="444" t="str">
        <f>IF('Design Fee'!BL40&gt;0,"✔","-")</f>
        <v>-</v>
      </c>
      <c r="AJ38" s="444" t="str">
        <f>IF('Design Fee'!BM40&gt;0,"✔","-")</f>
        <v>-</v>
      </c>
      <c r="AK38" s="444" t="str">
        <f>IF('Design Fee'!BN40&gt;0,"✔","-")</f>
        <v>-</v>
      </c>
      <c r="AL38" s="445"/>
      <c r="AM38" s="444" t="str">
        <f>IF('Design Fee'!BP40&gt;0,"✔","-")</f>
        <v>-</v>
      </c>
      <c r="AN38" s="444" t="str">
        <f>IF('Design Fee'!BQ40&gt;0,"✔","-")</f>
        <v>-</v>
      </c>
      <c r="AO38" s="444" t="str">
        <f>IF('Design Fee'!BR40&gt;0,"✔","-")</f>
        <v>-</v>
      </c>
      <c r="AP38" s="444" t="str">
        <f>IF('Design Fee'!BS40&gt;0,"✔","-")</f>
        <v>-</v>
      </c>
      <c r="AQ38" s="444" t="str">
        <f>IF('Design Fee'!BT40&gt;0,"✔","-")</f>
        <v>-</v>
      </c>
      <c r="AR38" s="445"/>
      <c r="AS38" s="441"/>
      <c r="AT38" s="442"/>
      <c r="AU38" s="443" t="str">
        <f>IF('Design Fee'!CQ40&gt;0,"✔","-")</f>
        <v>-</v>
      </c>
      <c r="AV38" s="443" t="str">
        <f>IF('Design Fee'!CR40&gt;0,"✔","-")</f>
        <v>-</v>
      </c>
      <c r="AW38" s="444" t="str">
        <f>IF('Design Fee'!CS40&gt;0,"✔","-")</f>
        <v>-</v>
      </c>
      <c r="AX38" s="444" t="str">
        <f>IF('Design Fee'!CT40&gt;0,"✔","-")</f>
        <v>-</v>
      </c>
      <c r="AY38" s="444" t="str">
        <f>IF('Design Fee'!CU40&gt;0,"✔","-")</f>
        <v>-</v>
      </c>
      <c r="AZ38" s="444" t="str">
        <f>IF('Design Fee'!CV40&gt;0,"✔","-")</f>
        <v>-</v>
      </c>
      <c r="BA38" s="444" t="str">
        <f>IF('Design Fee'!CW40&gt;0,"✔","-")</f>
        <v>-</v>
      </c>
      <c r="BB38" s="444" t="str">
        <f>IF('Design Fee'!CX40&gt;0,"✔","-")</f>
        <v>-</v>
      </c>
      <c r="BC38" s="445"/>
      <c r="BD38" s="444" t="str">
        <f>IF('Design Fee'!CZ40&gt;0,"✔","-")</f>
        <v>-</v>
      </c>
      <c r="BE38" s="444" t="str">
        <f>IF('Design Fee'!DA40&gt;0,"✔","-")</f>
        <v>-</v>
      </c>
      <c r="BF38" s="444" t="str">
        <f>IF('Design Fee'!DB40&gt;0,"✔","-")</f>
        <v>-</v>
      </c>
      <c r="BG38" s="444" t="str">
        <f>IF('Design Fee'!DC40&gt;0,"✔","-")</f>
        <v>-</v>
      </c>
      <c r="BH38" s="444" t="str">
        <f>IF('Design Fee'!DD40&gt;0,"✔","-")</f>
        <v>-</v>
      </c>
      <c r="BI38" s="445"/>
      <c r="BJ38" s="441"/>
      <c r="BK38" s="442"/>
      <c r="BL38" s="443" t="str">
        <f>IF('Design Fee'!EA40&gt;0,"✔","-")</f>
        <v>-</v>
      </c>
      <c r="BM38" s="443" t="str">
        <f>IF('Design Fee'!EB40&gt;0,"✔","-")</f>
        <v>-</v>
      </c>
      <c r="BN38" s="444" t="str">
        <f>IF('Design Fee'!EC40&gt;0,"✔","-")</f>
        <v>-</v>
      </c>
      <c r="BO38" s="444" t="str">
        <f>IF('Design Fee'!ED40&gt;0,"✔","-")</f>
        <v>-</v>
      </c>
      <c r="BP38" s="444" t="str">
        <f>IF('Design Fee'!EE40&gt;0,"✔","-")</f>
        <v>-</v>
      </c>
      <c r="BQ38" s="444" t="str">
        <f>IF('Design Fee'!EF40&gt;0,"✔","-")</f>
        <v>-</v>
      </c>
      <c r="BR38" s="444" t="str">
        <f>IF('Design Fee'!EG40&gt;0,"✔","-")</f>
        <v>-</v>
      </c>
      <c r="BS38" s="444" t="str">
        <f>IF('Design Fee'!EH40&gt;0,"✔","-")</f>
        <v>-</v>
      </c>
      <c r="BT38" s="383"/>
      <c r="BU38" s="444" t="str">
        <f>IF('Design Fee'!EJ40&gt;0,"✔","-")</f>
        <v>-</v>
      </c>
      <c r="BV38" s="444" t="str">
        <f>IF('Design Fee'!EK40&gt;0,"✔","-")</f>
        <v>-</v>
      </c>
      <c r="BW38" s="444" t="str">
        <f>IF('Design Fee'!EL40&gt;0,"✔","-")</f>
        <v>-</v>
      </c>
      <c r="BX38" s="444" t="str">
        <f>IF('Design Fee'!EM40&gt;0,"✔","-")</f>
        <v>-</v>
      </c>
      <c r="BY38" s="444" t="str">
        <f>IF('Design Fee'!EN40&gt;0,"✔","-")</f>
        <v>-</v>
      </c>
      <c r="BZ38" s="383"/>
    </row>
    <row r="39" spans="2:78" ht="13.35" customHeight="1" outlineLevel="2">
      <c r="B39" s="439"/>
      <c r="C39" s="439">
        <v>2</v>
      </c>
      <c r="D39" s="440" t="s">
        <v>32</v>
      </c>
      <c r="E39" s="383"/>
      <c r="F39" s="443"/>
      <c r="G39" s="444"/>
      <c r="H39" s="444"/>
      <c r="I39" s="444"/>
      <c r="J39" s="430"/>
      <c r="K39" s="441"/>
      <c r="L39" s="442"/>
      <c r="M39" s="443" t="str">
        <f>IF('Design Fee'!W41&gt;0,"✔","-")</f>
        <v>-</v>
      </c>
      <c r="N39" s="443" t="str">
        <f>IF('Design Fee'!X41&gt;0,"✔","-")</f>
        <v>-</v>
      </c>
      <c r="O39" s="444" t="str">
        <f>IF('Design Fee'!Y41&gt;0,"✔","-")</f>
        <v>-</v>
      </c>
      <c r="P39" s="444" t="str">
        <f>IF('Design Fee'!Z41&gt;0,"✔","-")</f>
        <v>-</v>
      </c>
      <c r="Q39" s="444" t="str">
        <f>IF('Design Fee'!AA41&gt;0,"✔","-")</f>
        <v>-</v>
      </c>
      <c r="R39" s="444" t="str">
        <f>IF('Design Fee'!AB41&gt;0,"✔","-")</f>
        <v>-</v>
      </c>
      <c r="S39" s="444" t="str">
        <f>IF('Design Fee'!AC41&gt;0,"✔","-")</f>
        <v>-</v>
      </c>
      <c r="T39" s="444" t="str">
        <f>IF('Design Fee'!AD41&gt;0,"✔","-")</f>
        <v>-</v>
      </c>
      <c r="U39" s="430"/>
      <c r="V39" s="444" t="str">
        <f>IF('Design Fee'!AF41&gt;0,"✔","-")</f>
        <v>-</v>
      </c>
      <c r="W39" s="444" t="str">
        <f>IF('Design Fee'!AG41&gt;0,"✔","-")</f>
        <v>-</v>
      </c>
      <c r="X39" s="444" t="str">
        <f>IF('Design Fee'!AH41&gt;0,"✔","-")</f>
        <v>-</v>
      </c>
      <c r="Y39" s="444" t="str">
        <f>IF('Design Fee'!AI41&gt;0,"✔","-")</f>
        <v>-</v>
      </c>
      <c r="Z39" s="444" t="str">
        <f>IF('Design Fee'!AJ41&gt;0,"✔","-")</f>
        <v>-</v>
      </c>
      <c r="AA39" s="430"/>
      <c r="AB39" s="441"/>
      <c r="AC39" s="442"/>
      <c r="AD39" s="443" t="str">
        <f>IF('Design Fee'!BG41&gt;0,"✔","-")</f>
        <v>-</v>
      </c>
      <c r="AE39" s="443" t="str">
        <f>IF('Design Fee'!BH41&gt;0,"✔","-")</f>
        <v>-</v>
      </c>
      <c r="AF39" s="444" t="str">
        <f>IF('Design Fee'!BI41&gt;0,"✔","-")</f>
        <v>-</v>
      </c>
      <c r="AG39" s="444" t="str">
        <f>IF('Design Fee'!BJ41&gt;0,"✔","-")</f>
        <v>-</v>
      </c>
      <c r="AH39" s="444" t="str">
        <f>IF('Design Fee'!BK41&gt;0,"✔","-")</f>
        <v>-</v>
      </c>
      <c r="AI39" s="444" t="str">
        <f>IF('Design Fee'!BL41&gt;0,"✔","-")</f>
        <v>-</v>
      </c>
      <c r="AJ39" s="444" t="str">
        <f>IF('Design Fee'!BM41&gt;0,"✔","-")</f>
        <v>-</v>
      </c>
      <c r="AK39" s="444" t="str">
        <f>IF('Design Fee'!BN41&gt;0,"✔","-")</f>
        <v>-</v>
      </c>
      <c r="AL39" s="445"/>
      <c r="AM39" s="444" t="str">
        <f>IF('Design Fee'!BP41&gt;0,"✔","-")</f>
        <v>-</v>
      </c>
      <c r="AN39" s="444" t="str">
        <f>IF('Design Fee'!BQ41&gt;0,"✔","-")</f>
        <v>-</v>
      </c>
      <c r="AO39" s="444" t="str">
        <f>IF('Design Fee'!BR41&gt;0,"✔","-")</f>
        <v>-</v>
      </c>
      <c r="AP39" s="444" t="str">
        <f>IF('Design Fee'!BS41&gt;0,"✔","-")</f>
        <v>-</v>
      </c>
      <c r="AQ39" s="444" t="str">
        <f>IF('Design Fee'!BT41&gt;0,"✔","-")</f>
        <v>-</v>
      </c>
      <c r="AR39" s="445"/>
      <c r="AS39" s="441"/>
      <c r="AT39" s="442"/>
      <c r="AU39" s="443" t="str">
        <f>IF('Design Fee'!CQ41&gt;0,"✔","-")</f>
        <v>-</v>
      </c>
      <c r="AV39" s="443" t="str">
        <f>IF('Design Fee'!CR41&gt;0,"✔","-")</f>
        <v>-</v>
      </c>
      <c r="AW39" s="444" t="str">
        <f>IF('Design Fee'!CS41&gt;0,"✔","-")</f>
        <v>-</v>
      </c>
      <c r="AX39" s="444" t="str">
        <f>IF('Design Fee'!CT41&gt;0,"✔","-")</f>
        <v>-</v>
      </c>
      <c r="AY39" s="444" t="str">
        <f>IF('Design Fee'!CU41&gt;0,"✔","-")</f>
        <v>-</v>
      </c>
      <c r="AZ39" s="444" t="str">
        <f>IF('Design Fee'!CV41&gt;0,"✔","-")</f>
        <v>-</v>
      </c>
      <c r="BA39" s="444" t="str">
        <f>IF('Design Fee'!CW41&gt;0,"✔","-")</f>
        <v>-</v>
      </c>
      <c r="BB39" s="444" t="str">
        <f>IF('Design Fee'!CX41&gt;0,"✔","-")</f>
        <v>-</v>
      </c>
      <c r="BC39" s="445"/>
      <c r="BD39" s="444" t="str">
        <f>IF('Design Fee'!CZ41&gt;0,"✔","-")</f>
        <v>-</v>
      </c>
      <c r="BE39" s="444" t="str">
        <f>IF('Design Fee'!DA41&gt;0,"✔","-")</f>
        <v>-</v>
      </c>
      <c r="BF39" s="444" t="str">
        <f>IF('Design Fee'!DB41&gt;0,"✔","-")</f>
        <v>-</v>
      </c>
      <c r="BG39" s="444" t="str">
        <f>IF('Design Fee'!DC41&gt;0,"✔","-")</f>
        <v>-</v>
      </c>
      <c r="BH39" s="444" t="str">
        <f>IF('Design Fee'!DD41&gt;0,"✔","-")</f>
        <v>-</v>
      </c>
      <c r="BI39" s="445"/>
      <c r="BJ39" s="441"/>
      <c r="BK39" s="442"/>
      <c r="BL39" s="443" t="str">
        <f>IF('Design Fee'!EA41&gt;0,"✔","-")</f>
        <v>-</v>
      </c>
      <c r="BM39" s="443" t="str">
        <f>IF('Design Fee'!EB41&gt;0,"✔","-")</f>
        <v>-</v>
      </c>
      <c r="BN39" s="444" t="str">
        <f>IF('Design Fee'!EC41&gt;0,"✔","-")</f>
        <v>-</v>
      </c>
      <c r="BO39" s="444" t="str">
        <f>IF('Design Fee'!ED41&gt;0,"✔","-")</f>
        <v>-</v>
      </c>
      <c r="BP39" s="444" t="str">
        <f>IF('Design Fee'!EE41&gt;0,"✔","-")</f>
        <v>-</v>
      </c>
      <c r="BQ39" s="444" t="str">
        <f>IF('Design Fee'!EF41&gt;0,"✔","-")</f>
        <v>-</v>
      </c>
      <c r="BR39" s="444" t="str">
        <f>IF('Design Fee'!EG41&gt;0,"✔","-")</f>
        <v>-</v>
      </c>
      <c r="BS39" s="444" t="str">
        <f>IF('Design Fee'!EH41&gt;0,"✔","-")</f>
        <v>-</v>
      </c>
      <c r="BT39" s="383"/>
      <c r="BU39" s="444" t="str">
        <f>IF('Design Fee'!EJ41&gt;0,"✔","-")</f>
        <v>-</v>
      </c>
      <c r="BV39" s="444" t="str">
        <f>IF('Design Fee'!EK41&gt;0,"✔","-")</f>
        <v>-</v>
      </c>
      <c r="BW39" s="444" t="str">
        <f>IF('Design Fee'!EL41&gt;0,"✔","-")</f>
        <v>-</v>
      </c>
      <c r="BX39" s="444" t="str">
        <f>IF('Design Fee'!EM41&gt;0,"✔","-")</f>
        <v>-</v>
      </c>
      <c r="BY39" s="444" t="str">
        <f>IF('Design Fee'!EN41&gt;0,"✔","-")</f>
        <v>-</v>
      </c>
      <c r="BZ39" s="383"/>
    </row>
    <row r="40" spans="2:78" ht="13.35" customHeight="1" outlineLevel="2">
      <c r="B40" s="439"/>
      <c r="C40" s="439">
        <v>3</v>
      </c>
      <c r="D40" s="440" t="s">
        <v>33</v>
      </c>
      <c r="E40" s="383"/>
      <c r="F40" s="443"/>
      <c r="G40" s="444"/>
      <c r="H40" s="444"/>
      <c r="I40" s="444"/>
      <c r="J40" s="430"/>
      <c r="K40" s="441"/>
      <c r="L40" s="442"/>
      <c r="M40" s="443" t="str">
        <f>IF('Design Fee'!W42&gt;0,"✔","-")</f>
        <v>-</v>
      </c>
      <c r="N40" s="443" t="str">
        <f>IF('Design Fee'!X42&gt;0,"✔","-")</f>
        <v>-</v>
      </c>
      <c r="O40" s="444" t="str">
        <f>IF('Design Fee'!Y42&gt;0,"✔","-")</f>
        <v>-</v>
      </c>
      <c r="P40" s="444" t="str">
        <f>IF('Design Fee'!Z42&gt;0,"✔","-")</f>
        <v>-</v>
      </c>
      <c r="Q40" s="444" t="str">
        <f>IF('Design Fee'!AA42&gt;0,"✔","-")</f>
        <v>-</v>
      </c>
      <c r="R40" s="444" t="str">
        <f>IF('Design Fee'!AB42&gt;0,"✔","-")</f>
        <v>-</v>
      </c>
      <c r="S40" s="444" t="str">
        <f>IF('Design Fee'!AC42&gt;0,"✔","-")</f>
        <v>-</v>
      </c>
      <c r="T40" s="444" t="str">
        <f>IF('Design Fee'!AD42&gt;0,"✔","-")</f>
        <v>-</v>
      </c>
      <c r="U40" s="430"/>
      <c r="V40" s="444" t="str">
        <f>IF('Design Fee'!AF42&gt;0,"✔","-")</f>
        <v>-</v>
      </c>
      <c r="W40" s="444" t="str">
        <f>IF('Design Fee'!AG42&gt;0,"✔","-")</f>
        <v>-</v>
      </c>
      <c r="X40" s="444" t="str">
        <f>IF('Design Fee'!AH42&gt;0,"✔","-")</f>
        <v>-</v>
      </c>
      <c r="Y40" s="444" t="str">
        <f>IF('Design Fee'!AI42&gt;0,"✔","-")</f>
        <v>-</v>
      </c>
      <c r="Z40" s="444" t="str">
        <f>IF('Design Fee'!AJ42&gt;0,"✔","-")</f>
        <v>-</v>
      </c>
      <c r="AA40" s="430"/>
      <c r="AB40" s="441"/>
      <c r="AC40" s="442"/>
      <c r="AD40" s="443" t="str">
        <f>IF('Design Fee'!BG42&gt;0,"✔","-")</f>
        <v>-</v>
      </c>
      <c r="AE40" s="443" t="str">
        <f>IF('Design Fee'!BH42&gt;0,"✔","-")</f>
        <v>-</v>
      </c>
      <c r="AF40" s="444" t="str">
        <f>IF('Design Fee'!BI42&gt;0,"✔","-")</f>
        <v>-</v>
      </c>
      <c r="AG40" s="444" t="str">
        <f>IF('Design Fee'!BJ42&gt;0,"✔","-")</f>
        <v>-</v>
      </c>
      <c r="AH40" s="444" t="str">
        <f>IF('Design Fee'!BK42&gt;0,"✔","-")</f>
        <v>-</v>
      </c>
      <c r="AI40" s="444" t="str">
        <f>IF('Design Fee'!BL42&gt;0,"✔","-")</f>
        <v>-</v>
      </c>
      <c r="AJ40" s="444" t="str">
        <f>IF('Design Fee'!BM42&gt;0,"✔","-")</f>
        <v>-</v>
      </c>
      <c r="AK40" s="444" t="str">
        <f>IF('Design Fee'!BN42&gt;0,"✔","-")</f>
        <v>-</v>
      </c>
      <c r="AL40" s="445"/>
      <c r="AM40" s="444" t="str">
        <f>IF('Design Fee'!BP42&gt;0,"✔","-")</f>
        <v>-</v>
      </c>
      <c r="AN40" s="444" t="str">
        <f>IF('Design Fee'!BQ42&gt;0,"✔","-")</f>
        <v>-</v>
      </c>
      <c r="AO40" s="444" t="str">
        <f>IF('Design Fee'!BR42&gt;0,"✔","-")</f>
        <v>-</v>
      </c>
      <c r="AP40" s="444" t="str">
        <f>IF('Design Fee'!BS42&gt;0,"✔","-")</f>
        <v>-</v>
      </c>
      <c r="AQ40" s="444" t="str">
        <f>IF('Design Fee'!BT42&gt;0,"✔","-")</f>
        <v>-</v>
      </c>
      <c r="AR40" s="445"/>
      <c r="AS40" s="441"/>
      <c r="AT40" s="442"/>
      <c r="AU40" s="443" t="str">
        <f>IF('Design Fee'!CQ42&gt;0,"✔","-")</f>
        <v>-</v>
      </c>
      <c r="AV40" s="443" t="str">
        <f>IF('Design Fee'!CR42&gt;0,"✔","-")</f>
        <v>-</v>
      </c>
      <c r="AW40" s="444" t="str">
        <f>IF('Design Fee'!CS42&gt;0,"✔","-")</f>
        <v>-</v>
      </c>
      <c r="AX40" s="444" t="str">
        <f>IF('Design Fee'!CT42&gt;0,"✔","-")</f>
        <v>-</v>
      </c>
      <c r="AY40" s="444" t="str">
        <f>IF('Design Fee'!CU42&gt;0,"✔","-")</f>
        <v>-</v>
      </c>
      <c r="AZ40" s="444" t="str">
        <f>IF('Design Fee'!CV42&gt;0,"✔","-")</f>
        <v>-</v>
      </c>
      <c r="BA40" s="444" t="str">
        <f>IF('Design Fee'!CW42&gt;0,"✔","-")</f>
        <v>-</v>
      </c>
      <c r="BB40" s="444" t="str">
        <f>IF('Design Fee'!CX42&gt;0,"✔","-")</f>
        <v>-</v>
      </c>
      <c r="BC40" s="445"/>
      <c r="BD40" s="444" t="str">
        <f>IF('Design Fee'!CZ42&gt;0,"✔","-")</f>
        <v>-</v>
      </c>
      <c r="BE40" s="444" t="str">
        <f>IF('Design Fee'!DA42&gt;0,"✔","-")</f>
        <v>-</v>
      </c>
      <c r="BF40" s="444" t="str">
        <f>IF('Design Fee'!DB42&gt;0,"✔","-")</f>
        <v>-</v>
      </c>
      <c r="BG40" s="444" t="str">
        <f>IF('Design Fee'!DC42&gt;0,"✔","-")</f>
        <v>-</v>
      </c>
      <c r="BH40" s="444" t="str">
        <f>IF('Design Fee'!DD42&gt;0,"✔","-")</f>
        <v>-</v>
      </c>
      <c r="BI40" s="445"/>
      <c r="BJ40" s="441"/>
      <c r="BK40" s="442"/>
      <c r="BL40" s="443" t="str">
        <f>IF('Design Fee'!EA42&gt;0,"✔","-")</f>
        <v>-</v>
      </c>
      <c r="BM40" s="443" t="str">
        <f>IF('Design Fee'!EB42&gt;0,"✔","-")</f>
        <v>-</v>
      </c>
      <c r="BN40" s="444" t="str">
        <f>IF('Design Fee'!EC42&gt;0,"✔","-")</f>
        <v>-</v>
      </c>
      <c r="BO40" s="444" t="str">
        <f>IF('Design Fee'!ED42&gt;0,"✔","-")</f>
        <v>-</v>
      </c>
      <c r="BP40" s="444" t="str">
        <f>IF('Design Fee'!EE42&gt;0,"✔","-")</f>
        <v>-</v>
      </c>
      <c r="BQ40" s="444" t="str">
        <f>IF('Design Fee'!EF42&gt;0,"✔","-")</f>
        <v>-</v>
      </c>
      <c r="BR40" s="444" t="str">
        <f>IF('Design Fee'!EG42&gt;0,"✔","-")</f>
        <v>-</v>
      </c>
      <c r="BS40" s="444" t="str">
        <f>IF('Design Fee'!EH42&gt;0,"✔","-")</f>
        <v>-</v>
      </c>
      <c r="BT40" s="383"/>
      <c r="BU40" s="444" t="str">
        <f>IF('Design Fee'!EJ42&gt;0,"✔","-")</f>
        <v>-</v>
      </c>
      <c r="BV40" s="444" t="str">
        <f>IF('Design Fee'!EK42&gt;0,"✔","-")</f>
        <v>-</v>
      </c>
      <c r="BW40" s="444" t="str">
        <f>IF('Design Fee'!EL42&gt;0,"✔","-")</f>
        <v>-</v>
      </c>
      <c r="BX40" s="444" t="str">
        <f>IF('Design Fee'!EM42&gt;0,"✔","-")</f>
        <v>-</v>
      </c>
      <c r="BY40" s="444" t="str">
        <f>IF('Design Fee'!EN42&gt;0,"✔","-")</f>
        <v>-</v>
      </c>
      <c r="BZ40" s="383"/>
    </row>
    <row r="41" spans="2:78" ht="13.35" customHeight="1" outlineLevel="2">
      <c r="B41" s="439"/>
      <c r="C41" s="439">
        <v>4</v>
      </c>
      <c r="D41" s="440" t="s">
        <v>44</v>
      </c>
      <c r="E41" s="383"/>
      <c r="F41" s="443"/>
      <c r="G41" s="444"/>
      <c r="H41" s="444"/>
      <c r="I41" s="444"/>
      <c r="J41" s="453"/>
      <c r="K41" s="441"/>
      <c r="L41" s="442"/>
      <c r="M41" s="443" t="str">
        <f>IF('Design Fee'!W43&gt;0,"✔","-")</f>
        <v>-</v>
      </c>
      <c r="N41" s="443" t="str">
        <f>IF('Design Fee'!X43&gt;0,"✔","-")</f>
        <v>-</v>
      </c>
      <c r="O41" s="444" t="str">
        <f>IF('Design Fee'!Y43&gt;0,"✔","-")</f>
        <v>-</v>
      </c>
      <c r="P41" s="444" t="str">
        <f>IF('Design Fee'!Z43&gt;0,"✔","-")</f>
        <v>-</v>
      </c>
      <c r="Q41" s="444" t="str">
        <f>IF('Design Fee'!AA43&gt;0,"✔","-")</f>
        <v>-</v>
      </c>
      <c r="R41" s="444" t="str">
        <f>IF('Design Fee'!AB43&gt;0,"✔","-")</f>
        <v>-</v>
      </c>
      <c r="S41" s="444" t="str">
        <f>IF('Design Fee'!AC43&gt;0,"✔","-")</f>
        <v>-</v>
      </c>
      <c r="T41" s="444" t="str">
        <f>IF('Design Fee'!AD43&gt;0,"✔","-")</f>
        <v>-</v>
      </c>
      <c r="U41" s="453"/>
      <c r="V41" s="444" t="str">
        <f>IF('Design Fee'!AF43&gt;0,"✔","-")</f>
        <v>-</v>
      </c>
      <c r="W41" s="444" t="str">
        <f>IF('Design Fee'!AG43&gt;0,"✔","-")</f>
        <v>-</v>
      </c>
      <c r="X41" s="444" t="str">
        <f>IF('Design Fee'!AH43&gt;0,"✔","-")</f>
        <v>-</v>
      </c>
      <c r="Y41" s="444" t="str">
        <f>IF('Design Fee'!AI43&gt;0,"✔","-")</f>
        <v>-</v>
      </c>
      <c r="Z41" s="444" t="str">
        <f>IF('Design Fee'!AJ43&gt;0,"✔","-")</f>
        <v>-</v>
      </c>
      <c r="AA41" s="453"/>
      <c r="AB41" s="441"/>
      <c r="AC41" s="442"/>
      <c r="AD41" s="443" t="str">
        <f>IF('Design Fee'!BG43&gt;0,"✔","-")</f>
        <v>-</v>
      </c>
      <c r="AE41" s="443" t="str">
        <f>IF('Design Fee'!BH43&gt;0,"✔","-")</f>
        <v>-</v>
      </c>
      <c r="AF41" s="444" t="str">
        <f>IF('Design Fee'!BI43&gt;0,"✔","-")</f>
        <v>-</v>
      </c>
      <c r="AG41" s="444" t="str">
        <f>IF('Design Fee'!BJ43&gt;0,"✔","-")</f>
        <v>-</v>
      </c>
      <c r="AH41" s="444" t="str">
        <f>IF('Design Fee'!BK43&gt;0,"✔","-")</f>
        <v>-</v>
      </c>
      <c r="AI41" s="444" t="str">
        <f>IF('Design Fee'!BL43&gt;0,"✔","-")</f>
        <v>-</v>
      </c>
      <c r="AJ41" s="444" t="str">
        <f>IF('Design Fee'!BM43&gt;0,"✔","-")</f>
        <v>-</v>
      </c>
      <c r="AK41" s="444" t="str">
        <f>IF('Design Fee'!BN43&gt;0,"✔","-")</f>
        <v>-</v>
      </c>
      <c r="AL41" s="445"/>
      <c r="AM41" s="444" t="str">
        <f>IF('Design Fee'!BP43&gt;0,"✔","-")</f>
        <v>-</v>
      </c>
      <c r="AN41" s="444" t="str">
        <f>IF('Design Fee'!BQ43&gt;0,"✔","-")</f>
        <v>-</v>
      </c>
      <c r="AO41" s="444" t="str">
        <f>IF('Design Fee'!BR43&gt;0,"✔","-")</f>
        <v>-</v>
      </c>
      <c r="AP41" s="444" t="str">
        <f>IF('Design Fee'!BS43&gt;0,"✔","-")</f>
        <v>-</v>
      </c>
      <c r="AQ41" s="444" t="str">
        <f>IF('Design Fee'!BT43&gt;0,"✔","-")</f>
        <v>-</v>
      </c>
      <c r="AR41" s="445"/>
      <c r="AS41" s="441"/>
      <c r="AT41" s="442"/>
      <c r="AU41" s="443" t="str">
        <f>IF('Design Fee'!CQ43&gt;0,"✔","-")</f>
        <v>-</v>
      </c>
      <c r="AV41" s="443" t="str">
        <f>IF('Design Fee'!CR43&gt;0,"✔","-")</f>
        <v>-</v>
      </c>
      <c r="AW41" s="444" t="str">
        <f>IF('Design Fee'!CS43&gt;0,"✔","-")</f>
        <v>-</v>
      </c>
      <c r="AX41" s="444" t="str">
        <f>IF('Design Fee'!CT43&gt;0,"✔","-")</f>
        <v>-</v>
      </c>
      <c r="AY41" s="444" t="str">
        <f>IF('Design Fee'!CU43&gt;0,"✔","-")</f>
        <v>-</v>
      </c>
      <c r="AZ41" s="444" t="str">
        <f>IF('Design Fee'!CV43&gt;0,"✔","-")</f>
        <v>-</v>
      </c>
      <c r="BA41" s="444" t="str">
        <f>IF('Design Fee'!CW43&gt;0,"✔","-")</f>
        <v>-</v>
      </c>
      <c r="BB41" s="444" t="str">
        <f>IF('Design Fee'!CX43&gt;0,"✔","-")</f>
        <v>-</v>
      </c>
      <c r="BC41" s="445"/>
      <c r="BD41" s="444" t="str">
        <f>IF('Design Fee'!CZ43&gt;0,"✔","-")</f>
        <v>-</v>
      </c>
      <c r="BE41" s="444" t="str">
        <f>IF('Design Fee'!DA43&gt;0,"✔","-")</f>
        <v>-</v>
      </c>
      <c r="BF41" s="444" t="str">
        <f>IF('Design Fee'!DB43&gt;0,"✔","-")</f>
        <v>-</v>
      </c>
      <c r="BG41" s="444" t="str">
        <f>IF('Design Fee'!DC43&gt;0,"✔","-")</f>
        <v>-</v>
      </c>
      <c r="BH41" s="444" t="str">
        <f>IF('Design Fee'!DD43&gt;0,"✔","-")</f>
        <v>-</v>
      </c>
      <c r="BI41" s="445"/>
      <c r="BJ41" s="441"/>
      <c r="BK41" s="442"/>
      <c r="BL41" s="443" t="str">
        <f>IF('Design Fee'!EA43&gt;0,"✔","-")</f>
        <v>-</v>
      </c>
      <c r="BM41" s="443" t="str">
        <f>IF('Design Fee'!EB43&gt;0,"✔","-")</f>
        <v>-</v>
      </c>
      <c r="BN41" s="444" t="str">
        <f>IF('Design Fee'!EC43&gt;0,"✔","-")</f>
        <v>-</v>
      </c>
      <c r="BO41" s="444" t="str">
        <f>IF('Design Fee'!ED43&gt;0,"✔","-")</f>
        <v>-</v>
      </c>
      <c r="BP41" s="444" t="str">
        <f>IF('Design Fee'!EE43&gt;0,"✔","-")</f>
        <v>-</v>
      </c>
      <c r="BQ41" s="444" t="str">
        <f>IF('Design Fee'!EF43&gt;0,"✔","-")</f>
        <v>-</v>
      </c>
      <c r="BR41" s="444" t="str">
        <f>IF('Design Fee'!EG43&gt;0,"✔","-")</f>
        <v>-</v>
      </c>
      <c r="BS41" s="444" t="str">
        <f>IF('Design Fee'!EH43&gt;0,"✔","-")</f>
        <v>-</v>
      </c>
      <c r="BT41" s="383"/>
      <c r="BU41" s="444" t="str">
        <f>IF('Design Fee'!EJ43&gt;0,"✔","-")</f>
        <v>-</v>
      </c>
      <c r="BV41" s="444" t="str">
        <f>IF('Design Fee'!EK43&gt;0,"✔","-")</f>
        <v>-</v>
      </c>
      <c r="BW41" s="444" t="str">
        <f>IF('Design Fee'!EL43&gt;0,"✔","-")</f>
        <v>-</v>
      </c>
      <c r="BX41" s="444" t="str">
        <f>IF('Design Fee'!EM43&gt;0,"✔","-")</f>
        <v>-</v>
      </c>
      <c r="BY41" s="444" t="str">
        <f>IF('Design Fee'!EN43&gt;0,"✔","-")</f>
        <v>-</v>
      </c>
      <c r="BZ41" s="383"/>
    </row>
    <row r="42" spans="2:78" ht="13.35" customHeight="1" outlineLevel="2">
      <c r="B42" s="439"/>
      <c r="C42" s="439">
        <v>5</v>
      </c>
      <c r="D42" s="440" t="s">
        <v>45</v>
      </c>
      <c r="E42" s="383"/>
      <c r="F42" s="443"/>
      <c r="G42" s="444"/>
      <c r="H42" s="444"/>
      <c r="I42" s="444"/>
      <c r="J42" s="453"/>
      <c r="K42" s="441"/>
      <c r="L42" s="442"/>
      <c r="M42" s="443" t="str">
        <f>IF('Design Fee'!W44&gt;0,"✔","-")</f>
        <v>-</v>
      </c>
      <c r="N42" s="443" t="str">
        <f>IF('Design Fee'!X44&gt;0,"✔","-")</f>
        <v>-</v>
      </c>
      <c r="O42" s="444" t="str">
        <f>IF('Design Fee'!Y44&gt;0,"✔","-")</f>
        <v>-</v>
      </c>
      <c r="P42" s="444" t="str">
        <f>IF('Design Fee'!Z44&gt;0,"✔","-")</f>
        <v>-</v>
      </c>
      <c r="Q42" s="444" t="str">
        <f>IF('Design Fee'!AA44&gt;0,"✔","-")</f>
        <v>-</v>
      </c>
      <c r="R42" s="444" t="str">
        <f>IF('Design Fee'!AB44&gt;0,"✔","-")</f>
        <v>-</v>
      </c>
      <c r="S42" s="444" t="str">
        <f>IF('Design Fee'!AC44&gt;0,"✔","-")</f>
        <v>-</v>
      </c>
      <c r="T42" s="444" t="str">
        <f>IF('Design Fee'!AD44&gt;0,"✔","-")</f>
        <v>-</v>
      </c>
      <c r="U42" s="453"/>
      <c r="V42" s="444" t="str">
        <f>IF('Design Fee'!AF44&gt;0,"✔","-")</f>
        <v>-</v>
      </c>
      <c r="W42" s="444" t="str">
        <f>IF('Design Fee'!AG44&gt;0,"✔","-")</f>
        <v>-</v>
      </c>
      <c r="X42" s="444" t="str">
        <f>IF('Design Fee'!AH44&gt;0,"✔","-")</f>
        <v>-</v>
      </c>
      <c r="Y42" s="444" t="str">
        <f>IF('Design Fee'!AI44&gt;0,"✔","-")</f>
        <v>-</v>
      </c>
      <c r="Z42" s="444" t="str">
        <f>IF('Design Fee'!AJ44&gt;0,"✔","-")</f>
        <v>-</v>
      </c>
      <c r="AA42" s="453"/>
      <c r="AB42" s="441"/>
      <c r="AC42" s="442"/>
      <c r="AD42" s="443" t="str">
        <f>IF('Design Fee'!BG44&gt;0,"✔","-")</f>
        <v>-</v>
      </c>
      <c r="AE42" s="443" t="str">
        <f>IF('Design Fee'!BH44&gt;0,"✔","-")</f>
        <v>-</v>
      </c>
      <c r="AF42" s="444" t="str">
        <f>IF('Design Fee'!BI44&gt;0,"✔","-")</f>
        <v>-</v>
      </c>
      <c r="AG42" s="444" t="str">
        <f>IF('Design Fee'!BJ44&gt;0,"✔","-")</f>
        <v>-</v>
      </c>
      <c r="AH42" s="444" t="str">
        <f>IF('Design Fee'!BK44&gt;0,"✔","-")</f>
        <v>-</v>
      </c>
      <c r="AI42" s="444" t="str">
        <f>IF('Design Fee'!BL44&gt;0,"✔","-")</f>
        <v>-</v>
      </c>
      <c r="AJ42" s="444" t="str">
        <f>IF('Design Fee'!BM44&gt;0,"✔","-")</f>
        <v>-</v>
      </c>
      <c r="AK42" s="444" t="str">
        <f>IF('Design Fee'!BN44&gt;0,"✔","-")</f>
        <v>-</v>
      </c>
      <c r="AL42" s="445"/>
      <c r="AM42" s="444" t="str">
        <f>IF('Design Fee'!BP44&gt;0,"✔","-")</f>
        <v>-</v>
      </c>
      <c r="AN42" s="444" t="str">
        <f>IF('Design Fee'!BQ44&gt;0,"✔","-")</f>
        <v>-</v>
      </c>
      <c r="AO42" s="444" t="str">
        <f>IF('Design Fee'!BR44&gt;0,"✔","-")</f>
        <v>-</v>
      </c>
      <c r="AP42" s="444" t="str">
        <f>IF('Design Fee'!BS44&gt;0,"✔","-")</f>
        <v>-</v>
      </c>
      <c r="AQ42" s="444" t="str">
        <f>IF('Design Fee'!BT44&gt;0,"✔","-")</f>
        <v>-</v>
      </c>
      <c r="AR42" s="445"/>
      <c r="AS42" s="441"/>
      <c r="AT42" s="442"/>
      <c r="AU42" s="443" t="str">
        <f>IF('Design Fee'!CQ44&gt;0,"✔","-")</f>
        <v>-</v>
      </c>
      <c r="AV42" s="443" t="str">
        <f>IF('Design Fee'!CR44&gt;0,"✔","-")</f>
        <v>-</v>
      </c>
      <c r="AW42" s="444" t="str">
        <f>IF('Design Fee'!CS44&gt;0,"✔","-")</f>
        <v>-</v>
      </c>
      <c r="AX42" s="444" t="str">
        <f>IF('Design Fee'!CT44&gt;0,"✔","-")</f>
        <v>-</v>
      </c>
      <c r="AY42" s="444" t="str">
        <f>IF('Design Fee'!CU44&gt;0,"✔","-")</f>
        <v>-</v>
      </c>
      <c r="AZ42" s="444" t="str">
        <f>IF('Design Fee'!CV44&gt;0,"✔","-")</f>
        <v>-</v>
      </c>
      <c r="BA42" s="444" t="str">
        <f>IF('Design Fee'!CW44&gt;0,"✔","-")</f>
        <v>-</v>
      </c>
      <c r="BB42" s="444" t="str">
        <f>IF('Design Fee'!CX44&gt;0,"✔","-")</f>
        <v>-</v>
      </c>
      <c r="BC42" s="445"/>
      <c r="BD42" s="444" t="str">
        <f>IF('Design Fee'!CZ44&gt;0,"✔","-")</f>
        <v>-</v>
      </c>
      <c r="BE42" s="444" t="str">
        <f>IF('Design Fee'!DA44&gt;0,"✔","-")</f>
        <v>-</v>
      </c>
      <c r="BF42" s="444" t="str">
        <f>IF('Design Fee'!DB44&gt;0,"✔","-")</f>
        <v>-</v>
      </c>
      <c r="BG42" s="444" t="str">
        <f>IF('Design Fee'!DC44&gt;0,"✔","-")</f>
        <v>-</v>
      </c>
      <c r="BH42" s="444" t="str">
        <f>IF('Design Fee'!DD44&gt;0,"✔","-")</f>
        <v>-</v>
      </c>
      <c r="BI42" s="445"/>
      <c r="BJ42" s="441"/>
      <c r="BK42" s="442"/>
      <c r="BL42" s="443" t="str">
        <f>IF('Design Fee'!EA44&gt;0,"✔","-")</f>
        <v>-</v>
      </c>
      <c r="BM42" s="443" t="str">
        <f>IF('Design Fee'!EB44&gt;0,"✔","-")</f>
        <v>-</v>
      </c>
      <c r="BN42" s="444" t="str">
        <f>IF('Design Fee'!EC44&gt;0,"✔","-")</f>
        <v>-</v>
      </c>
      <c r="BO42" s="444" t="str">
        <f>IF('Design Fee'!ED44&gt;0,"✔","-")</f>
        <v>-</v>
      </c>
      <c r="BP42" s="444" t="str">
        <f>IF('Design Fee'!EE44&gt;0,"✔","-")</f>
        <v>-</v>
      </c>
      <c r="BQ42" s="444" t="str">
        <f>IF('Design Fee'!EF44&gt;0,"✔","-")</f>
        <v>-</v>
      </c>
      <c r="BR42" s="444" t="str">
        <f>IF('Design Fee'!EG44&gt;0,"✔","-")</f>
        <v>-</v>
      </c>
      <c r="BS42" s="444" t="str">
        <f>IF('Design Fee'!EH44&gt;0,"✔","-")</f>
        <v>-</v>
      </c>
      <c r="BT42" s="383"/>
      <c r="BU42" s="444" t="str">
        <f>IF('Design Fee'!EJ44&gt;0,"✔","-")</f>
        <v>-</v>
      </c>
      <c r="BV42" s="444" t="str">
        <f>IF('Design Fee'!EK44&gt;0,"✔","-")</f>
        <v>-</v>
      </c>
      <c r="BW42" s="444" t="str">
        <f>IF('Design Fee'!EL44&gt;0,"✔","-")</f>
        <v>-</v>
      </c>
      <c r="BX42" s="444" t="str">
        <f>IF('Design Fee'!EM44&gt;0,"✔","-")</f>
        <v>-</v>
      </c>
      <c r="BY42" s="444" t="str">
        <f>IF('Design Fee'!EN44&gt;0,"✔","-")</f>
        <v>-</v>
      </c>
      <c r="BZ42" s="383"/>
    </row>
    <row r="43" spans="2:78" ht="13.35" customHeight="1" outlineLevel="2">
      <c r="B43" s="439"/>
      <c r="C43" s="439">
        <v>6</v>
      </c>
      <c r="D43" s="440" t="s">
        <v>46</v>
      </c>
      <c r="E43" s="383"/>
      <c r="F43" s="443"/>
      <c r="G43" s="444"/>
      <c r="H43" s="444"/>
      <c r="I43" s="444"/>
      <c r="J43" s="453"/>
      <c r="K43" s="449"/>
      <c r="L43" s="442"/>
      <c r="M43" s="443" t="str">
        <f>IF('Design Fee'!W45&gt;0,"✔","-")</f>
        <v>-</v>
      </c>
      <c r="N43" s="443" t="str">
        <f>IF('Design Fee'!X45&gt;0,"✔","-")</f>
        <v>-</v>
      </c>
      <c r="O43" s="444" t="str">
        <f>IF('Design Fee'!Y45&gt;0,"✔","-")</f>
        <v>-</v>
      </c>
      <c r="P43" s="444" t="str">
        <f>IF('Design Fee'!Z45&gt;0,"✔","-")</f>
        <v>-</v>
      </c>
      <c r="Q43" s="444" t="str">
        <f>IF('Design Fee'!AA45&gt;0,"✔","-")</f>
        <v>-</v>
      </c>
      <c r="R43" s="444" t="str">
        <f>IF('Design Fee'!AB45&gt;0,"✔","-")</f>
        <v>-</v>
      </c>
      <c r="S43" s="444" t="str">
        <f>IF('Design Fee'!AC45&gt;0,"✔","-")</f>
        <v>-</v>
      </c>
      <c r="T43" s="444" t="str">
        <f>IF('Design Fee'!AD45&gt;0,"✔","-")</f>
        <v>-</v>
      </c>
      <c r="U43" s="453"/>
      <c r="V43" s="444" t="str">
        <f>IF('Design Fee'!AF45&gt;0,"✔","-")</f>
        <v>-</v>
      </c>
      <c r="W43" s="444" t="str">
        <f>IF('Design Fee'!AG45&gt;0,"✔","-")</f>
        <v>-</v>
      </c>
      <c r="X43" s="444" t="str">
        <f>IF('Design Fee'!AH45&gt;0,"✔","-")</f>
        <v>-</v>
      </c>
      <c r="Y43" s="444" t="str">
        <f>IF('Design Fee'!AI45&gt;0,"✔","-")</f>
        <v>-</v>
      </c>
      <c r="Z43" s="444" t="str">
        <f>IF('Design Fee'!AJ45&gt;0,"✔","-")</f>
        <v>-</v>
      </c>
      <c r="AA43" s="453"/>
      <c r="AB43" s="449"/>
      <c r="AC43" s="442"/>
      <c r="AD43" s="443" t="str">
        <f>IF('Design Fee'!BG45&gt;0,"✔","-")</f>
        <v>-</v>
      </c>
      <c r="AE43" s="443" t="str">
        <f>IF('Design Fee'!BH45&gt;0,"✔","-")</f>
        <v>-</v>
      </c>
      <c r="AF43" s="444" t="str">
        <f>IF('Design Fee'!BI45&gt;0,"✔","-")</f>
        <v>-</v>
      </c>
      <c r="AG43" s="444" t="str">
        <f>IF('Design Fee'!BJ45&gt;0,"✔","-")</f>
        <v>-</v>
      </c>
      <c r="AH43" s="444" t="str">
        <f>IF('Design Fee'!BK45&gt;0,"✔","-")</f>
        <v>-</v>
      </c>
      <c r="AI43" s="444" t="str">
        <f>IF('Design Fee'!BL45&gt;0,"✔","-")</f>
        <v>-</v>
      </c>
      <c r="AJ43" s="444" t="str">
        <f>IF('Design Fee'!BM45&gt;0,"✔","-")</f>
        <v>-</v>
      </c>
      <c r="AK43" s="444" t="str">
        <f>IF('Design Fee'!BN45&gt;0,"✔","-")</f>
        <v>-</v>
      </c>
      <c r="AL43" s="445"/>
      <c r="AM43" s="444" t="str">
        <f>IF('Design Fee'!BP45&gt;0,"✔","-")</f>
        <v>-</v>
      </c>
      <c r="AN43" s="444" t="str">
        <f>IF('Design Fee'!BQ45&gt;0,"✔","-")</f>
        <v>-</v>
      </c>
      <c r="AO43" s="444" t="str">
        <f>IF('Design Fee'!BR45&gt;0,"✔","-")</f>
        <v>-</v>
      </c>
      <c r="AP43" s="444" t="str">
        <f>IF('Design Fee'!BS45&gt;0,"✔","-")</f>
        <v>-</v>
      </c>
      <c r="AQ43" s="444" t="str">
        <f>IF('Design Fee'!BT45&gt;0,"✔","-")</f>
        <v>-</v>
      </c>
      <c r="AR43" s="445"/>
      <c r="AS43" s="449"/>
      <c r="AT43" s="442"/>
      <c r="AU43" s="443" t="str">
        <f>IF('Design Fee'!CQ45&gt;0,"✔","-")</f>
        <v>-</v>
      </c>
      <c r="AV43" s="443" t="str">
        <f>IF('Design Fee'!CR45&gt;0,"✔","-")</f>
        <v>-</v>
      </c>
      <c r="AW43" s="444" t="str">
        <f>IF('Design Fee'!CS45&gt;0,"✔","-")</f>
        <v>-</v>
      </c>
      <c r="AX43" s="444" t="str">
        <f>IF('Design Fee'!CT45&gt;0,"✔","-")</f>
        <v>-</v>
      </c>
      <c r="AY43" s="444" t="str">
        <f>IF('Design Fee'!CU45&gt;0,"✔","-")</f>
        <v>-</v>
      </c>
      <c r="AZ43" s="444" t="str">
        <f>IF('Design Fee'!CV45&gt;0,"✔","-")</f>
        <v>-</v>
      </c>
      <c r="BA43" s="444" t="str">
        <f>IF('Design Fee'!CW45&gt;0,"✔","-")</f>
        <v>-</v>
      </c>
      <c r="BB43" s="444" t="str">
        <f>IF('Design Fee'!CX45&gt;0,"✔","-")</f>
        <v>-</v>
      </c>
      <c r="BC43" s="445"/>
      <c r="BD43" s="444" t="str">
        <f>IF('Design Fee'!CZ45&gt;0,"✔","-")</f>
        <v>-</v>
      </c>
      <c r="BE43" s="444" t="str">
        <f>IF('Design Fee'!DA45&gt;0,"✔","-")</f>
        <v>-</v>
      </c>
      <c r="BF43" s="444" t="str">
        <f>IF('Design Fee'!DB45&gt;0,"✔","-")</f>
        <v>-</v>
      </c>
      <c r="BG43" s="444" t="str">
        <f>IF('Design Fee'!DC45&gt;0,"✔","-")</f>
        <v>-</v>
      </c>
      <c r="BH43" s="444" t="str">
        <f>IF('Design Fee'!DD45&gt;0,"✔","-")</f>
        <v>-</v>
      </c>
      <c r="BI43" s="445"/>
      <c r="BJ43" s="449"/>
      <c r="BK43" s="442"/>
      <c r="BL43" s="443" t="str">
        <f>IF('Design Fee'!EA45&gt;0,"✔","-")</f>
        <v>-</v>
      </c>
      <c r="BM43" s="443" t="str">
        <f>IF('Design Fee'!EB45&gt;0,"✔","-")</f>
        <v>-</v>
      </c>
      <c r="BN43" s="444" t="str">
        <f>IF('Design Fee'!EC45&gt;0,"✔","-")</f>
        <v>-</v>
      </c>
      <c r="BO43" s="444" t="str">
        <f>IF('Design Fee'!ED45&gt;0,"✔","-")</f>
        <v>-</v>
      </c>
      <c r="BP43" s="444" t="str">
        <f>IF('Design Fee'!EE45&gt;0,"✔","-")</f>
        <v>-</v>
      </c>
      <c r="BQ43" s="444" t="str">
        <f>IF('Design Fee'!EF45&gt;0,"✔","-")</f>
        <v>-</v>
      </c>
      <c r="BR43" s="444" t="str">
        <f>IF('Design Fee'!EG45&gt;0,"✔","-")</f>
        <v>-</v>
      </c>
      <c r="BS43" s="444" t="str">
        <f>IF('Design Fee'!EH45&gt;0,"✔","-")</f>
        <v>-</v>
      </c>
      <c r="BT43" s="383"/>
      <c r="BU43" s="444" t="str">
        <f>IF('Design Fee'!EJ45&gt;0,"✔","-")</f>
        <v>-</v>
      </c>
      <c r="BV43" s="444" t="str">
        <f>IF('Design Fee'!EK45&gt;0,"✔","-")</f>
        <v>-</v>
      </c>
      <c r="BW43" s="444" t="str">
        <f>IF('Design Fee'!EL45&gt;0,"✔","-")</f>
        <v>-</v>
      </c>
      <c r="BX43" s="444" t="str">
        <f>IF('Design Fee'!EM45&gt;0,"✔","-")</f>
        <v>-</v>
      </c>
      <c r="BY43" s="444" t="str">
        <f>IF('Design Fee'!EN45&gt;0,"✔","-")</f>
        <v>-</v>
      </c>
      <c r="BZ43" s="383"/>
    </row>
    <row r="44" spans="2:78" ht="13.35" customHeight="1" outlineLevel="2">
      <c r="B44" s="439"/>
      <c r="C44" s="439">
        <v>7</v>
      </c>
      <c r="D44" s="440" t="s">
        <v>47</v>
      </c>
      <c r="E44" s="383"/>
      <c r="F44" s="443"/>
      <c r="G44" s="444"/>
      <c r="H44" s="444"/>
      <c r="I44" s="444"/>
      <c r="J44" s="453"/>
      <c r="K44" s="449"/>
      <c r="L44" s="442"/>
      <c r="M44" s="443" t="str">
        <f>IF('Design Fee'!W46&gt;0,"✔","-")</f>
        <v>-</v>
      </c>
      <c r="N44" s="443" t="str">
        <f>IF('Design Fee'!X46&gt;0,"✔","-")</f>
        <v>-</v>
      </c>
      <c r="O44" s="444" t="str">
        <f>IF('Design Fee'!Y46&gt;0,"✔","-")</f>
        <v>-</v>
      </c>
      <c r="P44" s="444" t="str">
        <f>IF('Design Fee'!Z46&gt;0,"✔","-")</f>
        <v>-</v>
      </c>
      <c r="Q44" s="444" t="str">
        <f>IF('Design Fee'!AA46&gt;0,"✔","-")</f>
        <v>-</v>
      </c>
      <c r="R44" s="444" t="str">
        <f>IF('Design Fee'!AB46&gt;0,"✔","-")</f>
        <v>-</v>
      </c>
      <c r="S44" s="444" t="str">
        <f>IF('Design Fee'!AC46&gt;0,"✔","-")</f>
        <v>-</v>
      </c>
      <c r="T44" s="444" t="str">
        <f>IF('Design Fee'!AD46&gt;0,"✔","-")</f>
        <v>-</v>
      </c>
      <c r="U44" s="453"/>
      <c r="V44" s="444" t="str">
        <f>IF('Design Fee'!AF46&gt;0,"✔","-")</f>
        <v>-</v>
      </c>
      <c r="W44" s="444" t="str">
        <f>IF('Design Fee'!AG46&gt;0,"✔","-")</f>
        <v>-</v>
      </c>
      <c r="X44" s="444" t="str">
        <f>IF('Design Fee'!AH46&gt;0,"✔","-")</f>
        <v>-</v>
      </c>
      <c r="Y44" s="444" t="str">
        <f>IF('Design Fee'!AI46&gt;0,"✔","-")</f>
        <v>-</v>
      </c>
      <c r="Z44" s="444" t="str">
        <f>IF('Design Fee'!AJ46&gt;0,"✔","-")</f>
        <v>-</v>
      </c>
      <c r="AA44" s="453"/>
      <c r="AB44" s="449"/>
      <c r="AC44" s="442"/>
      <c r="AD44" s="443" t="str">
        <f>IF('Design Fee'!BG46&gt;0,"✔","-")</f>
        <v>-</v>
      </c>
      <c r="AE44" s="443" t="str">
        <f>IF('Design Fee'!BH46&gt;0,"✔","-")</f>
        <v>-</v>
      </c>
      <c r="AF44" s="444" t="str">
        <f>IF('Design Fee'!BI46&gt;0,"✔","-")</f>
        <v>-</v>
      </c>
      <c r="AG44" s="444" t="str">
        <f>IF('Design Fee'!BJ46&gt;0,"✔","-")</f>
        <v>-</v>
      </c>
      <c r="AH44" s="444" t="str">
        <f>IF('Design Fee'!BK46&gt;0,"✔","-")</f>
        <v>-</v>
      </c>
      <c r="AI44" s="444" t="str">
        <f>IF('Design Fee'!BL46&gt;0,"✔","-")</f>
        <v>-</v>
      </c>
      <c r="AJ44" s="444" t="str">
        <f>IF('Design Fee'!BM46&gt;0,"✔","-")</f>
        <v>-</v>
      </c>
      <c r="AK44" s="444" t="str">
        <f>IF('Design Fee'!BN46&gt;0,"✔","-")</f>
        <v>-</v>
      </c>
      <c r="AL44" s="445"/>
      <c r="AM44" s="444" t="str">
        <f>IF('Design Fee'!BP46&gt;0,"✔","-")</f>
        <v>-</v>
      </c>
      <c r="AN44" s="444" t="str">
        <f>IF('Design Fee'!BQ46&gt;0,"✔","-")</f>
        <v>-</v>
      </c>
      <c r="AO44" s="444" t="str">
        <f>IF('Design Fee'!BR46&gt;0,"✔","-")</f>
        <v>-</v>
      </c>
      <c r="AP44" s="444" t="str">
        <f>IF('Design Fee'!BS46&gt;0,"✔","-")</f>
        <v>-</v>
      </c>
      <c r="AQ44" s="444" t="str">
        <f>IF('Design Fee'!BT46&gt;0,"✔","-")</f>
        <v>-</v>
      </c>
      <c r="AR44" s="445"/>
      <c r="AS44" s="449"/>
      <c r="AT44" s="442"/>
      <c r="AU44" s="443" t="str">
        <f>IF('Design Fee'!CQ46&gt;0,"✔","-")</f>
        <v>-</v>
      </c>
      <c r="AV44" s="443" t="str">
        <f>IF('Design Fee'!CR46&gt;0,"✔","-")</f>
        <v>-</v>
      </c>
      <c r="AW44" s="444" t="str">
        <f>IF('Design Fee'!CS46&gt;0,"✔","-")</f>
        <v>-</v>
      </c>
      <c r="AX44" s="444" t="str">
        <f>IF('Design Fee'!CT46&gt;0,"✔","-")</f>
        <v>-</v>
      </c>
      <c r="AY44" s="444" t="str">
        <f>IF('Design Fee'!CU46&gt;0,"✔","-")</f>
        <v>-</v>
      </c>
      <c r="AZ44" s="444" t="str">
        <f>IF('Design Fee'!CV46&gt;0,"✔","-")</f>
        <v>-</v>
      </c>
      <c r="BA44" s="444" t="str">
        <f>IF('Design Fee'!CW46&gt;0,"✔","-")</f>
        <v>-</v>
      </c>
      <c r="BB44" s="444" t="str">
        <f>IF('Design Fee'!CX46&gt;0,"✔","-")</f>
        <v>-</v>
      </c>
      <c r="BC44" s="445"/>
      <c r="BD44" s="444" t="str">
        <f>IF('Design Fee'!CZ46&gt;0,"✔","-")</f>
        <v>-</v>
      </c>
      <c r="BE44" s="444" t="str">
        <f>IF('Design Fee'!DA46&gt;0,"✔","-")</f>
        <v>-</v>
      </c>
      <c r="BF44" s="444" t="str">
        <f>IF('Design Fee'!DB46&gt;0,"✔","-")</f>
        <v>-</v>
      </c>
      <c r="BG44" s="444" t="str">
        <f>IF('Design Fee'!DC46&gt;0,"✔","-")</f>
        <v>-</v>
      </c>
      <c r="BH44" s="444" t="str">
        <f>IF('Design Fee'!DD46&gt;0,"✔","-")</f>
        <v>-</v>
      </c>
      <c r="BI44" s="445"/>
      <c r="BJ44" s="449"/>
      <c r="BK44" s="442"/>
      <c r="BL44" s="443" t="str">
        <f>IF('Design Fee'!EA46&gt;0,"✔","-")</f>
        <v>-</v>
      </c>
      <c r="BM44" s="443" t="str">
        <f>IF('Design Fee'!EB46&gt;0,"✔","-")</f>
        <v>-</v>
      </c>
      <c r="BN44" s="444" t="str">
        <f>IF('Design Fee'!EC46&gt;0,"✔","-")</f>
        <v>-</v>
      </c>
      <c r="BO44" s="444" t="str">
        <f>IF('Design Fee'!ED46&gt;0,"✔","-")</f>
        <v>-</v>
      </c>
      <c r="BP44" s="444" t="str">
        <f>IF('Design Fee'!EE46&gt;0,"✔","-")</f>
        <v>-</v>
      </c>
      <c r="BQ44" s="444" t="str">
        <f>IF('Design Fee'!EF46&gt;0,"✔","-")</f>
        <v>-</v>
      </c>
      <c r="BR44" s="444" t="str">
        <f>IF('Design Fee'!EG46&gt;0,"✔","-")</f>
        <v>-</v>
      </c>
      <c r="BS44" s="444" t="str">
        <f>IF('Design Fee'!EH46&gt;0,"✔","-")</f>
        <v>-</v>
      </c>
      <c r="BT44" s="383"/>
      <c r="BU44" s="444" t="str">
        <f>IF('Design Fee'!EJ46&gt;0,"✔","-")</f>
        <v>-</v>
      </c>
      <c r="BV44" s="444" t="str">
        <f>IF('Design Fee'!EK46&gt;0,"✔","-")</f>
        <v>-</v>
      </c>
      <c r="BW44" s="444" t="str">
        <f>IF('Design Fee'!EL46&gt;0,"✔","-")</f>
        <v>-</v>
      </c>
      <c r="BX44" s="444" t="str">
        <f>IF('Design Fee'!EM46&gt;0,"✔","-")</f>
        <v>-</v>
      </c>
      <c r="BY44" s="444" t="str">
        <f>IF('Design Fee'!EN46&gt;0,"✔","-")</f>
        <v>-</v>
      </c>
      <c r="BZ44" s="383"/>
    </row>
    <row r="45" spans="2:78" ht="13.35" customHeight="1" outlineLevel="2">
      <c r="B45" s="439"/>
      <c r="C45" s="439">
        <v>8</v>
      </c>
      <c r="D45" s="440" t="s">
        <v>48</v>
      </c>
      <c r="E45" s="383"/>
      <c r="F45" s="443"/>
      <c r="G45" s="444"/>
      <c r="H45" s="444"/>
      <c r="I45" s="444"/>
      <c r="J45" s="453"/>
      <c r="K45" s="449"/>
      <c r="L45" s="442"/>
      <c r="M45" s="443" t="str">
        <f>IF('Design Fee'!W47&gt;0,"✔","-")</f>
        <v>-</v>
      </c>
      <c r="N45" s="443" t="str">
        <f>IF('Design Fee'!X47&gt;0,"✔","-")</f>
        <v>-</v>
      </c>
      <c r="O45" s="444" t="str">
        <f>IF('Design Fee'!Y47&gt;0,"✔","-")</f>
        <v>-</v>
      </c>
      <c r="P45" s="444" t="str">
        <f>IF('Design Fee'!Z47&gt;0,"✔","-")</f>
        <v>-</v>
      </c>
      <c r="Q45" s="444" t="str">
        <f>IF('Design Fee'!AA47&gt;0,"✔","-")</f>
        <v>-</v>
      </c>
      <c r="R45" s="444" t="str">
        <f>IF('Design Fee'!AB47&gt;0,"✔","-")</f>
        <v>-</v>
      </c>
      <c r="S45" s="444" t="str">
        <f>IF('Design Fee'!AC47&gt;0,"✔","-")</f>
        <v>-</v>
      </c>
      <c r="T45" s="444" t="str">
        <f>IF('Design Fee'!AD47&gt;0,"✔","-")</f>
        <v>-</v>
      </c>
      <c r="U45" s="453"/>
      <c r="V45" s="444" t="str">
        <f>IF('Design Fee'!AF47&gt;0,"✔","-")</f>
        <v>-</v>
      </c>
      <c r="W45" s="444" t="str">
        <f>IF('Design Fee'!AG47&gt;0,"✔","-")</f>
        <v>-</v>
      </c>
      <c r="X45" s="444" t="str">
        <f>IF('Design Fee'!AH47&gt;0,"✔","-")</f>
        <v>-</v>
      </c>
      <c r="Y45" s="444" t="str">
        <f>IF('Design Fee'!AI47&gt;0,"✔","-")</f>
        <v>-</v>
      </c>
      <c r="Z45" s="444" t="str">
        <f>IF('Design Fee'!AJ47&gt;0,"✔","-")</f>
        <v>-</v>
      </c>
      <c r="AA45" s="453"/>
      <c r="AB45" s="449"/>
      <c r="AC45" s="442"/>
      <c r="AD45" s="443" t="str">
        <f>IF('Design Fee'!BG47&gt;0,"✔","-")</f>
        <v>-</v>
      </c>
      <c r="AE45" s="443" t="str">
        <f>IF('Design Fee'!BH47&gt;0,"✔","-")</f>
        <v>-</v>
      </c>
      <c r="AF45" s="444" t="str">
        <f>IF('Design Fee'!BI47&gt;0,"✔","-")</f>
        <v>-</v>
      </c>
      <c r="AG45" s="444" t="str">
        <f>IF('Design Fee'!BJ47&gt;0,"✔","-")</f>
        <v>-</v>
      </c>
      <c r="AH45" s="444" t="str">
        <f>IF('Design Fee'!BK47&gt;0,"✔","-")</f>
        <v>-</v>
      </c>
      <c r="AI45" s="444" t="str">
        <f>IF('Design Fee'!BL47&gt;0,"✔","-")</f>
        <v>-</v>
      </c>
      <c r="AJ45" s="444" t="str">
        <f>IF('Design Fee'!BM47&gt;0,"✔","-")</f>
        <v>-</v>
      </c>
      <c r="AK45" s="444" t="str">
        <f>IF('Design Fee'!BN47&gt;0,"✔","-")</f>
        <v>-</v>
      </c>
      <c r="AL45" s="445"/>
      <c r="AM45" s="444" t="str">
        <f>IF('Design Fee'!BP47&gt;0,"✔","-")</f>
        <v>-</v>
      </c>
      <c r="AN45" s="444" t="str">
        <f>IF('Design Fee'!BQ47&gt;0,"✔","-")</f>
        <v>-</v>
      </c>
      <c r="AO45" s="444" t="str">
        <f>IF('Design Fee'!BR47&gt;0,"✔","-")</f>
        <v>-</v>
      </c>
      <c r="AP45" s="444" t="str">
        <f>IF('Design Fee'!BS47&gt;0,"✔","-")</f>
        <v>-</v>
      </c>
      <c r="AQ45" s="444" t="str">
        <f>IF('Design Fee'!BT47&gt;0,"✔","-")</f>
        <v>-</v>
      </c>
      <c r="AR45" s="445"/>
      <c r="AS45" s="449"/>
      <c r="AT45" s="442"/>
      <c r="AU45" s="443" t="str">
        <f>IF('Design Fee'!CQ47&gt;0,"✔","-")</f>
        <v>-</v>
      </c>
      <c r="AV45" s="443" t="str">
        <f>IF('Design Fee'!CR47&gt;0,"✔","-")</f>
        <v>-</v>
      </c>
      <c r="AW45" s="444" t="str">
        <f>IF('Design Fee'!CS47&gt;0,"✔","-")</f>
        <v>-</v>
      </c>
      <c r="AX45" s="444" t="str">
        <f>IF('Design Fee'!CT47&gt;0,"✔","-")</f>
        <v>-</v>
      </c>
      <c r="AY45" s="444" t="str">
        <f>IF('Design Fee'!CU47&gt;0,"✔","-")</f>
        <v>-</v>
      </c>
      <c r="AZ45" s="444" t="str">
        <f>IF('Design Fee'!CV47&gt;0,"✔","-")</f>
        <v>-</v>
      </c>
      <c r="BA45" s="444" t="str">
        <f>IF('Design Fee'!CW47&gt;0,"✔","-")</f>
        <v>-</v>
      </c>
      <c r="BB45" s="444" t="str">
        <f>IF('Design Fee'!CX47&gt;0,"✔","-")</f>
        <v>-</v>
      </c>
      <c r="BC45" s="445"/>
      <c r="BD45" s="444" t="str">
        <f>IF('Design Fee'!CZ47&gt;0,"✔","-")</f>
        <v>-</v>
      </c>
      <c r="BE45" s="444" t="str">
        <f>IF('Design Fee'!DA47&gt;0,"✔","-")</f>
        <v>-</v>
      </c>
      <c r="BF45" s="444" t="str">
        <f>IF('Design Fee'!DB47&gt;0,"✔","-")</f>
        <v>-</v>
      </c>
      <c r="BG45" s="444" t="str">
        <f>IF('Design Fee'!DC47&gt;0,"✔","-")</f>
        <v>-</v>
      </c>
      <c r="BH45" s="444" t="str">
        <f>IF('Design Fee'!DD47&gt;0,"✔","-")</f>
        <v>-</v>
      </c>
      <c r="BI45" s="445"/>
      <c r="BJ45" s="449"/>
      <c r="BK45" s="442"/>
      <c r="BL45" s="443" t="str">
        <f>IF('Design Fee'!EA47&gt;0,"✔","-")</f>
        <v>-</v>
      </c>
      <c r="BM45" s="443" t="str">
        <f>IF('Design Fee'!EB47&gt;0,"✔","-")</f>
        <v>-</v>
      </c>
      <c r="BN45" s="444" t="str">
        <f>IF('Design Fee'!EC47&gt;0,"✔","-")</f>
        <v>-</v>
      </c>
      <c r="BO45" s="444" t="str">
        <f>IF('Design Fee'!ED47&gt;0,"✔","-")</f>
        <v>-</v>
      </c>
      <c r="BP45" s="444" t="str">
        <f>IF('Design Fee'!EE47&gt;0,"✔","-")</f>
        <v>-</v>
      </c>
      <c r="BQ45" s="444" t="str">
        <f>IF('Design Fee'!EF47&gt;0,"✔","-")</f>
        <v>-</v>
      </c>
      <c r="BR45" s="444" t="str">
        <f>IF('Design Fee'!EG47&gt;0,"✔","-")</f>
        <v>-</v>
      </c>
      <c r="BS45" s="444" t="str">
        <f>IF('Design Fee'!EH47&gt;0,"✔","-")</f>
        <v>-</v>
      </c>
      <c r="BT45" s="383"/>
      <c r="BU45" s="444" t="str">
        <f>IF('Design Fee'!EJ47&gt;0,"✔","-")</f>
        <v>-</v>
      </c>
      <c r="BV45" s="444" t="str">
        <f>IF('Design Fee'!EK47&gt;0,"✔","-")</f>
        <v>-</v>
      </c>
      <c r="BW45" s="444" t="str">
        <f>IF('Design Fee'!EL47&gt;0,"✔","-")</f>
        <v>-</v>
      </c>
      <c r="BX45" s="444" t="str">
        <f>IF('Design Fee'!EM47&gt;0,"✔","-")</f>
        <v>-</v>
      </c>
      <c r="BY45" s="444" t="str">
        <f>IF('Design Fee'!EN47&gt;0,"✔","-")</f>
        <v>-</v>
      </c>
      <c r="BZ45" s="383"/>
    </row>
    <row r="46" spans="2:78" ht="3" customHeight="1">
      <c r="B46" s="384"/>
      <c r="C46" s="439"/>
      <c r="D46" s="383"/>
      <c r="E46" s="383"/>
      <c r="F46" s="408"/>
      <c r="G46" s="421"/>
      <c r="H46" s="421"/>
      <c r="I46" s="421"/>
      <c r="J46" s="430"/>
      <c r="K46" s="441"/>
      <c r="L46" s="442"/>
      <c r="M46" s="443"/>
      <c r="N46" s="443"/>
      <c r="O46" s="444"/>
      <c r="P46" s="444"/>
      <c r="Q46" s="444"/>
      <c r="R46" s="444"/>
      <c r="S46" s="444"/>
      <c r="T46" s="444"/>
      <c r="U46" s="430"/>
      <c r="V46" s="444"/>
      <c r="W46" s="444"/>
      <c r="X46" s="444"/>
      <c r="Y46" s="444"/>
      <c r="Z46" s="444"/>
      <c r="AA46" s="430"/>
      <c r="AB46" s="441"/>
      <c r="AC46" s="442"/>
      <c r="AD46" s="443"/>
      <c r="AE46" s="443"/>
      <c r="AF46" s="421"/>
      <c r="AG46" s="421"/>
      <c r="AH46" s="421"/>
      <c r="AI46" s="421"/>
      <c r="AJ46" s="421"/>
      <c r="AK46" s="421"/>
      <c r="AL46" s="421"/>
      <c r="AM46" s="421"/>
      <c r="AN46" s="421"/>
      <c r="AO46" s="421"/>
      <c r="AP46" s="421"/>
      <c r="AQ46" s="421"/>
      <c r="AR46" s="421"/>
      <c r="AS46" s="441"/>
      <c r="AT46" s="421"/>
      <c r="AU46" s="443"/>
      <c r="AV46" s="443"/>
      <c r="AW46" s="421"/>
      <c r="AX46" s="421"/>
      <c r="AY46" s="421"/>
      <c r="AZ46" s="421"/>
      <c r="BA46" s="421"/>
      <c r="BB46" s="421"/>
      <c r="BC46" s="421"/>
      <c r="BD46" s="421"/>
      <c r="BE46" s="421"/>
      <c r="BF46" s="421"/>
      <c r="BG46" s="421"/>
      <c r="BH46" s="421"/>
      <c r="BI46" s="421"/>
      <c r="BJ46" s="441"/>
      <c r="BK46" s="421"/>
      <c r="BL46" s="443"/>
      <c r="BM46" s="443"/>
      <c r="BN46" s="421"/>
      <c r="BO46" s="421"/>
      <c r="BP46" s="421"/>
      <c r="BQ46" s="421"/>
      <c r="BR46" s="421"/>
      <c r="BS46" s="421"/>
      <c r="BT46" s="383"/>
      <c r="BU46" s="421"/>
      <c r="BV46" s="421"/>
      <c r="BW46" s="421"/>
      <c r="BX46" s="421"/>
      <c r="BY46" s="421"/>
      <c r="BZ46" s="383"/>
    </row>
    <row r="47" spans="2:78" ht="18">
      <c r="B47" s="383"/>
      <c r="C47" s="796" t="s">
        <v>49</v>
      </c>
      <c r="D47" s="796"/>
      <c r="E47" s="406"/>
      <c r="F47" s="426"/>
      <c r="G47" s="426"/>
      <c r="H47" s="426"/>
      <c r="I47" s="426"/>
      <c r="J47" s="427"/>
      <c r="K47" s="424"/>
      <c r="L47" s="425"/>
      <c r="M47" s="426"/>
      <c r="N47" s="426"/>
      <c r="O47" s="426"/>
      <c r="P47" s="426"/>
      <c r="Q47" s="426"/>
      <c r="R47" s="426"/>
      <c r="S47" s="426"/>
      <c r="T47" s="426"/>
      <c r="U47" s="427"/>
      <c r="V47" s="426"/>
      <c r="W47" s="426"/>
      <c r="X47" s="426"/>
      <c r="Y47" s="426"/>
      <c r="Z47" s="426"/>
      <c r="AA47" s="427"/>
      <c r="AB47" s="424"/>
      <c r="AC47" s="425"/>
      <c r="AD47" s="426"/>
      <c r="AE47" s="426"/>
      <c r="AF47" s="426"/>
      <c r="AG47" s="426"/>
      <c r="AH47" s="426"/>
      <c r="AI47" s="426"/>
      <c r="AJ47" s="426"/>
      <c r="AK47" s="426"/>
      <c r="AL47" s="425"/>
      <c r="AM47" s="426"/>
      <c r="AN47" s="426"/>
      <c r="AO47" s="426"/>
      <c r="AP47" s="426"/>
      <c r="AQ47" s="426"/>
      <c r="AR47" s="425"/>
      <c r="AS47" s="424"/>
      <c r="AT47" s="425"/>
      <c r="AU47" s="426"/>
      <c r="AV47" s="426"/>
      <c r="AW47" s="426"/>
      <c r="AX47" s="426"/>
      <c r="AY47" s="426"/>
      <c r="AZ47" s="426"/>
      <c r="BA47" s="426"/>
      <c r="BB47" s="426"/>
      <c r="BC47" s="425"/>
      <c r="BD47" s="426"/>
      <c r="BE47" s="426"/>
      <c r="BF47" s="426"/>
      <c r="BG47" s="426"/>
      <c r="BH47" s="426"/>
      <c r="BI47" s="425"/>
      <c r="BJ47" s="424"/>
      <c r="BK47" s="425"/>
      <c r="BL47" s="426"/>
      <c r="BM47" s="426"/>
      <c r="BN47" s="426"/>
      <c r="BO47" s="426"/>
      <c r="BP47" s="426"/>
      <c r="BQ47" s="426"/>
      <c r="BR47" s="426"/>
      <c r="BS47" s="426"/>
      <c r="BT47" s="406"/>
      <c r="BU47" s="426"/>
      <c r="BV47" s="426"/>
      <c r="BW47" s="426"/>
      <c r="BX47" s="426"/>
      <c r="BY47" s="426"/>
      <c r="BZ47" s="383"/>
    </row>
    <row r="48" spans="2:78" ht="3" customHeight="1" outlineLevel="1">
      <c r="BZ48" s="383"/>
    </row>
    <row r="49" spans="2:92" ht="12.75" outlineLevel="1">
      <c r="B49" s="432">
        <v>4</v>
      </c>
      <c r="C49" s="459">
        <v>1</v>
      </c>
      <c r="D49" s="460" t="s">
        <v>50</v>
      </c>
      <c r="E49" s="434"/>
      <c r="F49" s="461">
        <f>M49+AD49+AU49+BL49</f>
        <v>22</v>
      </c>
      <c r="G49" s="461">
        <f t="shared" ref="G49:I49" si="5">N49+AE49+AV49+BM49</f>
        <v>22</v>
      </c>
      <c r="H49" s="461">
        <f t="shared" si="5"/>
        <v>22</v>
      </c>
      <c r="I49" s="461">
        <f t="shared" si="5"/>
        <v>0</v>
      </c>
      <c r="J49" s="462">
        <f t="shared" ref="J49" si="6">COUNT(J50:J59)</f>
        <v>0</v>
      </c>
      <c r="K49" s="435"/>
      <c r="L49" s="435"/>
      <c r="M49" s="461">
        <f>COUNTIF(M50:M59,"✔")</f>
        <v>10</v>
      </c>
      <c r="N49" s="461">
        <f t="shared" ref="N49:AA49" si="7">COUNTIF(N50:N59,"✔")</f>
        <v>10</v>
      </c>
      <c r="O49" s="461">
        <f t="shared" si="7"/>
        <v>10</v>
      </c>
      <c r="P49" s="461">
        <f t="shared" si="7"/>
        <v>0</v>
      </c>
      <c r="Q49" s="461">
        <f t="shared" si="7"/>
        <v>0</v>
      </c>
      <c r="R49" s="461">
        <f t="shared" si="7"/>
        <v>0</v>
      </c>
      <c r="S49" s="461">
        <f t="shared" si="7"/>
        <v>0</v>
      </c>
      <c r="T49" s="461">
        <f t="shared" si="7"/>
        <v>0</v>
      </c>
      <c r="U49" s="461">
        <f t="shared" si="7"/>
        <v>0</v>
      </c>
      <c r="V49" s="461">
        <f t="shared" si="7"/>
        <v>0</v>
      </c>
      <c r="W49" s="461">
        <f t="shared" si="7"/>
        <v>0</v>
      </c>
      <c r="X49" s="461">
        <f t="shared" si="7"/>
        <v>0</v>
      </c>
      <c r="Y49" s="461">
        <f t="shared" si="7"/>
        <v>0</v>
      </c>
      <c r="Z49" s="461">
        <f t="shared" si="7"/>
        <v>0</v>
      </c>
      <c r="AA49" s="461">
        <f t="shared" si="7"/>
        <v>0</v>
      </c>
      <c r="AB49" s="435"/>
      <c r="AC49" s="461">
        <f t="shared" ref="AC49:AR49" si="8">COUNTIF(AC50:AC59,"✔")</f>
        <v>0</v>
      </c>
      <c r="AD49" s="461">
        <f t="shared" si="8"/>
        <v>7</v>
      </c>
      <c r="AE49" s="461">
        <f t="shared" si="8"/>
        <v>7</v>
      </c>
      <c r="AF49" s="461">
        <f t="shared" si="8"/>
        <v>7</v>
      </c>
      <c r="AG49" s="461">
        <f t="shared" si="8"/>
        <v>0</v>
      </c>
      <c r="AH49" s="461">
        <f t="shared" si="8"/>
        <v>0</v>
      </c>
      <c r="AI49" s="461">
        <f t="shared" si="8"/>
        <v>0</v>
      </c>
      <c r="AJ49" s="461">
        <f t="shared" si="8"/>
        <v>0</v>
      </c>
      <c r="AK49" s="461">
        <f t="shared" si="8"/>
        <v>0</v>
      </c>
      <c r="AL49" s="461">
        <f t="shared" si="8"/>
        <v>0</v>
      </c>
      <c r="AM49" s="461">
        <f t="shared" si="8"/>
        <v>0</v>
      </c>
      <c r="AN49" s="461">
        <f t="shared" si="8"/>
        <v>0</v>
      </c>
      <c r="AO49" s="461">
        <f t="shared" si="8"/>
        <v>0</v>
      </c>
      <c r="AP49" s="461">
        <f t="shared" si="8"/>
        <v>0</v>
      </c>
      <c r="AQ49" s="461">
        <f t="shared" si="8"/>
        <v>0</v>
      </c>
      <c r="AR49" s="461">
        <f t="shared" si="8"/>
        <v>0</v>
      </c>
      <c r="AS49" s="435"/>
      <c r="AT49" s="461">
        <f t="shared" ref="AT49:BI49" si="9">COUNTIF(AT50:AT59,"✔")</f>
        <v>0</v>
      </c>
      <c r="AU49" s="461">
        <f t="shared" si="9"/>
        <v>5</v>
      </c>
      <c r="AV49" s="461">
        <f t="shared" si="9"/>
        <v>5</v>
      </c>
      <c r="AW49" s="461">
        <f t="shared" si="9"/>
        <v>5</v>
      </c>
      <c r="AX49" s="461">
        <f t="shared" si="9"/>
        <v>0</v>
      </c>
      <c r="AY49" s="461">
        <f t="shared" si="9"/>
        <v>0</v>
      </c>
      <c r="AZ49" s="461">
        <f t="shared" si="9"/>
        <v>0</v>
      </c>
      <c r="BA49" s="461">
        <f t="shared" si="9"/>
        <v>0</v>
      </c>
      <c r="BB49" s="461">
        <f t="shared" si="9"/>
        <v>0</v>
      </c>
      <c r="BC49" s="461">
        <f t="shared" si="9"/>
        <v>0</v>
      </c>
      <c r="BD49" s="461">
        <f t="shared" si="9"/>
        <v>0</v>
      </c>
      <c r="BE49" s="461">
        <f t="shared" si="9"/>
        <v>0</v>
      </c>
      <c r="BF49" s="461">
        <f t="shared" si="9"/>
        <v>0</v>
      </c>
      <c r="BG49" s="461">
        <f t="shared" si="9"/>
        <v>0</v>
      </c>
      <c r="BH49" s="461">
        <f t="shared" si="9"/>
        <v>0</v>
      </c>
      <c r="BI49" s="461">
        <f t="shared" si="9"/>
        <v>0</v>
      </c>
      <c r="BJ49" s="435"/>
      <c r="BK49" s="461">
        <f t="shared" ref="BK49:BS49" si="10">COUNTIF(BK50:BK59,"✔")</f>
        <v>0</v>
      </c>
      <c r="BL49" s="461">
        <f t="shared" si="10"/>
        <v>0</v>
      </c>
      <c r="BM49" s="461">
        <f t="shared" si="10"/>
        <v>0</v>
      </c>
      <c r="BN49" s="461">
        <f t="shared" si="10"/>
        <v>0</v>
      </c>
      <c r="BO49" s="461">
        <f t="shared" si="10"/>
        <v>0</v>
      </c>
      <c r="BP49" s="461">
        <f t="shared" si="10"/>
        <v>0</v>
      </c>
      <c r="BQ49" s="461">
        <f t="shared" si="10"/>
        <v>0</v>
      </c>
      <c r="BR49" s="461">
        <f t="shared" si="10"/>
        <v>0</v>
      </c>
      <c r="BS49" s="461">
        <f t="shared" si="10"/>
        <v>0</v>
      </c>
      <c r="BT49" s="383"/>
      <c r="BU49" s="461">
        <f t="shared" ref="BU49:BY49" si="11">COUNTIF(BU50:BU59,"✔")</f>
        <v>0</v>
      </c>
      <c r="BV49" s="461">
        <f t="shared" si="11"/>
        <v>0</v>
      </c>
      <c r="BW49" s="461">
        <f t="shared" si="11"/>
        <v>0</v>
      </c>
      <c r="BX49" s="461">
        <f t="shared" si="11"/>
        <v>0</v>
      </c>
      <c r="BY49" s="461">
        <f t="shared" si="11"/>
        <v>0</v>
      </c>
      <c r="BZ49" s="383"/>
    </row>
    <row r="50" spans="2:92" ht="12.75" outlineLevel="2">
      <c r="B50" s="463" t="s">
        <v>51</v>
      </c>
      <c r="C50" s="464">
        <v>1</v>
      </c>
      <c r="D50" s="465" t="s">
        <v>52</v>
      </c>
      <c r="E50" s="383"/>
      <c r="F50" s="443">
        <f t="shared" ref="F50:F59" si="12">COUNTIF(M50,"✔")+COUNTIF(AD50,"✔")+COUNTIF(BL50,"✔")+COUNTIF(AU50,"✔")</f>
        <v>3</v>
      </c>
      <c r="G50" s="444">
        <f t="shared" ref="G50:H59" si="13">COUNTIF(N50,"✔")+COUNTIF(AE50,"✔")+COUNTIF(BM50,"✔")+COUNTIF(AV50,"✔")</f>
        <v>3</v>
      </c>
      <c r="H50" s="444">
        <f t="shared" si="13"/>
        <v>3</v>
      </c>
      <c r="I50" s="444">
        <f t="shared" ref="I50:I59" si="14">F50-G50</f>
        <v>0</v>
      </c>
      <c r="J50" s="430"/>
      <c r="K50" s="441"/>
      <c r="L50" s="442"/>
      <c r="M50" s="443" t="str">
        <f>IF('Design Fee'!W52&gt;0,"✔","-")</f>
        <v>✔</v>
      </c>
      <c r="N50" s="443" t="str">
        <f>IF('Design Fee'!X52&gt;0,"✔","-")</f>
        <v>✔</v>
      </c>
      <c r="O50" s="444" t="str">
        <f>IF('Design Fee'!Y52&gt;0,"✔","-")</f>
        <v>✔</v>
      </c>
      <c r="P50" s="444" t="str">
        <f>IF('Design Fee'!Z52&gt;0,"✔","-")</f>
        <v>-</v>
      </c>
      <c r="Q50" s="444" t="str">
        <f>IF('Design Fee'!AA52&gt;0,"✔","-")</f>
        <v>-</v>
      </c>
      <c r="R50" s="444" t="str">
        <f>IF('Design Fee'!AB52&gt;0,"✔","-")</f>
        <v>-</v>
      </c>
      <c r="S50" s="444" t="str">
        <f>IF('Design Fee'!AC52&gt;0,"✔","-")</f>
        <v>-</v>
      </c>
      <c r="T50" s="466" t="str">
        <f>IF('Design Fee'!AD52&gt;0,"✔","-")</f>
        <v>-</v>
      </c>
      <c r="U50" s="430"/>
      <c r="V50" s="444" t="str">
        <f>IF('Design Fee'!AF52&gt;0,"✔","-")</f>
        <v>-</v>
      </c>
      <c r="W50" s="444" t="str">
        <f>IF('Design Fee'!AG52&gt;0,"✔","-")</f>
        <v>-</v>
      </c>
      <c r="X50" s="444" t="str">
        <f>IF('Design Fee'!AH52&gt;0,"✔","-")</f>
        <v>-</v>
      </c>
      <c r="Y50" s="444" t="str">
        <f>IF('Design Fee'!AI52&gt;0,"✔","-")</f>
        <v>-</v>
      </c>
      <c r="Z50" s="444" t="str">
        <f>IF('Design Fee'!AJ52&gt;0,"✔","-")</f>
        <v>-</v>
      </c>
      <c r="AA50" s="430"/>
      <c r="AB50" s="441"/>
      <c r="AC50" s="442"/>
      <c r="AD50" s="443" t="str">
        <f>IF('Design Fee'!BG52&gt;0,"✔","-")</f>
        <v>✔</v>
      </c>
      <c r="AE50" s="443" t="str">
        <f>IF('Design Fee'!BH52&gt;0,"✔","-")</f>
        <v>✔</v>
      </c>
      <c r="AF50" s="444" t="str">
        <f>IF('Design Fee'!BI52&gt;0,"✔","-")</f>
        <v>✔</v>
      </c>
      <c r="AG50" s="444" t="str">
        <f>IF('Design Fee'!BJ52&gt;0,"✔","-")</f>
        <v>-</v>
      </c>
      <c r="AH50" s="444" t="str">
        <f>IF('Design Fee'!BK52&gt;0,"✔","-")</f>
        <v>-</v>
      </c>
      <c r="AI50" s="444" t="str">
        <f>IF('Design Fee'!BL52&gt;0,"✔","-")</f>
        <v>-</v>
      </c>
      <c r="AJ50" s="444" t="str">
        <f>IF('Design Fee'!BM52&gt;0,"✔","-")</f>
        <v>-</v>
      </c>
      <c r="AK50" s="466" t="str">
        <f>IF('Design Fee'!BN52&gt;0,"✔","-")</f>
        <v>-</v>
      </c>
      <c r="AL50" s="445"/>
      <c r="AM50" s="444" t="str">
        <f>IF('Design Fee'!BP52&gt;0,"✔","-")</f>
        <v>-</v>
      </c>
      <c r="AN50" s="444" t="str">
        <f>IF('Design Fee'!BQ52&gt;0,"✔","-")</f>
        <v>-</v>
      </c>
      <c r="AO50" s="444" t="str">
        <f>IF('Design Fee'!BR52&gt;0,"✔","-")</f>
        <v>-</v>
      </c>
      <c r="AP50" s="444" t="str">
        <f>IF('Design Fee'!BS52&gt;0,"✔","-")</f>
        <v>-</v>
      </c>
      <c r="AQ50" s="444" t="str">
        <f>IF('Design Fee'!BT52&gt;0,"✔","-")</f>
        <v>-</v>
      </c>
      <c r="AR50" s="445"/>
      <c r="AS50" s="441"/>
      <c r="AT50" s="442"/>
      <c r="AU50" s="443" t="str">
        <f>IF('Design Fee'!CQ52&gt;0,"✔","-")</f>
        <v>✔</v>
      </c>
      <c r="AV50" s="443" t="str">
        <f>IF('Design Fee'!CR52&gt;0,"✔","-")</f>
        <v>✔</v>
      </c>
      <c r="AW50" s="444" t="str">
        <f>IF('Design Fee'!CS52&gt;0,"✔","-")</f>
        <v>✔</v>
      </c>
      <c r="AX50" s="444" t="str">
        <f>IF('Design Fee'!CT52&gt;0,"✔","-")</f>
        <v>-</v>
      </c>
      <c r="AY50" s="444" t="str">
        <f>IF('Design Fee'!CU52&gt;0,"✔","-")</f>
        <v>-</v>
      </c>
      <c r="AZ50" s="444" t="str">
        <f>IF('Design Fee'!CV52&gt;0,"✔","-")</f>
        <v>-</v>
      </c>
      <c r="BA50" s="444" t="str">
        <f>IF('Design Fee'!CW52&gt;0,"✔","-")</f>
        <v>-</v>
      </c>
      <c r="BB50" s="466" t="str">
        <f>IF('Design Fee'!CX52&gt;0,"✔","-")</f>
        <v>-</v>
      </c>
      <c r="BC50" s="445"/>
      <c r="BD50" s="444" t="str">
        <f>IF('Design Fee'!CZ52&gt;0,"✔","-")</f>
        <v>-</v>
      </c>
      <c r="BE50" s="444" t="str">
        <f>IF('Design Fee'!DA52&gt;0,"✔","-")</f>
        <v>-</v>
      </c>
      <c r="BF50" s="444" t="str">
        <f>IF('Design Fee'!DB52&gt;0,"✔","-")</f>
        <v>-</v>
      </c>
      <c r="BG50" s="444" t="str">
        <f>IF('Design Fee'!DC52&gt;0,"✔","-")</f>
        <v>-</v>
      </c>
      <c r="BH50" s="444" t="str">
        <f>IF('Design Fee'!DD52&gt;0,"✔","-")</f>
        <v>-</v>
      </c>
      <c r="BI50" s="445"/>
      <c r="BJ50" s="441"/>
      <c r="BK50" s="442"/>
      <c r="BL50" s="443" t="str">
        <f>IF('Design Fee'!EA52&gt;0,"✔","-")</f>
        <v>-</v>
      </c>
      <c r="BM50" s="443" t="str">
        <f>IF('Design Fee'!EB52&gt;0,"✔","-")</f>
        <v>-</v>
      </c>
      <c r="BN50" s="444" t="str">
        <f>IF('Design Fee'!EC52&gt;0,"✔","-")</f>
        <v>-</v>
      </c>
      <c r="BO50" s="444" t="str">
        <f>IF('Design Fee'!ED52&gt;0,"✔","-")</f>
        <v>-</v>
      </c>
      <c r="BP50" s="444" t="str">
        <f>IF('Design Fee'!EE52&gt;0,"✔","-")</f>
        <v>-</v>
      </c>
      <c r="BQ50" s="444" t="str">
        <f>IF('Design Fee'!EF52&gt;0,"✔","-")</f>
        <v>-</v>
      </c>
      <c r="BR50" s="444" t="str">
        <f>IF('Design Fee'!EG52&gt;0,"✔","-")</f>
        <v>-</v>
      </c>
      <c r="BS50" s="466" t="str">
        <f>IF('Design Fee'!EH52&gt;0,"✔","-")</f>
        <v>-</v>
      </c>
      <c r="BT50" s="383"/>
      <c r="BU50" s="444" t="str">
        <f>IF('Design Fee'!EJ52&gt;0,"✔","-")</f>
        <v>-</v>
      </c>
      <c r="BV50" s="444" t="str">
        <f>IF('Design Fee'!EK52&gt;0,"✔","-")</f>
        <v>-</v>
      </c>
      <c r="BW50" s="444" t="str">
        <f>IF('Design Fee'!EL52&gt;0,"✔","-")</f>
        <v>-</v>
      </c>
      <c r="BX50" s="444" t="str">
        <f>IF('Design Fee'!EM52&gt;0,"✔","-")</f>
        <v>-</v>
      </c>
      <c r="BY50" s="444" t="str">
        <f>IF('Design Fee'!EN52&gt;0,"✔","-")</f>
        <v>-</v>
      </c>
      <c r="BZ50" s="383"/>
    </row>
    <row r="51" spans="2:92" ht="12.75" outlineLevel="2">
      <c r="B51" s="463" t="s">
        <v>53</v>
      </c>
      <c r="C51" s="464">
        <v>2</v>
      </c>
      <c r="D51" s="465" t="s">
        <v>54</v>
      </c>
      <c r="E51" s="383"/>
      <c r="F51" s="443">
        <f t="shared" si="12"/>
        <v>2</v>
      </c>
      <c r="G51" s="444">
        <f t="shared" si="13"/>
        <v>2</v>
      </c>
      <c r="H51" s="444">
        <f t="shared" si="13"/>
        <v>2</v>
      </c>
      <c r="I51" s="444">
        <f t="shared" si="14"/>
        <v>0</v>
      </c>
      <c r="J51" s="467"/>
      <c r="K51" s="441"/>
      <c r="L51" s="442"/>
      <c r="M51" s="443" t="str">
        <f>IF('Design Fee'!W53&gt;0,"✔","-")</f>
        <v>✔</v>
      </c>
      <c r="N51" s="443" t="str">
        <f>IF('Design Fee'!X53&gt;0,"✔","-")</f>
        <v>✔</v>
      </c>
      <c r="O51" s="444" t="str">
        <f>IF('Design Fee'!Y53&gt;0,"✔","-")</f>
        <v>✔</v>
      </c>
      <c r="P51" s="444" t="str">
        <f>IF('Design Fee'!Z53&gt;0,"✔","-")</f>
        <v>-</v>
      </c>
      <c r="Q51" s="444" t="str">
        <f>IF('Design Fee'!AA53&gt;0,"✔","-")</f>
        <v>-</v>
      </c>
      <c r="R51" s="444" t="str">
        <f>IF('Design Fee'!AB53&gt;0,"✔","-")</f>
        <v>-</v>
      </c>
      <c r="S51" s="444" t="str">
        <f>IF('Design Fee'!AC53&gt;0,"✔","-")</f>
        <v>-</v>
      </c>
      <c r="T51" s="466" t="str">
        <f>IF('Design Fee'!AD53&gt;0,"✔","-")</f>
        <v>-</v>
      </c>
      <c r="U51" s="467"/>
      <c r="V51" s="444" t="str">
        <f>IF('Design Fee'!AF53&gt;0,"✔","-")</f>
        <v>-</v>
      </c>
      <c r="W51" s="444" t="str">
        <f>IF('Design Fee'!AG53&gt;0,"✔","-")</f>
        <v>-</v>
      </c>
      <c r="X51" s="444" t="str">
        <f>IF('Design Fee'!AH53&gt;0,"✔","-")</f>
        <v>-</v>
      </c>
      <c r="Y51" s="444" t="str">
        <f>IF('Design Fee'!AI53&gt;0,"✔","-")</f>
        <v>-</v>
      </c>
      <c r="Z51" s="444" t="str">
        <f>IF('Design Fee'!AJ53&gt;0,"✔","-")</f>
        <v>-</v>
      </c>
      <c r="AA51" s="467"/>
      <c r="AB51" s="441"/>
      <c r="AC51" s="442"/>
      <c r="AD51" s="443" t="str">
        <f>IF('Design Fee'!BG53&gt;0,"✔","-")</f>
        <v>✔</v>
      </c>
      <c r="AE51" s="443" t="str">
        <f>IF('Design Fee'!BH53&gt;0,"✔","-")</f>
        <v>✔</v>
      </c>
      <c r="AF51" s="444" t="str">
        <f>IF('Design Fee'!BI53&gt;0,"✔","-")</f>
        <v>✔</v>
      </c>
      <c r="AG51" s="444" t="str">
        <f>IF('Design Fee'!BJ53&gt;0,"✔","-")</f>
        <v>-</v>
      </c>
      <c r="AH51" s="444" t="str">
        <f>IF('Design Fee'!BK53&gt;0,"✔","-")</f>
        <v>-</v>
      </c>
      <c r="AI51" s="444" t="str">
        <f>IF('Design Fee'!BL53&gt;0,"✔","-")</f>
        <v>-</v>
      </c>
      <c r="AJ51" s="444" t="str">
        <f>IF('Design Fee'!BM53&gt;0,"✔","-")</f>
        <v>-</v>
      </c>
      <c r="AK51" s="466" t="str">
        <f>IF('Design Fee'!BN53&gt;0,"✔","-")</f>
        <v>-</v>
      </c>
      <c r="AL51" s="445"/>
      <c r="AM51" s="444" t="str">
        <f>IF('Design Fee'!BP53&gt;0,"✔","-")</f>
        <v>-</v>
      </c>
      <c r="AN51" s="444" t="str">
        <f>IF('Design Fee'!BQ53&gt;0,"✔","-")</f>
        <v>-</v>
      </c>
      <c r="AO51" s="444" t="str">
        <f>IF('Design Fee'!BR53&gt;0,"✔","-")</f>
        <v>-</v>
      </c>
      <c r="AP51" s="444" t="str">
        <f>IF('Design Fee'!BS53&gt;0,"✔","-")</f>
        <v>-</v>
      </c>
      <c r="AQ51" s="444" t="str">
        <f>IF('Design Fee'!BT53&gt;0,"✔","-")</f>
        <v>-</v>
      </c>
      <c r="AR51" s="445"/>
      <c r="AS51" s="441"/>
      <c r="AT51" s="442"/>
      <c r="AU51" s="443" t="str">
        <f>IF('Design Fee'!CQ53&gt;0,"✔","-")</f>
        <v>-</v>
      </c>
      <c r="AV51" s="443" t="str">
        <f>IF('Design Fee'!CR53&gt;0,"✔","-")</f>
        <v>-</v>
      </c>
      <c r="AW51" s="444" t="str">
        <f>IF('Design Fee'!CS53&gt;0,"✔","-")</f>
        <v>-</v>
      </c>
      <c r="AX51" s="444" t="str">
        <f>IF('Design Fee'!CT53&gt;0,"✔","-")</f>
        <v>-</v>
      </c>
      <c r="AY51" s="444" t="str">
        <f>IF('Design Fee'!CU53&gt;0,"✔","-")</f>
        <v>-</v>
      </c>
      <c r="AZ51" s="444" t="str">
        <f>IF('Design Fee'!CV53&gt;0,"✔","-")</f>
        <v>-</v>
      </c>
      <c r="BA51" s="444" t="str">
        <f>IF('Design Fee'!CW53&gt;0,"✔","-")</f>
        <v>-</v>
      </c>
      <c r="BB51" s="466" t="str">
        <f>IF('Design Fee'!CX53&gt;0,"✔","-")</f>
        <v>-</v>
      </c>
      <c r="BC51" s="445"/>
      <c r="BD51" s="444" t="str">
        <f>IF('Design Fee'!CZ53&gt;0,"✔","-")</f>
        <v>-</v>
      </c>
      <c r="BE51" s="444" t="str">
        <f>IF('Design Fee'!DA53&gt;0,"✔","-")</f>
        <v>-</v>
      </c>
      <c r="BF51" s="444" t="str">
        <f>IF('Design Fee'!DB53&gt;0,"✔","-")</f>
        <v>-</v>
      </c>
      <c r="BG51" s="444" t="str">
        <f>IF('Design Fee'!DC53&gt;0,"✔","-")</f>
        <v>-</v>
      </c>
      <c r="BH51" s="444" t="str">
        <f>IF('Design Fee'!DD53&gt;0,"✔","-")</f>
        <v>-</v>
      </c>
      <c r="BI51" s="445"/>
      <c r="BJ51" s="441"/>
      <c r="BK51" s="442"/>
      <c r="BL51" s="443" t="str">
        <f>IF('Design Fee'!EA53&gt;0,"✔","-")</f>
        <v>-</v>
      </c>
      <c r="BM51" s="443" t="str">
        <f>IF('Design Fee'!EB53&gt;0,"✔","-")</f>
        <v>-</v>
      </c>
      <c r="BN51" s="444" t="str">
        <f>IF('Design Fee'!EC53&gt;0,"✔","-")</f>
        <v>-</v>
      </c>
      <c r="BO51" s="444" t="str">
        <f>IF('Design Fee'!ED53&gt;0,"✔","-")</f>
        <v>-</v>
      </c>
      <c r="BP51" s="444" t="str">
        <f>IF('Design Fee'!EE53&gt;0,"✔","-")</f>
        <v>-</v>
      </c>
      <c r="BQ51" s="444" t="str">
        <f>IF('Design Fee'!EF53&gt;0,"✔","-")</f>
        <v>-</v>
      </c>
      <c r="BR51" s="444" t="str">
        <f>IF('Design Fee'!EG53&gt;0,"✔","-")</f>
        <v>-</v>
      </c>
      <c r="BS51" s="466" t="str">
        <f>IF('Design Fee'!EH53&gt;0,"✔","-")</f>
        <v>-</v>
      </c>
      <c r="BT51" s="383"/>
      <c r="BU51" s="444" t="str">
        <f>IF('Design Fee'!EJ53&gt;0,"✔","-")</f>
        <v>-</v>
      </c>
      <c r="BV51" s="444" t="str">
        <f>IF('Design Fee'!EK53&gt;0,"✔","-")</f>
        <v>-</v>
      </c>
      <c r="BW51" s="444" t="str">
        <f>IF('Design Fee'!EL53&gt;0,"✔","-")</f>
        <v>-</v>
      </c>
      <c r="BX51" s="444" t="str">
        <f>IF('Design Fee'!EM53&gt;0,"✔","-")</f>
        <v>-</v>
      </c>
      <c r="BY51" s="444" t="str">
        <f>IF('Design Fee'!EN53&gt;0,"✔","-")</f>
        <v>-</v>
      </c>
      <c r="BZ51" s="383"/>
    </row>
    <row r="52" spans="2:92" ht="12.75" outlineLevel="2">
      <c r="B52" s="463" t="s">
        <v>55</v>
      </c>
      <c r="C52" s="464">
        <v>3</v>
      </c>
      <c r="D52" s="465" t="s">
        <v>56</v>
      </c>
      <c r="E52" s="383"/>
      <c r="F52" s="443">
        <f t="shared" si="12"/>
        <v>1</v>
      </c>
      <c r="G52" s="444">
        <f t="shared" si="13"/>
        <v>1</v>
      </c>
      <c r="H52" s="444">
        <f t="shared" si="13"/>
        <v>1</v>
      </c>
      <c r="I52" s="444">
        <f t="shared" si="14"/>
        <v>0</v>
      </c>
      <c r="J52" s="467"/>
      <c r="K52" s="441"/>
      <c r="L52" s="442"/>
      <c r="M52" s="443" t="str">
        <f>IF('Design Fee'!W54&gt;0,"✔","-")</f>
        <v>✔</v>
      </c>
      <c r="N52" s="443" t="str">
        <f>IF('Design Fee'!X54&gt;0,"✔","-")</f>
        <v>✔</v>
      </c>
      <c r="O52" s="444" t="str">
        <f>IF('Design Fee'!Y54&gt;0,"✔","-")</f>
        <v>✔</v>
      </c>
      <c r="P52" s="444" t="str">
        <f>IF('Design Fee'!Z54&gt;0,"✔","-")</f>
        <v>-</v>
      </c>
      <c r="Q52" s="444" t="str">
        <f>IF('Design Fee'!AA54&gt;0,"✔","-")</f>
        <v>-</v>
      </c>
      <c r="R52" s="444" t="str">
        <f>IF('Design Fee'!AB54&gt;0,"✔","-")</f>
        <v>-</v>
      </c>
      <c r="S52" s="444" t="str">
        <f>IF('Design Fee'!AC54&gt;0,"✔","-")</f>
        <v>-</v>
      </c>
      <c r="T52" s="466" t="str">
        <f>IF('Design Fee'!AD54&gt;0,"✔","-")</f>
        <v>-</v>
      </c>
      <c r="U52" s="467"/>
      <c r="V52" s="444" t="str">
        <f>IF('Design Fee'!AF54&gt;0,"✔","-")</f>
        <v>-</v>
      </c>
      <c r="W52" s="444" t="str">
        <f>IF('Design Fee'!AG54&gt;0,"✔","-")</f>
        <v>-</v>
      </c>
      <c r="X52" s="444" t="str">
        <f>IF('Design Fee'!AH54&gt;0,"✔","-")</f>
        <v>-</v>
      </c>
      <c r="Y52" s="444" t="str">
        <f>IF('Design Fee'!AI54&gt;0,"✔","-")</f>
        <v>-</v>
      </c>
      <c r="Z52" s="444" t="str">
        <f>IF('Design Fee'!AJ54&gt;0,"✔","-")</f>
        <v>-</v>
      </c>
      <c r="AA52" s="467"/>
      <c r="AB52" s="441"/>
      <c r="AC52" s="442"/>
      <c r="AD52" s="443" t="str">
        <f>IF('Design Fee'!BG54&gt;0,"✔","-")</f>
        <v>-</v>
      </c>
      <c r="AE52" s="443" t="str">
        <f>IF('Design Fee'!BH54&gt;0,"✔","-")</f>
        <v>-</v>
      </c>
      <c r="AF52" s="444" t="str">
        <f>IF('Design Fee'!BI54&gt;0,"✔","-")</f>
        <v>-</v>
      </c>
      <c r="AG52" s="444" t="str">
        <f>IF('Design Fee'!BJ54&gt;0,"✔","-")</f>
        <v>-</v>
      </c>
      <c r="AH52" s="444" t="str">
        <f>IF('Design Fee'!BK54&gt;0,"✔","-")</f>
        <v>-</v>
      </c>
      <c r="AI52" s="444" t="str">
        <f>IF('Design Fee'!BL54&gt;0,"✔","-")</f>
        <v>-</v>
      </c>
      <c r="AJ52" s="444" t="str">
        <f>IF('Design Fee'!BM54&gt;0,"✔","-")</f>
        <v>-</v>
      </c>
      <c r="AK52" s="466" t="str">
        <f>IF('Design Fee'!BN54&gt;0,"✔","-")</f>
        <v>-</v>
      </c>
      <c r="AL52" s="445"/>
      <c r="AM52" s="444" t="str">
        <f>IF('Design Fee'!BP54&gt;0,"✔","-")</f>
        <v>-</v>
      </c>
      <c r="AN52" s="444" t="str">
        <f>IF('Design Fee'!BQ54&gt;0,"✔","-")</f>
        <v>-</v>
      </c>
      <c r="AO52" s="444" t="str">
        <f>IF('Design Fee'!BR54&gt;0,"✔","-")</f>
        <v>-</v>
      </c>
      <c r="AP52" s="444" t="str">
        <f>IF('Design Fee'!BS54&gt;0,"✔","-")</f>
        <v>-</v>
      </c>
      <c r="AQ52" s="444" t="str">
        <f>IF('Design Fee'!BT54&gt;0,"✔","-")</f>
        <v>-</v>
      </c>
      <c r="AR52" s="445"/>
      <c r="AS52" s="441"/>
      <c r="AT52" s="442"/>
      <c r="AU52" s="443" t="str">
        <f>IF('Design Fee'!CQ54&gt;0,"✔","-")</f>
        <v>-</v>
      </c>
      <c r="AV52" s="443" t="str">
        <f>IF('Design Fee'!CR54&gt;0,"✔","-")</f>
        <v>-</v>
      </c>
      <c r="AW52" s="444" t="str">
        <f>IF('Design Fee'!CS54&gt;0,"✔","-")</f>
        <v>-</v>
      </c>
      <c r="AX52" s="444" t="str">
        <f>IF('Design Fee'!CT54&gt;0,"✔","-")</f>
        <v>-</v>
      </c>
      <c r="AY52" s="444" t="str">
        <f>IF('Design Fee'!CU54&gt;0,"✔","-")</f>
        <v>-</v>
      </c>
      <c r="AZ52" s="444" t="str">
        <f>IF('Design Fee'!CV54&gt;0,"✔","-")</f>
        <v>-</v>
      </c>
      <c r="BA52" s="444" t="str">
        <f>IF('Design Fee'!CW54&gt;0,"✔","-")</f>
        <v>-</v>
      </c>
      <c r="BB52" s="466" t="str">
        <f>IF('Design Fee'!CX54&gt;0,"✔","-")</f>
        <v>-</v>
      </c>
      <c r="BC52" s="445"/>
      <c r="BD52" s="444" t="str">
        <f>IF('Design Fee'!CZ54&gt;0,"✔","-")</f>
        <v>-</v>
      </c>
      <c r="BE52" s="444" t="str">
        <f>IF('Design Fee'!DA54&gt;0,"✔","-")</f>
        <v>-</v>
      </c>
      <c r="BF52" s="444" t="str">
        <f>IF('Design Fee'!DB54&gt;0,"✔","-")</f>
        <v>-</v>
      </c>
      <c r="BG52" s="444" t="str">
        <f>IF('Design Fee'!DC54&gt;0,"✔","-")</f>
        <v>-</v>
      </c>
      <c r="BH52" s="444" t="str">
        <f>IF('Design Fee'!DD54&gt;0,"✔","-")</f>
        <v>-</v>
      </c>
      <c r="BI52" s="445"/>
      <c r="BJ52" s="441"/>
      <c r="BK52" s="442"/>
      <c r="BL52" s="443" t="str">
        <f>IF('Design Fee'!EA54&gt;0,"✔","-")</f>
        <v>-</v>
      </c>
      <c r="BM52" s="443" t="str">
        <f>IF('Design Fee'!EB54&gt;0,"✔","-")</f>
        <v>-</v>
      </c>
      <c r="BN52" s="444" t="str">
        <f>IF('Design Fee'!EC54&gt;0,"✔","-")</f>
        <v>-</v>
      </c>
      <c r="BO52" s="444" t="str">
        <f>IF('Design Fee'!ED54&gt;0,"✔","-")</f>
        <v>-</v>
      </c>
      <c r="BP52" s="444" t="str">
        <f>IF('Design Fee'!EE54&gt;0,"✔","-")</f>
        <v>-</v>
      </c>
      <c r="BQ52" s="444" t="str">
        <f>IF('Design Fee'!EF54&gt;0,"✔","-")</f>
        <v>-</v>
      </c>
      <c r="BR52" s="444" t="str">
        <f>IF('Design Fee'!EG54&gt;0,"✔","-")</f>
        <v>-</v>
      </c>
      <c r="BS52" s="466" t="str">
        <f>IF('Design Fee'!EH54&gt;0,"✔","-")</f>
        <v>-</v>
      </c>
      <c r="BT52" s="383"/>
      <c r="BU52" s="444" t="str">
        <f>IF('Design Fee'!EJ54&gt;0,"✔","-")</f>
        <v>-</v>
      </c>
      <c r="BV52" s="444" t="str">
        <f>IF('Design Fee'!EK54&gt;0,"✔","-")</f>
        <v>-</v>
      </c>
      <c r="BW52" s="444" t="str">
        <f>IF('Design Fee'!EL54&gt;0,"✔","-")</f>
        <v>-</v>
      </c>
      <c r="BX52" s="444" t="str">
        <f>IF('Design Fee'!EM54&gt;0,"✔","-")</f>
        <v>-</v>
      </c>
      <c r="BY52" s="444" t="str">
        <f>IF('Design Fee'!EN54&gt;0,"✔","-")</f>
        <v>-</v>
      </c>
      <c r="BZ52" s="383"/>
    </row>
    <row r="53" spans="2:92" ht="12.75" outlineLevel="2">
      <c r="B53" s="463" t="s">
        <v>57</v>
      </c>
      <c r="C53" s="464">
        <v>4</v>
      </c>
      <c r="D53" s="465" t="s">
        <v>58</v>
      </c>
      <c r="E53" s="383"/>
      <c r="F53" s="443">
        <f t="shared" si="12"/>
        <v>3</v>
      </c>
      <c r="G53" s="452">
        <f t="shared" si="13"/>
        <v>3</v>
      </c>
      <c r="H53" s="452">
        <f t="shared" si="13"/>
        <v>3</v>
      </c>
      <c r="I53" s="452">
        <f t="shared" si="14"/>
        <v>0</v>
      </c>
      <c r="J53" s="467"/>
      <c r="K53" s="441"/>
      <c r="L53" s="442"/>
      <c r="M53" s="443" t="str">
        <f>IF('Design Fee'!W55&gt;0,"✔","-")</f>
        <v>✔</v>
      </c>
      <c r="N53" s="443" t="str">
        <f>IF('Design Fee'!X55&gt;0,"✔","-")</f>
        <v>✔</v>
      </c>
      <c r="O53" s="452" t="str">
        <f>IF('Design Fee'!Y55&gt;0,"✔","-")</f>
        <v>✔</v>
      </c>
      <c r="P53" s="452" t="str">
        <f>IF('Design Fee'!Z55&gt;0,"✔","-")</f>
        <v>-</v>
      </c>
      <c r="Q53" s="452" t="str">
        <f>IF('Design Fee'!AA55&gt;0,"✔","-")</f>
        <v>-</v>
      </c>
      <c r="R53" s="452" t="str">
        <f>IF('Design Fee'!AB55&gt;0,"✔","-")</f>
        <v>-</v>
      </c>
      <c r="S53" s="452" t="str">
        <f>IF('Design Fee'!AC55&gt;0,"✔","-")</f>
        <v>-</v>
      </c>
      <c r="T53" s="466" t="str">
        <f>IF('Design Fee'!AD55&gt;0,"✔","-")</f>
        <v>-</v>
      </c>
      <c r="U53" s="467"/>
      <c r="V53" s="444" t="str">
        <f>IF('Design Fee'!AF55&gt;0,"✔","-")</f>
        <v>-</v>
      </c>
      <c r="W53" s="444" t="str">
        <f>IF('Design Fee'!AG55&gt;0,"✔","-")</f>
        <v>-</v>
      </c>
      <c r="X53" s="444" t="str">
        <f>IF('Design Fee'!AH55&gt;0,"✔","-")</f>
        <v>-</v>
      </c>
      <c r="Y53" s="444" t="str">
        <f>IF('Design Fee'!AI55&gt;0,"✔","-")</f>
        <v>-</v>
      </c>
      <c r="Z53" s="444" t="str">
        <f>IF('Design Fee'!AJ55&gt;0,"✔","-")</f>
        <v>-</v>
      </c>
      <c r="AA53" s="467"/>
      <c r="AB53" s="441"/>
      <c r="AC53" s="442"/>
      <c r="AD53" s="443" t="str">
        <f>IF('Design Fee'!BG55&gt;0,"✔","-")</f>
        <v>✔</v>
      </c>
      <c r="AE53" s="443" t="str">
        <f>IF('Design Fee'!BH55&gt;0,"✔","-")</f>
        <v>✔</v>
      </c>
      <c r="AF53" s="452" t="str">
        <f>IF('Design Fee'!BI55&gt;0,"✔","-")</f>
        <v>✔</v>
      </c>
      <c r="AG53" s="452" t="str">
        <f>IF('Design Fee'!BJ55&gt;0,"✔","-")</f>
        <v>-</v>
      </c>
      <c r="AH53" s="452" t="str">
        <f>IF('Design Fee'!BK55&gt;0,"✔","-")</f>
        <v>-</v>
      </c>
      <c r="AI53" s="452" t="str">
        <f>IF('Design Fee'!BL55&gt;0,"✔","-")</f>
        <v>-</v>
      </c>
      <c r="AJ53" s="452" t="str">
        <f>IF('Design Fee'!BM55&gt;0,"✔","-")</f>
        <v>-</v>
      </c>
      <c r="AK53" s="466" t="str">
        <f>IF('Design Fee'!BN55&gt;0,"✔","-")</f>
        <v>-</v>
      </c>
      <c r="AL53" s="445"/>
      <c r="AM53" s="444" t="str">
        <f>IF('Design Fee'!BP55&gt;0,"✔","-")</f>
        <v>-</v>
      </c>
      <c r="AN53" s="444" t="str">
        <f>IF('Design Fee'!BQ55&gt;0,"✔","-")</f>
        <v>-</v>
      </c>
      <c r="AO53" s="444" t="str">
        <f>IF('Design Fee'!BR55&gt;0,"✔","-")</f>
        <v>-</v>
      </c>
      <c r="AP53" s="444" t="str">
        <f>IF('Design Fee'!BS55&gt;0,"✔","-")</f>
        <v>-</v>
      </c>
      <c r="AQ53" s="444" t="str">
        <f>IF('Design Fee'!BT55&gt;0,"✔","-")</f>
        <v>-</v>
      </c>
      <c r="AR53" s="445"/>
      <c r="AS53" s="441"/>
      <c r="AT53" s="442"/>
      <c r="AU53" s="443" t="str">
        <f>IF('Design Fee'!CQ55&gt;0,"✔","-")</f>
        <v>✔</v>
      </c>
      <c r="AV53" s="443" t="str">
        <f>IF('Design Fee'!CR55&gt;0,"✔","-")</f>
        <v>✔</v>
      </c>
      <c r="AW53" s="452" t="str">
        <f>IF('Design Fee'!CS55&gt;0,"✔","-")</f>
        <v>✔</v>
      </c>
      <c r="AX53" s="452" t="str">
        <f>IF('Design Fee'!CT55&gt;0,"✔","-")</f>
        <v>-</v>
      </c>
      <c r="AY53" s="452" t="str">
        <f>IF('Design Fee'!CU55&gt;0,"✔","-")</f>
        <v>-</v>
      </c>
      <c r="AZ53" s="452" t="str">
        <f>IF('Design Fee'!CV55&gt;0,"✔","-")</f>
        <v>-</v>
      </c>
      <c r="BA53" s="452" t="str">
        <f>IF('Design Fee'!CW55&gt;0,"✔","-")</f>
        <v>-</v>
      </c>
      <c r="BB53" s="466" t="str">
        <f>IF('Design Fee'!CX55&gt;0,"✔","-")</f>
        <v>-</v>
      </c>
      <c r="BC53" s="445"/>
      <c r="BD53" s="444" t="str">
        <f>IF('Design Fee'!CZ55&gt;0,"✔","-")</f>
        <v>-</v>
      </c>
      <c r="BE53" s="444" t="str">
        <f>IF('Design Fee'!DA55&gt;0,"✔","-")</f>
        <v>-</v>
      </c>
      <c r="BF53" s="444" t="str">
        <f>IF('Design Fee'!DB55&gt;0,"✔","-")</f>
        <v>-</v>
      </c>
      <c r="BG53" s="444" t="str">
        <f>IF('Design Fee'!DC55&gt;0,"✔","-")</f>
        <v>-</v>
      </c>
      <c r="BH53" s="444" t="str">
        <f>IF('Design Fee'!DD55&gt;0,"✔","-")</f>
        <v>-</v>
      </c>
      <c r="BI53" s="445"/>
      <c r="BJ53" s="441"/>
      <c r="BK53" s="442"/>
      <c r="BL53" s="443" t="str">
        <f>IF('Design Fee'!EA55&gt;0,"✔","-")</f>
        <v>-</v>
      </c>
      <c r="BM53" s="443" t="str">
        <f>IF('Design Fee'!EB55&gt;0,"✔","-")</f>
        <v>-</v>
      </c>
      <c r="BN53" s="452" t="str">
        <f>IF('Design Fee'!EC55&gt;0,"✔","-")</f>
        <v>-</v>
      </c>
      <c r="BO53" s="452" t="str">
        <f>IF('Design Fee'!ED55&gt;0,"✔","-")</f>
        <v>-</v>
      </c>
      <c r="BP53" s="452" t="str">
        <f>IF('Design Fee'!EE55&gt;0,"✔","-")</f>
        <v>-</v>
      </c>
      <c r="BQ53" s="452" t="str">
        <f>IF('Design Fee'!EF55&gt;0,"✔","-")</f>
        <v>-</v>
      </c>
      <c r="BR53" s="452" t="str">
        <f>IF('Design Fee'!EG55&gt;0,"✔","-")</f>
        <v>-</v>
      </c>
      <c r="BS53" s="466" t="str">
        <f>IF('Design Fee'!EH55&gt;0,"✔","-")</f>
        <v>-</v>
      </c>
      <c r="BT53" s="383"/>
      <c r="BU53" s="444" t="str">
        <f>IF('Design Fee'!EJ55&gt;0,"✔","-")</f>
        <v>-</v>
      </c>
      <c r="BV53" s="444" t="str">
        <f>IF('Design Fee'!EK55&gt;0,"✔","-")</f>
        <v>-</v>
      </c>
      <c r="BW53" s="444" t="str">
        <f>IF('Design Fee'!EL55&gt;0,"✔","-")</f>
        <v>-</v>
      </c>
      <c r="BX53" s="444" t="str">
        <f>IF('Design Fee'!EM55&gt;0,"✔","-")</f>
        <v>-</v>
      </c>
      <c r="BY53" s="444" t="str">
        <f>IF('Design Fee'!EN55&gt;0,"✔","-")</f>
        <v>-</v>
      </c>
      <c r="BZ53" s="383"/>
    </row>
    <row r="54" spans="2:92" ht="12.75" outlineLevel="2">
      <c r="B54" s="463" t="s">
        <v>59</v>
      </c>
      <c r="C54" s="464">
        <v>5</v>
      </c>
      <c r="D54" s="465" t="s">
        <v>60</v>
      </c>
      <c r="E54" s="383"/>
      <c r="F54" s="443">
        <f t="shared" si="12"/>
        <v>2</v>
      </c>
      <c r="G54" s="452">
        <f t="shared" si="13"/>
        <v>2</v>
      </c>
      <c r="H54" s="452">
        <f t="shared" si="13"/>
        <v>2</v>
      </c>
      <c r="I54" s="452">
        <f t="shared" si="14"/>
        <v>0</v>
      </c>
      <c r="J54" s="430"/>
      <c r="K54" s="441"/>
      <c r="L54" s="442"/>
      <c r="M54" s="443" t="str">
        <f>IF('Design Fee'!W56&gt;0,"✔","-")</f>
        <v>✔</v>
      </c>
      <c r="N54" s="443" t="str">
        <f>IF('Design Fee'!X56&gt;0,"✔","-")</f>
        <v>✔</v>
      </c>
      <c r="O54" s="452" t="str">
        <f>IF('Design Fee'!Y56&gt;0,"✔","-")</f>
        <v>✔</v>
      </c>
      <c r="P54" s="452" t="str">
        <f>IF('Design Fee'!Z56&gt;0,"✔","-")</f>
        <v>-</v>
      </c>
      <c r="Q54" s="452" t="str">
        <f>IF('Design Fee'!AA56&gt;0,"✔","-")</f>
        <v>-</v>
      </c>
      <c r="R54" s="452" t="str">
        <f>IF('Design Fee'!AB56&gt;0,"✔","-")</f>
        <v>-</v>
      </c>
      <c r="S54" s="452" t="str">
        <f>IF('Design Fee'!AC56&gt;0,"✔","-")</f>
        <v>-</v>
      </c>
      <c r="T54" s="466" t="str">
        <f>IF('Design Fee'!AD56&gt;0,"✔","-")</f>
        <v>-</v>
      </c>
      <c r="U54" s="430"/>
      <c r="V54" s="444" t="str">
        <f>IF('Design Fee'!AF56&gt;0,"✔","-")</f>
        <v>-</v>
      </c>
      <c r="W54" s="444" t="str">
        <f>IF('Design Fee'!AG56&gt;0,"✔","-")</f>
        <v>-</v>
      </c>
      <c r="X54" s="444" t="str">
        <f>IF('Design Fee'!AH56&gt;0,"✔","-")</f>
        <v>-</v>
      </c>
      <c r="Y54" s="444" t="str">
        <f>IF('Design Fee'!AI56&gt;0,"✔","-")</f>
        <v>-</v>
      </c>
      <c r="Z54" s="444" t="str">
        <f>IF('Design Fee'!AJ56&gt;0,"✔","-")</f>
        <v>-</v>
      </c>
      <c r="AA54" s="430"/>
      <c r="AB54" s="441"/>
      <c r="AC54" s="442"/>
      <c r="AD54" s="443" t="str">
        <f>IF('Design Fee'!BG56&gt;0,"✔","-")</f>
        <v>✔</v>
      </c>
      <c r="AE54" s="443" t="str">
        <f>IF('Design Fee'!BH56&gt;0,"✔","-")</f>
        <v>✔</v>
      </c>
      <c r="AF54" s="452" t="str">
        <f>IF('Design Fee'!BI56&gt;0,"✔","-")</f>
        <v>✔</v>
      </c>
      <c r="AG54" s="452" t="str">
        <f>IF('Design Fee'!BJ56&gt;0,"✔","-")</f>
        <v>-</v>
      </c>
      <c r="AH54" s="452" t="str">
        <f>IF('Design Fee'!BK56&gt;0,"✔","-")</f>
        <v>-</v>
      </c>
      <c r="AI54" s="452" t="str">
        <f>IF('Design Fee'!BL56&gt;0,"✔","-")</f>
        <v>-</v>
      </c>
      <c r="AJ54" s="452" t="str">
        <f>IF('Design Fee'!BM56&gt;0,"✔","-")</f>
        <v>-</v>
      </c>
      <c r="AK54" s="466" t="str">
        <f>IF('Design Fee'!BN56&gt;0,"✔","-")</f>
        <v>-</v>
      </c>
      <c r="AL54" s="445"/>
      <c r="AM54" s="444" t="str">
        <f>IF('Design Fee'!BP56&gt;0,"✔","-")</f>
        <v>-</v>
      </c>
      <c r="AN54" s="444" t="str">
        <f>IF('Design Fee'!BQ56&gt;0,"✔","-")</f>
        <v>-</v>
      </c>
      <c r="AO54" s="444" t="str">
        <f>IF('Design Fee'!BR56&gt;0,"✔","-")</f>
        <v>-</v>
      </c>
      <c r="AP54" s="444" t="str">
        <f>IF('Design Fee'!BS56&gt;0,"✔","-")</f>
        <v>-</v>
      </c>
      <c r="AQ54" s="444" t="str">
        <f>IF('Design Fee'!BT56&gt;0,"✔","-")</f>
        <v>-</v>
      </c>
      <c r="AR54" s="445"/>
      <c r="AS54" s="441"/>
      <c r="AT54" s="442"/>
      <c r="AU54" s="443" t="str">
        <f>IF('Design Fee'!CQ56&gt;0,"✔","-")</f>
        <v>-</v>
      </c>
      <c r="AV54" s="443" t="str">
        <f>IF('Design Fee'!CR56&gt;0,"✔","-")</f>
        <v>-</v>
      </c>
      <c r="AW54" s="452" t="str">
        <f>IF('Design Fee'!CS56&gt;0,"✔","-")</f>
        <v>-</v>
      </c>
      <c r="AX54" s="452" t="str">
        <f>IF('Design Fee'!CT56&gt;0,"✔","-")</f>
        <v>-</v>
      </c>
      <c r="AY54" s="452" t="str">
        <f>IF('Design Fee'!CU56&gt;0,"✔","-")</f>
        <v>-</v>
      </c>
      <c r="AZ54" s="452" t="str">
        <f>IF('Design Fee'!CV56&gt;0,"✔","-")</f>
        <v>-</v>
      </c>
      <c r="BA54" s="452" t="str">
        <f>IF('Design Fee'!CW56&gt;0,"✔","-")</f>
        <v>-</v>
      </c>
      <c r="BB54" s="466" t="str">
        <f>IF('Design Fee'!CX56&gt;0,"✔","-")</f>
        <v>-</v>
      </c>
      <c r="BC54" s="445"/>
      <c r="BD54" s="444" t="str">
        <f>IF('Design Fee'!CZ56&gt;0,"✔","-")</f>
        <v>-</v>
      </c>
      <c r="BE54" s="444" t="str">
        <f>IF('Design Fee'!DA56&gt;0,"✔","-")</f>
        <v>-</v>
      </c>
      <c r="BF54" s="444" t="str">
        <f>IF('Design Fee'!DB56&gt;0,"✔","-")</f>
        <v>-</v>
      </c>
      <c r="BG54" s="444" t="str">
        <f>IF('Design Fee'!DC56&gt;0,"✔","-")</f>
        <v>-</v>
      </c>
      <c r="BH54" s="444" t="str">
        <f>IF('Design Fee'!DD56&gt;0,"✔","-")</f>
        <v>-</v>
      </c>
      <c r="BI54" s="445"/>
      <c r="BJ54" s="441"/>
      <c r="BK54" s="442"/>
      <c r="BL54" s="443" t="str">
        <f>IF('Design Fee'!EA56&gt;0,"✔","-")</f>
        <v>-</v>
      </c>
      <c r="BM54" s="443" t="str">
        <f>IF('Design Fee'!EB56&gt;0,"✔","-")</f>
        <v>-</v>
      </c>
      <c r="BN54" s="452" t="str">
        <f>IF('Design Fee'!EC56&gt;0,"✔","-")</f>
        <v>-</v>
      </c>
      <c r="BO54" s="452" t="str">
        <f>IF('Design Fee'!ED56&gt;0,"✔","-")</f>
        <v>-</v>
      </c>
      <c r="BP54" s="452" t="str">
        <f>IF('Design Fee'!EE56&gt;0,"✔","-")</f>
        <v>-</v>
      </c>
      <c r="BQ54" s="452" t="str">
        <f>IF('Design Fee'!EF56&gt;0,"✔","-")</f>
        <v>-</v>
      </c>
      <c r="BR54" s="452" t="str">
        <f>IF('Design Fee'!EG56&gt;0,"✔","-")</f>
        <v>-</v>
      </c>
      <c r="BS54" s="466" t="str">
        <f>IF('Design Fee'!EH56&gt;0,"✔","-")</f>
        <v>-</v>
      </c>
      <c r="BT54" s="383"/>
      <c r="BU54" s="444" t="str">
        <f>IF('Design Fee'!EJ56&gt;0,"✔","-")</f>
        <v>-</v>
      </c>
      <c r="BV54" s="444" t="str">
        <f>IF('Design Fee'!EK56&gt;0,"✔","-")</f>
        <v>-</v>
      </c>
      <c r="BW54" s="444" t="str">
        <f>IF('Design Fee'!EL56&gt;0,"✔","-")</f>
        <v>-</v>
      </c>
      <c r="BX54" s="444" t="str">
        <f>IF('Design Fee'!EM56&gt;0,"✔","-")</f>
        <v>-</v>
      </c>
      <c r="BY54" s="444" t="str">
        <f>IF('Design Fee'!EN56&gt;0,"✔","-")</f>
        <v>-</v>
      </c>
      <c r="BZ54" s="383"/>
    </row>
    <row r="55" spans="2:92" ht="12.75" outlineLevel="2">
      <c r="B55" s="463" t="s">
        <v>61</v>
      </c>
      <c r="C55" s="464">
        <v>6</v>
      </c>
      <c r="D55" s="465" t="s">
        <v>62</v>
      </c>
      <c r="E55" s="383"/>
      <c r="F55" s="443">
        <f t="shared" si="12"/>
        <v>2</v>
      </c>
      <c r="G55" s="452">
        <f t="shared" si="13"/>
        <v>2</v>
      </c>
      <c r="H55" s="452">
        <f t="shared" si="13"/>
        <v>2</v>
      </c>
      <c r="I55" s="452">
        <f t="shared" si="14"/>
        <v>0</v>
      </c>
      <c r="J55" s="430"/>
      <c r="K55" s="441"/>
      <c r="L55" s="442"/>
      <c r="M55" s="443" t="str">
        <f>IF('Design Fee'!W57&gt;0,"✔","-")</f>
        <v>✔</v>
      </c>
      <c r="N55" s="443" t="str">
        <f>IF('Design Fee'!X57&gt;0,"✔","-")</f>
        <v>✔</v>
      </c>
      <c r="O55" s="452" t="str">
        <f>IF('Design Fee'!Y57&gt;0,"✔","-")</f>
        <v>✔</v>
      </c>
      <c r="P55" s="452" t="str">
        <f>IF('Design Fee'!Z57&gt;0,"✔","-")</f>
        <v>-</v>
      </c>
      <c r="Q55" s="452" t="str">
        <f>IF('Design Fee'!AA57&gt;0,"✔","-")</f>
        <v>-</v>
      </c>
      <c r="R55" s="452" t="str">
        <f>IF('Design Fee'!AB57&gt;0,"✔","-")</f>
        <v>-</v>
      </c>
      <c r="S55" s="452" t="str">
        <f>IF('Design Fee'!AC57&gt;0,"✔","-")</f>
        <v>-</v>
      </c>
      <c r="T55" s="466" t="str">
        <f>IF('Design Fee'!AD57&gt;0,"✔","-")</f>
        <v>-</v>
      </c>
      <c r="U55" s="430"/>
      <c r="V55" s="444" t="str">
        <f>IF('Design Fee'!AF57&gt;0,"✔","-")</f>
        <v>-</v>
      </c>
      <c r="W55" s="444" t="str">
        <f>IF('Design Fee'!AG57&gt;0,"✔","-")</f>
        <v>-</v>
      </c>
      <c r="X55" s="444" t="str">
        <f>IF('Design Fee'!AH57&gt;0,"✔","-")</f>
        <v>-</v>
      </c>
      <c r="Y55" s="444" t="str">
        <f>IF('Design Fee'!AI57&gt;0,"✔","-")</f>
        <v>-</v>
      </c>
      <c r="Z55" s="444" t="str">
        <f>IF('Design Fee'!AJ57&gt;0,"✔","-")</f>
        <v>-</v>
      </c>
      <c r="AA55" s="430"/>
      <c r="AB55" s="441"/>
      <c r="AC55" s="442"/>
      <c r="AD55" s="443" t="str">
        <f>IF('Design Fee'!BG57&gt;0,"✔","-")</f>
        <v>✔</v>
      </c>
      <c r="AE55" s="443" t="str">
        <f>IF('Design Fee'!BH57&gt;0,"✔","-")</f>
        <v>✔</v>
      </c>
      <c r="AF55" s="452" t="str">
        <f>IF('Design Fee'!BI57&gt;0,"✔","-")</f>
        <v>✔</v>
      </c>
      <c r="AG55" s="452" t="str">
        <f>IF('Design Fee'!BJ57&gt;0,"✔","-")</f>
        <v>-</v>
      </c>
      <c r="AH55" s="452" t="str">
        <f>IF('Design Fee'!BK57&gt;0,"✔","-")</f>
        <v>-</v>
      </c>
      <c r="AI55" s="452" t="str">
        <f>IF('Design Fee'!BL57&gt;0,"✔","-")</f>
        <v>-</v>
      </c>
      <c r="AJ55" s="452" t="str">
        <f>IF('Design Fee'!BM57&gt;0,"✔","-")</f>
        <v>-</v>
      </c>
      <c r="AK55" s="466" t="str">
        <f>IF('Design Fee'!BN57&gt;0,"✔","-")</f>
        <v>-</v>
      </c>
      <c r="AL55" s="445"/>
      <c r="AM55" s="444" t="str">
        <f>IF('Design Fee'!BP57&gt;0,"✔","-")</f>
        <v>-</v>
      </c>
      <c r="AN55" s="444" t="str">
        <f>IF('Design Fee'!BQ57&gt;0,"✔","-")</f>
        <v>-</v>
      </c>
      <c r="AO55" s="444" t="str">
        <f>IF('Design Fee'!BR57&gt;0,"✔","-")</f>
        <v>-</v>
      </c>
      <c r="AP55" s="444" t="str">
        <f>IF('Design Fee'!BS57&gt;0,"✔","-")</f>
        <v>-</v>
      </c>
      <c r="AQ55" s="444" t="str">
        <f>IF('Design Fee'!BT57&gt;0,"✔","-")</f>
        <v>-</v>
      </c>
      <c r="AR55" s="445"/>
      <c r="AS55" s="441"/>
      <c r="AT55" s="442"/>
      <c r="AU55" s="443" t="str">
        <f>IF('Design Fee'!CQ57&gt;0,"✔","-")</f>
        <v>-</v>
      </c>
      <c r="AV55" s="443" t="str">
        <f>IF('Design Fee'!CR57&gt;0,"✔","-")</f>
        <v>-</v>
      </c>
      <c r="AW55" s="452" t="str">
        <f>IF('Design Fee'!CS57&gt;0,"✔","-")</f>
        <v>-</v>
      </c>
      <c r="AX55" s="452" t="str">
        <f>IF('Design Fee'!CT57&gt;0,"✔","-")</f>
        <v>-</v>
      </c>
      <c r="AY55" s="452" t="str">
        <f>IF('Design Fee'!CU57&gt;0,"✔","-")</f>
        <v>-</v>
      </c>
      <c r="AZ55" s="452" t="str">
        <f>IF('Design Fee'!CV57&gt;0,"✔","-")</f>
        <v>-</v>
      </c>
      <c r="BA55" s="452" t="str">
        <f>IF('Design Fee'!CW57&gt;0,"✔","-")</f>
        <v>-</v>
      </c>
      <c r="BB55" s="466" t="str">
        <f>IF('Design Fee'!CX57&gt;0,"✔","-")</f>
        <v>-</v>
      </c>
      <c r="BC55" s="445"/>
      <c r="BD55" s="444" t="str">
        <f>IF('Design Fee'!CZ57&gt;0,"✔","-")</f>
        <v>-</v>
      </c>
      <c r="BE55" s="444" t="str">
        <f>IF('Design Fee'!DA57&gt;0,"✔","-")</f>
        <v>-</v>
      </c>
      <c r="BF55" s="444" t="str">
        <f>IF('Design Fee'!DB57&gt;0,"✔","-")</f>
        <v>-</v>
      </c>
      <c r="BG55" s="444" t="str">
        <f>IF('Design Fee'!DC57&gt;0,"✔","-")</f>
        <v>-</v>
      </c>
      <c r="BH55" s="444" t="str">
        <f>IF('Design Fee'!DD57&gt;0,"✔","-")</f>
        <v>-</v>
      </c>
      <c r="BI55" s="445"/>
      <c r="BJ55" s="441"/>
      <c r="BK55" s="442"/>
      <c r="BL55" s="443" t="str">
        <f>IF('Design Fee'!EA57&gt;0,"✔","-")</f>
        <v>-</v>
      </c>
      <c r="BM55" s="443" t="str">
        <f>IF('Design Fee'!EB57&gt;0,"✔","-")</f>
        <v>-</v>
      </c>
      <c r="BN55" s="452" t="str">
        <f>IF('Design Fee'!EC57&gt;0,"✔","-")</f>
        <v>-</v>
      </c>
      <c r="BO55" s="452" t="str">
        <f>IF('Design Fee'!ED57&gt;0,"✔","-")</f>
        <v>-</v>
      </c>
      <c r="BP55" s="452" t="str">
        <f>IF('Design Fee'!EE57&gt;0,"✔","-")</f>
        <v>-</v>
      </c>
      <c r="BQ55" s="452" t="str">
        <f>IF('Design Fee'!EF57&gt;0,"✔","-")</f>
        <v>-</v>
      </c>
      <c r="BR55" s="452" t="str">
        <f>IF('Design Fee'!EG57&gt;0,"✔","-")</f>
        <v>-</v>
      </c>
      <c r="BS55" s="466" t="str">
        <f>IF('Design Fee'!EH57&gt;0,"✔","-")</f>
        <v>-</v>
      </c>
      <c r="BT55" s="383"/>
      <c r="BU55" s="444" t="str">
        <f>IF('Design Fee'!EJ57&gt;0,"✔","-")</f>
        <v>-</v>
      </c>
      <c r="BV55" s="444" t="str">
        <f>IF('Design Fee'!EK57&gt;0,"✔","-")</f>
        <v>-</v>
      </c>
      <c r="BW55" s="444" t="str">
        <f>IF('Design Fee'!EL57&gt;0,"✔","-")</f>
        <v>-</v>
      </c>
      <c r="BX55" s="444" t="str">
        <f>IF('Design Fee'!EM57&gt;0,"✔","-")</f>
        <v>-</v>
      </c>
      <c r="BY55" s="444" t="str">
        <f>IF('Design Fee'!EN57&gt;0,"✔","-")</f>
        <v>-</v>
      </c>
      <c r="BZ55" s="383"/>
    </row>
    <row r="56" spans="2:92" s="95" customFormat="1" ht="12.75" outlineLevel="2">
      <c r="B56" s="463" t="s">
        <v>63</v>
      </c>
      <c r="C56" s="469">
        <v>7</v>
      </c>
      <c r="D56" s="470" t="s">
        <v>64</v>
      </c>
      <c r="E56" s="468"/>
      <c r="F56" s="473">
        <f t="shared" si="12"/>
        <v>2</v>
      </c>
      <c r="G56" s="466">
        <f t="shared" si="13"/>
        <v>2</v>
      </c>
      <c r="H56" s="466">
        <f t="shared" si="13"/>
        <v>2</v>
      </c>
      <c r="I56" s="466">
        <f t="shared" si="14"/>
        <v>0</v>
      </c>
      <c r="J56" s="475"/>
      <c r="K56" s="471"/>
      <c r="L56" s="472"/>
      <c r="M56" s="443" t="str">
        <f>IF('Design Fee'!W58&gt;0,"✔","-")</f>
        <v>✔</v>
      </c>
      <c r="N56" s="443" t="str">
        <f>IF('Design Fee'!X58&gt;0,"✔","-")</f>
        <v>✔</v>
      </c>
      <c r="O56" s="466" t="str">
        <f>IF('Design Fee'!Y58&gt;0,"✔","-")</f>
        <v>✔</v>
      </c>
      <c r="P56" s="466" t="str">
        <f>IF('Design Fee'!Z58&gt;0,"✔","-")</f>
        <v>-</v>
      </c>
      <c r="Q56" s="474" t="str">
        <f>IF('Design Fee'!AA58&gt;0,"✔","-")</f>
        <v>-</v>
      </c>
      <c r="R56" s="444" t="str">
        <f>IF('Design Fee'!AB58&gt;0,"✔","-")</f>
        <v>-</v>
      </c>
      <c r="S56" s="444" t="str">
        <f>IF('Design Fee'!AC58&gt;0,"✔","-")</f>
        <v>-</v>
      </c>
      <c r="T56" s="466" t="str">
        <f>IF('Design Fee'!AD58&gt;0,"✔","-")</f>
        <v>-</v>
      </c>
      <c r="U56" s="475"/>
      <c r="V56" s="444" t="str">
        <f>IF('Design Fee'!AF58&gt;0,"✔","-")</f>
        <v>-</v>
      </c>
      <c r="W56" s="444" t="str">
        <f>IF('Design Fee'!AG58&gt;0,"✔","-")</f>
        <v>-</v>
      </c>
      <c r="X56" s="444" t="str">
        <f>IF('Design Fee'!AH58&gt;0,"✔","-")</f>
        <v>-</v>
      </c>
      <c r="Y56" s="444" t="str">
        <f>IF('Design Fee'!AI58&gt;0,"✔","-")</f>
        <v>-</v>
      </c>
      <c r="Z56" s="444" t="str">
        <f>IF('Design Fee'!AJ58&gt;0,"✔","-")</f>
        <v>-</v>
      </c>
      <c r="AA56" s="475"/>
      <c r="AB56" s="471"/>
      <c r="AC56" s="472"/>
      <c r="AD56" s="443" t="str">
        <f>IF('Design Fee'!BG58&gt;0,"✔","-")</f>
        <v>-</v>
      </c>
      <c r="AE56" s="443" t="str">
        <f>IF('Design Fee'!BH58&gt;0,"✔","-")</f>
        <v>-</v>
      </c>
      <c r="AF56" s="466" t="str">
        <f>IF('Design Fee'!BI58&gt;0,"✔","-")</f>
        <v>-</v>
      </c>
      <c r="AG56" s="466" t="str">
        <f>IF('Design Fee'!BJ58&gt;0,"✔","-")</f>
        <v>-</v>
      </c>
      <c r="AH56" s="474" t="str">
        <f>IF('Design Fee'!BK58&gt;0,"✔","-")</f>
        <v>-</v>
      </c>
      <c r="AI56" s="444" t="str">
        <f>IF('Design Fee'!BL58&gt;0,"✔","-")</f>
        <v>-</v>
      </c>
      <c r="AJ56" s="444" t="str">
        <f>IF('Design Fee'!BM58&gt;0,"✔","-")</f>
        <v>-</v>
      </c>
      <c r="AK56" s="466" t="str">
        <f>IF('Design Fee'!BN58&gt;0,"✔","-")</f>
        <v>-</v>
      </c>
      <c r="AL56" s="476"/>
      <c r="AM56" s="444" t="str">
        <f>IF('Design Fee'!BP58&gt;0,"✔","-")</f>
        <v>-</v>
      </c>
      <c r="AN56" s="444" t="str">
        <f>IF('Design Fee'!BQ58&gt;0,"✔","-")</f>
        <v>-</v>
      </c>
      <c r="AO56" s="444" t="str">
        <f>IF('Design Fee'!BR58&gt;0,"✔","-")</f>
        <v>-</v>
      </c>
      <c r="AP56" s="444" t="str">
        <f>IF('Design Fee'!BS58&gt;0,"✔","-")</f>
        <v>-</v>
      </c>
      <c r="AQ56" s="444" t="str">
        <f>IF('Design Fee'!BT58&gt;0,"✔","-")</f>
        <v>-</v>
      </c>
      <c r="AR56" s="476"/>
      <c r="AS56" s="471"/>
      <c r="AT56" s="472"/>
      <c r="AU56" s="443" t="str">
        <f>IF('Design Fee'!CQ58&gt;0,"✔","-")</f>
        <v>✔</v>
      </c>
      <c r="AV56" s="443" t="str">
        <f>IF('Design Fee'!CR58&gt;0,"✔","-")</f>
        <v>✔</v>
      </c>
      <c r="AW56" s="466" t="str">
        <f>IF('Design Fee'!CS58&gt;0,"✔","-")</f>
        <v>✔</v>
      </c>
      <c r="AX56" s="466" t="str">
        <f>IF('Design Fee'!CT58&gt;0,"✔","-")</f>
        <v>-</v>
      </c>
      <c r="AY56" s="474" t="str">
        <f>IF('Design Fee'!CU58&gt;0,"✔","-")</f>
        <v>-</v>
      </c>
      <c r="AZ56" s="444" t="str">
        <f>IF('Design Fee'!CV58&gt;0,"✔","-")</f>
        <v>-</v>
      </c>
      <c r="BA56" s="444" t="str">
        <f>IF('Design Fee'!CW58&gt;0,"✔","-")</f>
        <v>-</v>
      </c>
      <c r="BB56" s="466" t="str">
        <f>IF('Design Fee'!CX58&gt;0,"✔","-")</f>
        <v>-</v>
      </c>
      <c r="BC56" s="476"/>
      <c r="BD56" s="444" t="str">
        <f>IF('Design Fee'!CZ58&gt;0,"✔","-")</f>
        <v>-</v>
      </c>
      <c r="BE56" s="444" t="str">
        <f>IF('Design Fee'!DA58&gt;0,"✔","-")</f>
        <v>-</v>
      </c>
      <c r="BF56" s="444" t="str">
        <f>IF('Design Fee'!DB58&gt;0,"✔","-")</f>
        <v>-</v>
      </c>
      <c r="BG56" s="444" t="str">
        <f>IF('Design Fee'!DC58&gt;0,"✔","-")</f>
        <v>-</v>
      </c>
      <c r="BH56" s="444" t="str">
        <f>IF('Design Fee'!DD58&gt;0,"✔","-")</f>
        <v>-</v>
      </c>
      <c r="BI56" s="476"/>
      <c r="BJ56" s="471"/>
      <c r="BK56" s="472"/>
      <c r="BL56" s="443" t="str">
        <f>IF('Design Fee'!EA58&gt;0,"✔","-")</f>
        <v>-</v>
      </c>
      <c r="BM56" s="443" t="str">
        <f>IF('Design Fee'!EB58&gt;0,"✔","-")</f>
        <v>-</v>
      </c>
      <c r="BN56" s="466" t="str">
        <f>IF('Design Fee'!EC58&gt;0,"✔","-")</f>
        <v>-</v>
      </c>
      <c r="BO56" s="466" t="str">
        <f>IF('Design Fee'!ED58&gt;0,"✔","-")</f>
        <v>-</v>
      </c>
      <c r="BP56" s="474" t="str">
        <f>IF('Design Fee'!EE58&gt;0,"✔","-")</f>
        <v>-</v>
      </c>
      <c r="BQ56" s="444" t="str">
        <f>IF('Design Fee'!EF58&gt;0,"✔","-")</f>
        <v>-</v>
      </c>
      <c r="BR56" s="444" t="str">
        <f>IF('Design Fee'!EG58&gt;0,"✔","-")</f>
        <v>-</v>
      </c>
      <c r="BS56" s="466" t="str">
        <f>IF('Design Fee'!EH58&gt;0,"✔","-")</f>
        <v>-</v>
      </c>
      <c r="BT56" s="468"/>
      <c r="BU56" s="444" t="str">
        <f>IF('Design Fee'!EJ58&gt;0,"✔","-")</f>
        <v>-</v>
      </c>
      <c r="BV56" s="444" t="str">
        <f>IF('Design Fee'!EK58&gt;0,"✔","-")</f>
        <v>-</v>
      </c>
      <c r="BW56" s="444" t="str">
        <f>IF('Design Fee'!EL58&gt;0,"✔","-")</f>
        <v>-</v>
      </c>
      <c r="BX56" s="444" t="str">
        <f>IF('Design Fee'!EM58&gt;0,"✔","-")</f>
        <v>-</v>
      </c>
      <c r="BY56" s="444" t="str">
        <f>IF('Design Fee'!EN58&gt;0,"✔","-")</f>
        <v>-</v>
      </c>
      <c r="BZ56" s="383"/>
      <c r="CN56" s="95" t="s">
        <v>65</v>
      </c>
    </row>
    <row r="57" spans="2:92" ht="12.75" outlineLevel="2">
      <c r="B57" s="463" t="s">
        <v>66</v>
      </c>
      <c r="C57" s="464">
        <v>8</v>
      </c>
      <c r="D57" s="465" t="s">
        <v>67</v>
      </c>
      <c r="E57" s="383"/>
      <c r="F57" s="443">
        <f t="shared" si="12"/>
        <v>3</v>
      </c>
      <c r="G57" s="444">
        <f t="shared" si="13"/>
        <v>3</v>
      </c>
      <c r="H57" s="444">
        <f t="shared" si="13"/>
        <v>3</v>
      </c>
      <c r="I57" s="444">
        <f t="shared" si="14"/>
        <v>0</v>
      </c>
      <c r="J57" s="430"/>
      <c r="K57" s="441"/>
      <c r="L57" s="442"/>
      <c r="M57" s="443" t="str">
        <f>IF('Design Fee'!W59&gt;0,"✔","-")</f>
        <v>✔</v>
      </c>
      <c r="N57" s="443" t="str">
        <f>IF('Design Fee'!X59&gt;0,"✔","-")</f>
        <v>✔</v>
      </c>
      <c r="O57" s="444" t="str">
        <f>IF('Design Fee'!Y59&gt;0,"✔","-")</f>
        <v>✔</v>
      </c>
      <c r="P57" s="444" t="str">
        <f>IF('Design Fee'!Z59&gt;0,"✔","-")</f>
        <v>-</v>
      </c>
      <c r="Q57" s="444" t="str">
        <f>IF('Design Fee'!AA59&gt;0,"✔","-")</f>
        <v>-</v>
      </c>
      <c r="R57" s="444" t="str">
        <f>IF('Design Fee'!AB59&gt;0,"✔","-")</f>
        <v>-</v>
      </c>
      <c r="S57" s="444" t="str">
        <f>IF('Design Fee'!AC59&gt;0,"✔","-")</f>
        <v>-</v>
      </c>
      <c r="T57" s="466" t="str">
        <f>IF('Design Fee'!AD59&gt;0,"✔","-")</f>
        <v>-</v>
      </c>
      <c r="U57" s="430"/>
      <c r="V57" s="444" t="str">
        <f>IF('Design Fee'!AF59&gt;0,"✔","-")</f>
        <v>-</v>
      </c>
      <c r="W57" s="444" t="str">
        <f>IF('Design Fee'!AG59&gt;0,"✔","-")</f>
        <v>-</v>
      </c>
      <c r="X57" s="444" t="str">
        <f>IF('Design Fee'!AH59&gt;0,"✔","-")</f>
        <v>-</v>
      </c>
      <c r="Y57" s="444" t="str">
        <f>IF('Design Fee'!AI59&gt;0,"✔","-")</f>
        <v>-</v>
      </c>
      <c r="Z57" s="444" t="str">
        <f>IF('Design Fee'!AJ59&gt;0,"✔","-")</f>
        <v>-</v>
      </c>
      <c r="AA57" s="430"/>
      <c r="AB57" s="441"/>
      <c r="AC57" s="442"/>
      <c r="AD57" s="443" t="str">
        <f>IF('Design Fee'!BG59&gt;0,"✔","-")</f>
        <v>✔</v>
      </c>
      <c r="AE57" s="443" t="str">
        <f>IF('Design Fee'!BH59&gt;0,"✔","-")</f>
        <v>✔</v>
      </c>
      <c r="AF57" s="444" t="str">
        <f>IF('Design Fee'!BI59&gt;0,"✔","-")</f>
        <v>✔</v>
      </c>
      <c r="AG57" s="444" t="str">
        <f>IF('Design Fee'!BJ59&gt;0,"✔","-")</f>
        <v>-</v>
      </c>
      <c r="AH57" s="444" t="str">
        <f>IF('Design Fee'!BK59&gt;0,"✔","-")</f>
        <v>-</v>
      </c>
      <c r="AI57" s="444" t="str">
        <f>IF('Design Fee'!BL59&gt;0,"✔","-")</f>
        <v>-</v>
      </c>
      <c r="AJ57" s="444" t="str">
        <f>IF('Design Fee'!BM59&gt;0,"✔","-")</f>
        <v>-</v>
      </c>
      <c r="AK57" s="466" t="str">
        <f>IF('Design Fee'!BN59&gt;0,"✔","-")</f>
        <v>-</v>
      </c>
      <c r="AL57" s="445"/>
      <c r="AM57" s="444" t="str">
        <f>IF('Design Fee'!BP59&gt;0,"✔","-")</f>
        <v>-</v>
      </c>
      <c r="AN57" s="444" t="str">
        <f>IF('Design Fee'!BQ59&gt;0,"✔","-")</f>
        <v>-</v>
      </c>
      <c r="AO57" s="444" t="str">
        <f>IF('Design Fee'!BR59&gt;0,"✔","-")</f>
        <v>-</v>
      </c>
      <c r="AP57" s="444" t="str">
        <f>IF('Design Fee'!BS59&gt;0,"✔","-")</f>
        <v>-</v>
      </c>
      <c r="AQ57" s="444" t="str">
        <f>IF('Design Fee'!BT59&gt;0,"✔","-")</f>
        <v>-</v>
      </c>
      <c r="AR57" s="445"/>
      <c r="AS57" s="441"/>
      <c r="AT57" s="442"/>
      <c r="AU57" s="443" t="str">
        <f>IF('Design Fee'!CQ59&gt;0,"✔","-")</f>
        <v>✔</v>
      </c>
      <c r="AV57" s="443" t="str">
        <f>IF('Design Fee'!CR59&gt;0,"✔","-")</f>
        <v>✔</v>
      </c>
      <c r="AW57" s="444" t="str">
        <f>IF('Design Fee'!CS59&gt;0,"✔","-")</f>
        <v>✔</v>
      </c>
      <c r="AX57" s="444" t="str">
        <f>IF('Design Fee'!CT59&gt;0,"✔","-")</f>
        <v>-</v>
      </c>
      <c r="AY57" s="444" t="str">
        <f>IF('Design Fee'!CU59&gt;0,"✔","-")</f>
        <v>-</v>
      </c>
      <c r="AZ57" s="444" t="str">
        <f>IF('Design Fee'!CV59&gt;0,"✔","-")</f>
        <v>-</v>
      </c>
      <c r="BA57" s="444" t="str">
        <f>IF('Design Fee'!CW59&gt;0,"✔","-")</f>
        <v>-</v>
      </c>
      <c r="BB57" s="466" t="str">
        <f>IF('Design Fee'!CX59&gt;0,"✔","-")</f>
        <v>-</v>
      </c>
      <c r="BC57" s="445"/>
      <c r="BD57" s="444" t="str">
        <f>IF('Design Fee'!CZ59&gt;0,"✔","-")</f>
        <v>-</v>
      </c>
      <c r="BE57" s="444" t="str">
        <f>IF('Design Fee'!DA59&gt;0,"✔","-")</f>
        <v>-</v>
      </c>
      <c r="BF57" s="444" t="str">
        <f>IF('Design Fee'!DB59&gt;0,"✔","-")</f>
        <v>-</v>
      </c>
      <c r="BG57" s="444" t="str">
        <f>IF('Design Fee'!DC59&gt;0,"✔","-")</f>
        <v>-</v>
      </c>
      <c r="BH57" s="444" t="str">
        <f>IF('Design Fee'!DD59&gt;0,"✔","-")</f>
        <v>-</v>
      </c>
      <c r="BI57" s="445"/>
      <c r="BJ57" s="441"/>
      <c r="BK57" s="442"/>
      <c r="BL57" s="443" t="str">
        <f>IF('Design Fee'!EA59&gt;0,"✔","-")</f>
        <v>-</v>
      </c>
      <c r="BM57" s="443" t="str">
        <f>IF('Design Fee'!EB59&gt;0,"✔","-")</f>
        <v>-</v>
      </c>
      <c r="BN57" s="444" t="str">
        <f>IF('Design Fee'!EC59&gt;0,"✔","-")</f>
        <v>-</v>
      </c>
      <c r="BO57" s="444" t="str">
        <f>IF('Design Fee'!ED59&gt;0,"✔","-")</f>
        <v>-</v>
      </c>
      <c r="BP57" s="444" t="str">
        <f>IF('Design Fee'!EE59&gt;0,"✔","-")</f>
        <v>-</v>
      </c>
      <c r="BQ57" s="444" t="str">
        <f>IF('Design Fee'!EF59&gt;0,"✔","-")</f>
        <v>-</v>
      </c>
      <c r="BR57" s="444" t="str">
        <f>IF('Design Fee'!EG59&gt;0,"✔","-")</f>
        <v>-</v>
      </c>
      <c r="BS57" s="466" t="str">
        <f>IF('Design Fee'!EH59&gt;0,"✔","-")</f>
        <v>-</v>
      </c>
      <c r="BT57" s="383"/>
      <c r="BU57" s="444" t="str">
        <f>IF('Design Fee'!EJ59&gt;0,"✔","-")</f>
        <v>-</v>
      </c>
      <c r="BV57" s="444" t="str">
        <f>IF('Design Fee'!EK59&gt;0,"✔","-")</f>
        <v>-</v>
      </c>
      <c r="BW57" s="444" t="str">
        <f>IF('Design Fee'!EL59&gt;0,"✔","-")</f>
        <v>-</v>
      </c>
      <c r="BX57" s="444" t="str">
        <f>IF('Design Fee'!EM59&gt;0,"✔","-")</f>
        <v>-</v>
      </c>
      <c r="BY57" s="444" t="str">
        <f>IF('Design Fee'!EN59&gt;0,"✔","-")</f>
        <v>-</v>
      </c>
      <c r="BZ57" s="383"/>
    </row>
    <row r="58" spans="2:92" s="95" customFormat="1" ht="12.75" outlineLevel="2">
      <c r="B58" s="463" t="s">
        <v>68</v>
      </c>
      <c r="C58" s="469">
        <v>9</v>
      </c>
      <c r="D58" s="470" t="s">
        <v>69</v>
      </c>
      <c r="E58" s="468"/>
      <c r="F58" s="473">
        <f t="shared" si="12"/>
        <v>3</v>
      </c>
      <c r="G58" s="466">
        <f t="shared" si="13"/>
        <v>3</v>
      </c>
      <c r="H58" s="466">
        <f t="shared" si="13"/>
        <v>3</v>
      </c>
      <c r="I58" s="466">
        <f t="shared" si="14"/>
        <v>0</v>
      </c>
      <c r="J58" s="475"/>
      <c r="K58" s="471"/>
      <c r="L58" s="472"/>
      <c r="M58" s="443" t="str">
        <f>IF('Design Fee'!W60&gt;0,"✔","-")</f>
        <v>✔</v>
      </c>
      <c r="N58" s="443" t="str">
        <f>IF('Design Fee'!X60&gt;0,"✔","-")</f>
        <v>✔</v>
      </c>
      <c r="O58" s="466" t="str">
        <f>IF('Design Fee'!Y60&gt;0,"✔","-")</f>
        <v>✔</v>
      </c>
      <c r="P58" s="466" t="str">
        <f>IF('Design Fee'!Z60&gt;0,"✔","-")</f>
        <v>-</v>
      </c>
      <c r="Q58" s="466" t="str">
        <f>IF('Design Fee'!AA60&gt;0,"✔","-")</f>
        <v>-</v>
      </c>
      <c r="R58" s="444" t="str">
        <f>IF('Design Fee'!AB60&gt;0,"✔","-")</f>
        <v>-</v>
      </c>
      <c r="S58" s="444" t="str">
        <f>IF('Design Fee'!AC60&gt;0,"✔","-")</f>
        <v>-</v>
      </c>
      <c r="T58" s="466" t="str">
        <f>IF('Design Fee'!AD60&gt;0,"✔","-")</f>
        <v>-</v>
      </c>
      <c r="U58" s="475"/>
      <c r="V58" s="444" t="str">
        <f>IF('Design Fee'!AF60&gt;0,"✔","-")</f>
        <v>-</v>
      </c>
      <c r="W58" s="444" t="str">
        <f>IF('Design Fee'!AG60&gt;0,"✔","-")</f>
        <v>-</v>
      </c>
      <c r="X58" s="444" t="str">
        <f>IF('Design Fee'!AH60&gt;0,"✔","-")</f>
        <v>-</v>
      </c>
      <c r="Y58" s="444" t="str">
        <f>IF('Design Fee'!AI60&gt;0,"✔","-")</f>
        <v>-</v>
      </c>
      <c r="Z58" s="444" t="str">
        <f>IF('Design Fee'!AJ60&gt;0,"✔","-")</f>
        <v>-</v>
      </c>
      <c r="AA58" s="475"/>
      <c r="AB58" s="471"/>
      <c r="AC58" s="472"/>
      <c r="AD58" s="443" t="str">
        <f>IF('Design Fee'!BG60&gt;0,"✔","-")</f>
        <v>✔</v>
      </c>
      <c r="AE58" s="443" t="str">
        <f>IF('Design Fee'!BH60&gt;0,"✔","-")</f>
        <v>✔</v>
      </c>
      <c r="AF58" s="466" t="str">
        <f>IF('Design Fee'!BI60&gt;0,"✔","-")</f>
        <v>✔</v>
      </c>
      <c r="AG58" s="466" t="str">
        <f>IF('Design Fee'!BJ60&gt;0,"✔","-")</f>
        <v>-</v>
      </c>
      <c r="AH58" s="466" t="str">
        <f>IF('Design Fee'!BK60&gt;0,"✔","-")</f>
        <v>-</v>
      </c>
      <c r="AI58" s="444" t="str">
        <f>IF('Design Fee'!BL60&gt;0,"✔","-")</f>
        <v>-</v>
      </c>
      <c r="AJ58" s="444" t="str">
        <f>IF('Design Fee'!BM60&gt;0,"✔","-")</f>
        <v>-</v>
      </c>
      <c r="AK58" s="466" t="str">
        <f>IF('Design Fee'!BN60&gt;0,"✔","-")</f>
        <v>-</v>
      </c>
      <c r="AL58" s="476"/>
      <c r="AM58" s="444" t="str">
        <f>IF('Design Fee'!BP60&gt;0,"✔","-")</f>
        <v>-</v>
      </c>
      <c r="AN58" s="444" t="str">
        <f>IF('Design Fee'!BQ60&gt;0,"✔","-")</f>
        <v>-</v>
      </c>
      <c r="AO58" s="444" t="str">
        <f>IF('Design Fee'!BR60&gt;0,"✔","-")</f>
        <v>-</v>
      </c>
      <c r="AP58" s="444" t="str">
        <f>IF('Design Fee'!BS60&gt;0,"✔","-")</f>
        <v>-</v>
      </c>
      <c r="AQ58" s="444" t="str">
        <f>IF('Design Fee'!BT60&gt;0,"✔","-")</f>
        <v>-</v>
      </c>
      <c r="AR58" s="476"/>
      <c r="AS58" s="471"/>
      <c r="AT58" s="472"/>
      <c r="AU58" s="443" t="str">
        <f>IF('Design Fee'!CQ60&gt;0,"✔","-")</f>
        <v>✔</v>
      </c>
      <c r="AV58" s="443" t="str">
        <f>IF('Design Fee'!CR60&gt;0,"✔","-")</f>
        <v>✔</v>
      </c>
      <c r="AW58" s="466" t="str">
        <f>IF('Design Fee'!CS60&gt;0,"✔","-")</f>
        <v>✔</v>
      </c>
      <c r="AX58" s="466" t="str">
        <f>IF('Design Fee'!CT60&gt;0,"✔","-")</f>
        <v>-</v>
      </c>
      <c r="AY58" s="466" t="str">
        <f>IF('Design Fee'!CU60&gt;0,"✔","-")</f>
        <v>-</v>
      </c>
      <c r="AZ58" s="444" t="str">
        <f>IF('Design Fee'!CV60&gt;0,"✔","-")</f>
        <v>-</v>
      </c>
      <c r="BA58" s="444" t="str">
        <f>IF('Design Fee'!CW60&gt;0,"✔","-")</f>
        <v>-</v>
      </c>
      <c r="BB58" s="466" t="str">
        <f>IF('Design Fee'!CX60&gt;0,"✔","-")</f>
        <v>-</v>
      </c>
      <c r="BC58" s="476"/>
      <c r="BD58" s="444" t="str">
        <f>IF('Design Fee'!CZ60&gt;0,"✔","-")</f>
        <v>-</v>
      </c>
      <c r="BE58" s="444" t="str">
        <f>IF('Design Fee'!DA60&gt;0,"✔","-")</f>
        <v>-</v>
      </c>
      <c r="BF58" s="444" t="str">
        <f>IF('Design Fee'!DB60&gt;0,"✔","-")</f>
        <v>-</v>
      </c>
      <c r="BG58" s="444" t="str">
        <f>IF('Design Fee'!DC60&gt;0,"✔","-")</f>
        <v>-</v>
      </c>
      <c r="BH58" s="444" t="str">
        <f>IF('Design Fee'!DD60&gt;0,"✔","-")</f>
        <v>-</v>
      </c>
      <c r="BI58" s="476"/>
      <c r="BJ58" s="471"/>
      <c r="BK58" s="472"/>
      <c r="BL58" s="443" t="str">
        <f>IF('Design Fee'!EA60&gt;0,"✔","-")</f>
        <v>-</v>
      </c>
      <c r="BM58" s="443" t="str">
        <f>IF('Design Fee'!EB60&gt;0,"✔","-")</f>
        <v>-</v>
      </c>
      <c r="BN58" s="466" t="str">
        <f>IF('Design Fee'!EC60&gt;0,"✔","-")</f>
        <v>-</v>
      </c>
      <c r="BO58" s="466" t="str">
        <f>IF('Design Fee'!ED60&gt;0,"✔","-")</f>
        <v>-</v>
      </c>
      <c r="BP58" s="466" t="str">
        <f>IF('Design Fee'!EE60&gt;0,"✔","-")</f>
        <v>-</v>
      </c>
      <c r="BQ58" s="444" t="str">
        <f>IF('Design Fee'!EF60&gt;0,"✔","-")</f>
        <v>-</v>
      </c>
      <c r="BR58" s="444" t="str">
        <f>IF('Design Fee'!EG60&gt;0,"✔","-")</f>
        <v>-</v>
      </c>
      <c r="BS58" s="466" t="str">
        <f>IF('Design Fee'!EH60&gt;0,"✔","-")</f>
        <v>-</v>
      </c>
      <c r="BT58" s="468"/>
      <c r="BU58" s="444" t="str">
        <f>IF('Design Fee'!EJ60&gt;0,"✔","-")</f>
        <v>-</v>
      </c>
      <c r="BV58" s="444" t="str">
        <f>IF('Design Fee'!EK60&gt;0,"✔","-")</f>
        <v>-</v>
      </c>
      <c r="BW58" s="444" t="str">
        <f>IF('Design Fee'!EL60&gt;0,"✔","-")</f>
        <v>-</v>
      </c>
      <c r="BX58" s="444" t="str">
        <f>IF('Design Fee'!EM60&gt;0,"✔","-")</f>
        <v>-</v>
      </c>
      <c r="BY58" s="444" t="str">
        <f>IF('Design Fee'!EN60&gt;0,"✔","-")</f>
        <v>-</v>
      </c>
      <c r="BZ58" s="383"/>
    </row>
    <row r="59" spans="2:92" s="95" customFormat="1" ht="12.75" outlineLevel="2">
      <c r="B59" s="463" t="s">
        <v>70</v>
      </c>
      <c r="C59" s="469">
        <v>10</v>
      </c>
      <c r="D59" s="470" t="s">
        <v>71</v>
      </c>
      <c r="E59" s="468"/>
      <c r="F59" s="473">
        <f t="shared" si="12"/>
        <v>1</v>
      </c>
      <c r="G59" s="466">
        <f t="shared" si="13"/>
        <v>1</v>
      </c>
      <c r="H59" s="466">
        <f t="shared" si="13"/>
        <v>1</v>
      </c>
      <c r="I59" s="466">
        <f t="shared" si="14"/>
        <v>0</v>
      </c>
      <c r="J59" s="475"/>
      <c r="K59" s="471"/>
      <c r="L59" s="472"/>
      <c r="M59" s="443" t="str">
        <f>IF('Design Fee'!W61&gt;0,"✔","-")</f>
        <v>✔</v>
      </c>
      <c r="N59" s="443" t="str">
        <f>IF('Design Fee'!X61&gt;0,"✔","-")</f>
        <v>✔</v>
      </c>
      <c r="O59" s="466" t="str">
        <f>IF('Design Fee'!Y61&gt;0,"✔","-")</f>
        <v>✔</v>
      </c>
      <c r="P59" s="466" t="str">
        <f>IF('Design Fee'!Z61&gt;0,"✔","-")</f>
        <v>-</v>
      </c>
      <c r="Q59" s="466" t="str">
        <f>IF('Design Fee'!AA61&gt;0,"✔","-")</f>
        <v>-</v>
      </c>
      <c r="R59" s="466" t="str">
        <f>IF('Design Fee'!AB61&gt;0,"✔","-")</f>
        <v>-</v>
      </c>
      <c r="S59" s="466" t="str">
        <f>IF('Design Fee'!AC61&gt;0,"✔","-")</f>
        <v>-</v>
      </c>
      <c r="T59" s="466" t="str">
        <f>IF('Design Fee'!AD61&gt;0,"✔","-")</f>
        <v>-</v>
      </c>
      <c r="U59" s="475"/>
      <c r="V59" s="444" t="str">
        <f>IF('Design Fee'!AF61&gt;0,"✔","-")</f>
        <v>-</v>
      </c>
      <c r="W59" s="444" t="str">
        <f>IF('Design Fee'!AG61&gt;0,"✔","-")</f>
        <v>-</v>
      </c>
      <c r="X59" s="444" t="str">
        <f>IF('Design Fee'!AH61&gt;0,"✔","-")</f>
        <v>-</v>
      </c>
      <c r="Y59" s="444" t="str">
        <f>IF('Design Fee'!AI61&gt;0,"✔","-")</f>
        <v>-</v>
      </c>
      <c r="Z59" s="444" t="str">
        <f>IF('Design Fee'!AJ61&gt;0,"✔","-")</f>
        <v>-</v>
      </c>
      <c r="AA59" s="475"/>
      <c r="AB59" s="471"/>
      <c r="AC59" s="472"/>
      <c r="AD59" s="443" t="str">
        <f>IF('Design Fee'!BG61&gt;0,"✔","-")</f>
        <v>-</v>
      </c>
      <c r="AE59" s="443" t="str">
        <f>IF('Design Fee'!BH61&gt;0,"✔","-")</f>
        <v>-</v>
      </c>
      <c r="AF59" s="466" t="str">
        <f>IF('Design Fee'!BI61&gt;0,"✔","-")</f>
        <v>-</v>
      </c>
      <c r="AG59" s="466" t="str">
        <f>IF('Design Fee'!BJ61&gt;0,"✔","-")</f>
        <v>-</v>
      </c>
      <c r="AH59" s="466" t="str">
        <f>IF('Design Fee'!BK61&gt;0,"✔","-")</f>
        <v>-</v>
      </c>
      <c r="AI59" s="466" t="str">
        <f>IF('Design Fee'!BL61&gt;0,"✔","-")</f>
        <v>-</v>
      </c>
      <c r="AJ59" s="466" t="str">
        <f>IF('Design Fee'!BM61&gt;0,"✔","-")</f>
        <v>-</v>
      </c>
      <c r="AK59" s="466" t="str">
        <f>IF('Design Fee'!BN61&gt;0,"✔","-")</f>
        <v>-</v>
      </c>
      <c r="AL59" s="476"/>
      <c r="AM59" s="444" t="str">
        <f>IF('Design Fee'!BP61&gt;0,"✔","-")</f>
        <v>-</v>
      </c>
      <c r="AN59" s="444" t="str">
        <f>IF('Design Fee'!BQ61&gt;0,"✔","-")</f>
        <v>-</v>
      </c>
      <c r="AO59" s="444" t="str">
        <f>IF('Design Fee'!BR61&gt;0,"✔","-")</f>
        <v>-</v>
      </c>
      <c r="AP59" s="444" t="str">
        <f>IF('Design Fee'!BS61&gt;0,"✔","-")</f>
        <v>-</v>
      </c>
      <c r="AQ59" s="444" t="str">
        <f>IF('Design Fee'!BT61&gt;0,"✔","-")</f>
        <v>-</v>
      </c>
      <c r="AR59" s="476"/>
      <c r="AS59" s="471"/>
      <c r="AT59" s="472"/>
      <c r="AU59" s="443" t="str">
        <f>IF('Design Fee'!CQ61&gt;0,"✔","-")</f>
        <v>-</v>
      </c>
      <c r="AV59" s="443" t="str">
        <f>IF('Design Fee'!CR61&gt;0,"✔","-")</f>
        <v>-</v>
      </c>
      <c r="AW59" s="466" t="str">
        <f>IF('Design Fee'!CS61&gt;0,"✔","-")</f>
        <v>-</v>
      </c>
      <c r="AX59" s="466" t="str">
        <f>IF('Design Fee'!CT61&gt;0,"✔","-")</f>
        <v>-</v>
      </c>
      <c r="AY59" s="466" t="str">
        <f>IF('Design Fee'!CU61&gt;0,"✔","-")</f>
        <v>-</v>
      </c>
      <c r="AZ59" s="466" t="str">
        <f>IF('Design Fee'!CV61&gt;0,"✔","-")</f>
        <v>-</v>
      </c>
      <c r="BA59" s="466" t="str">
        <f>IF('Design Fee'!CW61&gt;0,"✔","-")</f>
        <v>-</v>
      </c>
      <c r="BB59" s="466" t="str">
        <f>IF('Design Fee'!CX61&gt;0,"✔","-")</f>
        <v>-</v>
      </c>
      <c r="BC59" s="476"/>
      <c r="BD59" s="444" t="str">
        <f>IF('Design Fee'!CZ61&gt;0,"✔","-")</f>
        <v>-</v>
      </c>
      <c r="BE59" s="444" t="str">
        <f>IF('Design Fee'!DA61&gt;0,"✔","-")</f>
        <v>-</v>
      </c>
      <c r="BF59" s="444" t="str">
        <f>IF('Design Fee'!DB61&gt;0,"✔","-")</f>
        <v>-</v>
      </c>
      <c r="BG59" s="444" t="str">
        <f>IF('Design Fee'!DC61&gt;0,"✔","-")</f>
        <v>-</v>
      </c>
      <c r="BH59" s="444" t="str">
        <f>IF('Design Fee'!DD61&gt;0,"✔","-")</f>
        <v>-</v>
      </c>
      <c r="BI59" s="476"/>
      <c r="BJ59" s="471"/>
      <c r="BK59" s="472"/>
      <c r="BL59" s="443" t="str">
        <f>IF('Design Fee'!EA61&gt;0,"✔","-")</f>
        <v>-</v>
      </c>
      <c r="BM59" s="443" t="str">
        <f>IF('Design Fee'!EB61&gt;0,"✔","-")</f>
        <v>-</v>
      </c>
      <c r="BN59" s="466" t="str">
        <f>IF('Design Fee'!EC61&gt;0,"✔","-")</f>
        <v>-</v>
      </c>
      <c r="BO59" s="466" t="str">
        <f>IF('Design Fee'!ED61&gt;0,"✔","-")</f>
        <v>-</v>
      </c>
      <c r="BP59" s="466" t="str">
        <f>IF('Design Fee'!EE61&gt;0,"✔","-")</f>
        <v>-</v>
      </c>
      <c r="BQ59" s="466" t="str">
        <f>IF('Design Fee'!EF61&gt;0,"✔","-")</f>
        <v>-</v>
      </c>
      <c r="BR59" s="466" t="str">
        <f>IF('Design Fee'!EG61&gt;0,"✔","-")</f>
        <v>-</v>
      </c>
      <c r="BS59" s="466" t="str">
        <f>IF('Design Fee'!EH61&gt;0,"✔","-")</f>
        <v>-</v>
      </c>
      <c r="BT59" s="468"/>
      <c r="BU59" s="444" t="str">
        <f>IF('Design Fee'!EJ61&gt;0,"✔","-")</f>
        <v>-</v>
      </c>
      <c r="BV59" s="444" t="str">
        <f>IF('Design Fee'!EK61&gt;0,"✔","-")</f>
        <v>-</v>
      </c>
      <c r="BW59" s="444" t="str">
        <f>IF('Design Fee'!EL61&gt;0,"✔","-")</f>
        <v>-</v>
      </c>
      <c r="BX59" s="444" t="str">
        <f>IF('Design Fee'!EM61&gt;0,"✔","-")</f>
        <v>-</v>
      </c>
      <c r="BY59" s="444" t="str">
        <f>IF('Design Fee'!EN61&gt;0,"✔","-")</f>
        <v>-</v>
      </c>
      <c r="BZ59" s="383"/>
    </row>
    <row r="60" spans="2:92" ht="3" customHeight="1" outlineLevel="1">
      <c r="B60" s="477"/>
      <c r="C60" s="478"/>
      <c r="D60" s="465"/>
      <c r="E60" s="383"/>
      <c r="F60" s="408"/>
      <c r="G60" s="421"/>
      <c r="H60" s="421"/>
      <c r="I60" s="421"/>
      <c r="J60" s="430"/>
      <c r="K60" s="479"/>
      <c r="L60" s="479"/>
      <c r="M60" s="443"/>
      <c r="N60" s="443"/>
      <c r="O60" s="444"/>
      <c r="P60" s="444"/>
      <c r="Q60" s="444"/>
      <c r="R60" s="444"/>
      <c r="S60" s="444"/>
      <c r="T60" s="444"/>
      <c r="U60" s="430"/>
      <c r="V60" s="444"/>
      <c r="W60" s="444"/>
      <c r="X60" s="444"/>
      <c r="Y60" s="444"/>
      <c r="Z60" s="444"/>
      <c r="AA60" s="430"/>
      <c r="AB60" s="479"/>
      <c r="AC60" s="479"/>
      <c r="AD60" s="443"/>
      <c r="AE60" s="443"/>
      <c r="AF60" s="421"/>
      <c r="AG60" s="421"/>
      <c r="AH60" s="421"/>
      <c r="AI60" s="421"/>
      <c r="AJ60" s="421"/>
      <c r="AK60" s="421"/>
      <c r="AL60" s="421"/>
      <c r="AM60" s="421"/>
      <c r="AN60" s="421"/>
      <c r="AO60" s="421"/>
      <c r="AP60" s="421"/>
      <c r="AQ60" s="421"/>
      <c r="AR60" s="421"/>
      <c r="AS60" s="479"/>
      <c r="AT60" s="421"/>
      <c r="AU60" s="443"/>
      <c r="AV60" s="443"/>
      <c r="AW60" s="421"/>
      <c r="AX60" s="421"/>
      <c r="AY60" s="421"/>
      <c r="AZ60" s="421"/>
      <c r="BA60" s="421"/>
      <c r="BB60" s="421"/>
      <c r="BC60" s="421"/>
      <c r="BD60" s="421"/>
      <c r="BE60" s="421"/>
      <c r="BF60" s="421"/>
      <c r="BG60" s="421"/>
      <c r="BH60" s="421"/>
      <c r="BI60" s="421"/>
      <c r="BJ60" s="479"/>
      <c r="BK60" s="421"/>
      <c r="BL60" s="443"/>
      <c r="BM60" s="443"/>
      <c r="BN60" s="421"/>
      <c r="BO60" s="421"/>
      <c r="BP60" s="421"/>
      <c r="BQ60" s="421"/>
      <c r="BR60" s="421"/>
      <c r="BS60" s="421"/>
      <c r="BT60" s="383"/>
      <c r="BU60" s="421"/>
      <c r="BV60" s="421"/>
      <c r="BW60" s="421"/>
      <c r="BX60" s="421"/>
      <c r="BY60" s="421"/>
      <c r="BZ60" s="383"/>
    </row>
    <row r="61" spans="2:92" ht="12.75" outlineLevel="1">
      <c r="B61" s="432">
        <v>5</v>
      </c>
      <c r="C61" s="459">
        <v>2</v>
      </c>
      <c r="D61" s="460" t="s">
        <v>72</v>
      </c>
      <c r="E61" s="434"/>
      <c r="F61" s="461">
        <f>M61+AD61+AU61+BL61</f>
        <v>21</v>
      </c>
      <c r="G61" s="461">
        <f t="shared" ref="G61:I61" si="15">N61+AE61+AV61+BM61</f>
        <v>21</v>
      </c>
      <c r="H61" s="461">
        <f t="shared" si="15"/>
        <v>19</v>
      </c>
      <c r="I61" s="461">
        <f t="shared" si="15"/>
        <v>2</v>
      </c>
      <c r="J61" s="438">
        <f t="shared" ref="J61" si="16">COUNT(J62:J71)</f>
        <v>0</v>
      </c>
      <c r="K61" s="435"/>
      <c r="L61" s="435"/>
      <c r="M61" s="461">
        <f>COUNTIF(M62:M71,"✔")</f>
        <v>10</v>
      </c>
      <c r="N61" s="461">
        <f t="shared" ref="N61" si="17">COUNTIF(N62:N71,"✔")</f>
        <v>10</v>
      </c>
      <c r="O61" s="461">
        <f t="shared" ref="O61" si="18">COUNTIF(O62:O71,"✔")</f>
        <v>9</v>
      </c>
      <c r="P61" s="461">
        <f t="shared" ref="P61" si="19">COUNTIF(P62:P71,"✔")</f>
        <v>1</v>
      </c>
      <c r="Q61" s="461">
        <f t="shared" ref="Q61" si="20">COUNTIF(Q62:Q71,"✔")</f>
        <v>1</v>
      </c>
      <c r="R61" s="461">
        <f t="shared" ref="R61" si="21">COUNTIF(R62:R71,"✔")</f>
        <v>0</v>
      </c>
      <c r="S61" s="461">
        <f t="shared" ref="S61" si="22">COUNTIF(S62:S71,"✔")</f>
        <v>0</v>
      </c>
      <c r="T61" s="461">
        <f t="shared" ref="T61" si="23">COUNTIF(T62:T71,"✔")</f>
        <v>0</v>
      </c>
      <c r="U61" s="461">
        <f t="shared" ref="U61" si="24">COUNTIF(U62:U71,"✔")</f>
        <v>0</v>
      </c>
      <c r="V61" s="461">
        <f t="shared" ref="V61" si="25">COUNTIF(V62:V71,"✔")</f>
        <v>1</v>
      </c>
      <c r="W61" s="461">
        <f t="shared" ref="W61" si="26">COUNTIF(W62:W71,"✔")</f>
        <v>1</v>
      </c>
      <c r="X61" s="461">
        <f t="shared" ref="X61" si="27">COUNTIF(X62:X71,"✔")</f>
        <v>0</v>
      </c>
      <c r="Y61" s="461">
        <f t="shared" ref="Y61" si="28">COUNTIF(Y62:Y71,"✔")</f>
        <v>0</v>
      </c>
      <c r="Z61" s="461">
        <f t="shared" ref="Z61" si="29">COUNTIF(Z62:Z71,"✔")</f>
        <v>0</v>
      </c>
      <c r="AA61" s="461">
        <f t="shared" ref="AA61" si="30">COUNTIF(AA62:AA71,"✔")</f>
        <v>0</v>
      </c>
      <c r="AB61" s="435"/>
      <c r="AC61" s="461">
        <f t="shared" ref="AC61" si="31">COUNTIF(AC62:AC71,"✔")</f>
        <v>0</v>
      </c>
      <c r="AD61" s="461">
        <f t="shared" ref="AD61" si="32">COUNTIF(AD62:AD71,"✔")</f>
        <v>7</v>
      </c>
      <c r="AE61" s="461">
        <f t="shared" ref="AE61" si="33">COUNTIF(AE62:AE71,"✔")</f>
        <v>7</v>
      </c>
      <c r="AF61" s="461">
        <f t="shared" ref="AF61" si="34">COUNTIF(AF62:AF71,"✔")</f>
        <v>7</v>
      </c>
      <c r="AG61" s="461">
        <f t="shared" ref="AG61" si="35">COUNTIF(AG62:AG71,"✔")</f>
        <v>0</v>
      </c>
      <c r="AH61" s="461">
        <f t="shared" ref="AH61" si="36">COUNTIF(AH62:AH71,"✔")</f>
        <v>0</v>
      </c>
      <c r="AI61" s="461">
        <f t="shared" ref="AI61" si="37">COUNTIF(AI62:AI71,"✔")</f>
        <v>0</v>
      </c>
      <c r="AJ61" s="461">
        <f t="shared" ref="AJ61" si="38">COUNTIF(AJ62:AJ71,"✔")</f>
        <v>0</v>
      </c>
      <c r="AK61" s="461">
        <f t="shared" ref="AK61" si="39">COUNTIF(AK62:AK71,"✔")</f>
        <v>0</v>
      </c>
      <c r="AL61" s="461">
        <f t="shared" ref="AL61" si="40">COUNTIF(AL62:AL71,"✔")</f>
        <v>0</v>
      </c>
      <c r="AM61" s="461">
        <f t="shared" ref="AM61" si="41">COUNTIF(AM62:AM71,"✔")</f>
        <v>0</v>
      </c>
      <c r="AN61" s="461">
        <f t="shared" ref="AN61" si="42">COUNTIF(AN62:AN71,"✔")</f>
        <v>0</v>
      </c>
      <c r="AO61" s="461">
        <f t="shared" ref="AO61" si="43">COUNTIF(AO62:AO71,"✔")</f>
        <v>0</v>
      </c>
      <c r="AP61" s="461">
        <f t="shared" ref="AP61" si="44">COUNTIF(AP62:AP71,"✔")</f>
        <v>0</v>
      </c>
      <c r="AQ61" s="461">
        <f t="shared" ref="AQ61" si="45">COUNTIF(AQ62:AQ71,"✔")</f>
        <v>0</v>
      </c>
      <c r="AR61" s="461">
        <f t="shared" ref="AR61" si="46">COUNTIF(AR62:AR71,"✔")</f>
        <v>0</v>
      </c>
      <c r="AS61" s="435"/>
      <c r="AT61" s="461">
        <f t="shared" ref="AT61" si="47">COUNTIF(AT62:AT71,"✔")</f>
        <v>0</v>
      </c>
      <c r="AU61" s="461">
        <f t="shared" ref="AU61" si="48">COUNTIF(AU62:AU71,"✔")</f>
        <v>4</v>
      </c>
      <c r="AV61" s="461">
        <f t="shared" ref="AV61" si="49">COUNTIF(AV62:AV71,"✔")</f>
        <v>4</v>
      </c>
      <c r="AW61" s="461">
        <f t="shared" ref="AW61" si="50">COUNTIF(AW62:AW71,"✔")</f>
        <v>3</v>
      </c>
      <c r="AX61" s="461">
        <f t="shared" ref="AX61" si="51">COUNTIF(AX62:AX71,"✔")</f>
        <v>1</v>
      </c>
      <c r="AY61" s="461">
        <f t="shared" ref="AY61" si="52">COUNTIF(AY62:AY71,"✔")</f>
        <v>1</v>
      </c>
      <c r="AZ61" s="461">
        <f t="shared" ref="AZ61" si="53">COUNTIF(AZ62:AZ71,"✔")</f>
        <v>0</v>
      </c>
      <c r="BA61" s="461">
        <f t="shared" ref="BA61" si="54">COUNTIF(BA62:BA71,"✔")</f>
        <v>0</v>
      </c>
      <c r="BB61" s="461">
        <f t="shared" ref="BB61" si="55">COUNTIF(BB62:BB71,"✔")</f>
        <v>0</v>
      </c>
      <c r="BC61" s="461">
        <f t="shared" ref="BC61" si="56">COUNTIF(BC62:BC71,"✔")</f>
        <v>0</v>
      </c>
      <c r="BD61" s="461">
        <f t="shared" ref="BD61" si="57">COUNTIF(BD62:BD71,"✔")</f>
        <v>1</v>
      </c>
      <c r="BE61" s="461">
        <f t="shared" ref="BE61" si="58">COUNTIF(BE62:BE71,"✔")</f>
        <v>0</v>
      </c>
      <c r="BF61" s="461">
        <f t="shared" ref="BF61" si="59">COUNTIF(BF62:BF71,"✔")</f>
        <v>1</v>
      </c>
      <c r="BG61" s="461">
        <f t="shared" ref="BG61" si="60">COUNTIF(BG62:BG71,"✔")</f>
        <v>0</v>
      </c>
      <c r="BH61" s="461">
        <f t="shared" ref="BH61" si="61">COUNTIF(BH62:BH71,"✔")</f>
        <v>0</v>
      </c>
      <c r="BI61" s="461">
        <f t="shared" ref="BI61" si="62">COUNTIF(BI62:BI71,"✔")</f>
        <v>0</v>
      </c>
      <c r="BJ61" s="435"/>
      <c r="BK61" s="461">
        <f t="shared" ref="BK61" si="63">COUNTIF(BK62:BK71,"✔")</f>
        <v>0</v>
      </c>
      <c r="BL61" s="461">
        <f t="shared" ref="BL61" si="64">COUNTIF(BL62:BL71,"✔")</f>
        <v>0</v>
      </c>
      <c r="BM61" s="461">
        <f t="shared" ref="BM61" si="65">COUNTIF(BM62:BM71,"✔")</f>
        <v>0</v>
      </c>
      <c r="BN61" s="461">
        <f t="shared" ref="BN61" si="66">COUNTIF(BN62:BN71,"✔")</f>
        <v>0</v>
      </c>
      <c r="BO61" s="461">
        <f t="shared" ref="BO61" si="67">COUNTIF(BO62:BO71,"✔")</f>
        <v>0</v>
      </c>
      <c r="BP61" s="461">
        <f t="shared" ref="BP61" si="68">COUNTIF(BP62:BP71,"✔")</f>
        <v>0</v>
      </c>
      <c r="BQ61" s="461">
        <f t="shared" ref="BQ61" si="69">COUNTIF(BQ62:BQ71,"✔")</f>
        <v>0</v>
      </c>
      <c r="BR61" s="461">
        <f t="shared" ref="BR61" si="70">COUNTIF(BR62:BR71,"✔")</f>
        <v>0</v>
      </c>
      <c r="BS61" s="461">
        <f t="shared" ref="BS61" si="71">COUNTIF(BS62:BS71,"✔")</f>
        <v>0</v>
      </c>
      <c r="BT61" s="383"/>
      <c r="BU61" s="461">
        <f t="shared" ref="BU61" si="72">COUNTIF(BU62:BU71,"✔")</f>
        <v>0</v>
      </c>
      <c r="BV61" s="461">
        <f t="shared" ref="BV61" si="73">COUNTIF(BV62:BV71,"✔")</f>
        <v>0</v>
      </c>
      <c r="BW61" s="461">
        <f t="shared" ref="BW61" si="74">COUNTIF(BW62:BW71,"✔")</f>
        <v>0</v>
      </c>
      <c r="BX61" s="461">
        <f t="shared" ref="BX61" si="75">COUNTIF(BX62:BX71,"✔")</f>
        <v>0</v>
      </c>
      <c r="BY61" s="461">
        <f t="shared" ref="BY61" si="76">COUNTIF(BY62:BY71,"✔")</f>
        <v>0</v>
      </c>
      <c r="BZ61" s="383"/>
    </row>
    <row r="62" spans="2:92" ht="12.75" outlineLevel="2">
      <c r="B62" s="463" t="s">
        <v>73</v>
      </c>
      <c r="C62" s="464">
        <v>1</v>
      </c>
      <c r="D62" s="465" t="s">
        <v>52</v>
      </c>
      <c r="E62" s="383"/>
      <c r="F62" s="443">
        <f t="shared" ref="F62:F71" si="77">COUNTIF(M62,"✔")+COUNTIF(AD62,"✔")+COUNTIF(BL62,"✔")+COUNTIF(AU62,"✔")</f>
        <v>3</v>
      </c>
      <c r="G62" s="444">
        <f t="shared" ref="G62:H71" si="78">COUNTIF(N62,"✔")+COUNTIF(AE62,"✔")+COUNTIF(BM62,"✔")+COUNTIF(AV62,"✔")</f>
        <v>3</v>
      </c>
      <c r="H62" s="444">
        <f t="shared" si="78"/>
        <v>3</v>
      </c>
      <c r="I62" s="444">
        <f t="shared" ref="I62:I71" si="79">F62-G62</f>
        <v>0</v>
      </c>
      <c r="J62" s="430"/>
      <c r="K62" s="441"/>
      <c r="L62" s="442"/>
      <c r="M62" s="443" t="str">
        <f>IF('Design Fee'!W64&gt;0,"✔","-")</f>
        <v>✔</v>
      </c>
      <c r="N62" s="443" t="str">
        <f>IF('Design Fee'!X64&gt;0,"✔","-")</f>
        <v>✔</v>
      </c>
      <c r="O62" s="444" t="str">
        <f>IF('Design Fee'!Y64&gt;0,"✔","-")</f>
        <v>✔</v>
      </c>
      <c r="P62" s="444" t="str">
        <f>IF('Design Fee'!Z64&gt;0,"✔","-")</f>
        <v>-</v>
      </c>
      <c r="Q62" s="444" t="str">
        <f>IF('Design Fee'!AA64&gt;0,"✔","-")</f>
        <v>-</v>
      </c>
      <c r="R62" s="444" t="str">
        <f>IF('Design Fee'!AB64&gt;0,"✔","-")</f>
        <v>-</v>
      </c>
      <c r="S62" s="444" t="str">
        <f>IF('Design Fee'!AC64&gt;0,"✔","-")</f>
        <v>-</v>
      </c>
      <c r="T62" s="466" t="str">
        <f>IF('Design Fee'!AD64&gt;0,"✔","-")</f>
        <v>-</v>
      </c>
      <c r="U62" s="430"/>
      <c r="V62" s="444" t="str">
        <f>IF('Design Fee'!AF64&gt;0,"✔","-")</f>
        <v>-</v>
      </c>
      <c r="W62" s="444" t="str">
        <f>IF('Design Fee'!AG64&gt;0,"✔","-")</f>
        <v>-</v>
      </c>
      <c r="X62" s="444" t="str">
        <f>IF('Design Fee'!AH64&gt;0,"✔","-")</f>
        <v>-</v>
      </c>
      <c r="Y62" s="444" t="str">
        <f>IF('Design Fee'!AI64&gt;0,"✔","-")</f>
        <v>-</v>
      </c>
      <c r="Z62" s="444" t="str">
        <f>IF('Design Fee'!AJ64&gt;0,"✔","-")</f>
        <v>-</v>
      </c>
      <c r="AA62" s="430"/>
      <c r="AB62" s="441"/>
      <c r="AC62" s="442"/>
      <c r="AD62" s="443" t="str">
        <f>IF('Design Fee'!BG64&gt;0,"✔","-")</f>
        <v>✔</v>
      </c>
      <c r="AE62" s="443" t="str">
        <f>IF('Design Fee'!BH64&gt;0,"✔","-")</f>
        <v>✔</v>
      </c>
      <c r="AF62" s="444" t="str">
        <f>IF('Design Fee'!BI64&gt;0,"✔","-")</f>
        <v>✔</v>
      </c>
      <c r="AG62" s="444" t="str">
        <f>IF('Design Fee'!BJ64&gt;0,"✔","-")</f>
        <v>-</v>
      </c>
      <c r="AH62" s="444" t="str">
        <f>IF('Design Fee'!BK64&gt;0,"✔","-")</f>
        <v>-</v>
      </c>
      <c r="AI62" s="444" t="str">
        <f>IF('Design Fee'!BL64&gt;0,"✔","-")</f>
        <v>-</v>
      </c>
      <c r="AJ62" s="444" t="str">
        <f>IF('Design Fee'!BM64&gt;0,"✔","-")</f>
        <v>-</v>
      </c>
      <c r="AK62" s="466" t="str">
        <f>IF('Design Fee'!BN64&gt;0,"✔","-")</f>
        <v>-</v>
      </c>
      <c r="AL62" s="445"/>
      <c r="AM62" s="444" t="str">
        <f>IF('Design Fee'!BP64&gt;0,"✔","-")</f>
        <v>-</v>
      </c>
      <c r="AN62" s="444" t="str">
        <f>IF('Design Fee'!BQ64&gt;0,"✔","-")</f>
        <v>-</v>
      </c>
      <c r="AO62" s="444" t="str">
        <f>IF('Design Fee'!BR64&gt;0,"✔","-")</f>
        <v>-</v>
      </c>
      <c r="AP62" s="444" t="str">
        <f>IF('Design Fee'!BS64&gt;0,"✔","-")</f>
        <v>-</v>
      </c>
      <c r="AQ62" s="444" t="str">
        <f>IF('Design Fee'!BT64&gt;0,"✔","-")</f>
        <v>-</v>
      </c>
      <c r="AR62" s="445"/>
      <c r="AS62" s="441"/>
      <c r="AT62" s="442"/>
      <c r="AU62" s="443" t="str">
        <f>IF('Design Fee'!CQ64&gt;0,"✔","-")</f>
        <v>✔</v>
      </c>
      <c r="AV62" s="443" t="str">
        <f>IF('Design Fee'!CR64&gt;0,"✔","-")</f>
        <v>✔</v>
      </c>
      <c r="AW62" s="444" t="str">
        <f>IF('Design Fee'!CS64&gt;0,"✔","-")</f>
        <v>✔</v>
      </c>
      <c r="AX62" s="444" t="str">
        <f>IF('Design Fee'!CT64&gt;0,"✔","-")</f>
        <v>-</v>
      </c>
      <c r="AY62" s="444" t="str">
        <f>IF('Design Fee'!CU64&gt;0,"✔","-")</f>
        <v>-</v>
      </c>
      <c r="AZ62" s="444" t="str">
        <f>IF('Design Fee'!CV64&gt;0,"✔","-")</f>
        <v>-</v>
      </c>
      <c r="BA62" s="444" t="str">
        <f>IF('Design Fee'!CW64&gt;0,"✔","-")</f>
        <v>-</v>
      </c>
      <c r="BB62" s="466" t="str">
        <f>IF('Design Fee'!CX64&gt;0,"✔","-")</f>
        <v>-</v>
      </c>
      <c r="BC62" s="445"/>
      <c r="BD62" s="444" t="str">
        <f>IF('Design Fee'!CZ64&gt;0,"✔","-")</f>
        <v>-</v>
      </c>
      <c r="BE62" s="444" t="str">
        <f>IF('Design Fee'!DA64&gt;0,"✔","-")</f>
        <v>-</v>
      </c>
      <c r="BF62" s="444" t="str">
        <f>IF('Design Fee'!DB64&gt;0,"✔","-")</f>
        <v>-</v>
      </c>
      <c r="BG62" s="444" t="str">
        <f>IF('Design Fee'!DC64&gt;0,"✔","-")</f>
        <v>-</v>
      </c>
      <c r="BH62" s="444" t="str">
        <f>IF('Design Fee'!DD64&gt;0,"✔","-")</f>
        <v>-</v>
      </c>
      <c r="BI62" s="445"/>
      <c r="BJ62" s="441"/>
      <c r="BK62" s="442"/>
      <c r="BL62" s="443" t="str">
        <f>IF('Design Fee'!EA64&gt;0,"✔","-")</f>
        <v>-</v>
      </c>
      <c r="BM62" s="443" t="str">
        <f>IF('Design Fee'!EB64&gt;0,"✔","-")</f>
        <v>-</v>
      </c>
      <c r="BN62" s="444" t="str">
        <f>IF('Design Fee'!EC64&gt;0,"✔","-")</f>
        <v>-</v>
      </c>
      <c r="BO62" s="444" t="str">
        <f>IF('Design Fee'!ED64&gt;0,"✔","-")</f>
        <v>-</v>
      </c>
      <c r="BP62" s="444" t="str">
        <f>IF('Design Fee'!EE64&gt;0,"✔","-")</f>
        <v>-</v>
      </c>
      <c r="BQ62" s="444" t="str">
        <f>IF('Design Fee'!EF64&gt;0,"✔","-")</f>
        <v>-</v>
      </c>
      <c r="BR62" s="444" t="str">
        <f>IF('Design Fee'!EG64&gt;0,"✔","-")</f>
        <v>-</v>
      </c>
      <c r="BS62" s="466" t="str">
        <f>IF('Design Fee'!EH64&gt;0,"✔","-")</f>
        <v>-</v>
      </c>
      <c r="BT62" s="383"/>
      <c r="BU62" s="444" t="str">
        <f>IF('Design Fee'!EJ64&gt;0,"✔","-")</f>
        <v>-</v>
      </c>
      <c r="BV62" s="444" t="str">
        <f>IF('Design Fee'!EK64&gt;0,"✔","-")</f>
        <v>-</v>
      </c>
      <c r="BW62" s="444" t="str">
        <f>IF('Design Fee'!EL64&gt;0,"✔","-")</f>
        <v>-</v>
      </c>
      <c r="BX62" s="444" t="str">
        <f>IF('Design Fee'!EM64&gt;0,"✔","-")</f>
        <v>-</v>
      </c>
      <c r="BY62" s="444" t="str">
        <f>IF('Design Fee'!EN64&gt;0,"✔","-")</f>
        <v>-</v>
      </c>
      <c r="BZ62" s="383"/>
    </row>
    <row r="63" spans="2:92" ht="12.75" outlineLevel="2">
      <c r="B63" s="463" t="s">
        <v>74</v>
      </c>
      <c r="C63" s="464">
        <v>2</v>
      </c>
      <c r="D63" s="465" t="s">
        <v>54</v>
      </c>
      <c r="E63" s="383"/>
      <c r="F63" s="443">
        <f t="shared" si="77"/>
        <v>2</v>
      </c>
      <c r="G63" s="444">
        <f t="shared" si="78"/>
        <v>2</v>
      </c>
      <c r="H63" s="444">
        <f t="shared" si="78"/>
        <v>2</v>
      </c>
      <c r="I63" s="444">
        <f t="shared" si="79"/>
        <v>0</v>
      </c>
      <c r="J63" s="467"/>
      <c r="K63" s="441"/>
      <c r="L63" s="442"/>
      <c r="M63" s="443" t="str">
        <f>IF('Design Fee'!W65&gt;0,"✔","-")</f>
        <v>✔</v>
      </c>
      <c r="N63" s="443" t="str">
        <f>IF('Design Fee'!X65&gt;0,"✔","-")</f>
        <v>✔</v>
      </c>
      <c r="O63" s="444" t="str">
        <f>IF('Design Fee'!Y65&gt;0,"✔","-")</f>
        <v>✔</v>
      </c>
      <c r="P63" s="444" t="str">
        <f>IF('Design Fee'!Z65&gt;0,"✔","-")</f>
        <v>-</v>
      </c>
      <c r="Q63" s="444" t="str">
        <f>IF('Design Fee'!AA65&gt;0,"✔","-")</f>
        <v>-</v>
      </c>
      <c r="R63" s="444" t="str">
        <f>IF('Design Fee'!AB65&gt;0,"✔","-")</f>
        <v>-</v>
      </c>
      <c r="S63" s="444" t="str">
        <f>IF('Design Fee'!AC65&gt;0,"✔","-")</f>
        <v>-</v>
      </c>
      <c r="T63" s="466" t="str">
        <f>IF('Design Fee'!AD65&gt;0,"✔","-")</f>
        <v>-</v>
      </c>
      <c r="U63" s="467"/>
      <c r="V63" s="444" t="str">
        <f>IF('Design Fee'!AF65&gt;0,"✔","-")</f>
        <v>-</v>
      </c>
      <c r="W63" s="444" t="str">
        <f>IF('Design Fee'!AG65&gt;0,"✔","-")</f>
        <v>-</v>
      </c>
      <c r="X63" s="444" t="str">
        <f>IF('Design Fee'!AH65&gt;0,"✔","-")</f>
        <v>-</v>
      </c>
      <c r="Y63" s="444" t="str">
        <f>IF('Design Fee'!AI65&gt;0,"✔","-")</f>
        <v>-</v>
      </c>
      <c r="Z63" s="444" t="str">
        <f>IF('Design Fee'!AJ65&gt;0,"✔","-")</f>
        <v>-</v>
      </c>
      <c r="AA63" s="467"/>
      <c r="AB63" s="441"/>
      <c r="AC63" s="442"/>
      <c r="AD63" s="443" t="str">
        <f>IF('Design Fee'!BG65&gt;0,"✔","-")</f>
        <v>✔</v>
      </c>
      <c r="AE63" s="443" t="str">
        <f>IF('Design Fee'!BH65&gt;0,"✔","-")</f>
        <v>✔</v>
      </c>
      <c r="AF63" s="444" t="str">
        <f>IF('Design Fee'!BI65&gt;0,"✔","-")</f>
        <v>✔</v>
      </c>
      <c r="AG63" s="444" t="str">
        <f>IF('Design Fee'!BJ65&gt;0,"✔","-")</f>
        <v>-</v>
      </c>
      <c r="AH63" s="444" t="str">
        <f>IF('Design Fee'!BK65&gt;0,"✔","-")</f>
        <v>-</v>
      </c>
      <c r="AI63" s="444" t="str">
        <f>IF('Design Fee'!BL65&gt;0,"✔","-")</f>
        <v>-</v>
      </c>
      <c r="AJ63" s="444" t="str">
        <f>IF('Design Fee'!BM65&gt;0,"✔","-")</f>
        <v>-</v>
      </c>
      <c r="AK63" s="466" t="str">
        <f>IF('Design Fee'!BN65&gt;0,"✔","-")</f>
        <v>-</v>
      </c>
      <c r="AL63" s="445"/>
      <c r="AM63" s="444" t="str">
        <f>IF('Design Fee'!BP65&gt;0,"✔","-")</f>
        <v>-</v>
      </c>
      <c r="AN63" s="444" t="str">
        <f>IF('Design Fee'!BQ65&gt;0,"✔","-")</f>
        <v>-</v>
      </c>
      <c r="AO63" s="444" t="str">
        <f>IF('Design Fee'!BR65&gt;0,"✔","-")</f>
        <v>-</v>
      </c>
      <c r="AP63" s="444" t="str">
        <f>IF('Design Fee'!BS65&gt;0,"✔","-")</f>
        <v>-</v>
      </c>
      <c r="AQ63" s="444" t="str">
        <f>IF('Design Fee'!BT65&gt;0,"✔","-")</f>
        <v>-</v>
      </c>
      <c r="AR63" s="445"/>
      <c r="AS63" s="441"/>
      <c r="AT63" s="442"/>
      <c r="AU63" s="443" t="str">
        <f>IF('Design Fee'!CQ65&gt;0,"✔","-")</f>
        <v>-</v>
      </c>
      <c r="AV63" s="443" t="str">
        <f>IF('Design Fee'!CR65&gt;0,"✔","-")</f>
        <v>-</v>
      </c>
      <c r="AW63" s="444" t="str">
        <f>IF('Design Fee'!CS65&gt;0,"✔","-")</f>
        <v>-</v>
      </c>
      <c r="AX63" s="444" t="str">
        <f>IF('Design Fee'!CT65&gt;0,"✔","-")</f>
        <v>-</v>
      </c>
      <c r="AY63" s="444" t="str">
        <f>IF('Design Fee'!CU65&gt;0,"✔","-")</f>
        <v>-</v>
      </c>
      <c r="AZ63" s="444" t="str">
        <f>IF('Design Fee'!CV65&gt;0,"✔","-")</f>
        <v>-</v>
      </c>
      <c r="BA63" s="444" t="str">
        <f>IF('Design Fee'!CW65&gt;0,"✔","-")</f>
        <v>-</v>
      </c>
      <c r="BB63" s="466" t="str">
        <f>IF('Design Fee'!CX65&gt;0,"✔","-")</f>
        <v>-</v>
      </c>
      <c r="BC63" s="445"/>
      <c r="BD63" s="444" t="str">
        <f>IF('Design Fee'!CZ65&gt;0,"✔","-")</f>
        <v>-</v>
      </c>
      <c r="BE63" s="444" t="str">
        <f>IF('Design Fee'!DA65&gt;0,"✔","-")</f>
        <v>-</v>
      </c>
      <c r="BF63" s="444" t="str">
        <f>IF('Design Fee'!DB65&gt;0,"✔","-")</f>
        <v>-</v>
      </c>
      <c r="BG63" s="444" t="str">
        <f>IF('Design Fee'!DC65&gt;0,"✔","-")</f>
        <v>-</v>
      </c>
      <c r="BH63" s="444" t="str">
        <f>IF('Design Fee'!DD65&gt;0,"✔","-")</f>
        <v>-</v>
      </c>
      <c r="BI63" s="445"/>
      <c r="BJ63" s="441"/>
      <c r="BK63" s="442"/>
      <c r="BL63" s="443" t="str">
        <f>IF('Design Fee'!EA65&gt;0,"✔","-")</f>
        <v>-</v>
      </c>
      <c r="BM63" s="443" t="str">
        <f>IF('Design Fee'!EB65&gt;0,"✔","-")</f>
        <v>-</v>
      </c>
      <c r="BN63" s="444" t="str">
        <f>IF('Design Fee'!EC65&gt;0,"✔","-")</f>
        <v>-</v>
      </c>
      <c r="BO63" s="444" t="str">
        <f>IF('Design Fee'!ED65&gt;0,"✔","-")</f>
        <v>-</v>
      </c>
      <c r="BP63" s="444" t="str">
        <f>IF('Design Fee'!EE65&gt;0,"✔","-")</f>
        <v>-</v>
      </c>
      <c r="BQ63" s="444" t="str">
        <f>IF('Design Fee'!EF65&gt;0,"✔","-")</f>
        <v>-</v>
      </c>
      <c r="BR63" s="444" t="str">
        <f>IF('Design Fee'!EG65&gt;0,"✔","-")</f>
        <v>-</v>
      </c>
      <c r="BS63" s="466" t="str">
        <f>IF('Design Fee'!EH65&gt;0,"✔","-")</f>
        <v>-</v>
      </c>
      <c r="BT63" s="383"/>
      <c r="BU63" s="444" t="str">
        <f>IF('Design Fee'!EJ65&gt;0,"✔","-")</f>
        <v>-</v>
      </c>
      <c r="BV63" s="444" t="str">
        <f>IF('Design Fee'!EK65&gt;0,"✔","-")</f>
        <v>-</v>
      </c>
      <c r="BW63" s="444" t="str">
        <f>IF('Design Fee'!EL65&gt;0,"✔","-")</f>
        <v>-</v>
      </c>
      <c r="BX63" s="444" t="str">
        <f>IF('Design Fee'!EM65&gt;0,"✔","-")</f>
        <v>-</v>
      </c>
      <c r="BY63" s="444" t="str">
        <f>IF('Design Fee'!EN65&gt;0,"✔","-")</f>
        <v>-</v>
      </c>
      <c r="BZ63" s="383"/>
    </row>
    <row r="64" spans="2:92" s="95" customFormat="1" ht="12.75" outlineLevel="2">
      <c r="B64" s="463" t="s">
        <v>75</v>
      </c>
      <c r="C64" s="469">
        <v>3</v>
      </c>
      <c r="D64" s="470" t="s">
        <v>56</v>
      </c>
      <c r="E64" s="468"/>
      <c r="F64" s="473">
        <f t="shared" si="77"/>
        <v>1</v>
      </c>
      <c r="G64" s="466">
        <f t="shared" si="78"/>
        <v>1</v>
      </c>
      <c r="H64" s="466">
        <f t="shared" si="78"/>
        <v>1</v>
      </c>
      <c r="I64" s="466">
        <f t="shared" si="79"/>
        <v>0</v>
      </c>
      <c r="J64" s="480"/>
      <c r="K64" s="471"/>
      <c r="L64" s="472"/>
      <c r="M64" s="443" t="str">
        <f>IF('Design Fee'!W66&gt;0,"✔","-")</f>
        <v>✔</v>
      </c>
      <c r="N64" s="443" t="str">
        <f>IF('Design Fee'!X66&gt;0,"✔","-")</f>
        <v>✔</v>
      </c>
      <c r="O64" s="466" t="str">
        <f>IF('Design Fee'!Y66&gt;0,"✔","-")</f>
        <v>✔</v>
      </c>
      <c r="P64" s="466" t="str">
        <f>IF('Design Fee'!Z66&gt;0,"✔","-")</f>
        <v>-</v>
      </c>
      <c r="Q64" s="466" t="str">
        <f>IF('Design Fee'!AA66&gt;0,"✔","-")</f>
        <v>-</v>
      </c>
      <c r="R64" s="466" t="str">
        <f>IF('Design Fee'!AB66&gt;0,"✔","-")</f>
        <v>-</v>
      </c>
      <c r="S64" s="466" t="str">
        <f>IF('Design Fee'!AC66&gt;0,"✔","-")</f>
        <v>-</v>
      </c>
      <c r="T64" s="466" t="str">
        <f>IF('Design Fee'!AD66&gt;0,"✔","-")</f>
        <v>-</v>
      </c>
      <c r="U64" s="480"/>
      <c r="V64" s="444" t="str">
        <f>IF('Design Fee'!AF66&gt;0,"✔","-")</f>
        <v>-</v>
      </c>
      <c r="W64" s="444" t="str">
        <f>IF('Design Fee'!AG66&gt;0,"✔","-")</f>
        <v>-</v>
      </c>
      <c r="X64" s="444" t="str">
        <f>IF('Design Fee'!AH66&gt;0,"✔","-")</f>
        <v>-</v>
      </c>
      <c r="Y64" s="444" t="str">
        <f>IF('Design Fee'!AI66&gt;0,"✔","-")</f>
        <v>-</v>
      </c>
      <c r="Z64" s="444" t="str">
        <f>IF('Design Fee'!AJ66&gt;0,"✔","-")</f>
        <v>-</v>
      </c>
      <c r="AA64" s="480"/>
      <c r="AB64" s="471"/>
      <c r="AC64" s="472"/>
      <c r="AD64" s="443" t="str">
        <f>IF('Design Fee'!BG66&gt;0,"✔","-")</f>
        <v>-</v>
      </c>
      <c r="AE64" s="443" t="str">
        <f>IF('Design Fee'!BH66&gt;0,"✔","-")</f>
        <v>-</v>
      </c>
      <c r="AF64" s="466" t="str">
        <f>IF('Design Fee'!BI66&gt;0,"✔","-")</f>
        <v>-</v>
      </c>
      <c r="AG64" s="466" t="str">
        <f>IF('Design Fee'!BJ66&gt;0,"✔","-")</f>
        <v>-</v>
      </c>
      <c r="AH64" s="466" t="str">
        <f>IF('Design Fee'!BK66&gt;0,"✔","-")</f>
        <v>-</v>
      </c>
      <c r="AI64" s="466" t="str">
        <f>IF('Design Fee'!BL66&gt;0,"✔","-")</f>
        <v>-</v>
      </c>
      <c r="AJ64" s="466" t="str">
        <f>IF('Design Fee'!BM66&gt;0,"✔","-")</f>
        <v>-</v>
      </c>
      <c r="AK64" s="466" t="str">
        <f>IF('Design Fee'!BN66&gt;0,"✔","-")</f>
        <v>-</v>
      </c>
      <c r="AL64" s="476"/>
      <c r="AM64" s="444" t="str">
        <f>IF('Design Fee'!BP66&gt;0,"✔","-")</f>
        <v>-</v>
      </c>
      <c r="AN64" s="444" t="str">
        <f>IF('Design Fee'!BQ66&gt;0,"✔","-")</f>
        <v>-</v>
      </c>
      <c r="AO64" s="444" t="str">
        <f>IF('Design Fee'!BR66&gt;0,"✔","-")</f>
        <v>-</v>
      </c>
      <c r="AP64" s="444" t="str">
        <f>IF('Design Fee'!BS66&gt;0,"✔","-")</f>
        <v>-</v>
      </c>
      <c r="AQ64" s="444" t="str">
        <f>IF('Design Fee'!BT66&gt;0,"✔","-")</f>
        <v>-</v>
      </c>
      <c r="AR64" s="476"/>
      <c r="AS64" s="471"/>
      <c r="AT64" s="472"/>
      <c r="AU64" s="443" t="str">
        <f>IF('Design Fee'!CQ66&gt;0,"✔","-")</f>
        <v>-</v>
      </c>
      <c r="AV64" s="443" t="str">
        <f>IF('Design Fee'!CR66&gt;0,"✔","-")</f>
        <v>-</v>
      </c>
      <c r="AW64" s="466" t="str">
        <f>IF('Design Fee'!CS66&gt;0,"✔","-")</f>
        <v>-</v>
      </c>
      <c r="AX64" s="466" t="str">
        <f>IF('Design Fee'!CT66&gt;0,"✔","-")</f>
        <v>-</v>
      </c>
      <c r="AY64" s="466" t="str">
        <f>IF('Design Fee'!CU66&gt;0,"✔","-")</f>
        <v>-</v>
      </c>
      <c r="AZ64" s="466" t="str">
        <f>IF('Design Fee'!CV66&gt;0,"✔","-")</f>
        <v>-</v>
      </c>
      <c r="BA64" s="466" t="str">
        <f>IF('Design Fee'!CW66&gt;0,"✔","-")</f>
        <v>-</v>
      </c>
      <c r="BB64" s="466" t="str">
        <f>IF('Design Fee'!CX66&gt;0,"✔","-")</f>
        <v>-</v>
      </c>
      <c r="BC64" s="476"/>
      <c r="BD64" s="444" t="str">
        <f>IF('Design Fee'!CZ66&gt;0,"✔","-")</f>
        <v>-</v>
      </c>
      <c r="BE64" s="444" t="str">
        <f>IF('Design Fee'!DA66&gt;0,"✔","-")</f>
        <v>-</v>
      </c>
      <c r="BF64" s="444" t="str">
        <f>IF('Design Fee'!DB66&gt;0,"✔","-")</f>
        <v>-</v>
      </c>
      <c r="BG64" s="444" t="str">
        <f>IF('Design Fee'!DC66&gt;0,"✔","-")</f>
        <v>-</v>
      </c>
      <c r="BH64" s="444" t="str">
        <f>IF('Design Fee'!DD66&gt;0,"✔","-")</f>
        <v>-</v>
      </c>
      <c r="BI64" s="476"/>
      <c r="BJ64" s="471"/>
      <c r="BK64" s="472"/>
      <c r="BL64" s="443" t="str">
        <f>IF('Design Fee'!EA66&gt;0,"✔","-")</f>
        <v>-</v>
      </c>
      <c r="BM64" s="443" t="str">
        <f>IF('Design Fee'!EB66&gt;0,"✔","-")</f>
        <v>-</v>
      </c>
      <c r="BN64" s="466" t="str">
        <f>IF('Design Fee'!EC66&gt;0,"✔","-")</f>
        <v>-</v>
      </c>
      <c r="BO64" s="466" t="str">
        <f>IF('Design Fee'!ED66&gt;0,"✔","-")</f>
        <v>-</v>
      </c>
      <c r="BP64" s="466" t="str">
        <f>IF('Design Fee'!EE66&gt;0,"✔","-")</f>
        <v>-</v>
      </c>
      <c r="BQ64" s="466" t="str">
        <f>IF('Design Fee'!EF66&gt;0,"✔","-")</f>
        <v>-</v>
      </c>
      <c r="BR64" s="466" t="str">
        <f>IF('Design Fee'!EG66&gt;0,"✔","-")</f>
        <v>-</v>
      </c>
      <c r="BS64" s="466" t="str">
        <f>IF('Design Fee'!EH66&gt;0,"✔","-")</f>
        <v>-</v>
      </c>
      <c r="BT64" s="468"/>
      <c r="BU64" s="444" t="str">
        <f>IF('Design Fee'!EJ66&gt;0,"✔","-")</f>
        <v>-</v>
      </c>
      <c r="BV64" s="444" t="str">
        <f>IF('Design Fee'!EK66&gt;0,"✔","-")</f>
        <v>-</v>
      </c>
      <c r="BW64" s="444" t="str">
        <f>IF('Design Fee'!EL66&gt;0,"✔","-")</f>
        <v>-</v>
      </c>
      <c r="BX64" s="444" t="str">
        <f>IF('Design Fee'!EM66&gt;0,"✔","-")</f>
        <v>-</v>
      </c>
      <c r="BY64" s="444" t="str">
        <f>IF('Design Fee'!EN66&gt;0,"✔","-")</f>
        <v>-</v>
      </c>
      <c r="BZ64" s="383"/>
    </row>
    <row r="65" spans="2:78" ht="12.75" outlineLevel="2">
      <c r="B65" s="463" t="s">
        <v>76</v>
      </c>
      <c r="C65" s="464">
        <v>4</v>
      </c>
      <c r="D65" s="465" t="s">
        <v>58</v>
      </c>
      <c r="E65" s="383"/>
      <c r="F65" s="443">
        <f t="shared" si="77"/>
        <v>3</v>
      </c>
      <c r="G65" s="452">
        <f t="shared" si="78"/>
        <v>3</v>
      </c>
      <c r="H65" s="452">
        <f t="shared" si="78"/>
        <v>3</v>
      </c>
      <c r="I65" s="452">
        <f t="shared" si="79"/>
        <v>0</v>
      </c>
      <c r="J65" s="467"/>
      <c r="K65" s="441"/>
      <c r="L65" s="442"/>
      <c r="M65" s="443" t="str">
        <f>IF('Design Fee'!W67&gt;0,"✔","-")</f>
        <v>✔</v>
      </c>
      <c r="N65" s="443" t="str">
        <f>IF('Design Fee'!X67&gt;0,"✔","-")</f>
        <v>✔</v>
      </c>
      <c r="O65" s="452" t="str">
        <f>IF('Design Fee'!Y67&gt;0,"✔","-")</f>
        <v>✔</v>
      </c>
      <c r="P65" s="452" t="str">
        <f>IF('Design Fee'!Z67&gt;0,"✔","-")</f>
        <v>-</v>
      </c>
      <c r="Q65" s="452" t="str">
        <f>IF('Design Fee'!AA67&gt;0,"✔","-")</f>
        <v>-</v>
      </c>
      <c r="R65" s="452" t="str">
        <f>IF('Design Fee'!AB67&gt;0,"✔","-")</f>
        <v>-</v>
      </c>
      <c r="S65" s="452" t="str">
        <f>IF('Design Fee'!AC67&gt;0,"✔","-")</f>
        <v>-</v>
      </c>
      <c r="T65" s="466" t="str">
        <f>IF('Design Fee'!AD67&gt;0,"✔","-")</f>
        <v>-</v>
      </c>
      <c r="U65" s="467"/>
      <c r="V65" s="444" t="str">
        <f>IF('Design Fee'!AF67&gt;0,"✔","-")</f>
        <v>-</v>
      </c>
      <c r="W65" s="444" t="str">
        <f>IF('Design Fee'!AG67&gt;0,"✔","-")</f>
        <v>-</v>
      </c>
      <c r="X65" s="444" t="str">
        <f>IF('Design Fee'!AH67&gt;0,"✔","-")</f>
        <v>-</v>
      </c>
      <c r="Y65" s="444" t="str">
        <f>IF('Design Fee'!AI67&gt;0,"✔","-")</f>
        <v>-</v>
      </c>
      <c r="Z65" s="444" t="str">
        <f>IF('Design Fee'!AJ67&gt;0,"✔","-")</f>
        <v>-</v>
      </c>
      <c r="AA65" s="467"/>
      <c r="AB65" s="441"/>
      <c r="AC65" s="442"/>
      <c r="AD65" s="443" t="str">
        <f>IF('Design Fee'!BG67&gt;0,"✔","-")</f>
        <v>✔</v>
      </c>
      <c r="AE65" s="443" t="str">
        <f>IF('Design Fee'!BH67&gt;0,"✔","-")</f>
        <v>✔</v>
      </c>
      <c r="AF65" s="452" t="str">
        <f>IF('Design Fee'!BI67&gt;0,"✔","-")</f>
        <v>✔</v>
      </c>
      <c r="AG65" s="452" t="str">
        <f>IF('Design Fee'!BJ67&gt;0,"✔","-")</f>
        <v>-</v>
      </c>
      <c r="AH65" s="452" t="str">
        <f>IF('Design Fee'!BK67&gt;0,"✔","-")</f>
        <v>-</v>
      </c>
      <c r="AI65" s="452" t="str">
        <f>IF('Design Fee'!BL67&gt;0,"✔","-")</f>
        <v>-</v>
      </c>
      <c r="AJ65" s="452" t="str">
        <f>IF('Design Fee'!BM67&gt;0,"✔","-")</f>
        <v>-</v>
      </c>
      <c r="AK65" s="466" t="str">
        <f>IF('Design Fee'!BN67&gt;0,"✔","-")</f>
        <v>-</v>
      </c>
      <c r="AL65" s="445"/>
      <c r="AM65" s="444" t="str">
        <f>IF('Design Fee'!BP67&gt;0,"✔","-")</f>
        <v>-</v>
      </c>
      <c r="AN65" s="444" t="str">
        <f>IF('Design Fee'!BQ67&gt;0,"✔","-")</f>
        <v>-</v>
      </c>
      <c r="AO65" s="444" t="str">
        <f>IF('Design Fee'!BR67&gt;0,"✔","-")</f>
        <v>-</v>
      </c>
      <c r="AP65" s="444" t="str">
        <f>IF('Design Fee'!BS67&gt;0,"✔","-")</f>
        <v>-</v>
      </c>
      <c r="AQ65" s="444" t="str">
        <f>IF('Design Fee'!BT67&gt;0,"✔","-")</f>
        <v>-</v>
      </c>
      <c r="AR65" s="445"/>
      <c r="AS65" s="441"/>
      <c r="AT65" s="442"/>
      <c r="AU65" s="443" t="str">
        <f>IF('Design Fee'!CQ67&gt;0,"✔","-")</f>
        <v>✔</v>
      </c>
      <c r="AV65" s="443" t="str">
        <f>IF('Design Fee'!CR67&gt;0,"✔","-")</f>
        <v>✔</v>
      </c>
      <c r="AW65" s="452" t="str">
        <f>IF('Design Fee'!CS67&gt;0,"✔","-")</f>
        <v>✔</v>
      </c>
      <c r="AX65" s="452" t="str">
        <f>IF('Design Fee'!CT67&gt;0,"✔","-")</f>
        <v>-</v>
      </c>
      <c r="AY65" s="452" t="str">
        <f>IF('Design Fee'!CU67&gt;0,"✔","-")</f>
        <v>-</v>
      </c>
      <c r="AZ65" s="452" t="str">
        <f>IF('Design Fee'!CV67&gt;0,"✔","-")</f>
        <v>-</v>
      </c>
      <c r="BA65" s="452" t="str">
        <f>IF('Design Fee'!CW67&gt;0,"✔","-")</f>
        <v>-</v>
      </c>
      <c r="BB65" s="466" t="str">
        <f>IF('Design Fee'!CX67&gt;0,"✔","-")</f>
        <v>-</v>
      </c>
      <c r="BC65" s="445"/>
      <c r="BD65" s="444" t="str">
        <f>IF('Design Fee'!CZ67&gt;0,"✔","-")</f>
        <v>-</v>
      </c>
      <c r="BE65" s="444" t="str">
        <f>IF('Design Fee'!DA67&gt;0,"✔","-")</f>
        <v>-</v>
      </c>
      <c r="BF65" s="444" t="str">
        <f>IF('Design Fee'!DB67&gt;0,"✔","-")</f>
        <v>-</v>
      </c>
      <c r="BG65" s="444" t="str">
        <f>IF('Design Fee'!DC67&gt;0,"✔","-")</f>
        <v>-</v>
      </c>
      <c r="BH65" s="444" t="str">
        <f>IF('Design Fee'!DD67&gt;0,"✔","-")</f>
        <v>-</v>
      </c>
      <c r="BI65" s="445"/>
      <c r="BJ65" s="441"/>
      <c r="BK65" s="442"/>
      <c r="BL65" s="443" t="str">
        <f>IF('Design Fee'!EA67&gt;0,"✔","-")</f>
        <v>-</v>
      </c>
      <c r="BM65" s="443" t="str">
        <f>IF('Design Fee'!EB67&gt;0,"✔","-")</f>
        <v>-</v>
      </c>
      <c r="BN65" s="452" t="str">
        <f>IF('Design Fee'!EC67&gt;0,"✔","-")</f>
        <v>-</v>
      </c>
      <c r="BO65" s="452" t="str">
        <f>IF('Design Fee'!ED67&gt;0,"✔","-")</f>
        <v>-</v>
      </c>
      <c r="BP65" s="452" t="str">
        <f>IF('Design Fee'!EE67&gt;0,"✔","-")</f>
        <v>-</v>
      </c>
      <c r="BQ65" s="452" t="str">
        <f>IF('Design Fee'!EF67&gt;0,"✔","-")</f>
        <v>-</v>
      </c>
      <c r="BR65" s="452" t="str">
        <f>IF('Design Fee'!EG67&gt;0,"✔","-")</f>
        <v>-</v>
      </c>
      <c r="BS65" s="466" t="str">
        <f>IF('Design Fee'!EH67&gt;0,"✔","-")</f>
        <v>-</v>
      </c>
      <c r="BT65" s="383"/>
      <c r="BU65" s="444" t="str">
        <f>IF('Design Fee'!EJ67&gt;0,"✔","-")</f>
        <v>-</v>
      </c>
      <c r="BV65" s="444" t="str">
        <f>IF('Design Fee'!EK67&gt;0,"✔","-")</f>
        <v>-</v>
      </c>
      <c r="BW65" s="444" t="str">
        <f>IF('Design Fee'!EL67&gt;0,"✔","-")</f>
        <v>-</v>
      </c>
      <c r="BX65" s="444" t="str">
        <f>IF('Design Fee'!EM67&gt;0,"✔","-")</f>
        <v>-</v>
      </c>
      <c r="BY65" s="444" t="str">
        <f>IF('Design Fee'!EN67&gt;0,"✔","-")</f>
        <v>-</v>
      </c>
      <c r="BZ65" s="383"/>
    </row>
    <row r="66" spans="2:78" ht="12.75" outlineLevel="2">
      <c r="B66" s="463" t="s">
        <v>77</v>
      </c>
      <c r="C66" s="464">
        <v>5</v>
      </c>
      <c r="D66" s="465" t="s">
        <v>60</v>
      </c>
      <c r="E66" s="383"/>
      <c r="F66" s="443">
        <f t="shared" si="77"/>
        <v>2</v>
      </c>
      <c r="G66" s="452">
        <f t="shared" si="78"/>
        <v>2</v>
      </c>
      <c r="H66" s="452">
        <f t="shared" si="78"/>
        <v>2</v>
      </c>
      <c r="I66" s="452">
        <f t="shared" si="79"/>
        <v>0</v>
      </c>
      <c r="J66" s="430"/>
      <c r="K66" s="441"/>
      <c r="L66" s="442"/>
      <c r="M66" s="443" t="str">
        <f>IF('Design Fee'!W68&gt;0,"✔","-")</f>
        <v>✔</v>
      </c>
      <c r="N66" s="443" t="str">
        <f>IF('Design Fee'!X68&gt;0,"✔","-")</f>
        <v>✔</v>
      </c>
      <c r="O66" s="452" t="str">
        <f>IF('Design Fee'!Y68&gt;0,"✔","-")</f>
        <v>✔</v>
      </c>
      <c r="P66" s="452" t="str">
        <f>IF('Design Fee'!Z68&gt;0,"✔","-")</f>
        <v>-</v>
      </c>
      <c r="Q66" s="452" t="str">
        <f>IF('Design Fee'!AA68&gt;0,"✔","-")</f>
        <v>-</v>
      </c>
      <c r="R66" s="452" t="str">
        <f>IF('Design Fee'!AB68&gt;0,"✔","-")</f>
        <v>-</v>
      </c>
      <c r="S66" s="452" t="str">
        <f>IF('Design Fee'!AC68&gt;0,"✔","-")</f>
        <v>-</v>
      </c>
      <c r="T66" s="466" t="str">
        <f>IF('Design Fee'!AD68&gt;0,"✔","-")</f>
        <v>-</v>
      </c>
      <c r="U66" s="430"/>
      <c r="V66" s="444" t="str">
        <f>IF('Design Fee'!AF68&gt;0,"✔","-")</f>
        <v>-</v>
      </c>
      <c r="W66" s="444" t="str">
        <f>IF('Design Fee'!AG68&gt;0,"✔","-")</f>
        <v>-</v>
      </c>
      <c r="X66" s="444" t="str">
        <f>IF('Design Fee'!AH68&gt;0,"✔","-")</f>
        <v>-</v>
      </c>
      <c r="Y66" s="444" t="str">
        <f>IF('Design Fee'!AI68&gt;0,"✔","-")</f>
        <v>-</v>
      </c>
      <c r="Z66" s="444" t="str">
        <f>IF('Design Fee'!AJ68&gt;0,"✔","-")</f>
        <v>-</v>
      </c>
      <c r="AA66" s="430"/>
      <c r="AB66" s="441"/>
      <c r="AC66" s="442"/>
      <c r="AD66" s="443" t="str">
        <f>IF('Design Fee'!BG68&gt;0,"✔","-")</f>
        <v>✔</v>
      </c>
      <c r="AE66" s="443" t="str">
        <f>IF('Design Fee'!BH68&gt;0,"✔","-")</f>
        <v>✔</v>
      </c>
      <c r="AF66" s="452" t="str">
        <f>IF('Design Fee'!BI68&gt;0,"✔","-")</f>
        <v>✔</v>
      </c>
      <c r="AG66" s="452" t="str">
        <f>IF('Design Fee'!BJ68&gt;0,"✔","-")</f>
        <v>-</v>
      </c>
      <c r="AH66" s="452" t="str">
        <f>IF('Design Fee'!BK68&gt;0,"✔","-")</f>
        <v>-</v>
      </c>
      <c r="AI66" s="452" t="str">
        <f>IF('Design Fee'!BL68&gt;0,"✔","-")</f>
        <v>-</v>
      </c>
      <c r="AJ66" s="452" t="str">
        <f>IF('Design Fee'!BM68&gt;0,"✔","-")</f>
        <v>-</v>
      </c>
      <c r="AK66" s="466" t="str">
        <f>IF('Design Fee'!BN68&gt;0,"✔","-")</f>
        <v>-</v>
      </c>
      <c r="AL66" s="445"/>
      <c r="AM66" s="444" t="str">
        <f>IF('Design Fee'!BP68&gt;0,"✔","-")</f>
        <v>-</v>
      </c>
      <c r="AN66" s="444" t="str">
        <f>IF('Design Fee'!BQ68&gt;0,"✔","-")</f>
        <v>-</v>
      </c>
      <c r="AO66" s="444" t="str">
        <f>IF('Design Fee'!BR68&gt;0,"✔","-")</f>
        <v>-</v>
      </c>
      <c r="AP66" s="444" t="str">
        <f>IF('Design Fee'!BS68&gt;0,"✔","-")</f>
        <v>-</v>
      </c>
      <c r="AQ66" s="444" t="str">
        <f>IF('Design Fee'!BT68&gt;0,"✔","-")</f>
        <v>-</v>
      </c>
      <c r="AR66" s="445"/>
      <c r="AS66" s="441"/>
      <c r="AT66" s="442"/>
      <c r="AU66" s="443" t="str">
        <f>IF('Design Fee'!CQ68&gt;0,"✔","-")</f>
        <v>-</v>
      </c>
      <c r="AV66" s="443" t="str">
        <f>IF('Design Fee'!CR68&gt;0,"✔","-")</f>
        <v>-</v>
      </c>
      <c r="AW66" s="452" t="str">
        <f>IF('Design Fee'!CS68&gt;0,"✔","-")</f>
        <v>-</v>
      </c>
      <c r="AX66" s="452" t="str">
        <f>IF('Design Fee'!CT68&gt;0,"✔","-")</f>
        <v>-</v>
      </c>
      <c r="AY66" s="452" t="str">
        <f>IF('Design Fee'!CU68&gt;0,"✔","-")</f>
        <v>-</v>
      </c>
      <c r="AZ66" s="452" t="str">
        <f>IF('Design Fee'!CV68&gt;0,"✔","-")</f>
        <v>-</v>
      </c>
      <c r="BA66" s="452" t="str">
        <f>IF('Design Fee'!CW68&gt;0,"✔","-")</f>
        <v>-</v>
      </c>
      <c r="BB66" s="466" t="str">
        <f>IF('Design Fee'!CX68&gt;0,"✔","-")</f>
        <v>-</v>
      </c>
      <c r="BC66" s="445"/>
      <c r="BD66" s="444" t="str">
        <f>IF('Design Fee'!CZ68&gt;0,"✔","-")</f>
        <v>-</v>
      </c>
      <c r="BE66" s="444" t="str">
        <f>IF('Design Fee'!DA68&gt;0,"✔","-")</f>
        <v>-</v>
      </c>
      <c r="BF66" s="444" t="str">
        <f>IF('Design Fee'!DB68&gt;0,"✔","-")</f>
        <v>-</v>
      </c>
      <c r="BG66" s="444" t="str">
        <f>IF('Design Fee'!DC68&gt;0,"✔","-")</f>
        <v>-</v>
      </c>
      <c r="BH66" s="444" t="str">
        <f>IF('Design Fee'!DD68&gt;0,"✔","-")</f>
        <v>-</v>
      </c>
      <c r="BI66" s="445"/>
      <c r="BJ66" s="441"/>
      <c r="BK66" s="442"/>
      <c r="BL66" s="443" t="str">
        <f>IF('Design Fee'!EA68&gt;0,"✔","-")</f>
        <v>-</v>
      </c>
      <c r="BM66" s="443" t="str">
        <f>IF('Design Fee'!EB68&gt;0,"✔","-")</f>
        <v>-</v>
      </c>
      <c r="BN66" s="452" t="str">
        <f>IF('Design Fee'!EC68&gt;0,"✔","-")</f>
        <v>-</v>
      </c>
      <c r="BO66" s="452" t="str">
        <f>IF('Design Fee'!ED68&gt;0,"✔","-")</f>
        <v>-</v>
      </c>
      <c r="BP66" s="452" t="str">
        <f>IF('Design Fee'!EE68&gt;0,"✔","-")</f>
        <v>-</v>
      </c>
      <c r="BQ66" s="452" t="str">
        <f>IF('Design Fee'!EF68&gt;0,"✔","-")</f>
        <v>-</v>
      </c>
      <c r="BR66" s="452" t="str">
        <f>IF('Design Fee'!EG68&gt;0,"✔","-")</f>
        <v>-</v>
      </c>
      <c r="BS66" s="466" t="str">
        <f>IF('Design Fee'!EH68&gt;0,"✔","-")</f>
        <v>-</v>
      </c>
      <c r="BT66" s="383"/>
      <c r="BU66" s="444" t="str">
        <f>IF('Design Fee'!EJ68&gt;0,"✔","-")</f>
        <v>-</v>
      </c>
      <c r="BV66" s="444" t="str">
        <f>IF('Design Fee'!EK68&gt;0,"✔","-")</f>
        <v>-</v>
      </c>
      <c r="BW66" s="444" t="str">
        <f>IF('Design Fee'!EL68&gt;0,"✔","-")</f>
        <v>-</v>
      </c>
      <c r="BX66" s="444" t="str">
        <f>IF('Design Fee'!EM68&gt;0,"✔","-")</f>
        <v>-</v>
      </c>
      <c r="BY66" s="444" t="str">
        <f>IF('Design Fee'!EN68&gt;0,"✔","-")</f>
        <v>-</v>
      </c>
      <c r="BZ66" s="383"/>
    </row>
    <row r="67" spans="2:78" ht="12.75" outlineLevel="2">
      <c r="B67" s="463" t="s">
        <v>78</v>
      </c>
      <c r="C67" s="464">
        <v>6</v>
      </c>
      <c r="D67" s="465" t="s">
        <v>62</v>
      </c>
      <c r="E67" s="383"/>
      <c r="F67" s="443">
        <f t="shared" si="77"/>
        <v>2</v>
      </c>
      <c r="G67" s="452">
        <f t="shared" si="78"/>
        <v>2</v>
      </c>
      <c r="H67" s="452">
        <f t="shared" si="78"/>
        <v>2</v>
      </c>
      <c r="I67" s="452">
        <f t="shared" si="79"/>
        <v>0</v>
      </c>
      <c r="J67" s="430"/>
      <c r="K67" s="441"/>
      <c r="L67" s="442"/>
      <c r="M67" s="443" t="str">
        <f>IF('Design Fee'!W69&gt;0,"✔","-")</f>
        <v>✔</v>
      </c>
      <c r="N67" s="443" t="str">
        <f>IF('Design Fee'!X69&gt;0,"✔","-")</f>
        <v>✔</v>
      </c>
      <c r="O67" s="452" t="str">
        <f>IF('Design Fee'!Y69&gt;0,"✔","-")</f>
        <v>✔</v>
      </c>
      <c r="P67" s="452" t="str">
        <f>IF('Design Fee'!Z69&gt;0,"✔","-")</f>
        <v>-</v>
      </c>
      <c r="Q67" s="452" t="str">
        <f>IF('Design Fee'!AA69&gt;0,"✔","-")</f>
        <v>-</v>
      </c>
      <c r="R67" s="452" t="str">
        <f>IF('Design Fee'!AB69&gt;0,"✔","-")</f>
        <v>-</v>
      </c>
      <c r="S67" s="452" t="str">
        <f>IF('Design Fee'!AC69&gt;0,"✔","-")</f>
        <v>-</v>
      </c>
      <c r="T67" s="466" t="str">
        <f>IF('Design Fee'!AD69&gt;0,"✔","-")</f>
        <v>-</v>
      </c>
      <c r="U67" s="430"/>
      <c r="V67" s="444" t="str">
        <f>IF('Design Fee'!AF69&gt;0,"✔","-")</f>
        <v>-</v>
      </c>
      <c r="W67" s="444" t="str">
        <f>IF('Design Fee'!AG69&gt;0,"✔","-")</f>
        <v>-</v>
      </c>
      <c r="X67" s="444" t="str">
        <f>IF('Design Fee'!AH69&gt;0,"✔","-")</f>
        <v>-</v>
      </c>
      <c r="Y67" s="444" t="str">
        <f>IF('Design Fee'!AI69&gt;0,"✔","-")</f>
        <v>-</v>
      </c>
      <c r="Z67" s="444" t="str">
        <f>IF('Design Fee'!AJ69&gt;0,"✔","-")</f>
        <v>-</v>
      </c>
      <c r="AA67" s="430"/>
      <c r="AB67" s="441"/>
      <c r="AC67" s="442"/>
      <c r="AD67" s="443" t="str">
        <f>IF('Design Fee'!BG69&gt;0,"✔","-")</f>
        <v>✔</v>
      </c>
      <c r="AE67" s="443" t="str">
        <f>IF('Design Fee'!BH69&gt;0,"✔","-")</f>
        <v>✔</v>
      </c>
      <c r="AF67" s="452" t="str">
        <f>IF('Design Fee'!BI69&gt;0,"✔","-")</f>
        <v>✔</v>
      </c>
      <c r="AG67" s="452" t="str">
        <f>IF('Design Fee'!BJ69&gt;0,"✔","-")</f>
        <v>-</v>
      </c>
      <c r="AH67" s="452" t="str">
        <f>IF('Design Fee'!BK69&gt;0,"✔","-")</f>
        <v>-</v>
      </c>
      <c r="AI67" s="452" t="str">
        <f>IF('Design Fee'!BL69&gt;0,"✔","-")</f>
        <v>-</v>
      </c>
      <c r="AJ67" s="452" t="str">
        <f>IF('Design Fee'!BM69&gt;0,"✔","-")</f>
        <v>-</v>
      </c>
      <c r="AK67" s="466" t="str">
        <f>IF('Design Fee'!BN69&gt;0,"✔","-")</f>
        <v>-</v>
      </c>
      <c r="AL67" s="445"/>
      <c r="AM67" s="444" t="str">
        <f>IF('Design Fee'!BP69&gt;0,"✔","-")</f>
        <v>-</v>
      </c>
      <c r="AN67" s="444" t="str">
        <f>IF('Design Fee'!BQ69&gt;0,"✔","-")</f>
        <v>-</v>
      </c>
      <c r="AO67" s="444" t="str">
        <f>IF('Design Fee'!BR69&gt;0,"✔","-")</f>
        <v>-</v>
      </c>
      <c r="AP67" s="444" t="str">
        <f>IF('Design Fee'!BS69&gt;0,"✔","-")</f>
        <v>-</v>
      </c>
      <c r="AQ67" s="444" t="str">
        <f>IF('Design Fee'!BT69&gt;0,"✔","-")</f>
        <v>-</v>
      </c>
      <c r="AR67" s="445"/>
      <c r="AS67" s="441"/>
      <c r="AT67" s="442"/>
      <c r="AU67" s="443" t="str">
        <f>IF('Design Fee'!CQ69&gt;0,"✔","-")</f>
        <v>-</v>
      </c>
      <c r="AV67" s="443" t="str">
        <f>IF('Design Fee'!CR69&gt;0,"✔","-")</f>
        <v>-</v>
      </c>
      <c r="AW67" s="452" t="str">
        <f>IF('Design Fee'!CS69&gt;0,"✔","-")</f>
        <v>-</v>
      </c>
      <c r="AX67" s="452" t="str">
        <f>IF('Design Fee'!CT69&gt;0,"✔","-")</f>
        <v>-</v>
      </c>
      <c r="AY67" s="452" t="str">
        <f>IF('Design Fee'!CU69&gt;0,"✔","-")</f>
        <v>-</v>
      </c>
      <c r="AZ67" s="452" t="str">
        <f>IF('Design Fee'!CV69&gt;0,"✔","-")</f>
        <v>-</v>
      </c>
      <c r="BA67" s="452" t="str">
        <f>IF('Design Fee'!CW69&gt;0,"✔","-")</f>
        <v>-</v>
      </c>
      <c r="BB67" s="466" t="str">
        <f>IF('Design Fee'!CX69&gt;0,"✔","-")</f>
        <v>-</v>
      </c>
      <c r="BC67" s="445"/>
      <c r="BD67" s="444" t="str">
        <f>IF('Design Fee'!CZ69&gt;0,"✔","-")</f>
        <v>-</v>
      </c>
      <c r="BE67" s="444" t="str">
        <f>IF('Design Fee'!DA69&gt;0,"✔","-")</f>
        <v>-</v>
      </c>
      <c r="BF67" s="444" t="str">
        <f>IF('Design Fee'!DB69&gt;0,"✔","-")</f>
        <v>-</v>
      </c>
      <c r="BG67" s="444" t="str">
        <f>IF('Design Fee'!DC69&gt;0,"✔","-")</f>
        <v>-</v>
      </c>
      <c r="BH67" s="444" t="str">
        <f>IF('Design Fee'!DD69&gt;0,"✔","-")</f>
        <v>-</v>
      </c>
      <c r="BI67" s="445"/>
      <c r="BJ67" s="441"/>
      <c r="BK67" s="442"/>
      <c r="BL67" s="443" t="str">
        <f>IF('Design Fee'!EA69&gt;0,"✔","-")</f>
        <v>-</v>
      </c>
      <c r="BM67" s="443" t="str">
        <f>IF('Design Fee'!EB69&gt;0,"✔","-")</f>
        <v>-</v>
      </c>
      <c r="BN67" s="452" t="str">
        <f>IF('Design Fee'!EC69&gt;0,"✔","-")</f>
        <v>-</v>
      </c>
      <c r="BO67" s="452" t="str">
        <f>IF('Design Fee'!ED69&gt;0,"✔","-")</f>
        <v>-</v>
      </c>
      <c r="BP67" s="452" t="str">
        <f>IF('Design Fee'!EE69&gt;0,"✔","-")</f>
        <v>-</v>
      </c>
      <c r="BQ67" s="452" t="str">
        <f>IF('Design Fee'!EF69&gt;0,"✔","-")</f>
        <v>-</v>
      </c>
      <c r="BR67" s="452" t="str">
        <f>IF('Design Fee'!EG69&gt;0,"✔","-")</f>
        <v>-</v>
      </c>
      <c r="BS67" s="466" t="str">
        <f>IF('Design Fee'!EH69&gt;0,"✔","-")</f>
        <v>-</v>
      </c>
      <c r="BT67" s="383"/>
      <c r="BU67" s="444" t="str">
        <f>IF('Design Fee'!EJ69&gt;0,"✔","-")</f>
        <v>-</v>
      </c>
      <c r="BV67" s="444" t="str">
        <f>IF('Design Fee'!EK69&gt;0,"✔","-")</f>
        <v>-</v>
      </c>
      <c r="BW67" s="444" t="str">
        <f>IF('Design Fee'!EL69&gt;0,"✔","-")</f>
        <v>-</v>
      </c>
      <c r="BX67" s="444" t="str">
        <f>IF('Design Fee'!EM69&gt;0,"✔","-")</f>
        <v>-</v>
      </c>
      <c r="BY67" s="444" t="str">
        <f>IF('Design Fee'!EN69&gt;0,"✔","-")</f>
        <v>-</v>
      </c>
      <c r="BZ67" s="383"/>
    </row>
    <row r="68" spans="2:78" s="95" customFormat="1" ht="12.75" outlineLevel="2">
      <c r="B68" s="463" t="s">
        <v>79</v>
      </c>
      <c r="C68" s="469">
        <v>7</v>
      </c>
      <c r="D68" s="470" t="s">
        <v>64</v>
      </c>
      <c r="E68" s="468"/>
      <c r="F68" s="473">
        <f t="shared" si="77"/>
        <v>2</v>
      </c>
      <c r="G68" s="466">
        <f t="shared" si="78"/>
        <v>2</v>
      </c>
      <c r="H68" s="466">
        <f t="shared" si="78"/>
        <v>0</v>
      </c>
      <c r="I68" s="466">
        <f t="shared" si="79"/>
        <v>0</v>
      </c>
      <c r="J68" s="475"/>
      <c r="K68" s="471"/>
      <c r="L68" s="472"/>
      <c r="M68" s="443" t="str">
        <f>IF('Design Fee'!W70&gt;0,"✔","-")</f>
        <v>✔</v>
      </c>
      <c r="N68" s="443" t="str">
        <f>IF('Design Fee'!X70&gt;0,"✔","-")</f>
        <v>✔</v>
      </c>
      <c r="O68" s="466" t="str">
        <f>IF('Design Fee'!Y70&gt;0,"✔","-")</f>
        <v>-</v>
      </c>
      <c r="P68" s="466" t="str">
        <f>IF('Design Fee'!Z70&gt;0,"✔","-")</f>
        <v>✔</v>
      </c>
      <c r="Q68" s="466" t="str">
        <f>IF('Design Fee'!AA70&gt;0,"✔","-")</f>
        <v>✔</v>
      </c>
      <c r="R68" s="466" t="str">
        <f>IF('Design Fee'!AB70&gt;0,"✔","-")</f>
        <v>-</v>
      </c>
      <c r="S68" s="466" t="str">
        <f>IF('Design Fee'!AC70&gt;0,"✔","-")</f>
        <v>-</v>
      </c>
      <c r="T68" s="466" t="str">
        <f>IF('Design Fee'!AD70&gt;0,"✔","-")</f>
        <v>-</v>
      </c>
      <c r="U68" s="475"/>
      <c r="V68" s="444" t="str">
        <f>IF('Design Fee'!AF70&gt;0,"✔","-")</f>
        <v>✔</v>
      </c>
      <c r="W68" s="444" t="str">
        <f>IF('Design Fee'!AG70&gt;0,"✔","-")</f>
        <v>✔</v>
      </c>
      <c r="X68" s="444" t="str">
        <f>IF('Design Fee'!AH70&gt;0,"✔","-")</f>
        <v>-</v>
      </c>
      <c r="Y68" s="444" t="str">
        <f>IF('Design Fee'!AI70&gt;0,"✔","-")</f>
        <v>-</v>
      </c>
      <c r="Z68" s="444" t="str">
        <f>IF('Design Fee'!AJ70&gt;0,"✔","-")</f>
        <v>-</v>
      </c>
      <c r="AA68" s="475"/>
      <c r="AB68" s="471"/>
      <c r="AC68" s="472"/>
      <c r="AD68" s="443" t="str">
        <f>IF('Design Fee'!BG70&gt;0,"✔","-")</f>
        <v>-</v>
      </c>
      <c r="AE68" s="443" t="str">
        <f>IF('Design Fee'!BH70&gt;0,"✔","-")</f>
        <v>-</v>
      </c>
      <c r="AF68" s="466" t="str">
        <f>IF('Design Fee'!BI70&gt;0,"✔","-")</f>
        <v>-</v>
      </c>
      <c r="AG68" s="466" t="str">
        <f>IF('Design Fee'!BJ70&gt;0,"✔","-")</f>
        <v>-</v>
      </c>
      <c r="AH68" s="466" t="str">
        <f>IF('Design Fee'!BK70&gt;0,"✔","-")</f>
        <v>-</v>
      </c>
      <c r="AI68" s="466" t="str">
        <f>IF('Design Fee'!BL70&gt;0,"✔","-")</f>
        <v>-</v>
      </c>
      <c r="AJ68" s="466" t="str">
        <f>IF('Design Fee'!BM70&gt;0,"✔","-")</f>
        <v>-</v>
      </c>
      <c r="AK68" s="466" t="str">
        <f>IF('Design Fee'!BN70&gt;0,"✔","-")</f>
        <v>-</v>
      </c>
      <c r="AL68" s="476"/>
      <c r="AM68" s="444" t="str">
        <f>IF('Design Fee'!BP70&gt;0,"✔","-")</f>
        <v>-</v>
      </c>
      <c r="AN68" s="444" t="str">
        <f>IF('Design Fee'!BQ70&gt;0,"✔","-")</f>
        <v>-</v>
      </c>
      <c r="AO68" s="444" t="str">
        <f>IF('Design Fee'!BR70&gt;0,"✔","-")</f>
        <v>-</v>
      </c>
      <c r="AP68" s="444" t="str">
        <f>IF('Design Fee'!BS70&gt;0,"✔","-")</f>
        <v>-</v>
      </c>
      <c r="AQ68" s="444" t="str">
        <f>IF('Design Fee'!BT70&gt;0,"✔","-")</f>
        <v>-</v>
      </c>
      <c r="AR68" s="476"/>
      <c r="AS68" s="471"/>
      <c r="AT68" s="472"/>
      <c r="AU68" s="443" t="str">
        <f>IF('Design Fee'!CQ70&gt;0,"✔","-")</f>
        <v>✔</v>
      </c>
      <c r="AV68" s="443" t="str">
        <f>IF('Design Fee'!CR70&gt;0,"✔","-")</f>
        <v>✔</v>
      </c>
      <c r="AW68" s="466" t="str">
        <f>IF('Design Fee'!CS70&gt;0,"✔","-")</f>
        <v>-</v>
      </c>
      <c r="AX68" s="466" t="str">
        <f>IF('Design Fee'!CT70&gt;0,"✔","-")</f>
        <v>✔</v>
      </c>
      <c r="AY68" s="466" t="str">
        <f>IF('Design Fee'!CU70&gt;0,"✔","-")</f>
        <v>✔</v>
      </c>
      <c r="AZ68" s="466" t="str">
        <f>IF('Design Fee'!CV70&gt;0,"✔","-")</f>
        <v>-</v>
      </c>
      <c r="BA68" s="466" t="str">
        <f>IF('Design Fee'!CW70&gt;0,"✔","-")</f>
        <v>-</v>
      </c>
      <c r="BB68" s="466" t="str">
        <f>IF('Design Fee'!CX70&gt;0,"✔","-")</f>
        <v>-</v>
      </c>
      <c r="BC68" s="476"/>
      <c r="BD68" s="444" t="str">
        <f>IF('Design Fee'!CZ70&gt;0,"✔","-")</f>
        <v>✔</v>
      </c>
      <c r="BE68" s="444" t="str">
        <f>IF('Design Fee'!DA70&gt;0,"✔","-")</f>
        <v>-</v>
      </c>
      <c r="BF68" s="444" t="str">
        <f>IF('Design Fee'!DB70&gt;0,"✔","-")</f>
        <v>✔</v>
      </c>
      <c r="BG68" s="444" t="str">
        <f>IF('Design Fee'!DC70&gt;0,"✔","-")</f>
        <v>-</v>
      </c>
      <c r="BH68" s="444" t="str">
        <f>IF('Design Fee'!DD70&gt;0,"✔","-")</f>
        <v>-</v>
      </c>
      <c r="BI68" s="476"/>
      <c r="BJ68" s="471"/>
      <c r="BK68" s="472"/>
      <c r="BL68" s="443" t="str">
        <f>IF('Design Fee'!EA70&gt;0,"✔","-")</f>
        <v>-</v>
      </c>
      <c r="BM68" s="443" t="str">
        <f>IF('Design Fee'!EB70&gt;0,"✔","-")</f>
        <v>-</v>
      </c>
      <c r="BN68" s="466" t="str">
        <f>IF('Design Fee'!EC70&gt;0,"✔","-")</f>
        <v>-</v>
      </c>
      <c r="BO68" s="466" t="str">
        <f>IF('Design Fee'!ED70&gt;0,"✔","-")</f>
        <v>-</v>
      </c>
      <c r="BP68" s="466" t="str">
        <f>IF('Design Fee'!EE70&gt;0,"✔","-")</f>
        <v>-</v>
      </c>
      <c r="BQ68" s="466" t="str">
        <f>IF('Design Fee'!EF70&gt;0,"✔","-")</f>
        <v>-</v>
      </c>
      <c r="BR68" s="466" t="str">
        <f>IF('Design Fee'!EG70&gt;0,"✔","-")</f>
        <v>-</v>
      </c>
      <c r="BS68" s="466" t="str">
        <f>IF('Design Fee'!EH70&gt;0,"✔","-")</f>
        <v>-</v>
      </c>
      <c r="BT68" s="468"/>
      <c r="BU68" s="444" t="str">
        <f>IF('Design Fee'!EJ70&gt;0,"✔","-")</f>
        <v>-</v>
      </c>
      <c r="BV68" s="444" t="str">
        <f>IF('Design Fee'!EK70&gt;0,"✔","-")</f>
        <v>-</v>
      </c>
      <c r="BW68" s="444" t="str">
        <f>IF('Design Fee'!EL70&gt;0,"✔","-")</f>
        <v>-</v>
      </c>
      <c r="BX68" s="444" t="str">
        <f>IF('Design Fee'!EM70&gt;0,"✔","-")</f>
        <v>-</v>
      </c>
      <c r="BY68" s="444" t="str">
        <f>IF('Design Fee'!EN70&gt;0,"✔","-")</f>
        <v>-</v>
      </c>
      <c r="BZ68" s="383"/>
    </row>
    <row r="69" spans="2:78" ht="12.75" outlineLevel="2">
      <c r="B69" s="463" t="s">
        <v>80</v>
      </c>
      <c r="C69" s="464">
        <v>8</v>
      </c>
      <c r="D69" s="465" t="s">
        <v>67</v>
      </c>
      <c r="E69" s="383"/>
      <c r="F69" s="443">
        <f t="shared" si="77"/>
        <v>2</v>
      </c>
      <c r="G69" s="444">
        <f t="shared" si="78"/>
        <v>2</v>
      </c>
      <c r="H69" s="444">
        <f t="shared" si="78"/>
        <v>2</v>
      </c>
      <c r="I69" s="444">
        <f t="shared" si="79"/>
        <v>0</v>
      </c>
      <c r="J69" s="430"/>
      <c r="K69" s="441"/>
      <c r="L69" s="442"/>
      <c r="M69" s="443" t="str">
        <f>IF('Design Fee'!W71&gt;0,"✔","-")</f>
        <v>✔</v>
      </c>
      <c r="N69" s="443" t="str">
        <f>IF('Design Fee'!X71&gt;0,"✔","-")</f>
        <v>✔</v>
      </c>
      <c r="O69" s="444" t="str">
        <f>IF('Design Fee'!Y71&gt;0,"✔","-")</f>
        <v>✔</v>
      </c>
      <c r="P69" s="444" t="str">
        <f>IF('Design Fee'!Z71&gt;0,"✔","-")</f>
        <v>-</v>
      </c>
      <c r="Q69" s="444" t="str">
        <f>IF('Design Fee'!AA71&gt;0,"✔","-")</f>
        <v>-</v>
      </c>
      <c r="R69" s="444" t="str">
        <f>IF('Design Fee'!AB71&gt;0,"✔","-")</f>
        <v>-</v>
      </c>
      <c r="S69" s="444" t="str">
        <f>IF('Design Fee'!AC71&gt;0,"✔","-")</f>
        <v>-</v>
      </c>
      <c r="T69" s="466" t="str">
        <f>IF('Design Fee'!AD71&gt;0,"✔","-")</f>
        <v>-</v>
      </c>
      <c r="U69" s="430"/>
      <c r="V69" s="444" t="str">
        <f>IF('Design Fee'!AF71&gt;0,"✔","-")</f>
        <v>-</v>
      </c>
      <c r="W69" s="444" t="str">
        <f>IF('Design Fee'!AG71&gt;0,"✔","-")</f>
        <v>-</v>
      </c>
      <c r="X69" s="444" t="str">
        <f>IF('Design Fee'!AH71&gt;0,"✔","-")</f>
        <v>-</v>
      </c>
      <c r="Y69" s="444" t="str">
        <f>IF('Design Fee'!AI71&gt;0,"✔","-")</f>
        <v>-</v>
      </c>
      <c r="Z69" s="444" t="str">
        <f>IF('Design Fee'!AJ71&gt;0,"✔","-")</f>
        <v>-</v>
      </c>
      <c r="AA69" s="430"/>
      <c r="AB69" s="441"/>
      <c r="AC69" s="442"/>
      <c r="AD69" s="443" t="str">
        <f>IF('Design Fee'!BG71&gt;0,"✔","-")</f>
        <v>✔</v>
      </c>
      <c r="AE69" s="443" t="str">
        <f>IF('Design Fee'!BH71&gt;0,"✔","-")</f>
        <v>✔</v>
      </c>
      <c r="AF69" s="444" t="str">
        <f>IF('Design Fee'!BI71&gt;0,"✔","-")</f>
        <v>✔</v>
      </c>
      <c r="AG69" s="444" t="str">
        <f>IF('Design Fee'!BJ71&gt;0,"✔","-")</f>
        <v>-</v>
      </c>
      <c r="AH69" s="444" t="str">
        <f>IF('Design Fee'!BK71&gt;0,"✔","-")</f>
        <v>-</v>
      </c>
      <c r="AI69" s="444" t="str">
        <f>IF('Design Fee'!BL71&gt;0,"✔","-")</f>
        <v>-</v>
      </c>
      <c r="AJ69" s="444" t="str">
        <f>IF('Design Fee'!BM71&gt;0,"✔","-")</f>
        <v>-</v>
      </c>
      <c r="AK69" s="466" t="str">
        <f>IF('Design Fee'!BN71&gt;0,"✔","-")</f>
        <v>-</v>
      </c>
      <c r="AL69" s="445"/>
      <c r="AM69" s="444" t="str">
        <f>IF('Design Fee'!BP71&gt;0,"✔","-")</f>
        <v>-</v>
      </c>
      <c r="AN69" s="444" t="str">
        <f>IF('Design Fee'!BQ71&gt;0,"✔","-")</f>
        <v>-</v>
      </c>
      <c r="AO69" s="444" t="str">
        <f>IF('Design Fee'!BR71&gt;0,"✔","-")</f>
        <v>-</v>
      </c>
      <c r="AP69" s="444" t="str">
        <f>IF('Design Fee'!BS71&gt;0,"✔","-")</f>
        <v>-</v>
      </c>
      <c r="AQ69" s="444" t="str">
        <f>IF('Design Fee'!BT71&gt;0,"✔","-")</f>
        <v>-</v>
      </c>
      <c r="AR69" s="445"/>
      <c r="AS69" s="441"/>
      <c r="AT69" s="442"/>
      <c r="AU69" s="443" t="str">
        <f>IF('Design Fee'!CQ71&gt;0,"✔","-")</f>
        <v>-</v>
      </c>
      <c r="AV69" s="443" t="str">
        <f>IF('Design Fee'!CR71&gt;0,"✔","-")</f>
        <v>-</v>
      </c>
      <c r="AW69" s="444" t="str">
        <f>IF('Design Fee'!CS71&gt;0,"✔","-")</f>
        <v>-</v>
      </c>
      <c r="AX69" s="444" t="str">
        <f>IF('Design Fee'!CT71&gt;0,"✔","-")</f>
        <v>-</v>
      </c>
      <c r="AY69" s="444" t="str">
        <f>IF('Design Fee'!CU71&gt;0,"✔","-")</f>
        <v>-</v>
      </c>
      <c r="AZ69" s="444" t="str">
        <f>IF('Design Fee'!CV71&gt;0,"✔","-")</f>
        <v>-</v>
      </c>
      <c r="BA69" s="444" t="str">
        <f>IF('Design Fee'!CW71&gt;0,"✔","-")</f>
        <v>-</v>
      </c>
      <c r="BB69" s="466" t="str">
        <f>IF('Design Fee'!CX71&gt;0,"✔","-")</f>
        <v>-</v>
      </c>
      <c r="BC69" s="445"/>
      <c r="BD69" s="444" t="str">
        <f>IF('Design Fee'!CZ71&gt;0,"✔","-")</f>
        <v>-</v>
      </c>
      <c r="BE69" s="444" t="str">
        <f>IF('Design Fee'!DA71&gt;0,"✔","-")</f>
        <v>-</v>
      </c>
      <c r="BF69" s="444" t="str">
        <f>IF('Design Fee'!DB71&gt;0,"✔","-")</f>
        <v>-</v>
      </c>
      <c r="BG69" s="444" t="str">
        <f>IF('Design Fee'!DC71&gt;0,"✔","-")</f>
        <v>-</v>
      </c>
      <c r="BH69" s="444" t="str">
        <f>IF('Design Fee'!DD71&gt;0,"✔","-")</f>
        <v>-</v>
      </c>
      <c r="BI69" s="445"/>
      <c r="BJ69" s="441"/>
      <c r="BK69" s="442"/>
      <c r="BL69" s="443" t="str">
        <f>IF('Design Fee'!EA71&gt;0,"✔","-")</f>
        <v>-</v>
      </c>
      <c r="BM69" s="443" t="str">
        <f>IF('Design Fee'!EB71&gt;0,"✔","-")</f>
        <v>-</v>
      </c>
      <c r="BN69" s="444" t="str">
        <f>IF('Design Fee'!EC71&gt;0,"✔","-")</f>
        <v>-</v>
      </c>
      <c r="BO69" s="444" t="str">
        <f>IF('Design Fee'!ED71&gt;0,"✔","-")</f>
        <v>-</v>
      </c>
      <c r="BP69" s="444" t="str">
        <f>IF('Design Fee'!EE71&gt;0,"✔","-")</f>
        <v>-</v>
      </c>
      <c r="BQ69" s="444" t="str">
        <f>IF('Design Fee'!EF71&gt;0,"✔","-")</f>
        <v>-</v>
      </c>
      <c r="BR69" s="444" t="str">
        <f>IF('Design Fee'!EG71&gt;0,"✔","-")</f>
        <v>-</v>
      </c>
      <c r="BS69" s="466" t="str">
        <f>IF('Design Fee'!EH71&gt;0,"✔","-")</f>
        <v>-</v>
      </c>
      <c r="BT69" s="383"/>
      <c r="BU69" s="444" t="str">
        <f>IF('Design Fee'!EJ71&gt;0,"✔","-")</f>
        <v>-</v>
      </c>
      <c r="BV69" s="444" t="str">
        <f>IF('Design Fee'!EK71&gt;0,"✔","-")</f>
        <v>-</v>
      </c>
      <c r="BW69" s="444" t="str">
        <f>IF('Design Fee'!EL71&gt;0,"✔","-")</f>
        <v>-</v>
      </c>
      <c r="BX69" s="444" t="str">
        <f>IF('Design Fee'!EM71&gt;0,"✔","-")</f>
        <v>-</v>
      </c>
      <c r="BY69" s="444" t="str">
        <f>IF('Design Fee'!EN71&gt;0,"✔","-")</f>
        <v>-</v>
      </c>
      <c r="BZ69" s="383"/>
    </row>
    <row r="70" spans="2:78" ht="12.75" outlineLevel="2">
      <c r="B70" s="463" t="s">
        <v>81</v>
      </c>
      <c r="C70" s="464">
        <v>9</v>
      </c>
      <c r="D70" s="470" t="s">
        <v>69</v>
      </c>
      <c r="E70" s="383"/>
      <c r="F70" s="443">
        <f t="shared" si="77"/>
        <v>3</v>
      </c>
      <c r="G70" s="444">
        <f t="shared" si="78"/>
        <v>3</v>
      </c>
      <c r="H70" s="444">
        <f t="shared" si="78"/>
        <v>3</v>
      </c>
      <c r="I70" s="444">
        <f t="shared" si="79"/>
        <v>0</v>
      </c>
      <c r="J70" s="430"/>
      <c r="K70" s="441"/>
      <c r="L70" s="442"/>
      <c r="M70" s="443" t="str">
        <f>IF('Design Fee'!W72&gt;0,"✔","-")</f>
        <v>✔</v>
      </c>
      <c r="N70" s="443" t="str">
        <f>IF('Design Fee'!X72&gt;0,"✔","-")</f>
        <v>✔</v>
      </c>
      <c r="O70" s="444" t="str">
        <f>IF('Design Fee'!Y72&gt;0,"✔","-")</f>
        <v>✔</v>
      </c>
      <c r="P70" s="444" t="str">
        <f>IF('Design Fee'!Z72&gt;0,"✔","-")</f>
        <v>-</v>
      </c>
      <c r="Q70" s="444" t="str">
        <f>IF('Design Fee'!AA72&gt;0,"✔","-")</f>
        <v>-</v>
      </c>
      <c r="R70" s="444" t="str">
        <f>IF('Design Fee'!AB72&gt;0,"✔","-")</f>
        <v>-</v>
      </c>
      <c r="S70" s="444" t="str">
        <f>IF('Design Fee'!AC72&gt;0,"✔","-")</f>
        <v>-</v>
      </c>
      <c r="T70" s="466" t="str">
        <f>IF('Design Fee'!AD72&gt;0,"✔","-")</f>
        <v>-</v>
      </c>
      <c r="U70" s="430"/>
      <c r="V70" s="444" t="str">
        <f>IF('Design Fee'!AF72&gt;0,"✔","-")</f>
        <v>-</v>
      </c>
      <c r="W70" s="444" t="str">
        <f>IF('Design Fee'!AG72&gt;0,"✔","-")</f>
        <v>-</v>
      </c>
      <c r="X70" s="444" t="str">
        <f>IF('Design Fee'!AH72&gt;0,"✔","-")</f>
        <v>-</v>
      </c>
      <c r="Y70" s="444" t="str">
        <f>IF('Design Fee'!AI72&gt;0,"✔","-")</f>
        <v>-</v>
      </c>
      <c r="Z70" s="444" t="str">
        <f>IF('Design Fee'!AJ72&gt;0,"✔","-")</f>
        <v>-</v>
      </c>
      <c r="AA70" s="430"/>
      <c r="AB70" s="441"/>
      <c r="AC70" s="442"/>
      <c r="AD70" s="443" t="str">
        <f>IF('Design Fee'!BG72&gt;0,"✔","-")</f>
        <v>✔</v>
      </c>
      <c r="AE70" s="443" t="str">
        <f>IF('Design Fee'!BH72&gt;0,"✔","-")</f>
        <v>✔</v>
      </c>
      <c r="AF70" s="444" t="str">
        <f>IF('Design Fee'!BI72&gt;0,"✔","-")</f>
        <v>✔</v>
      </c>
      <c r="AG70" s="444" t="str">
        <f>IF('Design Fee'!BJ72&gt;0,"✔","-")</f>
        <v>-</v>
      </c>
      <c r="AH70" s="444" t="str">
        <f>IF('Design Fee'!BK72&gt;0,"✔","-")</f>
        <v>-</v>
      </c>
      <c r="AI70" s="444" t="str">
        <f>IF('Design Fee'!BL72&gt;0,"✔","-")</f>
        <v>-</v>
      </c>
      <c r="AJ70" s="444" t="str">
        <f>IF('Design Fee'!BM72&gt;0,"✔","-")</f>
        <v>-</v>
      </c>
      <c r="AK70" s="466" t="str">
        <f>IF('Design Fee'!BN72&gt;0,"✔","-")</f>
        <v>-</v>
      </c>
      <c r="AL70" s="445"/>
      <c r="AM70" s="444" t="str">
        <f>IF('Design Fee'!BP72&gt;0,"✔","-")</f>
        <v>-</v>
      </c>
      <c r="AN70" s="444" t="str">
        <f>IF('Design Fee'!BQ72&gt;0,"✔","-")</f>
        <v>-</v>
      </c>
      <c r="AO70" s="444" t="str">
        <f>IF('Design Fee'!BR72&gt;0,"✔","-")</f>
        <v>-</v>
      </c>
      <c r="AP70" s="444" t="str">
        <f>IF('Design Fee'!BS72&gt;0,"✔","-")</f>
        <v>-</v>
      </c>
      <c r="AQ70" s="444" t="str">
        <f>IF('Design Fee'!BT72&gt;0,"✔","-")</f>
        <v>-</v>
      </c>
      <c r="AR70" s="445"/>
      <c r="AS70" s="441"/>
      <c r="AT70" s="442"/>
      <c r="AU70" s="443" t="str">
        <f>IF('Design Fee'!CQ72&gt;0,"✔","-")</f>
        <v>✔</v>
      </c>
      <c r="AV70" s="443" t="str">
        <f>IF('Design Fee'!CR72&gt;0,"✔","-")</f>
        <v>✔</v>
      </c>
      <c r="AW70" s="444" t="str">
        <f>IF('Design Fee'!CS72&gt;0,"✔","-")</f>
        <v>✔</v>
      </c>
      <c r="AX70" s="444" t="str">
        <f>IF('Design Fee'!CT72&gt;0,"✔","-")</f>
        <v>-</v>
      </c>
      <c r="AY70" s="444" t="str">
        <f>IF('Design Fee'!CU72&gt;0,"✔","-")</f>
        <v>-</v>
      </c>
      <c r="AZ70" s="444" t="str">
        <f>IF('Design Fee'!CV72&gt;0,"✔","-")</f>
        <v>-</v>
      </c>
      <c r="BA70" s="444" t="str">
        <f>IF('Design Fee'!CW72&gt;0,"✔","-")</f>
        <v>-</v>
      </c>
      <c r="BB70" s="466" t="str">
        <f>IF('Design Fee'!CX72&gt;0,"✔","-")</f>
        <v>-</v>
      </c>
      <c r="BC70" s="445"/>
      <c r="BD70" s="444" t="str">
        <f>IF('Design Fee'!CZ72&gt;0,"✔","-")</f>
        <v>-</v>
      </c>
      <c r="BE70" s="444" t="str">
        <f>IF('Design Fee'!DA72&gt;0,"✔","-")</f>
        <v>-</v>
      </c>
      <c r="BF70" s="444" t="str">
        <f>IF('Design Fee'!DB72&gt;0,"✔","-")</f>
        <v>-</v>
      </c>
      <c r="BG70" s="444" t="str">
        <f>IF('Design Fee'!DC72&gt;0,"✔","-")</f>
        <v>-</v>
      </c>
      <c r="BH70" s="444" t="str">
        <f>IF('Design Fee'!DD72&gt;0,"✔","-")</f>
        <v>-</v>
      </c>
      <c r="BI70" s="445"/>
      <c r="BJ70" s="441"/>
      <c r="BK70" s="442"/>
      <c r="BL70" s="443" t="str">
        <f>IF('Design Fee'!EA72&gt;0,"✔","-")</f>
        <v>-</v>
      </c>
      <c r="BM70" s="443" t="str">
        <f>IF('Design Fee'!EB72&gt;0,"✔","-")</f>
        <v>-</v>
      </c>
      <c r="BN70" s="444" t="str">
        <f>IF('Design Fee'!EC72&gt;0,"✔","-")</f>
        <v>-</v>
      </c>
      <c r="BO70" s="444" t="str">
        <f>IF('Design Fee'!ED72&gt;0,"✔","-")</f>
        <v>-</v>
      </c>
      <c r="BP70" s="444" t="str">
        <f>IF('Design Fee'!EE72&gt;0,"✔","-")</f>
        <v>-</v>
      </c>
      <c r="BQ70" s="444" t="str">
        <f>IF('Design Fee'!EF72&gt;0,"✔","-")</f>
        <v>-</v>
      </c>
      <c r="BR70" s="444" t="str">
        <f>IF('Design Fee'!EG72&gt;0,"✔","-")</f>
        <v>-</v>
      </c>
      <c r="BS70" s="466" t="str">
        <f>IF('Design Fee'!EH72&gt;0,"✔","-")</f>
        <v>-</v>
      </c>
      <c r="BT70" s="383"/>
      <c r="BU70" s="444" t="str">
        <f>IF('Design Fee'!EJ72&gt;0,"✔","-")</f>
        <v>-</v>
      </c>
      <c r="BV70" s="444" t="str">
        <f>IF('Design Fee'!EK72&gt;0,"✔","-")</f>
        <v>-</v>
      </c>
      <c r="BW70" s="444" t="str">
        <f>IF('Design Fee'!EL72&gt;0,"✔","-")</f>
        <v>-</v>
      </c>
      <c r="BX70" s="444" t="str">
        <f>IF('Design Fee'!EM72&gt;0,"✔","-")</f>
        <v>-</v>
      </c>
      <c r="BY70" s="444" t="str">
        <f>IF('Design Fee'!EN72&gt;0,"✔","-")</f>
        <v>-</v>
      </c>
      <c r="BZ70" s="383"/>
    </row>
    <row r="71" spans="2:78" ht="12.75" outlineLevel="2">
      <c r="B71" s="463" t="s">
        <v>82</v>
      </c>
      <c r="C71" s="464">
        <v>10</v>
      </c>
      <c r="D71" s="465" t="s">
        <v>71</v>
      </c>
      <c r="E71" s="383"/>
      <c r="F71" s="443">
        <f t="shared" si="77"/>
        <v>1</v>
      </c>
      <c r="G71" s="444">
        <f t="shared" si="78"/>
        <v>1</v>
      </c>
      <c r="H71" s="444">
        <f t="shared" si="78"/>
        <v>1</v>
      </c>
      <c r="I71" s="444">
        <f t="shared" si="79"/>
        <v>0</v>
      </c>
      <c r="J71" s="430"/>
      <c r="K71" s="441"/>
      <c r="L71" s="442"/>
      <c r="M71" s="443" t="str">
        <f>IF('Design Fee'!W73&gt;0,"✔","-")</f>
        <v>✔</v>
      </c>
      <c r="N71" s="443" t="str">
        <f>IF('Design Fee'!X73&gt;0,"✔","-")</f>
        <v>✔</v>
      </c>
      <c r="O71" s="444" t="str">
        <f>IF('Design Fee'!Y73&gt;0,"✔","-")</f>
        <v>✔</v>
      </c>
      <c r="P71" s="444" t="str">
        <f>IF('Design Fee'!Z73&gt;0,"✔","-")</f>
        <v>-</v>
      </c>
      <c r="Q71" s="444" t="str">
        <f>IF('Design Fee'!AA73&gt;0,"✔","-")</f>
        <v>-</v>
      </c>
      <c r="R71" s="444" t="str">
        <f>IF('Design Fee'!AB73&gt;0,"✔","-")</f>
        <v>-</v>
      </c>
      <c r="S71" s="444" t="str">
        <f>IF('Design Fee'!AC73&gt;0,"✔","-")</f>
        <v>-</v>
      </c>
      <c r="T71" s="466" t="str">
        <f>IF('Design Fee'!AD73&gt;0,"✔","-")</f>
        <v>-</v>
      </c>
      <c r="U71" s="430"/>
      <c r="V71" s="444" t="str">
        <f>IF('Design Fee'!AF73&gt;0,"✔","-")</f>
        <v>-</v>
      </c>
      <c r="W71" s="444" t="str">
        <f>IF('Design Fee'!AG73&gt;0,"✔","-")</f>
        <v>-</v>
      </c>
      <c r="X71" s="444" t="str">
        <f>IF('Design Fee'!AH73&gt;0,"✔","-")</f>
        <v>-</v>
      </c>
      <c r="Y71" s="444" t="str">
        <f>IF('Design Fee'!AI73&gt;0,"✔","-")</f>
        <v>-</v>
      </c>
      <c r="Z71" s="444" t="str">
        <f>IF('Design Fee'!AJ73&gt;0,"✔","-")</f>
        <v>-</v>
      </c>
      <c r="AA71" s="430"/>
      <c r="AB71" s="441"/>
      <c r="AC71" s="442"/>
      <c r="AD71" s="443" t="str">
        <f>IF('Design Fee'!BG73&gt;0,"✔","-")</f>
        <v>-</v>
      </c>
      <c r="AE71" s="443" t="str">
        <f>IF('Design Fee'!BH73&gt;0,"✔","-")</f>
        <v>-</v>
      </c>
      <c r="AF71" s="444" t="str">
        <f>IF('Design Fee'!BI73&gt;0,"✔","-")</f>
        <v>-</v>
      </c>
      <c r="AG71" s="444" t="str">
        <f>IF('Design Fee'!BJ73&gt;0,"✔","-")</f>
        <v>-</v>
      </c>
      <c r="AH71" s="444" t="str">
        <f>IF('Design Fee'!BK73&gt;0,"✔","-")</f>
        <v>-</v>
      </c>
      <c r="AI71" s="444" t="str">
        <f>IF('Design Fee'!BL73&gt;0,"✔","-")</f>
        <v>-</v>
      </c>
      <c r="AJ71" s="444" t="str">
        <f>IF('Design Fee'!BM73&gt;0,"✔","-")</f>
        <v>-</v>
      </c>
      <c r="AK71" s="466" t="str">
        <f>IF('Design Fee'!BN73&gt;0,"✔","-")</f>
        <v>-</v>
      </c>
      <c r="AL71" s="445"/>
      <c r="AM71" s="444" t="str">
        <f>IF('Design Fee'!BP73&gt;0,"✔","-")</f>
        <v>-</v>
      </c>
      <c r="AN71" s="444" t="str">
        <f>IF('Design Fee'!BQ73&gt;0,"✔","-")</f>
        <v>-</v>
      </c>
      <c r="AO71" s="444" t="str">
        <f>IF('Design Fee'!BR73&gt;0,"✔","-")</f>
        <v>-</v>
      </c>
      <c r="AP71" s="444" t="str">
        <f>IF('Design Fee'!BS73&gt;0,"✔","-")</f>
        <v>-</v>
      </c>
      <c r="AQ71" s="444" t="str">
        <f>IF('Design Fee'!BT73&gt;0,"✔","-")</f>
        <v>-</v>
      </c>
      <c r="AR71" s="445"/>
      <c r="AS71" s="441"/>
      <c r="AT71" s="442"/>
      <c r="AU71" s="443" t="str">
        <f>IF('Design Fee'!CQ73&gt;0,"✔","-")</f>
        <v>-</v>
      </c>
      <c r="AV71" s="443" t="str">
        <f>IF('Design Fee'!CR73&gt;0,"✔","-")</f>
        <v>-</v>
      </c>
      <c r="AW71" s="444" t="str">
        <f>IF('Design Fee'!CS73&gt;0,"✔","-")</f>
        <v>-</v>
      </c>
      <c r="AX71" s="444" t="str">
        <f>IF('Design Fee'!CT73&gt;0,"✔","-")</f>
        <v>-</v>
      </c>
      <c r="AY71" s="444" t="str">
        <f>IF('Design Fee'!CU73&gt;0,"✔","-")</f>
        <v>-</v>
      </c>
      <c r="AZ71" s="444" t="str">
        <f>IF('Design Fee'!CV73&gt;0,"✔","-")</f>
        <v>-</v>
      </c>
      <c r="BA71" s="444" t="str">
        <f>IF('Design Fee'!CW73&gt;0,"✔","-")</f>
        <v>-</v>
      </c>
      <c r="BB71" s="466" t="str">
        <f>IF('Design Fee'!CX73&gt;0,"✔","-")</f>
        <v>-</v>
      </c>
      <c r="BC71" s="445"/>
      <c r="BD71" s="444" t="str">
        <f>IF('Design Fee'!CZ73&gt;0,"✔","-")</f>
        <v>-</v>
      </c>
      <c r="BE71" s="444" t="str">
        <f>IF('Design Fee'!DA73&gt;0,"✔","-")</f>
        <v>-</v>
      </c>
      <c r="BF71" s="444" t="str">
        <f>IF('Design Fee'!DB73&gt;0,"✔","-")</f>
        <v>-</v>
      </c>
      <c r="BG71" s="444" t="str">
        <f>IF('Design Fee'!DC73&gt;0,"✔","-")</f>
        <v>-</v>
      </c>
      <c r="BH71" s="444" t="str">
        <f>IF('Design Fee'!DD73&gt;0,"✔","-")</f>
        <v>-</v>
      </c>
      <c r="BI71" s="445"/>
      <c r="BJ71" s="441"/>
      <c r="BK71" s="442"/>
      <c r="BL71" s="443" t="str">
        <f>IF('Design Fee'!EA73&gt;0,"✔","-")</f>
        <v>-</v>
      </c>
      <c r="BM71" s="443" t="str">
        <f>IF('Design Fee'!EB73&gt;0,"✔","-")</f>
        <v>-</v>
      </c>
      <c r="BN71" s="444" t="str">
        <f>IF('Design Fee'!EC73&gt;0,"✔","-")</f>
        <v>-</v>
      </c>
      <c r="BO71" s="444" t="str">
        <f>IF('Design Fee'!ED73&gt;0,"✔","-")</f>
        <v>-</v>
      </c>
      <c r="BP71" s="444" t="str">
        <f>IF('Design Fee'!EE73&gt;0,"✔","-")</f>
        <v>-</v>
      </c>
      <c r="BQ71" s="444" t="str">
        <f>IF('Design Fee'!EF73&gt;0,"✔","-")</f>
        <v>-</v>
      </c>
      <c r="BR71" s="444" t="str">
        <f>IF('Design Fee'!EG73&gt;0,"✔","-")</f>
        <v>-</v>
      </c>
      <c r="BS71" s="466" t="str">
        <f>IF('Design Fee'!EH73&gt;0,"✔","-")</f>
        <v>-</v>
      </c>
      <c r="BT71" s="383"/>
      <c r="BU71" s="444" t="str">
        <f>IF('Design Fee'!EJ73&gt;0,"✔","-")</f>
        <v>-</v>
      </c>
      <c r="BV71" s="444" t="str">
        <f>IF('Design Fee'!EK73&gt;0,"✔","-")</f>
        <v>-</v>
      </c>
      <c r="BW71" s="444" t="str">
        <f>IF('Design Fee'!EL73&gt;0,"✔","-")</f>
        <v>-</v>
      </c>
      <c r="BX71" s="444" t="str">
        <f>IF('Design Fee'!EM73&gt;0,"✔","-")</f>
        <v>-</v>
      </c>
      <c r="BY71" s="444" t="str">
        <f>IF('Design Fee'!EN73&gt;0,"✔","-")</f>
        <v>-</v>
      </c>
      <c r="BZ71" s="383"/>
    </row>
    <row r="72" spans="2:78" ht="3" customHeight="1" outlineLevel="1">
      <c r="B72" s="477"/>
      <c r="C72" s="478"/>
      <c r="D72" s="465"/>
      <c r="E72" s="383"/>
      <c r="F72" s="408"/>
      <c r="G72" s="421"/>
      <c r="H72" s="421"/>
      <c r="I72" s="421"/>
      <c r="J72" s="430"/>
      <c r="K72" s="441"/>
      <c r="L72" s="442"/>
      <c r="M72" s="443"/>
      <c r="N72" s="443"/>
      <c r="O72" s="444"/>
      <c r="P72" s="444"/>
      <c r="Q72" s="444"/>
      <c r="R72" s="444"/>
      <c r="S72" s="444"/>
      <c r="T72" s="444"/>
      <c r="U72" s="430"/>
      <c r="V72" s="444"/>
      <c r="W72" s="444"/>
      <c r="X72" s="444"/>
      <c r="Y72" s="444"/>
      <c r="Z72" s="444"/>
      <c r="AA72" s="430"/>
      <c r="AB72" s="441"/>
      <c r="AC72" s="442"/>
      <c r="AD72" s="443"/>
      <c r="AE72" s="443"/>
      <c r="AF72" s="421"/>
      <c r="AG72" s="421"/>
      <c r="AH72" s="421"/>
      <c r="AI72" s="421"/>
      <c r="AJ72" s="421"/>
      <c r="AK72" s="421"/>
      <c r="AL72" s="421"/>
      <c r="AM72" s="421"/>
      <c r="AN72" s="421"/>
      <c r="AO72" s="421"/>
      <c r="AP72" s="421"/>
      <c r="AQ72" s="421"/>
      <c r="AR72" s="421"/>
      <c r="AS72" s="441"/>
      <c r="AT72" s="421"/>
      <c r="AU72" s="443"/>
      <c r="AV72" s="443"/>
      <c r="AW72" s="421"/>
      <c r="AX72" s="421"/>
      <c r="AY72" s="421"/>
      <c r="AZ72" s="421"/>
      <c r="BA72" s="421"/>
      <c r="BB72" s="421"/>
      <c r="BC72" s="421"/>
      <c r="BD72" s="421"/>
      <c r="BE72" s="421"/>
      <c r="BF72" s="421"/>
      <c r="BG72" s="421"/>
      <c r="BH72" s="421"/>
      <c r="BI72" s="421"/>
      <c r="BJ72" s="441"/>
      <c r="BK72" s="421"/>
      <c r="BL72" s="443"/>
      <c r="BM72" s="443"/>
      <c r="BN72" s="421"/>
      <c r="BO72" s="421"/>
      <c r="BP72" s="421"/>
      <c r="BQ72" s="421"/>
      <c r="BR72" s="421"/>
      <c r="BS72" s="421"/>
      <c r="BT72" s="383"/>
      <c r="BU72" s="421"/>
      <c r="BV72" s="421"/>
      <c r="BW72" s="421"/>
      <c r="BX72" s="421"/>
      <c r="BY72" s="421"/>
      <c r="BZ72" s="383"/>
    </row>
    <row r="73" spans="2:78" ht="12.75" outlineLevel="1">
      <c r="B73" s="432">
        <v>6</v>
      </c>
      <c r="C73" s="459">
        <v>3</v>
      </c>
      <c r="D73" s="460" t="s">
        <v>83</v>
      </c>
      <c r="E73" s="434"/>
      <c r="F73" s="461">
        <f>M73+AD73+AU73+BL73</f>
        <v>21</v>
      </c>
      <c r="G73" s="461">
        <f t="shared" ref="G73:I73" si="80">N73+AE73+AV73+BM73</f>
        <v>21</v>
      </c>
      <c r="H73" s="461">
        <f t="shared" si="80"/>
        <v>18</v>
      </c>
      <c r="I73" s="461">
        <f t="shared" si="80"/>
        <v>3</v>
      </c>
      <c r="J73" s="438">
        <f t="shared" ref="J73" si="81">COUNT(J74:J83)</f>
        <v>0</v>
      </c>
      <c r="K73" s="435"/>
      <c r="L73" s="435"/>
      <c r="M73" s="461">
        <f>COUNTIF(M74:M83,"✔")</f>
        <v>8</v>
      </c>
      <c r="N73" s="461">
        <f t="shared" ref="N73" si="82">COUNTIF(N74:N83,"✔")</f>
        <v>8</v>
      </c>
      <c r="O73" s="461">
        <f t="shared" ref="O73" si="83">COUNTIF(O74:O83,"✔")</f>
        <v>7</v>
      </c>
      <c r="P73" s="461">
        <f t="shared" ref="P73" si="84">COUNTIF(P74:P83,"✔")</f>
        <v>1</v>
      </c>
      <c r="Q73" s="461">
        <f t="shared" ref="Q73" si="85">COUNTIF(Q74:Q83,"✔")</f>
        <v>0</v>
      </c>
      <c r="R73" s="461">
        <f t="shared" ref="R73" si="86">COUNTIF(R74:R83,"✔")</f>
        <v>1</v>
      </c>
      <c r="S73" s="461">
        <f t="shared" ref="S73" si="87">COUNTIF(S74:S83,"✔")</f>
        <v>0</v>
      </c>
      <c r="T73" s="461">
        <f t="shared" ref="T73" si="88">COUNTIF(T74:T83,"✔")</f>
        <v>0</v>
      </c>
      <c r="U73" s="461">
        <f t="shared" ref="U73" si="89">COUNTIF(U74:U83,"✔")</f>
        <v>0</v>
      </c>
      <c r="V73" s="461">
        <f t="shared" ref="V73" si="90">COUNTIF(V74:V83,"✔")</f>
        <v>1</v>
      </c>
      <c r="W73" s="461">
        <f t="shared" ref="W73" si="91">COUNTIF(W74:W83,"✔")</f>
        <v>0</v>
      </c>
      <c r="X73" s="461">
        <f t="shared" ref="X73" si="92">COUNTIF(X74:X83,"✔")</f>
        <v>0</v>
      </c>
      <c r="Y73" s="461">
        <f t="shared" ref="Y73" si="93">COUNTIF(Y74:Y83,"✔")</f>
        <v>1</v>
      </c>
      <c r="Z73" s="461">
        <f t="shared" ref="Z73" si="94">COUNTIF(Z74:Z83,"✔")</f>
        <v>0</v>
      </c>
      <c r="AA73" s="461">
        <f t="shared" ref="AA73" si="95">COUNTIF(AA74:AA83,"✔")</f>
        <v>0</v>
      </c>
      <c r="AB73" s="435"/>
      <c r="AC73" s="461">
        <f t="shared" ref="AC73" si="96">COUNTIF(AC74:AC83,"✔")</f>
        <v>0</v>
      </c>
      <c r="AD73" s="461">
        <f t="shared" ref="AD73" si="97">COUNTIF(AD74:AD83,"✔")</f>
        <v>6</v>
      </c>
      <c r="AE73" s="461">
        <f t="shared" ref="AE73" si="98">COUNTIF(AE74:AE83,"✔")</f>
        <v>6</v>
      </c>
      <c r="AF73" s="461">
        <f t="shared" ref="AF73" si="99">COUNTIF(AF74:AF83,"✔")</f>
        <v>6</v>
      </c>
      <c r="AG73" s="461">
        <f t="shared" ref="AG73" si="100">COUNTIF(AG74:AG83,"✔")</f>
        <v>0</v>
      </c>
      <c r="AH73" s="461">
        <f t="shared" ref="AH73" si="101">COUNTIF(AH74:AH83,"✔")</f>
        <v>0</v>
      </c>
      <c r="AI73" s="461">
        <f t="shared" ref="AI73" si="102">COUNTIF(AI74:AI83,"✔")</f>
        <v>0</v>
      </c>
      <c r="AJ73" s="461">
        <f t="shared" ref="AJ73" si="103">COUNTIF(AJ74:AJ83,"✔")</f>
        <v>0</v>
      </c>
      <c r="AK73" s="461">
        <f t="shared" ref="AK73" si="104">COUNTIF(AK74:AK83,"✔")</f>
        <v>0</v>
      </c>
      <c r="AL73" s="461">
        <f t="shared" ref="AL73" si="105">COUNTIF(AL74:AL83,"✔")</f>
        <v>0</v>
      </c>
      <c r="AM73" s="461">
        <f t="shared" ref="AM73" si="106">COUNTIF(AM74:AM83,"✔")</f>
        <v>0</v>
      </c>
      <c r="AN73" s="461">
        <f t="shared" ref="AN73" si="107">COUNTIF(AN74:AN83,"✔")</f>
        <v>0</v>
      </c>
      <c r="AO73" s="461">
        <f t="shared" ref="AO73" si="108">COUNTIF(AO74:AO83,"✔")</f>
        <v>0</v>
      </c>
      <c r="AP73" s="461">
        <f t="shared" ref="AP73" si="109">COUNTIF(AP74:AP83,"✔")</f>
        <v>0</v>
      </c>
      <c r="AQ73" s="461">
        <f t="shared" ref="AQ73" si="110">COUNTIF(AQ74:AQ83,"✔")</f>
        <v>0</v>
      </c>
      <c r="AR73" s="461">
        <f t="shared" ref="AR73" si="111">COUNTIF(AR74:AR83,"✔")</f>
        <v>0</v>
      </c>
      <c r="AS73" s="435"/>
      <c r="AT73" s="461">
        <f t="shared" ref="AT73" si="112">COUNTIF(AT74:AT83,"✔")</f>
        <v>0</v>
      </c>
      <c r="AU73" s="461">
        <f t="shared" ref="AU73" si="113">COUNTIF(AU74:AU83,"✔")</f>
        <v>5</v>
      </c>
      <c r="AV73" s="461">
        <f t="shared" ref="AV73" si="114">COUNTIF(AV74:AV83,"✔")</f>
        <v>5</v>
      </c>
      <c r="AW73" s="461">
        <f t="shared" ref="AW73" si="115">COUNTIF(AW74:AW83,"✔")</f>
        <v>4</v>
      </c>
      <c r="AX73" s="461">
        <f t="shared" ref="AX73" si="116">COUNTIF(AX74:AX83,"✔")</f>
        <v>1</v>
      </c>
      <c r="AY73" s="461">
        <f t="shared" ref="AY73" si="117">COUNTIF(AY74:AY83,"✔")</f>
        <v>1</v>
      </c>
      <c r="AZ73" s="461">
        <f t="shared" ref="AZ73" si="118">COUNTIF(AZ74:AZ83,"✔")</f>
        <v>0</v>
      </c>
      <c r="BA73" s="461">
        <f t="shared" ref="BA73" si="119">COUNTIF(BA74:BA83,"✔")</f>
        <v>0</v>
      </c>
      <c r="BB73" s="461">
        <f t="shared" ref="BB73" si="120">COUNTIF(BB74:BB83,"✔")</f>
        <v>0</v>
      </c>
      <c r="BC73" s="461">
        <f t="shared" ref="BC73" si="121">COUNTIF(BC74:BC83,"✔")</f>
        <v>0</v>
      </c>
      <c r="BD73" s="461">
        <f t="shared" ref="BD73" si="122">COUNTIF(BD74:BD83,"✔")</f>
        <v>1</v>
      </c>
      <c r="BE73" s="461">
        <f t="shared" ref="BE73" si="123">COUNTIF(BE74:BE83,"✔")</f>
        <v>0</v>
      </c>
      <c r="BF73" s="461">
        <f t="shared" ref="BF73" si="124">COUNTIF(BF74:BF83,"✔")</f>
        <v>1</v>
      </c>
      <c r="BG73" s="461">
        <f t="shared" ref="BG73" si="125">COUNTIF(BG74:BG83,"✔")</f>
        <v>0</v>
      </c>
      <c r="BH73" s="461">
        <f t="shared" ref="BH73" si="126">COUNTIF(BH74:BH83,"✔")</f>
        <v>0</v>
      </c>
      <c r="BI73" s="461">
        <f t="shared" ref="BI73" si="127">COUNTIF(BI74:BI83,"✔")</f>
        <v>0</v>
      </c>
      <c r="BJ73" s="435"/>
      <c r="BK73" s="461">
        <f t="shared" ref="BK73" si="128">COUNTIF(BK74:BK83,"✔")</f>
        <v>0</v>
      </c>
      <c r="BL73" s="461">
        <f t="shared" ref="BL73" si="129">COUNTIF(BL74:BL83,"✔")</f>
        <v>2</v>
      </c>
      <c r="BM73" s="461">
        <f t="shared" ref="BM73" si="130">COUNTIF(BM74:BM83,"✔")</f>
        <v>2</v>
      </c>
      <c r="BN73" s="461">
        <f t="shared" ref="BN73" si="131">COUNTIF(BN74:BN83,"✔")</f>
        <v>1</v>
      </c>
      <c r="BO73" s="461">
        <f t="shared" ref="BO73" si="132">COUNTIF(BO74:BO83,"✔")</f>
        <v>1</v>
      </c>
      <c r="BP73" s="461">
        <f t="shared" ref="BP73" si="133">COUNTIF(BP74:BP83,"✔")</f>
        <v>1</v>
      </c>
      <c r="BQ73" s="461">
        <f t="shared" ref="BQ73" si="134">COUNTIF(BQ74:BQ83,"✔")</f>
        <v>0</v>
      </c>
      <c r="BR73" s="461">
        <f t="shared" ref="BR73" si="135">COUNTIF(BR74:BR83,"✔")</f>
        <v>0</v>
      </c>
      <c r="BS73" s="461">
        <f t="shared" ref="BS73" si="136">COUNTIF(BS74:BS83,"✔")</f>
        <v>0</v>
      </c>
      <c r="BT73" s="383"/>
      <c r="BU73" s="461">
        <f t="shared" ref="BU73" si="137">COUNTIF(BU74:BU83,"✔")</f>
        <v>1</v>
      </c>
      <c r="BV73" s="461">
        <f t="shared" ref="BV73" si="138">COUNTIF(BV74:BV83,"✔")</f>
        <v>0</v>
      </c>
      <c r="BW73" s="461">
        <f t="shared" ref="BW73" si="139">COUNTIF(BW74:BW83,"✔")</f>
        <v>1</v>
      </c>
      <c r="BX73" s="461">
        <f t="shared" ref="BX73" si="140">COUNTIF(BX74:BX83,"✔")</f>
        <v>0</v>
      </c>
      <c r="BY73" s="461">
        <f t="shared" ref="BY73" si="141">COUNTIF(BY74:BY83,"✔")</f>
        <v>0</v>
      </c>
      <c r="BZ73" s="383"/>
    </row>
    <row r="74" spans="2:78" s="95" customFormat="1" ht="12.75" outlineLevel="2">
      <c r="B74" s="481" t="s">
        <v>84</v>
      </c>
      <c r="C74" s="469">
        <v>1</v>
      </c>
      <c r="D74" s="470" t="s">
        <v>52</v>
      </c>
      <c r="E74" s="468"/>
      <c r="F74" s="443">
        <f t="shared" ref="F74:F82" si="142">COUNTIF(M74,"✔")+COUNTIF(AD74,"✔")+COUNTIF(BL74,"✔")+COUNTIF(AU74,"✔")</f>
        <v>3</v>
      </c>
      <c r="G74" s="444">
        <f t="shared" ref="G74:H82" si="143">COUNTIF(N74,"✔")+COUNTIF(AE74,"✔")+COUNTIF(BM74,"✔")+COUNTIF(AV74,"✔")</f>
        <v>3</v>
      </c>
      <c r="H74" s="444">
        <f t="shared" si="143"/>
        <v>3</v>
      </c>
      <c r="I74" s="444">
        <f t="shared" ref="I74:I82" si="144">F74-G74</f>
        <v>0</v>
      </c>
      <c r="J74" s="475"/>
      <c r="K74" s="471"/>
      <c r="L74" s="472"/>
      <c r="M74" s="443" t="str">
        <f>IF('Design Fee'!W76&gt;0,"✔","-")</f>
        <v>✔</v>
      </c>
      <c r="N74" s="443" t="str">
        <f>IF('Design Fee'!X76&gt;0,"✔","-")</f>
        <v>✔</v>
      </c>
      <c r="O74" s="466" t="str">
        <f>IF('Design Fee'!Y76&gt;0,"✔","-")</f>
        <v>✔</v>
      </c>
      <c r="P74" s="466" t="str">
        <f>IF('Design Fee'!Z76&gt;0,"✔","-")</f>
        <v>-</v>
      </c>
      <c r="Q74" s="466" t="str">
        <f>IF('Design Fee'!AA76&gt;0,"✔","-")</f>
        <v>-</v>
      </c>
      <c r="R74" s="444" t="str">
        <f>IF('Design Fee'!AB76&gt;0,"✔","-")</f>
        <v>-</v>
      </c>
      <c r="S74" s="444" t="str">
        <f>IF('Design Fee'!AC76&gt;0,"✔","-")</f>
        <v>-</v>
      </c>
      <c r="T74" s="466" t="str">
        <f>IF('Design Fee'!AD76&gt;0,"✔","-")</f>
        <v>-</v>
      </c>
      <c r="U74" s="475"/>
      <c r="V74" s="444" t="str">
        <f>IF('Design Fee'!AF76&gt;0,"✔","-")</f>
        <v>-</v>
      </c>
      <c r="W74" s="444" t="str">
        <f>IF('Design Fee'!AG76&gt;0,"✔","-")</f>
        <v>-</v>
      </c>
      <c r="X74" s="444" t="str">
        <f>IF('Design Fee'!AH76&gt;0,"✔","-")</f>
        <v>-</v>
      </c>
      <c r="Y74" s="444" t="str">
        <f>IF('Design Fee'!AI76&gt;0,"✔","-")</f>
        <v>-</v>
      </c>
      <c r="Z74" s="444" t="str">
        <f>IF('Design Fee'!AJ76&gt;0,"✔","-")</f>
        <v>-</v>
      </c>
      <c r="AA74" s="475"/>
      <c r="AB74" s="471"/>
      <c r="AC74" s="472"/>
      <c r="AD74" s="443" t="str">
        <f>IF('Design Fee'!BG76&gt;0,"✔","-")</f>
        <v>✔</v>
      </c>
      <c r="AE74" s="443" t="str">
        <f>IF('Design Fee'!BH76&gt;0,"✔","-")</f>
        <v>✔</v>
      </c>
      <c r="AF74" s="466" t="str">
        <f>IF('Design Fee'!BI76&gt;0,"✔","-")</f>
        <v>✔</v>
      </c>
      <c r="AG74" s="466" t="str">
        <f>IF('Design Fee'!BJ76&gt;0,"✔","-")</f>
        <v>-</v>
      </c>
      <c r="AH74" s="466" t="str">
        <f>IF('Design Fee'!BK76&gt;0,"✔","-")</f>
        <v>-</v>
      </c>
      <c r="AI74" s="444" t="str">
        <f>IF('Design Fee'!BL76&gt;0,"✔","-")</f>
        <v>-</v>
      </c>
      <c r="AJ74" s="444" t="str">
        <f>IF('Design Fee'!BM76&gt;0,"✔","-")</f>
        <v>-</v>
      </c>
      <c r="AK74" s="466" t="str">
        <f>IF('Design Fee'!BN76&gt;0,"✔","-")</f>
        <v>-</v>
      </c>
      <c r="AL74" s="476"/>
      <c r="AM74" s="444" t="str">
        <f>IF('Design Fee'!BP76&gt;0,"✔","-")</f>
        <v>-</v>
      </c>
      <c r="AN74" s="444" t="str">
        <f>IF('Design Fee'!BQ76&gt;0,"✔","-")</f>
        <v>-</v>
      </c>
      <c r="AO74" s="444" t="str">
        <f>IF('Design Fee'!BR76&gt;0,"✔","-")</f>
        <v>-</v>
      </c>
      <c r="AP74" s="444" t="str">
        <f>IF('Design Fee'!BS76&gt;0,"✔","-")</f>
        <v>-</v>
      </c>
      <c r="AQ74" s="444" t="str">
        <f>IF('Design Fee'!BT76&gt;0,"✔","-")</f>
        <v>-</v>
      </c>
      <c r="AR74" s="476"/>
      <c r="AS74" s="471"/>
      <c r="AT74" s="472"/>
      <c r="AU74" s="443" t="str">
        <f>IF('Design Fee'!CQ76&gt;0,"✔","-")</f>
        <v>✔</v>
      </c>
      <c r="AV74" s="443" t="str">
        <f>IF('Design Fee'!CR76&gt;0,"✔","-")</f>
        <v>✔</v>
      </c>
      <c r="AW74" s="466" t="str">
        <f>IF('Design Fee'!CS76&gt;0,"✔","-")</f>
        <v>✔</v>
      </c>
      <c r="AX74" s="466" t="str">
        <f>IF('Design Fee'!CT76&gt;0,"✔","-")</f>
        <v>-</v>
      </c>
      <c r="AY74" s="466" t="str">
        <f>IF('Design Fee'!CU76&gt;0,"✔","-")</f>
        <v>-</v>
      </c>
      <c r="AZ74" s="444" t="str">
        <f>IF('Design Fee'!CV76&gt;0,"✔","-")</f>
        <v>-</v>
      </c>
      <c r="BA74" s="444" t="str">
        <f>IF('Design Fee'!CW76&gt;0,"✔","-")</f>
        <v>-</v>
      </c>
      <c r="BB74" s="466" t="str">
        <f>IF('Design Fee'!CX76&gt;0,"✔","-")</f>
        <v>-</v>
      </c>
      <c r="BC74" s="476"/>
      <c r="BD74" s="444" t="str">
        <f>IF('Design Fee'!CZ76&gt;0,"✔","-")</f>
        <v>-</v>
      </c>
      <c r="BE74" s="444" t="str">
        <f>IF('Design Fee'!DA76&gt;0,"✔","-")</f>
        <v>-</v>
      </c>
      <c r="BF74" s="444" t="str">
        <f>IF('Design Fee'!DB76&gt;0,"✔","-")</f>
        <v>-</v>
      </c>
      <c r="BG74" s="444" t="str">
        <f>IF('Design Fee'!DC76&gt;0,"✔","-")</f>
        <v>-</v>
      </c>
      <c r="BH74" s="444" t="str">
        <f>IF('Design Fee'!DD76&gt;0,"✔","-")</f>
        <v>-</v>
      </c>
      <c r="BI74" s="476"/>
      <c r="BJ74" s="471"/>
      <c r="BK74" s="472"/>
      <c r="BL74" s="443" t="str">
        <f>IF('Design Fee'!EA76&gt;0,"✔","-")</f>
        <v>-</v>
      </c>
      <c r="BM74" s="443" t="str">
        <f>IF('Design Fee'!EB76&gt;0,"✔","-")</f>
        <v>-</v>
      </c>
      <c r="BN74" s="466" t="str">
        <f>IF('Design Fee'!EC76&gt;0,"✔","-")</f>
        <v>-</v>
      </c>
      <c r="BO74" s="466" t="str">
        <f>IF('Design Fee'!ED76&gt;0,"✔","-")</f>
        <v>-</v>
      </c>
      <c r="BP74" s="466" t="str">
        <f>IF('Design Fee'!EE76&gt;0,"✔","-")</f>
        <v>-</v>
      </c>
      <c r="BQ74" s="444" t="str">
        <f>IF('Design Fee'!EF76&gt;0,"✔","-")</f>
        <v>-</v>
      </c>
      <c r="BR74" s="444" t="str">
        <f>IF('Design Fee'!EG76&gt;0,"✔","-")</f>
        <v>-</v>
      </c>
      <c r="BS74" s="466" t="str">
        <f>IF('Design Fee'!EH76&gt;0,"✔","-")</f>
        <v>-</v>
      </c>
      <c r="BT74" s="468"/>
      <c r="BU74" s="444" t="str">
        <f>IF('Design Fee'!EJ76&gt;0,"✔","-")</f>
        <v>-</v>
      </c>
      <c r="BV74" s="444" t="str">
        <f>IF('Design Fee'!EK76&gt;0,"✔","-")</f>
        <v>-</v>
      </c>
      <c r="BW74" s="444" t="str">
        <f>IF('Design Fee'!EL76&gt;0,"✔","-")</f>
        <v>-</v>
      </c>
      <c r="BX74" s="444" t="str">
        <f>IF('Design Fee'!EM76&gt;0,"✔","-")</f>
        <v>-</v>
      </c>
      <c r="BY74" s="444" t="str">
        <f>IF('Design Fee'!EN76&gt;0,"✔","-")</f>
        <v>-</v>
      </c>
      <c r="BZ74" s="383"/>
    </row>
    <row r="75" spans="2:78" ht="12.75" outlineLevel="2">
      <c r="B75" s="481" t="s">
        <v>85</v>
      </c>
      <c r="C75" s="464">
        <v>2</v>
      </c>
      <c r="D75" s="465" t="s">
        <v>54</v>
      </c>
      <c r="E75" s="383"/>
      <c r="F75" s="443">
        <f t="shared" si="142"/>
        <v>1</v>
      </c>
      <c r="G75" s="444">
        <f t="shared" si="143"/>
        <v>1</v>
      </c>
      <c r="H75" s="444">
        <f t="shared" si="143"/>
        <v>1</v>
      </c>
      <c r="I75" s="444">
        <f t="shared" si="144"/>
        <v>0</v>
      </c>
      <c r="J75" s="467"/>
      <c r="K75" s="441"/>
      <c r="L75" s="442"/>
      <c r="M75" s="443" t="str">
        <f>IF('Design Fee'!W77&gt;0,"✔","-")</f>
        <v>-</v>
      </c>
      <c r="N75" s="443" t="str">
        <f>IF('Design Fee'!X77&gt;0,"✔","-")</f>
        <v>-</v>
      </c>
      <c r="O75" s="452" t="str">
        <f>IF('Design Fee'!Y77&gt;0,"✔","-")</f>
        <v>-</v>
      </c>
      <c r="P75" s="452" t="str">
        <f>IF('Design Fee'!Z77&gt;0,"✔","-")</f>
        <v>-</v>
      </c>
      <c r="Q75" s="444" t="str">
        <f>IF('Design Fee'!AA77&gt;0,"✔","-")</f>
        <v>-</v>
      </c>
      <c r="R75" s="444" t="str">
        <f>IF('Design Fee'!AB77&gt;0,"✔","-")</f>
        <v>-</v>
      </c>
      <c r="S75" s="444" t="str">
        <f>IF('Design Fee'!AC77&gt;0,"✔","-")</f>
        <v>-</v>
      </c>
      <c r="T75" s="466" t="str">
        <f>IF('Design Fee'!AD77&gt;0,"✔","-")</f>
        <v>-</v>
      </c>
      <c r="U75" s="467"/>
      <c r="V75" s="444" t="str">
        <f>IF('Design Fee'!AF77&gt;0,"✔","-")</f>
        <v>-</v>
      </c>
      <c r="W75" s="444" t="str">
        <f>IF('Design Fee'!AG77&gt;0,"✔","-")</f>
        <v>-</v>
      </c>
      <c r="X75" s="444" t="str">
        <f>IF('Design Fee'!AH77&gt;0,"✔","-")</f>
        <v>-</v>
      </c>
      <c r="Y75" s="444" t="str">
        <f>IF('Design Fee'!AI77&gt;0,"✔","-")</f>
        <v>-</v>
      </c>
      <c r="Z75" s="444" t="str">
        <f>IF('Design Fee'!AJ77&gt;0,"✔","-")</f>
        <v>-</v>
      </c>
      <c r="AA75" s="467"/>
      <c r="AB75" s="441"/>
      <c r="AC75" s="442"/>
      <c r="AD75" s="443" t="str">
        <f>IF('Design Fee'!BG77&gt;0,"✔","-")</f>
        <v>✔</v>
      </c>
      <c r="AE75" s="443" t="str">
        <f>IF('Design Fee'!BH77&gt;0,"✔","-")</f>
        <v>✔</v>
      </c>
      <c r="AF75" s="452" t="str">
        <f>IF('Design Fee'!BI77&gt;0,"✔","-")</f>
        <v>✔</v>
      </c>
      <c r="AG75" s="452" t="str">
        <f>IF('Design Fee'!BJ77&gt;0,"✔","-")</f>
        <v>-</v>
      </c>
      <c r="AH75" s="444" t="str">
        <f>IF('Design Fee'!BK77&gt;0,"✔","-")</f>
        <v>-</v>
      </c>
      <c r="AI75" s="444" t="str">
        <f>IF('Design Fee'!BL77&gt;0,"✔","-")</f>
        <v>-</v>
      </c>
      <c r="AJ75" s="444" t="str">
        <f>IF('Design Fee'!BM77&gt;0,"✔","-")</f>
        <v>-</v>
      </c>
      <c r="AK75" s="466" t="str">
        <f>IF('Design Fee'!BN77&gt;0,"✔","-")</f>
        <v>-</v>
      </c>
      <c r="AL75" s="445"/>
      <c r="AM75" s="444" t="str">
        <f>IF('Design Fee'!BP77&gt;0,"✔","-")</f>
        <v>-</v>
      </c>
      <c r="AN75" s="444" t="str">
        <f>IF('Design Fee'!BQ77&gt;0,"✔","-")</f>
        <v>-</v>
      </c>
      <c r="AO75" s="444" t="str">
        <f>IF('Design Fee'!BR77&gt;0,"✔","-")</f>
        <v>-</v>
      </c>
      <c r="AP75" s="444" t="str">
        <f>IF('Design Fee'!BS77&gt;0,"✔","-")</f>
        <v>-</v>
      </c>
      <c r="AQ75" s="444" t="str">
        <f>IF('Design Fee'!BT77&gt;0,"✔","-")</f>
        <v>-</v>
      </c>
      <c r="AR75" s="445"/>
      <c r="AS75" s="441"/>
      <c r="AT75" s="442"/>
      <c r="AU75" s="443" t="str">
        <f>IF('Design Fee'!CQ77&gt;0,"✔","-")</f>
        <v>-</v>
      </c>
      <c r="AV75" s="443" t="str">
        <f>IF('Design Fee'!CR77&gt;0,"✔","-")</f>
        <v>-</v>
      </c>
      <c r="AW75" s="452" t="str">
        <f>IF('Design Fee'!CS77&gt;0,"✔","-")</f>
        <v>-</v>
      </c>
      <c r="AX75" s="452" t="str">
        <f>IF('Design Fee'!CT77&gt;0,"✔","-")</f>
        <v>-</v>
      </c>
      <c r="AY75" s="444" t="str">
        <f>IF('Design Fee'!CU77&gt;0,"✔","-")</f>
        <v>-</v>
      </c>
      <c r="AZ75" s="444" t="str">
        <f>IF('Design Fee'!CV77&gt;0,"✔","-")</f>
        <v>-</v>
      </c>
      <c r="BA75" s="444" t="str">
        <f>IF('Design Fee'!CW77&gt;0,"✔","-")</f>
        <v>-</v>
      </c>
      <c r="BB75" s="466" t="str">
        <f>IF('Design Fee'!CX77&gt;0,"✔","-")</f>
        <v>-</v>
      </c>
      <c r="BC75" s="445"/>
      <c r="BD75" s="444" t="str">
        <f>IF('Design Fee'!CZ77&gt;0,"✔","-")</f>
        <v>-</v>
      </c>
      <c r="BE75" s="444" t="str">
        <f>IF('Design Fee'!DA77&gt;0,"✔","-")</f>
        <v>-</v>
      </c>
      <c r="BF75" s="444" t="str">
        <f>IF('Design Fee'!DB77&gt;0,"✔","-")</f>
        <v>-</v>
      </c>
      <c r="BG75" s="444" t="str">
        <f>IF('Design Fee'!DC77&gt;0,"✔","-")</f>
        <v>-</v>
      </c>
      <c r="BH75" s="444" t="str">
        <f>IF('Design Fee'!DD77&gt;0,"✔","-")</f>
        <v>-</v>
      </c>
      <c r="BI75" s="445"/>
      <c r="BJ75" s="441"/>
      <c r="BK75" s="442"/>
      <c r="BL75" s="443" t="str">
        <f>IF('Design Fee'!EA77&gt;0,"✔","-")</f>
        <v>-</v>
      </c>
      <c r="BM75" s="443" t="str">
        <f>IF('Design Fee'!EB77&gt;0,"✔","-")</f>
        <v>-</v>
      </c>
      <c r="BN75" s="452" t="str">
        <f>IF('Design Fee'!EC77&gt;0,"✔","-")</f>
        <v>-</v>
      </c>
      <c r="BO75" s="452" t="str">
        <f>IF('Design Fee'!ED77&gt;0,"✔","-")</f>
        <v>-</v>
      </c>
      <c r="BP75" s="444" t="str">
        <f>IF('Design Fee'!EE77&gt;0,"✔","-")</f>
        <v>-</v>
      </c>
      <c r="BQ75" s="444" t="str">
        <f>IF('Design Fee'!EF77&gt;0,"✔","-")</f>
        <v>-</v>
      </c>
      <c r="BR75" s="444" t="str">
        <f>IF('Design Fee'!EG77&gt;0,"✔","-")</f>
        <v>-</v>
      </c>
      <c r="BS75" s="466" t="str">
        <f>IF('Design Fee'!EH77&gt;0,"✔","-")</f>
        <v>-</v>
      </c>
      <c r="BT75" s="383"/>
      <c r="BU75" s="444" t="str">
        <f>IF('Design Fee'!EJ77&gt;0,"✔","-")</f>
        <v>-</v>
      </c>
      <c r="BV75" s="444" t="str">
        <f>IF('Design Fee'!EK77&gt;0,"✔","-")</f>
        <v>-</v>
      </c>
      <c r="BW75" s="444" t="str">
        <f>IF('Design Fee'!EL77&gt;0,"✔","-")</f>
        <v>-</v>
      </c>
      <c r="BX75" s="444" t="str">
        <f>IF('Design Fee'!EM77&gt;0,"✔","-")</f>
        <v>-</v>
      </c>
      <c r="BY75" s="444" t="str">
        <f>IF('Design Fee'!EN77&gt;0,"✔","-")</f>
        <v>-</v>
      </c>
      <c r="BZ75" s="383"/>
    </row>
    <row r="76" spans="2:78" ht="12.75" outlineLevel="2">
      <c r="B76" s="481" t="s">
        <v>86</v>
      </c>
      <c r="C76" s="464">
        <v>3</v>
      </c>
      <c r="D76" s="465" t="s">
        <v>56</v>
      </c>
      <c r="E76" s="383"/>
      <c r="F76" s="443">
        <f t="shared" si="142"/>
        <v>1</v>
      </c>
      <c r="G76" s="444">
        <f t="shared" si="143"/>
        <v>1</v>
      </c>
      <c r="H76" s="444">
        <f t="shared" si="143"/>
        <v>1</v>
      </c>
      <c r="I76" s="444">
        <f t="shared" si="144"/>
        <v>0</v>
      </c>
      <c r="J76" s="467"/>
      <c r="K76" s="441"/>
      <c r="L76" s="442"/>
      <c r="M76" s="443" t="str">
        <f>IF('Design Fee'!W78&gt;0,"✔","-")</f>
        <v>✔</v>
      </c>
      <c r="N76" s="443" t="str">
        <f>IF('Design Fee'!X78&gt;0,"✔","-")</f>
        <v>✔</v>
      </c>
      <c r="O76" s="444" t="str">
        <f>IF('Design Fee'!Y78&gt;0,"✔","-")</f>
        <v>✔</v>
      </c>
      <c r="P76" s="444" t="str">
        <f>IF('Design Fee'!Z78&gt;0,"✔","-")</f>
        <v>-</v>
      </c>
      <c r="Q76" s="444" t="str">
        <f>IF('Design Fee'!AA78&gt;0,"✔","-")</f>
        <v>-</v>
      </c>
      <c r="R76" s="444" t="str">
        <f>IF('Design Fee'!AB78&gt;0,"✔","-")</f>
        <v>-</v>
      </c>
      <c r="S76" s="444" t="str">
        <f>IF('Design Fee'!AC78&gt;0,"✔","-")</f>
        <v>-</v>
      </c>
      <c r="T76" s="466" t="str">
        <f>IF('Design Fee'!AD78&gt;0,"✔","-")</f>
        <v>-</v>
      </c>
      <c r="U76" s="467"/>
      <c r="V76" s="444" t="str">
        <f>IF('Design Fee'!AF78&gt;0,"✔","-")</f>
        <v>-</v>
      </c>
      <c r="W76" s="444" t="str">
        <f>IF('Design Fee'!AG78&gt;0,"✔","-")</f>
        <v>-</v>
      </c>
      <c r="X76" s="444" t="str">
        <f>IF('Design Fee'!AH78&gt;0,"✔","-")</f>
        <v>-</v>
      </c>
      <c r="Y76" s="444" t="str">
        <f>IF('Design Fee'!AI78&gt;0,"✔","-")</f>
        <v>-</v>
      </c>
      <c r="Z76" s="444" t="str">
        <f>IF('Design Fee'!AJ78&gt;0,"✔","-")</f>
        <v>-</v>
      </c>
      <c r="AA76" s="467"/>
      <c r="AB76" s="441"/>
      <c r="AC76" s="442"/>
      <c r="AD76" s="443" t="str">
        <f>IF('Design Fee'!BG78&gt;0,"✔","-")</f>
        <v>-</v>
      </c>
      <c r="AE76" s="443" t="str">
        <f>IF('Design Fee'!BH78&gt;0,"✔","-")</f>
        <v>-</v>
      </c>
      <c r="AF76" s="444" t="str">
        <f>IF('Design Fee'!BI78&gt;0,"✔","-")</f>
        <v>-</v>
      </c>
      <c r="AG76" s="444" t="str">
        <f>IF('Design Fee'!BJ78&gt;0,"✔","-")</f>
        <v>-</v>
      </c>
      <c r="AH76" s="444" t="str">
        <f>IF('Design Fee'!BK78&gt;0,"✔","-")</f>
        <v>-</v>
      </c>
      <c r="AI76" s="444" t="str">
        <f>IF('Design Fee'!BL78&gt;0,"✔","-")</f>
        <v>-</v>
      </c>
      <c r="AJ76" s="444" t="str">
        <f>IF('Design Fee'!BM78&gt;0,"✔","-")</f>
        <v>-</v>
      </c>
      <c r="AK76" s="466" t="str">
        <f>IF('Design Fee'!BN78&gt;0,"✔","-")</f>
        <v>-</v>
      </c>
      <c r="AL76" s="445"/>
      <c r="AM76" s="444" t="str">
        <f>IF('Design Fee'!BP78&gt;0,"✔","-")</f>
        <v>-</v>
      </c>
      <c r="AN76" s="444" t="str">
        <f>IF('Design Fee'!BQ78&gt;0,"✔","-")</f>
        <v>-</v>
      </c>
      <c r="AO76" s="444" t="str">
        <f>IF('Design Fee'!BR78&gt;0,"✔","-")</f>
        <v>-</v>
      </c>
      <c r="AP76" s="444" t="str">
        <f>IF('Design Fee'!BS78&gt;0,"✔","-")</f>
        <v>-</v>
      </c>
      <c r="AQ76" s="444" t="str">
        <f>IF('Design Fee'!BT78&gt;0,"✔","-")</f>
        <v>-</v>
      </c>
      <c r="AR76" s="445"/>
      <c r="AS76" s="441"/>
      <c r="AT76" s="442"/>
      <c r="AU76" s="443" t="str">
        <f>IF('Design Fee'!CQ78&gt;0,"✔","-")</f>
        <v>-</v>
      </c>
      <c r="AV76" s="443" t="str">
        <f>IF('Design Fee'!CR78&gt;0,"✔","-")</f>
        <v>-</v>
      </c>
      <c r="AW76" s="444" t="str">
        <f>IF('Design Fee'!CS78&gt;0,"✔","-")</f>
        <v>-</v>
      </c>
      <c r="AX76" s="444" t="str">
        <f>IF('Design Fee'!CT78&gt;0,"✔","-")</f>
        <v>-</v>
      </c>
      <c r="AY76" s="444" t="str">
        <f>IF('Design Fee'!CU78&gt;0,"✔","-")</f>
        <v>-</v>
      </c>
      <c r="AZ76" s="444" t="str">
        <f>IF('Design Fee'!CV78&gt;0,"✔","-")</f>
        <v>-</v>
      </c>
      <c r="BA76" s="444" t="str">
        <f>IF('Design Fee'!CW78&gt;0,"✔","-")</f>
        <v>-</v>
      </c>
      <c r="BB76" s="466" t="str">
        <f>IF('Design Fee'!CX78&gt;0,"✔","-")</f>
        <v>-</v>
      </c>
      <c r="BC76" s="445"/>
      <c r="BD76" s="444" t="str">
        <f>IF('Design Fee'!CZ78&gt;0,"✔","-")</f>
        <v>-</v>
      </c>
      <c r="BE76" s="444" t="str">
        <f>IF('Design Fee'!DA78&gt;0,"✔","-")</f>
        <v>-</v>
      </c>
      <c r="BF76" s="444" t="str">
        <f>IF('Design Fee'!DB78&gt;0,"✔","-")</f>
        <v>-</v>
      </c>
      <c r="BG76" s="444" t="str">
        <f>IF('Design Fee'!DC78&gt;0,"✔","-")</f>
        <v>-</v>
      </c>
      <c r="BH76" s="444" t="str">
        <f>IF('Design Fee'!DD78&gt;0,"✔","-")</f>
        <v>-</v>
      </c>
      <c r="BI76" s="445"/>
      <c r="BJ76" s="441"/>
      <c r="BK76" s="442"/>
      <c r="BL76" s="443" t="str">
        <f>IF('Design Fee'!EA78&gt;0,"✔","-")</f>
        <v>-</v>
      </c>
      <c r="BM76" s="443" t="str">
        <f>IF('Design Fee'!EB78&gt;0,"✔","-")</f>
        <v>-</v>
      </c>
      <c r="BN76" s="444" t="str">
        <f>IF('Design Fee'!EC78&gt;0,"✔","-")</f>
        <v>-</v>
      </c>
      <c r="BO76" s="444" t="str">
        <f>IF('Design Fee'!ED78&gt;0,"✔","-")</f>
        <v>-</v>
      </c>
      <c r="BP76" s="444" t="str">
        <f>IF('Design Fee'!EE78&gt;0,"✔","-")</f>
        <v>-</v>
      </c>
      <c r="BQ76" s="444" t="str">
        <f>IF('Design Fee'!EF78&gt;0,"✔","-")</f>
        <v>-</v>
      </c>
      <c r="BR76" s="444" t="str">
        <f>IF('Design Fee'!EG78&gt;0,"✔","-")</f>
        <v>-</v>
      </c>
      <c r="BS76" s="466" t="str">
        <f>IF('Design Fee'!EH78&gt;0,"✔","-")</f>
        <v>-</v>
      </c>
      <c r="BT76" s="383"/>
      <c r="BU76" s="444" t="str">
        <f>IF('Design Fee'!EJ78&gt;0,"✔","-")</f>
        <v>-</v>
      </c>
      <c r="BV76" s="444" t="str">
        <f>IF('Design Fee'!EK78&gt;0,"✔","-")</f>
        <v>-</v>
      </c>
      <c r="BW76" s="444" t="str">
        <f>IF('Design Fee'!EL78&gt;0,"✔","-")</f>
        <v>-</v>
      </c>
      <c r="BX76" s="444" t="str">
        <f>IF('Design Fee'!EM78&gt;0,"✔","-")</f>
        <v>-</v>
      </c>
      <c r="BY76" s="444" t="str">
        <f>IF('Design Fee'!EN78&gt;0,"✔","-")</f>
        <v>-</v>
      </c>
      <c r="BZ76" s="383"/>
    </row>
    <row r="77" spans="2:78" ht="12.75" outlineLevel="2">
      <c r="B77" s="481" t="s">
        <v>87</v>
      </c>
      <c r="C77" s="469">
        <v>4</v>
      </c>
      <c r="D77" s="470" t="s">
        <v>88</v>
      </c>
      <c r="E77" s="383"/>
      <c r="F77" s="443">
        <f t="shared" si="142"/>
        <v>3</v>
      </c>
      <c r="G77" s="444">
        <f t="shared" si="143"/>
        <v>3</v>
      </c>
      <c r="H77" s="444">
        <f t="shared" si="143"/>
        <v>2</v>
      </c>
      <c r="I77" s="444">
        <f t="shared" si="144"/>
        <v>0</v>
      </c>
      <c r="J77" s="467"/>
      <c r="K77" s="441"/>
      <c r="L77" s="442"/>
      <c r="M77" s="443" t="str">
        <f>IF('Design Fee'!W79&gt;0,"✔","-")</f>
        <v>✔</v>
      </c>
      <c r="N77" s="443" t="str">
        <f>IF('Design Fee'!X79&gt;0,"✔","-")</f>
        <v>✔</v>
      </c>
      <c r="O77" s="444" t="str">
        <f>IF('Design Fee'!Y79&gt;0,"✔","-")</f>
        <v>✔</v>
      </c>
      <c r="P77" s="444" t="str">
        <f>IF('Design Fee'!Z79&gt;0,"✔","-")</f>
        <v>-</v>
      </c>
      <c r="Q77" s="444" t="str">
        <f>IF('Design Fee'!AA79&gt;0,"✔","-")</f>
        <v>-</v>
      </c>
      <c r="R77" s="444" t="str">
        <f>IF('Design Fee'!AB79&gt;0,"✔","-")</f>
        <v>-</v>
      </c>
      <c r="S77" s="444" t="str">
        <f>IF('Design Fee'!AC79&gt;0,"✔","-")</f>
        <v>-</v>
      </c>
      <c r="T77" s="466" t="str">
        <f>IF('Design Fee'!AD79&gt;0,"✔","-")</f>
        <v>-</v>
      </c>
      <c r="U77" s="467"/>
      <c r="V77" s="444" t="str">
        <f>IF('Design Fee'!AF79&gt;0,"✔","-")</f>
        <v>-</v>
      </c>
      <c r="W77" s="444" t="str">
        <f>IF('Design Fee'!AG79&gt;0,"✔","-")</f>
        <v>-</v>
      </c>
      <c r="X77" s="444" t="str">
        <f>IF('Design Fee'!AH79&gt;0,"✔","-")</f>
        <v>-</v>
      </c>
      <c r="Y77" s="444" t="str">
        <f>IF('Design Fee'!AI79&gt;0,"✔","-")</f>
        <v>-</v>
      </c>
      <c r="Z77" s="444" t="str">
        <f>IF('Design Fee'!AJ79&gt;0,"✔","-")</f>
        <v>-</v>
      </c>
      <c r="AA77" s="467"/>
      <c r="AB77" s="441"/>
      <c r="AC77" s="442"/>
      <c r="AD77" s="443" t="str">
        <f>IF('Design Fee'!BG79&gt;0,"✔","-")</f>
        <v>✔</v>
      </c>
      <c r="AE77" s="443" t="str">
        <f>IF('Design Fee'!BH79&gt;0,"✔","-")</f>
        <v>✔</v>
      </c>
      <c r="AF77" s="444" t="str">
        <f>IF('Design Fee'!BI79&gt;0,"✔","-")</f>
        <v>✔</v>
      </c>
      <c r="AG77" s="444" t="str">
        <f>IF('Design Fee'!BJ79&gt;0,"✔","-")</f>
        <v>-</v>
      </c>
      <c r="AH77" s="444" t="str">
        <f>IF('Design Fee'!BK79&gt;0,"✔","-")</f>
        <v>-</v>
      </c>
      <c r="AI77" s="444" t="str">
        <f>IF('Design Fee'!BL79&gt;0,"✔","-")</f>
        <v>-</v>
      </c>
      <c r="AJ77" s="444" t="str">
        <f>IF('Design Fee'!BM79&gt;0,"✔","-")</f>
        <v>-</v>
      </c>
      <c r="AK77" s="466" t="str">
        <f>IF('Design Fee'!BN79&gt;0,"✔","-")</f>
        <v>-</v>
      </c>
      <c r="AL77" s="445"/>
      <c r="AM77" s="444" t="str">
        <f>IF('Design Fee'!BP79&gt;0,"✔","-")</f>
        <v>-</v>
      </c>
      <c r="AN77" s="444" t="str">
        <f>IF('Design Fee'!BQ79&gt;0,"✔","-")</f>
        <v>-</v>
      </c>
      <c r="AO77" s="444" t="str">
        <f>IF('Design Fee'!BR79&gt;0,"✔","-")</f>
        <v>-</v>
      </c>
      <c r="AP77" s="444" t="str">
        <f>IF('Design Fee'!BS79&gt;0,"✔","-")</f>
        <v>-</v>
      </c>
      <c r="AQ77" s="444" t="str">
        <f>IF('Design Fee'!BT79&gt;0,"✔","-")</f>
        <v>-</v>
      </c>
      <c r="AR77" s="445"/>
      <c r="AS77" s="441"/>
      <c r="AT77" s="442"/>
      <c r="AU77" s="443" t="str">
        <f>IF('Design Fee'!CQ79&gt;0,"✔","-")</f>
        <v>✔</v>
      </c>
      <c r="AV77" s="443" t="str">
        <f>IF('Design Fee'!CR79&gt;0,"✔","-")</f>
        <v>✔</v>
      </c>
      <c r="AW77" s="444" t="str">
        <f>IF('Design Fee'!CS79&gt;0,"✔","-")</f>
        <v>-</v>
      </c>
      <c r="AX77" s="444" t="str">
        <f>IF('Design Fee'!CT79&gt;0,"✔","-")</f>
        <v>✔</v>
      </c>
      <c r="AY77" s="444" t="str">
        <f>IF('Design Fee'!CU79&gt;0,"✔","-")</f>
        <v>✔</v>
      </c>
      <c r="AZ77" s="444" t="str">
        <f>IF('Design Fee'!CV79&gt;0,"✔","-")</f>
        <v>-</v>
      </c>
      <c r="BA77" s="444" t="str">
        <f>IF('Design Fee'!CW79&gt;0,"✔","-")</f>
        <v>-</v>
      </c>
      <c r="BB77" s="466" t="str">
        <f>IF('Design Fee'!CX79&gt;0,"✔","-")</f>
        <v>-</v>
      </c>
      <c r="BC77" s="445"/>
      <c r="BD77" s="444" t="str">
        <f>IF('Design Fee'!CZ79&gt;0,"✔","-")</f>
        <v>✔</v>
      </c>
      <c r="BE77" s="444" t="str">
        <f>IF('Design Fee'!DA79&gt;0,"✔","-")</f>
        <v>-</v>
      </c>
      <c r="BF77" s="444" t="str">
        <f>IF('Design Fee'!DB79&gt;0,"✔","-")</f>
        <v>✔</v>
      </c>
      <c r="BG77" s="444" t="str">
        <f>IF('Design Fee'!DC79&gt;0,"✔","-")</f>
        <v>-</v>
      </c>
      <c r="BH77" s="444" t="str">
        <f>IF('Design Fee'!DD79&gt;0,"✔","-")</f>
        <v>-</v>
      </c>
      <c r="BI77" s="445"/>
      <c r="BJ77" s="441"/>
      <c r="BK77" s="442"/>
      <c r="BL77" s="443" t="str">
        <f>IF('Design Fee'!EA79&gt;0,"✔","-")</f>
        <v>-</v>
      </c>
      <c r="BM77" s="443" t="str">
        <f>IF('Design Fee'!EB79&gt;0,"✔","-")</f>
        <v>-</v>
      </c>
      <c r="BN77" s="444" t="str">
        <f>IF('Design Fee'!EC79&gt;0,"✔","-")</f>
        <v>-</v>
      </c>
      <c r="BO77" s="444" t="str">
        <f>IF('Design Fee'!ED79&gt;0,"✔","-")</f>
        <v>-</v>
      </c>
      <c r="BP77" s="444" t="str">
        <f>IF('Design Fee'!EE79&gt;0,"✔","-")</f>
        <v>-</v>
      </c>
      <c r="BQ77" s="444" t="str">
        <f>IF('Design Fee'!EF79&gt;0,"✔","-")</f>
        <v>-</v>
      </c>
      <c r="BR77" s="444" t="str">
        <f>IF('Design Fee'!EG79&gt;0,"✔","-")</f>
        <v>-</v>
      </c>
      <c r="BS77" s="466" t="str">
        <f>IF('Design Fee'!EH79&gt;0,"✔","-")</f>
        <v>-</v>
      </c>
      <c r="BT77" s="383"/>
      <c r="BU77" s="444" t="str">
        <f>IF('Design Fee'!EJ79&gt;0,"✔","-")</f>
        <v>-</v>
      </c>
      <c r="BV77" s="444" t="str">
        <f>IF('Design Fee'!EK79&gt;0,"✔","-")</f>
        <v>-</v>
      </c>
      <c r="BW77" s="444" t="str">
        <f>IF('Design Fee'!EL79&gt;0,"✔","-")</f>
        <v>-</v>
      </c>
      <c r="BX77" s="444" t="str">
        <f>IF('Design Fee'!EM79&gt;0,"✔","-")</f>
        <v>-</v>
      </c>
      <c r="BY77" s="444" t="str">
        <f>IF('Design Fee'!EN79&gt;0,"✔","-")</f>
        <v>-</v>
      </c>
      <c r="BZ77" s="383"/>
    </row>
    <row r="78" spans="2:78" s="95" customFormat="1" ht="12.75" outlineLevel="2">
      <c r="B78" s="481" t="s">
        <v>89</v>
      </c>
      <c r="C78" s="469">
        <v>5</v>
      </c>
      <c r="D78" s="470" t="s">
        <v>90</v>
      </c>
      <c r="E78" s="468"/>
      <c r="F78" s="443">
        <f t="shared" si="142"/>
        <v>2</v>
      </c>
      <c r="G78" s="444">
        <f t="shared" si="143"/>
        <v>2</v>
      </c>
      <c r="H78" s="444">
        <f t="shared" si="143"/>
        <v>2</v>
      </c>
      <c r="I78" s="444">
        <f t="shared" si="144"/>
        <v>0</v>
      </c>
      <c r="J78" s="475"/>
      <c r="K78" s="471"/>
      <c r="L78" s="472"/>
      <c r="M78" s="443" t="str">
        <f>IF('Design Fee'!W80&gt;0,"✔","-")</f>
        <v>✔</v>
      </c>
      <c r="N78" s="443" t="str">
        <f>IF('Design Fee'!X80&gt;0,"✔","-")</f>
        <v>✔</v>
      </c>
      <c r="O78" s="466" t="str">
        <f>IF('Design Fee'!Y80&gt;0,"✔","-")</f>
        <v>✔</v>
      </c>
      <c r="P78" s="466" t="str">
        <f>IF('Design Fee'!Z80&gt;0,"✔","-")</f>
        <v>-</v>
      </c>
      <c r="Q78" s="466" t="str">
        <f>IF('Design Fee'!AA80&gt;0,"✔","-")</f>
        <v>-</v>
      </c>
      <c r="R78" s="466" t="str">
        <f>IF('Design Fee'!AB80&gt;0,"✔","-")</f>
        <v>-</v>
      </c>
      <c r="S78" s="466" t="str">
        <f>IF('Design Fee'!AC80&gt;0,"✔","-")</f>
        <v>-</v>
      </c>
      <c r="T78" s="466" t="str">
        <f>IF('Design Fee'!AD80&gt;0,"✔","-")</f>
        <v>-</v>
      </c>
      <c r="U78" s="475"/>
      <c r="V78" s="444" t="str">
        <f>IF('Design Fee'!AF80&gt;0,"✔","-")</f>
        <v>-</v>
      </c>
      <c r="W78" s="444" t="str">
        <f>IF('Design Fee'!AG80&gt;0,"✔","-")</f>
        <v>-</v>
      </c>
      <c r="X78" s="444" t="str">
        <f>IF('Design Fee'!AH80&gt;0,"✔","-")</f>
        <v>-</v>
      </c>
      <c r="Y78" s="444" t="str">
        <f>IF('Design Fee'!AI80&gt;0,"✔","-")</f>
        <v>-</v>
      </c>
      <c r="Z78" s="444" t="str">
        <f>IF('Design Fee'!AJ80&gt;0,"✔","-")</f>
        <v>-</v>
      </c>
      <c r="AA78" s="475"/>
      <c r="AB78" s="471"/>
      <c r="AC78" s="472"/>
      <c r="AD78" s="443" t="str">
        <f>IF('Design Fee'!BG80&gt;0,"✔","-")</f>
        <v>✔</v>
      </c>
      <c r="AE78" s="443" t="str">
        <f>IF('Design Fee'!BH80&gt;0,"✔","-")</f>
        <v>✔</v>
      </c>
      <c r="AF78" s="466" t="str">
        <f>IF('Design Fee'!BI80&gt;0,"✔","-")</f>
        <v>✔</v>
      </c>
      <c r="AG78" s="466" t="str">
        <f>IF('Design Fee'!BJ80&gt;0,"✔","-")</f>
        <v>-</v>
      </c>
      <c r="AH78" s="466" t="str">
        <f>IF('Design Fee'!BK80&gt;0,"✔","-")</f>
        <v>-</v>
      </c>
      <c r="AI78" s="466" t="str">
        <f>IF('Design Fee'!BL80&gt;0,"✔","-")</f>
        <v>-</v>
      </c>
      <c r="AJ78" s="466" t="str">
        <f>IF('Design Fee'!BM80&gt;0,"✔","-")</f>
        <v>-</v>
      </c>
      <c r="AK78" s="466" t="str">
        <f>IF('Design Fee'!BN80&gt;0,"✔","-")</f>
        <v>-</v>
      </c>
      <c r="AL78" s="476"/>
      <c r="AM78" s="444" t="str">
        <f>IF('Design Fee'!BP80&gt;0,"✔","-")</f>
        <v>-</v>
      </c>
      <c r="AN78" s="444" t="str">
        <f>IF('Design Fee'!BQ80&gt;0,"✔","-")</f>
        <v>-</v>
      </c>
      <c r="AO78" s="444" t="str">
        <f>IF('Design Fee'!BR80&gt;0,"✔","-")</f>
        <v>-</v>
      </c>
      <c r="AP78" s="444" t="str">
        <f>IF('Design Fee'!BS80&gt;0,"✔","-")</f>
        <v>-</v>
      </c>
      <c r="AQ78" s="444" t="str">
        <f>IF('Design Fee'!BT80&gt;0,"✔","-")</f>
        <v>-</v>
      </c>
      <c r="AR78" s="476"/>
      <c r="AS78" s="471"/>
      <c r="AT78" s="472"/>
      <c r="AU78" s="443" t="str">
        <f>IF('Design Fee'!CQ80&gt;0,"✔","-")</f>
        <v>-</v>
      </c>
      <c r="AV78" s="443" t="str">
        <f>IF('Design Fee'!CR80&gt;0,"✔","-")</f>
        <v>-</v>
      </c>
      <c r="AW78" s="466" t="str">
        <f>IF('Design Fee'!CS80&gt;0,"✔","-")</f>
        <v>-</v>
      </c>
      <c r="AX78" s="466" t="str">
        <f>IF('Design Fee'!CT80&gt;0,"✔","-")</f>
        <v>-</v>
      </c>
      <c r="AY78" s="466" t="str">
        <f>IF('Design Fee'!CU80&gt;0,"✔","-")</f>
        <v>-</v>
      </c>
      <c r="AZ78" s="466" t="str">
        <f>IF('Design Fee'!CV80&gt;0,"✔","-")</f>
        <v>-</v>
      </c>
      <c r="BA78" s="466" t="str">
        <f>IF('Design Fee'!CW80&gt;0,"✔","-")</f>
        <v>-</v>
      </c>
      <c r="BB78" s="466" t="str">
        <f>IF('Design Fee'!CX80&gt;0,"✔","-")</f>
        <v>-</v>
      </c>
      <c r="BC78" s="476"/>
      <c r="BD78" s="444" t="str">
        <f>IF('Design Fee'!CZ80&gt;0,"✔","-")</f>
        <v>-</v>
      </c>
      <c r="BE78" s="444" t="str">
        <f>IF('Design Fee'!DA80&gt;0,"✔","-")</f>
        <v>-</v>
      </c>
      <c r="BF78" s="444" t="str">
        <f>IF('Design Fee'!DB80&gt;0,"✔","-")</f>
        <v>-</v>
      </c>
      <c r="BG78" s="444" t="str">
        <f>IF('Design Fee'!DC80&gt;0,"✔","-")</f>
        <v>-</v>
      </c>
      <c r="BH78" s="444" t="str">
        <f>IF('Design Fee'!DD80&gt;0,"✔","-")</f>
        <v>-</v>
      </c>
      <c r="BI78" s="476"/>
      <c r="BJ78" s="471"/>
      <c r="BK78" s="472"/>
      <c r="BL78" s="443" t="str">
        <f>IF('Design Fee'!EA80&gt;0,"✔","-")</f>
        <v>-</v>
      </c>
      <c r="BM78" s="443" t="str">
        <f>IF('Design Fee'!EB80&gt;0,"✔","-")</f>
        <v>-</v>
      </c>
      <c r="BN78" s="466" t="str">
        <f>IF('Design Fee'!EC80&gt;0,"✔","-")</f>
        <v>-</v>
      </c>
      <c r="BO78" s="466" t="str">
        <f>IF('Design Fee'!ED80&gt;0,"✔","-")</f>
        <v>-</v>
      </c>
      <c r="BP78" s="466" t="str">
        <f>IF('Design Fee'!EE80&gt;0,"✔","-")</f>
        <v>-</v>
      </c>
      <c r="BQ78" s="466" t="str">
        <f>IF('Design Fee'!EF80&gt;0,"✔","-")</f>
        <v>-</v>
      </c>
      <c r="BR78" s="466" t="str">
        <f>IF('Design Fee'!EG80&gt;0,"✔","-")</f>
        <v>-</v>
      </c>
      <c r="BS78" s="466" t="str">
        <f>IF('Design Fee'!EH80&gt;0,"✔","-")</f>
        <v>-</v>
      </c>
      <c r="BT78" s="468"/>
      <c r="BU78" s="444" t="str">
        <f>IF('Design Fee'!EJ80&gt;0,"✔","-")</f>
        <v>-</v>
      </c>
      <c r="BV78" s="444" t="str">
        <f>IF('Design Fee'!EK80&gt;0,"✔","-")</f>
        <v>-</v>
      </c>
      <c r="BW78" s="444" t="str">
        <f>IF('Design Fee'!EL80&gt;0,"✔","-")</f>
        <v>-</v>
      </c>
      <c r="BX78" s="444" t="str">
        <f>IF('Design Fee'!EM80&gt;0,"✔","-")</f>
        <v>-</v>
      </c>
      <c r="BY78" s="444" t="str">
        <f>IF('Design Fee'!EN80&gt;0,"✔","-")</f>
        <v>-</v>
      </c>
      <c r="BZ78" s="383"/>
    </row>
    <row r="79" spans="2:78" ht="12.75" outlineLevel="2">
      <c r="B79" s="481" t="s">
        <v>91</v>
      </c>
      <c r="C79" s="469">
        <v>6</v>
      </c>
      <c r="D79" s="465" t="s">
        <v>64</v>
      </c>
      <c r="E79" s="383"/>
      <c r="F79" s="443">
        <f t="shared" si="142"/>
        <v>3</v>
      </c>
      <c r="G79" s="444">
        <f t="shared" si="143"/>
        <v>3</v>
      </c>
      <c r="H79" s="444">
        <f t="shared" si="143"/>
        <v>2</v>
      </c>
      <c r="I79" s="444">
        <f t="shared" si="144"/>
        <v>0</v>
      </c>
      <c r="J79" s="430"/>
      <c r="K79" s="441"/>
      <c r="L79" s="442"/>
      <c r="M79" s="443" t="str">
        <f>IF('Design Fee'!W81&gt;0,"✔","-")</f>
        <v>✔</v>
      </c>
      <c r="N79" s="443" t="str">
        <f>IF('Design Fee'!X81&gt;0,"✔","-")</f>
        <v>✔</v>
      </c>
      <c r="O79" s="452" t="str">
        <f>IF('Design Fee'!Y81&gt;0,"✔","-")</f>
        <v>-</v>
      </c>
      <c r="P79" s="452" t="str">
        <f>IF('Design Fee'!Z81&gt;0,"✔","-")</f>
        <v>✔</v>
      </c>
      <c r="Q79" s="452" t="str">
        <f>IF('Design Fee'!AA81&gt;0,"✔","-")</f>
        <v>-</v>
      </c>
      <c r="R79" s="452" t="str">
        <f>IF('Design Fee'!AB81&gt;0,"✔","-")</f>
        <v>✔</v>
      </c>
      <c r="S79" s="452" t="str">
        <f>IF('Design Fee'!AC81&gt;0,"✔","-")</f>
        <v>-</v>
      </c>
      <c r="T79" s="466" t="str">
        <f>IF('Design Fee'!AD81&gt;0,"✔","-")</f>
        <v>-</v>
      </c>
      <c r="U79" s="430"/>
      <c r="V79" s="444" t="str">
        <f>IF('Design Fee'!AF81&gt;0,"✔","-")</f>
        <v>✔</v>
      </c>
      <c r="W79" s="444" t="str">
        <f>IF('Design Fee'!AG81&gt;0,"✔","-")</f>
        <v>-</v>
      </c>
      <c r="X79" s="444" t="str">
        <f>IF('Design Fee'!AH81&gt;0,"✔","-")</f>
        <v>-</v>
      </c>
      <c r="Y79" s="444" t="str">
        <f>IF('Design Fee'!AI81&gt;0,"✔","-")</f>
        <v>✔</v>
      </c>
      <c r="Z79" s="444" t="str">
        <f>IF('Design Fee'!AJ81&gt;0,"✔","-")</f>
        <v>-</v>
      </c>
      <c r="AA79" s="430"/>
      <c r="AB79" s="441"/>
      <c r="AC79" s="442"/>
      <c r="AD79" s="443" t="str">
        <f>IF('Design Fee'!BG81&gt;0,"✔","-")</f>
        <v>-</v>
      </c>
      <c r="AE79" s="443" t="str">
        <f>IF('Design Fee'!BH81&gt;0,"✔","-")</f>
        <v>-</v>
      </c>
      <c r="AF79" s="452" t="str">
        <f>IF('Design Fee'!BI81&gt;0,"✔","-")</f>
        <v>-</v>
      </c>
      <c r="AG79" s="452" t="str">
        <f>IF('Design Fee'!BJ81&gt;0,"✔","-")</f>
        <v>-</v>
      </c>
      <c r="AH79" s="452" t="str">
        <f>IF('Design Fee'!BK81&gt;0,"✔","-")</f>
        <v>-</v>
      </c>
      <c r="AI79" s="452" t="str">
        <f>IF('Design Fee'!BL81&gt;0,"✔","-")</f>
        <v>-</v>
      </c>
      <c r="AJ79" s="452" t="str">
        <f>IF('Design Fee'!BM81&gt;0,"✔","-")</f>
        <v>-</v>
      </c>
      <c r="AK79" s="466" t="str">
        <f>IF('Design Fee'!BN81&gt;0,"✔","-")</f>
        <v>-</v>
      </c>
      <c r="AL79" s="445"/>
      <c r="AM79" s="444" t="str">
        <f>IF('Design Fee'!BP81&gt;0,"✔","-")</f>
        <v>-</v>
      </c>
      <c r="AN79" s="444" t="str">
        <f>IF('Design Fee'!BQ81&gt;0,"✔","-")</f>
        <v>-</v>
      </c>
      <c r="AO79" s="444" t="str">
        <f>IF('Design Fee'!BR81&gt;0,"✔","-")</f>
        <v>-</v>
      </c>
      <c r="AP79" s="444" t="str">
        <f>IF('Design Fee'!BS81&gt;0,"✔","-")</f>
        <v>-</v>
      </c>
      <c r="AQ79" s="444" t="str">
        <f>IF('Design Fee'!BT81&gt;0,"✔","-")</f>
        <v>-</v>
      </c>
      <c r="AR79" s="445"/>
      <c r="AS79" s="441"/>
      <c r="AT79" s="442"/>
      <c r="AU79" s="443" t="str">
        <f>IF('Design Fee'!CQ81&gt;0,"✔","-")</f>
        <v>✔</v>
      </c>
      <c r="AV79" s="443" t="str">
        <f>IF('Design Fee'!CR81&gt;0,"✔","-")</f>
        <v>✔</v>
      </c>
      <c r="AW79" s="452" t="str">
        <f>IF('Design Fee'!CS81&gt;0,"✔","-")</f>
        <v>✔</v>
      </c>
      <c r="AX79" s="452" t="str">
        <f>IF('Design Fee'!CT81&gt;0,"✔","-")</f>
        <v>-</v>
      </c>
      <c r="AY79" s="452" t="str">
        <f>IF('Design Fee'!CU81&gt;0,"✔","-")</f>
        <v>-</v>
      </c>
      <c r="AZ79" s="452" t="str">
        <f>IF('Design Fee'!CV81&gt;0,"✔","-")</f>
        <v>-</v>
      </c>
      <c r="BA79" s="452" t="str">
        <f>IF('Design Fee'!CW81&gt;0,"✔","-")</f>
        <v>-</v>
      </c>
      <c r="BB79" s="466" t="str">
        <f>IF('Design Fee'!CX81&gt;0,"✔","-")</f>
        <v>-</v>
      </c>
      <c r="BC79" s="445"/>
      <c r="BD79" s="444" t="str">
        <f>IF('Design Fee'!CZ81&gt;0,"✔","-")</f>
        <v>-</v>
      </c>
      <c r="BE79" s="444" t="str">
        <f>IF('Design Fee'!DA81&gt;0,"✔","-")</f>
        <v>-</v>
      </c>
      <c r="BF79" s="444" t="str">
        <f>IF('Design Fee'!DB81&gt;0,"✔","-")</f>
        <v>-</v>
      </c>
      <c r="BG79" s="444" t="str">
        <f>IF('Design Fee'!DC81&gt;0,"✔","-")</f>
        <v>-</v>
      </c>
      <c r="BH79" s="444" t="str">
        <f>IF('Design Fee'!DD81&gt;0,"✔","-")</f>
        <v>-</v>
      </c>
      <c r="BI79" s="445"/>
      <c r="BJ79" s="441"/>
      <c r="BK79" s="442"/>
      <c r="BL79" s="443" t="str">
        <f>IF('Design Fee'!EA81&gt;0,"✔","-")</f>
        <v>✔</v>
      </c>
      <c r="BM79" s="443" t="str">
        <f>IF('Design Fee'!EB81&gt;0,"✔","-")</f>
        <v>✔</v>
      </c>
      <c r="BN79" s="452" t="str">
        <f>IF('Design Fee'!EC81&gt;0,"✔","-")</f>
        <v>✔</v>
      </c>
      <c r="BO79" s="452" t="str">
        <f>IF('Design Fee'!ED81&gt;0,"✔","-")</f>
        <v>-</v>
      </c>
      <c r="BP79" s="452" t="str">
        <f>IF('Design Fee'!EE81&gt;0,"✔","-")</f>
        <v>-</v>
      </c>
      <c r="BQ79" s="452" t="str">
        <f>IF('Design Fee'!EF81&gt;0,"✔","-")</f>
        <v>-</v>
      </c>
      <c r="BR79" s="452" t="str">
        <f>IF('Design Fee'!EG81&gt;0,"✔","-")</f>
        <v>-</v>
      </c>
      <c r="BS79" s="466" t="str">
        <f>IF('Design Fee'!EH81&gt;0,"✔","-")</f>
        <v>-</v>
      </c>
      <c r="BT79" s="383"/>
      <c r="BU79" s="444" t="str">
        <f>IF('Design Fee'!EJ81&gt;0,"✔","-")</f>
        <v>-</v>
      </c>
      <c r="BV79" s="444" t="str">
        <f>IF('Design Fee'!EK81&gt;0,"✔","-")</f>
        <v>-</v>
      </c>
      <c r="BW79" s="444" t="str">
        <f>IF('Design Fee'!EL81&gt;0,"✔","-")</f>
        <v>-</v>
      </c>
      <c r="BX79" s="444" t="str">
        <f>IF('Design Fee'!EM81&gt;0,"✔","-")</f>
        <v>-</v>
      </c>
      <c r="BY79" s="444" t="str">
        <f>IF('Design Fee'!EN81&gt;0,"✔","-")</f>
        <v>-</v>
      </c>
      <c r="BZ79" s="383"/>
    </row>
    <row r="80" spans="2:78" ht="12.75" outlineLevel="2">
      <c r="B80" s="481" t="s">
        <v>92</v>
      </c>
      <c r="C80" s="469">
        <v>7</v>
      </c>
      <c r="D80" s="470" t="s">
        <v>67</v>
      </c>
      <c r="E80" s="383"/>
      <c r="F80" s="443">
        <f t="shared" si="142"/>
        <v>3</v>
      </c>
      <c r="G80" s="444">
        <f t="shared" si="143"/>
        <v>3</v>
      </c>
      <c r="H80" s="444">
        <f t="shared" si="143"/>
        <v>3</v>
      </c>
      <c r="I80" s="444">
        <f t="shared" si="144"/>
        <v>0</v>
      </c>
      <c r="J80" s="430"/>
      <c r="K80" s="441"/>
      <c r="L80" s="442"/>
      <c r="M80" s="443" t="str">
        <f>IF('Design Fee'!W82&gt;0,"✔","-")</f>
        <v>✔</v>
      </c>
      <c r="N80" s="443" t="str">
        <f>IF('Design Fee'!X82&gt;0,"✔","-")</f>
        <v>✔</v>
      </c>
      <c r="O80" s="452" t="str">
        <f>IF('Design Fee'!Y82&gt;0,"✔","-")</f>
        <v>✔</v>
      </c>
      <c r="P80" s="452" t="str">
        <f>IF('Design Fee'!Z82&gt;0,"✔","-")</f>
        <v>-</v>
      </c>
      <c r="Q80" s="452" t="str">
        <f>IF('Design Fee'!AA82&gt;0,"✔","-")</f>
        <v>-</v>
      </c>
      <c r="R80" s="452" t="str">
        <f>IF('Design Fee'!AB82&gt;0,"✔","-")</f>
        <v>-</v>
      </c>
      <c r="S80" s="452" t="str">
        <f>IF('Design Fee'!AC82&gt;0,"✔","-")</f>
        <v>-</v>
      </c>
      <c r="T80" s="466" t="str">
        <f>IF('Design Fee'!AD82&gt;0,"✔","-")</f>
        <v>-</v>
      </c>
      <c r="U80" s="430"/>
      <c r="V80" s="444" t="str">
        <f>IF('Design Fee'!AF82&gt;0,"✔","-")</f>
        <v>-</v>
      </c>
      <c r="W80" s="444" t="str">
        <f>IF('Design Fee'!AG82&gt;0,"✔","-")</f>
        <v>-</v>
      </c>
      <c r="X80" s="444" t="str">
        <f>IF('Design Fee'!AH82&gt;0,"✔","-")</f>
        <v>-</v>
      </c>
      <c r="Y80" s="444" t="str">
        <f>IF('Design Fee'!AI82&gt;0,"✔","-")</f>
        <v>-</v>
      </c>
      <c r="Z80" s="444" t="str">
        <f>IF('Design Fee'!AJ82&gt;0,"✔","-")</f>
        <v>-</v>
      </c>
      <c r="AA80" s="430"/>
      <c r="AB80" s="441"/>
      <c r="AC80" s="442"/>
      <c r="AD80" s="443" t="str">
        <f>IF('Design Fee'!BG82&gt;0,"✔","-")</f>
        <v>✔</v>
      </c>
      <c r="AE80" s="443" t="str">
        <f>IF('Design Fee'!BH82&gt;0,"✔","-")</f>
        <v>✔</v>
      </c>
      <c r="AF80" s="452" t="str">
        <f>IF('Design Fee'!BI82&gt;0,"✔","-")</f>
        <v>✔</v>
      </c>
      <c r="AG80" s="452" t="str">
        <f>IF('Design Fee'!BJ82&gt;0,"✔","-")</f>
        <v>-</v>
      </c>
      <c r="AH80" s="452" t="str">
        <f>IF('Design Fee'!BK82&gt;0,"✔","-")</f>
        <v>-</v>
      </c>
      <c r="AI80" s="452" t="str">
        <f>IF('Design Fee'!BL82&gt;0,"✔","-")</f>
        <v>-</v>
      </c>
      <c r="AJ80" s="452" t="str">
        <f>IF('Design Fee'!BM82&gt;0,"✔","-")</f>
        <v>-</v>
      </c>
      <c r="AK80" s="466" t="str">
        <f>IF('Design Fee'!BN82&gt;0,"✔","-")</f>
        <v>-</v>
      </c>
      <c r="AL80" s="445"/>
      <c r="AM80" s="444" t="str">
        <f>IF('Design Fee'!BP82&gt;0,"✔","-")</f>
        <v>-</v>
      </c>
      <c r="AN80" s="444" t="str">
        <f>IF('Design Fee'!BQ82&gt;0,"✔","-")</f>
        <v>-</v>
      </c>
      <c r="AO80" s="444" t="str">
        <f>IF('Design Fee'!BR82&gt;0,"✔","-")</f>
        <v>-</v>
      </c>
      <c r="AP80" s="444" t="str">
        <f>IF('Design Fee'!BS82&gt;0,"✔","-")</f>
        <v>-</v>
      </c>
      <c r="AQ80" s="444" t="str">
        <f>IF('Design Fee'!BT82&gt;0,"✔","-")</f>
        <v>-</v>
      </c>
      <c r="AR80" s="445"/>
      <c r="AS80" s="441"/>
      <c r="AT80" s="442"/>
      <c r="AU80" s="443" t="str">
        <f>IF('Design Fee'!CQ82&gt;0,"✔","-")</f>
        <v>✔</v>
      </c>
      <c r="AV80" s="443" t="str">
        <f>IF('Design Fee'!CR82&gt;0,"✔","-")</f>
        <v>✔</v>
      </c>
      <c r="AW80" s="452" t="str">
        <f>IF('Design Fee'!CS82&gt;0,"✔","-")</f>
        <v>✔</v>
      </c>
      <c r="AX80" s="452" t="str">
        <f>IF('Design Fee'!CT82&gt;0,"✔","-")</f>
        <v>-</v>
      </c>
      <c r="AY80" s="452" t="str">
        <f>IF('Design Fee'!CU82&gt;0,"✔","-")</f>
        <v>-</v>
      </c>
      <c r="AZ80" s="452" t="str">
        <f>IF('Design Fee'!CV82&gt;0,"✔","-")</f>
        <v>-</v>
      </c>
      <c r="BA80" s="452" t="str">
        <f>IF('Design Fee'!CW82&gt;0,"✔","-")</f>
        <v>-</v>
      </c>
      <c r="BB80" s="466" t="str">
        <f>IF('Design Fee'!CX82&gt;0,"✔","-")</f>
        <v>-</v>
      </c>
      <c r="BC80" s="445"/>
      <c r="BD80" s="444" t="str">
        <f>IF('Design Fee'!CZ82&gt;0,"✔","-")</f>
        <v>-</v>
      </c>
      <c r="BE80" s="444" t="str">
        <f>IF('Design Fee'!DA82&gt;0,"✔","-")</f>
        <v>-</v>
      </c>
      <c r="BF80" s="444" t="str">
        <f>IF('Design Fee'!DB82&gt;0,"✔","-")</f>
        <v>-</v>
      </c>
      <c r="BG80" s="444" t="str">
        <f>IF('Design Fee'!DC82&gt;0,"✔","-")</f>
        <v>-</v>
      </c>
      <c r="BH80" s="444" t="str">
        <f>IF('Design Fee'!DD82&gt;0,"✔","-")</f>
        <v>-</v>
      </c>
      <c r="BI80" s="445"/>
      <c r="BJ80" s="441"/>
      <c r="BK80" s="442"/>
      <c r="BL80" s="443" t="str">
        <f>IF('Design Fee'!EA82&gt;0,"✔","-")</f>
        <v>-</v>
      </c>
      <c r="BM80" s="443" t="str">
        <f>IF('Design Fee'!EB82&gt;0,"✔","-")</f>
        <v>-</v>
      </c>
      <c r="BN80" s="452" t="str">
        <f>IF('Design Fee'!EC82&gt;0,"✔","-")</f>
        <v>-</v>
      </c>
      <c r="BO80" s="452" t="str">
        <f>IF('Design Fee'!ED82&gt;0,"✔","-")</f>
        <v>-</v>
      </c>
      <c r="BP80" s="452" t="str">
        <f>IF('Design Fee'!EE82&gt;0,"✔","-")</f>
        <v>-</v>
      </c>
      <c r="BQ80" s="452" t="str">
        <f>IF('Design Fee'!EF82&gt;0,"✔","-")</f>
        <v>-</v>
      </c>
      <c r="BR80" s="452" t="str">
        <f>IF('Design Fee'!EG82&gt;0,"✔","-")</f>
        <v>-</v>
      </c>
      <c r="BS80" s="466" t="str">
        <f>IF('Design Fee'!EH82&gt;0,"✔","-")</f>
        <v>-</v>
      </c>
      <c r="BT80" s="383"/>
      <c r="BU80" s="444" t="str">
        <f>IF('Design Fee'!EJ82&gt;0,"✔","-")</f>
        <v>-</v>
      </c>
      <c r="BV80" s="444" t="str">
        <f>IF('Design Fee'!EK82&gt;0,"✔","-")</f>
        <v>-</v>
      </c>
      <c r="BW80" s="444" t="str">
        <f>IF('Design Fee'!EL82&gt;0,"✔","-")</f>
        <v>-</v>
      </c>
      <c r="BX80" s="444" t="str">
        <f>IF('Design Fee'!EM82&gt;0,"✔","-")</f>
        <v>-</v>
      </c>
      <c r="BY80" s="444" t="str">
        <f>IF('Design Fee'!EN82&gt;0,"✔","-")</f>
        <v>-</v>
      </c>
      <c r="BZ80" s="383"/>
    </row>
    <row r="81" spans="2:78" ht="12.75" outlineLevel="2">
      <c r="B81" s="481" t="s">
        <v>93</v>
      </c>
      <c r="C81" s="469">
        <v>8</v>
      </c>
      <c r="D81" s="470" t="s">
        <v>69</v>
      </c>
      <c r="E81" s="383"/>
      <c r="F81" s="443">
        <f t="shared" si="142"/>
        <v>3</v>
      </c>
      <c r="G81" s="444">
        <f t="shared" si="143"/>
        <v>3</v>
      </c>
      <c r="H81" s="444">
        <f t="shared" si="143"/>
        <v>3</v>
      </c>
      <c r="I81" s="444">
        <f t="shared" si="144"/>
        <v>0</v>
      </c>
      <c r="J81" s="467"/>
      <c r="K81" s="441"/>
      <c r="L81" s="442"/>
      <c r="M81" s="443" t="str">
        <f>IF('Design Fee'!W83&gt;0,"✔","-")</f>
        <v>✔</v>
      </c>
      <c r="N81" s="443" t="str">
        <f>IF('Design Fee'!X83&gt;0,"✔","-")</f>
        <v>✔</v>
      </c>
      <c r="O81" s="452" t="str">
        <f>IF('Design Fee'!Y83&gt;0,"✔","-")</f>
        <v>✔</v>
      </c>
      <c r="P81" s="452" t="str">
        <f>IF('Design Fee'!Z83&gt;0,"✔","-")</f>
        <v>-</v>
      </c>
      <c r="Q81" s="452" t="str">
        <f>IF('Design Fee'!AA83&gt;0,"✔","-")</f>
        <v>-</v>
      </c>
      <c r="R81" s="452" t="str">
        <f>IF('Design Fee'!AB83&gt;0,"✔","-")</f>
        <v>-</v>
      </c>
      <c r="S81" s="452" t="str">
        <f>IF('Design Fee'!AC83&gt;0,"✔","-")</f>
        <v>-</v>
      </c>
      <c r="T81" s="466" t="str">
        <f>IF('Design Fee'!AD83&gt;0,"✔","-")</f>
        <v>-</v>
      </c>
      <c r="U81" s="467"/>
      <c r="V81" s="444" t="str">
        <f>IF('Design Fee'!AF83&gt;0,"✔","-")</f>
        <v>-</v>
      </c>
      <c r="W81" s="444" t="str">
        <f>IF('Design Fee'!AG83&gt;0,"✔","-")</f>
        <v>-</v>
      </c>
      <c r="X81" s="444" t="str">
        <f>IF('Design Fee'!AH83&gt;0,"✔","-")</f>
        <v>-</v>
      </c>
      <c r="Y81" s="444" t="str">
        <f>IF('Design Fee'!AI83&gt;0,"✔","-")</f>
        <v>-</v>
      </c>
      <c r="Z81" s="444" t="str">
        <f>IF('Design Fee'!AJ83&gt;0,"✔","-")</f>
        <v>-</v>
      </c>
      <c r="AA81" s="467"/>
      <c r="AB81" s="441"/>
      <c r="AC81" s="442"/>
      <c r="AD81" s="443" t="str">
        <f>IF('Design Fee'!BG83&gt;0,"✔","-")</f>
        <v>✔</v>
      </c>
      <c r="AE81" s="443" t="str">
        <f>IF('Design Fee'!BH83&gt;0,"✔","-")</f>
        <v>✔</v>
      </c>
      <c r="AF81" s="452" t="str">
        <f>IF('Design Fee'!BI83&gt;0,"✔","-")</f>
        <v>✔</v>
      </c>
      <c r="AG81" s="452" t="str">
        <f>IF('Design Fee'!BJ83&gt;0,"✔","-")</f>
        <v>-</v>
      </c>
      <c r="AH81" s="452" t="str">
        <f>IF('Design Fee'!BK83&gt;0,"✔","-")</f>
        <v>-</v>
      </c>
      <c r="AI81" s="452" t="str">
        <f>IF('Design Fee'!BL83&gt;0,"✔","-")</f>
        <v>-</v>
      </c>
      <c r="AJ81" s="452" t="str">
        <f>IF('Design Fee'!BM83&gt;0,"✔","-")</f>
        <v>-</v>
      </c>
      <c r="AK81" s="466" t="str">
        <f>IF('Design Fee'!BN83&gt;0,"✔","-")</f>
        <v>-</v>
      </c>
      <c r="AL81" s="445"/>
      <c r="AM81" s="444" t="str">
        <f>IF('Design Fee'!BP83&gt;0,"✔","-")</f>
        <v>-</v>
      </c>
      <c r="AN81" s="444" t="str">
        <f>IF('Design Fee'!BQ83&gt;0,"✔","-")</f>
        <v>-</v>
      </c>
      <c r="AO81" s="444" t="str">
        <f>IF('Design Fee'!BR83&gt;0,"✔","-")</f>
        <v>-</v>
      </c>
      <c r="AP81" s="444" t="str">
        <f>IF('Design Fee'!BS83&gt;0,"✔","-")</f>
        <v>-</v>
      </c>
      <c r="AQ81" s="444" t="str">
        <f>IF('Design Fee'!BT83&gt;0,"✔","-")</f>
        <v>-</v>
      </c>
      <c r="AR81" s="445"/>
      <c r="AS81" s="441"/>
      <c r="AT81" s="442"/>
      <c r="AU81" s="443" t="str">
        <f>IF('Design Fee'!CQ83&gt;0,"✔","-")</f>
        <v>✔</v>
      </c>
      <c r="AV81" s="443" t="str">
        <f>IF('Design Fee'!CR83&gt;0,"✔","-")</f>
        <v>✔</v>
      </c>
      <c r="AW81" s="452" t="str">
        <f>IF('Design Fee'!CS83&gt;0,"✔","-")</f>
        <v>✔</v>
      </c>
      <c r="AX81" s="452" t="str">
        <f>IF('Design Fee'!CT83&gt;0,"✔","-")</f>
        <v>-</v>
      </c>
      <c r="AY81" s="452" t="str">
        <f>IF('Design Fee'!CU83&gt;0,"✔","-")</f>
        <v>-</v>
      </c>
      <c r="AZ81" s="452" t="str">
        <f>IF('Design Fee'!CV83&gt;0,"✔","-")</f>
        <v>-</v>
      </c>
      <c r="BA81" s="452" t="str">
        <f>IF('Design Fee'!CW83&gt;0,"✔","-")</f>
        <v>-</v>
      </c>
      <c r="BB81" s="466" t="str">
        <f>IF('Design Fee'!CX83&gt;0,"✔","-")</f>
        <v>-</v>
      </c>
      <c r="BC81" s="445"/>
      <c r="BD81" s="444" t="str">
        <f>IF('Design Fee'!CZ83&gt;0,"✔","-")</f>
        <v>-</v>
      </c>
      <c r="BE81" s="444" t="str">
        <f>IF('Design Fee'!DA83&gt;0,"✔","-")</f>
        <v>-</v>
      </c>
      <c r="BF81" s="444" t="str">
        <f>IF('Design Fee'!DB83&gt;0,"✔","-")</f>
        <v>-</v>
      </c>
      <c r="BG81" s="444" t="str">
        <f>IF('Design Fee'!DC83&gt;0,"✔","-")</f>
        <v>-</v>
      </c>
      <c r="BH81" s="444" t="str">
        <f>IF('Design Fee'!DD83&gt;0,"✔","-")</f>
        <v>-</v>
      </c>
      <c r="BI81" s="445"/>
      <c r="BJ81" s="441"/>
      <c r="BK81" s="442"/>
      <c r="BL81" s="443" t="str">
        <f>IF('Design Fee'!EA83&gt;0,"✔","-")</f>
        <v>-</v>
      </c>
      <c r="BM81" s="443" t="str">
        <f>IF('Design Fee'!EB83&gt;0,"✔","-")</f>
        <v>-</v>
      </c>
      <c r="BN81" s="452" t="str">
        <f>IF('Design Fee'!EC83&gt;0,"✔","-")</f>
        <v>-</v>
      </c>
      <c r="BO81" s="452" t="str">
        <f>IF('Design Fee'!ED83&gt;0,"✔","-")</f>
        <v>-</v>
      </c>
      <c r="BP81" s="452" t="str">
        <f>IF('Design Fee'!EE83&gt;0,"✔","-")</f>
        <v>-</v>
      </c>
      <c r="BQ81" s="452" t="str">
        <f>IF('Design Fee'!EF83&gt;0,"✔","-")</f>
        <v>-</v>
      </c>
      <c r="BR81" s="452" t="str">
        <f>IF('Design Fee'!EG83&gt;0,"✔","-")</f>
        <v>-</v>
      </c>
      <c r="BS81" s="466" t="str">
        <f>IF('Design Fee'!EH83&gt;0,"✔","-")</f>
        <v>-</v>
      </c>
      <c r="BT81" s="383"/>
      <c r="BU81" s="444" t="str">
        <f>IF('Design Fee'!EJ83&gt;0,"✔","-")</f>
        <v>-</v>
      </c>
      <c r="BV81" s="444" t="str">
        <f>IF('Design Fee'!EK83&gt;0,"✔","-")</f>
        <v>-</v>
      </c>
      <c r="BW81" s="444" t="str">
        <f>IF('Design Fee'!EL83&gt;0,"✔","-")</f>
        <v>-</v>
      </c>
      <c r="BX81" s="444" t="str">
        <f>IF('Design Fee'!EM83&gt;0,"✔","-")</f>
        <v>-</v>
      </c>
      <c r="BY81" s="444" t="str">
        <f>IF('Design Fee'!EN83&gt;0,"✔","-")</f>
        <v>-</v>
      </c>
      <c r="BZ81" s="383"/>
    </row>
    <row r="82" spans="2:78" ht="12.75" outlineLevel="2">
      <c r="B82" s="481" t="s">
        <v>94</v>
      </c>
      <c r="C82" s="469">
        <v>9</v>
      </c>
      <c r="D82" s="465" t="s">
        <v>71</v>
      </c>
      <c r="E82" s="383"/>
      <c r="F82" s="443">
        <f t="shared" si="142"/>
        <v>2</v>
      </c>
      <c r="G82" s="444">
        <f t="shared" si="143"/>
        <v>2</v>
      </c>
      <c r="H82" s="444">
        <f t="shared" si="143"/>
        <v>1</v>
      </c>
      <c r="I82" s="444">
        <f t="shared" si="144"/>
        <v>0</v>
      </c>
      <c r="J82" s="467"/>
      <c r="K82" s="441"/>
      <c r="L82" s="442"/>
      <c r="M82" s="443" t="str">
        <f>IF('Design Fee'!W84&gt;0,"✔","-")</f>
        <v>✔</v>
      </c>
      <c r="N82" s="443" t="str">
        <f>IF('Design Fee'!X84&gt;0,"✔","-")</f>
        <v>✔</v>
      </c>
      <c r="O82" s="452" t="str">
        <f>IF('Design Fee'!Y84&gt;0,"✔","-")</f>
        <v>✔</v>
      </c>
      <c r="P82" s="452" t="str">
        <f>IF('Design Fee'!Z84&gt;0,"✔","-")</f>
        <v>-</v>
      </c>
      <c r="Q82" s="452" t="str">
        <f>IF('Design Fee'!AA84&gt;0,"✔","-")</f>
        <v>-</v>
      </c>
      <c r="R82" s="452" t="str">
        <f>IF('Design Fee'!AB84&gt;0,"✔","-")</f>
        <v>-</v>
      </c>
      <c r="S82" s="452" t="str">
        <f>IF('Design Fee'!AC84&gt;0,"✔","-")</f>
        <v>-</v>
      </c>
      <c r="T82" s="466" t="str">
        <f>IF('Design Fee'!AD84&gt;0,"✔","-")</f>
        <v>-</v>
      </c>
      <c r="U82" s="467"/>
      <c r="V82" s="444" t="str">
        <f>IF('Design Fee'!AF84&gt;0,"✔","-")</f>
        <v>-</v>
      </c>
      <c r="W82" s="444" t="str">
        <f>IF('Design Fee'!AG84&gt;0,"✔","-")</f>
        <v>-</v>
      </c>
      <c r="X82" s="444" t="str">
        <f>IF('Design Fee'!AH84&gt;0,"✔","-")</f>
        <v>-</v>
      </c>
      <c r="Y82" s="444" t="str">
        <f>IF('Design Fee'!AI84&gt;0,"✔","-")</f>
        <v>-</v>
      </c>
      <c r="Z82" s="444" t="str">
        <f>IF('Design Fee'!AJ84&gt;0,"✔","-")</f>
        <v>-</v>
      </c>
      <c r="AA82" s="467"/>
      <c r="AB82" s="441"/>
      <c r="AC82" s="442"/>
      <c r="AD82" s="443" t="str">
        <f>IF('Design Fee'!BG84&gt;0,"✔","-")</f>
        <v>-</v>
      </c>
      <c r="AE82" s="443" t="str">
        <f>IF('Design Fee'!BH84&gt;0,"✔","-")</f>
        <v>-</v>
      </c>
      <c r="AF82" s="452" t="str">
        <f>IF('Design Fee'!BI84&gt;0,"✔","-")</f>
        <v>-</v>
      </c>
      <c r="AG82" s="452" t="str">
        <f>IF('Design Fee'!BJ84&gt;0,"✔","-")</f>
        <v>-</v>
      </c>
      <c r="AH82" s="452" t="str">
        <f>IF('Design Fee'!BK84&gt;0,"✔","-")</f>
        <v>-</v>
      </c>
      <c r="AI82" s="452" t="str">
        <f>IF('Design Fee'!BL84&gt;0,"✔","-")</f>
        <v>-</v>
      </c>
      <c r="AJ82" s="452" t="str">
        <f>IF('Design Fee'!BM84&gt;0,"✔","-")</f>
        <v>-</v>
      </c>
      <c r="AK82" s="466" t="str">
        <f>IF('Design Fee'!BN84&gt;0,"✔","-")</f>
        <v>-</v>
      </c>
      <c r="AL82" s="445"/>
      <c r="AM82" s="444" t="str">
        <f>IF('Design Fee'!BP84&gt;0,"✔","-")</f>
        <v>-</v>
      </c>
      <c r="AN82" s="444" t="str">
        <f>IF('Design Fee'!BQ84&gt;0,"✔","-")</f>
        <v>-</v>
      </c>
      <c r="AO82" s="444" t="str">
        <f>IF('Design Fee'!BR84&gt;0,"✔","-")</f>
        <v>-</v>
      </c>
      <c r="AP82" s="444" t="str">
        <f>IF('Design Fee'!BS84&gt;0,"✔","-")</f>
        <v>-</v>
      </c>
      <c r="AQ82" s="444" t="str">
        <f>IF('Design Fee'!BT84&gt;0,"✔","-")</f>
        <v>-</v>
      </c>
      <c r="AR82" s="445"/>
      <c r="AS82" s="441"/>
      <c r="AT82" s="442"/>
      <c r="AU82" s="443" t="str">
        <f>IF('Design Fee'!CQ84&gt;0,"✔","-")</f>
        <v>-</v>
      </c>
      <c r="AV82" s="443" t="str">
        <f>IF('Design Fee'!CR84&gt;0,"✔","-")</f>
        <v>-</v>
      </c>
      <c r="AW82" s="452" t="str">
        <f>IF('Design Fee'!CS84&gt;0,"✔","-")</f>
        <v>-</v>
      </c>
      <c r="AX82" s="452" t="str">
        <f>IF('Design Fee'!CT84&gt;0,"✔","-")</f>
        <v>-</v>
      </c>
      <c r="AY82" s="452" t="str">
        <f>IF('Design Fee'!CU84&gt;0,"✔","-")</f>
        <v>-</v>
      </c>
      <c r="AZ82" s="452" t="str">
        <f>IF('Design Fee'!CV84&gt;0,"✔","-")</f>
        <v>-</v>
      </c>
      <c r="BA82" s="452" t="str">
        <f>IF('Design Fee'!CW84&gt;0,"✔","-")</f>
        <v>-</v>
      </c>
      <c r="BB82" s="466" t="str">
        <f>IF('Design Fee'!CX84&gt;0,"✔","-")</f>
        <v>-</v>
      </c>
      <c r="BC82" s="445"/>
      <c r="BD82" s="444" t="str">
        <f>IF('Design Fee'!CZ84&gt;0,"✔","-")</f>
        <v>-</v>
      </c>
      <c r="BE82" s="444" t="str">
        <f>IF('Design Fee'!DA84&gt;0,"✔","-")</f>
        <v>-</v>
      </c>
      <c r="BF82" s="444" t="str">
        <f>IF('Design Fee'!DB84&gt;0,"✔","-")</f>
        <v>-</v>
      </c>
      <c r="BG82" s="444" t="str">
        <f>IF('Design Fee'!DC84&gt;0,"✔","-")</f>
        <v>-</v>
      </c>
      <c r="BH82" s="444" t="str">
        <f>IF('Design Fee'!DD84&gt;0,"✔","-")</f>
        <v>-</v>
      </c>
      <c r="BI82" s="445"/>
      <c r="BJ82" s="441"/>
      <c r="BK82" s="442"/>
      <c r="BL82" s="443" t="str">
        <f>IF('Design Fee'!EA84&gt;0,"✔","-")</f>
        <v>✔</v>
      </c>
      <c r="BM82" s="443" t="str">
        <f>IF('Design Fee'!EB84&gt;0,"✔","-")</f>
        <v>✔</v>
      </c>
      <c r="BN82" s="452" t="str">
        <f>IF('Design Fee'!EC84&gt;0,"✔","-")</f>
        <v>-</v>
      </c>
      <c r="BO82" s="452" t="str">
        <f>IF('Design Fee'!ED84&gt;0,"✔","-")</f>
        <v>✔</v>
      </c>
      <c r="BP82" s="452" t="str">
        <f>IF('Design Fee'!EE84&gt;0,"✔","-")</f>
        <v>✔</v>
      </c>
      <c r="BQ82" s="452" t="str">
        <f>IF('Design Fee'!EF84&gt;0,"✔","-")</f>
        <v>-</v>
      </c>
      <c r="BR82" s="452" t="str">
        <f>IF('Design Fee'!EG84&gt;0,"✔","-")</f>
        <v>-</v>
      </c>
      <c r="BS82" s="466" t="str">
        <f>IF('Design Fee'!EH84&gt;0,"✔","-")</f>
        <v>-</v>
      </c>
      <c r="BT82" s="383"/>
      <c r="BU82" s="444" t="str">
        <f>IF('Design Fee'!EJ84&gt;0,"✔","-")</f>
        <v>✔</v>
      </c>
      <c r="BV82" s="444" t="str">
        <f>IF('Design Fee'!EK84&gt;0,"✔","-")</f>
        <v>-</v>
      </c>
      <c r="BW82" s="444" t="str">
        <f>IF('Design Fee'!EL84&gt;0,"✔","-")</f>
        <v>✔</v>
      </c>
      <c r="BX82" s="444" t="str">
        <f>IF('Design Fee'!EM84&gt;0,"✔","-")</f>
        <v>-</v>
      </c>
      <c r="BY82" s="444" t="str">
        <f>IF('Design Fee'!EN84&gt;0,"✔","-")</f>
        <v>-</v>
      </c>
      <c r="BZ82" s="383"/>
    </row>
    <row r="83" spans="2:78" ht="3" customHeight="1" outlineLevel="1">
      <c r="B83" s="477"/>
      <c r="C83" s="478"/>
      <c r="D83" s="465"/>
      <c r="E83" s="383"/>
      <c r="F83" s="408"/>
      <c r="G83" s="421"/>
      <c r="H83" s="421"/>
      <c r="I83" s="421"/>
      <c r="J83" s="467"/>
      <c r="K83" s="441"/>
      <c r="L83" s="442"/>
      <c r="M83" s="443"/>
      <c r="N83" s="443"/>
      <c r="O83" s="444"/>
      <c r="P83" s="444"/>
      <c r="Q83" s="444"/>
      <c r="R83" s="444"/>
      <c r="S83" s="444"/>
      <c r="T83" s="444"/>
      <c r="U83" s="467"/>
      <c r="V83" s="444"/>
      <c r="W83" s="444"/>
      <c r="X83" s="444"/>
      <c r="Y83" s="444"/>
      <c r="Z83" s="444"/>
      <c r="AA83" s="467"/>
      <c r="AB83" s="441"/>
      <c r="AC83" s="442"/>
      <c r="AD83" s="443"/>
      <c r="AE83" s="443"/>
      <c r="AF83" s="421"/>
      <c r="AG83" s="421"/>
      <c r="AH83" s="421"/>
      <c r="AI83" s="421"/>
      <c r="AJ83" s="421"/>
      <c r="AK83" s="421"/>
      <c r="AL83" s="421"/>
      <c r="AM83" s="421"/>
      <c r="AN83" s="421"/>
      <c r="AO83" s="421"/>
      <c r="AP83" s="421"/>
      <c r="AQ83" s="421"/>
      <c r="AR83" s="421"/>
      <c r="AS83" s="441"/>
      <c r="AT83" s="421"/>
      <c r="AU83" s="443"/>
      <c r="AV83" s="443"/>
      <c r="AW83" s="421"/>
      <c r="AX83" s="421"/>
      <c r="AY83" s="421"/>
      <c r="AZ83" s="421"/>
      <c r="BA83" s="421"/>
      <c r="BB83" s="421"/>
      <c r="BC83" s="421"/>
      <c r="BD83" s="421"/>
      <c r="BE83" s="421"/>
      <c r="BF83" s="421"/>
      <c r="BG83" s="421"/>
      <c r="BH83" s="421"/>
      <c r="BI83" s="421"/>
      <c r="BJ83" s="441"/>
      <c r="BK83" s="421"/>
      <c r="BL83" s="443"/>
      <c r="BM83" s="443"/>
      <c r="BN83" s="421"/>
      <c r="BO83" s="421"/>
      <c r="BP83" s="421"/>
      <c r="BQ83" s="421"/>
      <c r="BR83" s="421"/>
      <c r="BS83" s="421"/>
      <c r="BT83" s="383"/>
      <c r="BU83" s="421"/>
      <c r="BV83" s="421"/>
      <c r="BW83" s="421"/>
      <c r="BX83" s="421"/>
      <c r="BY83" s="421"/>
      <c r="BZ83" s="383"/>
    </row>
    <row r="84" spans="2:78" ht="12.75" outlineLevel="1">
      <c r="B84" s="432">
        <v>7</v>
      </c>
      <c r="C84" s="459">
        <v>4</v>
      </c>
      <c r="D84" s="460" t="s">
        <v>95</v>
      </c>
      <c r="E84" s="434"/>
      <c r="F84" s="461">
        <f>M84+AD84+AU84+BL84</f>
        <v>21</v>
      </c>
      <c r="G84" s="461">
        <f t="shared" ref="G84:I84" si="145">N84+AE84+AV84+BM84</f>
        <v>21</v>
      </c>
      <c r="H84" s="461">
        <f t="shared" si="145"/>
        <v>20</v>
      </c>
      <c r="I84" s="461">
        <f t="shared" si="145"/>
        <v>1</v>
      </c>
      <c r="J84" s="438">
        <f t="shared" ref="J84" si="146">COUNT(J85:J94)</f>
        <v>0</v>
      </c>
      <c r="K84" s="435"/>
      <c r="L84" s="435"/>
      <c r="M84" s="461">
        <f>COUNTIF(M85:M94,"✔")</f>
        <v>10</v>
      </c>
      <c r="N84" s="461">
        <f t="shared" ref="N84" si="147">COUNTIF(N85:N94,"✔")</f>
        <v>10</v>
      </c>
      <c r="O84" s="461">
        <f t="shared" ref="O84" si="148">COUNTIF(O85:O94,"✔")</f>
        <v>10</v>
      </c>
      <c r="P84" s="461">
        <f t="shared" ref="P84" si="149">COUNTIF(P85:P94,"✔")</f>
        <v>0</v>
      </c>
      <c r="Q84" s="461">
        <f t="shared" ref="Q84" si="150">COUNTIF(Q85:Q94,"✔")</f>
        <v>0</v>
      </c>
      <c r="R84" s="461">
        <f t="shared" ref="R84" si="151">COUNTIF(R85:R94,"✔")</f>
        <v>0</v>
      </c>
      <c r="S84" s="461">
        <f t="shared" ref="S84" si="152">COUNTIF(S85:S94,"✔")</f>
        <v>0</v>
      </c>
      <c r="T84" s="461">
        <f t="shared" ref="T84" si="153">COUNTIF(T85:T94,"✔")</f>
        <v>0</v>
      </c>
      <c r="U84" s="461">
        <f t="shared" ref="U84" si="154">COUNTIF(U85:U94,"✔")</f>
        <v>0</v>
      </c>
      <c r="V84" s="461">
        <f t="shared" ref="V84" si="155">COUNTIF(V85:V94,"✔")</f>
        <v>0</v>
      </c>
      <c r="W84" s="461">
        <f t="shared" ref="W84" si="156">COUNTIF(W85:W94,"✔")</f>
        <v>0</v>
      </c>
      <c r="X84" s="461">
        <f t="shared" ref="X84" si="157">COUNTIF(X85:X94,"✔")</f>
        <v>0</v>
      </c>
      <c r="Y84" s="461">
        <f t="shared" ref="Y84" si="158">COUNTIF(Y85:Y94,"✔")</f>
        <v>0</v>
      </c>
      <c r="Z84" s="461">
        <f t="shared" ref="Z84" si="159">COUNTIF(Z85:Z94,"✔")</f>
        <v>0</v>
      </c>
      <c r="AA84" s="461">
        <f t="shared" ref="AA84" si="160">COUNTIF(AA85:AA94,"✔")</f>
        <v>0</v>
      </c>
      <c r="AB84" s="435"/>
      <c r="AC84" s="461">
        <f t="shared" ref="AC84" si="161">COUNTIF(AC85:AC94,"✔")</f>
        <v>0</v>
      </c>
      <c r="AD84" s="461">
        <f t="shared" ref="AD84" si="162">COUNTIF(AD85:AD94,"✔")</f>
        <v>7</v>
      </c>
      <c r="AE84" s="461">
        <f t="shared" ref="AE84" si="163">COUNTIF(AE85:AE94,"✔")</f>
        <v>7</v>
      </c>
      <c r="AF84" s="461">
        <f t="shared" ref="AF84" si="164">COUNTIF(AF85:AF94,"✔")</f>
        <v>7</v>
      </c>
      <c r="AG84" s="461">
        <f t="shared" ref="AG84" si="165">COUNTIF(AG85:AG94,"✔")</f>
        <v>0</v>
      </c>
      <c r="AH84" s="461">
        <f t="shared" ref="AH84" si="166">COUNTIF(AH85:AH94,"✔")</f>
        <v>0</v>
      </c>
      <c r="AI84" s="461">
        <f t="shared" ref="AI84" si="167">COUNTIF(AI85:AI94,"✔")</f>
        <v>0</v>
      </c>
      <c r="AJ84" s="461">
        <f t="shared" ref="AJ84" si="168">COUNTIF(AJ85:AJ94,"✔")</f>
        <v>0</v>
      </c>
      <c r="AK84" s="461">
        <f t="shared" ref="AK84" si="169">COUNTIF(AK85:AK94,"✔")</f>
        <v>0</v>
      </c>
      <c r="AL84" s="461">
        <f t="shared" ref="AL84" si="170">COUNTIF(AL85:AL94,"✔")</f>
        <v>0</v>
      </c>
      <c r="AM84" s="461">
        <f t="shared" ref="AM84" si="171">COUNTIF(AM85:AM94,"✔")</f>
        <v>0</v>
      </c>
      <c r="AN84" s="461">
        <f t="shared" ref="AN84" si="172">COUNTIF(AN85:AN94,"✔")</f>
        <v>0</v>
      </c>
      <c r="AO84" s="461">
        <f t="shared" ref="AO84" si="173">COUNTIF(AO85:AO94,"✔")</f>
        <v>0</v>
      </c>
      <c r="AP84" s="461">
        <f t="shared" ref="AP84" si="174">COUNTIF(AP85:AP94,"✔")</f>
        <v>0</v>
      </c>
      <c r="AQ84" s="461">
        <f t="shared" ref="AQ84" si="175">COUNTIF(AQ85:AQ94,"✔")</f>
        <v>0</v>
      </c>
      <c r="AR84" s="461">
        <f t="shared" ref="AR84" si="176">COUNTIF(AR85:AR94,"✔")</f>
        <v>0</v>
      </c>
      <c r="AS84" s="435"/>
      <c r="AT84" s="461">
        <f t="shared" ref="AT84" si="177">COUNTIF(AT85:AT94,"✔")</f>
        <v>0</v>
      </c>
      <c r="AU84" s="461">
        <f t="shared" ref="AU84" si="178">COUNTIF(AU85:AU94,"✔")</f>
        <v>4</v>
      </c>
      <c r="AV84" s="461">
        <f t="shared" ref="AV84" si="179">COUNTIF(AV85:AV94,"✔")</f>
        <v>4</v>
      </c>
      <c r="AW84" s="461">
        <f t="shared" ref="AW84" si="180">COUNTIF(AW85:AW94,"✔")</f>
        <v>3</v>
      </c>
      <c r="AX84" s="461">
        <f t="shared" ref="AX84" si="181">COUNTIF(AX85:AX94,"✔")</f>
        <v>1</v>
      </c>
      <c r="AY84" s="461">
        <f t="shared" ref="AY84" si="182">COUNTIF(AY85:AY94,"✔")</f>
        <v>1</v>
      </c>
      <c r="AZ84" s="461">
        <f t="shared" ref="AZ84" si="183">COUNTIF(AZ85:AZ94,"✔")</f>
        <v>0</v>
      </c>
      <c r="BA84" s="461">
        <f t="shared" ref="BA84" si="184">COUNTIF(BA85:BA94,"✔")</f>
        <v>0</v>
      </c>
      <c r="BB84" s="461">
        <f t="shared" ref="BB84" si="185">COUNTIF(BB85:BB94,"✔")</f>
        <v>0</v>
      </c>
      <c r="BC84" s="461">
        <f t="shared" ref="BC84" si="186">COUNTIF(BC85:BC94,"✔")</f>
        <v>0</v>
      </c>
      <c r="BD84" s="461">
        <f t="shared" ref="BD84" si="187">COUNTIF(BD85:BD94,"✔")</f>
        <v>1</v>
      </c>
      <c r="BE84" s="461">
        <f t="shared" ref="BE84" si="188">COUNTIF(BE85:BE94,"✔")</f>
        <v>0</v>
      </c>
      <c r="BF84" s="461">
        <f t="shared" ref="BF84" si="189">COUNTIF(BF85:BF94,"✔")</f>
        <v>1</v>
      </c>
      <c r="BG84" s="461">
        <f t="shared" ref="BG84" si="190">COUNTIF(BG85:BG94,"✔")</f>
        <v>0</v>
      </c>
      <c r="BH84" s="461">
        <f t="shared" ref="BH84" si="191">COUNTIF(BH85:BH94,"✔")</f>
        <v>0</v>
      </c>
      <c r="BI84" s="461">
        <f t="shared" ref="BI84" si="192">COUNTIF(BI85:BI94,"✔")</f>
        <v>0</v>
      </c>
      <c r="BJ84" s="435"/>
      <c r="BK84" s="461">
        <f t="shared" ref="BK84" si="193">COUNTIF(BK85:BK94,"✔")</f>
        <v>0</v>
      </c>
      <c r="BL84" s="461">
        <f t="shared" ref="BL84" si="194">COUNTIF(BL85:BL94,"✔")</f>
        <v>0</v>
      </c>
      <c r="BM84" s="461">
        <f t="shared" ref="BM84" si="195">COUNTIF(BM85:BM94,"✔")</f>
        <v>0</v>
      </c>
      <c r="BN84" s="461">
        <f t="shared" ref="BN84" si="196">COUNTIF(BN85:BN94,"✔")</f>
        <v>0</v>
      </c>
      <c r="BO84" s="461">
        <f t="shared" ref="BO84" si="197">COUNTIF(BO85:BO94,"✔")</f>
        <v>0</v>
      </c>
      <c r="BP84" s="461">
        <f t="shared" ref="BP84" si="198">COUNTIF(BP85:BP94,"✔")</f>
        <v>0</v>
      </c>
      <c r="BQ84" s="461">
        <f t="shared" ref="BQ84" si="199">COUNTIF(BQ85:BQ94,"✔")</f>
        <v>0</v>
      </c>
      <c r="BR84" s="461">
        <f t="shared" ref="BR84" si="200">COUNTIF(BR85:BR94,"✔")</f>
        <v>0</v>
      </c>
      <c r="BS84" s="461">
        <f t="shared" ref="BS84" si="201">COUNTIF(BS85:BS94,"✔")</f>
        <v>0</v>
      </c>
      <c r="BT84" s="383"/>
      <c r="BU84" s="461">
        <f t="shared" ref="BU84" si="202">COUNTIF(BU85:BU94,"✔")</f>
        <v>0</v>
      </c>
      <c r="BV84" s="461">
        <f t="shared" ref="BV84" si="203">COUNTIF(BV85:BV94,"✔")</f>
        <v>0</v>
      </c>
      <c r="BW84" s="461">
        <f t="shared" ref="BW84" si="204">COUNTIF(BW85:BW94,"✔")</f>
        <v>0</v>
      </c>
      <c r="BX84" s="461">
        <f t="shared" ref="BX84" si="205">COUNTIF(BX85:BX94,"✔")</f>
        <v>0</v>
      </c>
      <c r="BY84" s="461">
        <f t="shared" ref="BY84" si="206">COUNTIF(BY85:BY94,"✔")</f>
        <v>0</v>
      </c>
      <c r="BZ84" s="383"/>
    </row>
    <row r="85" spans="2:78" ht="12.75" outlineLevel="2">
      <c r="B85" s="463" t="s">
        <v>96</v>
      </c>
      <c r="C85" s="464">
        <v>1</v>
      </c>
      <c r="D85" s="465" t="s">
        <v>52</v>
      </c>
      <c r="E85" s="383"/>
      <c r="F85" s="443">
        <f t="shared" ref="F85:F94" si="207">COUNTIF(M85,"✔")+COUNTIF(AD85,"✔")+COUNTIF(BL85,"✔")+COUNTIF(AU85,"✔")</f>
        <v>3</v>
      </c>
      <c r="G85" s="444">
        <f t="shared" ref="G85:H94" si="208">COUNTIF(N85,"✔")+COUNTIF(AE85,"✔")+COUNTIF(BM85,"✔")+COUNTIF(AV85,"✔")</f>
        <v>3</v>
      </c>
      <c r="H85" s="444">
        <f t="shared" si="208"/>
        <v>3</v>
      </c>
      <c r="I85" s="444">
        <f t="shared" ref="I85:I94" si="209">F85-G85</f>
        <v>0</v>
      </c>
      <c r="J85" s="430"/>
      <c r="K85" s="441"/>
      <c r="L85" s="442"/>
      <c r="M85" s="443" t="str">
        <f>IF('Design Fee'!W87&gt;0,"✔","-")</f>
        <v>✔</v>
      </c>
      <c r="N85" s="443" t="str">
        <f>IF('Design Fee'!X87&gt;0,"✔","-")</f>
        <v>✔</v>
      </c>
      <c r="O85" s="444" t="str">
        <f>IF('Design Fee'!Y87&gt;0,"✔","-")</f>
        <v>✔</v>
      </c>
      <c r="P85" s="444" t="str">
        <f>IF('Design Fee'!Z87&gt;0,"✔","-")</f>
        <v>-</v>
      </c>
      <c r="Q85" s="444" t="str">
        <f>IF('Design Fee'!AA87&gt;0,"✔","-")</f>
        <v>-</v>
      </c>
      <c r="R85" s="444" t="str">
        <f>IF('Design Fee'!AB87&gt;0,"✔","-")</f>
        <v>-</v>
      </c>
      <c r="S85" s="444" t="str">
        <f>IF('Design Fee'!AC87&gt;0,"✔","-")</f>
        <v>-</v>
      </c>
      <c r="T85" s="466" t="str">
        <f>IF('Design Fee'!AD87&gt;0,"✔","-")</f>
        <v>-</v>
      </c>
      <c r="U85" s="430"/>
      <c r="V85" s="444" t="str">
        <f>IF('Design Fee'!AF87&gt;0,"✔","-")</f>
        <v>-</v>
      </c>
      <c r="W85" s="444" t="str">
        <f>IF('Design Fee'!AG87&gt;0,"✔","-")</f>
        <v>-</v>
      </c>
      <c r="X85" s="444" t="str">
        <f>IF('Design Fee'!AH87&gt;0,"✔","-")</f>
        <v>-</v>
      </c>
      <c r="Y85" s="444" t="str">
        <f>IF('Design Fee'!AI87&gt;0,"✔","-")</f>
        <v>-</v>
      </c>
      <c r="Z85" s="444" t="str">
        <f>IF('Design Fee'!AJ87&gt;0,"✔","-")</f>
        <v>-</v>
      </c>
      <c r="AA85" s="430"/>
      <c r="AB85" s="441"/>
      <c r="AC85" s="442"/>
      <c r="AD85" s="443" t="str">
        <f>IF('Design Fee'!BG87&gt;0,"✔","-")</f>
        <v>✔</v>
      </c>
      <c r="AE85" s="443" t="str">
        <f>IF('Design Fee'!BH87&gt;0,"✔","-")</f>
        <v>✔</v>
      </c>
      <c r="AF85" s="444" t="str">
        <f>IF('Design Fee'!BI87&gt;0,"✔","-")</f>
        <v>✔</v>
      </c>
      <c r="AG85" s="444" t="str">
        <f>IF('Design Fee'!BJ87&gt;0,"✔","-")</f>
        <v>-</v>
      </c>
      <c r="AH85" s="444" t="str">
        <f>IF('Design Fee'!BK87&gt;0,"✔","-")</f>
        <v>-</v>
      </c>
      <c r="AI85" s="444" t="str">
        <f>IF('Design Fee'!BL87&gt;0,"✔","-")</f>
        <v>-</v>
      </c>
      <c r="AJ85" s="444" t="str">
        <f>IF('Design Fee'!BM87&gt;0,"✔","-")</f>
        <v>-</v>
      </c>
      <c r="AK85" s="466" t="str">
        <f>IF('Design Fee'!BN87&gt;0,"✔","-")</f>
        <v>-</v>
      </c>
      <c r="AL85" s="445"/>
      <c r="AM85" s="444" t="str">
        <f>IF('Design Fee'!BP87&gt;0,"✔","-")</f>
        <v>-</v>
      </c>
      <c r="AN85" s="444" t="str">
        <f>IF('Design Fee'!BQ87&gt;0,"✔","-")</f>
        <v>-</v>
      </c>
      <c r="AO85" s="444" t="str">
        <f>IF('Design Fee'!BR87&gt;0,"✔","-")</f>
        <v>-</v>
      </c>
      <c r="AP85" s="444" t="str">
        <f>IF('Design Fee'!BS87&gt;0,"✔","-")</f>
        <v>-</v>
      </c>
      <c r="AQ85" s="444" t="str">
        <f>IF('Design Fee'!BT87&gt;0,"✔","-")</f>
        <v>-</v>
      </c>
      <c r="AR85" s="445"/>
      <c r="AS85" s="441"/>
      <c r="AT85" s="442"/>
      <c r="AU85" s="443" t="str">
        <f>IF('Design Fee'!CQ87&gt;0,"✔","-")</f>
        <v>✔</v>
      </c>
      <c r="AV85" s="443" t="str">
        <f>IF('Design Fee'!CR87&gt;0,"✔","-")</f>
        <v>✔</v>
      </c>
      <c r="AW85" s="444" t="str">
        <f>IF('Design Fee'!CS87&gt;0,"✔","-")</f>
        <v>✔</v>
      </c>
      <c r="AX85" s="444" t="str">
        <f>IF('Design Fee'!CT87&gt;0,"✔","-")</f>
        <v>-</v>
      </c>
      <c r="AY85" s="444" t="str">
        <f>IF('Design Fee'!CU87&gt;0,"✔","-")</f>
        <v>-</v>
      </c>
      <c r="AZ85" s="444" t="str">
        <f>IF('Design Fee'!CV87&gt;0,"✔","-")</f>
        <v>-</v>
      </c>
      <c r="BA85" s="444" t="str">
        <f>IF('Design Fee'!CW87&gt;0,"✔","-")</f>
        <v>-</v>
      </c>
      <c r="BB85" s="466" t="str">
        <f>IF('Design Fee'!CX87&gt;0,"✔","-")</f>
        <v>-</v>
      </c>
      <c r="BC85" s="445"/>
      <c r="BD85" s="444" t="str">
        <f>IF('Design Fee'!CZ87&gt;0,"✔","-")</f>
        <v>-</v>
      </c>
      <c r="BE85" s="444" t="str">
        <f>IF('Design Fee'!DA87&gt;0,"✔","-")</f>
        <v>-</v>
      </c>
      <c r="BF85" s="444" t="str">
        <f>IF('Design Fee'!DB87&gt;0,"✔","-")</f>
        <v>-</v>
      </c>
      <c r="BG85" s="444" t="str">
        <f>IF('Design Fee'!DC87&gt;0,"✔","-")</f>
        <v>-</v>
      </c>
      <c r="BH85" s="444" t="str">
        <f>IF('Design Fee'!DD87&gt;0,"✔","-")</f>
        <v>-</v>
      </c>
      <c r="BI85" s="445"/>
      <c r="BJ85" s="441"/>
      <c r="BK85" s="442"/>
      <c r="BL85" s="443" t="str">
        <f>IF('Design Fee'!EA87&gt;0,"✔","-")</f>
        <v>-</v>
      </c>
      <c r="BM85" s="443" t="str">
        <f>IF('Design Fee'!EB87&gt;0,"✔","-")</f>
        <v>-</v>
      </c>
      <c r="BN85" s="444" t="str">
        <f>IF('Design Fee'!EC87&gt;0,"✔","-")</f>
        <v>-</v>
      </c>
      <c r="BO85" s="444" t="str">
        <f>IF('Design Fee'!ED87&gt;0,"✔","-")</f>
        <v>-</v>
      </c>
      <c r="BP85" s="444" t="str">
        <f>IF('Design Fee'!EE87&gt;0,"✔","-")</f>
        <v>-</v>
      </c>
      <c r="BQ85" s="444" t="str">
        <f>IF('Design Fee'!EF87&gt;0,"✔","-")</f>
        <v>-</v>
      </c>
      <c r="BR85" s="444" t="str">
        <f>IF('Design Fee'!EG87&gt;0,"✔","-")</f>
        <v>-</v>
      </c>
      <c r="BS85" s="466" t="str">
        <f>IF('Design Fee'!EH87&gt;0,"✔","-")</f>
        <v>-</v>
      </c>
      <c r="BT85" s="383"/>
      <c r="BU85" s="444" t="str">
        <f>IF('Design Fee'!EJ87&gt;0,"✔","-")</f>
        <v>-</v>
      </c>
      <c r="BV85" s="444" t="str">
        <f>IF('Design Fee'!EK87&gt;0,"✔","-")</f>
        <v>-</v>
      </c>
      <c r="BW85" s="444" t="str">
        <f>IF('Design Fee'!EL87&gt;0,"✔","-")</f>
        <v>-</v>
      </c>
      <c r="BX85" s="444" t="str">
        <f>IF('Design Fee'!EM87&gt;0,"✔","-")</f>
        <v>-</v>
      </c>
      <c r="BY85" s="444" t="str">
        <f>IF('Design Fee'!EN87&gt;0,"✔","-")</f>
        <v>-</v>
      </c>
      <c r="BZ85" s="383"/>
    </row>
    <row r="86" spans="2:78" ht="12.75" outlineLevel="2">
      <c r="B86" s="463" t="s">
        <v>97</v>
      </c>
      <c r="C86" s="464">
        <v>2</v>
      </c>
      <c r="D86" s="465" t="s">
        <v>54</v>
      </c>
      <c r="E86" s="383"/>
      <c r="F86" s="443">
        <f t="shared" si="207"/>
        <v>2</v>
      </c>
      <c r="G86" s="444">
        <f t="shared" si="208"/>
        <v>2</v>
      </c>
      <c r="H86" s="444">
        <f t="shared" si="208"/>
        <v>2</v>
      </c>
      <c r="I86" s="444">
        <f t="shared" si="209"/>
        <v>0</v>
      </c>
      <c r="J86" s="467"/>
      <c r="K86" s="441"/>
      <c r="L86" s="442"/>
      <c r="M86" s="443" t="str">
        <f>IF('Design Fee'!W88&gt;0,"✔","-")</f>
        <v>✔</v>
      </c>
      <c r="N86" s="443" t="str">
        <f>IF('Design Fee'!X88&gt;0,"✔","-")</f>
        <v>✔</v>
      </c>
      <c r="O86" s="444" t="str">
        <f>IF('Design Fee'!Y88&gt;0,"✔","-")</f>
        <v>✔</v>
      </c>
      <c r="P86" s="444" t="str">
        <f>IF('Design Fee'!Z88&gt;0,"✔","-")</f>
        <v>-</v>
      </c>
      <c r="Q86" s="444" t="str">
        <f>IF('Design Fee'!AA88&gt;0,"✔","-")</f>
        <v>-</v>
      </c>
      <c r="R86" s="444" t="str">
        <f>IF('Design Fee'!AB88&gt;0,"✔","-")</f>
        <v>-</v>
      </c>
      <c r="S86" s="444" t="str">
        <f>IF('Design Fee'!AC88&gt;0,"✔","-")</f>
        <v>-</v>
      </c>
      <c r="T86" s="466" t="str">
        <f>IF('Design Fee'!AD88&gt;0,"✔","-")</f>
        <v>-</v>
      </c>
      <c r="U86" s="467"/>
      <c r="V86" s="444" t="str">
        <f>IF('Design Fee'!AF88&gt;0,"✔","-")</f>
        <v>-</v>
      </c>
      <c r="W86" s="444" t="str">
        <f>IF('Design Fee'!AG88&gt;0,"✔","-")</f>
        <v>-</v>
      </c>
      <c r="X86" s="444" t="str">
        <f>IF('Design Fee'!AH88&gt;0,"✔","-")</f>
        <v>-</v>
      </c>
      <c r="Y86" s="444" t="str">
        <f>IF('Design Fee'!AI88&gt;0,"✔","-")</f>
        <v>-</v>
      </c>
      <c r="Z86" s="444" t="str">
        <f>IF('Design Fee'!AJ88&gt;0,"✔","-")</f>
        <v>-</v>
      </c>
      <c r="AA86" s="467"/>
      <c r="AB86" s="441"/>
      <c r="AC86" s="442"/>
      <c r="AD86" s="443" t="str">
        <f>IF('Design Fee'!BG88&gt;0,"✔","-")</f>
        <v>✔</v>
      </c>
      <c r="AE86" s="443" t="str">
        <f>IF('Design Fee'!BH88&gt;0,"✔","-")</f>
        <v>✔</v>
      </c>
      <c r="AF86" s="444" t="str">
        <f>IF('Design Fee'!BI88&gt;0,"✔","-")</f>
        <v>✔</v>
      </c>
      <c r="AG86" s="444" t="str">
        <f>IF('Design Fee'!BJ88&gt;0,"✔","-")</f>
        <v>-</v>
      </c>
      <c r="AH86" s="444" t="str">
        <f>IF('Design Fee'!BK88&gt;0,"✔","-")</f>
        <v>-</v>
      </c>
      <c r="AI86" s="444" t="str">
        <f>IF('Design Fee'!BL88&gt;0,"✔","-")</f>
        <v>-</v>
      </c>
      <c r="AJ86" s="444" t="str">
        <f>IF('Design Fee'!BM88&gt;0,"✔","-")</f>
        <v>-</v>
      </c>
      <c r="AK86" s="466" t="str">
        <f>IF('Design Fee'!BN88&gt;0,"✔","-")</f>
        <v>-</v>
      </c>
      <c r="AL86" s="445"/>
      <c r="AM86" s="444" t="str">
        <f>IF('Design Fee'!BP88&gt;0,"✔","-")</f>
        <v>-</v>
      </c>
      <c r="AN86" s="444" t="str">
        <f>IF('Design Fee'!BQ88&gt;0,"✔","-")</f>
        <v>-</v>
      </c>
      <c r="AO86" s="444" t="str">
        <f>IF('Design Fee'!BR88&gt;0,"✔","-")</f>
        <v>-</v>
      </c>
      <c r="AP86" s="444" t="str">
        <f>IF('Design Fee'!BS88&gt;0,"✔","-")</f>
        <v>-</v>
      </c>
      <c r="AQ86" s="444" t="str">
        <f>IF('Design Fee'!BT88&gt;0,"✔","-")</f>
        <v>-</v>
      </c>
      <c r="AR86" s="445"/>
      <c r="AS86" s="441"/>
      <c r="AT86" s="442"/>
      <c r="AU86" s="443" t="str">
        <f>IF('Design Fee'!CQ88&gt;0,"✔","-")</f>
        <v>-</v>
      </c>
      <c r="AV86" s="443" t="str">
        <f>IF('Design Fee'!CR88&gt;0,"✔","-")</f>
        <v>-</v>
      </c>
      <c r="AW86" s="444" t="str">
        <f>IF('Design Fee'!CS88&gt;0,"✔","-")</f>
        <v>-</v>
      </c>
      <c r="AX86" s="444" t="str">
        <f>IF('Design Fee'!CT88&gt;0,"✔","-")</f>
        <v>-</v>
      </c>
      <c r="AY86" s="444" t="str">
        <f>IF('Design Fee'!CU88&gt;0,"✔","-")</f>
        <v>-</v>
      </c>
      <c r="AZ86" s="444" t="str">
        <f>IF('Design Fee'!CV88&gt;0,"✔","-")</f>
        <v>-</v>
      </c>
      <c r="BA86" s="444" t="str">
        <f>IF('Design Fee'!CW88&gt;0,"✔","-")</f>
        <v>-</v>
      </c>
      <c r="BB86" s="466" t="str">
        <f>IF('Design Fee'!CX88&gt;0,"✔","-")</f>
        <v>-</v>
      </c>
      <c r="BC86" s="445"/>
      <c r="BD86" s="444" t="str">
        <f>IF('Design Fee'!CZ88&gt;0,"✔","-")</f>
        <v>-</v>
      </c>
      <c r="BE86" s="444" t="str">
        <f>IF('Design Fee'!DA88&gt;0,"✔","-")</f>
        <v>-</v>
      </c>
      <c r="BF86" s="444" t="str">
        <f>IF('Design Fee'!DB88&gt;0,"✔","-")</f>
        <v>-</v>
      </c>
      <c r="BG86" s="444" t="str">
        <f>IF('Design Fee'!DC88&gt;0,"✔","-")</f>
        <v>-</v>
      </c>
      <c r="BH86" s="444" t="str">
        <f>IF('Design Fee'!DD88&gt;0,"✔","-")</f>
        <v>-</v>
      </c>
      <c r="BI86" s="445"/>
      <c r="BJ86" s="441"/>
      <c r="BK86" s="442"/>
      <c r="BL86" s="443" t="str">
        <f>IF('Design Fee'!EA88&gt;0,"✔","-")</f>
        <v>-</v>
      </c>
      <c r="BM86" s="443" t="str">
        <f>IF('Design Fee'!EB88&gt;0,"✔","-")</f>
        <v>-</v>
      </c>
      <c r="BN86" s="444" t="str">
        <f>IF('Design Fee'!EC88&gt;0,"✔","-")</f>
        <v>-</v>
      </c>
      <c r="BO86" s="444" t="str">
        <f>IF('Design Fee'!ED88&gt;0,"✔","-")</f>
        <v>-</v>
      </c>
      <c r="BP86" s="444" t="str">
        <f>IF('Design Fee'!EE88&gt;0,"✔","-")</f>
        <v>-</v>
      </c>
      <c r="BQ86" s="444" t="str">
        <f>IF('Design Fee'!EF88&gt;0,"✔","-")</f>
        <v>-</v>
      </c>
      <c r="BR86" s="444" t="str">
        <f>IF('Design Fee'!EG88&gt;0,"✔","-")</f>
        <v>-</v>
      </c>
      <c r="BS86" s="466" t="str">
        <f>IF('Design Fee'!EH88&gt;0,"✔","-")</f>
        <v>-</v>
      </c>
      <c r="BT86" s="383"/>
      <c r="BU86" s="444" t="str">
        <f>IF('Design Fee'!EJ88&gt;0,"✔","-")</f>
        <v>-</v>
      </c>
      <c r="BV86" s="444" t="str">
        <f>IF('Design Fee'!EK88&gt;0,"✔","-")</f>
        <v>-</v>
      </c>
      <c r="BW86" s="444" t="str">
        <f>IF('Design Fee'!EL88&gt;0,"✔","-")</f>
        <v>-</v>
      </c>
      <c r="BX86" s="444" t="str">
        <f>IF('Design Fee'!EM88&gt;0,"✔","-")</f>
        <v>-</v>
      </c>
      <c r="BY86" s="444" t="str">
        <f>IF('Design Fee'!EN88&gt;0,"✔","-")</f>
        <v>-</v>
      </c>
      <c r="BZ86" s="383"/>
    </row>
    <row r="87" spans="2:78" ht="12.75" outlineLevel="2">
      <c r="B87" s="463" t="s">
        <v>98</v>
      </c>
      <c r="C87" s="464">
        <v>3</v>
      </c>
      <c r="D87" s="465" t="s">
        <v>56</v>
      </c>
      <c r="E87" s="383"/>
      <c r="F87" s="443">
        <f t="shared" si="207"/>
        <v>1</v>
      </c>
      <c r="G87" s="444">
        <f t="shared" si="208"/>
        <v>1</v>
      </c>
      <c r="H87" s="444">
        <f t="shared" si="208"/>
        <v>1</v>
      </c>
      <c r="I87" s="444">
        <f t="shared" si="209"/>
        <v>0</v>
      </c>
      <c r="J87" s="467"/>
      <c r="K87" s="441"/>
      <c r="L87" s="442"/>
      <c r="M87" s="443" t="str">
        <f>IF('Design Fee'!W89&gt;0,"✔","-")</f>
        <v>✔</v>
      </c>
      <c r="N87" s="443" t="str">
        <f>IF('Design Fee'!X89&gt;0,"✔","-")</f>
        <v>✔</v>
      </c>
      <c r="O87" s="444" t="str">
        <f>IF('Design Fee'!Y89&gt;0,"✔","-")</f>
        <v>✔</v>
      </c>
      <c r="P87" s="444" t="str">
        <f>IF('Design Fee'!Z89&gt;0,"✔","-")</f>
        <v>-</v>
      </c>
      <c r="Q87" s="444" t="str">
        <f>IF('Design Fee'!AA89&gt;0,"✔","-")</f>
        <v>-</v>
      </c>
      <c r="R87" s="444" t="str">
        <f>IF('Design Fee'!AB89&gt;0,"✔","-")</f>
        <v>-</v>
      </c>
      <c r="S87" s="444" t="str">
        <f>IF('Design Fee'!AC89&gt;0,"✔","-")</f>
        <v>-</v>
      </c>
      <c r="T87" s="466" t="str">
        <f>IF('Design Fee'!AD89&gt;0,"✔","-")</f>
        <v>-</v>
      </c>
      <c r="U87" s="467"/>
      <c r="V87" s="444" t="str">
        <f>IF('Design Fee'!AF89&gt;0,"✔","-")</f>
        <v>-</v>
      </c>
      <c r="W87" s="444" t="str">
        <f>IF('Design Fee'!AG89&gt;0,"✔","-")</f>
        <v>-</v>
      </c>
      <c r="X87" s="444" t="str">
        <f>IF('Design Fee'!AH89&gt;0,"✔","-")</f>
        <v>-</v>
      </c>
      <c r="Y87" s="444" t="str">
        <f>IF('Design Fee'!AI89&gt;0,"✔","-")</f>
        <v>-</v>
      </c>
      <c r="Z87" s="444" t="str">
        <f>IF('Design Fee'!AJ89&gt;0,"✔","-")</f>
        <v>-</v>
      </c>
      <c r="AA87" s="467"/>
      <c r="AB87" s="441"/>
      <c r="AC87" s="442"/>
      <c r="AD87" s="443" t="str">
        <f>IF('Design Fee'!BG89&gt;0,"✔","-")</f>
        <v>-</v>
      </c>
      <c r="AE87" s="443" t="str">
        <f>IF('Design Fee'!BH89&gt;0,"✔","-")</f>
        <v>-</v>
      </c>
      <c r="AF87" s="444" t="str">
        <f>IF('Design Fee'!BI89&gt;0,"✔","-")</f>
        <v>-</v>
      </c>
      <c r="AG87" s="444" t="str">
        <f>IF('Design Fee'!BJ89&gt;0,"✔","-")</f>
        <v>-</v>
      </c>
      <c r="AH87" s="444" t="str">
        <f>IF('Design Fee'!BK89&gt;0,"✔","-")</f>
        <v>-</v>
      </c>
      <c r="AI87" s="444" t="str">
        <f>IF('Design Fee'!BL89&gt;0,"✔","-")</f>
        <v>-</v>
      </c>
      <c r="AJ87" s="444" t="str">
        <f>IF('Design Fee'!BM89&gt;0,"✔","-")</f>
        <v>-</v>
      </c>
      <c r="AK87" s="466" t="str">
        <f>IF('Design Fee'!BN89&gt;0,"✔","-")</f>
        <v>-</v>
      </c>
      <c r="AL87" s="445"/>
      <c r="AM87" s="444" t="str">
        <f>IF('Design Fee'!BP89&gt;0,"✔","-")</f>
        <v>-</v>
      </c>
      <c r="AN87" s="444" t="str">
        <f>IF('Design Fee'!BQ89&gt;0,"✔","-")</f>
        <v>-</v>
      </c>
      <c r="AO87" s="444" t="str">
        <f>IF('Design Fee'!BR89&gt;0,"✔","-")</f>
        <v>-</v>
      </c>
      <c r="AP87" s="444" t="str">
        <f>IF('Design Fee'!BS89&gt;0,"✔","-")</f>
        <v>-</v>
      </c>
      <c r="AQ87" s="444" t="str">
        <f>IF('Design Fee'!BT89&gt;0,"✔","-")</f>
        <v>-</v>
      </c>
      <c r="AR87" s="445"/>
      <c r="AS87" s="441"/>
      <c r="AT87" s="442"/>
      <c r="AU87" s="443" t="str">
        <f>IF('Design Fee'!CQ89&gt;0,"✔","-")</f>
        <v>-</v>
      </c>
      <c r="AV87" s="443" t="str">
        <f>IF('Design Fee'!CR89&gt;0,"✔","-")</f>
        <v>-</v>
      </c>
      <c r="AW87" s="444" t="str">
        <f>IF('Design Fee'!CS89&gt;0,"✔","-")</f>
        <v>-</v>
      </c>
      <c r="AX87" s="444" t="str">
        <f>IF('Design Fee'!CT89&gt;0,"✔","-")</f>
        <v>-</v>
      </c>
      <c r="AY87" s="444" t="str">
        <f>IF('Design Fee'!CU89&gt;0,"✔","-")</f>
        <v>-</v>
      </c>
      <c r="AZ87" s="444" t="str">
        <f>IF('Design Fee'!CV89&gt;0,"✔","-")</f>
        <v>-</v>
      </c>
      <c r="BA87" s="444" t="str">
        <f>IF('Design Fee'!CW89&gt;0,"✔","-")</f>
        <v>-</v>
      </c>
      <c r="BB87" s="466" t="str">
        <f>IF('Design Fee'!CX89&gt;0,"✔","-")</f>
        <v>-</v>
      </c>
      <c r="BC87" s="445"/>
      <c r="BD87" s="444" t="str">
        <f>IF('Design Fee'!CZ89&gt;0,"✔","-")</f>
        <v>-</v>
      </c>
      <c r="BE87" s="444" t="str">
        <f>IF('Design Fee'!DA89&gt;0,"✔","-")</f>
        <v>-</v>
      </c>
      <c r="BF87" s="444" t="str">
        <f>IF('Design Fee'!DB89&gt;0,"✔","-")</f>
        <v>-</v>
      </c>
      <c r="BG87" s="444" t="str">
        <f>IF('Design Fee'!DC89&gt;0,"✔","-")</f>
        <v>-</v>
      </c>
      <c r="BH87" s="444" t="str">
        <f>IF('Design Fee'!DD89&gt;0,"✔","-")</f>
        <v>-</v>
      </c>
      <c r="BI87" s="445"/>
      <c r="BJ87" s="441"/>
      <c r="BK87" s="442"/>
      <c r="BL87" s="443" t="str">
        <f>IF('Design Fee'!EA89&gt;0,"✔","-")</f>
        <v>-</v>
      </c>
      <c r="BM87" s="443" t="str">
        <f>IF('Design Fee'!EB89&gt;0,"✔","-")</f>
        <v>-</v>
      </c>
      <c r="BN87" s="444" t="str">
        <f>IF('Design Fee'!EC89&gt;0,"✔","-")</f>
        <v>-</v>
      </c>
      <c r="BO87" s="444" t="str">
        <f>IF('Design Fee'!ED89&gt;0,"✔","-")</f>
        <v>-</v>
      </c>
      <c r="BP87" s="444" t="str">
        <f>IF('Design Fee'!EE89&gt;0,"✔","-")</f>
        <v>-</v>
      </c>
      <c r="BQ87" s="444" t="str">
        <f>IF('Design Fee'!EF89&gt;0,"✔","-")</f>
        <v>-</v>
      </c>
      <c r="BR87" s="444" t="str">
        <f>IF('Design Fee'!EG89&gt;0,"✔","-")</f>
        <v>-</v>
      </c>
      <c r="BS87" s="466" t="str">
        <f>IF('Design Fee'!EH89&gt;0,"✔","-")</f>
        <v>-</v>
      </c>
      <c r="BT87" s="383"/>
      <c r="BU87" s="444" t="str">
        <f>IF('Design Fee'!EJ89&gt;0,"✔","-")</f>
        <v>-</v>
      </c>
      <c r="BV87" s="444" t="str">
        <f>IF('Design Fee'!EK89&gt;0,"✔","-")</f>
        <v>-</v>
      </c>
      <c r="BW87" s="444" t="str">
        <f>IF('Design Fee'!EL89&gt;0,"✔","-")</f>
        <v>-</v>
      </c>
      <c r="BX87" s="444" t="str">
        <f>IF('Design Fee'!EM89&gt;0,"✔","-")</f>
        <v>-</v>
      </c>
      <c r="BY87" s="444" t="str">
        <f>IF('Design Fee'!EN89&gt;0,"✔","-")</f>
        <v>-</v>
      </c>
      <c r="BZ87" s="383"/>
    </row>
    <row r="88" spans="2:78" ht="12.75" outlineLevel="2">
      <c r="B88" s="463" t="s">
        <v>99</v>
      </c>
      <c r="C88" s="464">
        <v>4</v>
      </c>
      <c r="D88" s="465" t="s">
        <v>58</v>
      </c>
      <c r="E88" s="383"/>
      <c r="F88" s="443">
        <f t="shared" si="207"/>
        <v>3</v>
      </c>
      <c r="G88" s="444">
        <f t="shared" si="208"/>
        <v>3</v>
      </c>
      <c r="H88" s="444">
        <f t="shared" si="208"/>
        <v>3</v>
      </c>
      <c r="I88" s="444">
        <f t="shared" si="209"/>
        <v>0</v>
      </c>
      <c r="J88" s="467"/>
      <c r="K88" s="441"/>
      <c r="L88" s="442"/>
      <c r="M88" s="443" t="str">
        <f>IF('Design Fee'!W90&gt;0,"✔","-")</f>
        <v>✔</v>
      </c>
      <c r="N88" s="443" t="str">
        <f>IF('Design Fee'!X90&gt;0,"✔","-")</f>
        <v>✔</v>
      </c>
      <c r="O88" s="444" t="str">
        <f>IF('Design Fee'!Y90&gt;0,"✔","-")</f>
        <v>✔</v>
      </c>
      <c r="P88" s="444" t="str">
        <f>IF('Design Fee'!Z90&gt;0,"✔","-")</f>
        <v>-</v>
      </c>
      <c r="Q88" s="444" t="str">
        <f>IF('Design Fee'!AA90&gt;0,"✔","-")</f>
        <v>-</v>
      </c>
      <c r="R88" s="444" t="str">
        <f>IF('Design Fee'!AB90&gt;0,"✔","-")</f>
        <v>-</v>
      </c>
      <c r="S88" s="444" t="str">
        <f>IF('Design Fee'!AC90&gt;0,"✔","-")</f>
        <v>-</v>
      </c>
      <c r="T88" s="466" t="str">
        <f>IF('Design Fee'!AD90&gt;0,"✔","-")</f>
        <v>-</v>
      </c>
      <c r="U88" s="467"/>
      <c r="V88" s="444" t="str">
        <f>IF('Design Fee'!AF90&gt;0,"✔","-")</f>
        <v>-</v>
      </c>
      <c r="W88" s="444" t="str">
        <f>IF('Design Fee'!AG90&gt;0,"✔","-")</f>
        <v>-</v>
      </c>
      <c r="X88" s="444" t="str">
        <f>IF('Design Fee'!AH90&gt;0,"✔","-")</f>
        <v>-</v>
      </c>
      <c r="Y88" s="444" t="str">
        <f>IF('Design Fee'!AI90&gt;0,"✔","-")</f>
        <v>-</v>
      </c>
      <c r="Z88" s="444" t="str">
        <f>IF('Design Fee'!AJ90&gt;0,"✔","-")</f>
        <v>-</v>
      </c>
      <c r="AA88" s="467"/>
      <c r="AB88" s="441"/>
      <c r="AC88" s="442"/>
      <c r="AD88" s="443" t="str">
        <f>IF('Design Fee'!BG90&gt;0,"✔","-")</f>
        <v>✔</v>
      </c>
      <c r="AE88" s="443" t="str">
        <f>IF('Design Fee'!BH90&gt;0,"✔","-")</f>
        <v>✔</v>
      </c>
      <c r="AF88" s="444" t="str">
        <f>IF('Design Fee'!BI90&gt;0,"✔","-")</f>
        <v>✔</v>
      </c>
      <c r="AG88" s="444" t="str">
        <f>IF('Design Fee'!BJ90&gt;0,"✔","-")</f>
        <v>-</v>
      </c>
      <c r="AH88" s="444" t="str">
        <f>IF('Design Fee'!BK90&gt;0,"✔","-")</f>
        <v>-</v>
      </c>
      <c r="AI88" s="444" t="str">
        <f>IF('Design Fee'!BL90&gt;0,"✔","-")</f>
        <v>-</v>
      </c>
      <c r="AJ88" s="444" t="str">
        <f>IF('Design Fee'!BM90&gt;0,"✔","-")</f>
        <v>-</v>
      </c>
      <c r="AK88" s="466" t="str">
        <f>IF('Design Fee'!BN90&gt;0,"✔","-")</f>
        <v>-</v>
      </c>
      <c r="AL88" s="445"/>
      <c r="AM88" s="444" t="str">
        <f>IF('Design Fee'!BP90&gt;0,"✔","-")</f>
        <v>-</v>
      </c>
      <c r="AN88" s="444" t="str">
        <f>IF('Design Fee'!BQ90&gt;0,"✔","-")</f>
        <v>-</v>
      </c>
      <c r="AO88" s="444" t="str">
        <f>IF('Design Fee'!BR90&gt;0,"✔","-")</f>
        <v>-</v>
      </c>
      <c r="AP88" s="444" t="str">
        <f>IF('Design Fee'!BS90&gt;0,"✔","-")</f>
        <v>-</v>
      </c>
      <c r="AQ88" s="444" t="str">
        <f>IF('Design Fee'!BT90&gt;0,"✔","-")</f>
        <v>-</v>
      </c>
      <c r="AR88" s="445"/>
      <c r="AS88" s="441"/>
      <c r="AT88" s="442"/>
      <c r="AU88" s="443" t="str">
        <f>IF('Design Fee'!CQ90&gt;0,"✔","-")</f>
        <v>✔</v>
      </c>
      <c r="AV88" s="443" t="str">
        <f>IF('Design Fee'!CR90&gt;0,"✔","-")</f>
        <v>✔</v>
      </c>
      <c r="AW88" s="444" t="str">
        <f>IF('Design Fee'!CS90&gt;0,"✔","-")</f>
        <v>✔</v>
      </c>
      <c r="AX88" s="444" t="str">
        <f>IF('Design Fee'!CT90&gt;0,"✔","-")</f>
        <v>-</v>
      </c>
      <c r="AY88" s="444" t="str">
        <f>IF('Design Fee'!CU90&gt;0,"✔","-")</f>
        <v>-</v>
      </c>
      <c r="AZ88" s="444" t="str">
        <f>IF('Design Fee'!CV90&gt;0,"✔","-")</f>
        <v>-</v>
      </c>
      <c r="BA88" s="444" t="str">
        <f>IF('Design Fee'!CW90&gt;0,"✔","-")</f>
        <v>-</v>
      </c>
      <c r="BB88" s="466" t="str">
        <f>IF('Design Fee'!CX90&gt;0,"✔","-")</f>
        <v>-</v>
      </c>
      <c r="BC88" s="445"/>
      <c r="BD88" s="444" t="str">
        <f>IF('Design Fee'!CZ90&gt;0,"✔","-")</f>
        <v>-</v>
      </c>
      <c r="BE88" s="444" t="str">
        <f>IF('Design Fee'!DA90&gt;0,"✔","-")</f>
        <v>-</v>
      </c>
      <c r="BF88" s="444" t="str">
        <f>IF('Design Fee'!DB90&gt;0,"✔","-")</f>
        <v>-</v>
      </c>
      <c r="BG88" s="444" t="str">
        <f>IF('Design Fee'!DC90&gt;0,"✔","-")</f>
        <v>-</v>
      </c>
      <c r="BH88" s="444" t="str">
        <f>IF('Design Fee'!DD90&gt;0,"✔","-")</f>
        <v>-</v>
      </c>
      <c r="BI88" s="445"/>
      <c r="BJ88" s="441"/>
      <c r="BK88" s="442"/>
      <c r="BL88" s="443" t="str">
        <f>IF('Design Fee'!EA90&gt;0,"✔","-")</f>
        <v>-</v>
      </c>
      <c r="BM88" s="443" t="str">
        <f>IF('Design Fee'!EB90&gt;0,"✔","-")</f>
        <v>-</v>
      </c>
      <c r="BN88" s="444" t="str">
        <f>IF('Design Fee'!EC90&gt;0,"✔","-")</f>
        <v>-</v>
      </c>
      <c r="BO88" s="444" t="str">
        <f>IF('Design Fee'!ED90&gt;0,"✔","-")</f>
        <v>-</v>
      </c>
      <c r="BP88" s="444" t="str">
        <f>IF('Design Fee'!EE90&gt;0,"✔","-")</f>
        <v>-</v>
      </c>
      <c r="BQ88" s="444" t="str">
        <f>IF('Design Fee'!EF90&gt;0,"✔","-")</f>
        <v>-</v>
      </c>
      <c r="BR88" s="444" t="str">
        <f>IF('Design Fee'!EG90&gt;0,"✔","-")</f>
        <v>-</v>
      </c>
      <c r="BS88" s="466" t="str">
        <f>IF('Design Fee'!EH90&gt;0,"✔","-")</f>
        <v>-</v>
      </c>
      <c r="BT88" s="383"/>
      <c r="BU88" s="444" t="str">
        <f>IF('Design Fee'!EJ90&gt;0,"✔","-")</f>
        <v>-</v>
      </c>
      <c r="BV88" s="444" t="str">
        <f>IF('Design Fee'!EK90&gt;0,"✔","-")</f>
        <v>-</v>
      </c>
      <c r="BW88" s="444" t="str">
        <f>IF('Design Fee'!EL90&gt;0,"✔","-")</f>
        <v>-</v>
      </c>
      <c r="BX88" s="444" t="str">
        <f>IF('Design Fee'!EM90&gt;0,"✔","-")</f>
        <v>-</v>
      </c>
      <c r="BY88" s="444" t="str">
        <f>IF('Design Fee'!EN90&gt;0,"✔","-")</f>
        <v>-</v>
      </c>
      <c r="BZ88" s="383"/>
    </row>
    <row r="89" spans="2:78" ht="12.75" outlineLevel="2">
      <c r="B89" s="463" t="s">
        <v>100</v>
      </c>
      <c r="C89" s="464">
        <v>5</v>
      </c>
      <c r="D89" s="470" t="s">
        <v>60</v>
      </c>
      <c r="E89" s="383"/>
      <c r="F89" s="443">
        <f t="shared" si="207"/>
        <v>2</v>
      </c>
      <c r="G89" s="444">
        <f t="shared" si="208"/>
        <v>2</v>
      </c>
      <c r="H89" s="444">
        <f t="shared" si="208"/>
        <v>2</v>
      </c>
      <c r="I89" s="444">
        <f t="shared" si="209"/>
        <v>0</v>
      </c>
      <c r="J89" s="430"/>
      <c r="K89" s="441"/>
      <c r="L89" s="442"/>
      <c r="M89" s="443" t="str">
        <f>IF('Design Fee'!W91&gt;0,"✔","-")</f>
        <v>✔</v>
      </c>
      <c r="N89" s="443" t="str">
        <f>IF('Design Fee'!X91&gt;0,"✔","-")</f>
        <v>✔</v>
      </c>
      <c r="O89" s="444" t="str">
        <f>IF('Design Fee'!Y91&gt;0,"✔","-")</f>
        <v>✔</v>
      </c>
      <c r="P89" s="444" t="str">
        <f>IF('Design Fee'!Z91&gt;0,"✔","-")</f>
        <v>-</v>
      </c>
      <c r="Q89" s="444" t="str">
        <f>IF('Design Fee'!AA91&gt;0,"✔","-")</f>
        <v>-</v>
      </c>
      <c r="R89" s="444" t="str">
        <f>IF('Design Fee'!AB91&gt;0,"✔","-")</f>
        <v>-</v>
      </c>
      <c r="S89" s="444" t="str">
        <f>IF('Design Fee'!AC91&gt;0,"✔","-")</f>
        <v>-</v>
      </c>
      <c r="T89" s="466" t="str">
        <f>IF('Design Fee'!AD91&gt;0,"✔","-")</f>
        <v>-</v>
      </c>
      <c r="U89" s="430"/>
      <c r="V89" s="444" t="str">
        <f>IF('Design Fee'!AF91&gt;0,"✔","-")</f>
        <v>-</v>
      </c>
      <c r="W89" s="444" t="str">
        <f>IF('Design Fee'!AG91&gt;0,"✔","-")</f>
        <v>-</v>
      </c>
      <c r="X89" s="444" t="str">
        <f>IF('Design Fee'!AH91&gt;0,"✔","-")</f>
        <v>-</v>
      </c>
      <c r="Y89" s="444" t="str">
        <f>IF('Design Fee'!AI91&gt;0,"✔","-")</f>
        <v>-</v>
      </c>
      <c r="Z89" s="444" t="str">
        <f>IF('Design Fee'!AJ91&gt;0,"✔","-")</f>
        <v>-</v>
      </c>
      <c r="AA89" s="430"/>
      <c r="AB89" s="441"/>
      <c r="AC89" s="442"/>
      <c r="AD89" s="443" t="str">
        <f>IF('Design Fee'!BG91&gt;0,"✔","-")</f>
        <v>✔</v>
      </c>
      <c r="AE89" s="443" t="str">
        <f>IF('Design Fee'!BH91&gt;0,"✔","-")</f>
        <v>✔</v>
      </c>
      <c r="AF89" s="444" t="str">
        <f>IF('Design Fee'!BI91&gt;0,"✔","-")</f>
        <v>✔</v>
      </c>
      <c r="AG89" s="444" t="str">
        <f>IF('Design Fee'!BJ91&gt;0,"✔","-")</f>
        <v>-</v>
      </c>
      <c r="AH89" s="444" t="str">
        <f>IF('Design Fee'!BK91&gt;0,"✔","-")</f>
        <v>-</v>
      </c>
      <c r="AI89" s="444" t="str">
        <f>IF('Design Fee'!BL91&gt;0,"✔","-")</f>
        <v>-</v>
      </c>
      <c r="AJ89" s="444" t="str">
        <f>IF('Design Fee'!BM91&gt;0,"✔","-")</f>
        <v>-</v>
      </c>
      <c r="AK89" s="466" t="str">
        <f>IF('Design Fee'!BN91&gt;0,"✔","-")</f>
        <v>-</v>
      </c>
      <c r="AL89" s="445"/>
      <c r="AM89" s="444" t="str">
        <f>IF('Design Fee'!BP91&gt;0,"✔","-")</f>
        <v>-</v>
      </c>
      <c r="AN89" s="444" t="str">
        <f>IF('Design Fee'!BQ91&gt;0,"✔","-")</f>
        <v>-</v>
      </c>
      <c r="AO89" s="444" t="str">
        <f>IF('Design Fee'!BR91&gt;0,"✔","-")</f>
        <v>-</v>
      </c>
      <c r="AP89" s="444" t="str">
        <f>IF('Design Fee'!BS91&gt;0,"✔","-")</f>
        <v>-</v>
      </c>
      <c r="AQ89" s="444" t="str">
        <f>IF('Design Fee'!BT91&gt;0,"✔","-")</f>
        <v>-</v>
      </c>
      <c r="AR89" s="445"/>
      <c r="AS89" s="441"/>
      <c r="AT89" s="442"/>
      <c r="AU89" s="443" t="str">
        <f>IF('Design Fee'!CQ91&gt;0,"✔","-")</f>
        <v>-</v>
      </c>
      <c r="AV89" s="443" t="str">
        <f>IF('Design Fee'!CR91&gt;0,"✔","-")</f>
        <v>-</v>
      </c>
      <c r="AW89" s="444" t="str">
        <f>IF('Design Fee'!CS91&gt;0,"✔","-")</f>
        <v>-</v>
      </c>
      <c r="AX89" s="444" t="str">
        <f>IF('Design Fee'!CT91&gt;0,"✔","-")</f>
        <v>-</v>
      </c>
      <c r="AY89" s="444" t="str">
        <f>IF('Design Fee'!CU91&gt;0,"✔","-")</f>
        <v>-</v>
      </c>
      <c r="AZ89" s="444" t="str">
        <f>IF('Design Fee'!CV91&gt;0,"✔","-")</f>
        <v>-</v>
      </c>
      <c r="BA89" s="444" t="str">
        <f>IF('Design Fee'!CW91&gt;0,"✔","-")</f>
        <v>-</v>
      </c>
      <c r="BB89" s="466" t="str">
        <f>IF('Design Fee'!CX91&gt;0,"✔","-")</f>
        <v>-</v>
      </c>
      <c r="BC89" s="445"/>
      <c r="BD89" s="444" t="str">
        <f>IF('Design Fee'!CZ91&gt;0,"✔","-")</f>
        <v>-</v>
      </c>
      <c r="BE89" s="444" t="str">
        <f>IF('Design Fee'!DA91&gt;0,"✔","-")</f>
        <v>-</v>
      </c>
      <c r="BF89" s="444" t="str">
        <f>IF('Design Fee'!DB91&gt;0,"✔","-")</f>
        <v>-</v>
      </c>
      <c r="BG89" s="444" t="str">
        <f>IF('Design Fee'!DC91&gt;0,"✔","-")</f>
        <v>-</v>
      </c>
      <c r="BH89" s="444" t="str">
        <f>IF('Design Fee'!DD91&gt;0,"✔","-")</f>
        <v>-</v>
      </c>
      <c r="BI89" s="445"/>
      <c r="BJ89" s="441"/>
      <c r="BK89" s="442"/>
      <c r="BL89" s="443" t="str">
        <f>IF('Design Fee'!EA91&gt;0,"✔","-")</f>
        <v>-</v>
      </c>
      <c r="BM89" s="443" t="str">
        <f>IF('Design Fee'!EB91&gt;0,"✔","-")</f>
        <v>-</v>
      </c>
      <c r="BN89" s="444" t="str">
        <f>IF('Design Fee'!EC91&gt;0,"✔","-")</f>
        <v>-</v>
      </c>
      <c r="BO89" s="444" t="str">
        <f>IF('Design Fee'!ED91&gt;0,"✔","-")</f>
        <v>-</v>
      </c>
      <c r="BP89" s="444" t="str">
        <f>IF('Design Fee'!EE91&gt;0,"✔","-")</f>
        <v>-</v>
      </c>
      <c r="BQ89" s="444" t="str">
        <f>IF('Design Fee'!EF91&gt;0,"✔","-")</f>
        <v>-</v>
      </c>
      <c r="BR89" s="444" t="str">
        <f>IF('Design Fee'!EG91&gt;0,"✔","-")</f>
        <v>-</v>
      </c>
      <c r="BS89" s="466" t="str">
        <f>IF('Design Fee'!EH91&gt;0,"✔","-")</f>
        <v>-</v>
      </c>
      <c r="BT89" s="383"/>
      <c r="BU89" s="444" t="str">
        <f>IF('Design Fee'!EJ91&gt;0,"✔","-")</f>
        <v>-</v>
      </c>
      <c r="BV89" s="444" t="str">
        <f>IF('Design Fee'!EK91&gt;0,"✔","-")</f>
        <v>-</v>
      </c>
      <c r="BW89" s="444" t="str">
        <f>IF('Design Fee'!EL91&gt;0,"✔","-")</f>
        <v>-</v>
      </c>
      <c r="BX89" s="444" t="str">
        <f>IF('Design Fee'!EM91&gt;0,"✔","-")</f>
        <v>-</v>
      </c>
      <c r="BY89" s="444" t="str">
        <f>IF('Design Fee'!EN91&gt;0,"✔","-")</f>
        <v>-</v>
      </c>
      <c r="BZ89" s="383"/>
    </row>
    <row r="90" spans="2:78" s="95" customFormat="1" ht="12.75" outlineLevel="2">
      <c r="B90" s="463" t="s">
        <v>101</v>
      </c>
      <c r="C90" s="469">
        <v>6</v>
      </c>
      <c r="D90" s="470" t="s">
        <v>62</v>
      </c>
      <c r="E90" s="468"/>
      <c r="F90" s="443">
        <f t="shared" si="207"/>
        <v>2</v>
      </c>
      <c r="G90" s="444">
        <f t="shared" si="208"/>
        <v>2</v>
      </c>
      <c r="H90" s="444">
        <f t="shared" si="208"/>
        <v>2</v>
      </c>
      <c r="I90" s="444">
        <f t="shared" si="209"/>
        <v>0</v>
      </c>
      <c r="J90" s="475"/>
      <c r="K90" s="471"/>
      <c r="L90" s="472"/>
      <c r="M90" s="443" t="str">
        <f>IF('Design Fee'!W92&gt;0,"✔","-")</f>
        <v>✔</v>
      </c>
      <c r="N90" s="443" t="str">
        <f>IF('Design Fee'!X92&gt;0,"✔","-")</f>
        <v>✔</v>
      </c>
      <c r="O90" s="466" t="str">
        <f>IF('Design Fee'!Y92&gt;0,"✔","-")</f>
        <v>✔</v>
      </c>
      <c r="P90" s="466" t="str">
        <f>IF('Design Fee'!Z92&gt;0,"✔","-")</f>
        <v>-</v>
      </c>
      <c r="Q90" s="466" t="str">
        <f>IF('Design Fee'!AA92&gt;0,"✔","-")</f>
        <v>-</v>
      </c>
      <c r="R90" s="466" t="str">
        <f>IF('Design Fee'!AB92&gt;0,"✔","-")</f>
        <v>-</v>
      </c>
      <c r="S90" s="466" t="str">
        <f>IF('Design Fee'!AC92&gt;0,"✔","-")</f>
        <v>-</v>
      </c>
      <c r="T90" s="466" t="str">
        <f>IF('Design Fee'!AD92&gt;0,"✔","-")</f>
        <v>-</v>
      </c>
      <c r="U90" s="475"/>
      <c r="V90" s="444" t="str">
        <f>IF('Design Fee'!AF92&gt;0,"✔","-")</f>
        <v>-</v>
      </c>
      <c r="W90" s="444" t="str">
        <f>IF('Design Fee'!AG92&gt;0,"✔","-")</f>
        <v>-</v>
      </c>
      <c r="X90" s="444" t="str">
        <f>IF('Design Fee'!AH92&gt;0,"✔","-")</f>
        <v>-</v>
      </c>
      <c r="Y90" s="444" t="str">
        <f>IF('Design Fee'!AI92&gt;0,"✔","-")</f>
        <v>-</v>
      </c>
      <c r="Z90" s="444" t="str">
        <f>IF('Design Fee'!AJ92&gt;0,"✔","-")</f>
        <v>-</v>
      </c>
      <c r="AA90" s="475"/>
      <c r="AB90" s="471"/>
      <c r="AC90" s="472"/>
      <c r="AD90" s="443" t="str">
        <f>IF('Design Fee'!BG92&gt;0,"✔","-")</f>
        <v>✔</v>
      </c>
      <c r="AE90" s="443" t="str">
        <f>IF('Design Fee'!BH92&gt;0,"✔","-")</f>
        <v>✔</v>
      </c>
      <c r="AF90" s="466" t="str">
        <f>IF('Design Fee'!BI92&gt;0,"✔","-")</f>
        <v>✔</v>
      </c>
      <c r="AG90" s="466" t="str">
        <f>IF('Design Fee'!BJ92&gt;0,"✔","-")</f>
        <v>-</v>
      </c>
      <c r="AH90" s="466" t="str">
        <f>IF('Design Fee'!BK92&gt;0,"✔","-")</f>
        <v>-</v>
      </c>
      <c r="AI90" s="466" t="str">
        <f>IF('Design Fee'!BL92&gt;0,"✔","-")</f>
        <v>-</v>
      </c>
      <c r="AJ90" s="466" t="str">
        <f>IF('Design Fee'!BM92&gt;0,"✔","-")</f>
        <v>-</v>
      </c>
      <c r="AK90" s="466" t="str">
        <f>IF('Design Fee'!BN92&gt;0,"✔","-")</f>
        <v>-</v>
      </c>
      <c r="AL90" s="476"/>
      <c r="AM90" s="444" t="str">
        <f>IF('Design Fee'!BP92&gt;0,"✔","-")</f>
        <v>-</v>
      </c>
      <c r="AN90" s="444" t="str">
        <f>IF('Design Fee'!BQ92&gt;0,"✔","-")</f>
        <v>-</v>
      </c>
      <c r="AO90" s="444" t="str">
        <f>IF('Design Fee'!BR92&gt;0,"✔","-")</f>
        <v>-</v>
      </c>
      <c r="AP90" s="444" t="str">
        <f>IF('Design Fee'!BS92&gt;0,"✔","-")</f>
        <v>-</v>
      </c>
      <c r="AQ90" s="444" t="str">
        <f>IF('Design Fee'!BT92&gt;0,"✔","-")</f>
        <v>-</v>
      </c>
      <c r="AR90" s="476"/>
      <c r="AS90" s="471"/>
      <c r="AT90" s="472"/>
      <c r="AU90" s="443" t="str">
        <f>IF('Design Fee'!CQ92&gt;0,"✔","-")</f>
        <v>-</v>
      </c>
      <c r="AV90" s="443" t="str">
        <f>IF('Design Fee'!CR92&gt;0,"✔","-")</f>
        <v>-</v>
      </c>
      <c r="AW90" s="466" t="str">
        <f>IF('Design Fee'!CS92&gt;0,"✔","-")</f>
        <v>-</v>
      </c>
      <c r="AX90" s="466" t="str">
        <f>IF('Design Fee'!CT92&gt;0,"✔","-")</f>
        <v>-</v>
      </c>
      <c r="AY90" s="466" t="str">
        <f>IF('Design Fee'!CU92&gt;0,"✔","-")</f>
        <v>-</v>
      </c>
      <c r="AZ90" s="466" t="str">
        <f>IF('Design Fee'!CV92&gt;0,"✔","-")</f>
        <v>-</v>
      </c>
      <c r="BA90" s="466" t="str">
        <f>IF('Design Fee'!CW92&gt;0,"✔","-")</f>
        <v>-</v>
      </c>
      <c r="BB90" s="466" t="str">
        <f>IF('Design Fee'!CX92&gt;0,"✔","-")</f>
        <v>-</v>
      </c>
      <c r="BC90" s="476"/>
      <c r="BD90" s="444" t="str">
        <f>IF('Design Fee'!CZ92&gt;0,"✔","-")</f>
        <v>-</v>
      </c>
      <c r="BE90" s="444" t="str">
        <f>IF('Design Fee'!DA92&gt;0,"✔","-")</f>
        <v>-</v>
      </c>
      <c r="BF90" s="444" t="str">
        <f>IF('Design Fee'!DB92&gt;0,"✔","-")</f>
        <v>-</v>
      </c>
      <c r="BG90" s="444" t="str">
        <f>IF('Design Fee'!DC92&gt;0,"✔","-")</f>
        <v>-</v>
      </c>
      <c r="BH90" s="444" t="str">
        <f>IF('Design Fee'!DD92&gt;0,"✔","-")</f>
        <v>-</v>
      </c>
      <c r="BI90" s="476"/>
      <c r="BJ90" s="471"/>
      <c r="BK90" s="472"/>
      <c r="BL90" s="443" t="str">
        <f>IF('Design Fee'!EA92&gt;0,"✔","-")</f>
        <v>-</v>
      </c>
      <c r="BM90" s="443" t="str">
        <f>IF('Design Fee'!EB92&gt;0,"✔","-")</f>
        <v>-</v>
      </c>
      <c r="BN90" s="466" t="str">
        <f>IF('Design Fee'!EC92&gt;0,"✔","-")</f>
        <v>-</v>
      </c>
      <c r="BO90" s="466" t="str">
        <f>IF('Design Fee'!ED92&gt;0,"✔","-")</f>
        <v>-</v>
      </c>
      <c r="BP90" s="466" t="str">
        <f>IF('Design Fee'!EE92&gt;0,"✔","-")</f>
        <v>-</v>
      </c>
      <c r="BQ90" s="466" t="str">
        <f>IF('Design Fee'!EF92&gt;0,"✔","-")</f>
        <v>-</v>
      </c>
      <c r="BR90" s="466" t="str">
        <f>IF('Design Fee'!EG92&gt;0,"✔","-")</f>
        <v>-</v>
      </c>
      <c r="BS90" s="466" t="str">
        <f>IF('Design Fee'!EH92&gt;0,"✔","-")</f>
        <v>-</v>
      </c>
      <c r="BT90" s="468"/>
      <c r="BU90" s="444" t="str">
        <f>IF('Design Fee'!EJ92&gt;0,"✔","-")</f>
        <v>-</v>
      </c>
      <c r="BV90" s="444" t="str">
        <f>IF('Design Fee'!EK92&gt;0,"✔","-")</f>
        <v>-</v>
      </c>
      <c r="BW90" s="444" t="str">
        <f>IF('Design Fee'!EL92&gt;0,"✔","-")</f>
        <v>-</v>
      </c>
      <c r="BX90" s="444" t="str">
        <f>IF('Design Fee'!EM92&gt;0,"✔","-")</f>
        <v>-</v>
      </c>
      <c r="BY90" s="444" t="str">
        <f>IF('Design Fee'!EN92&gt;0,"✔","-")</f>
        <v>-</v>
      </c>
      <c r="BZ90" s="383"/>
    </row>
    <row r="91" spans="2:78" ht="12.75" outlineLevel="2">
      <c r="B91" s="463" t="s">
        <v>102</v>
      </c>
      <c r="C91" s="464">
        <v>7</v>
      </c>
      <c r="D91" s="465" t="s">
        <v>64</v>
      </c>
      <c r="E91" s="383"/>
      <c r="F91" s="443">
        <f t="shared" si="207"/>
        <v>2</v>
      </c>
      <c r="G91" s="444">
        <f t="shared" si="208"/>
        <v>2</v>
      </c>
      <c r="H91" s="444">
        <f t="shared" si="208"/>
        <v>1</v>
      </c>
      <c r="I91" s="444">
        <f t="shared" si="209"/>
        <v>0</v>
      </c>
      <c r="J91" s="430"/>
      <c r="K91" s="441"/>
      <c r="L91" s="442"/>
      <c r="M91" s="443" t="str">
        <f>IF('Design Fee'!W93&gt;0,"✔","-")</f>
        <v>✔</v>
      </c>
      <c r="N91" s="443" t="str">
        <f>IF('Design Fee'!X93&gt;0,"✔","-")</f>
        <v>✔</v>
      </c>
      <c r="O91" s="444" t="str">
        <f>IF('Design Fee'!Y93&gt;0,"✔","-")</f>
        <v>✔</v>
      </c>
      <c r="P91" s="444" t="str">
        <f>IF('Design Fee'!Z93&gt;0,"✔","-")</f>
        <v>-</v>
      </c>
      <c r="Q91" s="444" t="str">
        <f>IF('Design Fee'!AA93&gt;0,"✔","-")</f>
        <v>-</v>
      </c>
      <c r="R91" s="444" t="str">
        <f>IF('Design Fee'!AB93&gt;0,"✔","-")</f>
        <v>-</v>
      </c>
      <c r="S91" s="444" t="str">
        <f>IF('Design Fee'!AC93&gt;0,"✔","-")</f>
        <v>-</v>
      </c>
      <c r="T91" s="466" t="str">
        <f>IF('Design Fee'!AD93&gt;0,"✔","-")</f>
        <v>-</v>
      </c>
      <c r="U91" s="430"/>
      <c r="V91" s="444" t="str">
        <f>IF('Design Fee'!AF93&gt;0,"✔","-")</f>
        <v>-</v>
      </c>
      <c r="W91" s="444" t="str">
        <f>IF('Design Fee'!AG93&gt;0,"✔","-")</f>
        <v>-</v>
      </c>
      <c r="X91" s="444" t="str">
        <f>IF('Design Fee'!AH93&gt;0,"✔","-")</f>
        <v>-</v>
      </c>
      <c r="Y91" s="444" t="str">
        <f>IF('Design Fee'!AI93&gt;0,"✔","-")</f>
        <v>-</v>
      </c>
      <c r="Z91" s="444" t="str">
        <f>IF('Design Fee'!AJ93&gt;0,"✔","-")</f>
        <v>-</v>
      </c>
      <c r="AA91" s="430"/>
      <c r="AB91" s="441"/>
      <c r="AC91" s="442"/>
      <c r="AD91" s="443" t="str">
        <f>IF('Design Fee'!BG93&gt;0,"✔","-")</f>
        <v>-</v>
      </c>
      <c r="AE91" s="443" t="str">
        <f>IF('Design Fee'!BH93&gt;0,"✔","-")</f>
        <v>-</v>
      </c>
      <c r="AF91" s="444" t="str">
        <f>IF('Design Fee'!BI93&gt;0,"✔","-")</f>
        <v>-</v>
      </c>
      <c r="AG91" s="444" t="str">
        <f>IF('Design Fee'!BJ93&gt;0,"✔","-")</f>
        <v>-</v>
      </c>
      <c r="AH91" s="444" t="str">
        <f>IF('Design Fee'!BK93&gt;0,"✔","-")</f>
        <v>-</v>
      </c>
      <c r="AI91" s="444" t="str">
        <f>IF('Design Fee'!BL93&gt;0,"✔","-")</f>
        <v>-</v>
      </c>
      <c r="AJ91" s="444" t="str">
        <f>IF('Design Fee'!BM93&gt;0,"✔","-")</f>
        <v>-</v>
      </c>
      <c r="AK91" s="466" t="str">
        <f>IF('Design Fee'!BN93&gt;0,"✔","-")</f>
        <v>-</v>
      </c>
      <c r="AL91" s="445"/>
      <c r="AM91" s="444" t="str">
        <f>IF('Design Fee'!BP93&gt;0,"✔","-")</f>
        <v>-</v>
      </c>
      <c r="AN91" s="444" t="str">
        <f>IF('Design Fee'!BQ93&gt;0,"✔","-")</f>
        <v>-</v>
      </c>
      <c r="AO91" s="444" t="str">
        <f>IF('Design Fee'!BR93&gt;0,"✔","-")</f>
        <v>-</v>
      </c>
      <c r="AP91" s="444" t="str">
        <f>IF('Design Fee'!BS93&gt;0,"✔","-")</f>
        <v>-</v>
      </c>
      <c r="AQ91" s="444" t="str">
        <f>IF('Design Fee'!BT93&gt;0,"✔","-")</f>
        <v>-</v>
      </c>
      <c r="AR91" s="445"/>
      <c r="AS91" s="441"/>
      <c r="AT91" s="442"/>
      <c r="AU91" s="443" t="str">
        <f>IF('Design Fee'!CQ93&gt;0,"✔","-")</f>
        <v>✔</v>
      </c>
      <c r="AV91" s="443" t="str">
        <f>IF('Design Fee'!CR93&gt;0,"✔","-")</f>
        <v>✔</v>
      </c>
      <c r="AW91" s="444" t="str">
        <f>IF('Design Fee'!CS93&gt;0,"✔","-")</f>
        <v>-</v>
      </c>
      <c r="AX91" s="444" t="str">
        <f>IF('Design Fee'!CT93&gt;0,"✔","-")</f>
        <v>✔</v>
      </c>
      <c r="AY91" s="444" t="str">
        <f>IF('Design Fee'!CU93&gt;0,"✔","-")</f>
        <v>✔</v>
      </c>
      <c r="AZ91" s="444" t="str">
        <f>IF('Design Fee'!CV93&gt;0,"✔","-")</f>
        <v>-</v>
      </c>
      <c r="BA91" s="444" t="str">
        <f>IF('Design Fee'!CW93&gt;0,"✔","-")</f>
        <v>-</v>
      </c>
      <c r="BB91" s="466" t="str">
        <f>IF('Design Fee'!CX93&gt;0,"✔","-")</f>
        <v>-</v>
      </c>
      <c r="BC91" s="445"/>
      <c r="BD91" s="444" t="str">
        <f>IF('Design Fee'!CZ93&gt;0,"✔","-")</f>
        <v>✔</v>
      </c>
      <c r="BE91" s="444" t="str">
        <f>IF('Design Fee'!DA93&gt;0,"✔","-")</f>
        <v>-</v>
      </c>
      <c r="BF91" s="444" t="str">
        <f>IF('Design Fee'!DB93&gt;0,"✔","-")</f>
        <v>✔</v>
      </c>
      <c r="BG91" s="444" t="str">
        <f>IF('Design Fee'!DC93&gt;0,"✔","-")</f>
        <v>-</v>
      </c>
      <c r="BH91" s="444" t="str">
        <f>IF('Design Fee'!DD93&gt;0,"✔","-")</f>
        <v>-</v>
      </c>
      <c r="BI91" s="445"/>
      <c r="BJ91" s="441"/>
      <c r="BK91" s="442"/>
      <c r="BL91" s="443" t="str">
        <f>IF('Design Fee'!EA93&gt;0,"✔","-")</f>
        <v>-</v>
      </c>
      <c r="BM91" s="443" t="str">
        <f>IF('Design Fee'!EB93&gt;0,"✔","-")</f>
        <v>-</v>
      </c>
      <c r="BN91" s="444" t="str">
        <f>IF('Design Fee'!EC93&gt;0,"✔","-")</f>
        <v>-</v>
      </c>
      <c r="BO91" s="444" t="str">
        <f>IF('Design Fee'!ED93&gt;0,"✔","-")</f>
        <v>-</v>
      </c>
      <c r="BP91" s="444" t="str">
        <f>IF('Design Fee'!EE93&gt;0,"✔","-")</f>
        <v>-</v>
      </c>
      <c r="BQ91" s="444" t="str">
        <f>IF('Design Fee'!EF93&gt;0,"✔","-")</f>
        <v>-</v>
      </c>
      <c r="BR91" s="444" t="str">
        <f>IF('Design Fee'!EG93&gt;0,"✔","-")</f>
        <v>-</v>
      </c>
      <c r="BS91" s="466" t="str">
        <f>IF('Design Fee'!EH93&gt;0,"✔","-")</f>
        <v>-</v>
      </c>
      <c r="BT91" s="383"/>
      <c r="BU91" s="444" t="str">
        <f>IF('Design Fee'!EJ93&gt;0,"✔","-")</f>
        <v>-</v>
      </c>
      <c r="BV91" s="444" t="str">
        <f>IF('Design Fee'!EK93&gt;0,"✔","-")</f>
        <v>-</v>
      </c>
      <c r="BW91" s="444" t="str">
        <f>IF('Design Fee'!EL93&gt;0,"✔","-")</f>
        <v>-</v>
      </c>
      <c r="BX91" s="444" t="str">
        <f>IF('Design Fee'!EM93&gt;0,"✔","-")</f>
        <v>-</v>
      </c>
      <c r="BY91" s="444" t="str">
        <f>IF('Design Fee'!EN93&gt;0,"✔","-")</f>
        <v>-</v>
      </c>
      <c r="BZ91" s="383"/>
    </row>
    <row r="92" spans="2:78" ht="12.75" outlineLevel="2">
      <c r="B92" s="463" t="s">
        <v>103</v>
      </c>
      <c r="C92" s="464">
        <v>8</v>
      </c>
      <c r="D92" s="465" t="s">
        <v>67</v>
      </c>
      <c r="E92" s="383"/>
      <c r="F92" s="443">
        <f t="shared" si="207"/>
        <v>2</v>
      </c>
      <c r="G92" s="444">
        <f t="shared" si="208"/>
        <v>2</v>
      </c>
      <c r="H92" s="444">
        <f t="shared" si="208"/>
        <v>2</v>
      </c>
      <c r="I92" s="444">
        <f t="shared" si="209"/>
        <v>0</v>
      </c>
      <c r="J92" s="430"/>
      <c r="K92" s="441"/>
      <c r="L92" s="442"/>
      <c r="M92" s="443" t="str">
        <f>IF('Design Fee'!W94&gt;0,"✔","-")</f>
        <v>✔</v>
      </c>
      <c r="N92" s="443" t="str">
        <f>IF('Design Fee'!X94&gt;0,"✔","-")</f>
        <v>✔</v>
      </c>
      <c r="O92" s="444" t="str">
        <f>IF('Design Fee'!Y94&gt;0,"✔","-")</f>
        <v>✔</v>
      </c>
      <c r="P92" s="444" t="str">
        <f>IF('Design Fee'!Z94&gt;0,"✔","-")</f>
        <v>-</v>
      </c>
      <c r="Q92" s="444" t="str">
        <f>IF('Design Fee'!AA94&gt;0,"✔","-")</f>
        <v>-</v>
      </c>
      <c r="R92" s="444" t="str">
        <f>IF('Design Fee'!AB94&gt;0,"✔","-")</f>
        <v>-</v>
      </c>
      <c r="S92" s="444" t="str">
        <f>IF('Design Fee'!AC94&gt;0,"✔","-")</f>
        <v>-</v>
      </c>
      <c r="T92" s="466" t="str">
        <f>IF('Design Fee'!AD94&gt;0,"✔","-")</f>
        <v>-</v>
      </c>
      <c r="U92" s="430"/>
      <c r="V92" s="444" t="str">
        <f>IF('Design Fee'!AF94&gt;0,"✔","-")</f>
        <v>-</v>
      </c>
      <c r="W92" s="444" t="str">
        <f>IF('Design Fee'!AG94&gt;0,"✔","-")</f>
        <v>-</v>
      </c>
      <c r="X92" s="444" t="str">
        <f>IF('Design Fee'!AH94&gt;0,"✔","-")</f>
        <v>-</v>
      </c>
      <c r="Y92" s="444" t="str">
        <f>IF('Design Fee'!AI94&gt;0,"✔","-")</f>
        <v>-</v>
      </c>
      <c r="Z92" s="444" t="str">
        <f>IF('Design Fee'!AJ94&gt;0,"✔","-")</f>
        <v>-</v>
      </c>
      <c r="AA92" s="430"/>
      <c r="AB92" s="441"/>
      <c r="AC92" s="442"/>
      <c r="AD92" s="443" t="str">
        <f>IF('Design Fee'!BG94&gt;0,"✔","-")</f>
        <v>✔</v>
      </c>
      <c r="AE92" s="443" t="str">
        <f>IF('Design Fee'!BH94&gt;0,"✔","-")</f>
        <v>✔</v>
      </c>
      <c r="AF92" s="444" t="str">
        <f>IF('Design Fee'!BI94&gt;0,"✔","-")</f>
        <v>✔</v>
      </c>
      <c r="AG92" s="444" t="str">
        <f>IF('Design Fee'!BJ94&gt;0,"✔","-")</f>
        <v>-</v>
      </c>
      <c r="AH92" s="444" t="str">
        <f>IF('Design Fee'!BK94&gt;0,"✔","-")</f>
        <v>-</v>
      </c>
      <c r="AI92" s="444" t="str">
        <f>IF('Design Fee'!BL94&gt;0,"✔","-")</f>
        <v>-</v>
      </c>
      <c r="AJ92" s="444" t="str">
        <f>IF('Design Fee'!BM94&gt;0,"✔","-")</f>
        <v>-</v>
      </c>
      <c r="AK92" s="466" t="str">
        <f>IF('Design Fee'!BN94&gt;0,"✔","-")</f>
        <v>-</v>
      </c>
      <c r="AL92" s="445"/>
      <c r="AM92" s="444" t="str">
        <f>IF('Design Fee'!BP94&gt;0,"✔","-")</f>
        <v>-</v>
      </c>
      <c r="AN92" s="444" t="str">
        <f>IF('Design Fee'!BQ94&gt;0,"✔","-")</f>
        <v>-</v>
      </c>
      <c r="AO92" s="444" t="str">
        <f>IF('Design Fee'!BR94&gt;0,"✔","-")</f>
        <v>-</v>
      </c>
      <c r="AP92" s="444" t="str">
        <f>IF('Design Fee'!BS94&gt;0,"✔","-")</f>
        <v>-</v>
      </c>
      <c r="AQ92" s="444" t="str">
        <f>IF('Design Fee'!BT94&gt;0,"✔","-")</f>
        <v>-</v>
      </c>
      <c r="AR92" s="445"/>
      <c r="AS92" s="441"/>
      <c r="AT92" s="442"/>
      <c r="AU92" s="443" t="str">
        <f>IF('Design Fee'!CQ94&gt;0,"✔","-")</f>
        <v>-</v>
      </c>
      <c r="AV92" s="443" t="str">
        <f>IF('Design Fee'!CR94&gt;0,"✔","-")</f>
        <v>-</v>
      </c>
      <c r="AW92" s="444" t="str">
        <f>IF('Design Fee'!CS94&gt;0,"✔","-")</f>
        <v>-</v>
      </c>
      <c r="AX92" s="444" t="str">
        <f>IF('Design Fee'!CT94&gt;0,"✔","-")</f>
        <v>-</v>
      </c>
      <c r="AY92" s="444" t="str">
        <f>IF('Design Fee'!CU94&gt;0,"✔","-")</f>
        <v>-</v>
      </c>
      <c r="AZ92" s="444" t="str">
        <f>IF('Design Fee'!CV94&gt;0,"✔","-")</f>
        <v>-</v>
      </c>
      <c r="BA92" s="444" t="str">
        <f>IF('Design Fee'!CW94&gt;0,"✔","-")</f>
        <v>-</v>
      </c>
      <c r="BB92" s="466" t="str">
        <f>IF('Design Fee'!CX94&gt;0,"✔","-")</f>
        <v>-</v>
      </c>
      <c r="BC92" s="445"/>
      <c r="BD92" s="444" t="str">
        <f>IF('Design Fee'!CZ94&gt;0,"✔","-")</f>
        <v>-</v>
      </c>
      <c r="BE92" s="444" t="str">
        <f>IF('Design Fee'!DA94&gt;0,"✔","-")</f>
        <v>-</v>
      </c>
      <c r="BF92" s="444" t="str">
        <f>IF('Design Fee'!DB94&gt;0,"✔","-")</f>
        <v>-</v>
      </c>
      <c r="BG92" s="444" t="str">
        <f>IF('Design Fee'!DC94&gt;0,"✔","-")</f>
        <v>-</v>
      </c>
      <c r="BH92" s="444" t="str">
        <f>IF('Design Fee'!DD94&gt;0,"✔","-")</f>
        <v>-</v>
      </c>
      <c r="BI92" s="445"/>
      <c r="BJ92" s="441"/>
      <c r="BK92" s="442"/>
      <c r="BL92" s="443" t="str">
        <f>IF('Design Fee'!EA94&gt;0,"✔","-")</f>
        <v>-</v>
      </c>
      <c r="BM92" s="443" t="str">
        <f>IF('Design Fee'!EB94&gt;0,"✔","-")</f>
        <v>-</v>
      </c>
      <c r="BN92" s="444" t="str">
        <f>IF('Design Fee'!EC94&gt;0,"✔","-")</f>
        <v>-</v>
      </c>
      <c r="BO92" s="444" t="str">
        <f>IF('Design Fee'!ED94&gt;0,"✔","-")</f>
        <v>-</v>
      </c>
      <c r="BP92" s="444" t="str">
        <f>IF('Design Fee'!EE94&gt;0,"✔","-")</f>
        <v>-</v>
      </c>
      <c r="BQ92" s="444" t="str">
        <f>IF('Design Fee'!EF94&gt;0,"✔","-")</f>
        <v>-</v>
      </c>
      <c r="BR92" s="444" t="str">
        <f>IF('Design Fee'!EG94&gt;0,"✔","-")</f>
        <v>-</v>
      </c>
      <c r="BS92" s="466" t="str">
        <f>IF('Design Fee'!EH94&gt;0,"✔","-")</f>
        <v>-</v>
      </c>
      <c r="BT92" s="383"/>
      <c r="BU92" s="444" t="str">
        <f>IF('Design Fee'!EJ94&gt;0,"✔","-")</f>
        <v>-</v>
      </c>
      <c r="BV92" s="444" t="str">
        <f>IF('Design Fee'!EK94&gt;0,"✔","-")</f>
        <v>-</v>
      </c>
      <c r="BW92" s="444" t="str">
        <f>IF('Design Fee'!EL94&gt;0,"✔","-")</f>
        <v>-</v>
      </c>
      <c r="BX92" s="444" t="str">
        <f>IF('Design Fee'!EM94&gt;0,"✔","-")</f>
        <v>-</v>
      </c>
      <c r="BY92" s="444" t="str">
        <f>IF('Design Fee'!EN94&gt;0,"✔","-")</f>
        <v>-</v>
      </c>
      <c r="BZ92" s="383"/>
    </row>
    <row r="93" spans="2:78" ht="12.75" outlineLevel="2">
      <c r="B93" s="463" t="s">
        <v>104</v>
      </c>
      <c r="C93" s="464">
        <v>9</v>
      </c>
      <c r="D93" s="465" t="s">
        <v>69</v>
      </c>
      <c r="E93" s="383"/>
      <c r="F93" s="443">
        <f t="shared" si="207"/>
        <v>3</v>
      </c>
      <c r="G93" s="444">
        <f t="shared" si="208"/>
        <v>3</v>
      </c>
      <c r="H93" s="444">
        <f t="shared" si="208"/>
        <v>3</v>
      </c>
      <c r="I93" s="444">
        <f t="shared" si="209"/>
        <v>0</v>
      </c>
      <c r="J93" s="430"/>
      <c r="K93" s="441"/>
      <c r="L93" s="442"/>
      <c r="M93" s="443" t="str">
        <f>IF('Design Fee'!W95&gt;0,"✔","-")</f>
        <v>✔</v>
      </c>
      <c r="N93" s="443" t="str">
        <f>IF('Design Fee'!X95&gt;0,"✔","-")</f>
        <v>✔</v>
      </c>
      <c r="O93" s="444" t="str">
        <f>IF('Design Fee'!Y95&gt;0,"✔","-")</f>
        <v>✔</v>
      </c>
      <c r="P93" s="444" t="str">
        <f>IF('Design Fee'!Z95&gt;0,"✔","-")</f>
        <v>-</v>
      </c>
      <c r="Q93" s="444" t="str">
        <f>IF('Design Fee'!AA95&gt;0,"✔","-")</f>
        <v>-</v>
      </c>
      <c r="R93" s="444" t="str">
        <f>IF('Design Fee'!AB95&gt;0,"✔","-")</f>
        <v>-</v>
      </c>
      <c r="S93" s="444" t="str">
        <f>IF('Design Fee'!AC95&gt;0,"✔","-")</f>
        <v>-</v>
      </c>
      <c r="T93" s="466" t="str">
        <f>IF('Design Fee'!AD95&gt;0,"✔","-")</f>
        <v>-</v>
      </c>
      <c r="U93" s="430"/>
      <c r="V93" s="444" t="str">
        <f>IF('Design Fee'!AF95&gt;0,"✔","-")</f>
        <v>-</v>
      </c>
      <c r="W93" s="444" t="str">
        <f>IF('Design Fee'!AG95&gt;0,"✔","-")</f>
        <v>-</v>
      </c>
      <c r="X93" s="444" t="str">
        <f>IF('Design Fee'!AH95&gt;0,"✔","-")</f>
        <v>-</v>
      </c>
      <c r="Y93" s="444" t="str">
        <f>IF('Design Fee'!AI95&gt;0,"✔","-")</f>
        <v>-</v>
      </c>
      <c r="Z93" s="444" t="str">
        <f>IF('Design Fee'!AJ95&gt;0,"✔","-")</f>
        <v>-</v>
      </c>
      <c r="AA93" s="430"/>
      <c r="AB93" s="441"/>
      <c r="AC93" s="442"/>
      <c r="AD93" s="443" t="str">
        <f>IF('Design Fee'!BG95&gt;0,"✔","-")</f>
        <v>✔</v>
      </c>
      <c r="AE93" s="443" t="str">
        <f>IF('Design Fee'!BH95&gt;0,"✔","-")</f>
        <v>✔</v>
      </c>
      <c r="AF93" s="444" t="str">
        <f>IF('Design Fee'!BI95&gt;0,"✔","-")</f>
        <v>✔</v>
      </c>
      <c r="AG93" s="444" t="str">
        <f>IF('Design Fee'!BJ95&gt;0,"✔","-")</f>
        <v>-</v>
      </c>
      <c r="AH93" s="444" t="str">
        <f>IF('Design Fee'!BK95&gt;0,"✔","-")</f>
        <v>-</v>
      </c>
      <c r="AI93" s="444" t="str">
        <f>IF('Design Fee'!BL95&gt;0,"✔","-")</f>
        <v>-</v>
      </c>
      <c r="AJ93" s="444" t="str">
        <f>IF('Design Fee'!BM95&gt;0,"✔","-")</f>
        <v>-</v>
      </c>
      <c r="AK93" s="466" t="str">
        <f>IF('Design Fee'!BN95&gt;0,"✔","-")</f>
        <v>-</v>
      </c>
      <c r="AL93" s="445"/>
      <c r="AM93" s="444" t="str">
        <f>IF('Design Fee'!BP95&gt;0,"✔","-")</f>
        <v>-</v>
      </c>
      <c r="AN93" s="444" t="str">
        <f>IF('Design Fee'!BQ95&gt;0,"✔","-")</f>
        <v>-</v>
      </c>
      <c r="AO93" s="444" t="str">
        <f>IF('Design Fee'!BR95&gt;0,"✔","-")</f>
        <v>-</v>
      </c>
      <c r="AP93" s="444" t="str">
        <f>IF('Design Fee'!BS95&gt;0,"✔","-")</f>
        <v>-</v>
      </c>
      <c r="AQ93" s="444" t="str">
        <f>IF('Design Fee'!BT95&gt;0,"✔","-")</f>
        <v>-</v>
      </c>
      <c r="AR93" s="445"/>
      <c r="AS93" s="441"/>
      <c r="AT93" s="442"/>
      <c r="AU93" s="443" t="str">
        <f>IF('Design Fee'!CQ95&gt;0,"✔","-")</f>
        <v>✔</v>
      </c>
      <c r="AV93" s="443" t="str">
        <f>IF('Design Fee'!CR95&gt;0,"✔","-")</f>
        <v>✔</v>
      </c>
      <c r="AW93" s="444" t="str">
        <f>IF('Design Fee'!CS95&gt;0,"✔","-")</f>
        <v>✔</v>
      </c>
      <c r="AX93" s="444" t="str">
        <f>IF('Design Fee'!CT95&gt;0,"✔","-")</f>
        <v>-</v>
      </c>
      <c r="AY93" s="444" t="str">
        <f>IF('Design Fee'!CU95&gt;0,"✔","-")</f>
        <v>-</v>
      </c>
      <c r="AZ93" s="444" t="str">
        <f>IF('Design Fee'!CV95&gt;0,"✔","-")</f>
        <v>-</v>
      </c>
      <c r="BA93" s="444" t="str">
        <f>IF('Design Fee'!CW95&gt;0,"✔","-")</f>
        <v>-</v>
      </c>
      <c r="BB93" s="466" t="str">
        <f>IF('Design Fee'!CX95&gt;0,"✔","-")</f>
        <v>-</v>
      </c>
      <c r="BC93" s="445"/>
      <c r="BD93" s="444" t="str">
        <f>IF('Design Fee'!CZ95&gt;0,"✔","-")</f>
        <v>-</v>
      </c>
      <c r="BE93" s="444" t="str">
        <f>IF('Design Fee'!DA95&gt;0,"✔","-")</f>
        <v>-</v>
      </c>
      <c r="BF93" s="444" t="str">
        <f>IF('Design Fee'!DB95&gt;0,"✔","-")</f>
        <v>-</v>
      </c>
      <c r="BG93" s="444" t="str">
        <f>IF('Design Fee'!DC95&gt;0,"✔","-")</f>
        <v>-</v>
      </c>
      <c r="BH93" s="444" t="str">
        <f>IF('Design Fee'!DD95&gt;0,"✔","-")</f>
        <v>-</v>
      </c>
      <c r="BI93" s="445"/>
      <c r="BJ93" s="441"/>
      <c r="BK93" s="442"/>
      <c r="BL93" s="443" t="str">
        <f>IF('Design Fee'!EA95&gt;0,"✔","-")</f>
        <v>-</v>
      </c>
      <c r="BM93" s="443" t="str">
        <f>IF('Design Fee'!EB95&gt;0,"✔","-")</f>
        <v>-</v>
      </c>
      <c r="BN93" s="444" t="str">
        <f>IF('Design Fee'!EC95&gt;0,"✔","-")</f>
        <v>-</v>
      </c>
      <c r="BO93" s="444" t="str">
        <f>IF('Design Fee'!ED95&gt;0,"✔","-")</f>
        <v>-</v>
      </c>
      <c r="BP93" s="444" t="str">
        <f>IF('Design Fee'!EE95&gt;0,"✔","-")</f>
        <v>-</v>
      </c>
      <c r="BQ93" s="444" t="str">
        <f>IF('Design Fee'!EF95&gt;0,"✔","-")</f>
        <v>-</v>
      </c>
      <c r="BR93" s="444" t="str">
        <f>IF('Design Fee'!EG95&gt;0,"✔","-")</f>
        <v>-</v>
      </c>
      <c r="BS93" s="466" t="str">
        <f>IF('Design Fee'!EH95&gt;0,"✔","-")</f>
        <v>-</v>
      </c>
      <c r="BT93" s="383"/>
      <c r="BU93" s="444" t="str">
        <f>IF('Design Fee'!EJ95&gt;0,"✔","-")</f>
        <v>-</v>
      </c>
      <c r="BV93" s="444" t="str">
        <f>IF('Design Fee'!EK95&gt;0,"✔","-")</f>
        <v>-</v>
      </c>
      <c r="BW93" s="444" t="str">
        <f>IF('Design Fee'!EL95&gt;0,"✔","-")</f>
        <v>-</v>
      </c>
      <c r="BX93" s="444" t="str">
        <f>IF('Design Fee'!EM95&gt;0,"✔","-")</f>
        <v>-</v>
      </c>
      <c r="BY93" s="444" t="str">
        <f>IF('Design Fee'!EN95&gt;0,"✔","-")</f>
        <v>-</v>
      </c>
      <c r="BZ93" s="383"/>
    </row>
    <row r="94" spans="2:78" ht="12.75" outlineLevel="2">
      <c r="B94" s="463" t="s">
        <v>105</v>
      </c>
      <c r="C94" s="464">
        <v>10</v>
      </c>
      <c r="D94" s="465" t="s">
        <v>71</v>
      </c>
      <c r="E94" s="383"/>
      <c r="F94" s="443">
        <f t="shared" si="207"/>
        <v>1</v>
      </c>
      <c r="G94" s="444">
        <f t="shared" si="208"/>
        <v>1</v>
      </c>
      <c r="H94" s="444">
        <f t="shared" si="208"/>
        <v>1</v>
      </c>
      <c r="I94" s="444">
        <f t="shared" si="209"/>
        <v>0</v>
      </c>
      <c r="J94" s="430"/>
      <c r="K94" s="441"/>
      <c r="L94" s="442"/>
      <c r="M94" s="443" t="str">
        <f>IF('Design Fee'!W96&gt;0,"✔","-")</f>
        <v>✔</v>
      </c>
      <c r="N94" s="443" t="str">
        <f>IF('Design Fee'!X96&gt;0,"✔","-")</f>
        <v>✔</v>
      </c>
      <c r="O94" s="444" t="str">
        <f>IF('Design Fee'!Y96&gt;0,"✔","-")</f>
        <v>✔</v>
      </c>
      <c r="P94" s="444" t="str">
        <f>IF('Design Fee'!Z96&gt;0,"✔","-")</f>
        <v>-</v>
      </c>
      <c r="Q94" s="444" t="str">
        <f>IF('Design Fee'!AA96&gt;0,"✔","-")</f>
        <v>-</v>
      </c>
      <c r="R94" s="444" t="str">
        <f>IF('Design Fee'!AB96&gt;0,"✔","-")</f>
        <v>-</v>
      </c>
      <c r="S94" s="444" t="str">
        <f>IF('Design Fee'!AC96&gt;0,"✔","-")</f>
        <v>-</v>
      </c>
      <c r="T94" s="466" t="str">
        <f>IF('Design Fee'!AD96&gt;0,"✔","-")</f>
        <v>-</v>
      </c>
      <c r="U94" s="430"/>
      <c r="V94" s="444" t="str">
        <f>IF('Design Fee'!AF96&gt;0,"✔","-")</f>
        <v>-</v>
      </c>
      <c r="W94" s="444" t="str">
        <f>IF('Design Fee'!AG96&gt;0,"✔","-")</f>
        <v>-</v>
      </c>
      <c r="X94" s="444" t="str">
        <f>IF('Design Fee'!AH96&gt;0,"✔","-")</f>
        <v>-</v>
      </c>
      <c r="Y94" s="444" t="str">
        <f>IF('Design Fee'!AI96&gt;0,"✔","-")</f>
        <v>-</v>
      </c>
      <c r="Z94" s="444" t="str">
        <f>IF('Design Fee'!AJ96&gt;0,"✔","-")</f>
        <v>-</v>
      </c>
      <c r="AA94" s="430"/>
      <c r="AB94" s="441"/>
      <c r="AC94" s="442"/>
      <c r="AD94" s="443" t="str">
        <f>IF('Design Fee'!BG96&gt;0,"✔","-")</f>
        <v>-</v>
      </c>
      <c r="AE94" s="443" t="str">
        <f>IF('Design Fee'!BH96&gt;0,"✔","-")</f>
        <v>-</v>
      </c>
      <c r="AF94" s="444" t="str">
        <f>IF('Design Fee'!BI96&gt;0,"✔","-")</f>
        <v>-</v>
      </c>
      <c r="AG94" s="444" t="str">
        <f>IF('Design Fee'!BJ96&gt;0,"✔","-")</f>
        <v>-</v>
      </c>
      <c r="AH94" s="444" t="str">
        <f>IF('Design Fee'!BK96&gt;0,"✔","-")</f>
        <v>-</v>
      </c>
      <c r="AI94" s="444" t="str">
        <f>IF('Design Fee'!BL96&gt;0,"✔","-")</f>
        <v>-</v>
      </c>
      <c r="AJ94" s="444" t="str">
        <f>IF('Design Fee'!BM96&gt;0,"✔","-")</f>
        <v>-</v>
      </c>
      <c r="AK94" s="466" t="str">
        <f>IF('Design Fee'!BN96&gt;0,"✔","-")</f>
        <v>-</v>
      </c>
      <c r="AL94" s="445"/>
      <c r="AM94" s="444" t="str">
        <f>IF('Design Fee'!BP96&gt;0,"✔","-")</f>
        <v>-</v>
      </c>
      <c r="AN94" s="444" t="str">
        <f>IF('Design Fee'!BQ96&gt;0,"✔","-")</f>
        <v>-</v>
      </c>
      <c r="AO94" s="444" t="str">
        <f>IF('Design Fee'!BR96&gt;0,"✔","-")</f>
        <v>-</v>
      </c>
      <c r="AP94" s="444" t="str">
        <f>IF('Design Fee'!BS96&gt;0,"✔","-")</f>
        <v>-</v>
      </c>
      <c r="AQ94" s="444" t="str">
        <f>IF('Design Fee'!BT96&gt;0,"✔","-")</f>
        <v>-</v>
      </c>
      <c r="AR94" s="445"/>
      <c r="AS94" s="441"/>
      <c r="AT94" s="442"/>
      <c r="AU94" s="443" t="str">
        <f>IF('Design Fee'!CQ96&gt;0,"✔","-")</f>
        <v>-</v>
      </c>
      <c r="AV94" s="443" t="str">
        <f>IF('Design Fee'!CR96&gt;0,"✔","-")</f>
        <v>-</v>
      </c>
      <c r="AW94" s="444" t="str">
        <f>IF('Design Fee'!CS96&gt;0,"✔","-")</f>
        <v>-</v>
      </c>
      <c r="AX94" s="444" t="str">
        <f>IF('Design Fee'!CT96&gt;0,"✔","-")</f>
        <v>-</v>
      </c>
      <c r="AY94" s="444" t="str">
        <f>IF('Design Fee'!CU96&gt;0,"✔","-")</f>
        <v>-</v>
      </c>
      <c r="AZ94" s="444" t="str">
        <f>IF('Design Fee'!CV96&gt;0,"✔","-")</f>
        <v>-</v>
      </c>
      <c r="BA94" s="444" t="str">
        <f>IF('Design Fee'!CW96&gt;0,"✔","-")</f>
        <v>-</v>
      </c>
      <c r="BB94" s="466" t="str">
        <f>IF('Design Fee'!CX96&gt;0,"✔","-")</f>
        <v>-</v>
      </c>
      <c r="BC94" s="445"/>
      <c r="BD94" s="444" t="str">
        <f>IF('Design Fee'!CZ96&gt;0,"✔","-")</f>
        <v>-</v>
      </c>
      <c r="BE94" s="444" t="str">
        <f>IF('Design Fee'!DA96&gt;0,"✔","-")</f>
        <v>-</v>
      </c>
      <c r="BF94" s="444" t="str">
        <f>IF('Design Fee'!DB96&gt;0,"✔","-")</f>
        <v>-</v>
      </c>
      <c r="BG94" s="444" t="str">
        <f>IF('Design Fee'!DC96&gt;0,"✔","-")</f>
        <v>-</v>
      </c>
      <c r="BH94" s="444" t="str">
        <f>IF('Design Fee'!DD96&gt;0,"✔","-")</f>
        <v>-</v>
      </c>
      <c r="BI94" s="445"/>
      <c r="BJ94" s="441"/>
      <c r="BK94" s="442"/>
      <c r="BL94" s="443" t="str">
        <f>IF('Design Fee'!EA96&gt;0,"✔","-")</f>
        <v>-</v>
      </c>
      <c r="BM94" s="443" t="str">
        <f>IF('Design Fee'!EB96&gt;0,"✔","-")</f>
        <v>-</v>
      </c>
      <c r="BN94" s="444" t="str">
        <f>IF('Design Fee'!EC96&gt;0,"✔","-")</f>
        <v>-</v>
      </c>
      <c r="BO94" s="444" t="str">
        <f>IF('Design Fee'!ED96&gt;0,"✔","-")</f>
        <v>-</v>
      </c>
      <c r="BP94" s="444" t="str">
        <f>IF('Design Fee'!EE96&gt;0,"✔","-")</f>
        <v>-</v>
      </c>
      <c r="BQ94" s="444" t="str">
        <f>IF('Design Fee'!EF96&gt;0,"✔","-")</f>
        <v>-</v>
      </c>
      <c r="BR94" s="444" t="str">
        <f>IF('Design Fee'!EG96&gt;0,"✔","-")</f>
        <v>-</v>
      </c>
      <c r="BS94" s="466" t="str">
        <f>IF('Design Fee'!EH96&gt;0,"✔","-")</f>
        <v>-</v>
      </c>
      <c r="BT94" s="383"/>
      <c r="BU94" s="444" t="str">
        <f>IF('Design Fee'!EJ96&gt;0,"✔","-")</f>
        <v>-</v>
      </c>
      <c r="BV94" s="444" t="str">
        <f>IF('Design Fee'!EK96&gt;0,"✔","-")</f>
        <v>-</v>
      </c>
      <c r="BW94" s="444" t="str">
        <f>IF('Design Fee'!EL96&gt;0,"✔","-")</f>
        <v>-</v>
      </c>
      <c r="BX94" s="444" t="str">
        <f>IF('Design Fee'!EM96&gt;0,"✔","-")</f>
        <v>-</v>
      </c>
      <c r="BY94" s="444" t="str">
        <f>IF('Design Fee'!EN96&gt;0,"✔","-")</f>
        <v>-</v>
      </c>
      <c r="BZ94" s="383"/>
    </row>
    <row r="95" spans="2:78" ht="3" customHeight="1" outlineLevel="1">
      <c r="B95" s="477"/>
      <c r="C95" s="478"/>
      <c r="D95" s="465"/>
      <c r="E95" s="383"/>
      <c r="F95" s="408"/>
      <c r="G95" s="421"/>
      <c r="H95" s="421"/>
      <c r="I95" s="421"/>
      <c r="J95" s="430"/>
      <c r="K95" s="441"/>
      <c r="L95" s="442"/>
      <c r="M95" s="443"/>
      <c r="N95" s="443"/>
      <c r="O95" s="444"/>
      <c r="P95" s="444"/>
      <c r="Q95" s="444"/>
      <c r="R95" s="444"/>
      <c r="S95" s="444"/>
      <c r="T95" s="444"/>
      <c r="U95" s="430"/>
      <c r="V95" s="444"/>
      <c r="W95" s="444"/>
      <c r="X95" s="444"/>
      <c r="Y95" s="444"/>
      <c r="Z95" s="444"/>
      <c r="AA95" s="430"/>
      <c r="AB95" s="441"/>
      <c r="AC95" s="442"/>
      <c r="AD95" s="443"/>
      <c r="AE95" s="443"/>
      <c r="AF95" s="421"/>
      <c r="AG95" s="421"/>
      <c r="AH95" s="421"/>
      <c r="AI95" s="421"/>
      <c r="AJ95" s="421"/>
      <c r="AK95" s="421"/>
      <c r="AL95" s="421"/>
      <c r="AM95" s="421"/>
      <c r="AN95" s="421"/>
      <c r="AO95" s="421"/>
      <c r="AP95" s="421"/>
      <c r="AQ95" s="421"/>
      <c r="AR95" s="421"/>
      <c r="AS95" s="441"/>
      <c r="AT95" s="421"/>
      <c r="AU95" s="443"/>
      <c r="AV95" s="443"/>
      <c r="AW95" s="421"/>
      <c r="AX95" s="421"/>
      <c r="AY95" s="421"/>
      <c r="AZ95" s="421"/>
      <c r="BA95" s="421"/>
      <c r="BB95" s="421"/>
      <c r="BC95" s="421"/>
      <c r="BD95" s="421"/>
      <c r="BE95" s="421"/>
      <c r="BF95" s="421"/>
      <c r="BG95" s="421"/>
      <c r="BH95" s="421"/>
      <c r="BI95" s="421"/>
      <c r="BJ95" s="441"/>
      <c r="BK95" s="421"/>
      <c r="BL95" s="443"/>
      <c r="BM95" s="443"/>
      <c r="BN95" s="421"/>
      <c r="BO95" s="421"/>
      <c r="BP95" s="421"/>
      <c r="BQ95" s="421"/>
      <c r="BR95" s="421"/>
      <c r="BS95" s="421"/>
      <c r="BT95" s="383"/>
      <c r="BU95" s="421"/>
      <c r="BV95" s="421"/>
      <c r="BW95" s="421"/>
      <c r="BX95" s="421"/>
      <c r="BY95" s="421"/>
      <c r="BZ95" s="383"/>
    </row>
    <row r="96" spans="2:78" ht="12.75" outlineLevel="1">
      <c r="B96" s="432">
        <v>8</v>
      </c>
      <c r="C96" s="459">
        <v>5</v>
      </c>
      <c r="D96" s="460" t="s">
        <v>106</v>
      </c>
      <c r="E96" s="434"/>
      <c r="F96" s="461">
        <f>M96+AD96+AU96+BL96</f>
        <v>21</v>
      </c>
      <c r="G96" s="461">
        <f t="shared" ref="G96:I96" si="210">N96+AE96+AV96+BM96</f>
        <v>21</v>
      </c>
      <c r="H96" s="461">
        <f t="shared" si="210"/>
        <v>19</v>
      </c>
      <c r="I96" s="461">
        <f t="shared" si="210"/>
        <v>2</v>
      </c>
      <c r="J96" s="438">
        <f t="shared" ref="J96" si="211">COUNT(J97:J106)</f>
        <v>0</v>
      </c>
      <c r="K96" s="435"/>
      <c r="L96" s="435"/>
      <c r="M96" s="461">
        <f>COUNTIF(M97:M106,"✔")</f>
        <v>8</v>
      </c>
      <c r="N96" s="461">
        <f t="shared" ref="N96" si="212">COUNTIF(N97:N106,"✔")</f>
        <v>8</v>
      </c>
      <c r="O96" s="461">
        <f t="shared" ref="O96" si="213">COUNTIF(O97:O106,"✔")</f>
        <v>8</v>
      </c>
      <c r="P96" s="461">
        <f t="shared" ref="P96" si="214">COUNTIF(P97:P106,"✔")</f>
        <v>0</v>
      </c>
      <c r="Q96" s="461">
        <f t="shared" ref="Q96" si="215">COUNTIF(Q97:Q106,"✔")</f>
        <v>0</v>
      </c>
      <c r="R96" s="461">
        <f t="shared" ref="R96" si="216">COUNTIF(R97:R106,"✔")</f>
        <v>0</v>
      </c>
      <c r="S96" s="461">
        <f t="shared" ref="S96" si="217">COUNTIF(S97:S106,"✔")</f>
        <v>0</v>
      </c>
      <c r="T96" s="461">
        <f t="shared" ref="T96" si="218">COUNTIF(T97:T106,"✔")</f>
        <v>0</v>
      </c>
      <c r="U96" s="461">
        <f t="shared" ref="U96" si="219">COUNTIF(U97:U106,"✔")</f>
        <v>0</v>
      </c>
      <c r="V96" s="461">
        <f t="shared" ref="V96" si="220">COUNTIF(V97:V106,"✔")</f>
        <v>0</v>
      </c>
      <c r="W96" s="461">
        <f t="shared" ref="W96" si="221">COUNTIF(W97:W106,"✔")</f>
        <v>0</v>
      </c>
      <c r="X96" s="461">
        <f t="shared" ref="X96" si="222">COUNTIF(X97:X106,"✔")</f>
        <v>0</v>
      </c>
      <c r="Y96" s="461">
        <f t="shared" ref="Y96" si="223">COUNTIF(Y97:Y106,"✔")</f>
        <v>0</v>
      </c>
      <c r="Z96" s="461">
        <f t="shared" ref="Z96" si="224">COUNTIF(Z97:Z106,"✔")</f>
        <v>0</v>
      </c>
      <c r="AA96" s="461">
        <f t="shared" ref="AA96" si="225">COUNTIF(AA97:AA106,"✔")</f>
        <v>0</v>
      </c>
      <c r="AB96" s="435"/>
      <c r="AC96" s="461">
        <f t="shared" ref="AC96" si="226">COUNTIF(AC97:AC106,"✔")</f>
        <v>0</v>
      </c>
      <c r="AD96" s="461">
        <f t="shared" ref="AD96" si="227">COUNTIF(AD97:AD106,"✔")</f>
        <v>6</v>
      </c>
      <c r="AE96" s="461">
        <f t="shared" ref="AE96" si="228">COUNTIF(AE97:AE106,"✔")</f>
        <v>6</v>
      </c>
      <c r="AF96" s="461">
        <f t="shared" ref="AF96" si="229">COUNTIF(AF97:AF106,"✔")</f>
        <v>6</v>
      </c>
      <c r="AG96" s="461">
        <f t="shared" ref="AG96" si="230">COUNTIF(AG97:AG106,"✔")</f>
        <v>0</v>
      </c>
      <c r="AH96" s="461">
        <f t="shared" ref="AH96" si="231">COUNTIF(AH97:AH106,"✔")</f>
        <v>0</v>
      </c>
      <c r="AI96" s="461">
        <f t="shared" ref="AI96" si="232">COUNTIF(AI97:AI106,"✔")</f>
        <v>0</v>
      </c>
      <c r="AJ96" s="461">
        <f t="shared" ref="AJ96" si="233">COUNTIF(AJ97:AJ106,"✔")</f>
        <v>0</v>
      </c>
      <c r="AK96" s="461">
        <f t="shared" ref="AK96" si="234">COUNTIF(AK97:AK106,"✔")</f>
        <v>0</v>
      </c>
      <c r="AL96" s="461">
        <f t="shared" ref="AL96" si="235">COUNTIF(AL97:AL106,"✔")</f>
        <v>0</v>
      </c>
      <c r="AM96" s="461">
        <f t="shared" ref="AM96" si="236">COUNTIF(AM97:AM106,"✔")</f>
        <v>0</v>
      </c>
      <c r="AN96" s="461">
        <f t="shared" ref="AN96" si="237">COUNTIF(AN97:AN106,"✔")</f>
        <v>0</v>
      </c>
      <c r="AO96" s="461">
        <f t="shared" ref="AO96" si="238">COUNTIF(AO97:AO106,"✔")</f>
        <v>0</v>
      </c>
      <c r="AP96" s="461">
        <f t="shared" ref="AP96" si="239">COUNTIF(AP97:AP106,"✔")</f>
        <v>0</v>
      </c>
      <c r="AQ96" s="461">
        <f t="shared" ref="AQ96" si="240">COUNTIF(AQ97:AQ106,"✔")</f>
        <v>0</v>
      </c>
      <c r="AR96" s="461">
        <f t="shared" ref="AR96" si="241">COUNTIF(AR97:AR106,"✔")</f>
        <v>0</v>
      </c>
      <c r="AS96" s="435"/>
      <c r="AT96" s="461">
        <f t="shared" ref="AT96" si="242">COUNTIF(AT97:AT106,"✔")</f>
        <v>0</v>
      </c>
      <c r="AU96" s="461">
        <f t="shared" ref="AU96" si="243">COUNTIF(AU97:AU106,"✔")</f>
        <v>5</v>
      </c>
      <c r="AV96" s="461">
        <f t="shared" ref="AV96" si="244">COUNTIF(AV97:AV106,"✔")</f>
        <v>5</v>
      </c>
      <c r="AW96" s="461">
        <f t="shared" ref="AW96" si="245">COUNTIF(AW97:AW106,"✔")</f>
        <v>4</v>
      </c>
      <c r="AX96" s="461">
        <f t="shared" ref="AX96" si="246">COUNTIF(AX97:AX106,"✔")</f>
        <v>1</v>
      </c>
      <c r="AY96" s="461">
        <f t="shared" ref="AY96" si="247">COUNTIF(AY97:AY106,"✔")</f>
        <v>1</v>
      </c>
      <c r="AZ96" s="461">
        <f t="shared" ref="AZ96" si="248">COUNTIF(AZ97:AZ106,"✔")</f>
        <v>0</v>
      </c>
      <c r="BA96" s="461">
        <f t="shared" ref="BA96" si="249">COUNTIF(BA97:BA106,"✔")</f>
        <v>0</v>
      </c>
      <c r="BB96" s="461">
        <f t="shared" ref="BB96" si="250">COUNTIF(BB97:BB106,"✔")</f>
        <v>0</v>
      </c>
      <c r="BC96" s="461">
        <f t="shared" ref="BC96" si="251">COUNTIF(BC97:BC106,"✔")</f>
        <v>0</v>
      </c>
      <c r="BD96" s="461">
        <f t="shared" ref="BD96" si="252">COUNTIF(BD97:BD106,"✔")</f>
        <v>1</v>
      </c>
      <c r="BE96" s="461">
        <f t="shared" ref="BE96" si="253">COUNTIF(BE97:BE106,"✔")</f>
        <v>0</v>
      </c>
      <c r="BF96" s="461">
        <f t="shared" ref="BF96" si="254">COUNTIF(BF97:BF106,"✔")</f>
        <v>1</v>
      </c>
      <c r="BG96" s="461">
        <f t="shared" ref="BG96" si="255">COUNTIF(BG97:BG106,"✔")</f>
        <v>0</v>
      </c>
      <c r="BH96" s="461">
        <f t="shared" ref="BH96" si="256">COUNTIF(BH97:BH106,"✔")</f>
        <v>0</v>
      </c>
      <c r="BI96" s="461">
        <f t="shared" ref="BI96" si="257">COUNTIF(BI97:BI106,"✔")</f>
        <v>0</v>
      </c>
      <c r="BJ96" s="435"/>
      <c r="BK96" s="461">
        <f t="shared" ref="BK96" si="258">COUNTIF(BK97:BK106,"✔")</f>
        <v>0</v>
      </c>
      <c r="BL96" s="461">
        <f t="shared" ref="BL96" si="259">COUNTIF(BL97:BL106,"✔")</f>
        <v>2</v>
      </c>
      <c r="BM96" s="461">
        <f t="shared" ref="BM96" si="260">COUNTIF(BM97:BM106,"✔")</f>
        <v>2</v>
      </c>
      <c r="BN96" s="461">
        <f t="shared" ref="BN96" si="261">COUNTIF(BN97:BN106,"✔")</f>
        <v>1</v>
      </c>
      <c r="BO96" s="461">
        <f t="shared" ref="BO96" si="262">COUNTIF(BO97:BO106,"✔")</f>
        <v>1</v>
      </c>
      <c r="BP96" s="461">
        <f t="shared" ref="BP96" si="263">COUNTIF(BP97:BP106,"✔")</f>
        <v>1</v>
      </c>
      <c r="BQ96" s="461">
        <f t="shared" ref="BQ96" si="264">COUNTIF(BQ97:BQ106,"✔")</f>
        <v>0</v>
      </c>
      <c r="BR96" s="461">
        <f t="shared" ref="BR96" si="265">COUNTIF(BR97:BR106,"✔")</f>
        <v>0</v>
      </c>
      <c r="BS96" s="461">
        <f t="shared" ref="BS96" si="266">COUNTIF(BS97:BS106,"✔")</f>
        <v>0</v>
      </c>
      <c r="BT96" s="383"/>
      <c r="BU96" s="461">
        <f t="shared" ref="BU96" si="267">COUNTIF(BU97:BU106,"✔")</f>
        <v>1</v>
      </c>
      <c r="BV96" s="461">
        <f t="shared" ref="BV96" si="268">COUNTIF(BV97:BV106,"✔")</f>
        <v>0</v>
      </c>
      <c r="BW96" s="461">
        <f t="shared" ref="BW96" si="269">COUNTIF(BW97:BW106,"✔")</f>
        <v>1</v>
      </c>
      <c r="BX96" s="461">
        <f t="shared" ref="BX96" si="270">COUNTIF(BX97:BX106,"✔")</f>
        <v>0</v>
      </c>
      <c r="BY96" s="461">
        <f t="shared" ref="BY96" si="271">COUNTIF(BY97:BY106,"✔")</f>
        <v>0</v>
      </c>
      <c r="BZ96" s="383"/>
    </row>
    <row r="97" spans="2:78" ht="12.75" outlineLevel="2">
      <c r="B97" s="463" t="s">
        <v>107</v>
      </c>
      <c r="C97" s="464">
        <v>1</v>
      </c>
      <c r="D97" s="465" t="s">
        <v>52</v>
      </c>
      <c r="E97" s="383"/>
      <c r="F97" s="443">
        <f t="shared" ref="F97:F105" si="272">COUNTIF(M97,"✔")+COUNTIF(AD97,"✔")+COUNTIF(BL97,"✔")+COUNTIF(AU97,"✔")</f>
        <v>3</v>
      </c>
      <c r="G97" s="444">
        <f t="shared" ref="G97:H105" si="273">COUNTIF(N97,"✔")+COUNTIF(AE97,"✔")+COUNTIF(BM97,"✔")+COUNTIF(AV97,"✔")</f>
        <v>3</v>
      </c>
      <c r="H97" s="444">
        <f t="shared" si="273"/>
        <v>3</v>
      </c>
      <c r="I97" s="444">
        <f t="shared" ref="I97:I105" si="274">F97-G97</f>
        <v>0</v>
      </c>
      <c r="J97" s="430"/>
      <c r="K97" s="471"/>
      <c r="L97" s="442"/>
      <c r="M97" s="443" t="str">
        <f>IF('Design Fee'!W99&gt;0,"✔","-")</f>
        <v>✔</v>
      </c>
      <c r="N97" s="443" t="str">
        <f>IF('Design Fee'!X99&gt;0,"✔","-")</f>
        <v>✔</v>
      </c>
      <c r="O97" s="444" t="str">
        <f>IF('Design Fee'!Y99&gt;0,"✔","-")</f>
        <v>✔</v>
      </c>
      <c r="P97" s="444" t="str">
        <f>IF('Design Fee'!Z99&gt;0,"✔","-")</f>
        <v>-</v>
      </c>
      <c r="Q97" s="444" t="str">
        <f>IF('Design Fee'!AA99&gt;0,"✔","-")</f>
        <v>-</v>
      </c>
      <c r="R97" s="444" t="str">
        <f>IF('Design Fee'!AB99&gt;0,"✔","-")</f>
        <v>-</v>
      </c>
      <c r="S97" s="444" t="str">
        <f>IF('Design Fee'!AC99&gt;0,"✔","-")</f>
        <v>-</v>
      </c>
      <c r="T97" s="466" t="str">
        <f>IF('Design Fee'!AD99&gt;0,"✔","-")</f>
        <v>-</v>
      </c>
      <c r="U97" s="430"/>
      <c r="V97" s="444" t="str">
        <f>IF('Design Fee'!AF99&gt;0,"✔","-")</f>
        <v>-</v>
      </c>
      <c r="W97" s="444" t="str">
        <f>IF('Design Fee'!AG99&gt;0,"✔","-")</f>
        <v>-</v>
      </c>
      <c r="X97" s="444" t="str">
        <f>IF('Design Fee'!AH99&gt;0,"✔","-")</f>
        <v>-</v>
      </c>
      <c r="Y97" s="444" t="str">
        <f>IF('Design Fee'!AI99&gt;0,"✔","-")</f>
        <v>-</v>
      </c>
      <c r="Z97" s="444" t="str">
        <f>IF('Design Fee'!AJ99&gt;0,"✔","-")</f>
        <v>-</v>
      </c>
      <c r="AA97" s="430"/>
      <c r="AB97" s="471"/>
      <c r="AC97" s="442"/>
      <c r="AD97" s="443" t="str">
        <f>IF('Design Fee'!BG99&gt;0,"✔","-")</f>
        <v>✔</v>
      </c>
      <c r="AE97" s="443" t="str">
        <f>IF('Design Fee'!BH99&gt;0,"✔","-")</f>
        <v>✔</v>
      </c>
      <c r="AF97" s="444" t="str">
        <f>IF('Design Fee'!BI99&gt;0,"✔","-")</f>
        <v>✔</v>
      </c>
      <c r="AG97" s="444" t="str">
        <f>IF('Design Fee'!BJ99&gt;0,"✔","-")</f>
        <v>-</v>
      </c>
      <c r="AH97" s="444" t="str">
        <f>IF('Design Fee'!BK99&gt;0,"✔","-")</f>
        <v>-</v>
      </c>
      <c r="AI97" s="444" t="str">
        <f>IF('Design Fee'!BL99&gt;0,"✔","-")</f>
        <v>-</v>
      </c>
      <c r="AJ97" s="444" t="str">
        <f>IF('Design Fee'!BM99&gt;0,"✔","-")</f>
        <v>-</v>
      </c>
      <c r="AK97" s="466" t="str">
        <f>IF('Design Fee'!BN99&gt;0,"✔","-")</f>
        <v>-</v>
      </c>
      <c r="AL97" s="445"/>
      <c r="AM97" s="444" t="str">
        <f>IF('Design Fee'!BP99&gt;0,"✔","-")</f>
        <v>-</v>
      </c>
      <c r="AN97" s="444" t="str">
        <f>IF('Design Fee'!BQ99&gt;0,"✔","-")</f>
        <v>-</v>
      </c>
      <c r="AO97" s="444" t="str">
        <f>IF('Design Fee'!BR99&gt;0,"✔","-")</f>
        <v>-</v>
      </c>
      <c r="AP97" s="444" t="str">
        <f>IF('Design Fee'!BS99&gt;0,"✔","-")</f>
        <v>-</v>
      </c>
      <c r="AQ97" s="444" t="str">
        <f>IF('Design Fee'!BT99&gt;0,"✔","-")</f>
        <v>-</v>
      </c>
      <c r="AR97" s="445"/>
      <c r="AS97" s="471"/>
      <c r="AT97" s="442"/>
      <c r="AU97" s="443" t="str">
        <f>IF('Design Fee'!CQ99&gt;0,"✔","-")</f>
        <v>✔</v>
      </c>
      <c r="AV97" s="443" t="str">
        <f>IF('Design Fee'!CR99&gt;0,"✔","-")</f>
        <v>✔</v>
      </c>
      <c r="AW97" s="444" t="str">
        <f>IF('Design Fee'!CS99&gt;0,"✔","-")</f>
        <v>✔</v>
      </c>
      <c r="AX97" s="444" t="str">
        <f>IF('Design Fee'!CT99&gt;0,"✔","-")</f>
        <v>-</v>
      </c>
      <c r="AY97" s="444" t="str">
        <f>IF('Design Fee'!CU99&gt;0,"✔","-")</f>
        <v>-</v>
      </c>
      <c r="AZ97" s="444" t="str">
        <f>IF('Design Fee'!CV99&gt;0,"✔","-")</f>
        <v>-</v>
      </c>
      <c r="BA97" s="444" t="str">
        <f>IF('Design Fee'!CW99&gt;0,"✔","-")</f>
        <v>-</v>
      </c>
      <c r="BB97" s="466" t="str">
        <f>IF('Design Fee'!CX99&gt;0,"✔","-")</f>
        <v>-</v>
      </c>
      <c r="BC97" s="445"/>
      <c r="BD97" s="444" t="str">
        <f>IF('Design Fee'!CZ99&gt;0,"✔","-")</f>
        <v>-</v>
      </c>
      <c r="BE97" s="444" t="str">
        <f>IF('Design Fee'!DA99&gt;0,"✔","-")</f>
        <v>-</v>
      </c>
      <c r="BF97" s="444" t="str">
        <f>IF('Design Fee'!DB99&gt;0,"✔","-")</f>
        <v>-</v>
      </c>
      <c r="BG97" s="444" t="str">
        <f>IF('Design Fee'!DC99&gt;0,"✔","-")</f>
        <v>-</v>
      </c>
      <c r="BH97" s="444" t="str">
        <f>IF('Design Fee'!DD99&gt;0,"✔","-")</f>
        <v>-</v>
      </c>
      <c r="BI97" s="445"/>
      <c r="BJ97" s="471"/>
      <c r="BK97" s="442"/>
      <c r="BL97" s="443" t="str">
        <f>IF('Design Fee'!EA99&gt;0,"✔","-")</f>
        <v>-</v>
      </c>
      <c r="BM97" s="443" t="str">
        <f>IF('Design Fee'!EB99&gt;0,"✔","-")</f>
        <v>-</v>
      </c>
      <c r="BN97" s="444" t="str">
        <f>IF('Design Fee'!EC99&gt;0,"✔","-")</f>
        <v>-</v>
      </c>
      <c r="BO97" s="444" t="str">
        <f>IF('Design Fee'!ED99&gt;0,"✔","-")</f>
        <v>-</v>
      </c>
      <c r="BP97" s="444" t="str">
        <f>IF('Design Fee'!EE99&gt;0,"✔","-")</f>
        <v>-</v>
      </c>
      <c r="BQ97" s="444" t="str">
        <f>IF('Design Fee'!EF99&gt;0,"✔","-")</f>
        <v>-</v>
      </c>
      <c r="BR97" s="444" t="str">
        <f>IF('Design Fee'!EG99&gt;0,"✔","-")</f>
        <v>-</v>
      </c>
      <c r="BS97" s="466" t="str">
        <f>IF('Design Fee'!EH99&gt;0,"✔","-")</f>
        <v>-</v>
      </c>
      <c r="BT97" s="383"/>
      <c r="BU97" s="444" t="str">
        <f>IF('Design Fee'!EJ99&gt;0,"✔","-")</f>
        <v>-</v>
      </c>
      <c r="BV97" s="444" t="str">
        <f>IF('Design Fee'!EK99&gt;0,"✔","-")</f>
        <v>-</v>
      </c>
      <c r="BW97" s="444" t="str">
        <f>IF('Design Fee'!EL99&gt;0,"✔","-")</f>
        <v>-</v>
      </c>
      <c r="BX97" s="444" t="str">
        <f>IF('Design Fee'!EM99&gt;0,"✔","-")</f>
        <v>-</v>
      </c>
      <c r="BY97" s="444" t="str">
        <f>IF('Design Fee'!EN99&gt;0,"✔","-")</f>
        <v>-</v>
      </c>
      <c r="BZ97" s="383"/>
    </row>
    <row r="98" spans="2:78" ht="12.75" outlineLevel="2">
      <c r="B98" s="463" t="s">
        <v>108</v>
      </c>
      <c r="C98" s="464">
        <v>2</v>
      </c>
      <c r="D98" s="465" t="s">
        <v>54</v>
      </c>
      <c r="E98" s="383"/>
      <c r="F98" s="443">
        <f t="shared" si="272"/>
        <v>1</v>
      </c>
      <c r="G98" s="444">
        <f t="shared" si="273"/>
        <v>1</v>
      </c>
      <c r="H98" s="444">
        <f t="shared" si="273"/>
        <v>1</v>
      </c>
      <c r="I98" s="444">
        <f t="shared" si="274"/>
        <v>0</v>
      </c>
      <c r="J98" s="467"/>
      <c r="K98" s="441"/>
      <c r="L98" s="442"/>
      <c r="M98" s="443" t="str">
        <f>IF('Design Fee'!W100&gt;0,"✔","-")</f>
        <v>-</v>
      </c>
      <c r="N98" s="443" t="str">
        <f>IF('Design Fee'!X100&gt;0,"✔","-")</f>
        <v>-</v>
      </c>
      <c r="O98" s="444" t="str">
        <f>IF('Design Fee'!Y100&gt;0,"✔","-")</f>
        <v>-</v>
      </c>
      <c r="P98" s="444" t="str">
        <f>IF('Design Fee'!Z100&gt;0,"✔","-")</f>
        <v>-</v>
      </c>
      <c r="Q98" s="444" t="str">
        <f>IF('Design Fee'!AA100&gt;0,"✔","-")</f>
        <v>-</v>
      </c>
      <c r="R98" s="444" t="str">
        <f>IF('Design Fee'!AB100&gt;0,"✔","-")</f>
        <v>-</v>
      </c>
      <c r="S98" s="444" t="str">
        <f>IF('Design Fee'!AC100&gt;0,"✔","-")</f>
        <v>-</v>
      </c>
      <c r="T98" s="466" t="str">
        <f>IF('Design Fee'!AD100&gt;0,"✔","-")</f>
        <v>-</v>
      </c>
      <c r="U98" s="467"/>
      <c r="V98" s="444" t="str">
        <f>IF('Design Fee'!AF100&gt;0,"✔","-")</f>
        <v>-</v>
      </c>
      <c r="W98" s="444" t="str">
        <f>IF('Design Fee'!AG100&gt;0,"✔","-")</f>
        <v>-</v>
      </c>
      <c r="X98" s="444" t="str">
        <f>IF('Design Fee'!AH100&gt;0,"✔","-")</f>
        <v>-</v>
      </c>
      <c r="Y98" s="444" t="str">
        <f>IF('Design Fee'!AI100&gt;0,"✔","-")</f>
        <v>-</v>
      </c>
      <c r="Z98" s="444" t="str">
        <f>IF('Design Fee'!AJ100&gt;0,"✔","-")</f>
        <v>-</v>
      </c>
      <c r="AA98" s="467"/>
      <c r="AB98" s="441"/>
      <c r="AC98" s="442"/>
      <c r="AD98" s="443" t="str">
        <f>IF('Design Fee'!BG100&gt;0,"✔","-")</f>
        <v>✔</v>
      </c>
      <c r="AE98" s="443" t="str">
        <f>IF('Design Fee'!BH100&gt;0,"✔","-")</f>
        <v>✔</v>
      </c>
      <c r="AF98" s="444" t="str">
        <f>IF('Design Fee'!BI100&gt;0,"✔","-")</f>
        <v>✔</v>
      </c>
      <c r="AG98" s="444" t="str">
        <f>IF('Design Fee'!BJ100&gt;0,"✔","-")</f>
        <v>-</v>
      </c>
      <c r="AH98" s="444" t="str">
        <f>IF('Design Fee'!BK100&gt;0,"✔","-")</f>
        <v>-</v>
      </c>
      <c r="AI98" s="444" t="str">
        <f>IF('Design Fee'!BL100&gt;0,"✔","-")</f>
        <v>-</v>
      </c>
      <c r="AJ98" s="444" t="str">
        <f>IF('Design Fee'!BM100&gt;0,"✔","-")</f>
        <v>-</v>
      </c>
      <c r="AK98" s="466" t="str">
        <f>IF('Design Fee'!BN100&gt;0,"✔","-")</f>
        <v>-</v>
      </c>
      <c r="AL98" s="445"/>
      <c r="AM98" s="444" t="str">
        <f>IF('Design Fee'!BP100&gt;0,"✔","-")</f>
        <v>-</v>
      </c>
      <c r="AN98" s="444" t="str">
        <f>IF('Design Fee'!BQ100&gt;0,"✔","-")</f>
        <v>-</v>
      </c>
      <c r="AO98" s="444" t="str">
        <f>IF('Design Fee'!BR100&gt;0,"✔","-")</f>
        <v>-</v>
      </c>
      <c r="AP98" s="444" t="str">
        <f>IF('Design Fee'!BS100&gt;0,"✔","-")</f>
        <v>-</v>
      </c>
      <c r="AQ98" s="444" t="str">
        <f>IF('Design Fee'!BT100&gt;0,"✔","-")</f>
        <v>-</v>
      </c>
      <c r="AR98" s="445"/>
      <c r="AS98" s="441"/>
      <c r="AT98" s="442"/>
      <c r="AU98" s="443" t="str">
        <f>IF('Design Fee'!CQ100&gt;0,"✔","-")</f>
        <v>-</v>
      </c>
      <c r="AV98" s="443" t="str">
        <f>IF('Design Fee'!CR100&gt;0,"✔","-")</f>
        <v>-</v>
      </c>
      <c r="AW98" s="444" t="str">
        <f>IF('Design Fee'!CS100&gt;0,"✔","-")</f>
        <v>-</v>
      </c>
      <c r="AX98" s="444" t="str">
        <f>IF('Design Fee'!CT100&gt;0,"✔","-")</f>
        <v>-</v>
      </c>
      <c r="AY98" s="444" t="str">
        <f>IF('Design Fee'!CU100&gt;0,"✔","-")</f>
        <v>-</v>
      </c>
      <c r="AZ98" s="444" t="str">
        <f>IF('Design Fee'!CV100&gt;0,"✔","-")</f>
        <v>-</v>
      </c>
      <c r="BA98" s="444" t="str">
        <f>IF('Design Fee'!CW100&gt;0,"✔","-")</f>
        <v>-</v>
      </c>
      <c r="BB98" s="466" t="str">
        <f>IF('Design Fee'!CX100&gt;0,"✔","-")</f>
        <v>-</v>
      </c>
      <c r="BC98" s="445"/>
      <c r="BD98" s="444" t="str">
        <f>IF('Design Fee'!CZ100&gt;0,"✔","-")</f>
        <v>-</v>
      </c>
      <c r="BE98" s="444" t="str">
        <f>IF('Design Fee'!DA100&gt;0,"✔","-")</f>
        <v>-</v>
      </c>
      <c r="BF98" s="444" t="str">
        <f>IF('Design Fee'!DB100&gt;0,"✔","-")</f>
        <v>-</v>
      </c>
      <c r="BG98" s="444" t="str">
        <f>IF('Design Fee'!DC100&gt;0,"✔","-")</f>
        <v>-</v>
      </c>
      <c r="BH98" s="444" t="str">
        <f>IF('Design Fee'!DD100&gt;0,"✔","-")</f>
        <v>-</v>
      </c>
      <c r="BI98" s="445"/>
      <c r="BJ98" s="441"/>
      <c r="BK98" s="442"/>
      <c r="BL98" s="443" t="str">
        <f>IF('Design Fee'!EA100&gt;0,"✔","-")</f>
        <v>-</v>
      </c>
      <c r="BM98" s="443" t="str">
        <f>IF('Design Fee'!EB100&gt;0,"✔","-")</f>
        <v>-</v>
      </c>
      <c r="BN98" s="444" t="str">
        <f>IF('Design Fee'!EC100&gt;0,"✔","-")</f>
        <v>-</v>
      </c>
      <c r="BO98" s="444" t="str">
        <f>IF('Design Fee'!ED100&gt;0,"✔","-")</f>
        <v>-</v>
      </c>
      <c r="BP98" s="444" t="str">
        <f>IF('Design Fee'!EE100&gt;0,"✔","-")</f>
        <v>-</v>
      </c>
      <c r="BQ98" s="444" t="str">
        <f>IF('Design Fee'!EF100&gt;0,"✔","-")</f>
        <v>-</v>
      </c>
      <c r="BR98" s="444" t="str">
        <f>IF('Design Fee'!EG100&gt;0,"✔","-")</f>
        <v>-</v>
      </c>
      <c r="BS98" s="466" t="str">
        <f>IF('Design Fee'!EH100&gt;0,"✔","-")</f>
        <v>-</v>
      </c>
      <c r="BT98" s="383"/>
      <c r="BU98" s="444" t="str">
        <f>IF('Design Fee'!EJ100&gt;0,"✔","-")</f>
        <v>-</v>
      </c>
      <c r="BV98" s="444" t="str">
        <f>IF('Design Fee'!EK100&gt;0,"✔","-")</f>
        <v>-</v>
      </c>
      <c r="BW98" s="444" t="str">
        <f>IF('Design Fee'!EL100&gt;0,"✔","-")</f>
        <v>-</v>
      </c>
      <c r="BX98" s="444" t="str">
        <f>IF('Design Fee'!EM100&gt;0,"✔","-")</f>
        <v>-</v>
      </c>
      <c r="BY98" s="444" t="str">
        <f>IF('Design Fee'!EN100&gt;0,"✔","-")</f>
        <v>-</v>
      </c>
      <c r="BZ98" s="383"/>
    </row>
    <row r="99" spans="2:78" ht="12.75" outlineLevel="2">
      <c r="B99" s="463" t="s">
        <v>109</v>
      </c>
      <c r="C99" s="464">
        <v>3</v>
      </c>
      <c r="D99" s="465" t="s">
        <v>56</v>
      </c>
      <c r="E99" s="383"/>
      <c r="F99" s="443">
        <f t="shared" si="272"/>
        <v>1</v>
      </c>
      <c r="G99" s="444">
        <f t="shared" si="273"/>
        <v>1</v>
      </c>
      <c r="H99" s="444">
        <f t="shared" si="273"/>
        <v>1</v>
      </c>
      <c r="I99" s="444">
        <f t="shared" si="274"/>
        <v>0</v>
      </c>
      <c r="J99" s="467"/>
      <c r="K99" s="441"/>
      <c r="L99" s="442"/>
      <c r="M99" s="443" t="str">
        <f>IF('Design Fee'!W101&gt;0,"✔","-")</f>
        <v>✔</v>
      </c>
      <c r="N99" s="443" t="str">
        <f>IF('Design Fee'!X101&gt;0,"✔","-")</f>
        <v>✔</v>
      </c>
      <c r="O99" s="444" t="str">
        <f>IF('Design Fee'!Y101&gt;0,"✔","-")</f>
        <v>✔</v>
      </c>
      <c r="P99" s="444" t="str">
        <f>IF('Design Fee'!Z101&gt;0,"✔","-")</f>
        <v>-</v>
      </c>
      <c r="Q99" s="444" t="str">
        <f>IF('Design Fee'!AA101&gt;0,"✔","-")</f>
        <v>-</v>
      </c>
      <c r="R99" s="444" t="str">
        <f>IF('Design Fee'!AB101&gt;0,"✔","-")</f>
        <v>-</v>
      </c>
      <c r="S99" s="444" t="str">
        <f>IF('Design Fee'!AC101&gt;0,"✔","-")</f>
        <v>-</v>
      </c>
      <c r="T99" s="466" t="str">
        <f>IF('Design Fee'!AD101&gt;0,"✔","-")</f>
        <v>-</v>
      </c>
      <c r="U99" s="467"/>
      <c r="V99" s="444" t="str">
        <f>IF('Design Fee'!AF101&gt;0,"✔","-")</f>
        <v>-</v>
      </c>
      <c r="W99" s="444" t="str">
        <f>IF('Design Fee'!AG101&gt;0,"✔","-")</f>
        <v>-</v>
      </c>
      <c r="X99" s="444" t="str">
        <f>IF('Design Fee'!AH101&gt;0,"✔","-")</f>
        <v>-</v>
      </c>
      <c r="Y99" s="444" t="str">
        <f>IF('Design Fee'!AI101&gt;0,"✔","-")</f>
        <v>-</v>
      </c>
      <c r="Z99" s="444" t="str">
        <f>IF('Design Fee'!AJ101&gt;0,"✔","-")</f>
        <v>-</v>
      </c>
      <c r="AA99" s="467"/>
      <c r="AB99" s="441"/>
      <c r="AC99" s="442"/>
      <c r="AD99" s="443" t="str">
        <f>IF('Design Fee'!BG101&gt;0,"✔","-")</f>
        <v>-</v>
      </c>
      <c r="AE99" s="443" t="str">
        <f>IF('Design Fee'!BH101&gt;0,"✔","-")</f>
        <v>-</v>
      </c>
      <c r="AF99" s="444" t="str">
        <f>IF('Design Fee'!BI101&gt;0,"✔","-")</f>
        <v>-</v>
      </c>
      <c r="AG99" s="444" t="str">
        <f>IF('Design Fee'!BJ101&gt;0,"✔","-")</f>
        <v>-</v>
      </c>
      <c r="AH99" s="444" t="str">
        <f>IF('Design Fee'!BK101&gt;0,"✔","-")</f>
        <v>-</v>
      </c>
      <c r="AI99" s="444" t="str">
        <f>IF('Design Fee'!BL101&gt;0,"✔","-")</f>
        <v>-</v>
      </c>
      <c r="AJ99" s="444" t="str">
        <f>IF('Design Fee'!BM101&gt;0,"✔","-")</f>
        <v>-</v>
      </c>
      <c r="AK99" s="466" t="str">
        <f>IF('Design Fee'!BN101&gt;0,"✔","-")</f>
        <v>-</v>
      </c>
      <c r="AL99" s="445"/>
      <c r="AM99" s="444" t="str">
        <f>IF('Design Fee'!BP101&gt;0,"✔","-")</f>
        <v>-</v>
      </c>
      <c r="AN99" s="444" t="str">
        <f>IF('Design Fee'!BQ101&gt;0,"✔","-")</f>
        <v>-</v>
      </c>
      <c r="AO99" s="444" t="str">
        <f>IF('Design Fee'!BR101&gt;0,"✔","-")</f>
        <v>-</v>
      </c>
      <c r="AP99" s="444" t="str">
        <f>IF('Design Fee'!BS101&gt;0,"✔","-")</f>
        <v>-</v>
      </c>
      <c r="AQ99" s="444" t="str">
        <f>IF('Design Fee'!BT101&gt;0,"✔","-")</f>
        <v>-</v>
      </c>
      <c r="AR99" s="445"/>
      <c r="AS99" s="441"/>
      <c r="AT99" s="442"/>
      <c r="AU99" s="443" t="str">
        <f>IF('Design Fee'!CQ101&gt;0,"✔","-")</f>
        <v>-</v>
      </c>
      <c r="AV99" s="443" t="str">
        <f>IF('Design Fee'!CR101&gt;0,"✔","-")</f>
        <v>-</v>
      </c>
      <c r="AW99" s="444" t="str">
        <f>IF('Design Fee'!CS101&gt;0,"✔","-")</f>
        <v>-</v>
      </c>
      <c r="AX99" s="444" t="str">
        <f>IF('Design Fee'!CT101&gt;0,"✔","-")</f>
        <v>-</v>
      </c>
      <c r="AY99" s="444" t="str">
        <f>IF('Design Fee'!CU101&gt;0,"✔","-")</f>
        <v>-</v>
      </c>
      <c r="AZ99" s="444" t="str">
        <f>IF('Design Fee'!CV101&gt;0,"✔","-")</f>
        <v>-</v>
      </c>
      <c r="BA99" s="444" t="str">
        <f>IF('Design Fee'!CW101&gt;0,"✔","-")</f>
        <v>-</v>
      </c>
      <c r="BB99" s="466" t="str">
        <f>IF('Design Fee'!CX101&gt;0,"✔","-")</f>
        <v>-</v>
      </c>
      <c r="BC99" s="445"/>
      <c r="BD99" s="444" t="str">
        <f>IF('Design Fee'!CZ101&gt;0,"✔","-")</f>
        <v>-</v>
      </c>
      <c r="BE99" s="444" t="str">
        <f>IF('Design Fee'!DA101&gt;0,"✔","-")</f>
        <v>-</v>
      </c>
      <c r="BF99" s="444" t="str">
        <f>IF('Design Fee'!DB101&gt;0,"✔","-")</f>
        <v>-</v>
      </c>
      <c r="BG99" s="444" t="str">
        <f>IF('Design Fee'!DC101&gt;0,"✔","-")</f>
        <v>-</v>
      </c>
      <c r="BH99" s="444" t="str">
        <f>IF('Design Fee'!DD101&gt;0,"✔","-")</f>
        <v>-</v>
      </c>
      <c r="BI99" s="445"/>
      <c r="BJ99" s="441"/>
      <c r="BK99" s="442"/>
      <c r="BL99" s="443" t="str">
        <f>IF('Design Fee'!EA101&gt;0,"✔","-")</f>
        <v>-</v>
      </c>
      <c r="BM99" s="443" t="str">
        <f>IF('Design Fee'!EB101&gt;0,"✔","-")</f>
        <v>-</v>
      </c>
      <c r="BN99" s="444" t="str">
        <f>IF('Design Fee'!EC101&gt;0,"✔","-")</f>
        <v>-</v>
      </c>
      <c r="BO99" s="444" t="str">
        <f>IF('Design Fee'!ED101&gt;0,"✔","-")</f>
        <v>-</v>
      </c>
      <c r="BP99" s="444" t="str">
        <f>IF('Design Fee'!EE101&gt;0,"✔","-")</f>
        <v>-</v>
      </c>
      <c r="BQ99" s="444" t="str">
        <f>IF('Design Fee'!EF101&gt;0,"✔","-")</f>
        <v>-</v>
      </c>
      <c r="BR99" s="444" t="str">
        <f>IF('Design Fee'!EG101&gt;0,"✔","-")</f>
        <v>-</v>
      </c>
      <c r="BS99" s="466" t="str">
        <f>IF('Design Fee'!EH101&gt;0,"✔","-")</f>
        <v>-</v>
      </c>
      <c r="BT99" s="383"/>
      <c r="BU99" s="444" t="str">
        <f>IF('Design Fee'!EJ101&gt;0,"✔","-")</f>
        <v>-</v>
      </c>
      <c r="BV99" s="444" t="str">
        <f>IF('Design Fee'!EK101&gt;0,"✔","-")</f>
        <v>-</v>
      </c>
      <c r="BW99" s="444" t="str">
        <f>IF('Design Fee'!EL101&gt;0,"✔","-")</f>
        <v>-</v>
      </c>
      <c r="BX99" s="444" t="str">
        <f>IF('Design Fee'!EM101&gt;0,"✔","-")</f>
        <v>-</v>
      </c>
      <c r="BY99" s="444" t="str">
        <f>IF('Design Fee'!EN101&gt;0,"✔","-")</f>
        <v>-</v>
      </c>
      <c r="BZ99" s="383"/>
    </row>
    <row r="100" spans="2:78" ht="12.75" outlineLevel="2">
      <c r="B100" s="463" t="s">
        <v>110</v>
      </c>
      <c r="C100" s="464">
        <v>4</v>
      </c>
      <c r="D100" s="465" t="s">
        <v>88</v>
      </c>
      <c r="E100" s="383"/>
      <c r="F100" s="443">
        <f t="shared" si="272"/>
        <v>3</v>
      </c>
      <c r="G100" s="444">
        <f t="shared" si="273"/>
        <v>3</v>
      </c>
      <c r="H100" s="444">
        <f t="shared" si="273"/>
        <v>2</v>
      </c>
      <c r="I100" s="444">
        <f t="shared" si="274"/>
        <v>0</v>
      </c>
      <c r="J100" s="430"/>
      <c r="K100" s="441"/>
      <c r="L100" s="442"/>
      <c r="M100" s="443" t="str">
        <f>IF('Design Fee'!W102&gt;0,"✔","-")</f>
        <v>✔</v>
      </c>
      <c r="N100" s="443" t="str">
        <f>IF('Design Fee'!X102&gt;0,"✔","-")</f>
        <v>✔</v>
      </c>
      <c r="O100" s="452" t="str">
        <f>IF('Design Fee'!Y102&gt;0,"✔","-")</f>
        <v>✔</v>
      </c>
      <c r="P100" s="452" t="str">
        <f>IF('Design Fee'!Z102&gt;0,"✔","-")</f>
        <v>-</v>
      </c>
      <c r="Q100" s="452" t="str">
        <f>IF('Design Fee'!AA102&gt;0,"✔","-")</f>
        <v>-</v>
      </c>
      <c r="R100" s="452" t="str">
        <f>IF('Design Fee'!AB102&gt;0,"✔","-")</f>
        <v>-</v>
      </c>
      <c r="S100" s="452" t="str">
        <f>IF('Design Fee'!AC102&gt;0,"✔","-")</f>
        <v>-</v>
      </c>
      <c r="T100" s="466" t="str">
        <f>IF('Design Fee'!AD102&gt;0,"✔","-")</f>
        <v>-</v>
      </c>
      <c r="U100" s="430"/>
      <c r="V100" s="444" t="str">
        <f>IF('Design Fee'!AF102&gt;0,"✔","-")</f>
        <v>-</v>
      </c>
      <c r="W100" s="444" t="str">
        <f>IF('Design Fee'!AG102&gt;0,"✔","-")</f>
        <v>-</v>
      </c>
      <c r="X100" s="444" t="str">
        <f>IF('Design Fee'!AH102&gt;0,"✔","-")</f>
        <v>-</v>
      </c>
      <c r="Y100" s="444" t="str">
        <f>IF('Design Fee'!AI102&gt;0,"✔","-")</f>
        <v>-</v>
      </c>
      <c r="Z100" s="444" t="str">
        <f>IF('Design Fee'!AJ102&gt;0,"✔","-")</f>
        <v>-</v>
      </c>
      <c r="AA100" s="430"/>
      <c r="AB100" s="441"/>
      <c r="AC100" s="442"/>
      <c r="AD100" s="443" t="str">
        <f>IF('Design Fee'!BG102&gt;0,"✔","-")</f>
        <v>✔</v>
      </c>
      <c r="AE100" s="443" t="str">
        <f>IF('Design Fee'!BH102&gt;0,"✔","-")</f>
        <v>✔</v>
      </c>
      <c r="AF100" s="452" t="str">
        <f>IF('Design Fee'!BI102&gt;0,"✔","-")</f>
        <v>✔</v>
      </c>
      <c r="AG100" s="452" t="str">
        <f>IF('Design Fee'!BJ102&gt;0,"✔","-")</f>
        <v>-</v>
      </c>
      <c r="AH100" s="452" t="str">
        <f>IF('Design Fee'!BK102&gt;0,"✔","-")</f>
        <v>-</v>
      </c>
      <c r="AI100" s="452" t="str">
        <f>IF('Design Fee'!BL102&gt;0,"✔","-")</f>
        <v>-</v>
      </c>
      <c r="AJ100" s="452" t="str">
        <f>IF('Design Fee'!BM102&gt;0,"✔","-")</f>
        <v>-</v>
      </c>
      <c r="AK100" s="466" t="str">
        <f>IF('Design Fee'!BN102&gt;0,"✔","-")</f>
        <v>-</v>
      </c>
      <c r="AL100" s="445"/>
      <c r="AM100" s="444" t="str">
        <f>IF('Design Fee'!BP102&gt;0,"✔","-")</f>
        <v>-</v>
      </c>
      <c r="AN100" s="444" t="str">
        <f>IF('Design Fee'!BQ102&gt;0,"✔","-")</f>
        <v>-</v>
      </c>
      <c r="AO100" s="444" t="str">
        <f>IF('Design Fee'!BR102&gt;0,"✔","-")</f>
        <v>-</v>
      </c>
      <c r="AP100" s="444" t="str">
        <f>IF('Design Fee'!BS102&gt;0,"✔","-")</f>
        <v>-</v>
      </c>
      <c r="AQ100" s="444" t="str">
        <f>IF('Design Fee'!BT102&gt;0,"✔","-")</f>
        <v>-</v>
      </c>
      <c r="AR100" s="445"/>
      <c r="AS100" s="441"/>
      <c r="AT100" s="442"/>
      <c r="AU100" s="443" t="str">
        <f>IF('Design Fee'!CQ102&gt;0,"✔","-")</f>
        <v>✔</v>
      </c>
      <c r="AV100" s="443" t="str">
        <f>IF('Design Fee'!CR102&gt;0,"✔","-")</f>
        <v>✔</v>
      </c>
      <c r="AW100" s="452" t="str">
        <f>IF('Design Fee'!CS102&gt;0,"✔","-")</f>
        <v>-</v>
      </c>
      <c r="AX100" s="452" t="str">
        <f>IF('Design Fee'!CT102&gt;0,"✔","-")</f>
        <v>✔</v>
      </c>
      <c r="AY100" s="452" t="str">
        <f>IF('Design Fee'!CU102&gt;0,"✔","-")</f>
        <v>✔</v>
      </c>
      <c r="AZ100" s="452" t="str">
        <f>IF('Design Fee'!CV102&gt;0,"✔","-")</f>
        <v>-</v>
      </c>
      <c r="BA100" s="452" t="str">
        <f>IF('Design Fee'!CW102&gt;0,"✔","-")</f>
        <v>-</v>
      </c>
      <c r="BB100" s="466" t="str">
        <f>IF('Design Fee'!CX102&gt;0,"✔","-")</f>
        <v>-</v>
      </c>
      <c r="BC100" s="445"/>
      <c r="BD100" s="444" t="str">
        <f>IF('Design Fee'!CZ102&gt;0,"✔","-")</f>
        <v>✔</v>
      </c>
      <c r="BE100" s="444" t="str">
        <f>IF('Design Fee'!DA102&gt;0,"✔","-")</f>
        <v>-</v>
      </c>
      <c r="BF100" s="444" t="str">
        <f>IF('Design Fee'!DB102&gt;0,"✔","-")</f>
        <v>✔</v>
      </c>
      <c r="BG100" s="444" t="str">
        <f>IF('Design Fee'!DC102&gt;0,"✔","-")</f>
        <v>-</v>
      </c>
      <c r="BH100" s="444" t="str">
        <f>IF('Design Fee'!DD102&gt;0,"✔","-")</f>
        <v>-</v>
      </c>
      <c r="BI100" s="445"/>
      <c r="BJ100" s="441"/>
      <c r="BK100" s="442"/>
      <c r="BL100" s="443" t="str">
        <f>IF('Design Fee'!EA102&gt;0,"✔","-")</f>
        <v>-</v>
      </c>
      <c r="BM100" s="443" t="str">
        <f>IF('Design Fee'!EB102&gt;0,"✔","-")</f>
        <v>-</v>
      </c>
      <c r="BN100" s="452" t="str">
        <f>IF('Design Fee'!EC102&gt;0,"✔","-")</f>
        <v>-</v>
      </c>
      <c r="BO100" s="452" t="str">
        <f>IF('Design Fee'!ED102&gt;0,"✔","-")</f>
        <v>-</v>
      </c>
      <c r="BP100" s="452" t="str">
        <f>IF('Design Fee'!EE102&gt;0,"✔","-")</f>
        <v>-</v>
      </c>
      <c r="BQ100" s="452" t="str">
        <f>IF('Design Fee'!EF102&gt;0,"✔","-")</f>
        <v>-</v>
      </c>
      <c r="BR100" s="452" t="str">
        <f>IF('Design Fee'!EG102&gt;0,"✔","-")</f>
        <v>-</v>
      </c>
      <c r="BS100" s="466" t="str">
        <f>IF('Design Fee'!EH102&gt;0,"✔","-")</f>
        <v>-</v>
      </c>
      <c r="BT100" s="383"/>
      <c r="BU100" s="444" t="str">
        <f>IF('Design Fee'!EJ102&gt;0,"✔","-")</f>
        <v>-</v>
      </c>
      <c r="BV100" s="444" t="str">
        <f>IF('Design Fee'!EK102&gt;0,"✔","-")</f>
        <v>-</v>
      </c>
      <c r="BW100" s="444" t="str">
        <f>IF('Design Fee'!EL102&gt;0,"✔","-")</f>
        <v>-</v>
      </c>
      <c r="BX100" s="444" t="str">
        <f>IF('Design Fee'!EM102&gt;0,"✔","-")</f>
        <v>-</v>
      </c>
      <c r="BY100" s="444" t="str">
        <f>IF('Design Fee'!EN102&gt;0,"✔","-")</f>
        <v>-</v>
      </c>
      <c r="BZ100" s="383"/>
    </row>
    <row r="101" spans="2:78" ht="12.75" outlineLevel="2">
      <c r="B101" s="463" t="s">
        <v>111</v>
      </c>
      <c r="C101" s="464">
        <v>5</v>
      </c>
      <c r="D101" s="465" t="s">
        <v>90</v>
      </c>
      <c r="E101" s="383"/>
      <c r="F101" s="443">
        <f t="shared" si="272"/>
        <v>2</v>
      </c>
      <c r="G101" s="444">
        <f t="shared" si="273"/>
        <v>2</v>
      </c>
      <c r="H101" s="444">
        <f t="shared" si="273"/>
        <v>2</v>
      </c>
      <c r="I101" s="444">
        <f t="shared" si="274"/>
        <v>0</v>
      </c>
      <c r="J101" s="430"/>
      <c r="K101" s="471"/>
      <c r="L101" s="442"/>
      <c r="M101" s="443" t="str">
        <f>IF('Design Fee'!W103&gt;0,"✔","-")</f>
        <v>✔</v>
      </c>
      <c r="N101" s="443" t="str">
        <f>IF('Design Fee'!X103&gt;0,"✔","-")</f>
        <v>✔</v>
      </c>
      <c r="O101" s="452" t="str">
        <f>IF('Design Fee'!Y103&gt;0,"✔","-")</f>
        <v>✔</v>
      </c>
      <c r="P101" s="452" t="str">
        <f>IF('Design Fee'!Z103&gt;0,"✔","-")</f>
        <v>-</v>
      </c>
      <c r="Q101" s="452" t="str">
        <f>IF('Design Fee'!AA103&gt;0,"✔","-")</f>
        <v>-</v>
      </c>
      <c r="R101" s="452" t="str">
        <f>IF('Design Fee'!AB103&gt;0,"✔","-")</f>
        <v>-</v>
      </c>
      <c r="S101" s="452" t="str">
        <f>IF('Design Fee'!AC103&gt;0,"✔","-")</f>
        <v>-</v>
      </c>
      <c r="T101" s="466" t="str">
        <f>IF('Design Fee'!AD103&gt;0,"✔","-")</f>
        <v>-</v>
      </c>
      <c r="U101" s="430"/>
      <c r="V101" s="444" t="str">
        <f>IF('Design Fee'!AF103&gt;0,"✔","-")</f>
        <v>-</v>
      </c>
      <c r="W101" s="444" t="str">
        <f>IF('Design Fee'!AG103&gt;0,"✔","-")</f>
        <v>-</v>
      </c>
      <c r="X101" s="444" t="str">
        <f>IF('Design Fee'!AH103&gt;0,"✔","-")</f>
        <v>-</v>
      </c>
      <c r="Y101" s="444" t="str">
        <f>IF('Design Fee'!AI103&gt;0,"✔","-")</f>
        <v>-</v>
      </c>
      <c r="Z101" s="444" t="str">
        <f>IF('Design Fee'!AJ103&gt;0,"✔","-")</f>
        <v>-</v>
      </c>
      <c r="AA101" s="430"/>
      <c r="AB101" s="471"/>
      <c r="AC101" s="442"/>
      <c r="AD101" s="443" t="str">
        <f>IF('Design Fee'!BG103&gt;0,"✔","-")</f>
        <v>✔</v>
      </c>
      <c r="AE101" s="443" t="str">
        <f>IF('Design Fee'!BH103&gt;0,"✔","-")</f>
        <v>✔</v>
      </c>
      <c r="AF101" s="452" t="str">
        <f>IF('Design Fee'!BI103&gt;0,"✔","-")</f>
        <v>✔</v>
      </c>
      <c r="AG101" s="452" t="str">
        <f>IF('Design Fee'!BJ103&gt;0,"✔","-")</f>
        <v>-</v>
      </c>
      <c r="AH101" s="452" t="str">
        <f>IF('Design Fee'!BK103&gt;0,"✔","-")</f>
        <v>-</v>
      </c>
      <c r="AI101" s="452" t="str">
        <f>IF('Design Fee'!BL103&gt;0,"✔","-")</f>
        <v>-</v>
      </c>
      <c r="AJ101" s="452" t="str">
        <f>IF('Design Fee'!BM103&gt;0,"✔","-")</f>
        <v>-</v>
      </c>
      <c r="AK101" s="466" t="str">
        <f>IF('Design Fee'!BN103&gt;0,"✔","-")</f>
        <v>-</v>
      </c>
      <c r="AL101" s="445"/>
      <c r="AM101" s="444" t="str">
        <f>IF('Design Fee'!BP103&gt;0,"✔","-")</f>
        <v>-</v>
      </c>
      <c r="AN101" s="444" t="str">
        <f>IF('Design Fee'!BQ103&gt;0,"✔","-")</f>
        <v>-</v>
      </c>
      <c r="AO101" s="444" t="str">
        <f>IF('Design Fee'!BR103&gt;0,"✔","-")</f>
        <v>-</v>
      </c>
      <c r="AP101" s="444" t="str">
        <f>IF('Design Fee'!BS103&gt;0,"✔","-")</f>
        <v>-</v>
      </c>
      <c r="AQ101" s="444" t="str">
        <f>IF('Design Fee'!BT103&gt;0,"✔","-")</f>
        <v>-</v>
      </c>
      <c r="AR101" s="445"/>
      <c r="AS101" s="471"/>
      <c r="AT101" s="442"/>
      <c r="AU101" s="443" t="str">
        <f>IF('Design Fee'!CQ103&gt;0,"✔","-")</f>
        <v>-</v>
      </c>
      <c r="AV101" s="443" t="str">
        <f>IF('Design Fee'!CR103&gt;0,"✔","-")</f>
        <v>-</v>
      </c>
      <c r="AW101" s="452" t="str">
        <f>IF('Design Fee'!CS103&gt;0,"✔","-")</f>
        <v>-</v>
      </c>
      <c r="AX101" s="452" t="str">
        <f>IF('Design Fee'!CT103&gt;0,"✔","-")</f>
        <v>-</v>
      </c>
      <c r="AY101" s="452" t="str">
        <f>IF('Design Fee'!CU103&gt;0,"✔","-")</f>
        <v>-</v>
      </c>
      <c r="AZ101" s="452" t="str">
        <f>IF('Design Fee'!CV103&gt;0,"✔","-")</f>
        <v>-</v>
      </c>
      <c r="BA101" s="452" t="str">
        <f>IF('Design Fee'!CW103&gt;0,"✔","-")</f>
        <v>-</v>
      </c>
      <c r="BB101" s="466" t="str">
        <f>IF('Design Fee'!CX103&gt;0,"✔","-")</f>
        <v>-</v>
      </c>
      <c r="BC101" s="445"/>
      <c r="BD101" s="444" t="str">
        <f>IF('Design Fee'!CZ103&gt;0,"✔","-")</f>
        <v>-</v>
      </c>
      <c r="BE101" s="444" t="str">
        <f>IF('Design Fee'!DA103&gt;0,"✔","-")</f>
        <v>-</v>
      </c>
      <c r="BF101" s="444" t="str">
        <f>IF('Design Fee'!DB103&gt;0,"✔","-")</f>
        <v>-</v>
      </c>
      <c r="BG101" s="444" t="str">
        <f>IF('Design Fee'!DC103&gt;0,"✔","-")</f>
        <v>-</v>
      </c>
      <c r="BH101" s="444" t="str">
        <f>IF('Design Fee'!DD103&gt;0,"✔","-")</f>
        <v>-</v>
      </c>
      <c r="BI101" s="445"/>
      <c r="BJ101" s="471"/>
      <c r="BK101" s="442"/>
      <c r="BL101" s="443" t="str">
        <f>IF('Design Fee'!EA103&gt;0,"✔","-")</f>
        <v>-</v>
      </c>
      <c r="BM101" s="443" t="str">
        <f>IF('Design Fee'!EB103&gt;0,"✔","-")</f>
        <v>-</v>
      </c>
      <c r="BN101" s="452" t="str">
        <f>IF('Design Fee'!EC103&gt;0,"✔","-")</f>
        <v>-</v>
      </c>
      <c r="BO101" s="452" t="str">
        <f>IF('Design Fee'!ED103&gt;0,"✔","-")</f>
        <v>-</v>
      </c>
      <c r="BP101" s="452" t="str">
        <f>IF('Design Fee'!EE103&gt;0,"✔","-")</f>
        <v>-</v>
      </c>
      <c r="BQ101" s="452" t="str">
        <f>IF('Design Fee'!EF103&gt;0,"✔","-")</f>
        <v>-</v>
      </c>
      <c r="BR101" s="452" t="str">
        <f>IF('Design Fee'!EG103&gt;0,"✔","-")</f>
        <v>-</v>
      </c>
      <c r="BS101" s="466" t="str">
        <f>IF('Design Fee'!EH103&gt;0,"✔","-")</f>
        <v>-</v>
      </c>
      <c r="BT101" s="383"/>
      <c r="BU101" s="444" t="str">
        <f>IF('Design Fee'!EJ103&gt;0,"✔","-")</f>
        <v>-</v>
      </c>
      <c r="BV101" s="444" t="str">
        <f>IF('Design Fee'!EK103&gt;0,"✔","-")</f>
        <v>-</v>
      </c>
      <c r="BW101" s="444" t="str">
        <f>IF('Design Fee'!EL103&gt;0,"✔","-")</f>
        <v>-</v>
      </c>
      <c r="BX101" s="444" t="str">
        <f>IF('Design Fee'!EM103&gt;0,"✔","-")</f>
        <v>-</v>
      </c>
      <c r="BY101" s="444" t="str">
        <f>IF('Design Fee'!EN103&gt;0,"✔","-")</f>
        <v>-</v>
      </c>
      <c r="BZ101" s="383"/>
    </row>
    <row r="102" spans="2:78" ht="12.75" outlineLevel="2">
      <c r="B102" s="463" t="s">
        <v>112</v>
      </c>
      <c r="C102" s="464">
        <v>6</v>
      </c>
      <c r="D102" s="465" t="s">
        <v>64</v>
      </c>
      <c r="E102" s="383"/>
      <c r="F102" s="443">
        <f t="shared" si="272"/>
        <v>3</v>
      </c>
      <c r="G102" s="444">
        <f t="shared" si="273"/>
        <v>3</v>
      </c>
      <c r="H102" s="444">
        <f t="shared" si="273"/>
        <v>3</v>
      </c>
      <c r="I102" s="444">
        <f t="shared" si="274"/>
        <v>0</v>
      </c>
      <c r="J102" s="430"/>
      <c r="K102" s="441"/>
      <c r="L102" s="442"/>
      <c r="M102" s="443" t="str">
        <f>IF('Design Fee'!W104&gt;0,"✔","-")</f>
        <v>✔</v>
      </c>
      <c r="N102" s="443" t="str">
        <f>IF('Design Fee'!X104&gt;0,"✔","-")</f>
        <v>✔</v>
      </c>
      <c r="O102" s="452" t="str">
        <f>IF('Design Fee'!Y104&gt;0,"✔","-")</f>
        <v>✔</v>
      </c>
      <c r="P102" s="452" t="str">
        <f>IF('Design Fee'!Z104&gt;0,"✔","-")</f>
        <v>-</v>
      </c>
      <c r="Q102" s="452" t="str">
        <f>IF('Design Fee'!AA104&gt;0,"✔","-")</f>
        <v>-</v>
      </c>
      <c r="R102" s="452" t="str">
        <f>IF('Design Fee'!AB104&gt;0,"✔","-")</f>
        <v>-</v>
      </c>
      <c r="S102" s="452" t="str">
        <f>IF('Design Fee'!AC104&gt;0,"✔","-")</f>
        <v>-</v>
      </c>
      <c r="T102" s="466" t="str">
        <f>IF('Design Fee'!AD104&gt;0,"✔","-")</f>
        <v>-</v>
      </c>
      <c r="U102" s="430"/>
      <c r="V102" s="444" t="str">
        <f>IF('Design Fee'!AF104&gt;0,"✔","-")</f>
        <v>-</v>
      </c>
      <c r="W102" s="444" t="str">
        <f>IF('Design Fee'!AG104&gt;0,"✔","-")</f>
        <v>-</v>
      </c>
      <c r="X102" s="444" t="str">
        <f>IF('Design Fee'!AH104&gt;0,"✔","-")</f>
        <v>-</v>
      </c>
      <c r="Y102" s="444" t="str">
        <f>IF('Design Fee'!AI104&gt;0,"✔","-")</f>
        <v>-</v>
      </c>
      <c r="Z102" s="444" t="str">
        <f>IF('Design Fee'!AJ104&gt;0,"✔","-")</f>
        <v>-</v>
      </c>
      <c r="AA102" s="430"/>
      <c r="AB102" s="441"/>
      <c r="AC102" s="442"/>
      <c r="AD102" s="443" t="str">
        <f>IF('Design Fee'!BG104&gt;0,"✔","-")</f>
        <v>-</v>
      </c>
      <c r="AE102" s="443" t="str">
        <f>IF('Design Fee'!BH104&gt;0,"✔","-")</f>
        <v>-</v>
      </c>
      <c r="AF102" s="452" t="str">
        <f>IF('Design Fee'!BI104&gt;0,"✔","-")</f>
        <v>-</v>
      </c>
      <c r="AG102" s="452" t="str">
        <f>IF('Design Fee'!BJ104&gt;0,"✔","-")</f>
        <v>-</v>
      </c>
      <c r="AH102" s="452" t="str">
        <f>IF('Design Fee'!BK104&gt;0,"✔","-")</f>
        <v>-</v>
      </c>
      <c r="AI102" s="452" t="str">
        <f>IF('Design Fee'!BL104&gt;0,"✔","-")</f>
        <v>-</v>
      </c>
      <c r="AJ102" s="452" t="str">
        <f>IF('Design Fee'!BM104&gt;0,"✔","-")</f>
        <v>-</v>
      </c>
      <c r="AK102" s="466" t="str">
        <f>IF('Design Fee'!BN104&gt;0,"✔","-")</f>
        <v>-</v>
      </c>
      <c r="AL102" s="445"/>
      <c r="AM102" s="444" t="str">
        <f>IF('Design Fee'!BP104&gt;0,"✔","-")</f>
        <v>-</v>
      </c>
      <c r="AN102" s="444" t="str">
        <f>IF('Design Fee'!BQ104&gt;0,"✔","-")</f>
        <v>-</v>
      </c>
      <c r="AO102" s="444" t="str">
        <f>IF('Design Fee'!BR104&gt;0,"✔","-")</f>
        <v>-</v>
      </c>
      <c r="AP102" s="444" t="str">
        <f>IF('Design Fee'!BS104&gt;0,"✔","-")</f>
        <v>-</v>
      </c>
      <c r="AQ102" s="444" t="str">
        <f>IF('Design Fee'!BT104&gt;0,"✔","-")</f>
        <v>-</v>
      </c>
      <c r="AR102" s="445"/>
      <c r="AS102" s="441"/>
      <c r="AT102" s="442"/>
      <c r="AU102" s="443" t="str">
        <f>IF('Design Fee'!CQ104&gt;0,"✔","-")</f>
        <v>✔</v>
      </c>
      <c r="AV102" s="443" t="str">
        <f>IF('Design Fee'!CR104&gt;0,"✔","-")</f>
        <v>✔</v>
      </c>
      <c r="AW102" s="452" t="str">
        <f>IF('Design Fee'!CS104&gt;0,"✔","-")</f>
        <v>✔</v>
      </c>
      <c r="AX102" s="452" t="str">
        <f>IF('Design Fee'!CT104&gt;0,"✔","-")</f>
        <v>-</v>
      </c>
      <c r="AY102" s="452" t="str">
        <f>IF('Design Fee'!CU104&gt;0,"✔","-")</f>
        <v>-</v>
      </c>
      <c r="AZ102" s="452" t="str">
        <f>IF('Design Fee'!CV104&gt;0,"✔","-")</f>
        <v>-</v>
      </c>
      <c r="BA102" s="452" t="str">
        <f>IF('Design Fee'!CW104&gt;0,"✔","-")</f>
        <v>-</v>
      </c>
      <c r="BB102" s="466" t="str">
        <f>IF('Design Fee'!CX104&gt;0,"✔","-")</f>
        <v>-</v>
      </c>
      <c r="BC102" s="445"/>
      <c r="BD102" s="444" t="str">
        <f>IF('Design Fee'!CZ104&gt;0,"✔","-")</f>
        <v>-</v>
      </c>
      <c r="BE102" s="444" t="str">
        <f>IF('Design Fee'!DA104&gt;0,"✔","-")</f>
        <v>-</v>
      </c>
      <c r="BF102" s="444" t="str">
        <f>IF('Design Fee'!DB104&gt;0,"✔","-")</f>
        <v>-</v>
      </c>
      <c r="BG102" s="444" t="str">
        <f>IF('Design Fee'!DC104&gt;0,"✔","-")</f>
        <v>-</v>
      </c>
      <c r="BH102" s="444" t="str">
        <f>IF('Design Fee'!DD104&gt;0,"✔","-")</f>
        <v>-</v>
      </c>
      <c r="BI102" s="445"/>
      <c r="BJ102" s="441"/>
      <c r="BK102" s="442"/>
      <c r="BL102" s="443" t="str">
        <f>IF('Design Fee'!EA104&gt;0,"✔","-")</f>
        <v>✔</v>
      </c>
      <c r="BM102" s="443" t="str">
        <f>IF('Design Fee'!EB104&gt;0,"✔","-")</f>
        <v>✔</v>
      </c>
      <c r="BN102" s="452" t="str">
        <f>IF('Design Fee'!EC104&gt;0,"✔","-")</f>
        <v>✔</v>
      </c>
      <c r="BO102" s="452" t="str">
        <f>IF('Design Fee'!ED104&gt;0,"✔","-")</f>
        <v>-</v>
      </c>
      <c r="BP102" s="452" t="str">
        <f>IF('Design Fee'!EE104&gt;0,"✔","-")</f>
        <v>-</v>
      </c>
      <c r="BQ102" s="452" t="str">
        <f>IF('Design Fee'!EF104&gt;0,"✔","-")</f>
        <v>-</v>
      </c>
      <c r="BR102" s="452" t="str">
        <f>IF('Design Fee'!EG104&gt;0,"✔","-")</f>
        <v>-</v>
      </c>
      <c r="BS102" s="466" t="str">
        <f>IF('Design Fee'!EH104&gt;0,"✔","-")</f>
        <v>-</v>
      </c>
      <c r="BT102" s="383"/>
      <c r="BU102" s="444" t="str">
        <f>IF('Design Fee'!EJ104&gt;0,"✔","-")</f>
        <v>-</v>
      </c>
      <c r="BV102" s="444" t="str">
        <f>IF('Design Fee'!EK104&gt;0,"✔","-")</f>
        <v>-</v>
      </c>
      <c r="BW102" s="444" t="str">
        <f>IF('Design Fee'!EL104&gt;0,"✔","-")</f>
        <v>-</v>
      </c>
      <c r="BX102" s="444" t="str">
        <f>IF('Design Fee'!EM104&gt;0,"✔","-")</f>
        <v>-</v>
      </c>
      <c r="BY102" s="444" t="str">
        <f>IF('Design Fee'!EN104&gt;0,"✔","-")</f>
        <v>-</v>
      </c>
      <c r="BZ102" s="383"/>
    </row>
    <row r="103" spans="2:78" ht="12.75" outlineLevel="2">
      <c r="B103" s="463" t="s">
        <v>113</v>
      </c>
      <c r="C103" s="464">
        <v>7</v>
      </c>
      <c r="D103" s="465" t="s">
        <v>67</v>
      </c>
      <c r="E103" s="383"/>
      <c r="F103" s="443">
        <f t="shared" si="272"/>
        <v>3</v>
      </c>
      <c r="G103" s="444">
        <f t="shared" si="273"/>
        <v>3</v>
      </c>
      <c r="H103" s="444">
        <f t="shared" si="273"/>
        <v>3</v>
      </c>
      <c r="I103" s="444">
        <f t="shared" si="274"/>
        <v>0</v>
      </c>
      <c r="J103" s="430"/>
      <c r="K103" s="441"/>
      <c r="L103" s="442"/>
      <c r="M103" s="443" t="str">
        <f>IF('Design Fee'!W105&gt;0,"✔","-")</f>
        <v>✔</v>
      </c>
      <c r="N103" s="443" t="str">
        <f>IF('Design Fee'!X105&gt;0,"✔","-")</f>
        <v>✔</v>
      </c>
      <c r="O103" s="452" t="str">
        <f>IF('Design Fee'!Y105&gt;0,"✔","-")</f>
        <v>✔</v>
      </c>
      <c r="P103" s="452" t="str">
        <f>IF('Design Fee'!Z105&gt;0,"✔","-")</f>
        <v>-</v>
      </c>
      <c r="Q103" s="452" t="str">
        <f>IF('Design Fee'!AA105&gt;0,"✔","-")</f>
        <v>-</v>
      </c>
      <c r="R103" s="452" t="str">
        <f>IF('Design Fee'!AB105&gt;0,"✔","-")</f>
        <v>-</v>
      </c>
      <c r="S103" s="452" t="str">
        <f>IF('Design Fee'!AC105&gt;0,"✔","-")</f>
        <v>-</v>
      </c>
      <c r="T103" s="466" t="str">
        <f>IF('Design Fee'!AD105&gt;0,"✔","-")</f>
        <v>-</v>
      </c>
      <c r="U103" s="430"/>
      <c r="V103" s="444" t="str">
        <f>IF('Design Fee'!AF105&gt;0,"✔","-")</f>
        <v>-</v>
      </c>
      <c r="W103" s="444" t="str">
        <f>IF('Design Fee'!AG105&gt;0,"✔","-")</f>
        <v>-</v>
      </c>
      <c r="X103" s="444" t="str">
        <f>IF('Design Fee'!AH105&gt;0,"✔","-")</f>
        <v>-</v>
      </c>
      <c r="Y103" s="444" t="str">
        <f>IF('Design Fee'!AI105&gt;0,"✔","-")</f>
        <v>-</v>
      </c>
      <c r="Z103" s="444" t="str">
        <f>IF('Design Fee'!AJ105&gt;0,"✔","-")</f>
        <v>-</v>
      </c>
      <c r="AA103" s="430"/>
      <c r="AB103" s="441"/>
      <c r="AC103" s="442"/>
      <c r="AD103" s="443" t="str">
        <f>IF('Design Fee'!BG105&gt;0,"✔","-")</f>
        <v>✔</v>
      </c>
      <c r="AE103" s="443" t="str">
        <f>IF('Design Fee'!BH105&gt;0,"✔","-")</f>
        <v>✔</v>
      </c>
      <c r="AF103" s="452" t="str">
        <f>IF('Design Fee'!BI105&gt;0,"✔","-")</f>
        <v>✔</v>
      </c>
      <c r="AG103" s="452" t="str">
        <f>IF('Design Fee'!BJ105&gt;0,"✔","-")</f>
        <v>-</v>
      </c>
      <c r="AH103" s="452" t="str">
        <f>IF('Design Fee'!BK105&gt;0,"✔","-")</f>
        <v>-</v>
      </c>
      <c r="AI103" s="452" t="str">
        <f>IF('Design Fee'!BL105&gt;0,"✔","-")</f>
        <v>-</v>
      </c>
      <c r="AJ103" s="452" t="str">
        <f>IF('Design Fee'!BM105&gt;0,"✔","-")</f>
        <v>-</v>
      </c>
      <c r="AK103" s="466" t="str">
        <f>IF('Design Fee'!BN105&gt;0,"✔","-")</f>
        <v>-</v>
      </c>
      <c r="AL103" s="445"/>
      <c r="AM103" s="444" t="str">
        <f>IF('Design Fee'!BP105&gt;0,"✔","-")</f>
        <v>-</v>
      </c>
      <c r="AN103" s="444" t="str">
        <f>IF('Design Fee'!BQ105&gt;0,"✔","-")</f>
        <v>-</v>
      </c>
      <c r="AO103" s="444" t="str">
        <f>IF('Design Fee'!BR105&gt;0,"✔","-")</f>
        <v>-</v>
      </c>
      <c r="AP103" s="444" t="str">
        <f>IF('Design Fee'!BS105&gt;0,"✔","-")</f>
        <v>-</v>
      </c>
      <c r="AQ103" s="444" t="str">
        <f>IF('Design Fee'!BT105&gt;0,"✔","-")</f>
        <v>-</v>
      </c>
      <c r="AR103" s="445"/>
      <c r="AS103" s="441"/>
      <c r="AT103" s="442"/>
      <c r="AU103" s="443" t="str">
        <f>IF('Design Fee'!CQ105&gt;0,"✔","-")</f>
        <v>✔</v>
      </c>
      <c r="AV103" s="443" t="str">
        <f>IF('Design Fee'!CR105&gt;0,"✔","-")</f>
        <v>✔</v>
      </c>
      <c r="AW103" s="452" t="str">
        <f>IF('Design Fee'!CS105&gt;0,"✔","-")</f>
        <v>✔</v>
      </c>
      <c r="AX103" s="452" t="str">
        <f>IF('Design Fee'!CT105&gt;0,"✔","-")</f>
        <v>-</v>
      </c>
      <c r="AY103" s="452" t="str">
        <f>IF('Design Fee'!CU105&gt;0,"✔","-")</f>
        <v>-</v>
      </c>
      <c r="AZ103" s="452" t="str">
        <f>IF('Design Fee'!CV105&gt;0,"✔","-")</f>
        <v>-</v>
      </c>
      <c r="BA103" s="452" t="str">
        <f>IF('Design Fee'!CW105&gt;0,"✔","-")</f>
        <v>-</v>
      </c>
      <c r="BB103" s="466" t="str">
        <f>IF('Design Fee'!CX105&gt;0,"✔","-")</f>
        <v>-</v>
      </c>
      <c r="BC103" s="445"/>
      <c r="BD103" s="444" t="str">
        <f>IF('Design Fee'!CZ105&gt;0,"✔","-")</f>
        <v>-</v>
      </c>
      <c r="BE103" s="444" t="str">
        <f>IF('Design Fee'!DA105&gt;0,"✔","-")</f>
        <v>-</v>
      </c>
      <c r="BF103" s="444" t="str">
        <f>IF('Design Fee'!DB105&gt;0,"✔","-")</f>
        <v>-</v>
      </c>
      <c r="BG103" s="444" t="str">
        <f>IF('Design Fee'!DC105&gt;0,"✔","-")</f>
        <v>-</v>
      </c>
      <c r="BH103" s="444" t="str">
        <f>IF('Design Fee'!DD105&gt;0,"✔","-")</f>
        <v>-</v>
      </c>
      <c r="BI103" s="445"/>
      <c r="BJ103" s="441"/>
      <c r="BK103" s="442"/>
      <c r="BL103" s="443" t="str">
        <f>IF('Design Fee'!EA105&gt;0,"✔","-")</f>
        <v>-</v>
      </c>
      <c r="BM103" s="443" t="str">
        <f>IF('Design Fee'!EB105&gt;0,"✔","-")</f>
        <v>-</v>
      </c>
      <c r="BN103" s="452" t="str">
        <f>IF('Design Fee'!EC105&gt;0,"✔","-")</f>
        <v>-</v>
      </c>
      <c r="BO103" s="452" t="str">
        <f>IF('Design Fee'!ED105&gt;0,"✔","-")</f>
        <v>-</v>
      </c>
      <c r="BP103" s="452" t="str">
        <f>IF('Design Fee'!EE105&gt;0,"✔","-")</f>
        <v>-</v>
      </c>
      <c r="BQ103" s="452" t="str">
        <f>IF('Design Fee'!EF105&gt;0,"✔","-")</f>
        <v>-</v>
      </c>
      <c r="BR103" s="452" t="str">
        <f>IF('Design Fee'!EG105&gt;0,"✔","-")</f>
        <v>-</v>
      </c>
      <c r="BS103" s="466" t="str">
        <f>IF('Design Fee'!EH105&gt;0,"✔","-")</f>
        <v>-</v>
      </c>
      <c r="BT103" s="383"/>
      <c r="BU103" s="444" t="str">
        <f>IF('Design Fee'!EJ105&gt;0,"✔","-")</f>
        <v>-</v>
      </c>
      <c r="BV103" s="444" t="str">
        <f>IF('Design Fee'!EK105&gt;0,"✔","-")</f>
        <v>-</v>
      </c>
      <c r="BW103" s="444" t="str">
        <f>IF('Design Fee'!EL105&gt;0,"✔","-")</f>
        <v>-</v>
      </c>
      <c r="BX103" s="444" t="str">
        <f>IF('Design Fee'!EM105&gt;0,"✔","-")</f>
        <v>-</v>
      </c>
      <c r="BY103" s="444" t="str">
        <f>IF('Design Fee'!EN105&gt;0,"✔","-")</f>
        <v>-</v>
      </c>
      <c r="BZ103" s="383"/>
    </row>
    <row r="104" spans="2:78" ht="12.75" outlineLevel="2">
      <c r="B104" s="463" t="s">
        <v>114</v>
      </c>
      <c r="C104" s="464">
        <v>8</v>
      </c>
      <c r="D104" s="465" t="s">
        <v>69</v>
      </c>
      <c r="E104" s="383"/>
      <c r="F104" s="443">
        <f t="shared" si="272"/>
        <v>3</v>
      </c>
      <c r="G104" s="444">
        <f t="shared" si="273"/>
        <v>3</v>
      </c>
      <c r="H104" s="444">
        <f t="shared" si="273"/>
        <v>3</v>
      </c>
      <c r="I104" s="444">
        <f t="shared" si="274"/>
        <v>0</v>
      </c>
      <c r="J104" s="467"/>
      <c r="K104" s="441"/>
      <c r="L104" s="442"/>
      <c r="M104" s="443" t="str">
        <f>IF('Design Fee'!W106&gt;0,"✔","-")</f>
        <v>✔</v>
      </c>
      <c r="N104" s="443" t="str">
        <f>IF('Design Fee'!X106&gt;0,"✔","-")</f>
        <v>✔</v>
      </c>
      <c r="O104" s="452" t="str">
        <f>IF('Design Fee'!Y106&gt;0,"✔","-")</f>
        <v>✔</v>
      </c>
      <c r="P104" s="452" t="str">
        <f>IF('Design Fee'!Z106&gt;0,"✔","-")</f>
        <v>-</v>
      </c>
      <c r="Q104" s="452" t="str">
        <f>IF('Design Fee'!AA106&gt;0,"✔","-")</f>
        <v>-</v>
      </c>
      <c r="R104" s="452" t="str">
        <f>IF('Design Fee'!AB106&gt;0,"✔","-")</f>
        <v>-</v>
      </c>
      <c r="S104" s="452" t="str">
        <f>IF('Design Fee'!AC106&gt;0,"✔","-")</f>
        <v>-</v>
      </c>
      <c r="T104" s="466" t="str">
        <f>IF('Design Fee'!AD106&gt;0,"✔","-")</f>
        <v>-</v>
      </c>
      <c r="U104" s="467"/>
      <c r="V104" s="444" t="str">
        <f>IF('Design Fee'!AF106&gt;0,"✔","-")</f>
        <v>-</v>
      </c>
      <c r="W104" s="444" t="str">
        <f>IF('Design Fee'!AG106&gt;0,"✔","-")</f>
        <v>-</v>
      </c>
      <c r="X104" s="444" t="str">
        <f>IF('Design Fee'!AH106&gt;0,"✔","-")</f>
        <v>-</v>
      </c>
      <c r="Y104" s="444" t="str">
        <f>IF('Design Fee'!AI106&gt;0,"✔","-")</f>
        <v>-</v>
      </c>
      <c r="Z104" s="444" t="str">
        <f>IF('Design Fee'!AJ106&gt;0,"✔","-")</f>
        <v>-</v>
      </c>
      <c r="AA104" s="467"/>
      <c r="AB104" s="441"/>
      <c r="AC104" s="442"/>
      <c r="AD104" s="443" t="str">
        <f>IF('Design Fee'!BG106&gt;0,"✔","-")</f>
        <v>✔</v>
      </c>
      <c r="AE104" s="443" t="str">
        <f>IF('Design Fee'!BH106&gt;0,"✔","-")</f>
        <v>✔</v>
      </c>
      <c r="AF104" s="452" t="str">
        <f>IF('Design Fee'!BI106&gt;0,"✔","-")</f>
        <v>✔</v>
      </c>
      <c r="AG104" s="452" t="str">
        <f>IF('Design Fee'!BJ106&gt;0,"✔","-")</f>
        <v>-</v>
      </c>
      <c r="AH104" s="452" t="str">
        <f>IF('Design Fee'!BK106&gt;0,"✔","-")</f>
        <v>-</v>
      </c>
      <c r="AI104" s="452" t="str">
        <f>IF('Design Fee'!BL106&gt;0,"✔","-")</f>
        <v>-</v>
      </c>
      <c r="AJ104" s="452" t="str">
        <f>IF('Design Fee'!BM106&gt;0,"✔","-")</f>
        <v>-</v>
      </c>
      <c r="AK104" s="466" t="str">
        <f>IF('Design Fee'!BN106&gt;0,"✔","-")</f>
        <v>-</v>
      </c>
      <c r="AL104" s="445"/>
      <c r="AM104" s="444" t="str">
        <f>IF('Design Fee'!BP106&gt;0,"✔","-")</f>
        <v>-</v>
      </c>
      <c r="AN104" s="444" t="str">
        <f>IF('Design Fee'!BQ106&gt;0,"✔","-")</f>
        <v>-</v>
      </c>
      <c r="AO104" s="444" t="str">
        <f>IF('Design Fee'!BR106&gt;0,"✔","-")</f>
        <v>-</v>
      </c>
      <c r="AP104" s="444" t="str">
        <f>IF('Design Fee'!BS106&gt;0,"✔","-")</f>
        <v>-</v>
      </c>
      <c r="AQ104" s="444" t="str">
        <f>IF('Design Fee'!BT106&gt;0,"✔","-")</f>
        <v>-</v>
      </c>
      <c r="AR104" s="445"/>
      <c r="AS104" s="441"/>
      <c r="AT104" s="442"/>
      <c r="AU104" s="443" t="str">
        <f>IF('Design Fee'!CQ106&gt;0,"✔","-")</f>
        <v>✔</v>
      </c>
      <c r="AV104" s="443" t="str">
        <f>IF('Design Fee'!CR106&gt;0,"✔","-")</f>
        <v>✔</v>
      </c>
      <c r="AW104" s="452" t="str">
        <f>IF('Design Fee'!CS106&gt;0,"✔","-")</f>
        <v>✔</v>
      </c>
      <c r="AX104" s="452" t="str">
        <f>IF('Design Fee'!CT106&gt;0,"✔","-")</f>
        <v>-</v>
      </c>
      <c r="AY104" s="452" t="str">
        <f>IF('Design Fee'!CU106&gt;0,"✔","-")</f>
        <v>-</v>
      </c>
      <c r="AZ104" s="452" t="str">
        <f>IF('Design Fee'!CV106&gt;0,"✔","-")</f>
        <v>-</v>
      </c>
      <c r="BA104" s="452" t="str">
        <f>IF('Design Fee'!CW106&gt;0,"✔","-")</f>
        <v>-</v>
      </c>
      <c r="BB104" s="466" t="str">
        <f>IF('Design Fee'!CX106&gt;0,"✔","-")</f>
        <v>-</v>
      </c>
      <c r="BC104" s="445"/>
      <c r="BD104" s="444" t="str">
        <f>IF('Design Fee'!CZ106&gt;0,"✔","-")</f>
        <v>-</v>
      </c>
      <c r="BE104" s="444" t="str">
        <f>IF('Design Fee'!DA106&gt;0,"✔","-")</f>
        <v>-</v>
      </c>
      <c r="BF104" s="444" t="str">
        <f>IF('Design Fee'!DB106&gt;0,"✔","-")</f>
        <v>-</v>
      </c>
      <c r="BG104" s="444" t="str">
        <f>IF('Design Fee'!DC106&gt;0,"✔","-")</f>
        <v>-</v>
      </c>
      <c r="BH104" s="444" t="str">
        <f>IF('Design Fee'!DD106&gt;0,"✔","-")</f>
        <v>-</v>
      </c>
      <c r="BI104" s="445"/>
      <c r="BJ104" s="441"/>
      <c r="BK104" s="442"/>
      <c r="BL104" s="443" t="str">
        <f>IF('Design Fee'!EA106&gt;0,"✔","-")</f>
        <v>-</v>
      </c>
      <c r="BM104" s="443" t="str">
        <f>IF('Design Fee'!EB106&gt;0,"✔","-")</f>
        <v>-</v>
      </c>
      <c r="BN104" s="452" t="str">
        <f>IF('Design Fee'!EC106&gt;0,"✔","-")</f>
        <v>-</v>
      </c>
      <c r="BO104" s="452" t="str">
        <f>IF('Design Fee'!ED106&gt;0,"✔","-")</f>
        <v>-</v>
      </c>
      <c r="BP104" s="452" t="str">
        <f>IF('Design Fee'!EE106&gt;0,"✔","-")</f>
        <v>-</v>
      </c>
      <c r="BQ104" s="452" t="str">
        <f>IF('Design Fee'!EF106&gt;0,"✔","-")</f>
        <v>-</v>
      </c>
      <c r="BR104" s="452" t="str">
        <f>IF('Design Fee'!EG106&gt;0,"✔","-")</f>
        <v>-</v>
      </c>
      <c r="BS104" s="466" t="str">
        <f>IF('Design Fee'!EH106&gt;0,"✔","-")</f>
        <v>-</v>
      </c>
      <c r="BT104" s="383"/>
      <c r="BU104" s="444" t="str">
        <f>IF('Design Fee'!EJ106&gt;0,"✔","-")</f>
        <v>-</v>
      </c>
      <c r="BV104" s="444" t="str">
        <f>IF('Design Fee'!EK106&gt;0,"✔","-")</f>
        <v>-</v>
      </c>
      <c r="BW104" s="444" t="str">
        <f>IF('Design Fee'!EL106&gt;0,"✔","-")</f>
        <v>-</v>
      </c>
      <c r="BX104" s="444" t="str">
        <f>IF('Design Fee'!EM106&gt;0,"✔","-")</f>
        <v>-</v>
      </c>
      <c r="BY104" s="444" t="str">
        <f>IF('Design Fee'!EN106&gt;0,"✔","-")</f>
        <v>-</v>
      </c>
      <c r="BZ104" s="383"/>
    </row>
    <row r="105" spans="2:78" ht="12.75" outlineLevel="2">
      <c r="B105" s="463" t="s">
        <v>115</v>
      </c>
      <c r="C105" s="464">
        <v>9</v>
      </c>
      <c r="D105" s="465" t="s">
        <v>71</v>
      </c>
      <c r="E105" s="383"/>
      <c r="F105" s="443">
        <f t="shared" si="272"/>
        <v>2</v>
      </c>
      <c r="G105" s="444">
        <f t="shared" si="273"/>
        <v>2</v>
      </c>
      <c r="H105" s="444">
        <f t="shared" si="273"/>
        <v>1</v>
      </c>
      <c r="I105" s="444">
        <f t="shared" si="274"/>
        <v>0</v>
      </c>
      <c r="J105" s="467"/>
      <c r="K105" s="441"/>
      <c r="L105" s="442"/>
      <c r="M105" s="443" t="str">
        <f>IF('Design Fee'!W107&gt;0,"✔","-")</f>
        <v>✔</v>
      </c>
      <c r="N105" s="443" t="str">
        <f>IF('Design Fee'!X107&gt;0,"✔","-")</f>
        <v>✔</v>
      </c>
      <c r="O105" s="452" t="str">
        <f>IF('Design Fee'!Y107&gt;0,"✔","-")</f>
        <v>✔</v>
      </c>
      <c r="P105" s="452" t="str">
        <f>IF('Design Fee'!Z107&gt;0,"✔","-")</f>
        <v>-</v>
      </c>
      <c r="Q105" s="452" t="str">
        <f>IF('Design Fee'!AA107&gt;0,"✔","-")</f>
        <v>-</v>
      </c>
      <c r="R105" s="452" t="str">
        <f>IF('Design Fee'!AB107&gt;0,"✔","-")</f>
        <v>-</v>
      </c>
      <c r="S105" s="452" t="str">
        <f>IF('Design Fee'!AC107&gt;0,"✔","-")</f>
        <v>-</v>
      </c>
      <c r="T105" s="466" t="str">
        <f>IF('Design Fee'!AD107&gt;0,"✔","-")</f>
        <v>-</v>
      </c>
      <c r="U105" s="467"/>
      <c r="V105" s="444" t="str">
        <f>IF('Design Fee'!AF107&gt;0,"✔","-")</f>
        <v>-</v>
      </c>
      <c r="W105" s="444" t="str">
        <f>IF('Design Fee'!AG107&gt;0,"✔","-")</f>
        <v>-</v>
      </c>
      <c r="X105" s="444" t="str">
        <f>IF('Design Fee'!AH107&gt;0,"✔","-")</f>
        <v>-</v>
      </c>
      <c r="Y105" s="444" t="str">
        <f>IF('Design Fee'!AI107&gt;0,"✔","-")</f>
        <v>-</v>
      </c>
      <c r="Z105" s="444" t="str">
        <f>IF('Design Fee'!AJ107&gt;0,"✔","-")</f>
        <v>-</v>
      </c>
      <c r="AA105" s="467"/>
      <c r="AB105" s="441"/>
      <c r="AC105" s="442"/>
      <c r="AD105" s="443" t="str">
        <f>IF('Design Fee'!BG107&gt;0,"✔","-")</f>
        <v>-</v>
      </c>
      <c r="AE105" s="443" t="str">
        <f>IF('Design Fee'!BH107&gt;0,"✔","-")</f>
        <v>-</v>
      </c>
      <c r="AF105" s="452" t="str">
        <f>IF('Design Fee'!BI107&gt;0,"✔","-")</f>
        <v>-</v>
      </c>
      <c r="AG105" s="452" t="str">
        <f>IF('Design Fee'!BJ107&gt;0,"✔","-")</f>
        <v>-</v>
      </c>
      <c r="AH105" s="452" t="str">
        <f>IF('Design Fee'!BK107&gt;0,"✔","-")</f>
        <v>-</v>
      </c>
      <c r="AI105" s="452" t="str">
        <f>IF('Design Fee'!BL107&gt;0,"✔","-")</f>
        <v>-</v>
      </c>
      <c r="AJ105" s="452" t="str">
        <f>IF('Design Fee'!BM107&gt;0,"✔","-")</f>
        <v>-</v>
      </c>
      <c r="AK105" s="466" t="str">
        <f>IF('Design Fee'!BN107&gt;0,"✔","-")</f>
        <v>-</v>
      </c>
      <c r="AL105" s="445"/>
      <c r="AM105" s="444" t="str">
        <f>IF('Design Fee'!BP107&gt;0,"✔","-")</f>
        <v>-</v>
      </c>
      <c r="AN105" s="444" t="str">
        <f>IF('Design Fee'!BQ107&gt;0,"✔","-")</f>
        <v>-</v>
      </c>
      <c r="AO105" s="444" t="str">
        <f>IF('Design Fee'!BR107&gt;0,"✔","-")</f>
        <v>-</v>
      </c>
      <c r="AP105" s="444" t="str">
        <f>IF('Design Fee'!BS107&gt;0,"✔","-")</f>
        <v>-</v>
      </c>
      <c r="AQ105" s="444" t="str">
        <f>IF('Design Fee'!BT107&gt;0,"✔","-")</f>
        <v>-</v>
      </c>
      <c r="AR105" s="445"/>
      <c r="AS105" s="441"/>
      <c r="AT105" s="442"/>
      <c r="AU105" s="443" t="str">
        <f>IF('Design Fee'!CQ107&gt;0,"✔","-")</f>
        <v>-</v>
      </c>
      <c r="AV105" s="443" t="str">
        <f>IF('Design Fee'!CR107&gt;0,"✔","-")</f>
        <v>-</v>
      </c>
      <c r="AW105" s="452" t="str">
        <f>IF('Design Fee'!CS107&gt;0,"✔","-")</f>
        <v>-</v>
      </c>
      <c r="AX105" s="452" t="str">
        <f>IF('Design Fee'!CT107&gt;0,"✔","-")</f>
        <v>-</v>
      </c>
      <c r="AY105" s="452" t="str">
        <f>IF('Design Fee'!CU107&gt;0,"✔","-")</f>
        <v>-</v>
      </c>
      <c r="AZ105" s="452" t="str">
        <f>IF('Design Fee'!CV107&gt;0,"✔","-")</f>
        <v>-</v>
      </c>
      <c r="BA105" s="452" t="str">
        <f>IF('Design Fee'!CW107&gt;0,"✔","-")</f>
        <v>-</v>
      </c>
      <c r="BB105" s="466" t="str">
        <f>IF('Design Fee'!CX107&gt;0,"✔","-")</f>
        <v>-</v>
      </c>
      <c r="BC105" s="445"/>
      <c r="BD105" s="444" t="str">
        <f>IF('Design Fee'!CZ107&gt;0,"✔","-")</f>
        <v>-</v>
      </c>
      <c r="BE105" s="444" t="str">
        <f>IF('Design Fee'!DA107&gt;0,"✔","-")</f>
        <v>-</v>
      </c>
      <c r="BF105" s="444" t="str">
        <f>IF('Design Fee'!DB107&gt;0,"✔","-")</f>
        <v>-</v>
      </c>
      <c r="BG105" s="444" t="str">
        <f>IF('Design Fee'!DC107&gt;0,"✔","-")</f>
        <v>-</v>
      </c>
      <c r="BH105" s="444" t="str">
        <f>IF('Design Fee'!DD107&gt;0,"✔","-")</f>
        <v>-</v>
      </c>
      <c r="BI105" s="445"/>
      <c r="BJ105" s="441"/>
      <c r="BK105" s="442"/>
      <c r="BL105" s="443" t="str">
        <f>IF('Design Fee'!EA107&gt;0,"✔","-")</f>
        <v>✔</v>
      </c>
      <c r="BM105" s="443" t="str">
        <f>IF('Design Fee'!EB107&gt;0,"✔","-")</f>
        <v>✔</v>
      </c>
      <c r="BN105" s="452" t="str">
        <f>IF('Design Fee'!EC107&gt;0,"✔","-")</f>
        <v>-</v>
      </c>
      <c r="BO105" s="452" t="str">
        <f>IF('Design Fee'!ED107&gt;0,"✔","-")</f>
        <v>✔</v>
      </c>
      <c r="BP105" s="452" t="str">
        <f>IF('Design Fee'!EE107&gt;0,"✔","-")</f>
        <v>✔</v>
      </c>
      <c r="BQ105" s="452" t="str">
        <f>IF('Design Fee'!EF107&gt;0,"✔","-")</f>
        <v>-</v>
      </c>
      <c r="BR105" s="452" t="str">
        <f>IF('Design Fee'!EG107&gt;0,"✔","-")</f>
        <v>-</v>
      </c>
      <c r="BS105" s="466" t="str">
        <f>IF('Design Fee'!EH107&gt;0,"✔","-")</f>
        <v>-</v>
      </c>
      <c r="BT105" s="383"/>
      <c r="BU105" s="444" t="str">
        <f>IF('Design Fee'!EJ107&gt;0,"✔","-")</f>
        <v>✔</v>
      </c>
      <c r="BV105" s="444" t="str">
        <f>IF('Design Fee'!EK107&gt;0,"✔","-")</f>
        <v>-</v>
      </c>
      <c r="BW105" s="444" t="str">
        <f>IF('Design Fee'!EL107&gt;0,"✔","-")</f>
        <v>✔</v>
      </c>
      <c r="BX105" s="444" t="str">
        <f>IF('Design Fee'!EM107&gt;0,"✔","-")</f>
        <v>-</v>
      </c>
      <c r="BY105" s="444" t="str">
        <f>IF('Design Fee'!EN107&gt;0,"✔","-")</f>
        <v>-</v>
      </c>
      <c r="BZ105" s="383"/>
    </row>
    <row r="106" spans="2:78" ht="3" customHeight="1" outlineLevel="1">
      <c r="B106" s="477"/>
      <c r="C106" s="478"/>
      <c r="D106" s="465"/>
      <c r="E106" s="383"/>
      <c r="F106" s="408"/>
      <c r="G106" s="421"/>
      <c r="H106" s="421"/>
      <c r="I106" s="421"/>
      <c r="J106" s="467"/>
      <c r="K106" s="441"/>
      <c r="L106" s="442"/>
      <c r="M106" s="443"/>
      <c r="N106" s="443"/>
      <c r="O106" s="444"/>
      <c r="P106" s="444"/>
      <c r="Q106" s="444"/>
      <c r="R106" s="444"/>
      <c r="S106" s="444"/>
      <c r="T106" s="444"/>
      <c r="U106" s="467"/>
      <c r="V106" s="444"/>
      <c r="W106" s="444"/>
      <c r="X106" s="444"/>
      <c r="Y106" s="444"/>
      <c r="Z106" s="444"/>
      <c r="AA106" s="467"/>
      <c r="AB106" s="441"/>
      <c r="AC106" s="442"/>
      <c r="AD106" s="443"/>
      <c r="AE106" s="443"/>
      <c r="AF106" s="421"/>
      <c r="AG106" s="421"/>
      <c r="AH106" s="421"/>
      <c r="AI106" s="421"/>
      <c r="AJ106" s="421"/>
      <c r="AK106" s="421"/>
      <c r="AL106" s="421"/>
      <c r="AM106" s="421"/>
      <c r="AN106" s="421"/>
      <c r="AO106" s="421"/>
      <c r="AP106" s="421"/>
      <c r="AQ106" s="421"/>
      <c r="AR106" s="421"/>
      <c r="AS106" s="441"/>
      <c r="AT106" s="421"/>
      <c r="AU106" s="443"/>
      <c r="AV106" s="443"/>
      <c r="AW106" s="421"/>
      <c r="AX106" s="421"/>
      <c r="AY106" s="421"/>
      <c r="AZ106" s="421"/>
      <c r="BA106" s="421"/>
      <c r="BB106" s="421"/>
      <c r="BC106" s="421"/>
      <c r="BD106" s="421"/>
      <c r="BE106" s="421"/>
      <c r="BF106" s="421"/>
      <c r="BG106" s="421"/>
      <c r="BH106" s="421"/>
      <c r="BI106" s="421"/>
      <c r="BJ106" s="441"/>
      <c r="BK106" s="421"/>
      <c r="BL106" s="443"/>
      <c r="BM106" s="443"/>
      <c r="BN106" s="421"/>
      <c r="BO106" s="421"/>
      <c r="BP106" s="421"/>
      <c r="BQ106" s="421"/>
      <c r="BR106" s="421"/>
      <c r="BS106" s="421"/>
      <c r="BT106" s="383"/>
      <c r="BU106" s="421"/>
      <c r="BV106" s="421"/>
      <c r="BW106" s="421"/>
      <c r="BX106" s="421"/>
      <c r="BY106" s="421"/>
      <c r="BZ106" s="383"/>
    </row>
    <row r="107" spans="2:78" ht="12.75" outlineLevel="1">
      <c r="B107" s="432">
        <v>9</v>
      </c>
      <c r="C107" s="459">
        <v>6</v>
      </c>
      <c r="D107" s="460" t="s">
        <v>116</v>
      </c>
      <c r="E107" s="434"/>
      <c r="F107" s="461">
        <f>M107+AD107+AU107+BL107</f>
        <v>21</v>
      </c>
      <c r="G107" s="461">
        <f t="shared" ref="G107:I107" si="275">N107+AE107+AV107+BM107</f>
        <v>21</v>
      </c>
      <c r="H107" s="461">
        <f t="shared" si="275"/>
        <v>20</v>
      </c>
      <c r="I107" s="461">
        <f t="shared" si="275"/>
        <v>1</v>
      </c>
      <c r="J107" s="438">
        <f t="shared" ref="J107" si="276">COUNT(J108:J117)</f>
        <v>0</v>
      </c>
      <c r="K107" s="435"/>
      <c r="L107" s="435"/>
      <c r="M107" s="461">
        <f>COUNTIF(M108:M117,"✔")</f>
        <v>10</v>
      </c>
      <c r="N107" s="461">
        <f t="shared" ref="N107" si="277">COUNTIF(N108:N117,"✔")</f>
        <v>10</v>
      </c>
      <c r="O107" s="461">
        <f t="shared" ref="O107" si="278">COUNTIF(O108:O117,"✔")</f>
        <v>10</v>
      </c>
      <c r="P107" s="461">
        <f t="shared" ref="P107" si="279">COUNTIF(P108:P117,"✔")</f>
        <v>0</v>
      </c>
      <c r="Q107" s="461">
        <f t="shared" ref="Q107" si="280">COUNTIF(Q108:Q117,"✔")</f>
        <v>0</v>
      </c>
      <c r="R107" s="461">
        <f t="shared" ref="R107" si="281">COUNTIF(R108:R117,"✔")</f>
        <v>0</v>
      </c>
      <c r="S107" s="461">
        <f t="shared" ref="S107" si="282">COUNTIF(S108:S117,"✔")</f>
        <v>0</v>
      </c>
      <c r="T107" s="461">
        <f t="shared" ref="T107" si="283">COUNTIF(T108:T117,"✔")</f>
        <v>0</v>
      </c>
      <c r="U107" s="461">
        <f t="shared" ref="U107" si="284">COUNTIF(U108:U117,"✔")</f>
        <v>0</v>
      </c>
      <c r="V107" s="461">
        <f t="shared" ref="V107" si="285">COUNTIF(V108:V117,"✔")</f>
        <v>0</v>
      </c>
      <c r="W107" s="461">
        <f t="shared" ref="W107" si="286">COUNTIF(W108:W117,"✔")</f>
        <v>0</v>
      </c>
      <c r="X107" s="461">
        <f t="shared" ref="X107" si="287">COUNTIF(X108:X117,"✔")</f>
        <v>0</v>
      </c>
      <c r="Y107" s="461">
        <f t="shared" ref="Y107" si="288">COUNTIF(Y108:Y117,"✔")</f>
        <v>0</v>
      </c>
      <c r="Z107" s="461">
        <f t="shared" ref="Z107" si="289">COUNTIF(Z108:Z117,"✔")</f>
        <v>0</v>
      </c>
      <c r="AA107" s="461">
        <f t="shared" ref="AA107" si="290">COUNTIF(AA108:AA117,"✔")</f>
        <v>0</v>
      </c>
      <c r="AB107" s="435"/>
      <c r="AC107" s="461">
        <f t="shared" ref="AC107" si="291">COUNTIF(AC108:AC117,"✔")</f>
        <v>0</v>
      </c>
      <c r="AD107" s="461">
        <f t="shared" ref="AD107" si="292">COUNTIF(AD108:AD117,"✔")</f>
        <v>7</v>
      </c>
      <c r="AE107" s="461">
        <f t="shared" ref="AE107" si="293">COUNTIF(AE108:AE117,"✔")</f>
        <v>7</v>
      </c>
      <c r="AF107" s="461">
        <f t="shared" ref="AF107" si="294">COUNTIF(AF108:AF117,"✔")</f>
        <v>7</v>
      </c>
      <c r="AG107" s="461">
        <f t="shared" ref="AG107" si="295">COUNTIF(AG108:AG117,"✔")</f>
        <v>0</v>
      </c>
      <c r="AH107" s="461">
        <f t="shared" ref="AH107" si="296">COUNTIF(AH108:AH117,"✔")</f>
        <v>0</v>
      </c>
      <c r="AI107" s="461">
        <f t="shared" ref="AI107" si="297">COUNTIF(AI108:AI117,"✔")</f>
        <v>0</v>
      </c>
      <c r="AJ107" s="461">
        <f t="shared" ref="AJ107" si="298">COUNTIF(AJ108:AJ117,"✔")</f>
        <v>0</v>
      </c>
      <c r="AK107" s="461">
        <f t="shared" ref="AK107" si="299">COUNTIF(AK108:AK117,"✔")</f>
        <v>0</v>
      </c>
      <c r="AL107" s="461">
        <f t="shared" ref="AL107" si="300">COUNTIF(AL108:AL117,"✔")</f>
        <v>0</v>
      </c>
      <c r="AM107" s="461">
        <f t="shared" ref="AM107" si="301">COUNTIF(AM108:AM117,"✔")</f>
        <v>0</v>
      </c>
      <c r="AN107" s="461">
        <f t="shared" ref="AN107" si="302">COUNTIF(AN108:AN117,"✔")</f>
        <v>0</v>
      </c>
      <c r="AO107" s="461">
        <f t="shared" ref="AO107" si="303">COUNTIF(AO108:AO117,"✔")</f>
        <v>0</v>
      </c>
      <c r="AP107" s="461">
        <f t="shared" ref="AP107" si="304">COUNTIF(AP108:AP117,"✔")</f>
        <v>0</v>
      </c>
      <c r="AQ107" s="461">
        <f t="shared" ref="AQ107" si="305">COUNTIF(AQ108:AQ117,"✔")</f>
        <v>0</v>
      </c>
      <c r="AR107" s="461">
        <f t="shared" ref="AR107" si="306">COUNTIF(AR108:AR117,"✔")</f>
        <v>0</v>
      </c>
      <c r="AS107" s="435"/>
      <c r="AT107" s="461">
        <f t="shared" ref="AT107" si="307">COUNTIF(AT108:AT117,"✔")</f>
        <v>0</v>
      </c>
      <c r="AU107" s="461">
        <f t="shared" ref="AU107" si="308">COUNTIF(AU108:AU117,"✔")</f>
        <v>4</v>
      </c>
      <c r="AV107" s="461">
        <f t="shared" ref="AV107" si="309">COUNTIF(AV108:AV117,"✔")</f>
        <v>4</v>
      </c>
      <c r="AW107" s="461">
        <f t="shared" ref="AW107" si="310">COUNTIF(AW108:AW117,"✔")</f>
        <v>3</v>
      </c>
      <c r="AX107" s="461">
        <f t="shared" ref="AX107" si="311">COUNTIF(AX108:AX117,"✔")</f>
        <v>1</v>
      </c>
      <c r="AY107" s="461">
        <f t="shared" ref="AY107" si="312">COUNTIF(AY108:AY117,"✔")</f>
        <v>1</v>
      </c>
      <c r="AZ107" s="461">
        <f t="shared" ref="AZ107" si="313">COUNTIF(AZ108:AZ117,"✔")</f>
        <v>0</v>
      </c>
      <c r="BA107" s="461">
        <f t="shared" ref="BA107" si="314">COUNTIF(BA108:BA117,"✔")</f>
        <v>0</v>
      </c>
      <c r="BB107" s="461">
        <f t="shared" ref="BB107" si="315">COUNTIF(BB108:BB117,"✔")</f>
        <v>0</v>
      </c>
      <c r="BC107" s="461">
        <f t="shared" ref="BC107" si="316">COUNTIF(BC108:BC117,"✔")</f>
        <v>0</v>
      </c>
      <c r="BD107" s="461">
        <f t="shared" ref="BD107" si="317">COUNTIF(BD108:BD117,"✔")</f>
        <v>1</v>
      </c>
      <c r="BE107" s="461">
        <f t="shared" ref="BE107" si="318">COUNTIF(BE108:BE117,"✔")</f>
        <v>0</v>
      </c>
      <c r="BF107" s="461">
        <f t="shared" ref="BF107" si="319">COUNTIF(BF108:BF117,"✔")</f>
        <v>1</v>
      </c>
      <c r="BG107" s="461">
        <f t="shared" ref="BG107" si="320">COUNTIF(BG108:BG117,"✔")</f>
        <v>0</v>
      </c>
      <c r="BH107" s="461">
        <f t="shared" ref="BH107" si="321">COUNTIF(BH108:BH117,"✔")</f>
        <v>0</v>
      </c>
      <c r="BI107" s="461">
        <f t="shared" ref="BI107" si="322">COUNTIF(BI108:BI117,"✔")</f>
        <v>0</v>
      </c>
      <c r="BJ107" s="435"/>
      <c r="BK107" s="461">
        <f t="shared" ref="BK107" si="323">COUNTIF(BK108:BK117,"✔")</f>
        <v>0</v>
      </c>
      <c r="BL107" s="461">
        <f t="shared" ref="BL107" si="324">COUNTIF(BL108:BL117,"✔")</f>
        <v>0</v>
      </c>
      <c r="BM107" s="461">
        <f t="shared" ref="BM107" si="325">COUNTIF(BM108:BM117,"✔")</f>
        <v>0</v>
      </c>
      <c r="BN107" s="461">
        <f t="shared" ref="BN107" si="326">COUNTIF(BN108:BN117,"✔")</f>
        <v>0</v>
      </c>
      <c r="BO107" s="461">
        <f t="shared" ref="BO107" si="327">COUNTIF(BO108:BO117,"✔")</f>
        <v>0</v>
      </c>
      <c r="BP107" s="461">
        <f t="shared" ref="BP107" si="328">COUNTIF(BP108:BP117,"✔")</f>
        <v>0</v>
      </c>
      <c r="BQ107" s="461">
        <f t="shared" ref="BQ107" si="329">COUNTIF(BQ108:BQ117,"✔")</f>
        <v>0</v>
      </c>
      <c r="BR107" s="461">
        <f t="shared" ref="BR107" si="330">COUNTIF(BR108:BR117,"✔")</f>
        <v>0</v>
      </c>
      <c r="BS107" s="461">
        <f t="shared" ref="BS107" si="331">COUNTIF(BS108:BS117,"✔")</f>
        <v>0</v>
      </c>
      <c r="BT107" s="383"/>
      <c r="BU107" s="461">
        <f t="shared" ref="BU107" si="332">COUNTIF(BU108:BU117,"✔")</f>
        <v>0</v>
      </c>
      <c r="BV107" s="461">
        <f t="shared" ref="BV107" si="333">COUNTIF(BV108:BV117,"✔")</f>
        <v>0</v>
      </c>
      <c r="BW107" s="461">
        <f t="shared" ref="BW107" si="334">COUNTIF(BW108:BW117,"✔")</f>
        <v>0</v>
      </c>
      <c r="BX107" s="461">
        <f t="shared" ref="BX107" si="335">COUNTIF(BX108:BX117,"✔")</f>
        <v>0</v>
      </c>
      <c r="BY107" s="461">
        <f t="shared" ref="BY107" si="336">COUNTIF(BY108:BY117,"✔")</f>
        <v>0</v>
      </c>
      <c r="BZ107" s="383"/>
    </row>
    <row r="108" spans="2:78" ht="12.75" outlineLevel="2">
      <c r="B108" s="463" t="s">
        <v>117</v>
      </c>
      <c r="C108" s="464">
        <v>1</v>
      </c>
      <c r="D108" s="465" t="s">
        <v>52</v>
      </c>
      <c r="E108" s="383"/>
      <c r="F108" s="443">
        <f t="shared" ref="F108:F117" si="337">COUNTIF(M108,"✔")+COUNTIF(AD108,"✔")+COUNTIF(BL108,"✔")+COUNTIF(AU108,"✔")</f>
        <v>3</v>
      </c>
      <c r="G108" s="444">
        <f t="shared" ref="G108:H117" si="338">COUNTIF(N108,"✔")+COUNTIF(AE108,"✔")+COUNTIF(BM108,"✔")+COUNTIF(AV108,"✔")</f>
        <v>3</v>
      </c>
      <c r="H108" s="444">
        <f t="shared" si="338"/>
        <v>3</v>
      </c>
      <c r="I108" s="444">
        <f t="shared" ref="I108:I117" si="339">F108-G108</f>
        <v>0</v>
      </c>
      <c r="J108" s="430"/>
      <c r="K108" s="441"/>
      <c r="L108" s="442"/>
      <c r="M108" s="443" t="str">
        <f>IF('Design Fee'!W110&gt;0,"✔","-")</f>
        <v>✔</v>
      </c>
      <c r="N108" s="443" t="str">
        <f>IF('Design Fee'!X110&gt;0,"✔","-")</f>
        <v>✔</v>
      </c>
      <c r="O108" s="444" t="str">
        <f>IF('Design Fee'!Y110&gt;0,"✔","-")</f>
        <v>✔</v>
      </c>
      <c r="P108" s="444" t="str">
        <f>IF('Design Fee'!Z110&gt;0,"✔","-")</f>
        <v>-</v>
      </c>
      <c r="Q108" s="444" t="str">
        <f>IF('Design Fee'!AA110&gt;0,"✔","-")</f>
        <v>-</v>
      </c>
      <c r="R108" s="444" t="str">
        <f>IF('Design Fee'!AB110&gt;0,"✔","-")</f>
        <v>-</v>
      </c>
      <c r="S108" s="444" t="str">
        <f>IF('Design Fee'!AC110&gt;0,"✔","-")</f>
        <v>-</v>
      </c>
      <c r="T108" s="466" t="str">
        <f>IF('Design Fee'!AD110&gt;0,"✔","-")</f>
        <v>-</v>
      </c>
      <c r="U108" s="430"/>
      <c r="V108" s="444" t="str">
        <f>IF('Design Fee'!AF110&gt;0,"✔","-")</f>
        <v>-</v>
      </c>
      <c r="W108" s="444" t="str">
        <f>IF('Design Fee'!AG110&gt;0,"✔","-")</f>
        <v>-</v>
      </c>
      <c r="X108" s="444" t="str">
        <f>IF('Design Fee'!AH110&gt;0,"✔","-")</f>
        <v>-</v>
      </c>
      <c r="Y108" s="444" t="str">
        <f>IF('Design Fee'!AI110&gt;0,"✔","-")</f>
        <v>-</v>
      </c>
      <c r="Z108" s="444" t="str">
        <f>IF('Design Fee'!AJ110&gt;0,"✔","-")</f>
        <v>-</v>
      </c>
      <c r="AA108" s="430"/>
      <c r="AB108" s="441"/>
      <c r="AC108" s="442"/>
      <c r="AD108" s="443" t="str">
        <f>IF('Design Fee'!BG110&gt;0,"✔","-")</f>
        <v>✔</v>
      </c>
      <c r="AE108" s="443" t="str">
        <f>IF('Design Fee'!BH110&gt;0,"✔","-")</f>
        <v>✔</v>
      </c>
      <c r="AF108" s="444" t="str">
        <f>IF('Design Fee'!BI110&gt;0,"✔","-")</f>
        <v>✔</v>
      </c>
      <c r="AG108" s="444" t="str">
        <f>IF('Design Fee'!BJ110&gt;0,"✔","-")</f>
        <v>-</v>
      </c>
      <c r="AH108" s="444" t="str">
        <f>IF('Design Fee'!BK110&gt;0,"✔","-")</f>
        <v>-</v>
      </c>
      <c r="AI108" s="444" t="str">
        <f>IF('Design Fee'!BL110&gt;0,"✔","-")</f>
        <v>-</v>
      </c>
      <c r="AJ108" s="444" t="str">
        <f>IF('Design Fee'!BM110&gt;0,"✔","-")</f>
        <v>-</v>
      </c>
      <c r="AK108" s="466" t="str">
        <f>IF('Design Fee'!BN110&gt;0,"✔","-")</f>
        <v>-</v>
      </c>
      <c r="AL108" s="445"/>
      <c r="AM108" s="444" t="str">
        <f>IF('Design Fee'!BP110&gt;0,"✔","-")</f>
        <v>-</v>
      </c>
      <c r="AN108" s="444" t="str">
        <f>IF('Design Fee'!BQ110&gt;0,"✔","-")</f>
        <v>-</v>
      </c>
      <c r="AO108" s="444" t="str">
        <f>IF('Design Fee'!BR110&gt;0,"✔","-")</f>
        <v>-</v>
      </c>
      <c r="AP108" s="444" t="str">
        <f>IF('Design Fee'!BS110&gt;0,"✔","-")</f>
        <v>-</v>
      </c>
      <c r="AQ108" s="444" t="str">
        <f>IF('Design Fee'!BT110&gt;0,"✔","-")</f>
        <v>-</v>
      </c>
      <c r="AR108" s="445"/>
      <c r="AS108" s="441"/>
      <c r="AT108" s="442"/>
      <c r="AU108" s="443" t="str">
        <f>IF('Design Fee'!CQ110&gt;0,"✔","-")</f>
        <v>✔</v>
      </c>
      <c r="AV108" s="443" t="str">
        <f>IF('Design Fee'!CR110&gt;0,"✔","-")</f>
        <v>✔</v>
      </c>
      <c r="AW108" s="444" t="str">
        <f>IF('Design Fee'!CS110&gt;0,"✔","-")</f>
        <v>✔</v>
      </c>
      <c r="AX108" s="444" t="str">
        <f>IF('Design Fee'!CT110&gt;0,"✔","-")</f>
        <v>-</v>
      </c>
      <c r="AY108" s="444" t="str">
        <f>IF('Design Fee'!CU110&gt;0,"✔","-")</f>
        <v>-</v>
      </c>
      <c r="AZ108" s="444" t="str">
        <f>IF('Design Fee'!CV110&gt;0,"✔","-")</f>
        <v>-</v>
      </c>
      <c r="BA108" s="444" t="str">
        <f>IF('Design Fee'!CW110&gt;0,"✔","-")</f>
        <v>-</v>
      </c>
      <c r="BB108" s="466" t="str">
        <f>IF('Design Fee'!CX110&gt;0,"✔","-")</f>
        <v>-</v>
      </c>
      <c r="BC108" s="445"/>
      <c r="BD108" s="444" t="str">
        <f>IF('Design Fee'!CZ110&gt;0,"✔","-")</f>
        <v>-</v>
      </c>
      <c r="BE108" s="444" t="str">
        <f>IF('Design Fee'!DA110&gt;0,"✔","-")</f>
        <v>-</v>
      </c>
      <c r="BF108" s="444" t="str">
        <f>IF('Design Fee'!DB110&gt;0,"✔","-")</f>
        <v>-</v>
      </c>
      <c r="BG108" s="444" t="str">
        <f>IF('Design Fee'!DC110&gt;0,"✔","-")</f>
        <v>-</v>
      </c>
      <c r="BH108" s="444" t="str">
        <f>IF('Design Fee'!DD110&gt;0,"✔","-")</f>
        <v>-</v>
      </c>
      <c r="BI108" s="445"/>
      <c r="BJ108" s="441"/>
      <c r="BK108" s="442"/>
      <c r="BL108" s="443" t="str">
        <f>IF('Design Fee'!EA110&gt;0,"✔","-")</f>
        <v>-</v>
      </c>
      <c r="BM108" s="443" t="str">
        <f>IF('Design Fee'!EB110&gt;0,"✔","-")</f>
        <v>-</v>
      </c>
      <c r="BN108" s="444" t="str">
        <f>IF('Design Fee'!EC110&gt;0,"✔","-")</f>
        <v>-</v>
      </c>
      <c r="BO108" s="444" t="str">
        <f>IF('Design Fee'!ED110&gt;0,"✔","-")</f>
        <v>-</v>
      </c>
      <c r="BP108" s="444" t="str">
        <f>IF('Design Fee'!EE110&gt;0,"✔","-")</f>
        <v>-</v>
      </c>
      <c r="BQ108" s="444" t="str">
        <f>IF('Design Fee'!EF110&gt;0,"✔","-")</f>
        <v>-</v>
      </c>
      <c r="BR108" s="444" t="str">
        <f>IF('Design Fee'!EG110&gt;0,"✔","-")</f>
        <v>-</v>
      </c>
      <c r="BS108" s="466" t="str">
        <f>IF('Design Fee'!EH110&gt;0,"✔","-")</f>
        <v>-</v>
      </c>
      <c r="BT108" s="383"/>
      <c r="BU108" s="444" t="str">
        <f>IF('Design Fee'!EJ110&gt;0,"✔","-")</f>
        <v>-</v>
      </c>
      <c r="BV108" s="444" t="str">
        <f>IF('Design Fee'!EK110&gt;0,"✔","-")</f>
        <v>-</v>
      </c>
      <c r="BW108" s="444" t="str">
        <f>IF('Design Fee'!EL110&gt;0,"✔","-")</f>
        <v>-</v>
      </c>
      <c r="BX108" s="444" t="str">
        <f>IF('Design Fee'!EM110&gt;0,"✔","-")</f>
        <v>-</v>
      </c>
      <c r="BY108" s="444" t="str">
        <f>IF('Design Fee'!EN110&gt;0,"✔","-")</f>
        <v>-</v>
      </c>
      <c r="BZ108" s="383"/>
    </row>
    <row r="109" spans="2:78" ht="12.75" outlineLevel="2">
      <c r="B109" s="463" t="s">
        <v>118</v>
      </c>
      <c r="C109" s="464">
        <v>2</v>
      </c>
      <c r="D109" s="465" t="s">
        <v>54</v>
      </c>
      <c r="E109" s="383"/>
      <c r="F109" s="443">
        <f t="shared" si="337"/>
        <v>2</v>
      </c>
      <c r="G109" s="444">
        <f t="shared" si="338"/>
        <v>2</v>
      </c>
      <c r="H109" s="444">
        <f t="shared" si="338"/>
        <v>2</v>
      </c>
      <c r="I109" s="444">
        <f t="shared" si="339"/>
        <v>0</v>
      </c>
      <c r="J109" s="430"/>
      <c r="K109" s="441"/>
      <c r="L109" s="442"/>
      <c r="M109" s="443" t="str">
        <f>IF('Design Fee'!W111&gt;0,"✔","-")</f>
        <v>✔</v>
      </c>
      <c r="N109" s="443" t="str">
        <f>IF('Design Fee'!X111&gt;0,"✔","-")</f>
        <v>✔</v>
      </c>
      <c r="O109" s="444" t="str">
        <f>IF('Design Fee'!Y111&gt;0,"✔","-")</f>
        <v>✔</v>
      </c>
      <c r="P109" s="444" t="str">
        <f>IF('Design Fee'!Z111&gt;0,"✔","-")</f>
        <v>-</v>
      </c>
      <c r="Q109" s="444" t="str">
        <f>IF('Design Fee'!AA111&gt;0,"✔","-")</f>
        <v>-</v>
      </c>
      <c r="R109" s="444" t="str">
        <f>IF('Design Fee'!AB111&gt;0,"✔","-")</f>
        <v>-</v>
      </c>
      <c r="S109" s="444" t="str">
        <f>IF('Design Fee'!AC111&gt;0,"✔","-")</f>
        <v>-</v>
      </c>
      <c r="T109" s="466" t="str">
        <f>IF('Design Fee'!AD111&gt;0,"✔","-")</f>
        <v>-</v>
      </c>
      <c r="U109" s="430"/>
      <c r="V109" s="444" t="str">
        <f>IF('Design Fee'!AF111&gt;0,"✔","-")</f>
        <v>-</v>
      </c>
      <c r="W109" s="444" t="str">
        <f>IF('Design Fee'!AG111&gt;0,"✔","-")</f>
        <v>-</v>
      </c>
      <c r="X109" s="444" t="str">
        <f>IF('Design Fee'!AH111&gt;0,"✔","-")</f>
        <v>-</v>
      </c>
      <c r="Y109" s="444" t="str">
        <f>IF('Design Fee'!AI111&gt;0,"✔","-")</f>
        <v>-</v>
      </c>
      <c r="Z109" s="444" t="str">
        <f>IF('Design Fee'!AJ111&gt;0,"✔","-")</f>
        <v>-</v>
      </c>
      <c r="AA109" s="430"/>
      <c r="AB109" s="441"/>
      <c r="AC109" s="442"/>
      <c r="AD109" s="443" t="str">
        <f>IF('Design Fee'!BG111&gt;0,"✔","-")</f>
        <v>✔</v>
      </c>
      <c r="AE109" s="443" t="str">
        <f>IF('Design Fee'!BH111&gt;0,"✔","-")</f>
        <v>✔</v>
      </c>
      <c r="AF109" s="444" t="str">
        <f>IF('Design Fee'!BI111&gt;0,"✔","-")</f>
        <v>✔</v>
      </c>
      <c r="AG109" s="444" t="str">
        <f>IF('Design Fee'!BJ111&gt;0,"✔","-")</f>
        <v>-</v>
      </c>
      <c r="AH109" s="444" t="str">
        <f>IF('Design Fee'!BK111&gt;0,"✔","-")</f>
        <v>-</v>
      </c>
      <c r="AI109" s="444" t="str">
        <f>IF('Design Fee'!BL111&gt;0,"✔","-")</f>
        <v>-</v>
      </c>
      <c r="AJ109" s="444" t="str">
        <f>IF('Design Fee'!BM111&gt;0,"✔","-")</f>
        <v>-</v>
      </c>
      <c r="AK109" s="466" t="str">
        <f>IF('Design Fee'!BN111&gt;0,"✔","-")</f>
        <v>-</v>
      </c>
      <c r="AL109" s="445"/>
      <c r="AM109" s="444" t="str">
        <f>IF('Design Fee'!BP111&gt;0,"✔","-")</f>
        <v>-</v>
      </c>
      <c r="AN109" s="444" t="str">
        <f>IF('Design Fee'!BQ111&gt;0,"✔","-")</f>
        <v>-</v>
      </c>
      <c r="AO109" s="444" t="str">
        <f>IF('Design Fee'!BR111&gt;0,"✔","-")</f>
        <v>-</v>
      </c>
      <c r="AP109" s="444" t="str">
        <f>IF('Design Fee'!BS111&gt;0,"✔","-")</f>
        <v>-</v>
      </c>
      <c r="AQ109" s="444" t="str">
        <f>IF('Design Fee'!BT111&gt;0,"✔","-")</f>
        <v>-</v>
      </c>
      <c r="AR109" s="445"/>
      <c r="AS109" s="441"/>
      <c r="AT109" s="442"/>
      <c r="AU109" s="443" t="str">
        <f>IF('Design Fee'!CQ111&gt;0,"✔","-")</f>
        <v>-</v>
      </c>
      <c r="AV109" s="443" t="str">
        <f>IF('Design Fee'!CR111&gt;0,"✔","-")</f>
        <v>-</v>
      </c>
      <c r="AW109" s="444" t="str">
        <f>IF('Design Fee'!CS111&gt;0,"✔","-")</f>
        <v>-</v>
      </c>
      <c r="AX109" s="444" t="str">
        <f>IF('Design Fee'!CT111&gt;0,"✔","-")</f>
        <v>-</v>
      </c>
      <c r="AY109" s="444" t="str">
        <f>IF('Design Fee'!CU111&gt;0,"✔","-")</f>
        <v>-</v>
      </c>
      <c r="AZ109" s="444" t="str">
        <f>IF('Design Fee'!CV111&gt;0,"✔","-")</f>
        <v>-</v>
      </c>
      <c r="BA109" s="444" t="str">
        <f>IF('Design Fee'!CW111&gt;0,"✔","-")</f>
        <v>-</v>
      </c>
      <c r="BB109" s="466" t="str">
        <f>IF('Design Fee'!CX111&gt;0,"✔","-")</f>
        <v>-</v>
      </c>
      <c r="BC109" s="445"/>
      <c r="BD109" s="444" t="str">
        <f>IF('Design Fee'!CZ111&gt;0,"✔","-")</f>
        <v>-</v>
      </c>
      <c r="BE109" s="444" t="str">
        <f>IF('Design Fee'!DA111&gt;0,"✔","-")</f>
        <v>-</v>
      </c>
      <c r="BF109" s="444" t="str">
        <f>IF('Design Fee'!DB111&gt;0,"✔","-")</f>
        <v>-</v>
      </c>
      <c r="BG109" s="444" t="str">
        <f>IF('Design Fee'!DC111&gt;0,"✔","-")</f>
        <v>-</v>
      </c>
      <c r="BH109" s="444" t="str">
        <f>IF('Design Fee'!DD111&gt;0,"✔","-")</f>
        <v>-</v>
      </c>
      <c r="BI109" s="445"/>
      <c r="BJ109" s="441"/>
      <c r="BK109" s="442"/>
      <c r="BL109" s="443" t="str">
        <f>IF('Design Fee'!EA111&gt;0,"✔","-")</f>
        <v>-</v>
      </c>
      <c r="BM109" s="443" t="str">
        <f>IF('Design Fee'!EB111&gt;0,"✔","-")</f>
        <v>-</v>
      </c>
      <c r="BN109" s="444" t="str">
        <f>IF('Design Fee'!EC111&gt;0,"✔","-")</f>
        <v>-</v>
      </c>
      <c r="BO109" s="444" t="str">
        <f>IF('Design Fee'!ED111&gt;0,"✔","-")</f>
        <v>-</v>
      </c>
      <c r="BP109" s="444" t="str">
        <f>IF('Design Fee'!EE111&gt;0,"✔","-")</f>
        <v>-</v>
      </c>
      <c r="BQ109" s="444" t="str">
        <f>IF('Design Fee'!EF111&gt;0,"✔","-")</f>
        <v>-</v>
      </c>
      <c r="BR109" s="444" t="str">
        <f>IF('Design Fee'!EG111&gt;0,"✔","-")</f>
        <v>-</v>
      </c>
      <c r="BS109" s="466" t="str">
        <f>IF('Design Fee'!EH111&gt;0,"✔","-")</f>
        <v>-</v>
      </c>
      <c r="BT109" s="383"/>
      <c r="BU109" s="444" t="str">
        <f>IF('Design Fee'!EJ111&gt;0,"✔","-")</f>
        <v>-</v>
      </c>
      <c r="BV109" s="444" t="str">
        <f>IF('Design Fee'!EK111&gt;0,"✔","-")</f>
        <v>-</v>
      </c>
      <c r="BW109" s="444" t="str">
        <f>IF('Design Fee'!EL111&gt;0,"✔","-")</f>
        <v>-</v>
      </c>
      <c r="BX109" s="444" t="str">
        <f>IF('Design Fee'!EM111&gt;0,"✔","-")</f>
        <v>-</v>
      </c>
      <c r="BY109" s="444" t="str">
        <f>IF('Design Fee'!EN111&gt;0,"✔","-")</f>
        <v>-</v>
      </c>
      <c r="BZ109" s="383"/>
    </row>
    <row r="110" spans="2:78" ht="12.75" outlineLevel="2">
      <c r="B110" s="463" t="s">
        <v>119</v>
      </c>
      <c r="C110" s="464">
        <v>3</v>
      </c>
      <c r="D110" s="465" t="s">
        <v>56</v>
      </c>
      <c r="E110" s="383"/>
      <c r="F110" s="443">
        <f t="shared" si="337"/>
        <v>1</v>
      </c>
      <c r="G110" s="444">
        <f t="shared" si="338"/>
        <v>1</v>
      </c>
      <c r="H110" s="444">
        <f t="shared" si="338"/>
        <v>1</v>
      </c>
      <c r="I110" s="444">
        <f t="shared" si="339"/>
        <v>0</v>
      </c>
      <c r="J110" s="430"/>
      <c r="K110" s="441"/>
      <c r="L110" s="442"/>
      <c r="M110" s="443" t="str">
        <f>IF('Design Fee'!W112&gt;0,"✔","-")</f>
        <v>✔</v>
      </c>
      <c r="N110" s="443" t="str">
        <f>IF('Design Fee'!X112&gt;0,"✔","-")</f>
        <v>✔</v>
      </c>
      <c r="O110" s="444" t="str">
        <f>IF('Design Fee'!Y112&gt;0,"✔","-")</f>
        <v>✔</v>
      </c>
      <c r="P110" s="444" t="str">
        <f>IF('Design Fee'!Z112&gt;0,"✔","-")</f>
        <v>-</v>
      </c>
      <c r="Q110" s="444" t="str">
        <f>IF('Design Fee'!AA112&gt;0,"✔","-")</f>
        <v>-</v>
      </c>
      <c r="R110" s="444" t="str">
        <f>IF('Design Fee'!AB112&gt;0,"✔","-")</f>
        <v>-</v>
      </c>
      <c r="S110" s="444" t="str">
        <f>IF('Design Fee'!AC112&gt;0,"✔","-")</f>
        <v>-</v>
      </c>
      <c r="T110" s="466" t="str">
        <f>IF('Design Fee'!AD112&gt;0,"✔","-")</f>
        <v>-</v>
      </c>
      <c r="U110" s="430"/>
      <c r="V110" s="444" t="str">
        <f>IF('Design Fee'!AF112&gt;0,"✔","-")</f>
        <v>-</v>
      </c>
      <c r="W110" s="444" t="str">
        <f>IF('Design Fee'!AG112&gt;0,"✔","-")</f>
        <v>-</v>
      </c>
      <c r="X110" s="444" t="str">
        <f>IF('Design Fee'!AH112&gt;0,"✔","-")</f>
        <v>-</v>
      </c>
      <c r="Y110" s="444" t="str">
        <f>IF('Design Fee'!AI112&gt;0,"✔","-")</f>
        <v>-</v>
      </c>
      <c r="Z110" s="444" t="str">
        <f>IF('Design Fee'!AJ112&gt;0,"✔","-")</f>
        <v>-</v>
      </c>
      <c r="AA110" s="430"/>
      <c r="AB110" s="441"/>
      <c r="AC110" s="442"/>
      <c r="AD110" s="443" t="str">
        <f>IF('Design Fee'!BG112&gt;0,"✔","-")</f>
        <v>-</v>
      </c>
      <c r="AE110" s="443" t="str">
        <f>IF('Design Fee'!BH112&gt;0,"✔","-")</f>
        <v>-</v>
      </c>
      <c r="AF110" s="444" t="str">
        <f>IF('Design Fee'!BI112&gt;0,"✔","-")</f>
        <v>-</v>
      </c>
      <c r="AG110" s="444" t="str">
        <f>IF('Design Fee'!BJ112&gt;0,"✔","-")</f>
        <v>-</v>
      </c>
      <c r="AH110" s="444" t="str">
        <f>IF('Design Fee'!BK112&gt;0,"✔","-")</f>
        <v>-</v>
      </c>
      <c r="AI110" s="444" t="str">
        <f>IF('Design Fee'!BL112&gt;0,"✔","-")</f>
        <v>-</v>
      </c>
      <c r="AJ110" s="444" t="str">
        <f>IF('Design Fee'!BM112&gt;0,"✔","-")</f>
        <v>-</v>
      </c>
      <c r="AK110" s="466" t="str">
        <f>IF('Design Fee'!BN112&gt;0,"✔","-")</f>
        <v>-</v>
      </c>
      <c r="AL110" s="445"/>
      <c r="AM110" s="444" t="str">
        <f>IF('Design Fee'!BP112&gt;0,"✔","-")</f>
        <v>-</v>
      </c>
      <c r="AN110" s="444" t="str">
        <f>IF('Design Fee'!BQ112&gt;0,"✔","-")</f>
        <v>-</v>
      </c>
      <c r="AO110" s="444" t="str">
        <f>IF('Design Fee'!BR112&gt;0,"✔","-")</f>
        <v>-</v>
      </c>
      <c r="AP110" s="444" t="str">
        <f>IF('Design Fee'!BS112&gt;0,"✔","-")</f>
        <v>-</v>
      </c>
      <c r="AQ110" s="444" t="str">
        <f>IF('Design Fee'!BT112&gt;0,"✔","-")</f>
        <v>-</v>
      </c>
      <c r="AR110" s="445"/>
      <c r="AS110" s="441"/>
      <c r="AT110" s="442"/>
      <c r="AU110" s="443" t="str">
        <f>IF('Design Fee'!CQ112&gt;0,"✔","-")</f>
        <v>-</v>
      </c>
      <c r="AV110" s="443" t="str">
        <f>IF('Design Fee'!CR112&gt;0,"✔","-")</f>
        <v>-</v>
      </c>
      <c r="AW110" s="444" t="str">
        <f>IF('Design Fee'!CS112&gt;0,"✔","-")</f>
        <v>-</v>
      </c>
      <c r="AX110" s="444" t="str">
        <f>IF('Design Fee'!CT112&gt;0,"✔","-")</f>
        <v>-</v>
      </c>
      <c r="AY110" s="444" t="str">
        <f>IF('Design Fee'!CU112&gt;0,"✔","-")</f>
        <v>-</v>
      </c>
      <c r="AZ110" s="444" t="str">
        <f>IF('Design Fee'!CV112&gt;0,"✔","-")</f>
        <v>-</v>
      </c>
      <c r="BA110" s="444" t="str">
        <f>IF('Design Fee'!CW112&gt;0,"✔","-")</f>
        <v>-</v>
      </c>
      <c r="BB110" s="466" t="str">
        <f>IF('Design Fee'!CX112&gt;0,"✔","-")</f>
        <v>-</v>
      </c>
      <c r="BC110" s="445"/>
      <c r="BD110" s="444" t="str">
        <f>IF('Design Fee'!CZ112&gt;0,"✔","-")</f>
        <v>-</v>
      </c>
      <c r="BE110" s="444" t="str">
        <f>IF('Design Fee'!DA112&gt;0,"✔","-")</f>
        <v>-</v>
      </c>
      <c r="BF110" s="444" t="str">
        <f>IF('Design Fee'!DB112&gt;0,"✔","-")</f>
        <v>-</v>
      </c>
      <c r="BG110" s="444" t="str">
        <f>IF('Design Fee'!DC112&gt;0,"✔","-")</f>
        <v>-</v>
      </c>
      <c r="BH110" s="444" t="str">
        <f>IF('Design Fee'!DD112&gt;0,"✔","-")</f>
        <v>-</v>
      </c>
      <c r="BI110" s="445"/>
      <c r="BJ110" s="441"/>
      <c r="BK110" s="442"/>
      <c r="BL110" s="443" t="str">
        <f>IF('Design Fee'!EA112&gt;0,"✔","-")</f>
        <v>-</v>
      </c>
      <c r="BM110" s="443" t="str">
        <f>IF('Design Fee'!EB112&gt;0,"✔","-")</f>
        <v>-</v>
      </c>
      <c r="BN110" s="444" t="str">
        <f>IF('Design Fee'!EC112&gt;0,"✔","-")</f>
        <v>-</v>
      </c>
      <c r="BO110" s="444" t="str">
        <f>IF('Design Fee'!ED112&gt;0,"✔","-")</f>
        <v>-</v>
      </c>
      <c r="BP110" s="444" t="str">
        <f>IF('Design Fee'!EE112&gt;0,"✔","-")</f>
        <v>-</v>
      </c>
      <c r="BQ110" s="444" t="str">
        <f>IF('Design Fee'!EF112&gt;0,"✔","-")</f>
        <v>-</v>
      </c>
      <c r="BR110" s="444" t="str">
        <f>IF('Design Fee'!EG112&gt;0,"✔","-")</f>
        <v>-</v>
      </c>
      <c r="BS110" s="466" t="str">
        <f>IF('Design Fee'!EH112&gt;0,"✔","-")</f>
        <v>-</v>
      </c>
      <c r="BT110" s="383"/>
      <c r="BU110" s="444" t="str">
        <f>IF('Design Fee'!EJ112&gt;0,"✔","-")</f>
        <v>-</v>
      </c>
      <c r="BV110" s="444" t="str">
        <f>IF('Design Fee'!EK112&gt;0,"✔","-")</f>
        <v>-</v>
      </c>
      <c r="BW110" s="444" t="str">
        <f>IF('Design Fee'!EL112&gt;0,"✔","-")</f>
        <v>-</v>
      </c>
      <c r="BX110" s="444" t="str">
        <f>IF('Design Fee'!EM112&gt;0,"✔","-")</f>
        <v>-</v>
      </c>
      <c r="BY110" s="444" t="str">
        <f>IF('Design Fee'!EN112&gt;0,"✔","-")</f>
        <v>-</v>
      </c>
      <c r="BZ110" s="383"/>
    </row>
    <row r="111" spans="2:78" ht="12.75" outlineLevel="2">
      <c r="B111" s="463" t="s">
        <v>120</v>
      </c>
      <c r="C111" s="464">
        <v>4</v>
      </c>
      <c r="D111" s="465" t="s">
        <v>58</v>
      </c>
      <c r="E111" s="383"/>
      <c r="F111" s="443">
        <f t="shared" si="337"/>
        <v>3</v>
      </c>
      <c r="G111" s="444">
        <f t="shared" si="338"/>
        <v>3</v>
      </c>
      <c r="H111" s="444">
        <f t="shared" si="338"/>
        <v>3</v>
      </c>
      <c r="I111" s="444">
        <f t="shared" si="339"/>
        <v>0</v>
      </c>
      <c r="J111" s="430"/>
      <c r="K111" s="441"/>
      <c r="L111" s="442"/>
      <c r="M111" s="443" t="str">
        <f>IF('Design Fee'!W113&gt;0,"✔","-")</f>
        <v>✔</v>
      </c>
      <c r="N111" s="443" t="str">
        <f>IF('Design Fee'!X113&gt;0,"✔","-")</f>
        <v>✔</v>
      </c>
      <c r="O111" s="444" t="str">
        <f>IF('Design Fee'!Y113&gt;0,"✔","-")</f>
        <v>✔</v>
      </c>
      <c r="P111" s="444" t="str">
        <f>IF('Design Fee'!Z113&gt;0,"✔","-")</f>
        <v>-</v>
      </c>
      <c r="Q111" s="444" t="str">
        <f>IF('Design Fee'!AA113&gt;0,"✔","-")</f>
        <v>-</v>
      </c>
      <c r="R111" s="444" t="str">
        <f>IF('Design Fee'!AB113&gt;0,"✔","-")</f>
        <v>-</v>
      </c>
      <c r="S111" s="444" t="str">
        <f>IF('Design Fee'!AC113&gt;0,"✔","-")</f>
        <v>-</v>
      </c>
      <c r="T111" s="466" t="str">
        <f>IF('Design Fee'!AD113&gt;0,"✔","-")</f>
        <v>-</v>
      </c>
      <c r="U111" s="430"/>
      <c r="V111" s="444" t="str">
        <f>IF('Design Fee'!AF113&gt;0,"✔","-")</f>
        <v>-</v>
      </c>
      <c r="W111" s="444" t="str">
        <f>IF('Design Fee'!AG113&gt;0,"✔","-")</f>
        <v>-</v>
      </c>
      <c r="X111" s="444" t="str">
        <f>IF('Design Fee'!AH113&gt;0,"✔","-")</f>
        <v>-</v>
      </c>
      <c r="Y111" s="444" t="str">
        <f>IF('Design Fee'!AI113&gt;0,"✔","-")</f>
        <v>-</v>
      </c>
      <c r="Z111" s="444" t="str">
        <f>IF('Design Fee'!AJ113&gt;0,"✔","-")</f>
        <v>-</v>
      </c>
      <c r="AA111" s="430"/>
      <c r="AB111" s="441"/>
      <c r="AC111" s="442"/>
      <c r="AD111" s="443" t="str">
        <f>IF('Design Fee'!BG113&gt;0,"✔","-")</f>
        <v>✔</v>
      </c>
      <c r="AE111" s="443" t="str">
        <f>IF('Design Fee'!BH113&gt;0,"✔","-")</f>
        <v>✔</v>
      </c>
      <c r="AF111" s="444" t="str">
        <f>IF('Design Fee'!BI113&gt;0,"✔","-")</f>
        <v>✔</v>
      </c>
      <c r="AG111" s="444" t="str">
        <f>IF('Design Fee'!BJ113&gt;0,"✔","-")</f>
        <v>-</v>
      </c>
      <c r="AH111" s="444" t="str">
        <f>IF('Design Fee'!BK113&gt;0,"✔","-")</f>
        <v>-</v>
      </c>
      <c r="AI111" s="444" t="str">
        <f>IF('Design Fee'!BL113&gt;0,"✔","-")</f>
        <v>-</v>
      </c>
      <c r="AJ111" s="444" t="str">
        <f>IF('Design Fee'!BM113&gt;0,"✔","-")</f>
        <v>-</v>
      </c>
      <c r="AK111" s="466" t="str">
        <f>IF('Design Fee'!BN113&gt;0,"✔","-")</f>
        <v>-</v>
      </c>
      <c r="AL111" s="445"/>
      <c r="AM111" s="444" t="str">
        <f>IF('Design Fee'!BP113&gt;0,"✔","-")</f>
        <v>-</v>
      </c>
      <c r="AN111" s="444" t="str">
        <f>IF('Design Fee'!BQ113&gt;0,"✔","-")</f>
        <v>-</v>
      </c>
      <c r="AO111" s="444" t="str">
        <f>IF('Design Fee'!BR113&gt;0,"✔","-")</f>
        <v>-</v>
      </c>
      <c r="AP111" s="444" t="str">
        <f>IF('Design Fee'!BS113&gt;0,"✔","-")</f>
        <v>-</v>
      </c>
      <c r="AQ111" s="444" t="str">
        <f>IF('Design Fee'!BT113&gt;0,"✔","-")</f>
        <v>-</v>
      </c>
      <c r="AR111" s="445"/>
      <c r="AS111" s="441"/>
      <c r="AT111" s="442"/>
      <c r="AU111" s="443" t="str">
        <f>IF('Design Fee'!CQ113&gt;0,"✔","-")</f>
        <v>✔</v>
      </c>
      <c r="AV111" s="443" t="str">
        <f>IF('Design Fee'!CR113&gt;0,"✔","-")</f>
        <v>✔</v>
      </c>
      <c r="AW111" s="444" t="str">
        <f>IF('Design Fee'!CS113&gt;0,"✔","-")</f>
        <v>✔</v>
      </c>
      <c r="AX111" s="444" t="str">
        <f>IF('Design Fee'!CT113&gt;0,"✔","-")</f>
        <v>-</v>
      </c>
      <c r="AY111" s="444" t="str">
        <f>IF('Design Fee'!CU113&gt;0,"✔","-")</f>
        <v>-</v>
      </c>
      <c r="AZ111" s="444" t="str">
        <f>IF('Design Fee'!CV113&gt;0,"✔","-")</f>
        <v>-</v>
      </c>
      <c r="BA111" s="444" t="str">
        <f>IF('Design Fee'!CW113&gt;0,"✔","-")</f>
        <v>-</v>
      </c>
      <c r="BB111" s="466" t="str">
        <f>IF('Design Fee'!CX113&gt;0,"✔","-")</f>
        <v>-</v>
      </c>
      <c r="BC111" s="445"/>
      <c r="BD111" s="444" t="str">
        <f>IF('Design Fee'!CZ113&gt;0,"✔","-")</f>
        <v>-</v>
      </c>
      <c r="BE111" s="444" t="str">
        <f>IF('Design Fee'!DA113&gt;0,"✔","-")</f>
        <v>-</v>
      </c>
      <c r="BF111" s="444" t="str">
        <f>IF('Design Fee'!DB113&gt;0,"✔","-")</f>
        <v>-</v>
      </c>
      <c r="BG111" s="444" t="str">
        <f>IF('Design Fee'!DC113&gt;0,"✔","-")</f>
        <v>-</v>
      </c>
      <c r="BH111" s="444" t="str">
        <f>IF('Design Fee'!DD113&gt;0,"✔","-")</f>
        <v>-</v>
      </c>
      <c r="BI111" s="445"/>
      <c r="BJ111" s="441"/>
      <c r="BK111" s="442"/>
      <c r="BL111" s="443" t="str">
        <f>IF('Design Fee'!EA113&gt;0,"✔","-")</f>
        <v>-</v>
      </c>
      <c r="BM111" s="443" t="str">
        <f>IF('Design Fee'!EB113&gt;0,"✔","-")</f>
        <v>-</v>
      </c>
      <c r="BN111" s="444" t="str">
        <f>IF('Design Fee'!EC113&gt;0,"✔","-")</f>
        <v>-</v>
      </c>
      <c r="BO111" s="444" t="str">
        <f>IF('Design Fee'!ED113&gt;0,"✔","-")</f>
        <v>-</v>
      </c>
      <c r="BP111" s="444" t="str">
        <f>IF('Design Fee'!EE113&gt;0,"✔","-")</f>
        <v>-</v>
      </c>
      <c r="BQ111" s="444" t="str">
        <f>IF('Design Fee'!EF113&gt;0,"✔","-")</f>
        <v>-</v>
      </c>
      <c r="BR111" s="444" t="str">
        <f>IF('Design Fee'!EG113&gt;0,"✔","-")</f>
        <v>-</v>
      </c>
      <c r="BS111" s="466" t="str">
        <f>IF('Design Fee'!EH113&gt;0,"✔","-")</f>
        <v>-</v>
      </c>
      <c r="BT111" s="383"/>
      <c r="BU111" s="444" t="str">
        <f>IF('Design Fee'!EJ113&gt;0,"✔","-")</f>
        <v>-</v>
      </c>
      <c r="BV111" s="444" t="str">
        <f>IF('Design Fee'!EK113&gt;0,"✔","-")</f>
        <v>-</v>
      </c>
      <c r="BW111" s="444" t="str">
        <f>IF('Design Fee'!EL113&gt;0,"✔","-")</f>
        <v>-</v>
      </c>
      <c r="BX111" s="444" t="str">
        <f>IF('Design Fee'!EM113&gt;0,"✔","-")</f>
        <v>-</v>
      </c>
      <c r="BY111" s="444" t="str">
        <f>IF('Design Fee'!EN113&gt;0,"✔","-")</f>
        <v>-</v>
      </c>
      <c r="BZ111" s="383"/>
    </row>
    <row r="112" spans="2:78" s="95" customFormat="1" ht="12.75" outlineLevel="2">
      <c r="B112" s="463" t="s">
        <v>121</v>
      </c>
      <c r="C112" s="469">
        <v>5</v>
      </c>
      <c r="D112" s="470" t="s">
        <v>60</v>
      </c>
      <c r="E112" s="468"/>
      <c r="F112" s="443">
        <f t="shared" si="337"/>
        <v>2</v>
      </c>
      <c r="G112" s="444">
        <f t="shared" si="338"/>
        <v>2</v>
      </c>
      <c r="H112" s="444">
        <f t="shared" si="338"/>
        <v>2</v>
      </c>
      <c r="I112" s="444">
        <f t="shared" si="339"/>
        <v>0</v>
      </c>
      <c r="J112" s="475"/>
      <c r="K112" s="471"/>
      <c r="L112" s="472"/>
      <c r="M112" s="443" t="str">
        <f>IF('Design Fee'!W114&gt;0,"✔","-")</f>
        <v>✔</v>
      </c>
      <c r="N112" s="443" t="str">
        <f>IF('Design Fee'!X114&gt;0,"✔","-")</f>
        <v>✔</v>
      </c>
      <c r="O112" s="466" t="str">
        <f>IF('Design Fee'!Y114&gt;0,"✔","-")</f>
        <v>✔</v>
      </c>
      <c r="P112" s="466" t="str">
        <f>IF('Design Fee'!Z114&gt;0,"✔","-")</f>
        <v>-</v>
      </c>
      <c r="Q112" s="466" t="str">
        <f>IF('Design Fee'!AA114&gt;0,"✔","-")</f>
        <v>-</v>
      </c>
      <c r="R112" s="466" t="str">
        <f>IF('Design Fee'!AB114&gt;0,"✔","-")</f>
        <v>-</v>
      </c>
      <c r="S112" s="466" t="str">
        <f>IF('Design Fee'!AC114&gt;0,"✔","-")</f>
        <v>-</v>
      </c>
      <c r="T112" s="466" t="str">
        <f>IF('Design Fee'!AD114&gt;0,"✔","-")</f>
        <v>-</v>
      </c>
      <c r="U112" s="475"/>
      <c r="V112" s="444" t="str">
        <f>IF('Design Fee'!AF114&gt;0,"✔","-")</f>
        <v>-</v>
      </c>
      <c r="W112" s="444" t="str">
        <f>IF('Design Fee'!AG114&gt;0,"✔","-")</f>
        <v>-</v>
      </c>
      <c r="X112" s="444" t="str">
        <f>IF('Design Fee'!AH114&gt;0,"✔","-")</f>
        <v>-</v>
      </c>
      <c r="Y112" s="444" t="str">
        <f>IF('Design Fee'!AI114&gt;0,"✔","-")</f>
        <v>-</v>
      </c>
      <c r="Z112" s="444" t="str">
        <f>IF('Design Fee'!AJ114&gt;0,"✔","-")</f>
        <v>-</v>
      </c>
      <c r="AA112" s="475"/>
      <c r="AB112" s="471"/>
      <c r="AC112" s="472"/>
      <c r="AD112" s="443" t="str">
        <f>IF('Design Fee'!BG114&gt;0,"✔","-")</f>
        <v>✔</v>
      </c>
      <c r="AE112" s="443" t="str">
        <f>IF('Design Fee'!BH114&gt;0,"✔","-")</f>
        <v>✔</v>
      </c>
      <c r="AF112" s="466" t="str">
        <f>IF('Design Fee'!BI114&gt;0,"✔","-")</f>
        <v>✔</v>
      </c>
      <c r="AG112" s="466" t="str">
        <f>IF('Design Fee'!BJ114&gt;0,"✔","-")</f>
        <v>-</v>
      </c>
      <c r="AH112" s="466" t="str">
        <f>IF('Design Fee'!BK114&gt;0,"✔","-")</f>
        <v>-</v>
      </c>
      <c r="AI112" s="466" t="str">
        <f>IF('Design Fee'!BL114&gt;0,"✔","-")</f>
        <v>-</v>
      </c>
      <c r="AJ112" s="466" t="str">
        <f>IF('Design Fee'!BM114&gt;0,"✔","-")</f>
        <v>-</v>
      </c>
      <c r="AK112" s="466" t="str">
        <f>IF('Design Fee'!BN114&gt;0,"✔","-")</f>
        <v>-</v>
      </c>
      <c r="AL112" s="476"/>
      <c r="AM112" s="444" t="str">
        <f>IF('Design Fee'!BP114&gt;0,"✔","-")</f>
        <v>-</v>
      </c>
      <c r="AN112" s="444" t="str">
        <f>IF('Design Fee'!BQ114&gt;0,"✔","-")</f>
        <v>-</v>
      </c>
      <c r="AO112" s="444" t="str">
        <f>IF('Design Fee'!BR114&gt;0,"✔","-")</f>
        <v>-</v>
      </c>
      <c r="AP112" s="444" t="str">
        <f>IF('Design Fee'!BS114&gt;0,"✔","-")</f>
        <v>-</v>
      </c>
      <c r="AQ112" s="444" t="str">
        <f>IF('Design Fee'!BT114&gt;0,"✔","-")</f>
        <v>-</v>
      </c>
      <c r="AR112" s="476"/>
      <c r="AS112" s="471"/>
      <c r="AT112" s="472"/>
      <c r="AU112" s="443" t="str">
        <f>IF('Design Fee'!CQ114&gt;0,"✔","-")</f>
        <v>-</v>
      </c>
      <c r="AV112" s="443" t="str">
        <f>IF('Design Fee'!CR114&gt;0,"✔","-")</f>
        <v>-</v>
      </c>
      <c r="AW112" s="466" t="str">
        <f>IF('Design Fee'!CS114&gt;0,"✔","-")</f>
        <v>-</v>
      </c>
      <c r="AX112" s="466" t="str">
        <f>IF('Design Fee'!CT114&gt;0,"✔","-")</f>
        <v>-</v>
      </c>
      <c r="AY112" s="466" t="str">
        <f>IF('Design Fee'!CU114&gt;0,"✔","-")</f>
        <v>-</v>
      </c>
      <c r="AZ112" s="466" t="str">
        <f>IF('Design Fee'!CV114&gt;0,"✔","-")</f>
        <v>-</v>
      </c>
      <c r="BA112" s="466" t="str">
        <f>IF('Design Fee'!CW114&gt;0,"✔","-")</f>
        <v>-</v>
      </c>
      <c r="BB112" s="466" t="str">
        <f>IF('Design Fee'!CX114&gt;0,"✔","-")</f>
        <v>-</v>
      </c>
      <c r="BC112" s="476"/>
      <c r="BD112" s="444" t="str">
        <f>IF('Design Fee'!CZ114&gt;0,"✔","-")</f>
        <v>-</v>
      </c>
      <c r="BE112" s="444" t="str">
        <f>IF('Design Fee'!DA114&gt;0,"✔","-")</f>
        <v>-</v>
      </c>
      <c r="BF112" s="444" t="str">
        <f>IF('Design Fee'!DB114&gt;0,"✔","-")</f>
        <v>-</v>
      </c>
      <c r="BG112" s="444" t="str">
        <f>IF('Design Fee'!DC114&gt;0,"✔","-")</f>
        <v>-</v>
      </c>
      <c r="BH112" s="444" t="str">
        <f>IF('Design Fee'!DD114&gt;0,"✔","-")</f>
        <v>-</v>
      </c>
      <c r="BI112" s="476"/>
      <c r="BJ112" s="471"/>
      <c r="BK112" s="472"/>
      <c r="BL112" s="443" t="str">
        <f>IF('Design Fee'!EA114&gt;0,"✔","-")</f>
        <v>-</v>
      </c>
      <c r="BM112" s="443" t="str">
        <f>IF('Design Fee'!EB114&gt;0,"✔","-")</f>
        <v>-</v>
      </c>
      <c r="BN112" s="466" t="str">
        <f>IF('Design Fee'!EC114&gt;0,"✔","-")</f>
        <v>-</v>
      </c>
      <c r="BO112" s="466" t="str">
        <f>IF('Design Fee'!ED114&gt;0,"✔","-")</f>
        <v>-</v>
      </c>
      <c r="BP112" s="466" t="str">
        <f>IF('Design Fee'!EE114&gt;0,"✔","-")</f>
        <v>-</v>
      </c>
      <c r="BQ112" s="466" t="str">
        <f>IF('Design Fee'!EF114&gt;0,"✔","-")</f>
        <v>-</v>
      </c>
      <c r="BR112" s="466" t="str">
        <f>IF('Design Fee'!EG114&gt;0,"✔","-")</f>
        <v>-</v>
      </c>
      <c r="BS112" s="466" t="str">
        <f>IF('Design Fee'!EH114&gt;0,"✔","-")</f>
        <v>-</v>
      </c>
      <c r="BT112" s="468"/>
      <c r="BU112" s="444" t="str">
        <f>IF('Design Fee'!EJ114&gt;0,"✔","-")</f>
        <v>-</v>
      </c>
      <c r="BV112" s="444" t="str">
        <f>IF('Design Fee'!EK114&gt;0,"✔","-")</f>
        <v>-</v>
      </c>
      <c r="BW112" s="444" t="str">
        <f>IF('Design Fee'!EL114&gt;0,"✔","-")</f>
        <v>-</v>
      </c>
      <c r="BX112" s="444" t="str">
        <f>IF('Design Fee'!EM114&gt;0,"✔","-")</f>
        <v>-</v>
      </c>
      <c r="BY112" s="444" t="str">
        <f>IF('Design Fee'!EN114&gt;0,"✔","-")</f>
        <v>-</v>
      </c>
      <c r="BZ112" s="383"/>
    </row>
    <row r="113" spans="1:78" s="95" customFormat="1" ht="12.75" outlineLevel="2">
      <c r="A113" s="468"/>
      <c r="B113" s="463" t="s">
        <v>122</v>
      </c>
      <c r="C113" s="469">
        <v>6</v>
      </c>
      <c r="D113" s="470" t="s">
        <v>62</v>
      </c>
      <c r="E113" s="468"/>
      <c r="F113" s="443">
        <f t="shared" si="337"/>
        <v>2</v>
      </c>
      <c r="G113" s="444">
        <f t="shared" si="338"/>
        <v>2</v>
      </c>
      <c r="H113" s="444">
        <f t="shared" si="338"/>
        <v>2</v>
      </c>
      <c r="I113" s="444">
        <f t="shared" si="339"/>
        <v>0</v>
      </c>
      <c r="J113" s="480"/>
      <c r="K113" s="471"/>
      <c r="L113" s="472"/>
      <c r="M113" s="443" t="str">
        <f>IF('Design Fee'!W115&gt;0,"✔","-")</f>
        <v>✔</v>
      </c>
      <c r="N113" s="443" t="str">
        <f>IF('Design Fee'!X115&gt;0,"✔","-")</f>
        <v>✔</v>
      </c>
      <c r="O113" s="466" t="str">
        <f>IF('Design Fee'!Y115&gt;0,"✔","-")</f>
        <v>✔</v>
      </c>
      <c r="P113" s="466" t="str">
        <f>IF('Design Fee'!Z115&gt;0,"✔","-")</f>
        <v>-</v>
      </c>
      <c r="Q113" s="466" t="str">
        <f>IF('Design Fee'!AA115&gt;0,"✔","-")</f>
        <v>-</v>
      </c>
      <c r="R113" s="466" t="str">
        <f>IF('Design Fee'!AB115&gt;0,"✔","-")</f>
        <v>-</v>
      </c>
      <c r="S113" s="466" t="str">
        <f>IF('Design Fee'!AC115&gt;0,"✔","-")</f>
        <v>-</v>
      </c>
      <c r="T113" s="466" t="str">
        <f>IF('Design Fee'!AD115&gt;0,"✔","-")</f>
        <v>-</v>
      </c>
      <c r="U113" s="480"/>
      <c r="V113" s="444" t="str">
        <f>IF('Design Fee'!AF115&gt;0,"✔","-")</f>
        <v>-</v>
      </c>
      <c r="W113" s="444" t="str">
        <f>IF('Design Fee'!AG115&gt;0,"✔","-")</f>
        <v>-</v>
      </c>
      <c r="X113" s="444" t="str">
        <f>IF('Design Fee'!AH115&gt;0,"✔","-")</f>
        <v>-</v>
      </c>
      <c r="Y113" s="444" t="str">
        <f>IF('Design Fee'!AI115&gt;0,"✔","-")</f>
        <v>-</v>
      </c>
      <c r="Z113" s="444" t="str">
        <f>IF('Design Fee'!AJ115&gt;0,"✔","-")</f>
        <v>-</v>
      </c>
      <c r="AA113" s="480"/>
      <c r="AB113" s="471"/>
      <c r="AC113" s="472"/>
      <c r="AD113" s="443" t="str">
        <f>IF('Design Fee'!BG115&gt;0,"✔","-")</f>
        <v>✔</v>
      </c>
      <c r="AE113" s="443" t="str">
        <f>IF('Design Fee'!BH115&gt;0,"✔","-")</f>
        <v>✔</v>
      </c>
      <c r="AF113" s="466" t="str">
        <f>IF('Design Fee'!BI115&gt;0,"✔","-")</f>
        <v>✔</v>
      </c>
      <c r="AG113" s="466" t="str">
        <f>IF('Design Fee'!BJ115&gt;0,"✔","-")</f>
        <v>-</v>
      </c>
      <c r="AH113" s="466" t="str">
        <f>IF('Design Fee'!BK115&gt;0,"✔","-")</f>
        <v>-</v>
      </c>
      <c r="AI113" s="466" t="str">
        <f>IF('Design Fee'!BL115&gt;0,"✔","-")</f>
        <v>-</v>
      </c>
      <c r="AJ113" s="466" t="str">
        <f>IF('Design Fee'!BM115&gt;0,"✔","-")</f>
        <v>-</v>
      </c>
      <c r="AK113" s="466" t="str">
        <f>IF('Design Fee'!BN115&gt;0,"✔","-")</f>
        <v>-</v>
      </c>
      <c r="AL113" s="476"/>
      <c r="AM113" s="444" t="str">
        <f>IF('Design Fee'!BP115&gt;0,"✔","-")</f>
        <v>-</v>
      </c>
      <c r="AN113" s="444" t="str">
        <f>IF('Design Fee'!BQ115&gt;0,"✔","-")</f>
        <v>-</v>
      </c>
      <c r="AO113" s="444" t="str">
        <f>IF('Design Fee'!BR115&gt;0,"✔","-")</f>
        <v>-</v>
      </c>
      <c r="AP113" s="444" t="str">
        <f>IF('Design Fee'!BS115&gt;0,"✔","-")</f>
        <v>-</v>
      </c>
      <c r="AQ113" s="444" t="str">
        <f>IF('Design Fee'!BT115&gt;0,"✔","-")</f>
        <v>-</v>
      </c>
      <c r="AR113" s="476"/>
      <c r="AS113" s="471"/>
      <c r="AT113" s="472"/>
      <c r="AU113" s="443" t="str">
        <f>IF('Design Fee'!CQ115&gt;0,"✔","-")</f>
        <v>-</v>
      </c>
      <c r="AV113" s="443" t="str">
        <f>IF('Design Fee'!CR115&gt;0,"✔","-")</f>
        <v>-</v>
      </c>
      <c r="AW113" s="466" t="str">
        <f>IF('Design Fee'!CS115&gt;0,"✔","-")</f>
        <v>-</v>
      </c>
      <c r="AX113" s="466" t="str">
        <f>IF('Design Fee'!CT115&gt;0,"✔","-")</f>
        <v>-</v>
      </c>
      <c r="AY113" s="466" t="str">
        <f>IF('Design Fee'!CU115&gt;0,"✔","-")</f>
        <v>-</v>
      </c>
      <c r="AZ113" s="466" t="str">
        <f>IF('Design Fee'!CV115&gt;0,"✔","-")</f>
        <v>-</v>
      </c>
      <c r="BA113" s="466" t="str">
        <f>IF('Design Fee'!CW115&gt;0,"✔","-")</f>
        <v>-</v>
      </c>
      <c r="BB113" s="466" t="str">
        <f>IF('Design Fee'!CX115&gt;0,"✔","-")</f>
        <v>-</v>
      </c>
      <c r="BC113" s="476"/>
      <c r="BD113" s="444" t="str">
        <f>IF('Design Fee'!CZ115&gt;0,"✔","-")</f>
        <v>-</v>
      </c>
      <c r="BE113" s="444" t="str">
        <f>IF('Design Fee'!DA115&gt;0,"✔","-")</f>
        <v>-</v>
      </c>
      <c r="BF113" s="444" t="str">
        <f>IF('Design Fee'!DB115&gt;0,"✔","-")</f>
        <v>-</v>
      </c>
      <c r="BG113" s="444" t="str">
        <f>IF('Design Fee'!DC115&gt;0,"✔","-")</f>
        <v>-</v>
      </c>
      <c r="BH113" s="444" t="str">
        <f>IF('Design Fee'!DD115&gt;0,"✔","-")</f>
        <v>-</v>
      </c>
      <c r="BI113" s="476"/>
      <c r="BJ113" s="471"/>
      <c r="BK113" s="472"/>
      <c r="BL113" s="443" t="str">
        <f>IF('Design Fee'!EA115&gt;0,"✔","-")</f>
        <v>-</v>
      </c>
      <c r="BM113" s="443" t="str">
        <f>IF('Design Fee'!EB115&gt;0,"✔","-")</f>
        <v>-</v>
      </c>
      <c r="BN113" s="466" t="str">
        <f>IF('Design Fee'!EC115&gt;0,"✔","-")</f>
        <v>-</v>
      </c>
      <c r="BO113" s="466" t="str">
        <f>IF('Design Fee'!ED115&gt;0,"✔","-")</f>
        <v>-</v>
      </c>
      <c r="BP113" s="466" t="str">
        <f>IF('Design Fee'!EE115&gt;0,"✔","-")</f>
        <v>-</v>
      </c>
      <c r="BQ113" s="466" t="str">
        <f>IF('Design Fee'!EF115&gt;0,"✔","-")</f>
        <v>-</v>
      </c>
      <c r="BR113" s="466" t="str">
        <f>IF('Design Fee'!EG115&gt;0,"✔","-")</f>
        <v>-</v>
      </c>
      <c r="BS113" s="466" t="str">
        <f>IF('Design Fee'!EH115&gt;0,"✔","-")</f>
        <v>-</v>
      </c>
      <c r="BT113" s="468"/>
      <c r="BU113" s="444" t="str">
        <f>IF('Design Fee'!EJ115&gt;0,"✔","-")</f>
        <v>-</v>
      </c>
      <c r="BV113" s="444" t="str">
        <f>IF('Design Fee'!EK115&gt;0,"✔","-")</f>
        <v>-</v>
      </c>
      <c r="BW113" s="444" t="str">
        <f>IF('Design Fee'!EL115&gt;0,"✔","-")</f>
        <v>-</v>
      </c>
      <c r="BX113" s="444" t="str">
        <f>IF('Design Fee'!EM115&gt;0,"✔","-")</f>
        <v>-</v>
      </c>
      <c r="BY113" s="444" t="str">
        <f>IF('Design Fee'!EN115&gt;0,"✔","-")</f>
        <v>-</v>
      </c>
      <c r="BZ113" s="383"/>
    </row>
    <row r="114" spans="1:78" ht="12.75" outlineLevel="2">
      <c r="A114" s="383"/>
      <c r="B114" s="463" t="s">
        <v>123</v>
      </c>
      <c r="C114" s="464">
        <v>7</v>
      </c>
      <c r="D114" s="465" t="s">
        <v>64</v>
      </c>
      <c r="E114" s="383"/>
      <c r="F114" s="443">
        <f t="shared" si="337"/>
        <v>2</v>
      </c>
      <c r="G114" s="444">
        <f t="shared" si="338"/>
        <v>2</v>
      </c>
      <c r="H114" s="444">
        <f t="shared" si="338"/>
        <v>1</v>
      </c>
      <c r="I114" s="444">
        <f t="shared" si="339"/>
        <v>0</v>
      </c>
      <c r="J114" s="467"/>
      <c r="K114" s="441"/>
      <c r="L114" s="442"/>
      <c r="M114" s="443" t="str">
        <f>IF('Design Fee'!W116&gt;0,"✔","-")</f>
        <v>✔</v>
      </c>
      <c r="N114" s="443" t="str">
        <f>IF('Design Fee'!X116&gt;0,"✔","-")</f>
        <v>✔</v>
      </c>
      <c r="O114" s="444" t="str">
        <f>IF('Design Fee'!Y116&gt;0,"✔","-")</f>
        <v>✔</v>
      </c>
      <c r="P114" s="466" t="str">
        <f>IF('Design Fee'!Z116&gt;0,"✔","-")</f>
        <v>-</v>
      </c>
      <c r="Q114" s="466" t="str">
        <f>IF('Design Fee'!AA116&gt;0,"✔","-")</f>
        <v>-</v>
      </c>
      <c r="R114" s="444" t="str">
        <f>IF('Design Fee'!AB116&gt;0,"✔","-")</f>
        <v>-</v>
      </c>
      <c r="S114" s="444" t="str">
        <f>IF('Design Fee'!AC116&gt;0,"✔","-")</f>
        <v>-</v>
      </c>
      <c r="T114" s="466" t="str">
        <f>IF('Design Fee'!AD116&gt;0,"✔","-")</f>
        <v>-</v>
      </c>
      <c r="U114" s="467"/>
      <c r="V114" s="444" t="str">
        <f>IF('Design Fee'!AF116&gt;0,"✔","-")</f>
        <v>-</v>
      </c>
      <c r="W114" s="444" t="str">
        <f>IF('Design Fee'!AG116&gt;0,"✔","-")</f>
        <v>-</v>
      </c>
      <c r="X114" s="444" t="str">
        <f>IF('Design Fee'!AH116&gt;0,"✔","-")</f>
        <v>-</v>
      </c>
      <c r="Y114" s="444" t="str">
        <f>IF('Design Fee'!AI116&gt;0,"✔","-")</f>
        <v>-</v>
      </c>
      <c r="Z114" s="444" t="str">
        <f>IF('Design Fee'!AJ116&gt;0,"✔","-")</f>
        <v>-</v>
      </c>
      <c r="AA114" s="467"/>
      <c r="AB114" s="441"/>
      <c r="AC114" s="442"/>
      <c r="AD114" s="443" t="str">
        <f>IF('Design Fee'!BG116&gt;0,"✔","-")</f>
        <v>-</v>
      </c>
      <c r="AE114" s="443" t="str">
        <f>IF('Design Fee'!BH116&gt;0,"✔","-")</f>
        <v>-</v>
      </c>
      <c r="AF114" s="444" t="str">
        <f>IF('Design Fee'!BI116&gt;0,"✔","-")</f>
        <v>-</v>
      </c>
      <c r="AG114" s="466" t="str">
        <f>IF('Design Fee'!BJ116&gt;0,"✔","-")</f>
        <v>-</v>
      </c>
      <c r="AH114" s="466" t="str">
        <f>IF('Design Fee'!BK116&gt;0,"✔","-")</f>
        <v>-</v>
      </c>
      <c r="AI114" s="444" t="str">
        <f>IF('Design Fee'!BL116&gt;0,"✔","-")</f>
        <v>-</v>
      </c>
      <c r="AJ114" s="444" t="str">
        <f>IF('Design Fee'!BM116&gt;0,"✔","-")</f>
        <v>-</v>
      </c>
      <c r="AK114" s="466" t="str">
        <f>IF('Design Fee'!BN116&gt;0,"✔","-")</f>
        <v>-</v>
      </c>
      <c r="AL114" s="445"/>
      <c r="AM114" s="444" t="str">
        <f>IF('Design Fee'!BP116&gt;0,"✔","-")</f>
        <v>-</v>
      </c>
      <c r="AN114" s="444" t="str">
        <f>IF('Design Fee'!BQ116&gt;0,"✔","-")</f>
        <v>-</v>
      </c>
      <c r="AO114" s="444" t="str">
        <f>IF('Design Fee'!BR116&gt;0,"✔","-")</f>
        <v>-</v>
      </c>
      <c r="AP114" s="444" t="str">
        <f>IF('Design Fee'!BS116&gt;0,"✔","-")</f>
        <v>-</v>
      </c>
      <c r="AQ114" s="444" t="str">
        <f>IF('Design Fee'!BT116&gt;0,"✔","-")</f>
        <v>-</v>
      </c>
      <c r="AR114" s="445"/>
      <c r="AS114" s="441"/>
      <c r="AT114" s="442"/>
      <c r="AU114" s="443" t="str">
        <f>IF('Design Fee'!CQ116&gt;0,"✔","-")</f>
        <v>✔</v>
      </c>
      <c r="AV114" s="443" t="str">
        <f>IF('Design Fee'!CR116&gt;0,"✔","-")</f>
        <v>✔</v>
      </c>
      <c r="AW114" s="444" t="str">
        <f>IF('Design Fee'!CS116&gt;0,"✔","-")</f>
        <v>-</v>
      </c>
      <c r="AX114" s="466" t="str">
        <f>IF('Design Fee'!CT116&gt;0,"✔","-")</f>
        <v>✔</v>
      </c>
      <c r="AY114" s="466" t="str">
        <f>IF('Design Fee'!CU116&gt;0,"✔","-")</f>
        <v>✔</v>
      </c>
      <c r="AZ114" s="444" t="str">
        <f>IF('Design Fee'!CV116&gt;0,"✔","-")</f>
        <v>-</v>
      </c>
      <c r="BA114" s="444" t="str">
        <f>IF('Design Fee'!CW116&gt;0,"✔","-")</f>
        <v>-</v>
      </c>
      <c r="BB114" s="466" t="str">
        <f>IF('Design Fee'!CX116&gt;0,"✔","-")</f>
        <v>-</v>
      </c>
      <c r="BC114" s="445"/>
      <c r="BD114" s="444" t="str">
        <f>IF('Design Fee'!CZ116&gt;0,"✔","-")</f>
        <v>✔</v>
      </c>
      <c r="BE114" s="444" t="str">
        <f>IF('Design Fee'!DA116&gt;0,"✔","-")</f>
        <v>-</v>
      </c>
      <c r="BF114" s="444" t="str">
        <f>IF('Design Fee'!DB116&gt;0,"✔","-")</f>
        <v>✔</v>
      </c>
      <c r="BG114" s="444" t="str">
        <f>IF('Design Fee'!DC116&gt;0,"✔","-")</f>
        <v>-</v>
      </c>
      <c r="BH114" s="444" t="str">
        <f>IF('Design Fee'!DD116&gt;0,"✔","-")</f>
        <v>-</v>
      </c>
      <c r="BI114" s="445"/>
      <c r="BJ114" s="441"/>
      <c r="BK114" s="442"/>
      <c r="BL114" s="443" t="str">
        <f>IF('Design Fee'!EA116&gt;0,"✔","-")</f>
        <v>-</v>
      </c>
      <c r="BM114" s="443" t="str">
        <f>IF('Design Fee'!EB116&gt;0,"✔","-")</f>
        <v>-</v>
      </c>
      <c r="BN114" s="444" t="str">
        <f>IF('Design Fee'!EC116&gt;0,"✔","-")</f>
        <v>-</v>
      </c>
      <c r="BO114" s="466" t="str">
        <f>IF('Design Fee'!ED116&gt;0,"✔","-")</f>
        <v>-</v>
      </c>
      <c r="BP114" s="466" t="str">
        <f>IF('Design Fee'!EE116&gt;0,"✔","-")</f>
        <v>-</v>
      </c>
      <c r="BQ114" s="444" t="str">
        <f>IF('Design Fee'!EF116&gt;0,"✔","-")</f>
        <v>-</v>
      </c>
      <c r="BR114" s="444" t="str">
        <f>IF('Design Fee'!EG116&gt;0,"✔","-")</f>
        <v>-</v>
      </c>
      <c r="BS114" s="466" t="str">
        <f>IF('Design Fee'!EH116&gt;0,"✔","-")</f>
        <v>-</v>
      </c>
      <c r="BT114" s="383"/>
      <c r="BU114" s="444" t="str">
        <f>IF('Design Fee'!EJ116&gt;0,"✔","-")</f>
        <v>-</v>
      </c>
      <c r="BV114" s="444" t="str">
        <f>IF('Design Fee'!EK116&gt;0,"✔","-")</f>
        <v>-</v>
      </c>
      <c r="BW114" s="444" t="str">
        <f>IF('Design Fee'!EL116&gt;0,"✔","-")</f>
        <v>-</v>
      </c>
      <c r="BX114" s="444" t="str">
        <f>IF('Design Fee'!EM116&gt;0,"✔","-")</f>
        <v>-</v>
      </c>
      <c r="BY114" s="444" t="str">
        <f>IF('Design Fee'!EN116&gt;0,"✔","-")</f>
        <v>-</v>
      </c>
      <c r="BZ114" s="383"/>
    </row>
    <row r="115" spans="1:78" ht="12.75" outlineLevel="2">
      <c r="A115" s="383"/>
      <c r="B115" s="463" t="s">
        <v>124</v>
      </c>
      <c r="C115" s="464">
        <v>8</v>
      </c>
      <c r="D115" s="465" t="s">
        <v>67</v>
      </c>
      <c r="E115" s="383"/>
      <c r="F115" s="443">
        <f t="shared" si="337"/>
        <v>2</v>
      </c>
      <c r="G115" s="444">
        <f t="shared" si="338"/>
        <v>2</v>
      </c>
      <c r="H115" s="444">
        <f t="shared" si="338"/>
        <v>2</v>
      </c>
      <c r="I115" s="444">
        <f t="shared" si="339"/>
        <v>0</v>
      </c>
      <c r="J115" s="467"/>
      <c r="K115" s="441"/>
      <c r="L115" s="442"/>
      <c r="M115" s="443" t="str">
        <f>IF('Design Fee'!W117&gt;0,"✔","-")</f>
        <v>✔</v>
      </c>
      <c r="N115" s="443" t="str">
        <f>IF('Design Fee'!X117&gt;0,"✔","-")</f>
        <v>✔</v>
      </c>
      <c r="O115" s="444" t="str">
        <f>IF('Design Fee'!Y117&gt;0,"✔","-")</f>
        <v>✔</v>
      </c>
      <c r="P115" s="466" t="str">
        <f>IF('Design Fee'!Z117&gt;0,"✔","-")</f>
        <v>-</v>
      </c>
      <c r="Q115" s="466" t="str">
        <f>IF('Design Fee'!AA117&gt;0,"✔","-")</f>
        <v>-</v>
      </c>
      <c r="R115" s="444" t="str">
        <f>IF('Design Fee'!AB117&gt;0,"✔","-")</f>
        <v>-</v>
      </c>
      <c r="S115" s="444" t="str">
        <f>IF('Design Fee'!AC117&gt;0,"✔","-")</f>
        <v>-</v>
      </c>
      <c r="T115" s="466" t="str">
        <f>IF('Design Fee'!AD117&gt;0,"✔","-")</f>
        <v>-</v>
      </c>
      <c r="U115" s="467"/>
      <c r="V115" s="444" t="str">
        <f>IF('Design Fee'!AF117&gt;0,"✔","-")</f>
        <v>-</v>
      </c>
      <c r="W115" s="444" t="str">
        <f>IF('Design Fee'!AG117&gt;0,"✔","-")</f>
        <v>-</v>
      </c>
      <c r="X115" s="444" t="str">
        <f>IF('Design Fee'!AH117&gt;0,"✔","-")</f>
        <v>-</v>
      </c>
      <c r="Y115" s="444" t="str">
        <f>IF('Design Fee'!AI117&gt;0,"✔","-")</f>
        <v>-</v>
      </c>
      <c r="Z115" s="444" t="str">
        <f>IF('Design Fee'!AJ117&gt;0,"✔","-")</f>
        <v>-</v>
      </c>
      <c r="AA115" s="467"/>
      <c r="AB115" s="441"/>
      <c r="AC115" s="442"/>
      <c r="AD115" s="443" t="str">
        <f>IF('Design Fee'!BG117&gt;0,"✔","-")</f>
        <v>✔</v>
      </c>
      <c r="AE115" s="443" t="str">
        <f>IF('Design Fee'!BH117&gt;0,"✔","-")</f>
        <v>✔</v>
      </c>
      <c r="AF115" s="444" t="str">
        <f>IF('Design Fee'!BI117&gt;0,"✔","-")</f>
        <v>✔</v>
      </c>
      <c r="AG115" s="466" t="str">
        <f>IF('Design Fee'!BJ117&gt;0,"✔","-")</f>
        <v>-</v>
      </c>
      <c r="AH115" s="466" t="str">
        <f>IF('Design Fee'!BK117&gt;0,"✔","-")</f>
        <v>-</v>
      </c>
      <c r="AI115" s="444" t="str">
        <f>IF('Design Fee'!BL117&gt;0,"✔","-")</f>
        <v>-</v>
      </c>
      <c r="AJ115" s="444" t="str">
        <f>IF('Design Fee'!BM117&gt;0,"✔","-")</f>
        <v>-</v>
      </c>
      <c r="AK115" s="466" t="str">
        <f>IF('Design Fee'!BN117&gt;0,"✔","-")</f>
        <v>-</v>
      </c>
      <c r="AL115" s="445"/>
      <c r="AM115" s="444" t="str">
        <f>IF('Design Fee'!BP117&gt;0,"✔","-")</f>
        <v>-</v>
      </c>
      <c r="AN115" s="444" t="str">
        <f>IF('Design Fee'!BQ117&gt;0,"✔","-")</f>
        <v>-</v>
      </c>
      <c r="AO115" s="444" t="str">
        <f>IF('Design Fee'!BR117&gt;0,"✔","-")</f>
        <v>-</v>
      </c>
      <c r="AP115" s="444" t="str">
        <f>IF('Design Fee'!BS117&gt;0,"✔","-")</f>
        <v>-</v>
      </c>
      <c r="AQ115" s="444" t="str">
        <f>IF('Design Fee'!BT117&gt;0,"✔","-")</f>
        <v>-</v>
      </c>
      <c r="AR115" s="445"/>
      <c r="AS115" s="441"/>
      <c r="AT115" s="442"/>
      <c r="AU115" s="443" t="str">
        <f>IF('Design Fee'!CQ117&gt;0,"✔","-")</f>
        <v>-</v>
      </c>
      <c r="AV115" s="443" t="str">
        <f>IF('Design Fee'!CR117&gt;0,"✔","-")</f>
        <v>-</v>
      </c>
      <c r="AW115" s="444" t="str">
        <f>IF('Design Fee'!CS117&gt;0,"✔","-")</f>
        <v>-</v>
      </c>
      <c r="AX115" s="466" t="str">
        <f>IF('Design Fee'!CT117&gt;0,"✔","-")</f>
        <v>-</v>
      </c>
      <c r="AY115" s="466" t="str">
        <f>IF('Design Fee'!CU117&gt;0,"✔","-")</f>
        <v>-</v>
      </c>
      <c r="AZ115" s="444" t="str">
        <f>IF('Design Fee'!CV117&gt;0,"✔","-")</f>
        <v>-</v>
      </c>
      <c r="BA115" s="444" t="str">
        <f>IF('Design Fee'!CW117&gt;0,"✔","-")</f>
        <v>-</v>
      </c>
      <c r="BB115" s="466" t="str">
        <f>IF('Design Fee'!CX117&gt;0,"✔","-")</f>
        <v>-</v>
      </c>
      <c r="BC115" s="445"/>
      <c r="BD115" s="444" t="str">
        <f>IF('Design Fee'!CZ117&gt;0,"✔","-")</f>
        <v>-</v>
      </c>
      <c r="BE115" s="444" t="str">
        <f>IF('Design Fee'!DA117&gt;0,"✔","-")</f>
        <v>-</v>
      </c>
      <c r="BF115" s="444" t="str">
        <f>IF('Design Fee'!DB117&gt;0,"✔","-")</f>
        <v>-</v>
      </c>
      <c r="BG115" s="444" t="str">
        <f>IF('Design Fee'!DC117&gt;0,"✔","-")</f>
        <v>-</v>
      </c>
      <c r="BH115" s="444" t="str">
        <f>IF('Design Fee'!DD117&gt;0,"✔","-")</f>
        <v>-</v>
      </c>
      <c r="BI115" s="445"/>
      <c r="BJ115" s="441"/>
      <c r="BK115" s="442"/>
      <c r="BL115" s="443" t="str">
        <f>IF('Design Fee'!EA117&gt;0,"✔","-")</f>
        <v>-</v>
      </c>
      <c r="BM115" s="443" t="str">
        <f>IF('Design Fee'!EB117&gt;0,"✔","-")</f>
        <v>-</v>
      </c>
      <c r="BN115" s="444" t="str">
        <f>IF('Design Fee'!EC117&gt;0,"✔","-")</f>
        <v>-</v>
      </c>
      <c r="BO115" s="466" t="str">
        <f>IF('Design Fee'!ED117&gt;0,"✔","-")</f>
        <v>-</v>
      </c>
      <c r="BP115" s="466" t="str">
        <f>IF('Design Fee'!EE117&gt;0,"✔","-")</f>
        <v>-</v>
      </c>
      <c r="BQ115" s="444" t="str">
        <f>IF('Design Fee'!EF117&gt;0,"✔","-")</f>
        <v>-</v>
      </c>
      <c r="BR115" s="444" t="str">
        <f>IF('Design Fee'!EG117&gt;0,"✔","-")</f>
        <v>-</v>
      </c>
      <c r="BS115" s="466" t="str">
        <f>IF('Design Fee'!EH117&gt;0,"✔","-")</f>
        <v>-</v>
      </c>
      <c r="BT115" s="383"/>
      <c r="BU115" s="444" t="str">
        <f>IF('Design Fee'!EJ117&gt;0,"✔","-")</f>
        <v>-</v>
      </c>
      <c r="BV115" s="444" t="str">
        <f>IF('Design Fee'!EK117&gt;0,"✔","-")</f>
        <v>-</v>
      </c>
      <c r="BW115" s="444" t="str">
        <f>IF('Design Fee'!EL117&gt;0,"✔","-")</f>
        <v>-</v>
      </c>
      <c r="BX115" s="444" t="str">
        <f>IF('Design Fee'!EM117&gt;0,"✔","-")</f>
        <v>-</v>
      </c>
      <c r="BY115" s="444" t="str">
        <f>IF('Design Fee'!EN117&gt;0,"✔","-")</f>
        <v>-</v>
      </c>
      <c r="BZ115" s="383"/>
    </row>
    <row r="116" spans="1:78" ht="12.75" outlineLevel="2">
      <c r="A116" s="383"/>
      <c r="B116" s="463" t="s">
        <v>125</v>
      </c>
      <c r="C116" s="464">
        <v>9</v>
      </c>
      <c r="D116" s="465" t="s">
        <v>69</v>
      </c>
      <c r="E116" s="383"/>
      <c r="F116" s="443">
        <f t="shared" si="337"/>
        <v>3</v>
      </c>
      <c r="G116" s="444">
        <f t="shared" si="338"/>
        <v>3</v>
      </c>
      <c r="H116" s="444">
        <f t="shared" si="338"/>
        <v>3</v>
      </c>
      <c r="I116" s="444">
        <f t="shared" si="339"/>
        <v>0</v>
      </c>
      <c r="J116" s="430"/>
      <c r="K116" s="441"/>
      <c r="L116" s="442"/>
      <c r="M116" s="443" t="str">
        <f>IF('Design Fee'!W118&gt;0,"✔","-")</f>
        <v>✔</v>
      </c>
      <c r="N116" s="443" t="str">
        <f>IF('Design Fee'!X118&gt;0,"✔","-")</f>
        <v>✔</v>
      </c>
      <c r="O116" s="444" t="str">
        <f>IF('Design Fee'!Y118&gt;0,"✔","-")</f>
        <v>✔</v>
      </c>
      <c r="P116" s="466" t="str">
        <f>IF('Design Fee'!Z118&gt;0,"✔","-")</f>
        <v>-</v>
      </c>
      <c r="Q116" s="466" t="str">
        <f>IF('Design Fee'!AA118&gt;0,"✔","-")</f>
        <v>-</v>
      </c>
      <c r="R116" s="444" t="str">
        <f>IF('Design Fee'!AB118&gt;0,"✔","-")</f>
        <v>-</v>
      </c>
      <c r="S116" s="444" t="str">
        <f>IF('Design Fee'!AC118&gt;0,"✔","-")</f>
        <v>-</v>
      </c>
      <c r="T116" s="466" t="str">
        <f>IF('Design Fee'!AD118&gt;0,"✔","-")</f>
        <v>-</v>
      </c>
      <c r="U116" s="430"/>
      <c r="V116" s="444" t="str">
        <f>IF('Design Fee'!AF118&gt;0,"✔","-")</f>
        <v>-</v>
      </c>
      <c r="W116" s="444" t="str">
        <f>IF('Design Fee'!AG118&gt;0,"✔","-")</f>
        <v>-</v>
      </c>
      <c r="X116" s="444" t="str">
        <f>IF('Design Fee'!AH118&gt;0,"✔","-")</f>
        <v>-</v>
      </c>
      <c r="Y116" s="444" t="str">
        <f>IF('Design Fee'!AI118&gt;0,"✔","-")</f>
        <v>-</v>
      </c>
      <c r="Z116" s="444" t="str">
        <f>IF('Design Fee'!AJ118&gt;0,"✔","-")</f>
        <v>-</v>
      </c>
      <c r="AA116" s="430"/>
      <c r="AB116" s="441"/>
      <c r="AC116" s="442"/>
      <c r="AD116" s="443" t="str">
        <f>IF('Design Fee'!BG118&gt;0,"✔","-")</f>
        <v>✔</v>
      </c>
      <c r="AE116" s="443" t="str">
        <f>IF('Design Fee'!BH118&gt;0,"✔","-")</f>
        <v>✔</v>
      </c>
      <c r="AF116" s="444" t="str">
        <f>IF('Design Fee'!BI118&gt;0,"✔","-")</f>
        <v>✔</v>
      </c>
      <c r="AG116" s="466" t="str">
        <f>IF('Design Fee'!BJ118&gt;0,"✔","-")</f>
        <v>-</v>
      </c>
      <c r="AH116" s="466" t="str">
        <f>IF('Design Fee'!BK118&gt;0,"✔","-")</f>
        <v>-</v>
      </c>
      <c r="AI116" s="444" t="str">
        <f>IF('Design Fee'!BL118&gt;0,"✔","-")</f>
        <v>-</v>
      </c>
      <c r="AJ116" s="444" t="str">
        <f>IF('Design Fee'!BM118&gt;0,"✔","-")</f>
        <v>-</v>
      </c>
      <c r="AK116" s="466" t="str">
        <f>IF('Design Fee'!BN118&gt;0,"✔","-")</f>
        <v>-</v>
      </c>
      <c r="AL116" s="445"/>
      <c r="AM116" s="444" t="str">
        <f>IF('Design Fee'!BP118&gt;0,"✔","-")</f>
        <v>-</v>
      </c>
      <c r="AN116" s="444" t="str">
        <f>IF('Design Fee'!BQ118&gt;0,"✔","-")</f>
        <v>-</v>
      </c>
      <c r="AO116" s="444" t="str">
        <f>IF('Design Fee'!BR118&gt;0,"✔","-")</f>
        <v>-</v>
      </c>
      <c r="AP116" s="444" t="str">
        <f>IF('Design Fee'!BS118&gt;0,"✔","-")</f>
        <v>-</v>
      </c>
      <c r="AQ116" s="444" t="str">
        <f>IF('Design Fee'!BT118&gt;0,"✔","-")</f>
        <v>-</v>
      </c>
      <c r="AR116" s="445"/>
      <c r="AS116" s="441"/>
      <c r="AT116" s="442"/>
      <c r="AU116" s="443" t="str">
        <f>IF('Design Fee'!CQ118&gt;0,"✔","-")</f>
        <v>✔</v>
      </c>
      <c r="AV116" s="443" t="str">
        <f>IF('Design Fee'!CR118&gt;0,"✔","-")</f>
        <v>✔</v>
      </c>
      <c r="AW116" s="444" t="str">
        <f>IF('Design Fee'!CS118&gt;0,"✔","-")</f>
        <v>✔</v>
      </c>
      <c r="AX116" s="466" t="str">
        <f>IF('Design Fee'!CT118&gt;0,"✔","-")</f>
        <v>-</v>
      </c>
      <c r="AY116" s="466" t="str">
        <f>IF('Design Fee'!CU118&gt;0,"✔","-")</f>
        <v>-</v>
      </c>
      <c r="AZ116" s="444" t="str">
        <f>IF('Design Fee'!CV118&gt;0,"✔","-")</f>
        <v>-</v>
      </c>
      <c r="BA116" s="444" t="str">
        <f>IF('Design Fee'!CW118&gt;0,"✔","-")</f>
        <v>-</v>
      </c>
      <c r="BB116" s="466" t="str">
        <f>IF('Design Fee'!CX118&gt;0,"✔","-")</f>
        <v>-</v>
      </c>
      <c r="BC116" s="445"/>
      <c r="BD116" s="444" t="str">
        <f>IF('Design Fee'!CZ118&gt;0,"✔","-")</f>
        <v>-</v>
      </c>
      <c r="BE116" s="444" t="str">
        <f>IF('Design Fee'!DA118&gt;0,"✔","-")</f>
        <v>-</v>
      </c>
      <c r="BF116" s="444" t="str">
        <f>IF('Design Fee'!DB118&gt;0,"✔","-")</f>
        <v>-</v>
      </c>
      <c r="BG116" s="444" t="str">
        <f>IF('Design Fee'!DC118&gt;0,"✔","-")</f>
        <v>-</v>
      </c>
      <c r="BH116" s="444" t="str">
        <f>IF('Design Fee'!DD118&gt;0,"✔","-")</f>
        <v>-</v>
      </c>
      <c r="BI116" s="445"/>
      <c r="BJ116" s="441"/>
      <c r="BK116" s="442"/>
      <c r="BL116" s="443" t="str">
        <f>IF('Design Fee'!EA118&gt;0,"✔","-")</f>
        <v>-</v>
      </c>
      <c r="BM116" s="443" t="str">
        <f>IF('Design Fee'!EB118&gt;0,"✔","-")</f>
        <v>-</v>
      </c>
      <c r="BN116" s="444" t="str">
        <f>IF('Design Fee'!EC118&gt;0,"✔","-")</f>
        <v>-</v>
      </c>
      <c r="BO116" s="466" t="str">
        <f>IF('Design Fee'!ED118&gt;0,"✔","-")</f>
        <v>-</v>
      </c>
      <c r="BP116" s="466" t="str">
        <f>IF('Design Fee'!EE118&gt;0,"✔","-")</f>
        <v>-</v>
      </c>
      <c r="BQ116" s="444" t="str">
        <f>IF('Design Fee'!EF118&gt;0,"✔","-")</f>
        <v>-</v>
      </c>
      <c r="BR116" s="444" t="str">
        <f>IF('Design Fee'!EG118&gt;0,"✔","-")</f>
        <v>-</v>
      </c>
      <c r="BS116" s="466" t="str">
        <f>IF('Design Fee'!EH118&gt;0,"✔","-")</f>
        <v>-</v>
      </c>
      <c r="BT116" s="383"/>
      <c r="BU116" s="444" t="str">
        <f>IF('Design Fee'!EJ118&gt;0,"✔","-")</f>
        <v>-</v>
      </c>
      <c r="BV116" s="444" t="str">
        <f>IF('Design Fee'!EK118&gt;0,"✔","-")</f>
        <v>-</v>
      </c>
      <c r="BW116" s="444" t="str">
        <f>IF('Design Fee'!EL118&gt;0,"✔","-")</f>
        <v>-</v>
      </c>
      <c r="BX116" s="444" t="str">
        <f>IF('Design Fee'!EM118&gt;0,"✔","-")</f>
        <v>-</v>
      </c>
      <c r="BY116" s="444" t="str">
        <f>IF('Design Fee'!EN118&gt;0,"✔","-")</f>
        <v>-</v>
      </c>
      <c r="BZ116" s="383"/>
    </row>
    <row r="117" spans="1:78" ht="12.75" outlineLevel="2">
      <c r="A117" s="383"/>
      <c r="B117" s="463" t="s">
        <v>126</v>
      </c>
      <c r="C117" s="464">
        <v>10</v>
      </c>
      <c r="D117" s="465" t="s">
        <v>71</v>
      </c>
      <c r="E117" s="383"/>
      <c r="F117" s="443">
        <f t="shared" si="337"/>
        <v>1</v>
      </c>
      <c r="G117" s="444">
        <f t="shared" si="338"/>
        <v>1</v>
      </c>
      <c r="H117" s="444">
        <f t="shared" si="338"/>
        <v>1</v>
      </c>
      <c r="I117" s="444">
        <f t="shared" si="339"/>
        <v>0</v>
      </c>
      <c r="J117" s="430"/>
      <c r="K117" s="441"/>
      <c r="L117" s="442"/>
      <c r="M117" s="443" t="str">
        <f>IF('Design Fee'!W119&gt;0,"✔","-")</f>
        <v>✔</v>
      </c>
      <c r="N117" s="443" t="str">
        <f>IF('Design Fee'!X119&gt;0,"✔","-")</f>
        <v>✔</v>
      </c>
      <c r="O117" s="444" t="str">
        <f>IF('Design Fee'!Y119&gt;0,"✔","-")</f>
        <v>✔</v>
      </c>
      <c r="P117" s="466" t="str">
        <f>IF('Design Fee'!Z119&gt;0,"✔","-")</f>
        <v>-</v>
      </c>
      <c r="Q117" s="466" t="str">
        <f>IF('Design Fee'!AA119&gt;0,"✔","-")</f>
        <v>-</v>
      </c>
      <c r="R117" s="444" t="str">
        <f>IF('Design Fee'!AB119&gt;0,"✔","-")</f>
        <v>-</v>
      </c>
      <c r="S117" s="444" t="str">
        <f>IF('Design Fee'!AC119&gt;0,"✔","-")</f>
        <v>-</v>
      </c>
      <c r="T117" s="466" t="str">
        <f>IF('Design Fee'!AD119&gt;0,"✔","-")</f>
        <v>-</v>
      </c>
      <c r="U117" s="430"/>
      <c r="V117" s="444" t="str">
        <f>IF('Design Fee'!AF119&gt;0,"✔","-")</f>
        <v>-</v>
      </c>
      <c r="W117" s="444" t="str">
        <f>IF('Design Fee'!AG119&gt;0,"✔","-")</f>
        <v>-</v>
      </c>
      <c r="X117" s="444" t="str">
        <f>IF('Design Fee'!AH119&gt;0,"✔","-")</f>
        <v>-</v>
      </c>
      <c r="Y117" s="444" t="str">
        <f>IF('Design Fee'!AI119&gt;0,"✔","-")</f>
        <v>-</v>
      </c>
      <c r="Z117" s="444" t="str">
        <f>IF('Design Fee'!AJ119&gt;0,"✔","-")</f>
        <v>-</v>
      </c>
      <c r="AA117" s="430"/>
      <c r="AB117" s="441"/>
      <c r="AC117" s="442"/>
      <c r="AD117" s="443" t="str">
        <f>IF('Design Fee'!BG119&gt;0,"✔","-")</f>
        <v>-</v>
      </c>
      <c r="AE117" s="443" t="str">
        <f>IF('Design Fee'!BH119&gt;0,"✔","-")</f>
        <v>-</v>
      </c>
      <c r="AF117" s="444" t="str">
        <f>IF('Design Fee'!BI119&gt;0,"✔","-")</f>
        <v>-</v>
      </c>
      <c r="AG117" s="466" t="str">
        <f>IF('Design Fee'!BJ119&gt;0,"✔","-")</f>
        <v>-</v>
      </c>
      <c r="AH117" s="466" t="str">
        <f>IF('Design Fee'!BK119&gt;0,"✔","-")</f>
        <v>-</v>
      </c>
      <c r="AI117" s="444" t="str">
        <f>IF('Design Fee'!BL119&gt;0,"✔","-")</f>
        <v>-</v>
      </c>
      <c r="AJ117" s="444" t="str">
        <f>IF('Design Fee'!BM119&gt;0,"✔","-")</f>
        <v>-</v>
      </c>
      <c r="AK117" s="466" t="str">
        <f>IF('Design Fee'!BN119&gt;0,"✔","-")</f>
        <v>-</v>
      </c>
      <c r="AL117" s="445"/>
      <c r="AM117" s="444" t="str">
        <f>IF('Design Fee'!BP119&gt;0,"✔","-")</f>
        <v>-</v>
      </c>
      <c r="AN117" s="444" t="str">
        <f>IF('Design Fee'!BQ119&gt;0,"✔","-")</f>
        <v>-</v>
      </c>
      <c r="AO117" s="444" t="str">
        <f>IF('Design Fee'!BR119&gt;0,"✔","-")</f>
        <v>-</v>
      </c>
      <c r="AP117" s="444" t="str">
        <f>IF('Design Fee'!BS119&gt;0,"✔","-")</f>
        <v>-</v>
      </c>
      <c r="AQ117" s="444" t="str">
        <f>IF('Design Fee'!BT119&gt;0,"✔","-")</f>
        <v>-</v>
      </c>
      <c r="AR117" s="445"/>
      <c r="AS117" s="441"/>
      <c r="AT117" s="442"/>
      <c r="AU117" s="443" t="str">
        <f>IF('Design Fee'!CQ119&gt;0,"✔","-")</f>
        <v>-</v>
      </c>
      <c r="AV117" s="443" t="str">
        <f>IF('Design Fee'!CR119&gt;0,"✔","-")</f>
        <v>-</v>
      </c>
      <c r="AW117" s="444" t="str">
        <f>IF('Design Fee'!CS119&gt;0,"✔","-")</f>
        <v>-</v>
      </c>
      <c r="AX117" s="466" t="str">
        <f>IF('Design Fee'!CT119&gt;0,"✔","-")</f>
        <v>-</v>
      </c>
      <c r="AY117" s="466" t="str">
        <f>IF('Design Fee'!CU119&gt;0,"✔","-")</f>
        <v>-</v>
      </c>
      <c r="AZ117" s="444" t="str">
        <f>IF('Design Fee'!CV119&gt;0,"✔","-")</f>
        <v>-</v>
      </c>
      <c r="BA117" s="444" t="str">
        <f>IF('Design Fee'!CW119&gt;0,"✔","-")</f>
        <v>-</v>
      </c>
      <c r="BB117" s="466" t="str">
        <f>IF('Design Fee'!CX119&gt;0,"✔","-")</f>
        <v>-</v>
      </c>
      <c r="BC117" s="445"/>
      <c r="BD117" s="444" t="str">
        <f>IF('Design Fee'!CZ119&gt;0,"✔","-")</f>
        <v>-</v>
      </c>
      <c r="BE117" s="444" t="str">
        <f>IF('Design Fee'!DA119&gt;0,"✔","-")</f>
        <v>-</v>
      </c>
      <c r="BF117" s="444" t="str">
        <f>IF('Design Fee'!DB119&gt;0,"✔","-")</f>
        <v>-</v>
      </c>
      <c r="BG117" s="444" t="str">
        <f>IF('Design Fee'!DC119&gt;0,"✔","-")</f>
        <v>-</v>
      </c>
      <c r="BH117" s="444" t="str">
        <f>IF('Design Fee'!DD119&gt;0,"✔","-")</f>
        <v>-</v>
      </c>
      <c r="BI117" s="445"/>
      <c r="BJ117" s="441"/>
      <c r="BK117" s="442"/>
      <c r="BL117" s="443" t="str">
        <f>IF('Design Fee'!EA119&gt;0,"✔","-")</f>
        <v>-</v>
      </c>
      <c r="BM117" s="443" t="str">
        <f>IF('Design Fee'!EB119&gt;0,"✔","-")</f>
        <v>-</v>
      </c>
      <c r="BN117" s="444" t="str">
        <f>IF('Design Fee'!EC119&gt;0,"✔","-")</f>
        <v>-</v>
      </c>
      <c r="BO117" s="466" t="str">
        <f>IF('Design Fee'!ED119&gt;0,"✔","-")</f>
        <v>-</v>
      </c>
      <c r="BP117" s="466" t="str">
        <f>IF('Design Fee'!EE119&gt;0,"✔","-")</f>
        <v>-</v>
      </c>
      <c r="BQ117" s="444" t="str">
        <f>IF('Design Fee'!EF119&gt;0,"✔","-")</f>
        <v>-</v>
      </c>
      <c r="BR117" s="444" t="str">
        <f>IF('Design Fee'!EG119&gt;0,"✔","-")</f>
        <v>-</v>
      </c>
      <c r="BS117" s="466" t="str">
        <f>IF('Design Fee'!EH119&gt;0,"✔","-")</f>
        <v>-</v>
      </c>
      <c r="BT117" s="383"/>
      <c r="BU117" s="444" t="str">
        <f>IF('Design Fee'!EJ119&gt;0,"✔","-")</f>
        <v>-</v>
      </c>
      <c r="BV117" s="444" t="str">
        <f>IF('Design Fee'!EK119&gt;0,"✔","-")</f>
        <v>-</v>
      </c>
      <c r="BW117" s="444" t="str">
        <f>IF('Design Fee'!EL119&gt;0,"✔","-")</f>
        <v>-</v>
      </c>
      <c r="BX117" s="444" t="str">
        <f>IF('Design Fee'!EM119&gt;0,"✔","-")</f>
        <v>-</v>
      </c>
      <c r="BY117" s="444" t="str">
        <f>IF('Design Fee'!EN119&gt;0,"✔","-")</f>
        <v>-</v>
      </c>
      <c r="BZ117" s="383"/>
    </row>
    <row r="118" spans="1:78" ht="3" customHeight="1" outlineLevel="1">
      <c r="A118" s="383"/>
      <c r="B118" s="477"/>
      <c r="C118" s="478"/>
      <c r="D118" s="465"/>
      <c r="E118" s="383"/>
      <c r="F118" s="408"/>
      <c r="G118" s="421"/>
      <c r="H118" s="421"/>
      <c r="I118" s="421"/>
      <c r="J118" s="430"/>
      <c r="K118" s="441"/>
      <c r="L118" s="442"/>
      <c r="M118" s="443"/>
      <c r="N118" s="443"/>
      <c r="O118" s="444"/>
      <c r="P118" s="444"/>
      <c r="Q118" s="444"/>
      <c r="R118" s="444"/>
      <c r="S118" s="444"/>
      <c r="T118" s="444"/>
      <c r="U118" s="430"/>
      <c r="V118" s="444"/>
      <c r="W118" s="444"/>
      <c r="X118" s="444"/>
      <c r="Y118" s="444"/>
      <c r="Z118" s="444"/>
      <c r="AA118" s="430"/>
      <c r="AB118" s="441"/>
      <c r="AC118" s="442"/>
      <c r="AD118" s="443"/>
      <c r="AE118" s="443"/>
      <c r="AF118" s="421"/>
      <c r="AG118" s="421"/>
      <c r="AH118" s="421"/>
      <c r="AI118" s="421"/>
      <c r="AJ118" s="421"/>
      <c r="AK118" s="421"/>
      <c r="AL118" s="421"/>
      <c r="AM118" s="421"/>
      <c r="AN118" s="421"/>
      <c r="AO118" s="421"/>
      <c r="AP118" s="421"/>
      <c r="AQ118" s="421"/>
      <c r="AR118" s="421"/>
      <c r="AS118" s="441"/>
      <c r="AT118" s="421"/>
      <c r="AU118" s="443"/>
      <c r="AV118" s="443"/>
      <c r="AW118" s="421"/>
      <c r="AX118" s="421"/>
      <c r="AY118" s="421"/>
      <c r="AZ118" s="421"/>
      <c r="BA118" s="421"/>
      <c r="BB118" s="421"/>
      <c r="BC118" s="421"/>
      <c r="BD118" s="421"/>
      <c r="BE118" s="421"/>
      <c r="BF118" s="421"/>
      <c r="BG118" s="421"/>
      <c r="BH118" s="421"/>
      <c r="BI118" s="421"/>
      <c r="BJ118" s="441"/>
      <c r="BK118" s="421"/>
      <c r="BL118" s="443"/>
      <c r="BM118" s="443"/>
      <c r="BN118" s="421"/>
      <c r="BO118" s="421"/>
      <c r="BP118" s="421"/>
      <c r="BQ118" s="421"/>
      <c r="BR118" s="421"/>
      <c r="BS118" s="421"/>
      <c r="BT118" s="383"/>
      <c r="BU118" s="421"/>
      <c r="BV118" s="421"/>
      <c r="BW118" s="421"/>
      <c r="BX118" s="421"/>
      <c r="BY118" s="421"/>
      <c r="BZ118" s="383"/>
    </row>
    <row r="119" spans="1:78" ht="12.75" outlineLevel="1">
      <c r="A119" s="383"/>
      <c r="B119" s="432">
        <v>10</v>
      </c>
      <c r="C119" s="459">
        <v>7</v>
      </c>
      <c r="D119" s="460" t="s">
        <v>127</v>
      </c>
      <c r="E119" s="434"/>
      <c r="F119" s="461">
        <f>M119+AD119+AU119+BL119</f>
        <v>21</v>
      </c>
      <c r="G119" s="461">
        <f t="shared" ref="G119:I119" si="340">N119+AE119+AV119+BM119</f>
        <v>21</v>
      </c>
      <c r="H119" s="461">
        <f t="shared" si="340"/>
        <v>11</v>
      </c>
      <c r="I119" s="461">
        <f t="shared" si="340"/>
        <v>10</v>
      </c>
      <c r="J119" s="438">
        <f t="shared" ref="J119" si="341">COUNT(J120:J129)</f>
        <v>0</v>
      </c>
      <c r="K119" s="435"/>
      <c r="L119" s="435"/>
      <c r="M119" s="461">
        <f>COUNTIF(M120:M129,"✔")</f>
        <v>8</v>
      </c>
      <c r="N119" s="461">
        <f t="shared" ref="N119" si="342">COUNTIF(N120:N129,"✔")</f>
        <v>8</v>
      </c>
      <c r="O119" s="461">
        <f t="shared" ref="O119" si="343">COUNTIF(O120:O129,"✔")</f>
        <v>0</v>
      </c>
      <c r="P119" s="461">
        <f t="shared" ref="P119" si="344">COUNTIF(P120:P129,"✔")</f>
        <v>8</v>
      </c>
      <c r="Q119" s="461">
        <f t="shared" ref="Q119" si="345">COUNTIF(Q120:Q129,"✔")</f>
        <v>8</v>
      </c>
      <c r="R119" s="461">
        <f t="shared" ref="R119" si="346">COUNTIF(R120:R129,"✔")</f>
        <v>0</v>
      </c>
      <c r="S119" s="461">
        <f t="shared" ref="S119" si="347">COUNTIF(S120:S129,"✔")</f>
        <v>0</v>
      </c>
      <c r="T119" s="461">
        <f t="shared" ref="T119" si="348">COUNTIF(T120:T129,"✔")</f>
        <v>0</v>
      </c>
      <c r="U119" s="461">
        <f t="shared" ref="U119" si="349">COUNTIF(U120:U129,"✔")</f>
        <v>0</v>
      </c>
      <c r="V119" s="461">
        <f t="shared" ref="V119" si="350">COUNTIF(V120:V129,"✔")</f>
        <v>8</v>
      </c>
      <c r="W119" s="461">
        <f t="shared" ref="W119" si="351">COUNTIF(W120:W129,"✔")</f>
        <v>8</v>
      </c>
      <c r="X119" s="461">
        <f t="shared" ref="X119" si="352">COUNTIF(X120:X129,"✔")</f>
        <v>0</v>
      </c>
      <c r="Y119" s="461">
        <f t="shared" ref="Y119" si="353">COUNTIF(Y120:Y129,"✔")</f>
        <v>0</v>
      </c>
      <c r="Z119" s="461">
        <f t="shared" ref="Z119" si="354">COUNTIF(Z120:Z129,"✔")</f>
        <v>0</v>
      </c>
      <c r="AA119" s="461">
        <f t="shared" ref="AA119" si="355">COUNTIF(AA120:AA129,"✔")</f>
        <v>0</v>
      </c>
      <c r="AB119" s="435"/>
      <c r="AC119" s="461">
        <f t="shared" ref="AC119" si="356">COUNTIF(AC120:AC129,"✔")</f>
        <v>0</v>
      </c>
      <c r="AD119" s="461">
        <f t="shared" ref="AD119" si="357">COUNTIF(AD120:AD129,"✔")</f>
        <v>6</v>
      </c>
      <c r="AE119" s="461">
        <f t="shared" ref="AE119" si="358">COUNTIF(AE120:AE129,"✔")</f>
        <v>6</v>
      </c>
      <c r="AF119" s="461">
        <f t="shared" ref="AF119" si="359">COUNTIF(AF120:AF129,"✔")</f>
        <v>6</v>
      </c>
      <c r="AG119" s="461">
        <f t="shared" ref="AG119" si="360">COUNTIF(AG120:AG129,"✔")</f>
        <v>0</v>
      </c>
      <c r="AH119" s="461">
        <f t="shared" ref="AH119" si="361">COUNTIF(AH120:AH129,"✔")</f>
        <v>0</v>
      </c>
      <c r="AI119" s="461">
        <f t="shared" ref="AI119" si="362">COUNTIF(AI120:AI129,"✔")</f>
        <v>0</v>
      </c>
      <c r="AJ119" s="461">
        <f t="shared" ref="AJ119" si="363">COUNTIF(AJ120:AJ129,"✔")</f>
        <v>0</v>
      </c>
      <c r="AK119" s="461">
        <f t="shared" ref="AK119" si="364">COUNTIF(AK120:AK129,"✔")</f>
        <v>0</v>
      </c>
      <c r="AL119" s="461">
        <f t="shared" ref="AL119" si="365">COUNTIF(AL120:AL129,"✔")</f>
        <v>0</v>
      </c>
      <c r="AM119" s="461">
        <f t="shared" ref="AM119" si="366">COUNTIF(AM120:AM129,"✔")</f>
        <v>0</v>
      </c>
      <c r="AN119" s="461">
        <f t="shared" ref="AN119" si="367">COUNTIF(AN120:AN129,"✔")</f>
        <v>0</v>
      </c>
      <c r="AO119" s="461">
        <f t="shared" ref="AO119" si="368">COUNTIF(AO120:AO129,"✔")</f>
        <v>0</v>
      </c>
      <c r="AP119" s="461">
        <f t="shared" ref="AP119" si="369">COUNTIF(AP120:AP129,"✔")</f>
        <v>0</v>
      </c>
      <c r="AQ119" s="461">
        <f t="shared" ref="AQ119" si="370">COUNTIF(AQ120:AQ129,"✔")</f>
        <v>0</v>
      </c>
      <c r="AR119" s="461">
        <f t="shared" ref="AR119" si="371">COUNTIF(AR120:AR129,"✔")</f>
        <v>0</v>
      </c>
      <c r="AS119" s="435"/>
      <c r="AT119" s="461">
        <f t="shared" ref="AT119" si="372">COUNTIF(AT120:AT129,"✔")</f>
        <v>0</v>
      </c>
      <c r="AU119" s="461">
        <f t="shared" ref="AU119" si="373">COUNTIF(AU120:AU129,"✔")</f>
        <v>5</v>
      </c>
      <c r="AV119" s="461">
        <f t="shared" ref="AV119" si="374">COUNTIF(AV120:AV129,"✔")</f>
        <v>5</v>
      </c>
      <c r="AW119" s="461">
        <f t="shared" ref="AW119" si="375">COUNTIF(AW120:AW129,"✔")</f>
        <v>4</v>
      </c>
      <c r="AX119" s="461">
        <f t="shared" ref="AX119" si="376">COUNTIF(AX120:AX129,"✔")</f>
        <v>1</v>
      </c>
      <c r="AY119" s="461">
        <f t="shared" ref="AY119" si="377">COUNTIF(AY120:AY129,"✔")</f>
        <v>1</v>
      </c>
      <c r="AZ119" s="461">
        <f t="shared" ref="AZ119" si="378">COUNTIF(AZ120:AZ129,"✔")</f>
        <v>0</v>
      </c>
      <c r="BA119" s="461">
        <f t="shared" ref="BA119" si="379">COUNTIF(BA120:BA129,"✔")</f>
        <v>0</v>
      </c>
      <c r="BB119" s="461">
        <f t="shared" ref="BB119" si="380">COUNTIF(BB120:BB129,"✔")</f>
        <v>0</v>
      </c>
      <c r="BC119" s="461">
        <f t="shared" ref="BC119" si="381">COUNTIF(BC120:BC129,"✔")</f>
        <v>0</v>
      </c>
      <c r="BD119" s="461">
        <f t="shared" ref="BD119" si="382">COUNTIF(BD120:BD129,"✔")</f>
        <v>1</v>
      </c>
      <c r="BE119" s="461">
        <f t="shared" ref="BE119" si="383">COUNTIF(BE120:BE129,"✔")</f>
        <v>0</v>
      </c>
      <c r="BF119" s="461">
        <f t="shared" ref="BF119" si="384">COUNTIF(BF120:BF129,"✔")</f>
        <v>1</v>
      </c>
      <c r="BG119" s="461">
        <f t="shared" ref="BG119" si="385">COUNTIF(BG120:BG129,"✔")</f>
        <v>0</v>
      </c>
      <c r="BH119" s="461">
        <f t="shared" ref="BH119" si="386">COUNTIF(BH120:BH129,"✔")</f>
        <v>0</v>
      </c>
      <c r="BI119" s="461">
        <f t="shared" ref="BI119" si="387">COUNTIF(BI120:BI129,"✔")</f>
        <v>0</v>
      </c>
      <c r="BJ119" s="435"/>
      <c r="BK119" s="461">
        <f t="shared" ref="BK119" si="388">COUNTIF(BK120:BK129,"✔")</f>
        <v>0</v>
      </c>
      <c r="BL119" s="461">
        <f t="shared" ref="BL119" si="389">COUNTIF(BL120:BL129,"✔")</f>
        <v>2</v>
      </c>
      <c r="BM119" s="461">
        <f t="shared" ref="BM119" si="390">COUNTIF(BM120:BM129,"✔")</f>
        <v>2</v>
      </c>
      <c r="BN119" s="461">
        <f t="shared" ref="BN119" si="391">COUNTIF(BN120:BN129,"✔")</f>
        <v>1</v>
      </c>
      <c r="BO119" s="461">
        <f t="shared" ref="BO119" si="392">COUNTIF(BO120:BO129,"✔")</f>
        <v>1</v>
      </c>
      <c r="BP119" s="461">
        <f t="shared" ref="BP119" si="393">COUNTIF(BP120:BP129,"✔")</f>
        <v>1</v>
      </c>
      <c r="BQ119" s="461">
        <f t="shared" ref="BQ119" si="394">COUNTIF(BQ120:BQ129,"✔")</f>
        <v>0</v>
      </c>
      <c r="BR119" s="461">
        <f t="shared" ref="BR119" si="395">COUNTIF(BR120:BR129,"✔")</f>
        <v>0</v>
      </c>
      <c r="BS119" s="461">
        <f t="shared" ref="BS119" si="396">COUNTIF(BS120:BS129,"✔")</f>
        <v>0</v>
      </c>
      <c r="BT119" s="383"/>
      <c r="BU119" s="461">
        <f t="shared" ref="BU119" si="397">COUNTIF(BU120:BU129,"✔")</f>
        <v>1</v>
      </c>
      <c r="BV119" s="461">
        <f t="shared" ref="BV119" si="398">COUNTIF(BV120:BV129,"✔")</f>
        <v>0</v>
      </c>
      <c r="BW119" s="461">
        <f t="shared" ref="BW119" si="399">COUNTIF(BW120:BW129,"✔")</f>
        <v>1</v>
      </c>
      <c r="BX119" s="461">
        <f t="shared" ref="BX119" si="400">COUNTIF(BX120:BX129,"✔")</f>
        <v>0</v>
      </c>
      <c r="BY119" s="461">
        <f t="shared" ref="BY119" si="401">COUNTIF(BY120:BY129,"✔")</f>
        <v>0</v>
      </c>
      <c r="BZ119" s="383"/>
    </row>
    <row r="120" spans="1:78" s="95" customFormat="1" ht="12.75" outlineLevel="2">
      <c r="A120" s="468" t="str">
        <f>"T06S - "&amp;D120</f>
        <v>T06S - Foundation and Grade Slab</v>
      </c>
      <c r="B120" s="481" t="s">
        <v>128</v>
      </c>
      <c r="C120" s="469">
        <v>1</v>
      </c>
      <c r="D120" s="470" t="s">
        <v>52</v>
      </c>
      <c r="E120" s="468"/>
      <c r="F120" s="443">
        <f t="shared" ref="F120:F128" si="402">COUNTIF(M120,"✔")+COUNTIF(AD120,"✔")+COUNTIF(BL120,"✔")+COUNTIF(AU120,"✔")</f>
        <v>3</v>
      </c>
      <c r="G120" s="444">
        <f t="shared" ref="G120:H128" si="403">COUNTIF(N120,"✔")+COUNTIF(AE120,"✔")+COUNTIF(BM120,"✔")+COUNTIF(AV120,"✔")</f>
        <v>3</v>
      </c>
      <c r="H120" s="444">
        <f t="shared" si="403"/>
        <v>2</v>
      </c>
      <c r="I120" s="444">
        <f t="shared" ref="I120:I128" si="404">F120-G120</f>
        <v>0</v>
      </c>
      <c r="J120" s="475"/>
      <c r="K120" s="441"/>
      <c r="L120" s="472"/>
      <c r="M120" s="443" t="str">
        <f>IF('Design Fee'!W122&gt;0,"✔","-")</f>
        <v>✔</v>
      </c>
      <c r="N120" s="443" t="str">
        <f>IF('Design Fee'!X122&gt;0,"✔","-")</f>
        <v>✔</v>
      </c>
      <c r="O120" s="466" t="str">
        <f>IF('Design Fee'!Y122&gt;0,"✔","-")</f>
        <v>-</v>
      </c>
      <c r="P120" s="466" t="str">
        <f>IF('Design Fee'!Z122&gt;0,"✔","-")</f>
        <v>✔</v>
      </c>
      <c r="Q120" s="466" t="str">
        <f>IF('Design Fee'!AA122&gt;0,"✔","-")</f>
        <v>✔</v>
      </c>
      <c r="R120" s="466" t="str">
        <f>IF('Design Fee'!AB122&gt;0,"✔","-")</f>
        <v>-</v>
      </c>
      <c r="S120" s="444" t="str">
        <f>IF('Design Fee'!AC122&gt;0,"✔","-")</f>
        <v>-</v>
      </c>
      <c r="T120" s="466" t="str">
        <f>IF('Design Fee'!AD122&gt;0,"✔","-")</f>
        <v>-</v>
      </c>
      <c r="U120" s="475"/>
      <c r="V120" s="444" t="str">
        <f>IF('Design Fee'!AF122&gt;0,"✔","-")</f>
        <v>✔</v>
      </c>
      <c r="W120" s="444" t="str">
        <f>IF('Design Fee'!AG122&gt;0,"✔","-")</f>
        <v>✔</v>
      </c>
      <c r="X120" s="444" t="str">
        <f>IF('Design Fee'!AH122&gt;0,"✔","-")</f>
        <v>-</v>
      </c>
      <c r="Y120" s="444" t="str">
        <f>IF('Design Fee'!AI122&gt;0,"✔","-")</f>
        <v>-</v>
      </c>
      <c r="Z120" s="444" t="str">
        <f>IF('Design Fee'!AJ122&gt;0,"✔","-")</f>
        <v>-</v>
      </c>
      <c r="AA120" s="475"/>
      <c r="AB120" s="441"/>
      <c r="AC120" s="472"/>
      <c r="AD120" s="443" t="str">
        <f>IF('Design Fee'!BG122&gt;0,"✔","-")</f>
        <v>✔</v>
      </c>
      <c r="AE120" s="443" t="str">
        <f>IF('Design Fee'!BH122&gt;0,"✔","-")</f>
        <v>✔</v>
      </c>
      <c r="AF120" s="466" t="str">
        <f>IF('Design Fee'!BI122&gt;0,"✔","-")</f>
        <v>✔</v>
      </c>
      <c r="AG120" s="466" t="str">
        <f>IF('Design Fee'!BJ122&gt;0,"✔","-")</f>
        <v>-</v>
      </c>
      <c r="AH120" s="466" t="str">
        <f>IF('Design Fee'!BK122&gt;0,"✔","-")</f>
        <v>-</v>
      </c>
      <c r="AI120" s="466" t="str">
        <f>IF('Design Fee'!BL122&gt;0,"✔","-")</f>
        <v>-</v>
      </c>
      <c r="AJ120" s="444" t="str">
        <f>IF('Design Fee'!BM122&gt;0,"✔","-")</f>
        <v>-</v>
      </c>
      <c r="AK120" s="466" t="str">
        <f>IF('Design Fee'!BN122&gt;0,"✔","-")</f>
        <v>-</v>
      </c>
      <c r="AL120" s="476"/>
      <c r="AM120" s="444" t="str">
        <f>IF('Design Fee'!BP122&gt;0,"✔","-")</f>
        <v>-</v>
      </c>
      <c r="AN120" s="444" t="str">
        <f>IF('Design Fee'!BQ122&gt;0,"✔","-")</f>
        <v>-</v>
      </c>
      <c r="AO120" s="444" t="str">
        <f>IF('Design Fee'!BR122&gt;0,"✔","-")</f>
        <v>-</v>
      </c>
      <c r="AP120" s="444" t="str">
        <f>IF('Design Fee'!BS122&gt;0,"✔","-")</f>
        <v>-</v>
      </c>
      <c r="AQ120" s="444" t="str">
        <f>IF('Design Fee'!BT122&gt;0,"✔","-")</f>
        <v>-</v>
      </c>
      <c r="AR120" s="476"/>
      <c r="AS120" s="441"/>
      <c r="AT120" s="472"/>
      <c r="AU120" s="443" t="str">
        <f>IF('Design Fee'!CQ122&gt;0,"✔","-")</f>
        <v>✔</v>
      </c>
      <c r="AV120" s="443" t="str">
        <f>IF('Design Fee'!CR122&gt;0,"✔","-")</f>
        <v>✔</v>
      </c>
      <c r="AW120" s="466" t="str">
        <f>IF('Design Fee'!CS122&gt;0,"✔","-")</f>
        <v>✔</v>
      </c>
      <c r="AX120" s="466" t="str">
        <f>IF('Design Fee'!CT122&gt;0,"✔","-")</f>
        <v>-</v>
      </c>
      <c r="AY120" s="466" t="str">
        <f>IF('Design Fee'!CU122&gt;0,"✔","-")</f>
        <v>-</v>
      </c>
      <c r="AZ120" s="466" t="str">
        <f>IF('Design Fee'!CV122&gt;0,"✔","-")</f>
        <v>-</v>
      </c>
      <c r="BA120" s="444" t="str">
        <f>IF('Design Fee'!CW122&gt;0,"✔","-")</f>
        <v>-</v>
      </c>
      <c r="BB120" s="466" t="str">
        <f>IF('Design Fee'!CX122&gt;0,"✔","-")</f>
        <v>-</v>
      </c>
      <c r="BC120" s="476"/>
      <c r="BD120" s="444" t="str">
        <f>IF('Design Fee'!CZ122&gt;0,"✔","-")</f>
        <v>-</v>
      </c>
      <c r="BE120" s="444" t="str">
        <f>IF('Design Fee'!DA122&gt;0,"✔","-")</f>
        <v>-</v>
      </c>
      <c r="BF120" s="444" t="str">
        <f>IF('Design Fee'!DB122&gt;0,"✔","-")</f>
        <v>-</v>
      </c>
      <c r="BG120" s="444" t="str">
        <f>IF('Design Fee'!DC122&gt;0,"✔","-")</f>
        <v>-</v>
      </c>
      <c r="BH120" s="444" t="str">
        <f>IF('Design Fee'!DD122&gt;0,"✔","-")</f>
        <v>-</v>
      </c>
      <c r="BI120" s="476"/>
      <c r="BJ120" s="441"/>
      <c r="BK120" s="472"/>
      <c r="BL120" s="443" t="str">
        <f>IF('Design Fee'!EA122&gt;0,"✔","-")</f>
        <v>-</v>
      </c>
      <c r="BM120" s="443" t="str">
        <f>IF('Design Fee'!EB122&gt;0,"✔","-")</f>
        <v>-</v>
      </c>
      <c r="BN120" s="466" t="str">
        <f>IF('Design Fee'!EC122&gt;0,"✔","-")</f>
        <v>-</v>
      </c>
      <c r="BO120" s="466" t="str">
        <f>IF('Design Fee'!ED122&gt;0,"✔","-")</f>
        <v>-</v>
      </c>
      <c r="BP120" s="466" t="str">
        <f>IF('Design Fee'!EE122&gt;0,"✔","-")</f>
        <v>-</v>
      </c>
      <c r="BQ120" s="466" t="str">
        <f>IF('Design Fee'!EF122&gt;0,"✔","-")</f>
        <v>-</v>
      </c>
      <c r="BR120" s="444" t="str">
        <f>IF('Design Fee'!EG122&gt;0,"✔","-")</f>
        <v>-</v>
      </c>
      <c r="BS120" s="466" t="str">
        <f>IF('Design Fee'!EH122&gt;0,"✔","-")</f>
        <v>-</v>
      </c>
      <c r="BT120" s="468"/>
      <c r="BU120" s="444" t="str">
        <f>IF('Design Fee'!EJ122&gt;0,"✔","-")</f>
        <v>-</v>
      </c>
      <c r="BV120" s="444" t="str">
        <f>IF('Design Fee'!EK122&gt;0,"✔","-")</f>
        <v>-</v>
      </c>
      <c r="BW120" s="444" t="str">
        <f>IF('Design Fee'!EL122&gt;0,"✔","-")</f>
        <v>-</v>
      </c>
      <c r="BX120" s="444" t="str">
        <f>IF('Design Fee'!EM122&gt;0,"✔","-")</f>
        <v>-</v>
      </c>
      <c r="BY120" s="444" t="str">
        <f>IF('Design Fee'!EN122&gt;0,"✔","-")</f>
        <v>-</v>
      </c>
      <c r="BZ120" s="383"/>
    </row>
    <row r="121" spans="1:78" ht="12.75" outlineLevel="2">
      <c r="A121" s="468" t="str">
        <f t="shared" ref="A121:A128" si="405">"T06S - "&amp;D121</f>
        <v>T06S - Parking Level-Sub grade</v>
      </c>
      <c r="B121" s="481" t="s">
        <v>129</v>
      </c>
      <c r="C121" s="464">
        <v>2</v>
      </c>
      <c r="D121" s="465" t="s">
        <v>54</v>
      </c>
      <c r="E121" s="383"/>
      <c r="F121" s="443">
        <f t="shared" si="402"/>
        <v>1</v>
      </c>
      <c r="G121" s="444">
        <f t="shared" si="403"/>
        <v>1</v>
      </c>
      <c r="H121" s="444">
        <f t="shared" si="403"/>
        <v>1</v>
      </c>
      <c r="I121" s="444">
        <f t="shared" si="404"/>
        <v>0</v>
      </c>
      <c r="J121" s="430"/>
      <c r="K121" s="441"/>
      <c r="L121" s="442"/>
      <c r="M121" s="443" t="str">
        <f>IF('Design Fee'!W123&gt;0,"✔","-")</f>
        <v>-</v>
      </c>
      <c r="N121" s="443" t="str">
        <f>IF('Design Fee'!X123&gt;0,"✔","-")</f>
        <v>-</v>
      </c>
      <c r="O121" s="444" t="str">
        <f>IF('Design Fee'!Y123&gt;0,"✔","-")</f>
        <v>-</v>
      </c>
      <c r="P121" s="444" t="str">
        <f>IF('Design Fee'!Z123&gt;0,"✔","-")</f>
        <v>-</v>
      </c>
      <c r="Q121" s="444" t="str">
        <f>IF('Design Fee'!AA123&gt;0,"✔","-")</f>
        <v>-</v>
      </c>
      <c r="R121" s="444" t="str">
        <f>IF('Design Fee'!AB123&gt;0,"✔","-")</f>
        <v>-</v>
      </c>
      <c r="S121" s="444" t="str">
        <f>IF('Design Fee'!AC123&gt;0,"✔","-")</f>
        <v>-</v>
      </c>
      <c r="T121" s="466" t="str">
        <f>IF('Design Fee'!AD123&gt;0,"✔","-")</f>
        <v>-</v>
      </c>
      <c r="U121" s="430"/>
      <c r="V121" s="444" t="str">
        <f>IF('Design Fee'!AF123&gt;0,"✔","-")</f>
        <v>-</v>
      </c>
      <c r="W121" s="444" t="str">
        <f>IF('Design Fee'!AG123&gt;0,"✔","-")</f>
        <v>-</v>
      </c>
      <c r="X121" s="444" t="str">
        <f>IF('Design Fee'!AH123&gt;0,"✔","-")</f>
        <v>-</v>
      </c>
      <c r="Y121" s="444" t="str">
        <f>IF('Design Fee'!AI123&gt;0,"✔","-")</f>
        <v>-</v>
      </c>
      <c r="Z121" s="444" t="str">
        <f>IF('Design Fee'!AJ123&gt;0,"✔","-")</f>
        <v>-</v>
      </c>
      <c r="AA121" s="430"/>
      <c r="AB121" s="441"/>
      <c r="AC121" s="442"/>
      <c r="AD121" s="443" t="str">
        <f>IF('Design Fee'!BG123&gt;0,"✔","-")</f>
        <v>✔</v>
      </c>
      <c r="AE121" s="443" t="str">
        <f>IF('Design Fee'!BH123&gt;0,"✔","-")</f>
        <v>✔</v>
      </c>
      <c r="AF121" s="444" t="str">
        <f>IF('Design Fee'!BI123&gt;0,"✔","-")</f>
        <v>✔</v>
      </c>
      <c r="AG121" s="444" t="str">
        <f>IF('Design Fee'!BJ123&gt;0,"✔","-")</f>
        <v>-</v>
      </c>
      <c r="AH121" s="444" t="str">
        <f>IF('Design Fee'!BK123&gt;0,"✔","-")</f>
        <v>-</v>
      </c>
      <c r="AI121" s="444" t="str">
        <f>IF('Design Fee'!BL123&gt;0,"✔","-")</f>
        <v>-</v>
      </c>
      <c r="AJ121" s="444" t="str">
        <f>IF('Design Fee'!BM123&gt;0,"✔","-")</f>
        <v>-</v>
      </c>
      <c r="AK121" s="466" t="str">
        <f>IF('Design Fee'!BN123&gt;0,"✔","-")</f>
        <v>-</v>
      </c>
      <c r="AL121" s="445"/>
      <c r="AM121" s="444" t="str">
        <f>IF('Design Fee'!BP123&gt;0,"✔","-")</f>
        <v>-</v>
      </c>
      <c r="AN121" s="444" t="str">
        <f>IF('Design Fee'!BQ123&gt;0,"✔","-")</f>
        <v>-</v>
      </c>
      <c r="AO121" s="444" t="str">
        <f>IF('Design Fee'!BR123&gt;0,"✔","-")</f>
        <v>-</v>
      </c>
      <c r="AP121" s="444" t="str">
        <f>IF('Design Fee'!BS123&gt;0,"✔","-")</f>
        <v>-</v>
      </c>
      <c r="AQ121" s="444" t="str">
        <f>IF('Design Fee'!BT123&gt;0,"✔","-")</f>
        <v>-</v>
      </c>
      <c r="AR121" s="445"/>
      <c r="AS121" s="441"/>
      <c r="AT121" s="442"/>
      <c r="AU121" s="443" t="str">
        <f>IF('Design Fee'!CQ123&gt;0,"✔","-")</f>
        <v>-</v>
      </c>
      <c r="AV121" s="443" t="str">
        <f>IF('Design Fee'!CR123&gt;0,"✔","-")</f>
        <v>-</v>
      </c>
      <c r="AW121" s="444" t="str">
        <f>IF('Design Fee'!CS123&gt;0,"✔","-")</f>
        <v>-</v>
      </c>
      <c r="AX121" s="444" t="str">
        <f>IF('Design Fee'!CT123&gt;0,"✔","-")</f>
        <v>-</v>
      </c>
      <c r="AY121" s="444" t="str">
        <f>IF('Design Fee'!CU123&gt;0,"✔","-")</f>
        <v>-</v>
      </c>
      <c r="AZ121" s="444" t="str">
        <f>IF('Design Fee'!CV123&gt;0,"✔","-")</f>
        <v>-</v>
      </c>
      <c r="BA121" s="444" t="str">
        <f>IF('Design Fee'!CW123&gt;0,"✔","-")</f>
        <v>-</v>
      </c>
      <c r="BB121" s="466" t="str">
        <f>IF('Design Fee'!CX123&gt;0,"✔","-")</f>
        <v>-</v>
      </c>
      <c r="BC121" s="445"/>
      <c r="BD121" s="444" t="str">
        <f>IF('Design Fee'!CZ123&gt;0,"✔","-")</f>
        <v>-</v>
      </c>
      <c r="BE121" s="444" t="str">
        <f>IF('Design Fee'!DA123&gt;0,"✔","-")</f>
        <v>-</v>
      </c>
      <c r="BF121" s="444" t="str">
        <f>IF('Design Fee'!DB123&gt;0,"✔","-")</f>
        <v>-</v>
      </c>
      <c r="BG121" s="444" t="str">
        <f>IF('Design Fee'!DC123&gt;0,"✔","-")</f>
        <v>-</v>
      </c>
      <c r="BH121" s="444" t="str">
        <f>IF('Design Fee'!DD123&gt;0,"✔","-")</f>
        <v>-</v>
      </c>
      <c r="BI121" s="445"/>
      <c r="BJ121" s="441"/>
      <c r="BK121" s="442"/>
      <c r="BL121" s="443" t="str">
        <f>IF('Design Fee'!EA123&gt;0,"✔","-")</f>
        <v>-</v>
      </c>
      <c r="BM121" s="443" t="str">
        <f>IF('Design Fee'!EB123&gt;0,"✔","-")</f>
        <v>-</v>
      </c>
      <c r="BN121" s="444" t="str">
        <f>IF('Design Fee'!EC123&gt;0,"✔","-")</f>
        <v>-</v>
      </c>
      <c r="BO121" s="444" t="str">
        <f>IF('Design Fee'!ED123&gt;0,"✔","-")</f>
        <v>-</v>
      </c>
      <c r="BP121" s="444" t="str">
        <f>IF('Design Fee'!EE123&gt;0,"✔","-")</f>
        <v>-</v>
      </c>
      <c r="BQ121" s="444" t="str">
        <f>IF('Design Fee'!EF123&gt;0,"✔","-")</f>
        <v>-</v>
      </c>
      <c r="BR121" s="444" t="str">
        <f>IF('Design Fee'!EG123&gt;0,"✔","-")</f>
        <v>-</v>
      </c>
      <c r="BS121" s="466" t="str">
        <f>IF('Design Fee'!EH123&gt;0,"✔","-")</f>
        <v>-</v>
      </c>
      <c r="BT121" s="383"/>
      <c r="BU121" s="444" t="str">
        <f>IF('Design Fee'!EJ123&gt;0,"✔","-")</f>
        <v>-</v>
      </c>
      <c r="BV121" s="444" t="str">
        <f>IF('Design Fee'!EK123&gt;0,"✔","-")</f>
        <v>-</v>
      </c>
      <c r="BW121" s="444" t="str">
        <f>IF('Design Fee'!EL123&gt;0,"✔","-")</f>
        <v>-</v>
      </c>
      <c r="BX121" s="444" t="str">
        <f>IF('Design Fee'!EM123&gt;0,"✔","-")</f>
        <v>-</v>
      </c>
      <c r="BY121" s="444" t="str">
        <f>IF('Design Fee'!EN123&gt;0,"✔","-")</f>
        <v>-</v>
      </c>
      <c r="BZ121" s="383"/>
    </row>
    <row r="122" spans="1:78" ht="12.75" outlineLevel="2">
      <c r="A122" s="468" t="str">
        <f t="shared" si="405"/>
        <v>T06S - Building Envelope and Common Areas [Basement]</v>
      </c>
      <c r="B122" s="481" t="s">
        <v>130</v>
      </c>
      <c r="C122" s="464">
        <v>3</v>
      </c>
      <c r="D122" s="465" t="s">
        <v>56</v>
      </c>
      <c r="E122" s="383"/>
      <c r="F122" s="443">
        <f t="shared" si="402"/>
        <v>1</v>
      </c>
      <c r="G122" s="444">
        <f t="shared" si="403"/>
        <v>1</v>
      </c>
      <c r="H122" s="444">
        <f t="shared" si="403"/>
        <v>0</v>
      </c>
      <c r="I122" s="444">
        <f t="shared" si="404"/>
        <v>0</v>
      </c>
      <c r="J122" s="430"/>
      <c r="K122" s="441"/>
      <c r="L122" s="442"/>
      <c r="M122" s="443" t="str">
        <f>IF('Design Fee'!W124&gt;0,"✔","-")</f>
        <v>✔</v>
      </c>
      <c r="N122" s="443" t="str">
        <f>IF('Design Fee'!X124&gt;0,"✔","-")</f>
        <v>✔</v>
      </c>
      <c r="O122" s="444" t="str">
        <f>IF('Design Fee'!Y124&gt;0,"✔","-")</f>
        <v>-</v>
      </c>
      <c r="P122" s="444" t="str">
        <f>IF('Design Fee'!Z124&gt;0,"✔","-")</f>
        <v>✔</v>
      </c>
      <c r="Q122" s="444" t="str">
        <f>IF('Design Fee'!AA124&gt;0,"✔","-")</f>
        <v>✔</v>
      </c>
      <c r="R122" s="444" t="str">
        <f>IF('Design Fee'!AB124&gt;0,"✔","-")</f>
        <v>-</v>
      </c>
      <c r="S122" s="444" t="str">
        <f>IF('Design Fee'!AC124&gt;0,"✔","-")</f>
        <v>-</v>
      </c>
      <c r="T122" s="466" t="str">
        <f>IF('Design Fee'!AD124&gt;0,"✔","-")</f>
        <v>-</v>
      </c>
      <c r="U122" s="430"/>
      <c r="V122" s="444" t="str">
        <f>IF('Design Fee'!AF124&gt;0,"✔","-")</f>
        <v>✔</v>
      </c>
      <c r="W122" s="444" t="str">
        <f>IF('Design Fee'!AG124&gt;0,"✔","-")</f>
        <v>✔</v>
      </c>
      <c r="X122" s="444" t="str">
        <f>IF('Design Fee'!AH124&gt;0,"✔","-")</f>
        <v>-</v>
      </c>
      <c r="Y122" s="444" t="str">
        <f>IF('Design Fee'!AI124&gt;0,"✔","-")</f>
        <v>-</v>
      </c>
      <c r="Z122" s="444" t="str">
        <f>IF('Design Fee'!AJ124&gt;0,"✔","-")</f>
        <v>-</v>
      </c>
      <c r="AA122" s="430"/>
      <c r="AB122" s="441"/>
      <c r="AC122" s="442"/>
      <c r="AD122" s="443" t="str">
        <f>IF('Design Fee'!BG124&gt;0,"✔","-")</f>
        <v>-</v>
      </c>
      <c r="AE122" s="443" t="str">
        <f>IF('Design Fee'!BH124&gt;0,"✔","-")</f>
        <v>-</v>
      </c>
      <c r="AF122" s="444" t="str">
        <f>IF('Design Fee'!BI124&gt;0,"✔","-")</f>
        <v>-</v>
      </c>
      <c r="AG122" s="444" t="str">
        <f>IF('Design Fee'!BJ124&gt;0,"✔","-")</f>
        <v>-</v>
      </c>
      <c r="AH122" s="444" t="str">
        <f>IF('Design Fee'!BK124&gt;0,"✔","-")</f>
        <v>-</v>
      </c>
      <c r="AI122" s="444" t="str">
        <f>IF('Design Fee'!BL124&gt;0,"✔","-")</f>
        <v>-</v>
      </c>
      <c r="AJ122" s="444" t="str">
        <f>IF('Design Fee'!BM124&gt;0,"✔","-")</f>
        <v>-</v>
      </c>
      <c r="AK122" s="466" t="str">
        <f>IF('Design Fee'!BN124&gt;0,"✔","-")</f>
        <v>-</v>
      </c>
      <c r="AL122" s="445"/>
      <c r="AM122" s="444" t="str">
        <f>IF('Design Fee'!BP124&gt;0,"✔","-")</f>
        <v>-</v>
      </c>
      <c r="AN122" s="444" t="str">
        <f>IF('Design Fee'!BQ124&gt;0,"✔","-")</f>
        <v>-</v>
      </c>
      <c r="AO122" s="444" t="str">
        <f>IF('Design Fee'!BR124&gt;0,"✔","-")</f>
        <v>-</v>
      </c>
      <c r="AP122" s="444" t="str">
        <f>IF('Design Fee'!BS124&gt;0,"✔","-")</f>
        <v>-</v>
      </c>
      <c r="AQ122" s="444" t="str">
        <f>IF('Design Fee'!BT124&gt;0,"✔","-")</f>
        <v>-</v>
      </c>
      <c r="AR122" s="445"/>
      <c r="AS122" s="441"/>
      <c r="AT122" s="442"/>
      <c r="AU122" s="443" t="str">
        <f>IF('Design Fee'!CQ124&gt;0,"✔","-")</f>
        <v>-</v>
      </c>
      <c r="AV122" s="443" t="str">
        <f>IF('Design Fee'!CR124&gt;0,"✔","-")</f>
        <v>-</v>
      </c>
      <c r="AW122" s="444" t="str">
        <f>IF('Design Fee'!CS124&gt;0,"✔","-")</f>
        <v>-</v>
      </c>
      <c r="AX122" s="444" t="str">
        <f>IF('Design Fee'!CT124&gt;0,"✔","-")</f>
        <v>-</v>
      </c>
      <c r="AY122" s="444" t="str">
        <f>IF('Design Fee'!CU124&gt;0,"✔","-")</f>
        <v>-</v>
      </c>
      <c r="AZ122" s="444" t="str">
        <f>IF('Design Fee'!CV124&gt;0,"✔","-")</f>
        <v>-</v>
      </c>
      <c r="BA122" s="444" t="str">
        <f>IF('Design Fee'!CW124&gt;0,"✔","-")</f>
        <v>-</v>
      </c>
      <c r="BB122" s="466" t="str">
        <f>IF('Design Fee'!CX124&gt;0,"✔","-")</f>
        <v>-</v>
      </c>
      <c r="BC122" s="445"/>
      <c r="BD122" s="444" t="str">
        <f>IF('Design Fee'!CZ124&gt;0,"✔","-")</f>
        <v>-</v>
      </c>
      <c r="BE122" s="444" t="str">
        <f>IF('Design Fee'!DA124&gt;0,"✔","-")</f>
        <v>-</v>
      </c>
      <c r="BF122" s="444" t="str">
        <f>IF('Design Fee'!DB124&gt;0,"✔","-")</f>
        <v>-</v>
      </c>
      <c r="BG122" s="444" t="str">
        <f>IF('Design Fee'!DC124&gt;0,"✔","-")</f>
        <v>-</v>
      </c>
      <c r="BH122" s="444" t="str">
        <f>IF('Design Fee'!DD124&gt;0,"✔","-")</f>
        <v>-</v>
      </c>
      <c r="BI122" s="445"/>
      <c r="BJ122" s="441"/>
      <c r="BK122" s="442"/>
      <c r="BL122" s="443" t="str">
        <f>IF('Design Fee'!EA124&gt;0,"✔","-")</f>
        <v>-</v>
      </c>
      <c r="BM122" s="443" t="str">
        <f>IF('Design Fee'!EB124&gt;0,"✔","-")</f>
        <v>-</v>
      </c>
      <c r="BN122" s="444" t="str">
        <f>IF('Design Fee'!EC124&gt;0,"✔","-")</f>
        <v>-</v>
      </c>
      <c r="BO122" s="444" t="str">
        <f>IF('Design Fee'!ED124&gt;0,"✔","-")</f>
        <v>-</v>
      </c>
      <c r="BP122" s="444" t="str">
        <f>IF('Design Fee'!EE124&gt;0,"✔","-")</f>
        <v>-</v>
      </c>
      <c r="BQ122" s="444" t="str">
        <f>IF('Design Fee'!EF124&gt;0,"✔","-")</f>
        <v>-</v>
      </c>
      <c r="BR122" s="444" t="str">
        <f>IF('Design Fee'!EG124&gt;0,"✔","-")</f>
        <v>-</v>
      </c>
      <c r="BS122" s="466" t="str">
        <f>IF('Design Fee'!EH124&gt;0,"✔","-")</f>
        <v>-</v>
      </c>
      <c r="BT122" s="383"/>
      <c r="BU122" s="444" t="str">
        <f>IF('Design Fee'!EJ124&gt;0,"✔","-")</f>
        <v>-</v>
      </c>
      <c r="BV122" s="444" t="str">
        <f>IF('Design Fee'!EK124&gt;0,"✔","-")</f>
        <v>-</v>
      </c>
      <c r="BW122" s="444" t="str">
        <f>IF('Design Fee'!EL124&gt;0,"✔","-")</f>
        <v>-</v>
      </c>
      <c r="BX122" s="444" t="str">
        <f>IF('Design Fee'!EM124&gt;0,"✔","-")</f>
        <v>-</v>
      </c>
      <c r="BY122" s="444" t="str">
        <f>IF('Design Fee'!EN124&gt;0,"✔","-")</f>
        <v>-</v>
      </c>
      <c r="BZ122" s="383"/>
    </row>
    <row r="123" spans="1:78" s="95" customFormat="1" ht="12.75" outlineLevel="2">
      <c r="A123" s="468" t="str">
        <f t="shared" si="405"/>
        <v>T06S - Habitable Level 01 - 02</v>
      </c>
      <c r="B123" s="481" t="s">
        <v>131</v>
      </c>
      <c r="C123" s="469">
        <v>4</v>
      </c>
      <c r="D123" s="470" t="s">
        <v>88</v>
      </c>
      <c r="E123" s="468"/>
      <c r="F123" s="443">
        <f t="shared" si="402"/>
        <v>3</v>
      </c>
      <c r="G123" s="444">
        <f t="shared" si="403"/>
        <v>3</v>
      </c>
      <c r="H123" s="444">
        <f t="shared" si="403"/>
        <v>1</v>
      </c>
      <c r="I123" s="444">
        <f t="shared" si="404"/>
        <v>0</v>
      </c>
      <c r="J123" s="475"/>
      <c r="K123" s="471"/>
      <c r="L123" s="472"/>
      <c r="M123" s="443" t="str">
        <f>IF('Design Fee'!W125&gt;0,"✔","-")</f>
        <v>✔</v>
      </c>
      <c r="N123" s="443" t="str">
        <f>IF('Design Fee'!X125&gt;0,"✔","-")</f>
        <v>✔</v>
      </c>
      <c r="O123" s="466" t="str">
        <f>IF('Design Fee'!Y125&gt;0,"✔","-")</f>
        <v>-</v>
      </c>
      <c r="P123" s="466" t="str">
        <f>IF('Design Fee'!Z125&gt;0,"✔","-")</f>
        <v>✔</v>
      </c>
      <c r="Q123" s="466" t="str">
        <f>IF('Design Fee'!AA125&gt;0,"✔","-")</f>
        <v>✔</v>
      </c>
      <c r="R123" s="466" t="str">
        <f>IF('Design Fee'!AB125&gt;0,"✔","-")</f>
        <v>-</v>
      </c>
      <c r="S123" s="466" t="str">
        <f>IF('Design Fee'!AC125&gt;0,"✔","-")</f>
        <v>-</v>
      </c>
      <c r="T123" s="466" t="str">
        <f>IF('Design Fee'!AD125&gt;0,"✔","-")</f>
        <v>-</v>
      </c>
      <c r="U123" s="475"/>
      <c r="V123" s="444" t="str">
        <f>IF('Design Fee'!AF125&gt;0,"✔","-")</f>
        <v>✔</v>
      </c>
      <c r="W123" s="444" t="str">
        <f>IF('Design Fee'!AG125&gt;0,"✔","-")</f>
        <v>✔</v>
      </c>
      <c r="X123" s="444" t="str">
        <f>IF('Design Fee'!AH125&gt;0,"✔","-")</f>
        <v>-</v>
      </c>
      <c r="Y123" s="444" t="str">
        <f>IF('Design Fee'!AI125&gt;0,"✔","-")</f>
        <v>-</v>
      </c>
      <c r="Z123" s="444" t="str">
        <f>IF('Design Fee'!AJ125&gt;0,"✔","-")</f>
        <v>-</v>
      </c>
      <c r="AA123" s="475"/>
      <c r="AB123" s="471"/>
      <c r="AC123" s="472"/>
      <c r="AD123" s="443" t="str">
        <f>IF('Design Fee'!BG125&gt;0,"✔","-")</f>
        <v>✔</v>
      </c>
      <c r="AE123" s="443" t="str">
        <f>IF('Design Fee'!BH125&gt;0,"✔","-")</f>
        <v>✔</v>
      </c>
      <c r="AF123" s="466" t="str">
        <f>IF('Design Fee'!BI125&gt;0,"✔","-")</f>
        <v>✔</v>
      </c>
      <c r="AG123" s="466" t="str">
        <f>IF('Design Fee'!BJ125&gt;0,"✔","-")</f>
        <v>-</v>
      </c>
      <c r="AH123" s="466" t="str">
        <f>IF('Design Fee'!BK125&gt;0,"✔","-")</f>
        <v>-</v>
      </c>
      <c r="AI123" s="466" t="str">
        <f>IF('Design Fee'!BL125&gt;0,"✔","-")</f>
        <v>-</v>
      </c>
      <c r="AJ123" s="466" t="str">
        <f>IF('Design Fee'!BM125&gt;0,"✔","-")</f>
        <v>-</v>
      </c>
      <c r="AK123" s="466" t="str">
        <f>IF('Design Fee'!BN125&gt;0,"✔","-")</f>
        <v>-</v>
      </c>
      <c r="AL123" s="476"/>
      <c r="AM123" s="444" t="str">
        <f>IF('Design Fee'!BP125&gt;0,"✔","-")</f>
        <v>-</v>
      </c>
      <c r="AN123" s="444" t="str">
        <f>IF('Design Fee'!BQ125&gt;0,"✔","-")</f>
        <v>-</v>
      </c>
      <c r="AO123" s="444" t="str">
        <f>IF('Design Fee'!BR125&gt;0,"✔","-")</f>
        <v>-</v>
      </c>
      <c r="AP123" s="444" t="str">
        <f>IF('Design Fee'!BS125&gt;0,"✔","-")</f>
        <v>-</v>
      </c>
      <c r="AQ123" s="444" t="str">
        <f>IF('Design Fee'!BT125&gt;0,"✔","-")</f>
        <v>-</v>
      </c>
      <c r="AR123" s="476"/>
      <c r="AS123" s="471"/>
      <c r="AT123" s="472"/>
      <c r="AU123" s="443" t="str">
        <f>IF('Design Fee'!CQ125&gt;0,"✔","-")</f>
        <v>✔</v>
      </c>
      <c r="AV123" s="443" t="str">
        <f>IF('Design Fee'!CR125&gt;0,"✔","-")</f>
        <v>✔</v>
      </c>
      <c r="AW123" s="466" t="str">
        <f>IF('Design Fee'!CS125&gt;0,"✔","-")</f>
        <v>-</v>
      </c>
      <c r="AX123" s="466" t="str">
        <f>IF('Design Fee'!CT125&gt;0,"✔","-")</f>
        <v>✔</v>
      </c>
      <c r="AY123" s="466" t="str">
        <f>IF('Design Fee'!CU125&gt;0,"✔","-")</f>
        <v>✔</v>
      </c>
      <c r="AZ123" s="466" t="str">
        <f>IF('Design Fee'!CV125&gt;0,"✔","-")</f>
        <v>-</v>
      </c>
      <c r="BA123" s="466" t="str">
        <f>IF('Design Fee'!CW125&gt;0,"✔","-")</f>
        <v>-</v>
      </c>
      <c r="BB123" s="466" t="str">
        <f>IF('Design Fee'!CX125&gt;0,"✔","-")</f>
        <v>-</v>
      </c>
      <c r="BC123" s="476"/>
      <c r="BD123" s="444" t="str">
        <f>IF('Design Fee'!CZ125&gt;0,"✔","-")</f>
        <v>✔</v>
      </c>
      <c r="BE123" s="444" t="str">
        <f>IF('Design Fee'!DA125&gt;0,"✔","-")</f>
        <v>-</v>
      </c>
      <c r="BF123" s="444" t="str">
        <f>IF('Design Fee'!DB125&gt;0,"✔","-")</f>
        <v>✔</v>
      </c>
      <c r="BG123" s="444" t="str">
        <f>IF('Design Fee'!DC125&gt;0,"✔","-")</f>
        <v>-</v>
      </c>
      <c r="BH123" s="444" t="str">
        <f>IF('Design Fee'!DD125&gt;0,"✔","-")</f>
        <v>-</v>
      </c>
      <c r="BI123" s="476"/>
      <c r="BJ123" s="471"/>
      <c r="BK123" s="472"/>
      <c r="BL123" s="443" t="str">
        <f>IF('Design Fee'!EA125&gt;0,"✔","-")</f>
        <v>-</v>
      </c>
      <c r="BM123" s="443" t="str">
        <f>IF('Design Fee'!EB125&gt;0,"✔","-")</f>
        <v>-</v>
      </c>
      <c r="BN123" s="466" t="str">
        <f>IF('Design Fee'!EC125&gt;0,"✔","-")</f>
        <v>-</v>
      </c>
      <c r="BO123" s="466" t="str">
        <f>IF('Design Fee'!ED125&gt;0,"✔","-")</f>
        <v>-</v>
      </c>
      <c r="BP123" s="466" t="str">
        <f>IF('Design Fee'!EE125&gt;0,"✔","-")</f>
        <v>-</v>
      </c>
      <c r="BQ123" s="466" t="str">
        <f>IF('Design Fee'!EF125&gt;0,"✔","-")</f>
        <v>-</v>
      </c>
      <c r="BR123" s="466" t="str">
        <f>IF('Design Fee'!EG125&gt;0,"✔","-")</f>
        <v>-</v>
      </c>
      <c r="BS123" s="466" t="str">
        <f>IF('Design Fee'!EH125&gt;0,"✔","-")</f>
        <v>-</v>
      </c>
      <c r="BT123" s="468"/>
      <c r="BU123" s="444" t="str">
        <f>IF('Design Fee'!EJ125&gt;0,"✔","-")</f>
        <v>-</v>
      </c>
      <c r="BV123" s="444" t="str">
        <f>IF('Design Fee'!EK125&gt;0,"✔","-")</f>
        <v>-</v>
      </c>
      <c r="BW123" s="444" t="str">
        <f>IF('Design Fee'!EL125&gt;0,"✔","-")</f>
        <v>-</v>
      </c>
      <c r="BX123" s="444" t="str">
        <f>IF('Design Fee'!EM125&gt;0,"✔","-")</f>
        <v>-</v>
      </c>
      <c r="BY123" s="444" t="str">
        <f>IF('Design Fee'!EN125&gt;0,"✔","-")</f>
        <v>-</v>
      </c>
      <c r="BZ123" s="383"/>
    </row>
    <row r="124" spans="1:78" ht="12.75" outlineLevel="2">
      <c r="A124" s="468" t="str">
        <f t="shared" si="405"/>
        <v>T06S - Habitable Level - 03 - 06</v>
      </c>
      <c r="B124" s="481" t="s">
        <v>132</v>
      </c>
      <c r="C124" s="464">
        <v>5</v>
      </c>
      <c r="D124" s="465" t="s">
        <v>90</v>
      </c>
      <c r="E124" s="383"/>
      <c r="F124" s="443">
        <f t="shared" si="402"/>
        <v>2</v>
      </c>
      <c r="G124" s="444">
        <f t="shared" si="403"/>
        <v>2</v>
      </c>
      <c r="H124" s="444">
        <f t="shared" si="403"/>
        <v>1</v>
      </c>
      <c r="I124" s="444">
        <f t="shared" si="404"/>
        <v>0</v>
      </c>
      <c r="J124" s="467"/>
      <c r="K124" s="441"/>
      <c r="L124" s="442"/>
      <c r="M124" s="443" t="str">
        <f>IF('Design Fee'!W126&gt;0,"✔","-")</f>
        <v>✔</v>
      </c>
      <c r="N124" s="443" t="str">
        <f>IF('Design Fee'!X126&gt;0,"✔","-")</f>
        <v>✔</v>
      </c>
      <c r="O124" s="444" t="str">
        <f>IF('Design Fee'!Y126&gt;0,"✔","-")</f>
        <v>-</v>
      </c>
      <c r="P124" s="444" t="str">
        <f>IF('Design Fee'!Z126&gt;0,"✔","-")</f>
        <v>✔</v>
      </c>
      <c r="Q124" s="444" t="str">
        <f>IF('Design Fee'!AA126&gt;0,"✔","-")</f>
        <v>✔</v>
      </c>
      <c r="R124" s="444" t="str">
        <f>IF('Design Fee'!AB126&gt;0,"✔","-")</f>
        <v>-</v>
      </c>
      <c r="S124" s="444" t="str">
        <f>IF('Design Fee'!AC126&gt;0,"✔","-")</f>
        <v>-</v>
      </c>
      <c r="T124" s="466" t="str">
        <f>IF('Design Fee'!AD126&gt;0,"✔","-")</f>
        <v>-</v>
      </c>
      <c r="U124" s="467"/>
      <c r="V124" s="444" t="str">
        <f>IF('Design Fee'!AF126&gt;0,"✔","-")</f>
        <v>✔</v>
      </c>
      <c r="W124" s="444" t="str">
        <f>IF('Design Fee'!AG126&gt;0,"✔","-")</f>
        <v>✔</v>
      </c>
      <c r="X124" s="444" t="str">
        <f>IF('Design Fee'!AH126&gt;0,"✔","-")</f>
        <v>-</v>
      </c>
      <c r="Y124" s="444" t="str">
        <f>IF('Design Fee'!AI126&gt;0,"✔","-")</f>
        <v>-</v>
      </c>
      <c r="Z124" s="444" t="str">
        <f>IF('Design Fee'!AJ126&gt;0,"✔","-")</f>
        <v>-</v>
      </c>
      <c r="AA124" s="467"/>
      <c r="AB124" s="441"/>
      <c r="AC124" s="442"/>
      <c r="AD124" s="443" t="str">
        <f>IF('Design Fee'!BG126&gt;0,"✔","-")</f>
        <v>✔</v>
      </c>
      <c r="AE124" s="443" t="str">
        <f>IF('Design Fee'!BH126&gt;0,"✔","-")</f>
        <v>✔</v>
      </c>
      <c r="AF124" s="444" t="str">
        <f>IF('Design Fee'!BI126&gt;0,"✔","-")</f>
        <v>✔</v>
      </c>
      <c r="AG124" s="444" t="str">
        <f>IF('Design Fee'!BJ126&gt;0,"✔","-")</f>
        <v>-</v>
      </c>
      <c r="AH124" s="444" t="str">
        <f>IF('Design Fee'!BK126&gt;0,"✔","-")</f>
        <v>-</v>
      </c>
      <c r="AI124" s="444" t="str">
        <f>IF('Design Fee'!BL126&gt;0,"✔","-")</f>
        <v>-</v>
      </c>
      <c r="AJ124" s="444" t="str">
        <f>IF('Design Fee'!BM126&gt;0,"✔","-")</f>
        <v>-</v>
      </c>
      <c r="AK124" s="466" t="str">
        <f>IF('Design Fee'!BN126&gt;0,"✔","-")</f>
        <v>-</v>
      </c>
      <c r="AL124" s="445"/>
      <c r="AM124" s="444" t="str">
        <f>IF('Design Fee'!BP126&gt;0,"✔","-")</f>
        <v>-</v>
      </c>
      <c r="AN124" s="444" t="str">
        <f>IF('Design Fee'!BQ126&gt;0,"✔","-")</f>
        <v>-</v>
      </c>
      <c r="AO124" s="444" t="str">
        <f>IF('Design Fee'!BR126&gt;0,"✔","-")</f>
        <v>-</v>
      </c>
      <c r="AP124" s="444" t="str">
        <f>IF('Design Fee'!BS126&gt;0,"✔","-")</f>
        <v>-</v>
      </c>
      <c r="AQ124" s="444" t="str">
        <f>IF('Design Fee'!BT126&gt;0,"✔","-")</f>
        <v>-</v>
      </c>
      <c r="AR124" s="445"/>
      <c r="AS124" s="441"/>
      <c r="AT124" s="442"/>
      <c r="AU124" s="443" t="str">
        <f>IF('Design Fee'!CQ126&gt;0,"✔","-")</f>
        <v>-</v>
      </c>
      <c r="AV124" s="443" t="str">
        <f>IF('Design Fee'!CR126&gt;0,"✔","-")</f>
        <v>-</v>
      </c>
      <c r="AW124" s="444" t="str">
        <f>IF('Design Fee'!CS126&gt;0,"✔","-")</f>
        <v>-</v>
      </c>
      <c r="AX124" s="444" t="str">
        <f>IF('Design Fee'!CT126&gt;0,"✔","-")</f>
        <v>-</v>
      </c>
      <c r="AY124" s="444" t="str">
        <f>IF('Design Fee'!CU126&gt;0,"✔","-")</f>
        <v>-</v>
      </c>
      <c r="AZ124" s="444" t="str">
        <f>IF('Design Fee'!CV126&gt;0,"✔","-")</f>
        <v>-</v>
      </c>
      <c r="BA124" s="444" t="str">
        <f>IF('Design Fee'!CW126&gt;0,"✔","-")</f>
        <v>-</v>
      </c>
      <c r="BB124" s="466" t="str">
        <f>IF('Design Fee'!CX126&gt;0,"✔","-")</f>
        <v>-</v>
      </c>
      <c r="BC124" s="445"/>
      <c r="BD124" s="444" t="str">
        <f>IF('Design Fee'!CZ126&gt;0,"✔","-")</f>
        <v>-</v>
      </c>
      <c r="BE124" s="444" t="str">
        <f>IF('Design Fee'!DA126&gt;0,"✔","-")</f>
        <v>-</v>
      </c>
      <c r="BF124" s="444" t="str">
        <f>IF('Design Fee'!DB126&gt;0,"✔","-")</f>
        <v>-</v>
      </c>
      <c r="BG124" s="444" t="str">
        <f>IF('Design Fee'!DC126&gt;0,"✔","-")</f>
        <v>-</v>
      </c>
      <c r="BH124" s="444" t="str">
        <f>IF('Design Fee'!DD126&gt;0,"✔","-")</f>
        <v>-</v>
      </c>
      <c r="BI124" s="445"/>
      <c r="BJ124" s="441"/>
      <c r="BK124" s="442"/>
      <c r="BL124" s="443" t="str">
        <f>IF('Design Fee'!EA126&gt;0,"✔","-")</f>
        <v>-</v>
      </c>
      <c r="BM124" s="443" t="str">
        <f>IF('Design Fee'!EB126&gt;0,"✔","-")</f>
        <v>-</v>
      </c>
      <c r="BN124" s="444" t="str">
        <f>IF('Design Fee'!EC126&gt;0,"✔","-")</f>
        <v>-</v>
      </c>
      <c r="BO124" s="444" t="str">
        <f>IF('Design Fee'!ED126&gt;0,"✔","-")</f>
        <v>-</v>
      </c>
      <c r="BP124" s="444" t="str">
        <f>IF('Design Fee'!EE126&gt;0,"✔","-")</f>
        <v>-</v>
      </c>
      <c r="BQ124" s="444" t="str">
        <f>IF('Design Fee'!EF126&gt;0,"✔","-")</f>
        <v>-</v>
      </c>
      <c r="BR124" s="444" t="str">
        <f>IF('Design Fee'!EG126&gt;0,"✔","-")</f>
        <v>-</v>
      </c>
      <c r="BS124" s="466" t="str">
        <f>IF('Design Fee'!EH126&gt;0,"✔","-")</f>
        <v>-</v>
      </c>
      <c r="BT124" s="383"/>
      <c r="BU124" s="444" t="str">
        <f>IF('Design Fee'!EJ126&gt;0,"✔","-")</f>
        <v>-</v>
      </c>
      <c r="BV124" s="444" t="str">
        <f>IF('Design Fee'!EK126&gt;0,"✔","-")</f>
        <v>-</v>
      </c>
      <c r="BW124" s="444" t="str">
        <f>IF('Design Fee'!EL126&gt;0,"✔","-")</f>
        <v>-</v>
      </c>
      <c r="BX124" s="444" t="str">
        <f>IF('Design Fee'!EM126&gt;0,"✔","-")</f>
        <v>-</v>
      </c>
      <c r="BY124" s="444" t="str">
        <f>IF('Design Fee'!EN126&gt;0,"✔","-")</f>
        <v>-</v>
      </c>
      <c r="BZ124" s="383"/>
    </row>
    <row r="125" spans="1:78" ht="12.75" outlineLevel="2">
      <c r="A125" s="468" t="str">
        <f t="shared" si="405"/>
        <v>T06S - Building Envelope and Common Areas [Typical Tower Levels]</v>
      </c>
      <c r="B125" s="481" t="s">
        <v>133</v>
      </c>
      <c r="C125" s="464">
        <v>6</v>
      </c>
      <c r="D125" s="465" t="s">
        <v>64</v>
      </c>
      <c r="E125" s="383"/>
      <c r="F125" s="443">
        <f t="shared" si="402"/>
        <v>3</v>
      </c>
      <c r="G125" s="444">
        <f t="shared" si="403"/>
        <v>3</v>
      </c>
      <c r="H125" s="444">
        <f t="shared" si="403"/>
        <v>2</v>
      </c>
      <c r="I125" s="444">
        <f t="shared" si="404"/>
        <v>0</v>
      </c>
      <c r="J125" s="467"/>
      <c r="K125" s="441"/>
      <c r="L125" s="442"/>
      <c r="M125" s="443" t="str">
        <f>IF('Design Fee'!W127&gt;0,"✔","-")</f>
        <v>✔</v>
      </c>
      <c r="N125" s="443" t="str">
        <f>IF('Design Fee'!X127&gt;0,"✔","-")</f>
        <v>✔</v>
      </c>
      <c r="O125" s="452" t="str">
        <f>IF('Design Fee'!Y127&gt;0,"✔","-")</f>
        <v>-</v>
      </c>
      <c r="P125" s="452" t="str">
        <f>IF('Design Fee'!Z127&gt;0,"✔","-")</f>
        <v>✔</v>
      </c>
      <c r="Q125" s="452" t="str">
        <f>IF('Design Fee'!AA127&gt;0,"✔","-")</f>
        <v>✔</v>
      </c>
      <c r="R125" s="452" t="str">
        <f>IF('Design Fee'!AB127&gt;0,"✔","-")</f>
        <v>-</v>
      </c>
      <c r="S125" s="452" t="str">
        <f>IF('Design Fee'!AC127&gt;0,"✔","-")</f>
        <v>-</v>
      </c>
      <c r="T125" s="466" t="str">
        <f>IF('Design Fee'!AD127&gt;0,"✔","-")</f>
        <v>-</v>
      </c>
      <c r="U125" s="467"/>
      <c r="V125" s="444" t="str">
        <f>IF('Design Fee'!AF127&gt;0,"✔","-")</f>
        <v>✔</v>
      </c>
      <c r="W125" s="444" t="str">
        <f>IF('Design Fee'!AG127&gt;0,"✔","-")</f>
        <v>✔</v>
      </c>
      <c r="X125" s="444" t="str">
        <f>IF('Design Fee'!AH127&gt;0,"✔","-")</f>
        <v>-</v>
      </c>
      <c r="Y125" s="444" t="str">
        <f>IF('Design Fee'!AI127&gt;0,"✔","-")</f>
        <v>-</v>
      </c>
      <c r="Z125" s="444" t="str">
        <f>IF('Design Fee'!AJ127&gt;0,"✔","-")</f>
        <v>-</v>
      </c>
      <c r="AA125" s="467"/>
      <c r="AB125" s="441"/>
      <c r="AC125" s="442"/>
      <c r="AD125" s="443" t="str">
        <f>IF('Design Fee'!BG127&gt;0,"✔","-")</f>
        <v>-</v>
      </c>
      <c r="AE125" s="443" t="str">
        <f>IF('Design Fee'!BH127&gt;0,"✔","-")</f>
        <v>-</v>
      </c>
      <c r="AF125" s="452" t="str">
        <f>IF('Design Fee'!BI127&gt;0,"✔","-")</f>
        <v>-</v>
      </c>
      <c r="AG125" s="452" t="str">
        <f>IF('Design Fee'!BJ127&gt;0,"✔","-")</f>
        <v>-</v>
      </c>
      <c r="AH125" s="452" t="str">
        <f>IF('Design Fee'!BK127&gt;0,"✔","-")</f>
        <v>-</v>
      </c>
      <c r="AI125" s="452" t="str">
        <f>IF('Design Fee'!BL127&gt;0,"✔","-")</f>
        <v>-</v>
      </c>
      <c r="AJ125" s="452" t="str">
        <f>IF('Design Fee'!BM127&gt;0,"✔","-")</f>
        <v>-</v>
      </c>
      <c r="AK125" s="466" t="str">
        <f>IF('Design Fee'!BN127&gt;0,"✔","-")</f>
        <v>-</v>
      </c>
      <c r="AL125" s="445"/>
      <c r="AM125" s="444" t="str">
        <f>IF('Design Fee'!BP127&gt;0,"✔","-")</f>
        <v>-</v>
      </c>
      <c r="AN125" s="444" t="str">
        <f>IF('Design Fee'!BQ127&gt;0,"✔","-")</f>
        <v>-</v>
      </c>
      <c r="AO125" s="444" t="str">
        <f>IF('Design Fee'!BR127&gt;0,"✔","-")</f>
        <v>-</v>
      </c>
      <c r="AP125" s="444" t="str">
        <f>IF('Design Fee'!BS127&gt;0,"✔","-")</f>
        <v>-</v>
      </c>
      <c r="AQ125" s="444" t="str">
        <f>IF('Design Fee'!BT127&gt;0,"✔","-")</f>
        <v>-</v>
      </c>
      <c r="AR125" s="445"/>
      <c r="AS125" s="441"/>
      <c r="AT125" s="442"/>
      <c r="AU125" s="443" t="str">
        <f>IF('Design Fee'!CQ127&gt;0,"✔","-")</f>
        <v>✔</v>
      </c>
      <c r="AV125" s="443" t="str">
        <f>IF('Design Fee'!CR127&gt;0,"✔","-")</f>
        <v>✔</v>
      </c>
      <c r="AW125" s="452" t="str">
        <f>IF('Design Fee'!CS127&gt;0,"✔","-")</f>
        <v>✔</v>
      </c>
      <c r="AX125" s="452" t="str">
        <f>IF('Design Fee'!CT127&gt;0,"✔","-")</f>
        <v>-</v>
      </c>
      <c r="AY125" s="452" t="str">
        <f>IF('Design Fee'!CU127&gt;0,"✔","-")</f>
        <v>-</v>
      </c>
      <c r="AZ125" s="452" t="str">
        <f>IF('Design Fee'!CV127&gt;0,"✔","-")</f>
        <v>-</v>
      </c>
      <c r="BA125" s="452" t="str">
        <f>IF('Design Fee'!CW127&gt;0,"✔","-")</f>
        <v>-</v>
      </c>
      <c r="BB125" s="466" t="str">
        <f>IF('Design Fee'!CX127&gt;0,"✔","-")</f>
        <v>-</v>
      </c>
      <c r="BC125" s="445"/>
      <c r="BD125" s="444" t="str">
        <f>IF('Design Fee'!CZ127&gt;0,"✔","-")</f>
        <v>-</v>
      </c>
      <c r="BE125" s="444" t="str">
        <f>IF('Design Fee'!DA127&gt;0,"✔","-")</f>
        <v>-</v>
      </c>
      <c r="BF125" s="444" t="str">
        <f>IF('Design Fee'!DB127&gt;0,"✔","-")</f>
        <v>-</v>
      </c>
      <c r="BG125" s="444" t="str">
        <f>IF('Design Fee'!DC127&gt;0,"✔","-")</f>
        <v>-</v>
      </c>
      <c r="BH125" s="444" t="str">
        <f>IF('Design Fee'!DD127&gt;0,"✔","-")</f>
        <v>-</v>
      </c>
      <c r="BI125" s="445"/>
      <c r="BJ125" s="441"/>
      <c r="BK125" s="442"/>
      <c r="BL125" s="443" t="str">
        <f>IF('Design Fee'!EA127&gt;0,"✔","-")</f>
        <v>✔</v>
      </c>
      <c r="BM125" s="443" t="str">
        <f>IF('Design Fee'!EB127&gt;0,"✔","-")</f>
        <v>✔</v>
      </c>
      <c r="BN125" s="452" t="str">
        <f>IF('Design Fee'!EC127&gt;0,"✔","-")</f>
        <v>✔</v>
      </c>
      <c r="BO125" s="452" t="str">
        <f>IF('Design Fee'!ED127&gt;0,"✔","-")</f>
        <v>-</v>
      </c>
      <c r="BP125" s="452" t="str">
        <f>IF('Design Fee'!EE127&gt;0,"✔","-")</f>
        <v>-</v>
      </c>
      <c r="BQ125" s="452" t="str">
        <f>IF('Design Fee'!EF127&gt;0,"✔","-")</f>
        <v>-</v>
      </c>
      <c r="BR125" s="452" t="str">
        <f>IF('Design Fee'!EG127&gt;0,"✔","-")</f>
        <v>-</v>
      </c>
      <c r="BS125" s="466" t="str">
        <f>IF('Design Fee'!EH127&gt;0,"✔","-")</f>
        <v>-</v>
      </c>
      <c r="BT125" s="383"/>
      <c r="BU125" s="444" t="str">
        <f>IF('Design Fee'!EJ127&gt;0,"✔","-")</f>
        <v>-</v>
      </c>
      <c r="BV125" s="444" t="str">
        <f>IF('Design Fee'!EK127&gt;0,"✔","-")</f>
        <v>-</v>
      </c>
      <c r="BW125" s="444" t="str">
        <f>IF('Design Fee'!EL127&gt;0,"✔","-")</f>
        <v>-</v>
      </c>
      <c r="BX125" s="444" t="str">
        <f>IF('Design Fee'!EM127&gt;0,"✔","-")</f>
        <v>-</v>
      </c>
      <c r="BY125" s="444" t="str">
        <f>IF('Design Fee'!EN127&gt;0,"✔","-")</f>
        <v>-</v>
      </c>
      <c r="BZ125" s="383"/>
    </row>
    <row r="126" spans="1:78" s="95" customFormat="1" ht="12.75" outlineLevel="2">
      <c r="A126" s="468" t="str">
        <f t="shared" si="405"/>
        <v>T06S - Penthouse Levels</v>
      </c>
      <c r="B126" s="481" t="s">
        <v>134</v>
      </c>
      <c r="C126" s="464">
        <v>7</v>
      </c>
      <c r="D126" s="470" t="s">
        <v>67</v>
      </c>
      <c r="E126" s="468"/>
      <c r="F126" s="443">
        <f t="shared" si="402"/>
        <v>3</v>
      </c>
      <c r="G126" s="444">
        <f t="shared" si="403"/>
        <v>3</v>
      </c>
      <c r="H126" s="444">
        <f t="shared" si="403"/>
        <v>2</v>
      </c>
      <c r="I126" s="444">
        <f t="shared" si="404"/>
        <v>0</v>
      </c>
      <c r="J126" s="480"/>
      <c r="K126" s="441"/>
      <c r="L126" s="472"/>
      <c r="M126" s="443" t="str">
        <f>IF('Design Fee'!W128&gt;0,"✔","-")</f>
        <v>✔</v>
      </c>
      <c r="N126" s="443" t="str">
        <f>IF('Design Fee'!X128&gt;0,"✔","-")</f>
        <v>✔</v>
      </c>
      <c r="O126" s="474" t="str">
        <f>IF('Design Fee'!Y128&gt;0,"✔","-")</f>
        <v>-</v>
      </c>
      <c r="P126" s="474" t="str">
        <f>IF('Design Fee'!Z128&gt;0,"✔","-")</f>
        <v>✔</v>
      </c>
      <c r="Q126" s="474" t="str">
        <f>IF('Design Fee'!AA128&gt;0,"✔","-")</f>
        <v>✔</v>
      </c>
      <c r="R126" s="474" t="str">
        <f>IF('Design Fee'!AB128&gt;0,"✔","-")</f>
        <v>-</v>
      </c>
      <c r="S126" s="474" t="str">
        <f>IF('Design Fee'!AC128&gt;0,"✔","-")</f>
        <v>-</v>
      </c>
      <c r="T126" s="466" t="str">
        <f>IF('Design Fee'!AD128&gt;0,"✔","-")</f>
        <v>-</v>
      </c>
      <c r="U126" s="480"/>
      <c r="V126" s="444" t="str">
        <f>IF('Design Fee'!AF128&gt;0,"✔","-")</f>
        <v>✔</v>
      </c>
      <c r="W126" s="444" t="str">
        <f>IF('Design Fee'!AG128&gt;0,"✔","-")</f>
        <v>✔</v>
      </c>
      <c r="X126" s="444" t="str">
        <f>IF('Design Fee'!AH128&gt;0,"✔","-")</f>
        <v>-</v>
      </c>
      <c r="Y126" s="444" t="str">
        <f>IF('Design Fee'!AI128&gt;0,"✔","-")</f>
        <v>-</v>
      </c>
      <c r="Z126" s="444" t="str">
        <f>IF('Design Fee'!AJ128&gt;0,"✔","-")</f>
        <v>-</v>
      </c>
      <c r="AA126" s="480"/>
      <c r="AB126" s="441"/>
      <c r="AC126" s="472"/>
      <c r="AD126" s="443" t="str">
        <f>IF('Design Fee'!BG128&gt;0,"✔","-")</f>
        <v>✔</v>
      </c>
      <c r="AE126" s="443" t="str">
        <f>IF('Design Fee'!BH128&gt;0,"✔","-")</f>
        <v>✔</v>
      </c>
      <c r="AF126" s="474" t="str">
        <f>IF('Design Fee'!BI128&gt;0,"✔","-")</f>
        <v>✔</v>
      </c>
      <c r="AG126" s="474" t="str">
        <f>IF('Design Fee'!BJ128&gt;0,"✔","-")</f>
        <v>-</v>
      </c>
      <c r="AH126" s="474" t="str">
        <f>IF('Design Fee'!BK128&gt;0,"✔","-")</f>
        <v>-</v>
      </c>
      <c r="AI126" s="474" t="str">
        <f>IF('Design Fee'!BL128&gt;0,"✔","-")</f>
        <v>-</v>
      </c>
      <c r="AJ126" s="474" t="str">
        <f>IF('Design Fee'!BM128&gt;0,"✔","-")</f>
        <v>-</v>
      </c>
      <c r="AK126" s="466" t="str">
        <f>IF('Design Fee'!BN128&gt;0,"✔","-")</f>
        <v>-</v>
      </c>
      <c r="AL126" s="476"/>
      <c r="AM126" s="444" t="str">
        <f>IF('Design Fee'!BP128&gt;0,"✔","-")</f>
        <v>-</v>
      </c>
      <c r="AN126" s="444" t="str">
        <f>IF('Design Fee'!BQ128&gt;0,"✔","-")</f>
        <v>-</v>
      </c>
      <c r="AO126" s="444" t="str">
        <f>IF('Design Fee'!BR128&gt;0,"✔","-")</f>
        <v>-</v>
      </c>
      <c r="AP126" s="444" t="str">
        <f>IF('Design Fee'!BS128&gt;0,"✔","-")</f>
        <v>-</v>
      </c>
      <c r="AQ126" s="444" t="str">
        <f>IF('Design Fee'!BT128&gt;0,"✔","-")</f>
        <v>-</v>
      </c>
      <c r="AR126" s="476"/>
      <c r="AS126" s="441"/>
      <c r="AT126" s="472"/>
      <c r="AU126" s="443" t="str">
        <f>IF('Design Fee'!CQ128&gt;0,"✔","-")</f>
        <v>✔</v>
      </c>
      <c r="AV126" s="443" t="str">
        <f>IF('Design Fee'!CR128&gt;0,"✔","-")</f>
        <v>✔</v>
      </c>
      <c r="AW126" s="474" t="str">
        <f>IF('Design Fee'!CS128&gt;0,"✔","-")</f>
        <v>✔</v>
      </c>
      <c r="AX126" s="474" t="str">
        <f>IF('Design Fee'!CT128&gt;0,"✔","-")</f>
        <v>-</v>
      </c>
      <c r="AY126" s="474" t="str">
        <f>IF('Design Fee'!CU128&gt;0,"✔","-")</f>
        <v>-</v>
      </c>
      <c r="AZ126" s="474" t="str">
        <f>IF('Design Fee'!CV128&gt;0,"✔","-")</f>
        <v>-</v>
      </c>
      <c r="BA126" s="474" t="str">
        <f>IF('Design Fee'!CW128&gt;0,"✔","-")</f>
        <v>-</v>
      </c>
      <c r="BB126" s="466" t="str">
        <f>IF('Design Fee'!CX128&gt;0,"✔","-")</f>
        <v>-</v>
      </c>
      <c r="BC126" s="476"/>
      <c r="BD126" s="444" t="str">
        <f>IF('Design Fee'!CZ128&gt;0,"✔","-")</f>
        <v>-</v>
      </c>
      <c r="BE126" s="444" t="str">
        <f>IF('Design Fee'!DA128&gt;0,"✔","-")</f>
        <v>-</v>
      </c>
      <c r="BF126" s="444" t="str">
        <f>IF('Design Fee'!DB128&gt;0,"✔","-")</f>
        <v>-</v>
      </c>
      <c r="BG126" s="444" t="str">
        <f>IF('Design Fee'!DC128&gt;0,"✔","-")</f>
        <v>-</v>
      </c>
      <c r="BH126" s="444" t="str">
        <f>IF('Design Fee'!DD128&gt;0,"✔","-")</f>
        <v>-</v>
      </c>
      <c r="BI126" s="476"/>
      <c r="BJ126" s="441"/>
      <c r="BK126" s="472"/>
      <c r="BL126" s="443" t="str">
        <f>IF('Design Fee'!EA128&gt;0,"✔","-")</f>
        <v>-</v>
      </c>
      <c r="BM126" s="443" t="str">
        <f>IF('Design Fee'!EB128&gt;0,"✔","-")</f>
        <v>-</v>
      </c>
      <c r="BN126" s="474" t="str">
        <f>IF('Design Fee'!EC128&gt;0,"✔","-")</f>
        <v>-</v>
      </c>
      <c r="BO126" s="474" t="str">
        <f>IF('Design Fee'!ED128&gt;0,"✔","-")</f>
        <v>-</v>
      </c>
      <c r="BP126" s="474" t="str">
        <f>IF('Design Fee'!EE128&gt;0,"✔","-")</f>
        <v>-</v>
      </c>
      <c r="BQ126" s="474" t="str">
        <f>IF('Design Fee'!EF128&gt;0,"✔","-")</f>
        <v>-</v>
      </c>
      <c r="BR126" s="474" t="str">
        <f>IF('Design Fee'!EG128&gt;0,"✔","-")</f>
        <v>-</v>
      </c>
      <c r="BS126" s="466" t="str">
        <f>IF('Design Fee'!EH128&gt;0,"✔","-")</f>
        <v>-</v>
      </c>
      <c r="BT126" s="468"/>
      <c r="BU126" s="444" t="str">
        <f>IF('Design Fee'!EJ128&gt;0,"✔","-")</f>
        <v>-</v>
      </c>
      <c r="BV126" s="444" t="str">
        <f>IF('Design Fee'!EK128&gt;0,"✔","-")</f>
        <v>-</v>
      </c>
      <c r="BW126" s="444" t="str">
        <f>IF('Design Fee'!EL128&gt;0,"✔","-")</f>
        <v>-</v>
      </c>
      <c r="BX126" s="444" t="str">
        <f>IF('Design Fee'!EM128&gt;0,"✔","-")</f>
        <v>-</v>
      </c>
      <c r="BY126" s="444" t="str">
        <f>IF('Design Fee'!EN128&gt;0,"✔","-")</f>
        <v>-</v>
      </c>
      <c r="BZ126" s="383"/>
    </row>
    <row r="127" spans="1:78" s="95" customFormat="1" ht="12.75" outlineLevel="2">
      <c r="A127" s="468" t="str">
        <f t="shared" si="405"/>
        <v>T06S - Terrace Level</v>
      </c>
      <c r="B127" s="481" t="s">
        <v>135</v>
      </c>
      <c r="C127" s="464">
        <v>8</v>
      </c>
      <c r="D127" s="470" t="s">
        <v>69</v>
      </c>
      <c r="E127" s="468"/>
      <c r="F127" s="443">
        <f t="shared" si="402"/>
        <v>3</v>
      </c>
      <c r="G127" s="444">
        <f t="shared" si="403"/>
        <v>3</v>
      </c>
      <c r="H127" s="444">
        <f t="shared" si="403"/>
        <v>2</v>
      </c>
      <c r="I127" s="444">
        <f t="shared" si="404"/>
        <v>0</v>
      </c>
      <c r="J127" s="480"/>
      <c r="K127" s="471"/>
      <c r="L127" s="472"/>
      <c r="M127" s="443" t="str">
        <f>IF('Design Fee'!W129&gt;0,"✔","-")</f>
        <v>✔</v>
      </c>
      <c r="N127" s="443" t="str">
        <f>IF('Design Fee'!X129&gt;0,"✔","-")</f>
        <v>✔</v>
      </c>
      <c r="O127" s="474" t="str">
        <f>IF('Design Fee'!Y129&gt;0,"✔","-")</f>
        <v>-</v>
      </c>
      <c r="P127" s="474" t="str">
        <f>IF('Design Fee'!Z129&gt;0,"✔","-")</f>
        <v>✔</v>
      </c>
      <c r="Q127" s="474" t="str">
        <f>IF('Design Fee'!AA129&gt;0,"✔","-")</f>
        <v>✔</v>
      </c>
      <c r="R127" s="474" t="str">
        <f>IF('Design Fee'!AB129&gt;0,"✔","-")</f>
        <v>-</v>
      </c>
      <c r="S127" s="474" t="str">
        <f>IF('Design Fee'!AC129&gt;0,"✔","-")</f>
        <v>-</v>
      </c>
      <c r="T127" s="466" t="str">
        <f>IF('Design Fee'!AD129&gt;0,"✔","-")</f>
        <v>-</v>
      </c>
      <c r="U127" s="480"/>
      <c r="V127" s="444" t="str">
        <f>IF('Design Fee'!AF129&gt;0,"✔","-")</f>
        <v>✔</v>
      </c>
      <c r="W127" s="444" t="str">
        <f>IF('Design Fee'!AG129&gt;0,"✔","-")</f>
        <v>✔</v>
      </c>
      <c r="X127" s="444" t="str">
        <f>IF('Design Fee'!AH129&gt;0,"✔","-")</f>
        <v>-</v>
      </c>
      <c r="Y127" s="444" t="str">
        <f>IF('Design Fee'!AI129&gt;0,"✔","-")</f>
        <v>-</v>
      </c>
      <c r="Z127" s="444" t="str">
        <f>IF('Design Fee'!AJ129&gt;0,"✔","-")</f>
        <v>-</v>
      </c>
      <c r="AA127" s="480"/>
      <c r="AB127" s="471"/>
      <c r="AC127" s="472"/>
      <c r="AD127" s="443" t="str">
        <f>IF('Design Fee'!BG129&gt;0,"✔","-")</f>
        <v>✔</v>
      </c>
      <c r="AE127" s="443" t="str">
        <f>IF('Design Fee'!BH129&gt;0,"✔","-")</f>
        <v>✔</v>
      </c>
      <c r="AF127" s="474" t="str">
        <f>IF('Design Fee'!BI129&gt;0,"✔","-")</f>
        <v>✔</v>
      </c>
      <c r="AG127" s="474" t="str">
        <f>IF('Design Fee'!BJ129&gt;0,"✔","-")</f>
        <v>-</v>
      </c>
      <c r="AH127" s="474" t="str">
        <f>IF('Design Fee'!BK129&gt;0,"✔","-")</f>
        <v>-</v>
      </c>
      <c r="AI127" s="474" t="str">
        <f>IF('Design Fee'!BL129&gt;0,"✔","-")</f>
        <v>-</v>
      </c>
      <c r="AJ127" s="474" t="str">
        <f>IF('Design Fee'!BM129&gt;0,"✔","-")</f>
        <v>-</v>
      </c>
      <c r="AK127" s="466" t="str">
        <f>IF('Design Fee'!BN129&gt;0,"✔","-")</f>
        <v>-</v>
      </c>
      <c r="AL127" s="476"/>
      <c r="AM127" s="444" t="str">
        <f>IF('Design Fee'!BP129&gt;0,"✔","-")</f>
        <v>-</v>
      </c>
      <c r="AN127" s="444" t="str">
        <f>IF('Design Fee'!BQ129&gt;0,"✔","-")</f>
        <v>-</v>
      </c>
      <c r="AO127" s="444" t="str">
        <f>IF('Design Fee'!BR129&gt;0,"✔","-")</f>
        <v>-</v>
      </c>
      <c r="AP127" s="444" t="str">
        <f>IF('Design Fee'!BS129&gt;0,"✔","-")</f>
        <v>-</v>
      </c>
      <c r="AQ127" s="444" t="str">
        <f>IF('Design Fee'!BT129&gt;0,"✔","-")</f>
        <v>-</v>
      </c>
      <c r="AR127" s="476"/>
      <c r="AS127" s="471"/>
      <c r="AT127" s="472"/>
      <c r="AU127" s="443" t="str">
        <f>IF('Design Fee'!CQ129&gt;0,"✔","-")</f>
        <v>✔</v>
      </c>
      <c r="AV127" s="443" t="str">
        <f>IF('Design Fee'!CR129&gt;0,"✔","-")</f>
        <v>✔</v>
      </c>
      <c r="AW127" s="474" t="str">
        <f>IF('Design Fee'!CS129&gt;0,"✔","-")</f>
        <v>✔</v>
      </c>
      <c r="AX127" s="474" t="str">
        <f>IF('Design Fee'!CT129&gt;0,"✔","-")</f>
        <v>-</v>
      </c>
      <c r="AY127" s="474" t="str">
        <f>IF('Design Fee'!CU129&gt;0,"✔","-")</f>
        <v>-</v>
      </c>
      <c r="AZ127" s="474" t="str">
        <f>IF('Design Fee'!CV129&gt;0,"✔","-")</f>
        <v>-</v>
      </c>
      <c r="BA127" s="474" t="str">
        <f>IF('Design Fee'!CW129&gt;0,"✔","-")</f>
        <v>-</v>
      </c>
      <c r="BB127" s="466" t="str">
        <f>IF('Design Fee'!CX129&gt;0,"✔","-")</f>
        <v>-</v>
      </c>
      <c r="BC127" s="476"/>
      <c r="BD127" s="444" t="str">
        <f>IF('Design Fee'!CZ129&gt;0,"✔","-")</f>
        <v>-</v>
      </c>
      <c r="BE127" s="444" t="str">
        <f>IF('Design Fee'!DA129&gt;0,"✔","-")</f>
        <v>-</v>
      </c>
      <c r="BF127" s="444" t="str">
        <f>IF('Design Fee'!DB129&gt;0,"✔","-")</f>
        <v>-</v>
      </c>
      <c r="BG127" s="444" t="str">
        <f>IF('Design Fee'!DC129&gt;0,"✔","-")</f>
        <v>-</v>
      </c>
      <c r="BH127" s="444" t="str">
        <f>IF('Design Fee'!DD129&gt;0,"✔","-")</f>
        <v>-</v>
      </c>
      <c r="BI127" s="476"/>
      <c r="BJ127" s="471"/>
      <c r="BK127" s="472"/>
      <c r="BL127" s="443" t="str">
        <f>IF('Design Fee'!EA129&gt;0,"✔","-")</f>
        <v>-</v>
      </c>
      <c r="BM127" s="443" t="str">
        <f>IF('Design Fee'!EB129&gt;0,"✔","-")</f>
        <v>-</v>
      </c>
      <c r="BN127" s="474" t="str">
        <f>IF('Design Fee'!EC129&gt;0,"✔","-")</f>
        <v>-</v>
      </c>
      <c r="BO127" s="474" t="str">
        <f>IF('Design Fee'!ED129&gt;0,"✔","-")</f>
        <v>-</v>
      </c>
      <c r="BP127" s="474" t="str">
        <f>IF('Design Fee'!EE129&gt;0,"✔","-")</f>
        <v>-</v>
      </c>
      <c r="BQ127" s="474" t="str">
        <f>IF('Design Fee'!EF129&gt;0,"✔","-")</f>
        <v>-</v>
      </c>
      <c r="BR127" s="474" t="str">
        <f>IF('Design Fee'!EG129&gt;0,"✔","-")</f>
        <v>-</v>
      </c>
      <c r="BS127" s="466" t="str">
        <f>IF('Design Fee'!EH129&gt;0,"✔","-")</f>
        <v>-</v>
      </c>
      <c r="BT127" s="468"/>
      <c r="BU127" s="444" t="str">
        <f>IF('Design Fee'!EJ129&gt;0,"✔","-")</f>
        <v>-</v>
      </c>
      <c r="BV127" s="444" t="str">
        <f>IF('Design Fee'!EK129&gt;0,"✔","-")</f>
        <v>-</v>
      </c>
      <c r="BW127" s="444" t="str">
        <f>IF('Design Fee'!EL129&gt;0,"✔","-")</f>
        <v>-</v>
      </c>
      <c r="BX127" s="444" t="str">
        <f>IF('Design Fee'!EM129&gt;0,"✔","-")</f>
        <v>-</v>
      </c>
      <c r="BY127" s="444" t="str">
        <f>IF('Design Fee'!EN129&gt;0,"✔","-")</f>
        <v>-</v>
      </c>
      <c r="BZ127" s="383"/>
    </row>
    <row r="128" spans="1:78" ht="12.75" outlineLevel="2">
      <c r="A128" s="468" t="str">
        <f t="shared" si="405"/>
        <v>T06S - Building Envelope and Common Areas [Penthouse Levels And Terrace Level]</v>
      </c>
      <c r="B128" s="481" t="s">
        <v>136</v>
      </c>
      <c r="C128" s="464">
        <v>9</v>
      </c>
      <c r="D128" s="465" t="s">
        <v>71</v>
      </c>
      <c r="E128" s="383"/>
      <c r="F128" s="443">
        <f t="shared" si="402"/>
        <v>2</v>
      </c>
      <c r="G128" s="444">
        <f t="shared" si="403"/>
        <v>2</v>
      </c>
      <c r="H128" s="444">
        <f t="shared" si="403"/>
        <v>0</v>
      </c>
      <c r="I128" s="444">
        <f t="shared" si="404"/>
        <v>0</v>
      </c>
      <c r="J128" s="467"/>
      <c r="K128" s="471"/>
      <c r="L128" s="442"/>
      <c r="M128" s="443" t="str">
        <f>IF('Design Fee'!W130&gt;0,"✔","-")</f>
        <v>✔</v>
      </c>
      <c r="N128" s="443" t="str">
        <f>IF('Design Fee'!X130&gt;0,"✔","-")</f>
        <v>✔</v>
      </c>
      <c r="O128" s="452" t="str">
        <f>IF('Design Fee'!Y130&gt;0,"✔","-")</f>
        <v>-</v>
      </c>
      <c r="P128" s="452" t="str">
        <f>IF('Design Fee'!Z130&gt;0,"✔","-")</f>
        <v>✔</v>
      </c>
      <c r="Q128" s="452" t="str">
        <f>IF('Design Fee'!AA130&gt;0,"✔","-")</f>
        <v>✔</v>
      </c>
      <c r="R128" s="452" t="str">
        <f>IF('Design Fee'!AB130&gt;0,"✔","-")</f>
        <v>-</v>
      </c>
      <c r="S128" s="452" t="str">
        <f>IF('Design Fee'!AC130&gt;0,"✔","-")</f>
        <v>-</v>
      </c>
      <c r="T128" s="466" t="str">
        <f>IF('Design Fee'!AD130&gt;0,"✔","-")</f>
        <v>-</v>
      </c>
      <c r="U128" s="467"/>
      <c r="V128" s="444" t="str">
        <f>IF('Design Fee'!AF130&gt;0,"✔","-")</f>
        <v>✔</v>
      </c>
      <c r="W128" s="444" t="str">
        <f>IF('Design Fee'!AG130&gt;0,"✔","-")</f>
        <v>✔</v>
      </c>
      <c r="X128" s="444" t="str">
        <f>IF('Design Fee'!AH130&gt;0,"✔","-")</f>
        <v>-</v>
      </c>
      <c r="Y128" s="444" t="str">
        <f>IF('Design Fee'!AI130&gt;0,"✔","-")</f>
        <v>-</v>
      </c>
      <c r="Z128" s="444" t="str">
        <f>IF('Design Fee'!AJ130&gt;0,"✔","-")</f>
        <v>-</v>
      </c>
      <c r="AA128" s="467"/>
      <c r="AB128" s="471"/>
      <c r="AC128" s="442"/>
      <c r="AD128" s="443" t="str">
        <f>IF('Design Fee'!BG130&gt;0,"✔","-")</f>
        <v>-</v>
      </c>
      <c r="AE128" s="443" t="str">
        <f>IF('Design Fee'!BH130&gt;0,"✔","-")</f>
        <v>-</v>
      </c>
      <c r="AF128" s="452" t="str">
        <f>IF('Design Fee'!BI130&gt;0,"✔","-")</f>
        <v>-</v>
      </c>
      <c r="AG128" s="452" t="str">
        <f>IF('Design Fee'!BJ130&gt;0,"✔","-")</f>
        <v>-</v>
      </c>
      <c r="AH128" s="452" t="str">
        <f>IF('Design Fee'!BK130&gt;0,"✔","-")</f>
        <v>-</v>
      </c>
      <c r="AI128" s="452" t="str">
        <f>IF('Design Fee'!BL130&gt;0,"✔","-")</f>
        <v>-</v>
      </c>
      <c r="AJ128" s="452" t="str">
        <f>IF('Design Fee'!BM130&gt;0,"✔","-")</f>
        <v>-</v>
      </c>
      <c r="AK128" s="466" t="str">
        <f>IF('Design Fee'!BN130&gt;0,"✔","-")</f>
        <v>-</v>
      </c>
      <c r="AL128" s="445"/>
      <c r="AM128" s="444" t="str">
        <f>IF('Design Fee'!BP130&gt;0,"✔","-")</f>
        <v>-</v>
      </c>
      <c r="AN128" s="444" t="str">
        <f>IF('Design Fee'!BQ130&gt;0,"✔","-")</f>
        <v>-</v>
      </c>
      <c r="AO128" s="444" t="str">
        <f>IF('Design Fee'!BR130&gt;0,"✔","-")</f>
        <v>-</v>
      </c>
      <c r="AP128" s="444" t="str">
        <f>IF('Design Fee'!BS130&gt;0,"✔","-")</f>
        <v>-</v>
      </c>
      <c r="AQ128" s="444" t="str">
        <f>IF('Design Fee'!BT130&gt;0,"✔","-")</f>
        <v>-</v>
      </c>
      <c r="AR128" s="445"/>
      <c r="AS128" s="471"/>
      <c r="AT128" s="442"/>
      <c r="AU128" s="443" t="str">
        <f>IF('Design Fee'!CQ130&gt;0,"✔","-")</f>
        <v>-</v>
      </c>
      <c r="AV128" s="443" t="str">
        <f>IF('Design Fee'!CR130&gt;0,"✔","-")</f>
        <v>-</v>
      </c>
      <c r="AW128" s="452" t="str">
        <f>IF('Design Fee'!CS130&gt;0,"✔","-")</f>
        <v>-</v>
      </c>
      <c r="AX128" s="452" t="str">
        <f>IF('Design Fee'!CT130&gt;0,"✔","-")</f>
        <v>-</v>
      </c>
      <c r="AY128" s="452" t="str">
        <f>IF('Design Fee'!CU130&gt;0,"✔","-")</f>
        <v>-</v>
      </c>
      <c r="AZ128" s="452" t="str">
        <f>IF('Design Fee'!CV130&gt;0,"✔","-")</f>
        <v>-</v>
      </c>
      <c r="BA128" s="452" t="str">
        <f>IF('Design Fee'!CW130&gt;0,"✔","-")</f>
        <v>-</v>
      </c>
      <c r="BB128" s="466" t="str">
        <f>IF('Design Fee'!CX130&gt;0,"✔","-")</f>
        <v>-</v>
      </c>
      <c r="BC128" s="445"/>
      <c r="BD128" s="444" t="str">
        <f>IF('Design Fee'!CZ130&gt;0,"✔","-")</f>
        <v>-</v>
      </c>
      <c r="BE128" s="444" t="str">
        <f>IF('Design Fee'!DA130&gt;0,"✔","-")</f>
        <v>-</v>
      </c>
      <c r="BF128" s="444" t="str">
        <f>IF('Design Fee'!DB130&gt;0,"✔","-")</f>
        <v>-</v>
      </c>
      <c r="BG128" s="444" t="str">
        <f>IF('Design Fee'!DC130&gt;0,"✔","-")</f>
        <v>-</v>
      </c>
      <c r="BH128" s="444" t="str">
        <f>IF('Design Fee'!DD130&gt;0,"✔","-")</f>
        <v>-</v>
      </c>
      <c r="BI128" s="445"/>
      <c r="BJ128" s="471"/>
      <c r="BK128" s="442"/>
      <c r="BL128" s="443" t="str">
        <f>IF('Design Fee'!EA130&gt;0,"✔","-")</f>
        <v>✔</v>
      </c>
      <c r="BM128" s="443" t="str">
        <f>IF('Design Fee'!EB130&gt;0,"✔","-")</f>
        <v>✔</v>
      </c>
      <c r="BN128" s="452" t="str">
        <f>IF('Design Fee'!EC130&gt;0,"✔","-")</f>
        <v>-</v>
      </c>
      <c r="BO128" s="452" t="str">
        <f>IF('Design Fee'!ED130&gt;0,"✔","-")</f>
        <v>✔</v>
      </c>
      <c r="BP128" s="452" t="str">
        <f>IF('Design Fee'!EE130&gt;0,"✔","-")</f>
        <v>✔</v>
      </c>
      <c r="BQ128" s="452" t="str">
        <f>IF('Design Fee'!EF130&gt;0,"✔","-")</f>
        <v>-</v>
      </c>
      <c r="BR128" s="452" t="str">
        <f>IF('Design Fee'!EG130&gt;0,"✔","-")</f>
        <v>-</v>
      </c>
      <c r="BS128" s="466" t="str">
        <f>IF('Design Fee'!EH130&gt;0,"✔","-")</f>
        <v>-</v>
      </c>
      <c r="BT128" s="383"/>
      <c r="BU128" s="444" t="str">
        <f>IF('Design Fee'!EJ130&gt;0,"✔","-")</f>
        <v>✔</v>
      </c>
      <c r="BV128" s="444" t="str">
        <f>IF('Design Fee'!EK130&gt;0,"✔","-")</f>
        <v>-</v>
      </c>
      <c r="BW128" s="444" t="str">
        <f>IF('Design Fee'!EL130&gt;0,"✔","-")</f>
        <v>✔</v>
      </c>
      <c r="BX128" s="444" t="str">
        <f>IF('Design Fee'!EM130&gt;0,"✔","-")</f>
        <v>-</v>
      </c>
      <c r="BY128" s="444" t="str">
        <f>IF('Design Fee'!EN130&gt;0,"✔","-")</f>
        <v>-</v>
      </c>
      <c r="BZ128" s="383"/>
    </row>
    <row r="129" spans="2:78" ht="3" customHeight="1" outlineLevel="1">
      <c r="BZ129" s="383"/>
    </row>
    <row r="130" spans="2:78" ht="12.75" outlineLevel="1">
      <c r="B130" s="432">
        <v>11</v>
      </c>
      <c r="C130" s="459">
        <v>8</v>
      </c>
      <c r="D130" s="460" t="s">
        <v>137</v>
      </c>
      <c r="E130" s="434"/>
      <c r="F130" s="461">
        <f>M130+AD130+AU130+BL130</f>
        <v>22</v>
      </c>
      <c r="G130" s="461">
        <f t="shared" ref="G130:I130" si="406">N130+AE130+AV130+BM130</f>
        <v>22</v>
      </c>
      <c r="H130" s="461">
        <f t="shared" si="406"/>
        <v>22</v>
      </c>
      <c r="I130" s="461">
        <f t="shared" si="406"/>
        <v>0</v>
      </c>
      <c r="J130" s="438">
        <f t="shared" ref="J130" si="407">COUNT(J131:J140)</f>
        <v>0</v>
      </c>
      <c r="K130" s="435"/>
      <c r="L130" s="435"/>
      <c r="M130" s="461">
        <f>COUNTIF(M131:M140,"✔")</f>
        <v>10</v>
      </c>
      <c r="N130" s="461">
        <f t="shared" ref="N130" si="408">COUNTIF(N131:N140,"✔")</f>
        <v>10</v>
      </c>
      <c r="O130" s="461">
        <f t="shared" ref="O130" si="409">COUNTIF(O131:O140,"✔")</f>
        <v>10</v>
      </c>
      <c r="P130" s="461">
        <f t="shared" ref="P130" si="410">COUNTIF(P131:P140,"✔")</f>
        <v>0</v>
      </c>
      <c r="Q130" s="461">
        <f t="shared" ref="Q130" si="411">COUNTIF(Q131:Q140,"✔")</f>
        <v>0</v>
      </c>
      <c r="R130" s="461">
        <f t="shared" ref="R130" si="412">COUNTIF(R131:R140,"✔")</f>
        <v>0</v>
      </c>
      <c r="S130" s="461">
        <f t="shared" ref="S130" si="413">COUNTIF(S131:S140,"✔")</f>
        <v>0</v>
      </c>
      <c r="T130" s="461">
        <f t="shared" ref="T130" si="414">COUNTIF(T131:T140,"✔")</f>
        <v>0</v>
      </c>
      <c r="U130" s="461">
        <f t="shared" ref="U130" si="415">COUNTIF(U131:U140,"✔")</f>
        <v>0</v>
      </c>
      <c r="V130" s="461">
        <f t="shared" ref="V130" si="416">COUNTIF(V131:V140,"✔")</f>
        <v>0</v>
      </c>
      <c r="W130" s="461">
        <f t="shared" ref="W130" si="417">COUNTIF(W131:W140,"✔")</f>
        <v>0</v>
      </c>
      <c r="X130" s="461">
        <f t="shared" ref="X130" si="418">COUNTIF(X131:X140,"✔")</f>
        <v>0</v>
      </c>
      <c r="Y130" s="461">
        <f t="shared" ref="Y130" si="419">COUNTIF(Y131:Y140,"✔")</f>
        <v>0</v>
      </c>
      <c r="Z130" s="461">
        <f t="shared" ref="Z130" si="420">COUNTIF(Z131:Z140,"✔")</f>
        <v>0</v>
      </c>
      <c r="AA130" s="461">
        <f t="shared" ref="AA130" si="421">COUNTIF(AA131:AA140,"✔")</f>
        <v>0</v>
      </c>
      <c r="AB130" s="435"/>
      <c r="AC130" s="461">
        <f t="shared" ref="AC130" si="422">COUNTIF(AC131:AC140,"✔")</f>
        <v>0</v>
      </c>
      <c r="AD130" s="461">
        <f t="shared" ref="AD130" si="423">COUNTIF(AD131:AD140,"✔")</f>
        <v>7</v>
      </c>
      <c r="AE130" s="461">
        <f t="shared" ref="AE130" si="424">COUNTIF(AE131:AE140,"✔")</f>
        <v>7</v>
      </c>
      <c r="AF130" s="461">
        <f t="shared" ref="AF130" si="425">COUNTIF(AF131:AF140,"✔")</f>
        <v>7</v>
      </c>
      <c r="AG130" s="461">
        <f t="shared" ref="AG130" si="426">COUNTIF(AG131:AG140,"✔")</f>
        <v>0</v>
      </c>
      <c r="AH130" s="461">
        <f t="shared" ref="AH130" si="427">COUNTIF(AH131:AH140,"✔")</f>
        <v>0</v>
      </c>
      <c r="AI130" s="461">
        <f t="shared" ref="AI130" si="428">COUNTIF(AI131:AI140,"✔")</f>
        <v>0</v>
      </c>
      <c r="AJ130" s="461">
        <f t="shared" ref="AJ130" si="429">COUNTIF(AJ131:AJ140,"✔")</f>
        <v>0</v>
      </c>
      <c r="AK130" s="461">
        <f t="shared" ref="AK130" si="430">COUNTIF(AK131:AK140,"✔")</f>
        <v>0</v>
      </c>
      <c r="AL130" s="461">
        <f t="shared" ref="AL130" si="431">COUNTIF(AL131:AL140,"✔")</f>
        <v>0</v>
      </c>
      <c r="AM130" s="461">
        <f t="shared" ref="AM130" si="432">COUNTIF(AM131:AM140,"✔")</f>
        <v>0</v>
      </c>
      <c r="AN130" s="461">
        <f t="shared" ref="AN130" si="433">COUNTIF(AN131:AN140,"✔")</f>
        <v>0</v>
      </c>
      <c r="AO130" s="461">
        <f t="shared" ref="AO130" si="434">COUNTIF(AO131:AO140,"✔")</f>
        <v>0</v>
      </c>
      <c r="AP130" s="461">
        <f t="shared" ref="AP130" si="435">COUNTIF(AP131:AP140,"✔")</f>
        <v>0</v>
      </c>
      <c r="AQ130" s="461">
        <f t="shared" ref="AQ130" si="436">COUNTIF(AQ131:AQ140,"✔")</f>
        <v>0</v>
      </c>
      <c r="AR130" s="461">
        <f t="shared" ref="AR130" si="437">COUNTIF(AR131:AR140,"✔")</f>
        <v>0</v>
      </c>
      <c r="AS130" s="435"/>
      <c r="AT130" s="461">
        <f t="shared" ref="AT130" si="438">COUNTIF(AT131:AT140,"✔")</f>
        <v>0</v>
      </c>
      <c r="AU130" s="461">
        <f t="shared" ref="AU130" si="439">COUNTIF(AU131:AU140,"✔")</f>
        <v>5</v>
      </c>
      <c r="AV130" s="461">
        <f t="shared" ref="AV130" si="440">COUNTIF(AV131:AV140,"✔")</f>
        <v>5</v>
      </c>
      <c r="AW130" s="461">
        <f t="shared" ref="AW130" si="441">COUNTIF(AW131:AW140,"✔")</f>
        <v>5</v>
      </c>
      <c r="AX130" s="461">
        <f t="shared" ref="AX130" si="442">COUNTIF(AX131:AX140,"✔")</f>
        <v>0</v>
      </c>
      <c r="AY130" s="461">
        <f t="shared" ref="AY130" si="443">COUNTIF(AY131:AY140,"✔")</f>
        <v>0</v>
      </c>
      <c r="AZ130" s="461">
        <f t="shared" ref="AZ130" si="444">COUNTIF(AZ131:AZ140,"✔")</f>
        <v>0</v>
      </c>
      <c r="BA130" s="461">
        <f t="shared" ref="BA130" si="445">COUNTIF(BA131:BA140,"✔")</f>
        <v>0</v>
      </c>
      <c r="BB130" s="461">
        <f t="shared" ref="BB130" si="446">COUNTIF(BB131:BB140,"✔")</f>
        <v>0</v>
      </c>
      <c r="BC130" s="461">
        <f t="shared" ref="BC130" si="447">COUNTIF(BC131:BC140,"✔")</f>
        <v>0</v>
      </c>
      <c r="BD130" s="461">
        <f t="shared" ref="BD130" si="448">COUNTIF(BD131:BD140,"✔")</f>
        <v>0</v>
      </c>
      <c r="BE130" s="461">
        <f t="shared" ref="BE130" si="449">COUNTIF(BE131:BE140,"✔")</f>
        <v>0</v>
      </c>
      <c r="BF130" s="461">
        <f t="shared" ref="BF130" si="450">COUNTIF(BF131:BF140,"✔")</f>
        <v>0</v>
      </c>
      <c r="BG130" s="461">
        <f t="shared" ref="BG130" si="451">COUNTIF(BG131:BG140,"✔")</f>
        <v>0</v>
      </c>
      <c r="BH130" s="461">
        <f t="shared" ref="BH130" si="452">COUNTIF(BH131:BH140,"✔")</f>
        <v>0</v>
      </c>
      <c r="BI130" s="461">
        <f t="shared" ref="BI130" si="453">COUNTIF(BI131:BI140,"✔")</f>
        <v>0</v>
      </c>
      <c r="BJ130" s="435"/>
      <c r="BK130" s="461">
        <f t="shared" ref="BK130" si="454">COUNTIF(BK131:BK140,"✔")</f>
        <v>0</v>
      </c>
      <c r="BL130" s="461">
        <f t="shared" ref="BL130" si="455">COUNTIF(BL131:BL140,"✔")</f>
        <v>0</v>
      </c>
      <c r="BM130" s="461">
        <f t="shared" ref="BM130" si="456">COUNTIF(BM131:BM140,"✔")</f>
        <v>0</v>
      </c>
      <c r="BN130" s="461">
        <f t="shared" ref="BN130" si="457">COUNTIF(BN131:BN140,"✔")</f>
        <v>0</v>
      </c>
      <c r="BO130" s="461">
        <f t="shared" ref="BO130" si="458">COUNTIF(BO131:BO140,"✔")</f>
        <v>0</v>
      </c>
      <c r="BP130" s="461">
        <f t="shared" ref="BP130" si="459">COUNTIF(BP131:BP140,"✔")</f>
        <v>0</v>
      </c>
      <c r="BQ130" s="461">
        <f t="shared" ref="BQ130" si="460">COUNTIF(BQ131:BQ140,"✔")</f>
        <v>0</v>
      </c>
      <c r="BR130" s="461">
        <f t="shared" ref="BR130" si="461">COUNTIF(BR131:BR140,"✔")</f>
        <v>0</v>
      </c>
      <c r="BS130" s="461">
        <f t="shared" ref="BS130" si="462">COUNTIF(BS131:BS140,"✔")</f>
        <v>0</v>
      </c>
      <c r="BT130" s="383"/>
      <c r="BU130" s="461">
        <f t="shared" ref="BU130" si="463">COUNTIF(BU131:BU140,"✔")</f>
        <v>0</v>
      </c>
      <c r="BV130" s="461">
        <f t="shared" ref="BV130" si="464">COUNTIF(BV131:BV140,"✔")</f>
        <v>0</v>
      </c>
      <c r="BW130" s="461">
        <f t="shared" ref="BW130" si="465">COUNTIF(BW131:BW140,"✔")</f>
        <v>0</v>
      </c>
      <c r="BX130" s="461">
        <f t="shared" ref="BX130" si="466">COUNTIF(BX131:BX140,"✔")</f>
        <v>0</v>
      </c>
      <c r="BY130" s="461">
        <f t="shared" ref="BY130" si="467">COUNTIF(BY131:BY140,"✔")</f>
        <v>0</v>
      </c>
      <c r="BZ130" s="383"/>
    </row>
    <row r="131" spans="2:78" ht="12.75" outlineLevel="2">
      <c r="B131" s="463" t="s">
        <v>138</v>
      </c>
      <c r="C131" s="464">
        <v>1</v>
      </c>
      <c r="D131" s="465" t="s">
        <v>52</v>
      </c>
      <c r="E131" s="383"/>
      <c r="F131" s="443">
        <f t="shared" ref="F131:F140" si="468">COUNTIF(M131,"✔")+COUNTIF(AD131,"✔")+COUNTIF(BL131,"✔")+COUNTIF(AU131,"✔")</f>
        <v>3</v>
      </c>
      <c r="G131" s="444">
        <f t="shared" ref="G131:H140" si="469">COUNTIF(N131,"✔")+COUNTIF(AE131,"✔")+COUNTIF(BM131,"✔")+COUNTIF(AV131,"✔")</f>
        <v>3</v>
      </c>
      <c r="H131" s="444">
        <f t="shared" si="469"/>
        <v>3</v>
      </c>
      <c r="I131" s="444">
        <f t="shared" ref="I131:I140" si="470">F131-G131</f>
        <v>0</v>
      </c>
      <c r="J131" s="467"/>
      <c r="K131" s="441"/>
      <c r="L131" s="442"/>
      <c r="M131" s="443" t="str">
        <f>IF('Design Fee'!W133&gt;0,"✔","-")</f>
        <v>✔</v>
      </c>
      <c r="N131" s="443" t="str">
        <f>IF('Design Fee'!X133&gt;0,"✔","-")</f>
        <v>✔</v>
      </c>
      <c r="O131" s="444" t="str">
        <f>IF('Design Fee'!Y133&gt;0,"✔","-")</f>
        <v>✔</v>
      </c>
      <c r="P131" s="444" t="str">
        <f>IF('Design Fee'!Z133&gt;0,"✔","-")</f>
        <v>-</v>
      </c>
      <c r="Q131" s="444" t="str">
        <f>IF('Design Fee'!AA133&gt;0,"✔","-")</f>
        <v>-</v>
      </c>
      <c r="R131" s="444" t="str">
        <f>IF('Design Fee'!AB133&gt;0,"✔","-")</f>
        <v>-</v>
      </c>
      <c r="S131" s="444" t="str">
        <f>IF('Design Fee'!AC133&gt;0,"✔","-")</f>
        <v>-</v>
      </c>
      <c r="T131" s="466" t="str">
        <f>IF('Design Fee'!AD133&gt;0,"✔","-")</f>
        <v>-</v>
      </c>
      <c r="U131" s="467"/>
      <c r="V131" s="444" t="str">
        <f>IF('Design Fee'!AF133&gt;0,"✔","-")</f>
        <v>-</v>
      </c>
      <c r="W131" s="444" t="str">
        <f>IF('Design Fee'!AG133&gt;0,"✔","-")</f>
        <v>-</v>
      </c>
      <c r="X131" s="444" t="str">
        <f>IF('Design Fee'!AH133&gt;0,"✔","-")</f>
        <v>-</v>
      </c>
      <c r="Y131" s="444" t="str">
        <f>IF('Design Fee'!AI133&gt;0,"✔","-")</f>
        <v>-</v>
      </c>
      <c r="Z131" s="444" t="str">
        <f>IF('Design Fee'!AJ133&gt;0,"✔","-")</f>
        <v>-</v>
      </c>
      <c r="AA131" s="467"/>
      <c r="AB131" s="441"/>
      <c r="AC131" s="442"/>
      <c r="AD131" s="443" t="str">
        <f>IF('Design Fee'!BG133&gt;0,"✔","-")</f>
        <v>✔</v>
      </c>
      <c r="AE131" s="443" t="str">
        <f>IF('Design Fee'!BH133&gt;0,"✔","-")</f>
        <v>✔</v>
      </c>
      <c r="AF131" s="444" t="str">
        <f>IF('Design Fee'!BI133&gt;0,"✔","-")</f>
        <v>✔</v>
      </c>
      <c r="AG131" s="444" t="str">
        <f>IF('Design Fee'!BJ133&gt;0,"✔","-")</f>
        <v>-</v>
      </c>
      <c r="AH131" s="444" t="str">
        <f>IF('Design Fee'!BK133&gt;0,"✔","-")</f>
        <v>-</v>
      </c>
      <c r="AI131" s="444" t="str">
        <f>IF('Design Fee'!BL133&gt;0,"✔","-")</f>
        <v>-</v>
      </c>
      <c r="AJ131" s="444" t="str">
        <f>IF('Design Fee'!BM133&gt;0,"✔","-")</f>
        <v>-</v>
      </c>
      <c r="AK131" s="466" t="str">
        <f>IF('Design Fee'!BN133&gt;0,"✔","-")</f>
        <v>-</v>
      </c>
      <c r="AL131" s="445"/>
      <c r="AM131" s="444" t="str">
        <f>IF('Design Fee'!BP133&gt;0,"✔","-")</f>
        <v>-</v>
      </c>
      <c r="AN131" s="444" t="str">
        <f>IF('Design Fee'!BQ133&gt;0,"✔","-")</f>
        <v>-</v>
      </c>
      <c r="AO131" s="444" t="str">
        <f>IF('Design Fee'!BR133&gt;0,"✔","-")</f>
        <v>-</v>
      </c>
      <c r="AP131" s="444" t="str">
        <f>IF('Design Fee'!BS133&gt;0,"✔","-")</f>
        <v>-</v>
      </c>
      <c r="AQ131" s="444" t="str">
        <f>IF('Design Fee'!BT133&gt;0,"✔","-")</f>
        <v>-</v>
      </c>
      <c r="AR131" s="445"/>
      <c r="AS131" s="441"/>
      <c r="AT131" s="442"/>
      <c r="AU131" s="443" t="str">
        <f>IF('Design Fee'!CQ133&gt;0,"✔","-")</f>
        <v>✔</v>
      </c>
      <c r="AV131" s="443" t="str">
        <f>IF('Design Fee'!CR133&gt;0,"✔","-")</f>
        <v>✔</v>
      </c>
      <c r="AW131" s="444" t="str">
        <f>IF('Design Fee'!CS133&gt;0,"✔","-")</f>
        <v>✔</v>
      </c>
      <c r="AX131" s="444" t="str">
        <f>IF('Design Fee'!CT133&gt;0,"✔","-")</f>
        <v>-</v>
      </c>
      <c r="AY131" s="444" t="str">
        <f>IF('Design Fee'!CU133&gt;0,"✔","-")</f>
        <v>-</v>
      </c>
      <c r="AZ131" s="444" t="str">
        <f>IF('Design Fee'!CV133&gt;0,"✔","-")</f>
        <v>-</v>
      </c>
      <c r="BA131" s="444" t="str">
        <f>IF('Design Fee'!CW133&gt;0,"✔","-")</f>
        <v>-</v>
      </c>
      <c r="BB131" s="466" t="str">
        <f>IF('Design Fee'!CX133&gt;0,"✔","-")</f>
        <v>-</v>
      </c>
      <c r="BC131" s="445"/>
      <c r="BD131" s="444" t="str">
        <f>IF('Design Fee'!CZ133&gt;0,"✔","-")</f>
        <v>-</v>
      </c>
      <c r="BE131" s="444" t="str">
        <f>IF('Design Fee'!DA133&gt;0,"✔","-")</f>
        <v>-</v>
      </c>
      <c r="BF131" s="444" t="str">
        <f>IF('Design Fee'!DB133&gt;0,"✔","-")</f>
        <v>-</v>
      </c>
      <c r="BG131" s="444" t="str">
        <f>IF('Design Fee'!DC133&gt;0,"✔","-")</f>
        <v>-</v>
      </c>
      <c r="BH131" s="444" t="str">
        <f>IF('Design Fee'!DD133&gt;0,"✔","-")</f>
        <v>-</v>
      </c>
      <c r="BI131" s="445"/>
      <c r="BJ131" s="441"/>
      <c r="BK131" s="442"/>
      <c r="BL131" s="443" t="str">
        <f>IF('Design Fee'!EA133&gt;0,"✔","-")</f>
        <v>-</v>
      </c>
      <c r="BM131" s="443" t="str">
        <f>IF('Design Fee'!EB133&gt;0,"✔","-")</f>
        <v>-</v>
      </c>
      <c r="BN131" s="444" t="str">
        <f>IF('Design Fee'!EC133&gt;0,"✔","-")</f>
        <v>-</v>
      </c>
      <c r="BO131" s="444" t="str">
        <f>IF('Design Fee'!ED133&gt;0,"✔","-")</f>
        <v>-</v>
      </c>
      <c r="BP131" s="444" t="str">
        <f>IF('Design Fee'!EE133&gt;0,"✔","-")</f>
        <v>-</v>
      </c>
      <c r="BQ131" s="444" t="str">
        <f>IF('Design Fee'!EF133&gt;0,"✔","-")</f>
        <v>-</v>
      </c>
      <c r="BR131" s="444" t="str">
        <f>IF('Design Fee'!EG133&gt;0,"✔","-")</f>
        <v>-</v>
      </c>
      <c r="BS131" s="466" t="str">
        <f>IF('Design Fee'!EH133&gt;0,"✔","-")</f>
        <v>-</v>
      </c>
      <c r="BT131" s="383"/>
      <c r="BU131" s="444" t="str">
        <f>IF('Design Fee'!EJ133&gt;0,"✔","-")</f>
        <v>-</v>
      </c>
      <c r="BV131" s="444" t="str">
        <f>IF('Design Fee'!EK133&gt;0,"✔","-")</f>
        <v>-</v>
      </c>
      <c r="BW131" s="444" t="str">
        <f>IF('Design Fee'!EL133&gt;0,"✔","-")</f>
        <v>-</v>
      </c>
      <c r="BX131" s="444" t="str">
        <f>IF('Design Fee'!EM133&gt;0,"✔","-")</f>
        <v>-</v>
      </c>
      <c r="BY131" s="444" t="str">
        <f>IF('Design Fee'!EN133&gt;0,"✔","-")</f>
        <v>-</v>
      </c>
      <c r="BZ131" s="383"/>
    </row>
    <row r="132" spans="2:78" ht="12.75" outlineLevel="2">
      <c r="B132" s="463" t="s">
        <v>139</v>
      </c>
      <c r="C132" s="464">
        <v>2</v>
      </c>
      <c r="D132" s="465" t="s">
        <v>54</v>
      </c>
      <c r="E132" s="383"/>
      <c r="F132" s="443">
        <f t="shared" si="468"/>
        <v>2</v>
      </c>
      <c r="G132" s="444">
        <f t="shared" si="469"/>
        <v>2</v>
      </c>
      <c r="H132" s="444">
        <f t="shared" si="469"/>
        <v>2</v>
      </c>
      <c r="I132" s="444">
        <f t="shared" si="470"/>
        <v>0</v>
      </c>
      <c r="J132" s="467"/>
      <c r="K132" s="441"/>
      <c r="L132" s="442"/>
      <c r="M132" s="443" t="str">
        <f>IF('Design Fee'!W134&gt;0,"✔","-")</f>
        <v>✔</v>
      </c>
      <c r="N132" s="443" t="str">
        <f>IF('Design Fee'!X134&gt;0,"✔","-")</f>
        <v>✔</v>
      </c>
      <c r="O132" s="444" t="str">
        <f>IF('Design Fee'!Y134&gt;0,"✔","-")</f>
        <v>✔</v>
      </c>
      <c r="P132" s="444" t="str">
        <f>IF('Design Fee'!Z134&gt;0,"✔","-")</f>
        <v>-</v>
      </c>
      <c r="Q132" s="444" t="str">
        <f>IF('Design Fee'!AA134&gt;0,"✔","-")</f>
        <v>-</v>
      </c>
      <c r="R132" s="444" t="str">
        <f>IF('Design Fee'!AB134&gt;0,"✔","-")</f>
        <v>-</v>
      </c>
      <c r="S132" s="444" t="str">
        <f>IF('Design Fee'!AC134&gt;0,"✔","-")</f>
        <v>-</v>
      </c>
      <c r="T132" s="466" t="str">
        <f>IF('Design Fee'!AD134&gt;0,"✔","-")</f>
        <v>-</v>
      </c>
      <c r="U132" s="467"/>
      <c r="V132" s="444" t="str">
        <f>IF('Design Fee'!AF134&gt;0,"✔","-")</f>
        <v>-</v>
      </c>
      <c r="W132" s="444" t="str">
        <f>IF('Design Fee'!AG134&gt;0,"✔","-")</f>
        <v>-</v>
      </c>
      <c r="X132" s="444" t="str">
        <f>IF('Design Fee'!AH134&gt;0,"✔","-")</f>
        <v>-</v>
      </c>
      <c r="Y132" s="444" t="str">
        <f>IF('Design Fee'!AI134&gt;0,"✔","-")</f>
        <v>-</v>
      </c>
      <c r="Z132" s="444" t="str">
        <f>IF('Design Fee'!AJ134&gt;0,"✔","-")</f>
        <v>-</v>
      </c>
      <c r="AA132" s="467"/>
      <c r="AB132" s="441"/>
      <c r="AC132" s="442"/>
      <c r="AD132" s="443" t="str">
        <f>IF('Design Fee'!BG134&gt;0,"✔","-")</f>
        <v>✔</v>
      </c>
      <c r="AE132" s="443" t="str">
        <f>IF('Design Fee'!BH134&gt;0,"✔","-")</f>
        <v>✔</v>
      </c>
      <c r="AF132" s="444" t="str">
        <f>IF('Design Fee'!BI134&gt;0,"✔","-")</f>
        <v>✔</v>
      </c>
      <c r="AG132" s="444" t="str">
        <f>IF('Design Fee'!BJ134&gt;0,"✔","-")</f>
        <v>-</v>
      </c>
      <c r="AH132" s="444" t="str">
        <f>IF('Design Fee'!BK134&gt;0,"✔","-")</f>
        <v>-</v>
      </c>
      <c r="AI132" s="444" t="str">
        <f>IF('Design Fee'!BL134&gt;0,"✔","-")</f>
        <v>-</v>
      </c>
      <c r="AJ132" s="444" t="str">
        <f>IF('Design Fee'!BM134&gt;0,"✔","-")</f>
        <v>-</v>
      </c>
      <c r="AK132" s="466" t="str">
        <f>IF('Design Fee'!BN134&gt;0,"✔","-")</f>
        <v>-</v>
      </c>
      <c r="AL132" s="445"/>
      <c r="AM132" s="444" t="str">
        <f>IF('Design Fee'!BP134&gt;0,"✔","-")</f>
        <v>-</v>
      </c>
      <c r="AN132" s="444" t="str">
        <f>IF('Design Fee'!BQ134&gt;0,"✔","-")</f>
        <v>-</v>
      </c>
      <c r="AO132" s="444" t="str">
        <f>IF('Design Fee'!BR134&gt;0,"✔","-")</f>
        <v>-</v>
      </c>
      <c r="AP132" s="444" t="str">
        <f>IF('Design Fee'!BS134&gt;0,"✔","-")</f>
        <v>-</v>
      </c>
      <c r="AQ132" s="444" t="str">
        <f>IF('Design Fee'!BT134&gt;0,"✔","-")</f>
        <v>-</v>
      </c>
      <c r="AR132" s="445"/>
      <c r="AS132" s="441"/>
      <c r="AT132" s="442"/>
      <c r="AU132" s="443" t="str">
        <f>IF('Design Fee'!CQ134&gt;0,"✔","-")</f>
        <v>-</v>
      </c>
      <c r="AV132" s="443" t="str">
        <f>IF('Design Fee'!CR134&gt;0,"✔","-")</f>
        <v>-</v>
      </c>
      <c r="AW132" s="444" t="str">
        <f>IF('Design Fee'!CS134&gt;0,"✔","-")</f>
        <v>-</v>
      </c>
      <c r="AX132" s="444" t="str">
        <f>IF('Design Fee'!CT134&gt;0,"✔","-")</f>
        <v>-</v>
      </c>
      <c r="AY132" s="444" t="str">
        <f>IF('Design Fee'!CU134&gt;0,"✔","-")</f>
        <v>-</v>
      </c>
      <c r="AZ132" s="444" t="str">
        <f>IF('Design Fee'!CV134&gt;0,"✔","-")</f>
        <v>-</v>
      </c>
      <c r="BA132" s="444" t="str">
        <f>IF('Design Fee'!CW134&gt;0,"✔","-")</f>
        <v>-</v>
      </c>
      <c r="BB132" s="466" t="str">
        <f>IF('Design Fee'!CX134&gt;0,"✔","-")</f>
        <v>-</v>
      </c>
      <c r="BC132" s="445"/>
      <c r="BD132" s="444" t="str">
        <f>IF('Design Fee'!CZ134&gt;0,"✔","-")</f>
        <v>-</v>
      </c>
      <c r="BE132" s="444" t="str">
        <f>IF('Design Fee'!DA134&gt;0,"✔","-")</f>
        <v>-</v>
      </c>
      <c r="BF132" s="444" t="str">
        <f>IF('Design Fee'!DB134&gt;0,"✔","-")</f>
        <v>-</v>
      </c>
      <c r="BG132" s="444" t="str">
        <f>IF('Design Fee'!DC134&gt;0,"✔","-")</f>
        <v>-</v>
      </c>
      <c r="BH132" s="444" t="str">
        <f>IF('Design Fee'!DD134&gt;0,"✔","-")</f>
        <v>-</v>
      </c>
      <c r="BI132" s="445"/>
      <c r="BJ132" s="441"/>
      <c r="BK132" s="442"/>
      <c r="BL132" s="443" t="str">
        <f>IF('Design Fee'!EA134&gt;0,"✔","-")</f>
        <v>-</v>
      </c>
      <c r="BM132" s="443" t="str">
        <f>IF('Design Fee'!EB134&gt;0,"✔","-")</f>
        <v>-</v>
      </c>
      <c r="BN132" s="444" t="str">
        <f>IF('Design Fee'!EC134&gt;0,"✔","-")</f>
        <v>-</v>
      </c>
      <c r="BO132" s="444" t="str">
        <f>IF('Design Fee'!ED134&gt;0,"✔","-")</f>
        <v>-</v>
      </c>
      <c r="BP132" s="444" t="str">
        <f>IF('Design Fee'!EE134&gt;0,"✔","-")</f>
        <v>-</v>
      </c>
      <c r="BQ132" s="444" t="str">
        <f>IF('Design Fee'!EF134&gt;0,"✔","-")</f>
        <v>-</v>
      </c>
      <c r="BR132" s="444" t="str">
        <f>IF('Design Fee'!EG134&gt;0,"✔","-")</f>
        <v>-</v>
      </c>
      <c r="BS132" s="466" t="str">
        <f>IF('Design Fee'!EH134&gt;0,"✔","-")</f>
        <v>-</v>
      </c>
      <c r="BT132" s="383"/>
      <c r="BU132" s="444" t="str">
        <f>IF('Design Fee'!EJ134&gt;0,"✔","-")</f>
        <v>-</v>
      </c>
      <c r="BV132" s="444" t="str">
        <f>IF('Design Fee'!EK134&gt;0,"✔","-")</f>
        <v>-</v>
      </c>
      <c r="BW132" s="444" t="str">
        <f>IF('Design Fee'!EL134&gt;0,"✔","-")</f>
        <v>-</v>
      </c>
      <c r="BX132" s="444" t="str">
        <f>IF('Design Fee'!EM134&gt;0,"✔","-")</f>
        <v>-</v>
      </c>
      <c r="BY132" s="444" t="str">
        <f>IF('Design Fee'!EN134&gt;0,"✔","-")</f>
        <v>-</v>
      </c>
      <c r="BZ132" s="383"/>
    </row>
    <row r="133" spans="2:78" ht="12.75" outlineLevel="2">
      <c r="B133" s="463" t="s">
        <v>140</v>
      </c>
      <c r="C133" s="464">
        <v>3</v>
      </c>
      <c r="D133" s="465" t="s">
        <v>56</v>
      </c>
      <c r="E133" s="383"/>
      <c r="F133" s="443">
        <f t="shared" si="468"/>
        <v>1</v>
      </c>
      <c r="G133" s="444">
        <f t="shared" si="469"/>
        <v>1</v>
      </c>
      <c r="H133" s="444">
        <f t="shared" si="469"/>
        <v>1</v>
      </c>
      <c r="I133" s="444">
        <f t="shared" si="470"/>
        <v>0</v>
      </c>
      <c r="J133" s="467"/>
      <c r="K133" s="441"/>
      <c r="L133" s="442"/>
      <c r="M133" s="443" t="str">
        <f>IF('Design Fee'!W135&gt;0,"✔","-")</f>
        <v>✔</v>
      </c>
      <c r="N133" s="443" t="str">
        <f>IF('Design Fee'!X135&gt;0,"✔","-")</f>
        <v>✔</v>
      </c>
      <c r="O133" s="444" t="str">
        <f>IF('Design Fee'!Y135&gt;0,"✔","-")</f>
        <v>✔</v>
      </c>
      <c r="P133" s="444" t="str">
        <f>IF('Design Fee'!Z135&gt;0,"✔","-")</f>
        <v>-</v>
      </c>
      <c r="Q133" s="444" t="str">
        <f>IF('Design Fee'!AA135&gt;0,"✔","-")</f>
        <v>-</v>
      </c>
      <c r="R133" s="444" t="str">
        <f>IF('Design Fee'!AB135&gt;0,"✔","-")</f>
        <v>-</v>
      </c>
      <c r="S133" s="444" t="str">
        <f>IF('Design Fee'!AC135&gt;0,"✔","-")</f>
        <v>-</v>
      </c>
      <c r="T133" s="466" t="str">
        <f>IF('Design Fee'!AD135&gt;0,"✔","-")</f>
        <v>-</v>
      </c>
      <c r="U133" s="467"/>
      <c r="V133" s="444" t="str">
        <f>IF('Design Fee'!AF135&gt;0,"✔","-")</f>
        <v>-</v>
      </c>
      <c r="W133" s="444" t="str">
        <f>IF('Design Fee'!AG135&gt;0,"✔","-")</f>
        <v>-</v>
      </c>
      <c r="X133" s="444" t="str">
        <f>IF('Design Fee'!AH135&gt;0,"✔","-")</f>
        <v>-</v>
      </c>
      <c r="Y133" s="444" t="str">
        <f>IF('Design Fee'!AI135&gt;0,"✔","-")</f>
        <v>-</v>
      </c>
      <c r="Z133" s="444" t="str">
        <f>IF('Design Fee'!AJ135&gt;0,"✔","-")</f>
        <v>-</v>
      </c>
      <c r="AA133" s="467"/>
      <c r="AB133" s="441"/>
      <c r="AC133" s="442"/>
      <c r="AD133" s="443" t="str">
        <f>IF('Design Fee'!BG135&gt;0,"✔","-")</f>
        <v>-</v>
      </c>
      <c r="AE133" s="443" t="str">
        <f>IF('Design Fee'!BH135&gt;0,"✔","-")</f>
        <v>-</v>
      </c>
      <c r="AF133" s="444" t="str">
        <f>IF('Design Fee'!BI135&gt;0,"✔","-")</f>
        <v>-</v>
      </c>
      <c r="AG133" s="444" t="str">
        <f>IF('Design Fee'!BJ135&gt;0,"✔","-")</f>
        <v>-</v>
      </c>
      <c r="AH133" s="444" t="str">
        <f>IF('Design Fee'!BK135&gt;0,"✔","-")</f>
        <v>-</v>
      </c>
      <c r="AI133" s="444" t="str">
        <f>IF('Design Fee'!BL135&gt;0,"✔","-")</f>
        <v>-</v>
      </c>
      <c r="AJ133" s="444" t="str">
        <f>IF('Design Fee'!BM135&gt;0,"✔","-")</f>
        <v>-</v>
      </c>
      <c r="AK133" s="466" t="str">
        <f>IF('Design Fee'!BN135&gt;0,"✔","-")</f>
        <v>-</v>
      </c>
      <c r="AL133" s="445"/>
      <c r="AM133" s="444" t="str">
        <f>IF('Design Fee'!BP135&gt;0,"✔","-")</f>
        <v>-</v>
      </c>
      <c r="AN133" s="444" t="str">
        <f>IF('Design Fee'!BQ135&gt;0,"✔","-")</f>
        <v>-</v>
      </c>
      <c r="AO133" s="444" t="str">
        <f>IF('Design Fee'!BR135&gt;0,"✔","-")</f>
        <v>-</v>
      </c>
      <c r="AP133" s="444" t="str">
        <f>IF('Design Fee'!BS135&gt;0,"✔","-")</f>
        <v>-</v>
      </c>
      <c r="AQ133" s="444" t="str">
        <f>IF('Design Fee'!BT135&gt;0,"✔","-")</f>
        <v>-</v>
      </c>
      <c r="AR133" s="445"/>
      <c r="AS133" s="441"/>
      <c r="AT133" s="442"/>
      <c r="AU133" s="443" t="str">
        <f>IF('Design Fee'!CQ135&gt;0,"✔","-")</f>
        <v>-</v>
      </c>
      <c r="AV133" s="443" t="str">
        <f>IF('Design Fee'!CR135&gt;0,"✔","-")</f>
        <v>-</v>
      </c>
      <c r="AW133" s="444" t="str">
        <f>IF('Design Fee'!CS135&gt;0,"✔","-")</f>
        <v>-</v>
      </c>
      <c r="AX133" s="444" t="str">
        <f>IF('Design Fee'!CT135&gt;0,"✔","-")</f>
        <v>-</v>
      </c>
      <c r="AY133" s="444" t="str">
        <f>IF('Design Fee'!CU135&gt;0,"✔","-")</f>
        <v>-</v>
      </c>
      <c r="AZ133" s="444" t="str">
        <f>IF('Design Fee'!CV135&gt;0,"✔","-")</f>
        <v>-</v>
      </c>
      <c r="BA133" s="444" t="str">
        <f>IF('Design Fee'!CW135&gt;0,"✔","-")</f>
        <v>-</v>
      </c>
      <c r="BB133" s="466" t="str">
        <f>IF('Design Fee'!CX135&gt;0,"✔","-")</f>
        <v>-</v>
      </c>
      <c r="BC133" s="445"/>
      <c r="BD133" s="444" t="str">
        <f>IF('Design Fee'!CZ135&gt;0,"✔","-")</f>
        <v>-</v>
      </c>
      <c r="BE133" s="444" t="str">
        <f>IF('Design Fee'!DA135&gt;0,"✔","-")</f>
        <v>-</v>
      </c>
      <c r="BF133" s="444" t="str">
        <f>IF('Design Fee'!DB135&gt;0,"✔","-")</f>
        <v>-</v>
      </c>
      <c r="BG133" s="444" t="str">
        <f>IF('Design Fee'!DC135&gt;0,"✔","-")</f>
        <v>-</v>
      </c>
      <c r="BH133" s="444" t="str">
        <f>IF('Design Fee'!DD135&gt;0,"✔","-")</f>
        <v>-</v>
      </c>
      <c r="BI133" s="445"/>
      <c r="BJ133" s="441"/>
      <c r="BK133" s="442"/>
      <c r="BL133" s="443" t="str">
        <f>IF('Design Fee'!EA135&gt;0,"✔","-")</f>
        <v>-</v>
      </c>
      <c r="BM133" s="443" t="str">
        <f>IF('Design Fee'!EB135&gt;0,"✔","-")</f>
        <v>-</v>
      </c>
      <c r="BN133" s="444" t="str">
        <f>IF('Design Fee'!EC135&gt;0,"✔","-")</f>
        <v>-</v>
      </c>
      <c r="BO133" s="444" t="str">
        <f>IF('Design Fee'!ED135&gt;0,"✔","-")</f>
        <v>-</v>
      </c>
      <c r="BP133" s="444" t="str">
        <f>IF('Design Fee'!EE135&gt;0,"✔","-")</f>
        <v>-</v>
      </c>
      <c r="BQ133" s="444" t="str">
        <f>IF('Design Fee'!EF135&gt;0,"✔","-")</f>
        <v>-</v>
      </c>
      <c r="BR133" s="444" t="str">
        <f>IF('Design Fee'!EG135&gt;0,"✔","-")</f>
        <v>-</v>
      </c>
      <c r="BS133" s="466" t="str">
        <f>IF('Design Fee'!EH135&gt;0,"✔","-")</f>
        <v>-</v>
      </c>
      <c r="BT133" s="383"/>
      <c r="BU133" s="444" t="str">
        <f>IF('Design Fee'!EJ135&gt;0,"✔","-")</f>
        <v>-</v>
      </c>
      <c r="BV133" s="444" t="str">
        <f>IF('Design Fee'!EK135&gt;0,"✔","-")</f>
        <v>-</v>
      </c>
      <c r="BW133" s="444" t="str">
        <f>IF('Design Fee'!EL135&gt;0,"✔","-")</f>
        <v>-</v>
      </c>
      <c r="BX133" s="444" t="str">
        <f>IF('Design Fee'!EM135&gt;0,"✔","-")</f>
        <v>-</v>
      </c>
      <c r="BY133" s="444" t="str">
        <f>IF('Design Fee'!EN135&gt;0,"✔","-")</f>
        <v>-</v>
      </c>
      <c r="BZ133" s="383"/>
    </row>
    <row r="134" spans="2:78" s="95" customFormat="1" ht="12.75" outlineLevel="2">
      <c r="B134" s="463" t="s">
        <v>141</v>
      </c>
      <c r="C134" s="469">
        <v>4</v>
      </c>
      <c r="D134" s="470" t="s">
        <v>58</v>
      </c>
      <c r="E134" s="468"/>
      <c r="F134" s="443">
        <f t="shared" si="468"/>
        <v>3</v>
      </c>
      <c r="G134" s="444">
        <f t="shared" si="469"/>
        <v>3</v>
      </c>
      <c r="H134" s="444">
        <f t="shared" si="469"/>
        <v>3</v>
      </c>
      <c r="I134" s="444">
        <f t="shared" si="470"/>
        <v>0</v>
      </c>
      <c r="J134" s="480"/>
      <c r="K134" s="471"/>
      <c r="L134" s="472"/>
      <c r="M134" s="443" t="str">
        <f>IF('Design Fee'!W136&gt;0,"✔","-")</f>
        <v>✔</v>
      </c>
      <c r="N134" s="443" t="str">
        <f>IF('Design Fee'!X136&gt;0,"✔","-")</f>
        <v>✔</v>
      </c>
      <c r="O134" s="466" t="str">
        <f>IF('Design Fee'!Y136&gt;0,"✔","-")</f>
        <v>✔</v>
      </c>
      <c r="P134" s="466" t="str">
        <f>IF('Design Fee'!Z136&gt;0,"✔","-")</f>
        <v>-</v>
      </c>
      <c r="Q134" s="466" t="str">
        <f>IF('Design Fee'!AA136&gt;0,"✔","-")</f>
        <v>-</v>
      </c>
      <c r="R134" s="466" t="str">
        <f>IF('Design Fee'!AB136&gt;0,"✔","-")</f>
        <v>-</v>
      </c>
      <c r="S134" s="466" t="str">
        <f>IF('Design Fee'!AC136&gt;0,"✔","-")</f>
        <v>-</v>
      </c>
      <c r="T134" s="466" t="str">
        <f>IF('Design Fee'!AD136&gt;0,"✔","-")</f>
        <v>-</v>
      </c>
      <c r="U134" s="480"/>
      <c r="V134" s="444" t="str">
        <f>IF('Design Fee'!AF136&gt;0,"✔","-")</f>
        <v>-</v>
      </c>
      <c r="W134" s="444" t="str">
        <f>IF('Design Fee'!AG136&gt;0,"✔","-")</f>
        <v>-</v>
      </c>
      <c r="X134" s="444" t="str">
        <f>IF('Design Fee'!AH136&gt;0,"✔","-")</f>
        <v>-</v>
      </c>
      <c r="Y134" s="444" t="str">
        <f>IF('Design Fee'!AI136&gt;0,"✔","-")</f>
        <v>-</v>
      </c>
      <c r="Z134" s="444" t="str">
        <f>IF('Design Fee'!AJ136&gt;0,"✔","-")</f>
        <v>-</v>
      </c>
      <c r="AA134" s="480"/>
      <c r="AB134" s="471"/>
      <c r="AC134" s="472"/>
      <c r="AD134" s="443" t="str">
        <f>IF('Design Fee'!BG136&gt;0,"✔","-")</f>
        <v>✔</v>
      </c>
      <c r="AE134" s="443" t="str">
        <f>IF('Design Fee'!BH136&gt;0,"✔","-")</f>
        <v>✔</v>
      </c>
      <c r="AF134" s="466" t="str">
        <f>IF('Design Fee'!BI136&gt;0,"✔","-")</f>
        <v>✔</v>
      </c>
      <c r="AG134" s="466" t="str">
        <f>IF('Design Fee'!BJ136&gt;0,"✔","-")</f>
        <v>-</v>
      </c>
      <c r="AH134" s="466" t="str">
        <f>IF('Design Fee'!BK136&gt;0,"✔","-")</f>
        <v>-</v>
      </c>
      <c r="AI134" s="466" t="str">
        <f>IF('Design Fee'!BL136&gt;0,"✔","-")</f>
        <v>-</v>
      </c>
      <c r="AJ134" s="466" t="str">
        <f>IF('Design Fee'!BM136&gt;0,"✔","-")</f>
        <v>-</v>
      </c>
      <c r="AK134" s="466" t="str">
        <f>IF('Design Fee'!BN136&gt;0,"✔","-")</f>
        <v>-</v>
      </c>
      <c r="AL134" s="476"/>
      <c r="AM134" s="444" t="str">
        <f>IF('Design Fee'!BP136&gt;0,"✔","-")</f>
        <v>-</v>
      </c>
      <c r="AN134" s="444" t="str">
        <f>IF('Design Fee'!BQ136&gt;0,"✔","-")</f>
        <v>-</v>
      </c>
      <c r="AO134" s="444" t="str">
        <f>IF('Design Fee'!BR136&gt;0,"✔","-")</f>
        <v>-</v>
      </c>
      <c r="AP134" s="444" t="str">
        <f>IF('Design Fee'!BS136&gt;0,"✔","-")</f>
        <v>-</v>
      </c>
      <c r="AQ134" s="444" t="str">
        <f>IF('Design Fee'!BT136&gt;0,"✔","-")</f>
        <v>-</v>
      </c>
      <c r="AR134" s="476"/>
      <c r="AS134" s="471"/>
      <c r="AT134" s="472"/>
      <c r="AU134" s="443" t="str">
        <f>IF('Design Fee'!CQ136&gt;0,"✔","-")</f>
        <v>✔</v>
      </c>
      <c r="AV134" s="443" t="str">
        <f>IF('Design Fee'!CR136&gt;0,"✔","-")</f>
        <v>✔</v>
      </c>
      <c r="AW134" s="466" t="str">
        <f>IF('Design Fee'!CS136&gt;0,"✔","-")</f>
        <v>✔</v>
      </c>
      <c r="AX134" s="466" t="str">
        <f>IF('Design Fee'!CT136&gt;0,"✔","-")</f>
        <v>-</v>
      </c>
      <c r="AY134" s="466" t="str">
        <f>IF('Design Fee'!CU136&gt;0,"✔","-")</f>
        <v>-</v>
      </c>
      <c r="AZ134" s="466" t="str">
        <f>IF('Design Fee'!CV136&gt;0,"✔","-")</f>
        <v>-</v>
      </c>
      <c r="BA134" s="466" t="str">
        <f>IF('Design Fee'!CW136&gt;0,"✔","-")</f>
        <v>-</v>
      </c>
      <c r="BB134" s="466" t="str">
        <f>IF('Design Fee'!CX136&gt;0,"✔","-")</f>
        <v>-</v>
      </c>
      <c r="BC134" s="476"/>
      <c r="BD134" s="444" t="str">
        <f>IF('Design Fee'!CZ136&gt;0,"✔","-")</f>
        <v>-</v>
      </c>
      <c r="BE134" s="444" t="str">
        <f>IF('Design Fee'!DA136&gt;0,"✔","-")</f>
        <v>-</v>
      </c>
      <c r="BF134" s="444" t="str">
        <f>IF('Design Fee'!DB136&gt;0,"✔","-")</f>
        <v>-</v>
      </c>
      <c r="BG134" s="444" t="str">
        <f>IF('Design Fee'!DC136&gt;0,"✔","-")</f>
        <v>-</v>
      </c>
      <c r="BH134" s="444" t="str">
        <f>IF('Design Fee'!DD136&gt;0,"✔","-")</f>
        <v>-</v>
      </c>
      <c r="BI134" s="476"/>
      <c r="BJ134" s="471"/>
      <c r="BK134" s="472"/>
      <c r="BL134" s="443" t="str">
        <f>IF('Design Fee'!EA136&gt;0,"✔","-")</f>
        <v>-</v>
      </c>
      <c r="BM134" s="443" t="str">
        <f>IF('Design Fee'!EB136&gt;0,"✔","-")</f>
        <v>-</v>
      </c>
      <c r="BN134" s="466" t="str">
        <f>IF('Design Fee'!EC136&gt;0,"✔","-")</f>
        <v>-</v>
      </c>
      <c r="BO134" s="466" t="str">
        <f>IF('Design Fee'!ED136&gt;0,"✔","-")</f>
        <v>-</v>
      </c>
      <c r="BP134" s="466" t="str">
        <f>IF('Design Fee'!EE136&gt;0,"✔","-")</f>
        <v>-</v>
      </c>
      <c r="BQ134" s="466" t="str">
        <f>IF('Design Fee'!EF136&gt;0,"✔","-")</f>
        <v>-</v>
      </c>
      <c r="BR134" s="466" t="str">
        <f>IF('Design Fee'!EG136&gt;0,"✔","-")</f>
        <v>-</v>
      </c>
      <c r="BS134" s="466" t="str">
        <f>IF('Design Fee'!EH136&gt;0,"✔","-")</f>
        <v>-</v>
      </c>
      <c r="BT134" s="468"/>
      <c r="BU134" s="444" t="str">
        <f>IF('Design Fee'!EJ136&gt;0,"✔","-")</f>
        <v>-</v>
      </c>
      <c r="BV134" s="444" t="str">
        <f>IF('Design Fee'!EK136&gt;0,"✔","-")</f>
        <v>-</v>
      </c>
      <c r="BW134" s="444" t="str">
        <f>IF('Design Fee'!EL136&gt;0,"✔","-")</f>
        <v>-</v>
      </c>
      <c r="BX134" s="444" t="str">
        <f>IF('Design Fee'!EM136&gt;0,"✔","-")</f>
        <v>-</v>
      </c>
      <c r="BY134" s="444" t="str">
        <f>IF('Design Fee'!EN136&gt;0,"✔","-")</f>
        <v>-</v>
      </c>
      <c r="BZ134" s="383"/>
    </row>
    <row r="135" spans="2:78" s="95" customFormat="1" ht="12.75" outlineLevel="2">
      <c r="B135" s="463" t="s">
        <v>142</v>
      </c>
      <c r="C135" s="469">
        <v>5</v>
      </c>
      <c r="D135" s="470" t="s">
        <v>60</v>
      </c>
      <c r="E135" s="468"/>
      <c r="F135" s="443">
        <f t="shared" si="468"/>
        <v>2</v>
      </c>
      <c r="G135" s="444">
        <f t="shared" si="469"/>
        <v>2</v>
      </c>
      <c r="H135" s="444">
        <f t="shared" si="469"/>
        <v>2</v>
      </c>
      <c r="I135" s="444">
        <f t="shared" si="470"/>
        <v>0</v>
      </c>
      <c r="J135" s="480"/>
      <c r="K135" s="471"/>
      <c r="L135" s="472"/>
      <c r="M135" s="443" t="str">
        <f>IF('Design Fee'!W137&gt;0,"✔","-")</f>
        <v>✔</v>
      </c>
      <c r="N135" s="443" t="str">
        <f>IF('Design Fee'!X137&gt;0,"✔","-")</f>
        <v>✔</v>
      </c>
      <c r="O135" s="466" t="str">
        <f>IF('Design Fee'!Y137&gt;0,"✔","-")</f>
        <v>✔</v>
      </c>
      <c r="P135" s="466" t="str">
        <f>IF('Design Fee'!Z137&gt;0,"✔","-")</f>
        <v>-</v>
      </c>
      <c r="Q135" s="466" t="str">
        <f>IF('Design Fee'!AA137&gt;0,"✔","-")</f>
        <v>-</v>
      </c>
      <c r="R135" s="466" t="str">
        <f>IF('Design Fee'!AB137&gt;0,"✔","-")</f>
        <v>-</v>
      </c>
      <c r="S135" s="466" t="str">
        <f>IF('Design Fee'!AC137&gt;0,"✔","-")</f>
        <v>-</v>
      </c>
      <c r="T135" s="466" t="str">
        <f>IF('Design Fee'!AD137&gt;0,"✔","-")</f>
        <v>-</v>
      </c>
      <c r="U135" s="480"/>
      <c r="V135" s="444" t="str">
        <f>IF('Design Fee'!AF137&gt;0,"✔","-")</f>
        <v>-</v>
      </c>
      <c r="W135" s="444" t="str">
        <f>IF('Design Fee'!AG137&gt;0,"✔","-")</f>
        <v>-</v>
      </c>
      <c r="X135" s="444" t="str">
        <f>IF('Design Fee'!AH137&gt;0,"✔","-")</f>
        <v>-</v>
      </c>
      <c r="Y135" s="444" t="str">
        <f>IF('Design Fee'!AI137&gt;0,"✔","-")</f>
        <v>-</v>
      </c>
      <c r="Z135" s="444" t="str">
        <f>IF('Design Fee'!AJ137&gt;0,"✔","-")</f>
        <v>-</v>
      </c>
      <c r="AA135" s="480"/>
      <c r="AB135" s="471"/>
      <c r="AC135" s="472"/>
      <c r="AD135" s="443" t="str">
        <f>IF('Design Fee'!BG137&gt;0,"✔","-")</f>
        <v>✔</v>
      </c>
      <c r="AE135" s="443" t="str">
        <f>IF('Design Fee'!BH137&gt;0,"✔","-")</f>
        <v>✔</v>
      </c>
      <c r="AF135" s="466" t="str">
        <f>IF('Design Fee'!BI137&gt;0,"✔","-")</f>
        <v>✔</v>
      </c>
      <c r="AG135" s="466" t="str">
        <f>IF('Design Fee'!BJ137&gt;0,"✔","-")</f>
        <v>-</v>
      </c>
      <c r="AH135" s="466" t="str">
        <f>IF('Design Fee'!BK137&gt;0,"✔","-")</f>
        <v>-</v>
      </c>
      <c r="AI135" s="466" t="str">
        <f>IF('Design Fee'!BL137&gt;0,"✔","-")</f>
        <v>-</v>
      </c>
      <c r="AJ135" s="466" t="str">
        <f>IF('Design Fee'!BM137&gt;0,"✔","-")</f>
        <v>-</v>
      </c>
      <c r="AK135" s="466" t="str">
        <f>IF('Design Fee'!BN137&gt;0,"✔","-")</f>
        <v>-</v>
      </c>
      <c r="AL135" s="476"/>
      <c r="AM135" s="444" t="str">
        <f>IF('Design Fee'!BP137&gt;0,"✔","-")</f>
        <v>-</v>
      </c>
      <c r="AN135" s="444" t="str">
        <f>IF('Design Fee'!BQ137&gt;0,"✔","-")</f>
        <v>-</v>
      </c>
      <c r="AO135" s="444" t="str">
        <f>IF('Design Fee'!BR137&gt;0,"✔","-")</f>
        <v>-</v>
      </c>
      <c r="AP135" s="444" t="str">
        <f>IF('Design Fee'!BS137&gt;0,"✔","-")</f>
        <v>-</v>
      </c>
      <c r="AQ135" s="444" t="str">
        <f>IF('Design Fee'!BT137&gt;0,"✔","-")</f>
        <v>-</v>
      </c>
      <c r="AR135" s="476"/>
      <c r="AS135" s="471"/>
      <c r="AT135" s="472"/>
      <c r="AU135" s="443" t="str">
        <f>IF('Design Fee'!CQ137&gt;0,"✔","-")</f>
        <v>-</v>
      </c>
      <c r="AV135" s="443" t="str">
        <f>IF('Design Fee'!CR137&gt;0,"✔","-")</f>
        <v>-</v>
      </c>
      <c r="AW135" s="466" t="str">
        <f>IF('Design Fee'!CS137&gt;0,"✔","-")</f>
        <v>-</v>
      </c>
      <c r="AX135" s="466" t="str">
        <f>IF('Design Fee'!CT137&gt;0,"✔","-")</f>
        <v>-</v>
      </c>
      <c r="AY135" s="466" t="str">
        <f>IF('Design Fee'!CU137&gt;0,"✔","-")</f>
        <v>-</v>
      </c>
      <c r="AZ135" s="466" t="str">
        <f>IF('Design Fee'!CV137&gt;0,"✔","-")</f>
        <v>-</v>
      </c>
      <c r="BA135" s="466" t="str">
        <f>IF('Design Fee'!CW137&gt;0,"✔","-")</f>
        <v>-</v>
      </c>
      <c r="BB135" s="466" t="str">
        <f>IF('Design Fee'!CX137&gt;0,"✔","-")</f>
        <v>-</v>
      </c>
      <c r="BC135" s="476"/>
      <c r="BD135" s="444" t="str">
        <f>IF('Design Fee'!CZ137&gt;0,"✔","-")</f>
        <v>-</v>
      </c>
      <c r="BE135" s="444" t="str">
        <f>IF('Design Fee'!DA137&gt;0,"✔","-")</f>
        <v>-</v>
      </c>
      <c r="BF135" s="444" t="str">
        <f>IF('Design Fee'!DB137&gt;0,"✔","-")</f>
        <v>-</v>
      </c>
      <c r="BG135" s="444" t="str">
        <f>IF('Design Fee'!DC137&gt;0,"✔","-")</f>
        <v>-</v>
      </c>
      <c r="BH135" s="444" t="str">
        <f>IF('Design Fee'!DD137&gt;0,"✔","-")</f>
        <v>-</v>
      </c>
      <c r="BI135" s="476"/>
      <c r="BJ135" s="471"/>
      <c r="BK135" s="472"/>
      <c r="BL135" s="443" t="str">
        <f>IF('Design Fee'!EA137&gt;0,"✔","-")</f>
        <v>-</v>
      </c>
      <c r="BM135" s="443" t="str">
        <f>IF('Design Fee'!EB137&gt;0,"✔","-")</f>
        <v>-</v>
      </c>
      <c r="BN135" s="466" t="str">
        <f>IF('Design Fee'!EC137&gt;0,"✔","-")</f>
        <v>-</v>
      </c>
      <c r="BO135" s="466" t="str">
        <f>IF('Design Fee'!ED137&gt;0,"✔","-")</f>
        <v>-</v>
      </c>
      <c r="BP135" s="466" t="str">
        <f>IF('Design Fee'!EE137&gt;0,"✔","-")</f>
        <v>-</v>
      </c>
      <c r="BQ135" s="466" t="str">
        <f>IF('Design Fee'!EF137&gt;0,"✔","-")</f>
        <v>-</v>
      </c>
      <c r="BR135" s="466" t="str">
        <f>IF('Design Fee'!EG137&gt;0,"✔","-")</f>
        <v>-</v>
      </c>
      <c r="BS135" s="466" t="str">
        <f>IF('Design Fee'!EH137&gt;0,"✔","-")</f>
        <v>-</v>
      </c>
      <c r="BT135" s="468"/>
      <c r="BU135" s="444" t="str">
        <f>IF('Design Fee'!EJ137&gt;0,"✔","-")</f>
        <v>-</v>
      </c>
      <c r="BV135" s="444" t="str">
        <f>IF('Design Fee'!EK137&gt;0,"✔","-")</f>
        <v>-</v>
      </c>
      <c r="BW135" s="444" t="str">
        <f>IF('Design Fee'!EL137&gt;0,"✔","-")</f>
        <v>-</v>
      </c>
      <c r="BX135" s="444" t="str">
        <f>IF('Design Fee'!EM137&gt;0,"✔","-")</f>
        <v>-</v>
      </c>
      <c r="BY135" s="444" t="str">
        <f>IF('Design Fee'!EN137&gt;0,"✔","-")</f>
        <v>-</v>
      </c>
      <c r="BZ135" s="383"/>
    </row>
    <row r="136" spans="2:78" s="95" customFormat="1" ht="12.75" outlineLevel="2">
      <c r="B136" s="463" t="s">
        <v>143</v>
      </c>
      <c r="C136" s="469">
        <v>6</v>
      </c>
      <c r="D136" s="470" t="s">
        <v>62</v>
      </c>
      <c r="E136" s="468"/>
      <c r="F136" s="443">
        <f t="shared" si="468"/>
        <v>2</v>
      </c>
      <c r="G136" s="444">
        <f t="shared" si="469"/>
        <v>2</v>
      </c>
      <c r="H136" s="444">
        <f t="shared" si="469"/>
        <v>2</v>
      </c>
      <c r="I136" s="444">
        <f t="shared" si="470"/>
        <v>0</v>
      </c>
      <c r="J136" s="480"/>
      <c r="K136" s="471"/>
      <c r="L136" s="472"/>
      <c r="M136" s="443" t="str">
        <f>IF('Design Fee'!W138&gt;0,"✔","-")</f>
        <v>✔</v>
      </c>
      <c r="N136" s="443" t="str">
        <f>IF('Design Fee'!X138&gt;0,"✔","-")</f>
        <v>✔</v>
      </c>
      <c r="O136" s="466" t="str">
        <f>IF('Design Fee'!Y138&gt;0,"✔","-")</f>
        <v>✔</v>
      </c>
      <c r="P136" s="466" t="str">
        <f>IF('Design Fee'!Z138&gt;0,"✔","-")</f>
        <v>-</v>
      </c>
      <c r="Q136" s="466" t="str">
        <f>IF('Design Fee'!AA138&gt;0,"✔","-")</f>
        <v>-</v>
      </c>
      <c r="R136" s="466" t="str">
        <f>IF('Design Fee'!AB138&gt;0,"✔","-")</f>
        <v>-</v>
      </c>
      <c r="S136" s="466" t="str">
        <f>IF('Design Fee'!AC138&gt;0,"✔","-")</f>
        <v>-</v>
      </c>
      <c r="T136" s="466" t="str">
        <f>IF('Design Fee'!AD138&gt;0,"✔","-")</f>
        <v>-</v>
      </c>
      <c r="U136" s="480"/>
      <c r="V136" s="444" t="str">
        <f>IF('Design Fee'!AF138&gt;0,"✔","-")</f>
        <v>-</v>
      </c>
      <c r="W136" s="444" t="str">
        <f>IF('Design Fee'!AG138&gt;0,"✔","-")</f>
        <v>-</v>
      </c>
      <c r="X136" s="444" t="str">
        <f>IF('Design Fee'!AH138&gt;0,"✔","-")</f>
        <v>-</v>
      </c>
      <c r="Y136" s="444" t="str">
        <f>IF('Design Fee'!AI138&gt;0,"✔","-")</f>
        <v>-</v>
      </c>
      <c r="Z136" s="444" t="str">
        <f>IF('Design Fee'!AJ138&gt;0,"✔","-")</f>
        <v>-</v>
      </c>
      <c r="AA136" s="480"/>
      <c r="AB136" s="471"/>
      <c r="AC136" s="472"/>
      <c r="AD136" s="443" t="str">
        <f>IF('Design Fee'!BG138&gt;0,"✔","-")</f>
        <v>✔</v>
      </c>
      <c r="AE136" s="443" t="str">
        <f>IF('Design Fee'!BH138&gt;0,"✔","-")</f>
        <v>✔</v>
      </c>
      <c r="AF136" s="466" t="str">
        <f>IF('Design Fee'!BI138&gt;0,"✔","-")</f>
        <v>✔</v>
      </c>
      <c r="AG136" s="466" t="str">
        <f>IF('Design Fee'!BJ138&gt;0,"✔","-")</f>
        <v>-</v>
      </c>
      <c r="AH136" s="466" t="str">
        <f>IF('Design Fee'!BK138&gt;0,"✔","-")</f>
        <v>-</v>
      </c>
      <c r="AI136" s="466" t="str">
        <f>IF('Design Fee'!BL138&gt;0,"✔","-")</f>
        <v>-</v>
      </c>
      <c r="AJ136" s="466" t="str">
        <f>IF('Design Fee'!BM138&gt;0,"✔","-")</f>
        <v>-</v>
      </c>
      <c r="AK136" s="466" t="str">
        <f>IF('Design Fee'!BN138&gt;0,"✔","-")</f>
        <v>-</v>
      </c>
      <c r="AL136" s="476"/>
      <c r="AM136" s="444" t="str">
        <f>IF('Design Fee'!BP138&gt;0,"✔","-")</f>
        <v>-</v>
      </c>
      <c r="AN136" s="444" t="str">
        <f>IF('Design Fee'!BQ138&gt;0,"✔","-")</f>
        <v>-</v>
      </c>
      <c r="AO136" s="444" t="str">
        <f>IF('Design Fee'!BR138&gt;0,"✔","-")</f>
        <v>-</v>
      </c>
      <c r="AP136" s="444" t="str">
        <f>IF('Design Fee'!BS138&gt;0,"✔","-")</f>
        <v>-</v>
      </c>
      <c r="AQ136" s="444" t="str">
        <f>IF('Design Fee'!BT138&gt;0,"✔","-")</f>
        <v>-</v>
      </c>
      <c r="AR136" s="476"/>
      <c r="AS136" s="471"/>
      <c r="AT136" s="472"/>
      <c r="AU136" s="443" t="str">
        <f>IF('Design Fee'!CQ138&gt;0,"✔","-")</f>
        <v>-</v>
      </c>
      <c r="AV136" s="443" t="str">
        <f>IF('Design Fee'!CR138&gt;0,"✔","-")</f>
        <v>-</v>
      </c>
      <c r="AW136" s="466" t="str">
        <f>IF('Design Fee'!CS138&gt;0,"✔","-")</f>
        <v>-</v>
      </c>
      <c r="AX136" s="466" t="str">
        <f>IF('Design Fee'!CT138&gt;0,"✔","-")</f>
        <v>-</v>
      </c>
      <c r="AY136" s="466" t="str">
        <f>IF('Design Fee'!CU138&gt;0,"✔","-")</f>
        <v>-</v>
      </c>
      <c r="AZ136" s="466" t="str">
        <f>IF('Design Fee'!CV138&gt;0,"✔","-")</f>
        <v>-</v>
      </c>
      <c r="BA136" s="466" t="str">
        <f>IF('Design Fee'!CW138&gt;0,"✔","-")</f>
        <v>-</v>
      </c>
      <c r="BB136" s="466" t="str">
        <f>IF('Design Fee'!CX138&gt;0,"✔","-")</f>
        <v>-</v>
      </c>
      <c r="BC136" s="476"/>
      <c r="BD136" s="444" t="str">
        <f>IF('Design Fee'!CZ138&gt;0,"✔","-")</f>
        <v>-</v>
      </c>
      <c r="BE136" s="444" t="str">
        <f>IF('Design Fee'!DA138&gt;0,"✔","-")</f>
        <v>-</v>
      </c>
      <c r="BF136" s="444" t="str">
        <f>IF('Design Fee'!DB138&gt;0,"✔","-")</f>
        <v>-</v>
      </c>
      <c r="BG136" s="444" t="str">
        <f>IF('Design Fee'!DC138&gt;0,"✔","-")</f>
        <v>-</v>
      </c>
      <c r="BH136" s="444" t="str">
        <f>IF('Design Fee'!DD138&gt;0,"✔","-")</f>
        <v>-</v>
      </c>
      <c r="BI136" s="476"/>
      <c r="BJ136" s="471"/>
      <c r="BK136" s="472"/>
      <c r="BL136" s="443" t="str">
        <f>IF('Design Fee'!EA138&gt;0,"✔","-")</f>
        <v>-</v>
      </c>
      <c r="BM136" s="443" t="str">
        <f>IF('Design Fee'!EB138&gt;0,"✔","-")</f>
        <v>-</v>
      </c>
      <c r="BN136" s="466" t="str">
        <f>IF('Design Fee'!EC138&gt;0,"✔","-")</f>
        <v>-</v>
      </c>
      <c r="BO136" s="466" t="str">
        <f>IF('Design Fee'!ED138&gt;0,"✔","-")</f>
        <v>-</v>
      </c>
      <c r="BP136" s="466" t="str">
        <f>IF('Design Fee'!EE138&gt;0,"✔","-")</f>
        <v>-</v>
      </c>
      <c r="BQ136" s="466" t="str">
        <f>IF('Design Fee'!EF138&gt;0,"✔","-")</f>
        <v>-</v>
      </c>
      <c r="BR136" s="466" t="str">
        <f>IF('Design Fee'!EG138&gt;0,"✔","-")</f>
        <v>-</v>
      </c>
      <c r="BS136" s="466" t="str">
        <f>IF('Design Fee'!EH138&gt;0,"✔","-")</f>
        <v>-</v>
      </c>
      <c r="BT136" s="468"/>
      <c r="BU136" s="444" t="str">
        <f>IF('Design Fee'!EJ138&gt;0,"✔","-")</f>
        <v>-</v>
      </c>
      <c r="BV136" s="444" t="str">
        <f>IF('Design Fee'!EK138&gt;0,"✔","-")</f>
        <v>-</v>
      </c>
      <c r="BW136" s="444" t="str">
        <f>IF('Design Fee'!EL138&gt;0,"✔","-")</f>
        <v>-</v>
      </c>
      <c r="BX136" s="444" t="str">
        <f>IF('Design Fee'!EM138&gt;0,"✔","-")</f>
        <v>-</v>
      </c>
      <c r="BY136" s="444" t="str">
        <f>IF('Design Fee'!EN138&gt;0,"✔","-")</f>
        <v>-</v>
      </c>
      <c r="BZ136" s="383"/>
    </row>
    <row r="137" spans="2:78" s="95" customFormat="1" ht="12.75" outlineLevel="2">
      <c r="B137" s="463" t="s">
        <v>144</v>
      </c>
      <c r="C137" s="469">
        <v>7</v>
      </c>
      <c r="D137" s="470" t="s">
        <v>64</v>
      </c>
      <c r="E137" s="468"/>
      <c r="F137" s="443">
        <f t="shared" si="468"/>
        <v>2</v>
      </c>
      <c r="G137" s="444">
        <f t="shared" si="469"/>
        <v>2</v>
      </c>
      <c r="H137" s="444">
        <f t="shared" si="469"/>
        <v>2</v>
      </c>
      <c r="I137" s="444">
        <f t="shared" si="470"/>
        <v>0</v>
      </c>
      <c r="J137" s="480"/>
      <c r="K137" s="471"/>
      <c r="L137" s="472"/>
      <c r="M137" s="443" t="str">
        <f>IF('Design Fee'!W139&gt;0,"✔","-")</f>
        <v>✔</v>
      </c>
      <c r="N137" s="443" t="str">
        <f>IF('Design Fee'!X139&gt;0,"✔","-")</f>
        <v>✔</v>
      </c>
      <c r="O137" s="466" t="str">
        <f>IF('Design Fee'!Y139&gt;0,"✔","-")</f>
        <v>✔</v>
      </c>
      <c r="P137" s="466" t="str">
        <f>IF('Design Fee'!Z139&gt;0,"✔","-")</f>
        <v>-</v>
      </c>
      <c r="Q137" s="466" t="str">
        <f>IF('Design Fee'!AA139&gt;0,"✔","-")</f>
        <v>-</v>
      </c>
      <c r="R137" s="466" t="str">
        <f>IF('Design Fee'!AB139&gt;0,"✔","-")</f>
        <v>-</v>
      </c>
      <c r="S137" s="466" t="str">
        <f>IF('Design Fee'!AC139&gt;0,"✔","-")</f>
        <v>-</v>
      </c>
      <c r="T137" s="466" t="str">
        <f>IF('Design Fee'!AD139&gt;0,"✔","-")</f>
        <v>-</v>
      </c>
      <c r="U137" s="480"/>
      <c r="V137" s="444" t="str">
        <f>IF('Design Fee'!AF139&gt;0,"✔","-")</f>
        <v>-</v>
      </c>
      <c r="W137" s="444" t="str">
        <f>IF('Design Fee'!AG139&gt;0,"✔","-")</f>
        <v>-</v>
      </c>
      <c r="X137" s="444" t="str">
        <f>IF('Design Fee'!AH139&gt;0,"✔","-")</f>
        <v>-</v>
      </c>
      <c r="Y137" s="444" t="str">
        <f>IF('Design Fee'!AI139&gt;0,"✔","-")</f>
        <v>-</v>
      </c>
      <c r="Z137" s="444" t="str">
        <f>IF('Design Fee'!AJ139&gt;0,"✔","-")</f>
        <v>-</v>
      </c>
      <c r="AA137" s="480"/>
      <c r="AB137" s="471"/>
      <c r="AC137" s="472"/>
      <c r="AD137" s="443" t="str">
        <f>IF('Design Fee'!BG139&gt;0,"✔","-")</f>
        <v>-</v>
      </c>
      <c r="AE137" s="443" t="str">
        <f>IF('Design Fee'!BH139&gt;0,"✔","-")</f>
        <v>-</v>
      </c>
      <c r="AF137" s="466" t="str">
        <f>IF('Design Fee'!BI139&gt;0,"✔","-")</f>
        <v>-</v>
      </c>
      <c r="AG137" s="466" t="str">
        <f>IF('Design Fee'!BJ139&gt;0,"✔","-")</f>
        <v>-</v>
      </c>
      <c r="AH137" s="466" t="str">
        <f>IF('Design Fee'!BK139&gt;0,"✔","-")</f>
        <v>-</v>
      </c>
      <c r="AI137" s="466" t="str">
        <f>IF('Design Fee'!BL139&gt;0,"✔","-")</f>
        <v>-</v>
      </c>
      <c r="AJ137" s="466" t="str">
        <f>IF('Design Fee'!BM139&gt;0,"✔","-")</f>
        <v>-</v>
      </c>
      <c r="AK137" s="466" t="str">
        <f>IF('Design Fee'!BN139&gt;0,"✔","-")</f>
        <v>-</v>
      </c>
      <c r="AL137" s="476"/>
      <c r="AM137" s="444" t="str">
        <f>IF('Design Fee'!BP139&gt;0,"✔","-")</f>
        <v>-</v>
      </c>
      <c r="AN137" s="444" t="str">
        <f>IF('Design Fee'!BQ139&gt;0,"✔","-")</f>
        <v>-</v>
      </c>
      <c r="AO137" s="444" t="str">
        <f>IF('Design Fee'!BR139&gt;0,"✔","-")</f>
        <v>-</v>
      </c>
      <c r="AP137" s="444" t="str">
        <f>IF('Design Fee'!BS139&gt;0,"✔","-")</f>
        <v>-</v>
      </c>
      <c r="AQ137" s="444" t="str">
        <f>IF('Design Fee'!BT139&gt;0,"✔","-")</f>
        <v>-</v>
      </c>
      <c r="AR137" s="476"/>
      <c r="AS137" s="471"/>
      <c r="AT137" s="472"/>
      <c r="AU137" s="443" t="str">
        <f>IF('Design Fee'!CQ139&gt;0,"✔","-")</f>
        <v>✔</v>
      </c>
      <c r="AV137" s="443" t="str">
        <f>IF('Design Fee'!CR139&gt;0,"✔","-")</f>
        <v>✔</v>
      </c>
      <c r="AW137" s="466" t="str">
        <f>IF('Design Fee'!CS139&gt;0,"✔","-")</f>
        <v>✔</v>
      </c>
      <c r="AX137" s="466" t="str">
        <f>IF('Design Fee'!CT139&gt;0,"✔","-")</f>
        <v>-</v>
      </c>
      <c r="AY137" s="466" t="str">
        <f>IF('Design Fee'!CU139&gt;0,"✔","-")</f>
        <v>-</v>
      </c>
      <c r="AZ137" s="466" t="str">
        <f>IF('Design Fee'!CV139&gt;0,"✔","-")</f>
        <v>-</v>
      </c>
      <c r="BA137" s="466" t="str">
        <f>IF('Design Fee'!CW139&gt;0,"✔","-")</f>
        <v>-</v>
      </c>
      <c r="BB137" s="466" t="str">
        <f>IF('Design Fee'!CX139&gt;0,"✔","-")</f>
        <v>-</v>
      </c>
      <c r="BC137" s="476"/>
      <c r="BD137" s="444" t="str">
        <f>IF('Design Fee'!CZ139&gt;0,"✔","-")</f>
        <v>-</v>
      </c>
      <c r="BE137" s="444" t="str">
        <f>IF('Design Fee'!DA139&gt;0,"✔","-")</f>
        <v>-</v>
      </c>
      <c r="BF137" s="444" t="str">
        <f>IF('Design Fee'!DB139&gt;0,"✔","-")</f>
        <v>-</v>
      </c>
      <c r="BG137" s="444" t="str">
        <f>IF('Design Fee'!DC139&gt;0,"✔","-")</f>
        <v>-</v>
      </c>
      <c r="BH137" s="444" t="str">
        <f>IF('Design Fee'!DD139&gt;0,"✔","-")</f>
        <v>-</v>
      </c>
      <c r="BI137" s="476"/>
      <c r="BJ137" s="471"/>
      <c r="BK137" s="472"/>
      <c r="BL137" s="443" t="str">
        <f>IF('Design Fee'!EA139&gt;0,"✔","-")</f>
        <v>-</v>
      </c>
      <c r="BM137" s="443" t="str">
        <f>IF('Design Fee'!EB139&gt;0,"✔","-")</f>
        <v>-</v>
      </c>
      <c r="BN137" s="466" t="str">
        <f>IF('Design Fee'!EC139&gt;0,"✔","-")</f>
        <v>-</v>
      </c>
      <c r="BO137" s="466" t="str">
        <f>IF('Design Fee'!ED139&gt;0,"✔","-")</f>
        <v>-</v>
      </c>
      <c r="BP137" s="466" t="str">
        <f>IF('Design Fee'!EE139&gt;0,"✔","-")</f>
        <v>-</v>
      </c>
      <c r="BQ137" s="466" t="str">
        <f>IF('Design Fee'!EF139&gt;0,"✔","-")</f>
        <v>-</v>
      </c>
      <c r="BR137" s="466" t="str">
        <f>IF('Design Fee'!EG139&gt;0,"✔","-")</f>
        <v>-</v>
      </c>
      <c r="BS137" s="466" t="str">
        <f>IF('Design Fee'!EH139&gt;0,"✔","-")</f>
        <v>-</v>
      </c>
      <c r="BT137" s="468"/>
      <c r="BU137" s="444" t="str">
        <f>IF('Design Fee'!EJ139&gt;0,"✔","-")</f>
        <v>-</v>
      </c>
      <c r="BV137" s="444" t="str">
        <f>IF('Design Fee'!EK139&gt;0,"✔","-")</f>
        <v>-</v>
      </c>
      <c r="BW137" s="444" t="str">
        <f>IF('Design Fee'!EL139&gt;0,"✔","-")</f>
        <v>-</v>
      </c>
      <c r="BX137" s="444" t="str">
        <f>IF('Design Fee'!EM139&gt;0,"✔","-")</f>
        <v>-</v>
      </c>
      <c r="BY137" s="444" t="str">
        <f>IF('Design Fee'!EN139&gt;0,"✔","-")</f>
        <v>-</v>
      </c>
      <c r="BZ137" s="383"/>
    </row>
    <row r="138" spans="2:78" ht="12.75" outlineLevel="2">
      <c r="B138" s="463" t="s">
        <v>145</v>
      </c>
      <c r="C138" s="464">
        <v>8</v>
      </c>
      <c r="D138" s="465" t="s">
        <v>67</v>
      </c>
      <c r="E138" s="383"/>
      <c r="F138" s="443">
        <f t="shared" si="468"/>
        <v>3</v>
      </c>
      <c r="G138" s="444">
        <f t="shared" si="469"/>
        <v>3</v>
      </c>
      <c r="H138" s="444">
        <f t="shared" si="469"/>
        <v>3</v>
      </c>
      <c r="I138" s="444">
        <f t="shared" si="470"/>
        <v>0</v>
      </c>
      <c r="J138" s="467"/>
      <c r="K138" s="441"/>
      <c r="L138" s="442"/>
      <c r="M138" s="443" t="str">
        <f>IF('Design Fee'!W140&gt;0,"✔","-")</f>
        <v>✔</v>
      </c>
      <c r="N138" s="443" t="str">
        <f>IF('Design Fee'!X140&gt;0,"✔","-")</f>
        <v>✔</v>
      </c>
      <c r="O138" s="444" t="str">
        <f>IF('Design Fee'!Y140&gt;0,"✔","-")</f>
        <v>✔</v>
      </c>
      <c r="P138" s="444" t="str">
        <f>IF('Design Fee'!Z140&gt;0,"✔","-")</f>
        <v>-</v>
      </c>
      <c r="Q138" s="444" t="str">
        <f>IF('Design Fee'!AA140&gt;0,"✔","-")</f>
        <v>-</v>
      </c>
      <c r="R138" s="444" t="str">
        <f>IF('Design Fee'!AB140&gt;0,"✔","-")</f>
        <v>-</v>
      </c>
      <c r="S138" s="444" t="str">
        <f>IF('Design Fee'!AC140&gt;0,"✔","-")</f>
        <v>-</v>
      </c>
      <c r="T138" s="466" t="str">
        <f>IF('Design Fee'!AD140&gt;0,"✔","-")</f>
        <v>-</v>
      </c>
      <c r="U138" s="467"/>
      <c r="V138" s="444" t="str">
        <f>IF('Design Fee'!AF140&gt;0,"✔","-")</f>
        <v>-</v>
      </c>
      <c r="W138" s="444" t="str">
        <f>IF('Design Fee'!AG140&gt;0,"✔","-")</f>
        <v>-</v>
      </c>
      <c r="X138" s="444" t="str">
        <f>IF('Design Fee'!AH140&gt;0,"✔","-")</f>
        <v>-</v>
      </c>
      <c r="Y138" s="444" t="str">
        <f>IF('Design Fee'!AI140&gt;0,"✔","-")</f>
        <v>-</v>
      </c>
      <c r="Z138" s="444" t="str">
        <f>IF('Design Fee'!AJ140&gt;0,"✔","-")</f>
        <v>-</v>
      </c>
      <c r="AA138" s="467"/>
      <c r="AB138" s="441"/>
      <c r="AC138" s="442"/>
      <c r="AD138" s="443" t="str">
        <f>IF('Design Fee'!BG140&gt;0,"✔","-")</f>
        <v>✔</v>
      </c>
      <c r="AE138" s="443" t="str">
        <f>IF('Design Fee'!BH140&gt;0,"✔","-")</f>
        <v>✔</v>
      </c>
      <c r="AF138" s="444" t="str">
        <f>IF('Design Fee'!BI140&gt;0,"✔","-")</f>
        <v>✔</v>
      </c>
      <c r="AG138" s="444" t="str">
        <f>IF('Design Fee'!BJ140&gt;0,"✔","-")</f>
        <v>-</v>
      </c>
      <c r="AH138" s="444" t="str">
        <f>IF('Design Fee'!BK140&gt;0,"✔","-")</f>
        <v>-</v>
      </c>
      <c r="AI138" s="444" t="str">
        <f>IF('Design Fee'!BL140&gt;0,"✔","-")</f>
        <v>-</v>
      </c>
      <c r="AJ138" s="444" t="str">
        <f>IF('Design Fee'!BM140&gt;0,"✔","-")</f>
        <v>-</v>
      </c>
      <c r="AK138" s="466" t="str">
        <f>IF('Design Fee'!BN140&gt;0,"✔","-")</f>
        <v>-</v>
      </c>
      <c r="AL138" s="445"/>
      <c r="AM138" s="444" t="str">
        <f>IF('Design Fee'!BP140&gt;0,"✔","-")</f>
        <v>-</v>
      </c>
      <c r="AN138" s="444" t="str">
        <f>IF('Design Fee'!BQ140&gt;0,"✔","-")</f>
        <v>-</v>
      </c>
      <c r="AO138" s="444" t="str">
        <f>IF('Design Fee'!BR140&gt;0,"✔","-")</f>
        <v>-</v>
      </c>
      <c r="AP138" s="444" t="str">
        <f>IF('Design Fee'!BS140&gt;0,"✔","-")</f>
        <v>-</v>
      </c>
      <c r="AQ138" s="444" t="str">
        <f>IF('Design Fee'!BT140&gt;0,"✔","-")</f>
        <v>-</v>
      </c>
      <c r="AR138" s="445"/>
      <c r="AS138" s="441"/>
      <c r="AT138" s="442"/>
      <c r="AU138" s="443" t="str">
        <f>IF('Design Fee'!CQ140&gt;0,"✔","-")</f>
        <v>✔</v>
      </c>
      <c r="AV138" s="443" t="str">
        <f>IF('Design Fee'!CR140&gt;0,"✔","-")</f>
        <v>✔</v>
      </c>
      <c r="AW138" s="444" t="str">
        <f>IF('Design Fee'!CS140&gt;0,"✔","-")</f>
        <v>✔</v>
      </c>
      <c r="AX138" s="444" t="str">
        <f>IF('Design Fee'!CT140&gt;0,"✔","-")</f>
        <v>-</v>
      </c>
      <c r="AY138" s="444" t="str">
        <f>IF('Design Fee'!CU140&gt;0,"✔","-")</f>
        <v>-</v>
      </c>
      <c r="AZ138" s="444" t="str">
        <f>IF('Design Fee'!CV140&gt;0,"✔","-")</f>
        <v>-</v>
      </c>
      <c r="BA138" s="444" t="str">
        <f>IF('Design Fee'!CW140&gt;0,"✔","-")</f>
        <v>-</v>
      </c>
      <c r="BB138" s="466" t="str">
        <f>IF('Design Fee'!CX140&gt;0,"✔","-")</f>
        <v>-</v>
      </c>
      <c r="BC138" s="445"/>
      <c r="BD138" s="444" t="str">
        <f>IF('Design Fee'!CZ140&gt;0,"✔","-")</f>
        <v>-</v>
      </c>
      <c r="BE138" s="444" t="str">
        <f>IF('Design Fee'!DA140&gt;0,"✔","-")</f>
        <v>-</v>
      </c>
      <c r="BF138" s="444" t="str">
        <f>IF('Design Fee'!DB140&gt;0,"✔","-")</f>
        <v>-</v>
      </c>
      <c r="BG138" s="444" t="str">
        <f>IF('Design Fee'!DC140&gt;0,"✔","-")</f>
        <v>-</v>
      </c>
      <c r="BH138" s="444" t="str">
        <f>IF('Design Fee'!DD140&gt;0,"✔","-")</f>
        <v>-</v>
      </c>
      <c r="BI138" s="445"/>
      <c r="BJ138" s="441"/>
      <c r="BK138" s="442"/>
      <c r="BL138" s="443" t="str">
        <f>IF('Design Fee'!EA140&gt;0,"✔","-")</f>
        <v>-</v>
      </c>
      <c r="BM138" s="443" t="str">
        <f>IF('Design Fee'!EB140&gt;0,"✔","-")</f>
        <v>-</v>
      </c>
      <c r="BN138" s="444" t="str">
        <f>IF('Design Fee'!EC140&gt;0,"✔","-")</f>
        <v>-</v>
      </c>
      <c r="BO138" s="444" t="str">
        <f>IF('Design Fee'!ED140&gt;0,"✔","-")</f>
        <v>-</v>
      </c>
      <c r="BP138" s="444" t="str">
        <f>IF('Design Fee'!EE140&gt;0,"✔","-")</f>
        <v>-</v>
      </c>
      <c r="BQ138" s="444" t="str">
        <f>IF('Design Fee'!EF140&gt;0,"✔","-")</f>
        <v>-</v>
      </c>
      <c r="BR138" s="444" t="str">
        <f>IF('Design Fee'!EG140&gt;0,"✔","-")</f>
        <v>-</v>
      </c>
      <c r="BS138" s="466" t="str">
        <f>IF('Design Fee'!EH140&gt;0,"✔","-")</f>
        <v>-</v>
      </c>
      <c r="BT138" s="383"/>
      <c r="BU138" s="444" t="str">
        <f>IF('Design Fee'!EJ140&gt;0,"✔","-")</f>
        <v>-</v>
      </c>
      <c r="BV138" s="444" t="str">
        <f>IF('Design Fee'!EK140&gt;0,"✔","-")</f>
        <v>-</v>
      </c>
      <c r="BW138" s="444" t="str">
        <f>IF('Design Fee'!EL140&gt;0,"✔","-")</f>
        <v>-</v>
      </c>
      <c r="BX138" s="444" t="str">
        <f>IF('Design Fee'!EM140&gt;0,"✔","-")</f>
        <v>-</v>
      </c>
      <c r="BY138" s="444" t="str">
        <f>IF('Design Fee'!EN140&gt;0,"✔","-")</f>
        <v>-</v>
      </c>
      <c r="BZ138" s="383"/>
    </row>
    <row r="139" spans="2:78" ht="12.75" outlineLevel="2">
      <c r="B139" s="463" t="s">
        <v>146</v>
      </c>
      <c r="C139" s="464">
        <v>9</v>
      </c>
      <c r="D139" s="465" t="s">
        <v>69</v>
      </c>
      <c r="E139" s="383"/>
      <c r="F139" s="443">
        <f t="shared" si="468"/>
        <v>3</v>
      </c>
      <c r="G139" s="444">
        <f t="shared" si="469"/>
        <v>3</v>
      </c>
      <c r="H139" s="444">
        <f t="shared" si="469"/>
        <v>3</v>
      </c>
      <c r="I139" s="444">
        <f t="shared" si="470"/>
        <v>0</v>
      </c>
      <c r="J139" s="467"/>
      <c r="K139" s="441"/>
      <c r="L139" s="442"/>
      <c r="M139" s="443" t="str">
        <f>IF('Design Fee'!W141&gt;0,"✔","-")</f>
        <v>✔</v>
      </c>
      <c r="N139" s="443" t="str">
        <f>IF('Design Fee'!X141&gt;0,"✔","-")</f>
        <v>✔</v>
      </c>
      <c r="O139" s="444" t="str">
        <f>IF('Design Fee'!Y141&gt;0,"✔","-")</f>
        <v>✔</v>
      </c>
      <c r="P139" s="444" t="str">
        <f>IF('Design Fee'!Z141&gt;0,"✔","-")</f>
        <v>-</v>
      </c>
      <c r="Q139" s="444" t="str">
        <f>IF('Design Fee'!AA141&gt;0,"✔","-")</f>
        <v>-</v>
      </c>
      <c r="R139" s="444" t="str">
        <f>IF('Design Fee'!AB141&gt;0,"✔","-")</f>
        <v>-</v>
      </c>
      <c r="S139" s="444" t="str">
        <f>IF('Design Fee'!AC141&gt;0,"✔","-")</f>
        <v>-</v>
      </c>
      <c r="T139" s="466" t="str">
        <f>IF('Design Fee'!AD141&gt;0,"✔","-")</f>
        <v>-</v>
      </c>
      <c r="U139" s="467"/>
      <c r="V139" s="444" t="str">
        <f>IF('Design Fee'!AF141&gt;0,"✔","-")</f>
        <v>-</v>
      </c>
      <c r="W139" s="444" t="str">
        <f>IF('Design Fee'!AG141&gt;0,"✔","-")</f>
        <v>-</v>
      </c>
      <c r="X139" s="444" t="str">
        <f>IF('Design Fee'!AH141&gt;0,"✔","-")</f>
        <v>-</v>
      </c>
      <c r="Y139" s="444" t="str">
        <f>IF('Design Fee'!AI141&gt;0,"✔","-")</f>
        <v>-</v>
      </c>
      <c r="Z139" s="444" t="str">
        <f>IF('Design Fee'!AJ141&gt;0,"✔","-")</f>
        <v>-</v>
      </c>
      <c r="AA139" s="467"/>
      <c r="AB139" s="441"/>
      <c r="AC139" s="442"/>
      <c r="AD139" s="443" t="str">
        <f>IF('Design Fee'!BG141&gt;0,"✔","-")</f>
        <v>✔</v>
      </c>
      <c r="AE139" s="443" t="str">
        <f>IF('Design Fee'!BH141&gt;0,"✔","-")</f>
        <v>✔</v>
      </c>
      <c r="AF139" s="444" t="str">
        <f>IF('Design Fee'!BI141&gt;0,"✔","-")</f>
        <v>✔</v>
      </c>
      <c r="AG139" s="444" t="str">
        <f>IF('Design Fee'!BJ141&gt;0,"✔","-")</f>
        <v>-</v>
      </c>
      <c r="AH139" s="444" t="str">
        <f>IF('Design Fee'!BK141&gt;0,"✔","-")</f>
        <v>-</v>
      </c>
      <c r="AI139" s="444" t="str">
        <f>IF('Design Fee'!BL141&gt;0,"✔","-")</f>
        <v>-</v>
      </c>
      <c r="AJ139" s="444" t="str">
        <f>IF('Design Fee'!BM141&gt;0,"✔","-")</f>
        <v>-</v>
      </c>
      <c r="AK139" s="466" t="str">
        <f>IF('Design Fee'!BN141&gt;0,"✔","-")</f>
        <v>-</v>
      </c>
      <c r="AL139" s="445"/>
      <c r="AM139" s="444" t="str">
        <f>IF('Design Fee'!BP141&gt;0,"✔","-")</f>
        <v>-</v>
      </c>
      <c r="AN139" s="444" t="str">
        <f>IF('Design Fee'!BQ141&gt;0,"✔","-")</f>
        <v>-</v>
      </c>
      <c r="AO139" s="444" t="str">
        <f>IF('Design Fee'!BR141&gt;0,"✔","-")</f>
        <v>-</v>
      </c>
      <c r="AP139" s="444" t="str">
        <f>IF('Design Fee'!BS141&gt;0,"✔","-")</f>
        <v>-</v>
      </c>
      <c r="AQ139" s="444" t="str">
        <f>IF('Design Fee'!BT141&gt;0,"✔","-")</f>
        <v>-</v>
      </c>
      <c r="AR139" s="445"/>
      <c r="AS139" s="441"/>
      <c r="AT139" s="442"/>
      <c r="AU139" s="443" t="str">
        <f>IF('Design Fee'!CQ141&gt;0,"✔","-")</f>
        <v>✔</v>
      </c>
      <c r="AV139" s="443" t="str">
        <f>IF('Design Fee'!CR141&gt;0,"✔","-")</f>
        <v>✔</v>
      </c>
      <c r="AW139" s="444" t="str">
        <f>IF('Design Fee'!CS141&gt;0,"✔","-")</f>
        <v>✔</v>
      </c>
      <c r="AX139" s="444" t="str">
        <f>IF('Design Fee'!CT141&gt;0,"✔","-")</f>
        <v>-</v>
      </c>
      <c r="AY139" s="444" t="str">
        <f>IF('Design Fee'!CU141&gt;0,"✔","-")</f>
        <v>-</v>
      </c>
      <c r="AZ139" s="444" t="str">
        <f>IF('Design Fee'!CV141&gt;0,"✔","-")</f>
        <v>-</v>
      </c>
      <c r="BA139" s="444" t="str">
        <f>IF('Design Fee'!CW141&gt;0,"✔","-")</f>
        <v>-</v>
      </c>
      <c r="BB139" s="466" t="str">
        <f>IF('Design Fee'!CX141&gt;0,"✔","-")</f>
        <v>-</v>
      </c>
      <c r="BC139" s="445"/>
      <c r="BD139" s="444" t="str">
        <f>IF('Design Fee'!CZ141&gt;0,"✔","-")</f>
        <v>-</v>
      </c>
      <c r="BE139" s="444" t="str">
        <f>IF('Design Fee'!DA141&gt;0,"✔","-")</f>
        <v>-</v>
      </c>
      <c r="BF139" s="444" t="str">
        <f>IF('Design Fee'!DB141&gt;0,"✔","-")</f>
        <v>-</v>
      </c>
      <c r="BG139" s="444" t="str">
        <f>IF('Design Fee'!DC141&gt;0,"✔","-")</f>
        <v>-</v>
      </c>
      <c r="BH139" s="444" t="str">
        <f>IF('Design Fee'!DD141&gt;0,"✔","-")</f>
        <v>-</v>
      </c>
      <c r="BI139" s="445"/>
      <c r="BJ139" s="441"/>
      <c r="BK139" s="442"/>
      <c r="BL139" s="443" t="str">
        <f>IF('Design Fee'!EA141&gt;0,"✔","-")</f>
        <v>-</v>
      </c>
      <c r="BM139" s="443" t="str">
        <f>IF('Design Fee'!EB141&gt;0,"✔","-")</f>
        <v>-</v>
      </c>
      <c r="BN139" s="444" t="str">
        <f>IF('Design Fee'!EC141&gt;0,"✔","-")</f>
        <v>-</v>
      </c>
      <c r="BO139" s="444" t="str">
        <f>IF('Design Fee'!ED141&gt;0,"✔","-")</f>
        <v>-</v>
      </c>
      <c r="BP139" s="444" t="str">
        <f>IF('Design Fee'!EE141&gt;0,"✔","-")</f>
        <v>-</v>
      </c>
      <c r="BQ139" s="444" t="str">
        <f>IF('Design Fee'!EF141&gt;0,"✔","-")</f>
        <v>-</v>
      </c>
      <c r="BR139" s="444" t="str">
        <f>IF('Design Fee'!EG141&gt;0,"✔","-")</f>
        <v>-</v>
      </c>
      <c r="BS139" s="466" t="str">
        <f>IF('Design Fee'!EH141&gt;0,"✔","-")</f>
        <v>-</v>
      </c>
      <c r="BT139" s="383"/>
      <c r="BU139" s="444" t="str">
        <f>IF('Design Fee'!EJ141&gt;0,"✔","-")</f>
        <v>-</v>
      </c>
      <c r="BV139" s="444" t="str">
        <f>IF('Design Fee'!EK141&gt;0,"✔","-")</f>
        <v>-</v>
      </c>
      <c r="BW139" s="444" t="str">
        <f>IF('Design Fee'!EL141&gt;0,"✔","-")</f>
        <v>-</v>
      </c>
      <c r="BX139" s="444" t="str">
        <f>IF('Design Fee'!EM141&gt;0,"✔","-")</f>
        <v>-</v>
      </c>
      <c r="BY139" s="444" t="str">
        <f>IF('Design Fee'!EN141&gt;0,"✔","-")</f>
        <v>-</v>
      </c>
      <c r="BZ139" s="383"/>
    </row>
    <row r="140" spans="2:78" ht="12.75" outlineLevel="2">
      <c r="B140" s="463" t="s">
        <v>147</v>
      </c>
      <c r="C140" s="464">
        <v>10</v>
      </c>
      <c r="D140" s="465" t="s">
        <v>71</v>
      </c>
      <c r="E140" s="383"/>
      <c r="F140" s="443">
        <f t="shared" si="468"/>
        <v>1</v>
      </c>
      <c r="G140" s="444">
        <f t="shared" si="469"/>
        <v>1</v>
      </c>
      <c r="H140" s="444">
        <f t="shared" si="469"/>
        <v>1</v>
      </c>
      <c r="I140" s="444">
        <f t="shared" si="470"/>
        <v>0</v>
      </c>
      <c r="J140" s="467"/>
      <c r="K140" s="441"/>
      <c r="L140" s="442"/>
      <c r="M140" s="443" t="str">
        <f>IF('Design Fee'!W142&gt;0,"✔","-")</f>
        <v>✔</v>
      </c>
      <c r="N140" s="443" t="str">
        <f>IF('Design Fee'!X142&gt;0,"✔","-")</f>
        <v>✔</v>
      </c>
      <c r="O140" s="444" t="str">
        <f>IF('Design Fee'!Y142&gt;0,"✔","-")</f>
        <v>✔</v>
      </c>
      <c r="P140" s="444" t="str">
        <f>IF('Design Fee'!Z142&gt;0,"✔","-")</f>
        <v>-</v>
      </c>
      <c r="Q140" s="444" t="str">
        <f>IF('Design Fee'!AA142&gt;0,"✔","-")</f>
        <v>-</v>
      </c>
      <c r="R140" s="444" t="str">
        <f>IF('Design Fee'!AB142&gt;0,"✔","-")</f>
        <v>-</v>
      </c>
      <c r="S140" s="444" t="str">
        <f>IF('Design Fee'!AC142&gt;0,"✔","-")</f>
        <v>-</v>
      </c>
      <c r="T140" s="466" t="str">
        <f>IF('Design Fee'!AD142&gt;0,"✔","-")</f>
        <v>-</v>
      </c>
      <c r="U140" s="467"/>
      <c r="V140" s="444" t="str">
        <f>IF('Design Fee'!AF142&gt;0,"✔","-")</f>
        <v>-</v>
      </c>
      <c r="W140" s="444" t="str">
        <f>IF('Design Fee'!AG142&gt;0,"✔","-")</f>
        <v>-</v>
      </c>
      <c r="X140" s="444" t="str">
        <f>IF('Design Fee'!AH142&gt;0,"✔","-")</f>
        <v>-</v>
      </c>
      <c r="Y140" s="444" t="str">
        <f>IF('Design Fee'!AI142&gt;0,"✔","-")</f>
        <v>-</v>
      </c>
      <c r="Z140" s="444" t="str">
        <f>IF('Design Fee'!AJ142&gt;0,"✔","-")</f>
        <v>-</v>
      </c>
      <c r="AA140" s="467"/>
      <c r="AB140" s="441"/>
      <c r="AC140" s="442"/>
      <c r="AD140" s="443" t="str">
        <f>IF('Design Fee'!BG142&gt;0,"✔","-")</f>
        <v>-</v>
      </c>
      <c r="AE140" s="443" t="str">
        <f>IF('Design Fee'!BH142&gt;0,"✔","-")</f>
        <v>-</v>
      </c>
      <c r="AF140" s="444" t="str">
        <f>IF('Design Fee'!BI142&gt;0,"✔","-")</f>
        <v>-</v>
      </c>
      <c r="AG140" s="444" t="str">
        <f>IF('Design Fee'!BJ142&gt;0,"✔","-")</f>
        <v>-</v>
      </c>
      <c r="AH140" s="444" t="str">
        <f>IF('Design Fee'!BK142&gt;0,"✔","-")</f>
        <v>-</v>
      </c>
      <c r="AI140" s="444" t="str">
        <f>IF('Design Fee'!BL142&gt;0,"✔","-")</f>
        <v>-</v>
      </c>
      <c r="AJ140" s="444" t="str">
        <f>IF('Design Fee'!BM142&gt;0,"✔","-")</f>
        <v>-</v>
      </c>
      <c r="AK140" s="466" t="str">
        <f>IF('Design Fee'!BN142&gt;0,"✔","-")</f>
        <v>-</v>
      </c>
      <c r="AL140" s="445"/>
      <c r="AM140" s="444" t="str">
        <f>IF('Design Fee'!BP142&gt;0,"✔","-")</f>
        <v>-</v>
      </c>
      <c r="AN140" s="444" t="str">
        <f>IF('Design Fee'!BQ142&gt;0,"✔","-")</f>
        <v>-</v>
      </c>
      <c r="AO140" s="444" t="str">
        <f>IF('Design Fee'!BR142&gt;0,"✔","-")</f>
        <v>-</v>
      </c>
      <c r="AP140" s="444" t="str">
        <f>IF('Design Fee'!BS142&gt;0,"✔","-")</f>
        <v>-</v>
      </c>
      <c r="AQ140" s="444" t="str">
        <f>IF('Design Fee'!BT142&gt;0,"✔","-")</f>
        <v>-</v>
      </c>
      <c r="AR140" s="445"/>
      <c r="AS140" s="441"/>
      <c r="AT140" s="442"/>
      <c r="AU140" s="443" t="str">
        <f>IF('Design Fee'!CQ142&gt;0,"✔","-")</f>
        <v>-</v>
      </c>
      <c r="AV140" s="443" t="str">
        <f>IF('Design Fee'!CR142&gt;0,"✔","-")</f>
        <v>-</v>
      </c>
      <c r="AW140" s="444" t="str">
        <f>IF('Design Fee'!CS142&gt;0,"✔","-")</f>
        <v>-</v>
      </c>
      <c r="AX140" s="444" t="str">
        <f>IF('Design Fee'!CT142&gt;0,"✔","-")</f>
        <v>-</v>
      </c>
      <c r="AY140" s="444" t="str">
        <f>IF('Design Fee'!CU142&gt;0,"✔","-")</f>
        <v>-</v>
      </c>
      <c r="AZ140" s="444" t="str">
        <f>IF('Design Fee'!CV142&gt;0,"✔","-")</f>
        <v>-</v>
      </c>
      <c r="BA140" s="444" t="str">
        <f>IF('Design Fee'!CW142&gt;0,"✔","-")</f>
        <v>-</v>
      </c>
      <c r="BB140" s="466" t="str">
        <f>IF('Design Fee'!CX142&gt;0,"✔","-")</f>
        <v>-</v>
      </c>
      <c r="BC140" s="445"/>
      <c r="BD140" s="444" t="str">
        <f>IF('Design Fee'!CZ142&gt;0,"✔","-")</f>
        <v>-</v>
      </c>
      <c r="BE140" s="444" t="str">
        <f>IF('Design Fee'!DA142&gt;0,"✔","-")</f>
        <v>-</v>
      </c>
      <c r="BF140" s="444" t="str">
        <f>IF('Design Fee'!DB142&gt;0,"✔","-")</f>
        <v>-</v>
      </c>
      <c r="BG140" s="444" t="str">
        <f>IF('Design Fee'!DC142&gt;0,"✔","-")</f>
        <v>-</v>
      </c>
      <c r="BH140" s="444" t="str">
        <f>IF('Design Fee'!DD142&gt;0,"✔","-")</f>
        <v>-</v>
      </c>
      <c r="BI140" s="445"/>
      <c r="BJ140" s="441"/>
      <c r="BK140" s="442"/>
      <c r="BL140" s="443" t="str">
        <f>IF('Design Fee'!EA142&gt;0,"✔","-")</f>
        <v>-</v>
      </c>
      <c r="BM140" s="443" t="str">
        <f>IF('Design Fee'!EB142&gt;0,"✔","-")</f>
        <v>-</v>
      </c>
      <c r="BN140" s="444" t="str">
        <f>IF('Design Fee'!EC142&gt;0,"✔","-")</f>
        <v>-</v>
      </c>
      <c r="BO140" s="444" t="str">
        <f>IF('Design Fee'!ED142&gt;0,"✔","-")</f>
        <v>-</v>
      </c>
      <c r="BP140" s="444" t="str">
        <f>IF('Design Fee'!EE142&gt;0,"✔","-")</f>
        <v>-</v>
      </c>
      <c r="BQ140" s="444" t="str">
        <f>IF('Design Fee'!EF142&gt;0,"✔","-")</f>
        <v>-</v>
      </c>
      <c r="BR140" s="444" t="str">
        <f>IF('Design Fee'!EG142&gt;0,"✔","-")</f>
        <v>-</v>
      </c>
      <c r="BS140" s="466" t="str">
        <f>IF('Design Fee'!EH142&gt;0,"✔","-")</f>
        <v>-</v>
      </c>
      <c r="BT140" s="383"/>
      <c r="BU140" s="444" t="str">
        <f>IF('Design Fee'!EJ142&gt;0,"✔","-")</f>
        <v>-</v>
      </c>
      <c r="BV140" s="444" t="str">
        <f>IF('Design Fee'!EK142&gt;0,"✔","-")</f>
        <v>-</v>
      </c>
      <c r="BW140" s="444" t="str">
        <f>IF('Design Fee'!EL142&gt;0,"✔","-")</f>
        <v>-</v>
      </c>
      <c r="BX140" s="444" t="str">
        <f>IF('Design Fee'!EM142&gt;0,"✔","-")</f>
        <v>-</v>
      </c>
      <c r="BY140" s="444" t="str">
        <f>IF('Design Fee'!EN142&gt;0,"✔","-")</f>
        <v>-</v>
      </c>
      <c r="BZ140" s="383"/>
    </row>
    <row r="141" spans="2:78" ht="3" customHeight="1" outlineLevel="1">
      <c r="B141" s="477"/>
      <c r="C141" s="478"/>
      <c r="D141" s="465"/>
      <c r="E141" s="383"/>
      <c r="F141" s="408"/>
      <c r="G141" s="421"/>
      <c r="H141" s="421"/>
      <c r="I141" s="421"/>
      <c r="J141" s="467"/>
      <c r="K141" s="441"/>
      <c r="L141" s="442"/>
      <c r="M141" s="443"/>
      <c r="N141" s="443"/>
      <c r="O141" s="482"/>
      <c r="P141" s="482"/>
      <c r="Q141" s="482"/>
      <c r="R141" s="482"/>
      <c r="S141" s="482"/>
      <c r="T141" s="482"/>
      <c r="U141" s="467"/>
      <c r="V141" s="482"/>
      <c r="W141" s="482"/>
      <c r="X141" s="482"/>
      <c r="Y141" s="482"/>
      <c r="Z141" s="482"/>
      <c r="AA141" s="467"/>
      <c r="AB141" s="441"/>
      <c r="AC141" s="442"/>
      <c r="AD141" s="443"/>
      <c r="AE141" s="443"/>
      <c r="AF141" s="421"/>
      <c r="AG141" s="421"/>
      <c r="AH141" s="421"/>
      <c r="AI141" s="421"/>
      <c r="AJ141" s="421"/>
      <c r="AK141" s="421"/>
      <c r="AL141" s="421"/>
      <c r="AM141" s="421"/>
      <c r="AN141" s="421"/>
      <c r="AO141" s="421"/>
      <c r="AP141" s="421"/>
      <c r="AQ141" s="421"/>
      <c r="AR141" s="421"/>
      <c r="AS141" s="441"/>
      <c r="AT141" s="421"/>
      <c r="AU141" s="443"/>
      <c r="AV141" s="443"/>
      <c r="AW141" s="421"/>
      <c r="AX141" s="421"/>
      <c r="AY141" s="421"/>
      <c r="AZ141" s="421"/>
      <c r="BA141" s="421"/>
      <c r="BB141" s="421"/>
      <c r="BC141" s="421"/>
      <c r="BD141" s="421"/>
      <c r="BE141" s="421"/>
      <c r="BF141" s="421"/>
      <c r="BG141" s="421"/>
      <c r="BH141" s="421"/>
      <c r="BI141" s="421"/>
      <c r="BJ141" s="441"/>
      <c r="BK141" s="421"/>
      <c r="BL141" s="443"/>
      <c r="BM141" s="443"/>
      <c r="BN141" s="421"/>
      <c r="BO141" s="421"/>
      <c r="BP141" s="421"/>
      <c r="BQ141" s="421"/>
      <c r="BR141" s="421"/>
      <c r="BS141" s="421"/>
      <c r="BT141" s="383"/>
      <c r="BU141" s="421"/>
      <c r="BV141" s="421"/>
      <c r="BW141" s="421"/>
      <c r="BX141" s="421"/>
      <c r="BY141" s="421"/>
      <c r="BZ141" s="383"/>
    </row>
    <row r="142" spans="2:78" ht="12.75" outlineLevel="1">
      <c r="B142" s="432">
        <v>2</v>
      </c>
      <c r="C142" s="459">
        <v>9</v>
      </c>
      <c r="D142" s="460" t="s">
        <v>148</v>
      </c>
      <c r="E142" s="434"/>
      <c r="F142" s="461">
        <f>M142+AD142+AU142+BL142</f>
        <v>9</v>
      </c>
      <c r="G142" s="461">
        <f t="shared" ref="G142:I142" si="471">N142+AE142+AV142+BM142</f>
        <v>7</v>
      </c>
      <c r="H142" s="461">
        <f t="shared" si="471"/>
        <v>6</v>
      </c>
      <c r="I142" s="461">
        <f t="shared" si="471"/>
        <v>3</v>
      </c>
      <c r="J142" s="438">
        <f t="shared" ref="J142" si="472">COUNT(J143:J152)</f>
        <v>0</v>
      </c>
      <c r="K142" s="435"/>
      <c r="L142" s="435"/>
      <c r="M142" s="461">
        <f>COUNTIF(M143:M152,"✔")</f>
        <v>3</v>
      </c>
      <c r="N142" s="461">
        <f t="shared" ref="N142" si="473">COUNTIF(N143:N152,"✔")</f>
        <v>2</v>
      </c>
      <c r="O142" s="461">
        <f t="shared" ref="O142" si="474">COUNTIF(O143:O152,"✔")</f>
        <v>1</v>
      </c>
      <c r="P142" s="461">
        <f t="shared" ref="P142" si="475">COUNTIF(P143:P152,"✔")</f>
        <v>2</v>
      </c>
      <c r="Q142" s="461">
        <f t="shared" ref="Q142" si="476">COUNTIF(Q143:Q152,"✔")</f>
        <v>2</v>
      </c>
      <c r="R142" s="461">
        <f t="shared" ref="R142" si="477">COUNTIF(R143:R152,"✔")</f>
        <v>0</v>
      </c>
      <c r="S142" s="461">
        <f t="shared" ref="S142" si="478">COUNTIF(S143:S152,"✔")</f>
        <v>0</v>
      </c>
      <c r="T142" s="461">
        <f t="shared" ref="T142" si="479">COUNTIF(T143:T152,"✔")</f>
        <v>0</v>
      </c>
      <c r="U142" s="461">
        <f t="shared" ref="U142" si="480">COUNTIF(U143:U152,"✔")</f>
        <v>0</v>
      </c>
      <c r="V142" s="461">
        <f t="shared" ref="V142" si="481">COUNTIF(V143:V152,"✔")</f>
        <v>1</v>
      </c>
      <c r="W142" s="461">
        <f t="shared" ref="W142" si="482">COUNTIF(W143:W152,"✔")</f>
        <v>1</v>
      </c>
      <c r="X142" s="461">
        <f t="shared" ref="X142" si="483">COUNTIF(X143:X152,"✔")</f>
        <v>0</v>
      </c>
      <c r="Y142" s="461">
        <f t="shared" ref="Y142" si="484">COUNTIF(Y143:Y152,"✔")</f>
        <v>0</v>
      </c>
      <c r="Z142" s="461">
        <f t="shared" ref="Z142" si="485">COUNTIF(Z143:Z152,"✔")</f>
        <v>0</v>
      </c>
      <c r="AA142" s="461">
        <f t="shared" ref="AA142" si="486">COUNTIF(AA143:AA152,"✔")</f>
        <v>0</v>
      </c>
      <c r="AB142" s="435"/>
      <c r="AC142" s="461">
        <f t="shared" ref="AC142" si="487">COUNTIF(AC143:AC152,"✔")</f>
        <v>0</v>
      </c>
      <c r="AD142" s="461">
        <f t="shared" ref="AD142" si="488">COUNTIF(AD143:AD152,"✔")</f>
        <v>3</v>
      </c>
      <c r="AE142" s="461">
        <f t="shared" ref="AE142" si="489">COUNTIF(AE143:AE152,"✔")</f>
        <v>3</v>
      </c>
      <c r="AF142" s="461">
        <f t="shared" ref="AF142" si="490">COUNTIF(AF143:AF152,"✔")</f>
        <v>3</v>
      </c>
      <c r="AG142" s="461">
        <f t="shared" ref="AG142" si="491">COUNTIF(AG143:AG152,"✔")</f>
        <v>0</v>
      </c>
      <c r="AH142" s="461">
        <f t="shared" ref="AH142" si="492">COUNTIF(AH143:AH152,"✔")</f>
        <v>0</v>
      </c>
      <c r="AI142" s="461">
        <f t="shared" ref="AI142" si="493">COUNTIF(AI143:AI152,"✔")</f>
        <v>0</v>
      </c>
      <c r="AJ142" s="461">
        <f t="shared" ref="AJ142" si="494">COUNTIF(AJ143:AJ152,"✔")</f>
        <v>0</v>
      </c>
      <c r="AK142" s="461">
        <f t="shared" ref="AK142" si="495">COUNTIF(AK143:AK152,"✔")</f>
        <v>0</v>
      </c>
      <c r="AL142" s="461">
        <f t="shared" ref="AL142" si="496">COUNTIF(AL143:AL152,"✔")</f>
        <v>0</v>
      </c>
      <c r="AM142" s="461">
        <f t="shared" ref="AM142" si="497">COUNTIF(AM143:AM152,"✔")</f>
        <v>0</v>
      </c>
      <c r="AN142" s="461">
        <f t="shared" ref="AN142" si="498">COUNTIF(AN143:AN152,"✔")</f>
        <v>0</v>
      </c>
      <c r="AO142" s="461">
        <f t="shared" ref="AO142" si="499">COUNTIF(AO143:AO152,"✔")</f>
        <v>0</v>
      </c>
      <c r="AP142" s="461">
        <f t="shared" ref="AP142" si="500">COUNTIF(AP143:AP152,"✔")</f>
        <v>0</v>
      </c>
      <c r="AQ142" s="461">
        <f t="shared" ref="AQ142" si="501">COUNTIF(AQ143:AQ152,"✔")</f>
        <v>0</v>
      </c>
      <c r="AR142" s="461">
        <f t="shared" ref="AR142" si="502">COUNTIF(AR143:AR152,"✔")</f>
        <v>0</v>
      </c>
      <c r="AS142" s="435"/>
      <c r="AT142" s="461">
        <f t="shared" ref="AT142" si="503">COUNTIF(AT143:AT152,"✔")</f>
        <v>0</v>
      </c>
      <c r="AU142" s="461">
        <f t="shared" ref="AU142" si="504">COUNTIF(AU143:AU152,"✔")</f>
        <v>3</v>
      </c>
      <c r="AV142" s="461">
        <f t="shared" ref="AV142" si="505">COUNTIF(AV143:AV152,"✔")</f>
        <v>2</v>
      </c>
      <c r="AW142" s="461">
        <f t="shared" ref="AW142" si="506">COUNTIF(AW143:AW152,"✔")</f>
        <v>2</v>
      </c>
      <c r="AX142" s="461">
        <f t="shared" ref="AX142" si="507">COUNTIF(AX143:AX152,"✔")</f>
        <v>1</v>
      </c>
      <c r="AY142" s="461">
        <f t="shared" ref="AY142" si="508">COUNTIF(AY143:AY152,"✔")</f>
        <v>1</v>
      </c>
      <c r="AZ142" s="461">
        <f t="shared" ref="AZ142" si="509">COUNTIF(AZ143:AZ152,"✔")</f>
        <v>0</v>
      </c>
      <c r="BA142" s="461">
        <f t="shared" ref="BA142" si="510">COUNTIF(BA143:BA152,"✔")</f>
        <v>0</v>
      </c>
      <c r="BB142" s="461">
        <f t="shared" ref="BB142" si="511">COUNTIF(BB143:BB152,"✔")</f>
        <v>0</v>
      </c>
      <c r="BC142" s="461">
        <f t="shared" ref="BC142" si="512">COUNTIF(BC143:BC152,"✔")</f>
        <v>0</v>
      </c>
      <c r="BD142" s="461">
        <f t="shared" ref="BD142" si="513">COUNTIF(BD143:BD152,"✔")</f>
        <v>0</v>
      </c>
      <c r="BE142" s="461">
        <f t="shared" ref="BE142" si="514">COUNTIF(BE143:BE152,"✔")</f>
        <v>0</v>
      </c>
      <c r="BF142" s="461">
        <f t="shared" ref="BF142" si="515">COUNTIF(BF143:BF152,"✔")</f>
        <v>0</v>
      </c>
      <c r="BG142" s="461">
        <f t="shared" ref="BG142" si="516">COUNTIF(BG143:BG152,"✔")</f>
        <v>0</v>
      </c>
      <c r="BH142" s="461">
        <f t="shared" ref="BH142" si="517">COUNTIF(BH143:BH152,"✔")</f>
        <v>0</v>
      </c>
      <c r="BI142" s="461">
        <f t="shared" ref="BI142" si="518">COUNTIF(BI143:BI152,"✔")</f>
        <v>0</v>
      </c>
      <c r="BJ142" s="435"/>
      <c r="BK142" s="461">
        <f t="shared" ref="BK142" si="519">COUNTIF(BK143:BK152,"✔")</f>
        <v>0</v>
      </c>
      <c r="BL142" s="461">
        <f t="shared" ref="BL142" si="520">COUNTIF(BL143:BL152,"✔")</f>
        <v>0</v>
      </c>
      <c r="BM142" s="461">
        <f t="shared" ref="BM142" si="521">COUNTIF(BM143:BM152,"✔")</f>
        <v>0</v>
      </c>
      <c r="BN142" s="461">
        <f t="shared" ref="BN142" si="522">COUNTIF(BN143:BN152,"✔")</f>
        <v>0</v>
      </c>
      <c r="BO142" s="461">
        <f t="shared" ref="BO142" si="523">COUNTIF(BO143:BO152,"✔")</f>
        <v>0</v>
      </c>
      <c r="BP142" s="461">
        <f t="shared" ref="BP142" si="524">COUNTIF(BP143:BP152,"✔")</f>
        <v>0</v>
      </c>
      <c r="BQ142" s="461">
        <f t="shared" ref="BQ142" si="525">COUNTIF(BQ143:BQ152,"✔")</f>
        <v>0</v>
      </c>
      <c r="BR142" s="461">
        <f t="shared" ref="BR142" si="526">COUNTIF(BR143:BR152,"✔")</f>
        <v>0</v>
      </c>
      <c r="BS142" s="461">
        <f t="shared" ref="BS142" si="527">COUNTIF(BS143:BS152,"✔")</f>
        <v>0</v>
      </c>
      <c r="BT142" s="383"/>
      <c r="BU142" s="461">
        <f t="shared" ref="BU142" si="528">COUNTIF(BU143:BU152,"✔")</f>
        <v>0</v>
      </c>
      <c r="BV142" s="461">
        <f t="shared" ref="BV142" si="529">COUNTIF(BV143:BV152,"✔")</f>
        <v>0</v>
      </c>
      <c r="BW142" s="461">
        <f t="shared" ref="BW142" si="530">COUNTIF(BW143:BW152,"✔")</f>
        <v>0</v>
      </c>
      <c r="BX142" s="461">
        <f t="shared" ref="BX142" si="531">COUNTIF(BX143:BX152,"✔")</f>
        <v>0</v>
      </c>
      <c r="BY142" s="461">
        <f t="shared" ref="BY142" si="532">COUNTIF(BY143:BY152,"✔")</f>
        <v>0</v>
      </c>
      <c r="BZ142" s="383"/>
    </row>
    <row r="143" spans="2:78" ht="12.75" outlineLevel="2">
      <c r="B143" s="463" t="s">
        <v>149</v>
      </c>
      <c r="C143" s="464">
        <v>1</v>
      </c>
      <c r="D143" s="465" t="s">
        <v>150</v>
      </c>
      <c r="E143" s="383"/>
      <c r="F143" s="443">
        <f t="shared" ref="F143:H146" si="533">COUNTIF(M143,"✔")+COUNTIF(AD143,"✔")+COUNTIF(BL143,"✔")+COUNTIF(AU143,"✔")</f>
        <v>1</v>
      </c>
      <c r="G143" s="444">
        <f t="shared" si="533"/>
        <v>1</v>
      </c>
      <c r="H143" s="444">
        <f t="shared" si="533"/>
        <v>1</v>
      </c>
      <c r="I143" s="444">
        <f t="shared" ref="I143:I146" si="534">F143-G143</f>
        <v>0</v>
      </c>
      <c r="J143" s="430"/>
      <c r="K143" s="441"/>
      <c r="L143" s="442"/>
      <c r="M143" s="443" t="str">
        <f>IF('Design Fee'!W145&gt;0,"✔","-")</f>
        <v>-</v>
      </c>
      <c r="N143" s="443" t="str">
        <f>IF('Design Fee'!X145&gt;0,"✔","-")</f>
        <v>-</v>
      </c>
      <c r="O143" s="444" t="str">
        <f>IF('Design Fee'!Y145&gt;0,"✔","-")</f>
        <v>-</v>
      </c>
      <c r="P143" s="444" t="str">
        <f>IF('Design Fee'!Z145&gt;0,"✔","-")</f>
        <v>-</v>
      </c>
      <c r="Q143" s="444" t="str">
        <f>IF('Design Fee'!AA145&gt;0,"✔","-")</f>
        <v>-</v>
      </c>
      <c r="R143" s="444" t="str">
        <f>IF('Design Fee'!AB145&gt;0,"✔","-")</f>
        <v>-</v>
      </c>
      <c r="S143" s="444" t="str">
        <f>IF('Design Fee'!AC145&gt;0,"✔","-")</f>
        <v>-</v>
      </c>
      <c r="T143" s="466" t="str">
        <f>IF('Design Fee'!AD145&gt;0,"✔","-")</f>
        <v>-</v>
      </c>
      <c r="U143" s="430"/>
      <c r="V143" s="444" t="str">
        <f>IF('Design Fee'!AF145&gt;0,"✔","-")</f>
        <v>-</v>
      </c>
      <c r="W143" s="444" t="str">
        <f>IF('Design Fee'!AG145&gt;0,"✔","-")</f>
        <v>-</v>
      </c>
      <c r="X143" s="444" t="str">
        <f>IF('Design Fee'!AH145&gt;0,"✔","-")</f>
        <v>-</v>
      </c>
      <c r="Y143" s="444" t="str">
        <f>IF('Design Fee'!AI145&gt;0,"✔","-")</f>
        <v>-</v>
      </c>
      <c r="Z143" s="444" t="str">
        <f>IF('Design Fee'!AJ145&gt;0,"✔","-")</f>
        <v>-</v>
      </c>
      <c r="AA143" s="430"/>
      <c r="AB143" s="441"/>
      <c r="AC143" s="442"/>
      <c r="AD143" s="443" t="str">
        <f>IF('Design Fee'!BG145&gt;0,"✔","-")</f>
        <v>✔</v>
      </c>
      <c r="AE143" s="443" t="str">
        <f>IF('Design Fee'!BH145&gt;0,"✔","-")</f>
        <v>✔</v>
      </c>
      <c r="AF143" s="444" t="str">
        <f>IF('Design Fee'!BI145&gt;0,"✔","-")</f>
        <v>✔</v>
      </c>
      <c r="AG143" s="444" t="str">
        <f>IF('Design Fee'!BJ145&gt;0,"✔","-")</f>
        <v>-</v>
      </c>
      <c r="AH143" s="444" t="str">
        <f>IF('Design Fee'!BK145&gt;0,"✔","-")</f>
        <v>-</v>
      </c>
      <c r="AI143" s="444" t="str">
        <f>IF('Design Fee'!BL145&gt;0,"✔","-")</f>
        <v>-</v>
      </c>
      <c r="AJ143" s="444" t="str">
        <f>IF('Design Fee'!BM145&gt;0,"✔","-")</f>
        <v>-</v>
      </c>
      <c r="AK143" s="466" t="str">
        <f>IF('Design Fee'!BN145&gt;0,"✔","-")</f>
        <v>-</v>
      </c>
      <c r="AL143" s="445"/>
      <c r="AM143" s="444" t="str">
        <f>IF('Design Fee'!BP145&gt;0,"✔","-")</f>
        <v>-</v>
      </c>
      <c r="AN143" s="444" t="str">
        <f>IF('Design Fee'!BQ145&gt;0,"✔","-")</f>
        <v>-</v>
      </c>
      <c r="AO143" s="444" t="str">
        <f>IF('Design Fee'!BR145&gt;0,"✔","-")</f>
        <v>-</v>
      </c>
      <c r="AP143" s="444" t="str">
        <f>IF('Design Fee'!BS145&gt;0,"✔","-")</f>
        <v>-</v>
      </c>
      <c r="AQ143" s="444" t="str">
        <f>IF('Design Fee'!BT145&gt;0,"✔","-")</f>
        <v>-</v>
      </c>
      <c r="AR143" s="445"/>
      <c r="AS143" s="441"/>
      <c r="AT143" s="442"/>
      <c r="AU143" s="443" t="str">
        <f>IF('Design Fee'!CQ145&gt;0,"✔","-")</f>
        <v>-</v>
      </c>
      <c r="AV143" s="443" t="str">
        <f>IF('Design Fee'!CR145&gt;0,"✔","-")</f>
        <v>-</v>
      </c>
      <c r="AW143" s="444" t="str">
        <f>IF('Design Fee'!CS145&gt;0,"✔","-")</f>
        <v>-</v>
      </c>
      <c r="AX143" s="444" t="str">
        <f>IF('Design Fee'!CT145&gt;0,"✔","-")</f>
        <v>-</v>
      </c>
      <c r="AY143" s="444" t="str">
        <f>IF('Design Fee'!CU145&gt;0,"✔","-")</f>
        <v>-</v>
      </c>
      <c r="AZ143" s="444" t="str">
        <f>IF('Design Fee'!CV145&gt;0,"✔","-")</f>
        <v>-</v>
      </c>
      <c r="BA143" s="444" t="str">
        <f>IF('Design Fee'!CW145&gt;0,"✔","-")</f>
        <v>-</v>
      </c>
      <c r="BB143" s="466" t="str">
        <f>IF('Design Fee'!CX145&gt;0,"✔","-")</f>
        <v>-</v>
      </c>
      <c r="BC143" s="445"/>
      <c r="BD143" s="444" t="str">
        <f>IF('Design Fee'!CZ145&gt;0,"✔","-")</f>
        <v>-</v>
      </c>
      <c r="BE143" s="444" t="str">
        <f>IF('Design Fee'!DA145&gt;0,"✔","-")</f>
        <v>-</v>
      </c>
      <c r="BF143" s="444" t="str">
        <f>IF('Design Fee'!DB145&gt;0,"✔","-")</f>
        <v>-</v>
      </c>
      <c r="BG143" s="444" t="str">
        <f>IF('Design Fee'!DC145&gt;0,"✔","-")</f>
        <v>-</v>
      </c>
      <c r="BH143" s="444" t="str">
        <f>IF('Design Fee'!DD145&gt;0,"✔","-")</f>
        <v>-</v>
      </c>
      <c r="BI143" s="445"/>
      <c r="BJ143" s="441"/>
      <c r="BK143" s="442"/>
      <c r="BL143" s="443" t="str">
        <f>IF('Design Fee'!EA145&gt;0,"✔","-")</f>
        <v>-</v>
      </c>
      <c r="BM143" s="443" t="str">
        <f>IF('Design Fee'!EB145&gt;0,"✔","-")</f>
        <v>-</v>
      </c>
      <c r="BN143" s="444" t="str">
        <f>IF('Design Fee'!EC145&gt;0,"✔","-")</f>
        <v>-</v>
      </c>
      <c r="BO143" s="444" t="str">
        <f>IF('Design Fee'!ED145&gt;0,"✔","-")</f>
        <v>-</v>
      </c>
      <c r="BP143" s="444" t="str">
        <f>IF('Design Fee'!EE145&gt;0,"✔","-")</f>
        <v>-</v>
      </c>
      <c r="BQ143" s="444" t="str">
        <f>IF('Design Fee'!EF145&gt;0,"✔","-")</f>
        <v>-</v>
      </c>
      <c r="BR143" s="444" t="str">
        <f>IF('Design Fee'!EG145&gt;0,"✔","-")</f>
        <v>-</v>
      </c>
      <c r="BS143" s="466" t="str">
        <f>IF('Design Fee'!EH145&gt;0,"✔","-")</f>
        <v>-</v>
      </c>
      <c r="BT143" s="383"/>
      <c r="BU143" s="444" t="str">
        <f>IF('Design Fee'!EJ145&gt;0,"✔","-")</f>
        <v>-</v>
      </c>
      <c r="BV143" s="444" t="str">
        <f>IF('Design Fee'!EK145&gt;0,"✔","-")</f>
        <v>-</v>
      </c>
      <c r="BW143" s="444" t="str">
        <f>IF('Design Fee'!EL145&gt;0,"✔","-")</f>
        <v>-</v>
      </c>
      <c r="BX143" s="444" t="str">
        <f>IF('Design Fee'!EM145&gt;0,"✔","-")</f>
        <v>-</v>
      </c>
      <c r="BY143" s="444" t="str">
        <f>IF('Design Fee'!EN145&gt;0,"✔","-")</f>
        <v>-</v>
      </c>
      <c r="BZ143" s="383"/>
    </row>
    <row r="144" spans="2:78" ht="12.75" outlineLevel="2">
      <c r="B144" s="463" t="s">
        <v>151</v>
      </c>
      <c r="C144" s="464">
        <v>2</v>
      </c>
      <c r="D144" s="465" t="s">
        <v>152</v>
      </c>
      <c r="E144" s="383"/>
      <c r="F144" s="443">
        <f t="shared" si="533"/>
        <v>2</v>
      </c>
      <c r="G144" s="444">
        <f t="shared" si="533"/>
        <v>2</v>
      </c>
      <c r="H144" s="444">
        <f t="shared" si="533"/>
        <v>2</v>
      </c>
      <c r="I144" s="444">
        <f t="shared" si="534"/>
        <v>0</v>
      </c>
      <c r="J144" s="430"/>
      <c r="K144" s="441"/>
      <c r="L144" s="442"/>
      <c r="M144" s="443" t="str">
        <f>IF('Design Fee'!W146&gt;0,"✔","-")</f>
        <v>✔</v>
      </c>
      <c r="N144" s="443" t="str">
        <f>IF('Design Fee'!X146&gt;0,"✔","-")</f>
        <v>✔</v>
      </c>
      <c r="O144" s="444" t="str">
        <f>IF('Design Fee'!Y146&gt;0,"✔","-")</f>
        <v>✔</v>
      </c>
      <c r="P144" s="444" t="str">
        <f>IF('Design Fee'!Z146&gt;0,"✔","-")</f>
        <v>-</v>
      </c>
      <c r="Q144" s="444" t="str">
        <f>IF('Design Fee'!AA146&gt;0,"✔","-")</f>
        <v>-</v>
      </c>
      <c r="R144" s="444" t="str">
        <f>IF('Design Fee'!AB146&gt;0,"✔","-")</f>
        <v>-</v>
      </c>
      <c r="S144" s="444" t="str">
        <f>IF('Design Fee'!AC146&gt;0,"✔","-")</f>
        <v>-</v>
      </c>
      <c r="T144" s="466" t="str">
        <f>IF('Design Fee'!AD146&gt;0,"✔","-")</f>
        <v>-</v>
      </c>
      <c r="U144" s="430"/>
      <c r="V144" s="444" t="str">
        <f>IF('Design Fee'!AF146&gt;0,"✔","-")</f>
        <v>-</v>
      </c>
      <c r="W144" s="444" t="str">
        <f>IF('Design Fee'!AG146&gt;0,"✔","-")</f>
        <v>-</v>
      </c>
      <c r="X144" s="444" t="str">
        <f>IF('Design Fee'!AH146&gt;0,"✔","-")</f>
        <v>-</v>
      </c>
      <c r="Y144" s="444" t="str">
        <f>IF('Design Fee'!AI146&gt;0,"✔","-")</f>
        <v>-</v>
      </c>
      <c r="Z144" s="444" t="str">
        <f>IF('Design Fee'!AJ146&gt;0,"✔","-")</f>
        <v>-</v>
      </c>
      <c r="AA144" s="430"/>
      <c r="AB144" s="441"/>
      <c r="AC144" s="442"/>
      <c r="AD144" s="443" t="str">
        <f>IF('Design Fee'!BG146&gt;0,"✔","-")</f>
        <v>-</v>
      </c>
      <c r="AE144" s="443" t="str">
        <f>IF('Design Fee'!BH146&gt;0,"✔","-")</f>
        <v>-</v>
      </c>
      <c r="AF144" s="444" t="str">
        <f>IF('Design Fee'!BI146&gt;0,"✔","-")</f>
        <v>-</v>
      </c>
      <c r="AG144" s="444" t="str">
        <f>IF('Design Fee'!BJ146&gt;0,"✔","-")</f>
        <v>-</v>
      </c>
      <c r="AH144" s="444" t="str">
        <f>IF('Design Fee'!BK146&gt;0,"✔","-")</f>
        <v>-</v>
      </c>
      <c r="AI144" s="444" t="str">
        <f>IF('Design Fee'!BL146&gt;0,"✔","-")</f>
        <v>-</v>
      </c>
      <c r="AJ144" s="444" t="str">
        <f>IF('Design Fee'!BM146&gt;0,"✔","-")</f>
        <v>-</v>
      </c>
      <c r="AK144" s="466" t="str">
        <f>IF('Design Fee'!BN146&gt;0,"✔","-")</f>
        <v>-</v>
      </c>
      <c r="AL144" s="445"/>
      <c r="AM144" s="444" t="str">
        <f>IF('Design Fee'!BP146&gt;0,"✔","-")</f>
        <v>-</v>
      </c>
      <c r="AN144" s="444" t="str">
        <f>IF('Design Fee'!BQ146&gt;0,"✔","-")</f>
        <v>-</v>
      </c>
      <c r="AO144" s="444" t="str">
        <f>IF('Design Fee'!BR146&gt;0,"✔","-")</f>
        <v>-</v>
      </c>
      <c r="AP144" s="444" t="str">
        <f>IF('Design Fee'!BS146&gt;0,"✔","-")</f>
        <v>-</v>
      </c>
      <c r="AQ144" s="444" t="str">
        <f>IF('Design Fee'!BT146&gt;0,"✔","-")</f>
        <v>-</v>
      </c>
      <c r="AR144" s="445"/>
      <c r="AS144" s="441"/>
      <c r="AT144" s="442"/>
      <c r="AU144" s="443" t="str">
        <f>IF('Design Fee'!CQ146&gt;0,"✔","-")</f>
        <v>✔</v>
      </c>
      <c r="AV144" s="443" t="str">
        <f>IF('Design Fee'!CR146&gt;0,"✔","-")</f>
        <v>✔</v>
      </c>
      <c r="AW144" s="444" t="str">
        <f>IF('Design Fee'!CS146&gt;0,"✔","-")</f>
        <v>✔</v>
      </c>
      <c r="AX144" s="444" t="str">
        <f>IF('Design Fee'!CT146&gt;0,"✔","-")</f>
        <v>-</v>
      </c>
      <c r="AY144" s="444" t="str">
        <f>IF('Design Fee'!CU146&gt;0,"✔","-")</f>
        <v>-</v>
      </c>
      <c r="AZ144" s="444" t="str">
        <f>IF('Design Fee'!CV146&gt;0,"✔","-")</f>
        <v>-</v>
      </c>
      <c r="BA144" s="444" t="str">
        <f>IF('Design Fee'!CW146&gt;0,"✔","-")</f>
        <v>-</v>
      </c>
      <c r="BB144" s="466" t="str">
        <f>IF('Design Fee'!CX146&gt;0,"✔","-")</f>
        <v>-</v>
      </c>
      <c r="BC144" s="445"/>
      <c r="BD144" s="444" t="str">
        <f>IF('Design Fee'!CZ146&gt;0,"✔","-")</f>
        <v>-</v>
      </c>
      <c r="BE144" s="444" t="str">
        <f>IF('Design Fee'!DA146&gt;0,"✔","-")</f>
        <v>-</v>
      </c>
      <c r="BF144" s="444" t="str">
        <f>IF('Design Fee'!DB146&gt;0,"✔","-")</f>
        <v>-</v>
      </c>
      <c r="BG144" s="444" t="str">
        <f>IF('Design Fee'!DC146&gt;0,"✔","-")</f>
        <v>-</v>
      </c>
      <c r="BH144" s="444" t="str">
        <f>IF('Design Fee'!DD146&gt;0,"✔","-")</f>
        <v>-</v>
      </c>
      <c r="BI144" s="445"/>
      <c r="BJ144" s="441"/>
      <c r="BK144" s="442"/>
      <c r="BL144" s="443" t="str">
        <f>IF('Design Fee'!EA146&gt;0,"✔","-")</f>
        <v>-</v>
      </c>
      <c r="BM144" s="443" t="str">
        <f>IF('Design Fee'!EB146&gt;0,"✔","-")</f>
        <v>-</v>
      </c>
      <c r="BN144" s="444" t="str">
        <f>IF('Design Fee'!EC146&gt;0,"✔","-")</f>
        <v>-</v>
      </c>
      <c r="BO144" s="444" t="str">
        <f>IF('Design Fee'!ED146&gt;0,"✔","-")</f>
        <v>-</v>
      </c>
      <c r="BP144" s="444" t="str">
        <f>IF('Design Fee'!EE146&gt;0,"✔","-")</f>
        <v>-</v>
      </c>
      <c r="BQ144" s="444" t="str">
        <f>IF('Design Fee'!EF146&gt;0,"✔","-")</f>
        <v>-</v>
      </c>
      <c r="BR144" s="444" t="str">
        <f>IF('Design Fee'!EG146&gt;0,"✔","-")</f>
        <v>-</v>
      </c>
      <c r="BS144" s="466" t="str">
        <f>IF('Design Fee'!EH146&gt;0,"✔","-")</f>
        <v>-</v>
      </c>
      <c r="BT144" s="383"/>
      <c r="BU144" s="444" t="str">
        <f>IF('Design Fee'!EJ146&gt;0,"✔","-")</f>
        <v>-</v>
      </c>
      <c r="BV144" s="444" t="str">
        <f>IF('Design Fee'!EK146&gt;0,"✔","-")</f>
        <v>-</v>
      </c>
      <c r="BW144" s="444" t="str">
        <f>IF('Design Fee'!EL146&gt;0,"✔","-")</f>
        <v>-</v>
      </c>
      <c r="BX144" s="444" t="str">
        <f>IF('Design Fee'!EM146&gt;0,"✔","-")</f>
        <v>-</v>
      </c>
      <c r="BY144" s="444" t="str">
        <f>IF('Design Fee'!EN146&gt;0,"✔","-")</f>
        <v>-</v>
      </c>
      <c r="BZ144" s="383"/>
    </row>
    <row r="145" spans="2:78" s="95" customFormat="1" ht="12.75" outlineLevel="2">
      <c r="B145" s="463" t="s">
        <v>153</v>
      </c>
      <c r="C145" s="469">
        <v>3</v>
      </c>
      <c r="D145" s="470" t="s">
        <v>154</v>
      </c>
      <c r="E145" s="468"/>
      <c r="F145" s="443">
        <f t="shared" si="533"/>
        <v>2</v>
      </c>
      <c r="G145" s="444">
        <f t="shared" si="533"/>
        <v>1</v>
      </c>
      <c r="H145" s="444">
        <f t="shared" si="533"/>
        <v>0</v>
      </c>
      <c r="I145" s="444">
        <f t="shared" si="534"/>
        <v>1</v>
      </c>
      <c r="J145" s="475"/>
      <c r="K145" s="471"/>
      <c r="L145" s="472"/>
      <c r="M145" s="443" t="str">
        <f>IF('Design Fee'!W147&gt;0,"✔","-")</f>
        <v>✔</v>
      </c>
      <c r="N145" s="443" t="str">
        <f>IF('Design Fee'!X147&gt;0,"✔","-")</f>
        <v>✔</v>
      </c>
      <c r="O145" s="466" t="str">
        <f>IF('Design Fee'!Y147&gt;0,"✔","-")</f>
        <v>-</v>
      </c>
      <c r="P145" s="466" t="str">
        <f>IF('Design Fee'!Z147&gt;0,"✔","-")</f>
        <v>✔</v>
      </c>
      <c r="Q145" s="466" t="str">
        <f>IF('Design Fee'!AA147&gt;0,"✔","-")</f>
        <v>✔</v>
      </c>
      <c r="R145" s="466" t="str">
        <f>IF('Design Fee'!AB147&gt;0,"✔","-")</f>
        <v>-</v>
      </c>
      <c r="S145" s="466" t="str">
        <f>IF('Design Fee'!AC147&gt;0,"✔","-")</f>
        <v>-</v>
      </c>
      <c r="T145" s="466" t="str">
        <f>IF('Design Fee'!AD147&gt;0,"✔","-")</f>
        <v>-</v>
      </c>
      <c r="U145" s="475"/>
      <c r="V145" s="444" t="str">
        <f>IF('Design Fee'!AF147&gt;0,"✔","-")</f>
        <v>✔</v>
      </c>
      <c r="W145" s="444" t="str">
        <f>IF('Design Fee'!AG147&gt;0,"✔","-")</f>
        <v>✔</v>
      </c>
      <c r="X145" s="444" t="str">
        <f>IF('Design Fee'!AH147&gt;0,"✔","-")</f>
        <v>-</v>
      </c>
      <c r="Y145" s="444" t="str">
        <f>IF('Design Fee'!AI147&gt;0,"✔","-")</f>
        <v>-</v>
      </c>
      <c r="Z145" s="444" t="str">
        <f>IF('Design Fee'!AJ147&gt;0,"✔","-")</f>
        <v>-</v>
      </c>
      <c r="AA145" s="475"/>
      <c r="AB145" s="471"/>
      <c r="AC145" s="472"/>
      <c r="AD145" s="443" t="str">
        <f>IF('Design Fee'!BG147&gt;0,"✔","-")</f>
        <v>-</v>
      </c>
      <c r="AE145" s="443" t="str">
        <f>IF('Design Fee'!BH147&gt;0,"✔","-")</f>
        <v>-</v>
      </c>
      <c r="AF145" s="466" t="str">
        <f>IF('Design Fee'!BI147&gt;0,"✔","-")</f>
        <v>-</v>
      </c>
      <c r="AG145" s="466" t="str">
        <f>IF('Design Fee'!BJ147&gt;0,"✔","-")</f>
        <v>-</v>
      </c>
      <c r="AH145" s="466" t="str">
        <f>IF('Design Fee'!BK147&gt;0,"✔","-")</f>
        <v>-</v>
      </c>
      <c r="AI145" s="466" t="str">
        <f>IF('Design Fee'!BL147&gt;0,"✔","-")</f>
        <v>-</v>
      </c>
      <c r="AJ145" s="466" t="str">
        <f>IF('Design Fee'!BM147&gt;0,"✔","-")</f>
        <v>-</v>
      </c>
      <c r="AK145" s="466" t="str">
        <f>IF('Design Fee'!BN147&gt;0,"✔","-")</f>
        <v>-</v>
      </c>
      <c r="AL145" s="476"/>
      <c r="AM145" s="444" t="str">
        <f>IF('Design Fee'!BP147&gt;0,"✔","-")</f>
        <v>-</v>
      </c>
      <c r="AN145" s="444" t="str">
        <f>IF('Design Fee'!BQ147&gt;0,"✔","-")</f>
        <v>-</v>
      </c>
      <c r="AO145" s="444" t="str">
        <f>IF('Design Fee'!BR147&gt;0,"✔","-")</f>
        <v>-</v>
      </c>
      <c r="AP145" s="444" t="str">
        <f>IF('Design Fee'!BS147&gt;0,"✔","-")</f>
        <v>-</v>
      </c>
      <c r="AQ145" s="444" t="str">
        <f>IF('Design Fee'!BT147&gt;0,"✔","-")</f>
        <v>-</v>
      </c>
      <c r="AR145" s="476"/>
      <c r="AS145" s="471"/>
      <c r="AT145" s="472"/>
      <c r="AU145" s="443" t="str">
        <f>IF('Design Fee'!CQ147&gt;0,"✔","-")</f>
        <v>✔</v>
      </c>
      <c r="AV145" s="443" t="str">
        <f>IF('Design Fee'!CR147&gt;0,"✔","-")</f>
        <v>-</v>
      </c>
      <c r="AW145" s="466" t="str">
        <f>IF('Design Fee'!CS147&gt;0,"✔","-")</f>
        <v>-</v>
      </c>
      <c r="AX145" s="466" t="str">
        <f>IF('Design Fee'!CT147&gt;0,"✔","-")</f>
        <v>✔</v>
      </c>
      <c r="AY145" s="466" t="str">
        <f>IF('Design Fee'!CU147&gt;0,"✔","-")</f>
        <v>✔</v>
      </c>
      <c r="AZ145" s="466" t="str">
        <f>IF('Design Fee'!CV147&gt;0,"✔","-")</f>
        <v>-</v>
      </c>
      <c r="BA145" s="466" t="str">
        <f>IF('Design Fee'!CW147&gt;0,"✔","-")</f>
        <v>-</v>
      </c>
      <c r="BB145" s="466" t="str">
        <f>IF('Design Fee'!CX147&gt;0,"✔","-")</f>
        <v>-</v>
      </c>
      <c r="BC145" s="476"/>
      <c r="BD145" s="444" t="str">
        <f>IF('Design Fee'!CZ147&gt;0,"✔","-")</f>
        <v>-</v>
      </c>
      <c r="BE145" s="444" t="str">
        <f>IF('Design Fee'!DA147&gt;0,"✔","-")</f>
        <v>-</v>
      </c>
      <c r="BF145" s="444" t="str">
        <f>IF('Design Fee'!DB147&gt;0,"✔","-")</f>
        <v>-</v>
      </c>
      <c r="BG145" s="444" t="str">
        <f>IF('Design Fee'!DC147&gt;0,"✔","-")</f>
        <v>-</v>
      </c>
      <c r="BH145" s="444" t="str">
        <f>IF('Design Fee'!DD147&gt;0,"✔","-")</f>
        <v>-</v>
      </c>
      <c r="BI145" s="476"/>
      <c r="BJ145" s="471"/>
      <c r="BK145" s="472"/>
      <c r="BL145" s="443" t="str">
        <f>IF('Design Fee'!EA147&gt;0,"✔","-")</f>
        <v>-</v>
      </c>
      <c r="BM145" s="443" t="str">
        <f>IF('Design Fee'!EB147&gt;0,"✔","-")</f>
        <v>-</v>
      </c>
      <c r="BN145" s="466" t="str">
        <f>IF('Design Fee'!EC147&gt;0,"✔","-")</f>
        <v>-</v>
      </c>
      <c r="BO145" s="466" t="str">
        <f>IF('Design Fee'!ED147&gt;0,"✔","-")</f>
        <v>-</v>
      </c>
      <c r="BP145" s="466" t="str">
        <f>IF('Design Fee'!EE147&gt;0,"✔","-")</f>
        <v>-</v>
      </c>
      <c r="BQ145" s="466" t="str">
        <f>IF('Design Fee'!EF147&gt;0,"✔","-")</f>
        <v>-</v>
      </c>
      <c r="BR145" s="466" t="str">
        <f>IF('Design Fee'!EG147&gt;0,"✔","-")</f>
        <v>-</v>
      </c>
      <c r="BS145" s="466" t="str">
        <f>IF('Design Fee'!EH147&gt;0,"✔","-")</f>
        <v>-</v>
      </c>
      <c r="BT145" s="468"/>
      <c r="BU145" s="444" t="str">
        <f>IF('Design Fee'!EJ147&gt;0,"✔","-")</f>
        <v>-</v>
      </c>
      <c r="BV145" s="444" t="str">
        <f>IF('Design Fee'!EK147&gt;0,"✔","-")</f>
        <v>-</v>
      </c>
      <c r="BW145" s="444" t="str">
        <f>IF('Design Fee'!EL147&gt;0,"✔","-")</f>
        <v>-</v>
      </c>
      <c r="BX145" s="444" t="str">
        <f>IF('Design Fee'!EM147&gt;0,"✔","-")</f>
        <v>-</v>
      </c>
      <c r="BY145" s="444" t="str">
        <f>IF('Design Fee'!EN147&gt;0,"✔","-")</f>
        <v>-</v>
      </c>
      <c r="BZ145" s="383"/>
    </row>
    <row r="146" spans="2:78" ht="12.75" outlineLevel="2">
      <c r="B146" s="463" t="s">
        <v>155</v>
      </c>
      <c r="C146" s="464">
        <v>4</v>
      </c>
      <c r="D146" s="465" t="s">
        <v>156</v>
      </c>
      <c r="E146" s="383"/>
      <c r="F146" s="443">
        <f t="shared" si="533"/>
        <v>2</v>
      </c>
      <c r="G146" s="444">
        <f t="shared" si="533"/>
        <v>1</v>
      </c>
      <c r="H146" s="444">
        <f t="shared" si="533"/>
        <v>1</v>
      </c>
      <c r="I146" s="444">
        <f t="shared" si="534"/>
        <v>1</v>
      </c>
      <c r="J146" s="430"/>
      <c r="K146" s="441"/>
      <c r="L146" s="442"/>
      <c r="M146" s="443" t="str">
        <f>IF('Design Fee'!W148&gt;0,"✔","-")</f>
        <v>✔</v>
      </c>
      <c r="N146" s="443" t="str">
        <f>IF('Design Fee'!X148&gt;0,"✔","-")</f>
        <v>-</v>
      </c>
      <c r="O146" s="444" t="str">
        <f>IF('Design Fee'!Y148&gt;0,"✔","-")</f>
        <v>-</v>
      </c>
      <c r="P146" s="444" t="str">
        <f>IF('Design Fee'!Z148&gt;0,"✔","-")</f>
        <v>✔</v>
      </c>
      <c r="Q146" s="444" t="str">
        <f>IF('Design Fee'!AA148&gt;0,"✔","-")</f>
        <v>✔</v>
      </c>
      <c r="R146" s="444" t="str">
        <f>IF('Design Fee'!AB148&gt;0,"✔","-")</f>
        <v>-</v>
      </c>
      <c r="S146" s="444" t="str">
        <f>IF('Design Fee'!AC148&gt;0,"✔","-")</f>
        <v>-</v>
      </c>
      <c r="T146" s="466" t="str">
        <f>IF('Design Fee'!AD148&gt;0,"✔","-")</f>
        <v>-</v>
      </c>
      <c r="U146" s="430"/>
      <c r="V146" s="444" t="str">
        <f>IF('Design Fee'!AF148&gt;0,"✔","-")</f>
        <v>-</v>
      </c>
      <c r="W146" s="444" t="str">
        <f>IF('Design Fee'!AG148&gt;0,"✔","-")</f>
        <v>-</v>
      </c>
      <c r="X146" s="444" t="str">
        <f>IF('Design Fee'!AH148&gt;0,"✔","-")</f>
        <v>-</v>
      </c>
      <c r="Y146" s="444" t="str">
        <f>IF('Design Fee'!AI148&gt;0,"✔","-")</f>
        <v>-</v>
      </c>
      <c r="Z146" s="444" t="str">
        <f>IF('Design Fee'!AJ148&gt;0,"✔","-")</f>
        <v>-</v>
      </c>
      <c r="AA146" s="430"/>
      <c r="AB146" s="441"/>
      <c r="AC146" s="442"/>
      <c r="AD146" s="443" t="str">
        <f>IF('Design Fee'!BG148&gt;0,"✔","-")</f>
        <v>-</v>
      </c>
      <c r="AE146" s="443" t="str">
        <f>IF('Design Fee'!BH148&gt;0,"✔","-")</f>
        <v>-</v>
      </c>
      <c r="AF146" s="444" t="str">
        <f>IF('Design Fee'!BI148&gt;0,"✔","-")</f>
        <v>-</v>
      </c>
      <c r="AG146" s="444" t="str">
        <f>IF('Design Fee'!BJ148&gt;0,"✔","-")</f>
        <v>-</v>
      </c>
      <c r="AH146" s="444" t="str">
        <f>IF('Design Fee'!BK148&gt;0,"✔","-")</f>
        <v>-</v>
      </c>
      <c r="AI146" s="444" t="str">
        <f>IF('Design Fee'!BL148&gt;0,"✔","-")</f>
        <v>-</v>
      </c>
      <c r="AJ146" s="444" t="str">
        <f>IF('Design Fee'!BM148&gt;0,"✔","-")</f>
        <v>-</v>
      </c>
      <c r="AK146" s="466" t="str">
        <f>IF('Design Fee'!BN148&gt;0,"✔","-")</f>
        <v>-</v>
      </c>
      <c r="AL146" s="445"/>
      <c r="AM146" s="444" t="str">
        <f>IF('Design Fee'!BP148&gt;0,"✔","-")</f>
        <v>-</v>
      </c>
      <c r="AN146" s="444" t="str">
        <f>IF('Design Fee'!BQ148&gt;0,"✔","-")</f>
        <v>-</v>
      </c>
      <c r="AO146" s="444" t="str">
        <f>IF('Design Fee'!BR148&gt;0,"✔","-")</f>
        <v>-</v>
      </c>
      <c r="AP146" s="444" t="str">
        <f>IF('Design Fee'!BS148&gt;0,"✔","-")</f>
        <v>-</v>
      </c>
      <c r="AQ146" s="444" t="str">
        <f>IF('Design Fee'!BT148&gt;0,"✔","-")</f>
        <v>-</v>
      </c>
      <c r="AR146" s="445"/>
      <c r="AS146" s="441"/>
      <c r="AT146" s="442"/>
      <c r="AU146" s="443" t="str">
        <f>IF('Design Fee'!CQ148&gt;0,"✔","-")</f>
        <v>✔</v>
      </c>
      <c r="AV146" s="443" t="str">
        <f>IF('Design Fee'!CR148&gt;0,"✔","-")</f>
        <v>✔</v>
      </c>
      <c r="AW146" s="444" t="str">
        <f>IF('Design Fee'!CS148&gt;0,"✔","-")</f>
        <v>✔</v>
      </c>
      <c r="AX146" s="444" t="str">
        <f>IF('Design Fee'!CT148&gt;0,"✔","-")</f>
        <v>-</v>
      </c>
      <c r="AY146" s="444" t="str">
        <f>IF('Design Fee'!CU148&gt;0,"✔","-")</f>
        <v>-</v>
      </c>
      <c r="AZ146" s="444" t="str">
        <f>IF('Design Fee'!CV148&gt;0,"✔","-")</f>
        <v>-</v>
      </c>
      <c r="BA146" s="444" t="str">
        <f>IF('Design Fee'!CW148&gt;0,"✔","-")</f>
        <v>-</v>
      </c>
      <c r="BB146" s="466" t="str">
        <f>IF('Design Fee'!CX148&gt;0,"✔","-")</f>
        <v>-</v>
      </c>
      <c r="BC146" s="445"/>
      <c r="BD146" s="444" t="str">
        <f>IF('Design Fee'!CZ148&gt;0,"✔","-")</f>
        <v>-</v>
      </c>
      <c r="BE146" s="444" t="str">
        <f>IF('Design Fee'!DA148&gt;0,"✔","-")</f>
        <v>-</v>
      </c>
      <c r="BF146" s="444" t="str">
        <f>IF('Design Fee'!DB148&gt;0,"✔","-")</f>
        <v>-</v>
      </c>
      <c r="BG146" s="444" t="str">
        <f>IF('Design Fee'!DC148&gt;0,"✔","-")</f>
        <v>-</v>
      </c>
      <c r="BH146" s="444" t="str">
        <f>IF('Design Fee'!DD148&gt;0,"✔","-")</f>
        <v>-</v>
      </c>
      <c r="BI146" s="445"/>
      <c r="BJ146" s="441"/>
      <c r="BK146" s="442"/>
      <c r="BL146" s="443" t="str">
        <f>IF('Design Fee'!EA148&gt;0,"✔","-")</f>
        <v>-</v>
      </c>
      <c r="BM146" s="443" t="str">
        <f>IF('Design Fee'!EB148&gt;0,"✔","-")</f>
        <v>-</v>
      </c>
      <c r="BN146" s="444" t="str">
        <f>IF('Design Fee'!EC148&gt;0,"✔","-")</f>
        <v>-</v>
      </c>
      <c r="BO146" s="444" t="str">
        <f>IF('Design Fee'!ED148&gt;0,"✔","-")</f>
        <v>-</v>
      </c>
      <c r="BP146" s="444" t="str">
        <f>IF('Design Fee'!EE148&gt;0,"✔","-")</f>
        <v>-</v>
      </c>
      <c r="BQ146" s="444" t="str">
        <f>IF('Design Fee'!EF148&gt;0,"✔","-")</f>
        <v>-</v>
      </c>
      <c r="BR146" s="444" t="str">
        <f>IF('Design Fee'!EG148&gt;0,"✔","-")</f>
        <v>-</v>
      </c>
      <c r="BS146" s="466" t="str">
        <f>IF('Design Fee'!EH148&gt;0,"✔","-")</f>
        <v>-</v>
      </c>
      <c r="BT146" s="383"/>
      <c r="BU146" s="444" t="str">
        <f>IF('Design Fee'!EJ148&gt;0,"✔","-")</f>
        <v>-</v>
      </c>
      <c r="BV146" s="444" t="str">
        <f>IF('Design Fee'!EK148&gt;0,"✔","-")</f>
        <v>-</v>
      </c>
      <c r="BW146" s="444" t="str">
        <f>IF('Design Fee'!EL148&gt;0,"✔","-")</f>
        <v>-</v>
      </c>
      <c r="BX146" s="444" t="str">
        <f>IF('Design Fee'!EM148&gt;0,"✔","-")</f>
        <v>-</v>
      </c>
      <c r="BY146" s="444" t="str">
        <f>IF('Design Fee'!EN148&gt;0,"✔","-")</f>
        <v>-</v>
      </c>
      <c r="BZ146" s="383"/>
    </row>
    <row r="147" spans="2:78" ht="12.75" outlineLevel="2">
      <c r="B147" s="483"/>
      <c r="C147" s="484"/>
      <c r="D147" s="465"/>
      <c r="E147" s="383"/>
      <c r="F147" s="443"/>
      <c r="G147" s="444"/>
      <c r="H147" s="444"/>
      <c r="I147" s="444"/>
      <c r="J147" s="430"/>
      <c r="K147" s="441"/>
      <c r="L147" s="442"/>
      <c r="M147" s="443"/>
      <c r="N147" s="443"/>
      <c r="O147" s="444" t="str">
        <f>IF('Design Fee'!Y149&gt;0,"✔","-")</f>
        <v>-</v>
      </c>
      <c r="P147" s="444" t="str">
        <f>IF('Design Fee'!Z149&gt;0,"✔","-")</f>
        <v>-</v>
      </c>
      <c r="Q147" s="444" t="str">
        <f>IF('Design Fee'!AA149&gt;0,"✔","-")</f>
        <v>-</v>
      </c>
      <c r="R147" s="444" t="str">
        <f>IF('Design Fee'!AB149&gt;0,"✔","-")</f>
        <v>-</v>
      </c>
      <c r="S147" s="444" t="str">
        <f>IF('Design Fee'!AC149&gt;0,"✔","-")</f>
        <v>-</v>
      </c>
      <c r="T147" s="466" t="str">
        <f>IF('Design Fee'!AD149&gt;0,"✔","-")</f>
        <v>-</v>
      </c>
      <c r="U147" s="430"/>
      <c r="V147" s="444" t="str">
        <f>IF('Design Fee'!AF149&gt;0,"✔","-")</f>
        <v>-</v>
      </c>
      <c r="W147" s="444" t="str">
        <f>IF('Design Fee'!AG149&gt;0,"✔","-")</f>
        <v>-</v>
      </c>
      <c r="X147" s="444" t="str">
        <f>IF('Design Fee'!AH149&gt;0,"✔","-")</f>
        <v>-</v>
      </c>
      <c r="Y147" s="444" t="str">
        <f>IF('Design Fee'!AI149&gt;0,"✔","-")</f>
        <v>-</v>
      </c>
      <c r="Z147" s="444" t="str">
        <f>IF('Design Fee'!AJ149&gt;0,"✔","-")</f>
        <v>-</v>
      </c>
      <c r="AA147" s="430"/>
      <c r="AB147" s="441"/>
      <c r="AC147" s="442"/>
      <c r="AD147" s="443" t="str">
        <f>IF('Design Fee'!BG149&gt;0,"✔","-")</f>
        <v>-</v>
      </c>
      <c r="AE147" s="443" t="str">
        <f>IF('Design Fee'!BH149&gt;0,"✔","-")</f>
        <v>-</v>
      </c>
      <c r="AF147" s="444" t="str">
        <f>IF('Design Fee'!BI149&gt;0,"✔","-")</f>
        <v>-</v>
      </c>
      <c r="AG147" s="444" t="str">
        <f>IF('Design Fee'!BJ149&gt;0,"✔","-")</f>
        <v>-</v>
      </c>
      <c r="AH147" s="444" t="str">
        <f>IF('Design Fee'!BK149&gt;0,"✔","-")</f>
        <v>-</v>
      </c>
      <c r="AI147" s="444" t="str">
        <f>IF('Design Fee'!BL149&gt;0,"✔","-")</f>
        <v>-</v>
      </c>
      <c r="AJ147" s="444" t="str">
        <f>IF('Design Fee'!BM149&gt;0,"✔","-")</f>
        <v>-</v>
      </c>
      <c r="AK147" s="466" t="str">
        <f>IF('Design Fee'!BN149&gt;0,"✔","-")</f>
        <v>-</v>
      </c>
      <c r="AL147" s="445"/>
      <c r="AM147" s="444" t="str">
        <f>IF('Design Fee'!BP149&gt;0,"✔","-")</f>
        <v>-</v>
      </c>
      <c r="AN147" s="444" t="str">
        <f>IF('Design Fee'!BQ149&gt;0,"✔","-")</f>
        <v>-</v>
      </c>
      <c r="AO147" s="444" t="str">
        <f>IF('Design Fee'!BR149&gt;0,"✔","-")</f>
        <v>-</v>
      </c>
      <c r="AP147" s="444" t="str">
        <f>IF('Design Fee'!BS149&gt;0,"✔","-")</f>
        <v>-</v>
      </c>
      <c r="AQ147" s="444" t="str">
        <f>IF('Design Fee'!BT149&gt;0,"✔","-")</f>
        <v>-</v>
      </c>
      <c r="AR147" s="445"/>
      <c r="AS147" s="441"/>
      <c r="AT147" s="442"/>
      <c r="AU147" s="443" t="str">
        <f>IF('Design Fee'!CQ149&gt;0,"✔","-")</f>
        <v>-</v>
      </c>
      <c r="AV147" s="443" t="str">
        <f>IF('Design Fee'!CR149&gt;0,"✔","-")</f>
        <v>-</v>
      </c>
      <c r="AW147" s="444" t="str">
        <f>IF('Design Fee'!CS149&gt;0,"✔","-")</f>
        <v>-</v>
      </c>
      <c r="AX147" s="444" t="str">
        <f>IF('Design Fee'!CT149&gt;0,"✔","-")</f>
        <v>-</v>
      </c>
      <c r="AY147" s="444" t="str">
        <f>IF('Design Fee'!CU149&gt;0,"✔","-")</f>
        <v>-</v>
      </c>
      <c r="AZ147" s="444" t="str">
        <f>IF('Design Fee'!CV149&gt;0,"✔","-")</f>
        <v>-</v>
      </c>
      <c r="BA147" s="444" t="str">
        <f>IF('Design Fee'!CW149&gt;0,"✔","-")</f>
        <v>-</v>
      </c>
      <c r="BB147" s="466" t="str">
        <f>IF('Design Fee'!CX149&gt;0,"✔","-")</f>
        <v>-</v>
      </c>
      <c r="BC147" s="445"/>
      <c r="BD147" s="444" t="str">
        <f>IF('Design Fee'!CZ149&gt;0,"✔","-")</f>
        <v>-</v>
      </c>
      <c r="BE147" s="444" t="str">
        <f>IF('Design Fee'!DA149&gt;0,"✔","-")</f>
        <v>-</v>
      </c>
      <c r="BF147" s="444" t="str">
        <f>IF('Design Fee'!DB149&gt;0,"✔","-")</f>
        <v>-</v>
      </c>
      <c r="BG147" s="444" t="str">
        <f>IF('Design Fee'!DC149&gt;0,"✔","-")</f>
        <v>-</v>
      </c>
      <c r="BH147" s="444" t="str">
        <f>IF('Design Fee'!DD149&gt;0,"✔","-")</f>
        <v>-</v>
      </c>
      <c r="BI147" s="445"/>
      <c r="BJ147" s="441"/>
      <c r="BK147" s="442"/>
      <c r="BL147" s="443" t="str">
        <f>IF('Design Fee'!EA149&gt;0,"✔","-")</f>
        <v>-</v>
      </c>
      <c r="BM147" s="443" t="str">
        <f>IF('Design Fee'!EB149&gt;0,"✔","-")</f>
        <v>-</v>
      </c>
      <c r="BN147" s="444" t="str">
        <f>IF('Design Fee'!EC149&gt;0,"✔","-")</f>
        <v>-</v>
      </c>
      <c r="BO147" s="444" t="str">
        <f>IF('Design Fee'!ED149&gt;0,"✔","-")</f>
        <v>-</v>
      </c>
      <c r="BP147" s="444" t="str">
        <f>IF('Design Fee'!EE149&gt;0,"✔","-")</f>
        <v>-</v>
      </c>
      <c r="BQ147" s="444" t="str">
        <f>IF('Design Fee'!EF149&gt;0,"✔","-")</f>
        <v>-</v>
      </c>
      <c r="BR147" s="444" t="str">
        <f>IF('Design Fee'!EG149&gt;0,"✔","-")</f>
        <v>-</v>
      </c>
      <c r="BS147" s="466" t="str">
        <f>IF('Design Fee'!EH149&gt;0,"✔","-")</f>
        <v>-</v>
      </c>
      <c r="BT147" s="383"/>
      <c r="BU147" s="444" t="str">
        <f>IF('Design Fee'!EJ149&gt;0,"✔","-")</f>
        <v>-</v>
      </c>
      <c r="BV147" s="444" t="str">
        <f>IF('Design Fee'!EK149&gt;0,"✔","-")</f>
        <v>-</v>
      </c>
      <c r="BW147" s="444" t="str">
        <f>IF('Design Fee'!EL149&gt;0,"✔","-")</f>
        <v>-</v>
      </c>
      <c r="BX147" s="444" t="str">
        <f>IF('Design Fee'!EM149&gt;0,"✔","-")</f>
        <v>-</v>
      </c>
      <c r="BY147" s="444" t="str">
        <f>IF('Design Fee'!EN149&gt;0,"✔","-")</f>
        <v>-</v>
      </c>
      <c r="BZ147" s="383"/>
    </row>
    <row r="148" spans="2:78" ht="12.75" outlineLevel="2">
      <c r="B148" s="483">
        <v>2.1</v>
      </c>
      <c r="C148" s="484">
        <v>2.1</v>
      </c>
      <c r="D148" s="485" t="s">
        <v>157</v>
      </c>
      <c r="E148" s="383"/>
      <c r="F148" s="408"/>
      <c r="G148" s="444"/>
      <c r="H148" s="444"/>
      <c r="I148" s="444"/>
      <c r="J148" s="430"/>
      <c r="K148" s="479"/>
      <c r="L148" s="479"/>
      <c r="M148" s="443" t="str">
        <f>IF('Design Fee'!W150&gt;0,"✔","-")</f>
        <v>-</v>
      </c>
      <c r="N148" s="443" t="str">
        <f>IF('Design Fee'!X150&gt;0,"✔","-")</f>
        <v>-</v>
      </c>
      <c r="O148" s="444" t="str">
        <f>IF('Design Fee'!Y150&gt;0,"✔","-")</f>
        <v>-</v>
      </c>
      <c r="P148" s="444" t="str">
        <f>IF('Design Fee'!Z150&gt;0,"✔","-")</f>
        <v>-</v>
      </c>
      <c r="Q148" s="444" t="str">
        <f>IF('Design Fee'!AA150&gt;0,"✔","-")</f>
        <v>-</v>
      </c>
      <c r="R148" s="444" t="str">
        <f>IF('Design Fee'!AB150&gt;0,"✔","-")</f>
        <v>-</v>
      </c>
      <c r="S148" s="444" t="str">
        <f>IF('Design Fee'!AC150&gt;0,"✔","-")</f>
        <v>-</v>
      </c>
      <c r="T148" s="466" t="str">
        <f>IF('Design Fee'!AD150&gt;0,"✔","-")</f>
        <v>-</v>
      </c>
      <c r="U148" s="430"/>
      <c r="V148" s="444" t="str">
        <f>IF('Design Fee'!AF150&gt;0,"✔","-")</f>
        <v>-</v>
      </c>
      <c r="W148" s="444" t="str">
        <f>IF('Design Fee'!AG150&gt;0,"✔","-")</f>
        <v>-</v>
      </c>
      <c r="X148" s="444" t="str">
        <f>IF('Design Fee'!AH150&gt;0,"✔","-")</f>
        <v>-</v>
      </c>
      <c r="Y148" s="444" t="str">
        <f>IF('Design Fee'!AI150&gt;0,"✔","-")</f>
        <v>-</v>
      </c>
      <c r="Z148" s="444" t="str">
        <f>IF('Design Fee'!AJ150&gt;0,"✔","-")</f>
        <v>-</v>
      </c>
      <c r="AA148" s="430"/>
      <c r="AB148" s="479"/>
      <c r="AC148" s="479"/>
      <c r="AD148" s="443"/>
      <c r="AE148" s="443"/>
      <c r="AF148" s="444"/>
      <c r="AG148" s="444" t="str">
        <f>IF('Design Fee'!BJ150&gt;0,"✔","-")</f>
        <v>-</v>
      </c>
      <c r="AH148" s="444" t="str">
        <f>IF('Design Fee'!BK150&gt;0,"✔","-")</f>
        <v>-</v>
      </c>
      <c r="AI148" s="444" t="str">
        <f>IF('Design Fee'!BL150&gt;0,"✔","-")</f>
        <v>-</v>
      </c>
      <c r="AJ148" s="444" t="str">
        <f>IF('Design Fee'!BM150&gt;0,"✔","-")</f>
        <v>-</v>
      </c>
      <c r="AK148" s="466" t="str">
        <f>IF('Design Fee'!BN150&gt;0,"✔","-")</f>
        <v>-</v>
      </c>
      <c r="AL148" s="479"/>
      <c r="AM148" s="444" t="str">
        <f>IF('Design Fee'!BP150&gt;0,"✔","-")</f>
        <v>-</v>
      </c>
      <c r="AN148" s="444" t="str">
        <f>IF('Design Fee'!BQ150&gt;0,"✔","-")</f>
        <v>-</v>
      </c>
      <c r="AO148" s="444" t="str">
        <f>IF('Design Fee'!BR150&gt;0,"✔","-")</f>
        <v>-</v>
      </c>
      <c r="AP148" s="444" t="str">
        <f>IF('Design Fee'!BS150&gt;0,"✔","-")</f>
        <v>-</v>
      </c>
      <c r="AQ148" s="444" t="str">
        <f>IF('Design Fee'!BT150&gt;0,"✔","-")</f>
        <v>-</v>
      </c>
      <c r="AR148" s="479"/>
      <c r="AS148" s="479"/>
      <c r="AT148" s="479"/>
      <c r="AU148" s="443" t="str">
        <f>IF('Design Fee'!CQ150&gt;0,"✔","-")</f>
        <v>-</v>
      </c>
      <c r="AV148" s="443" t="str">
        <f>IF('Design Fee'!CR150&gt;0,"✔","-")</f>
        <v>-</v>
      </c>
      <c r="AW148" s="444" t="str">
        <f>IF('Design Fee'!CS150&gt;0,"✔","-")</f>
        <v>-</v>
      </c>
      <c r="AX148" s="444" t="str">
        <f>IF('Design Fee'!CT150&gt;0,"✔","-")</f>
        <v>-</v>
      </c>
      <c r="AY148" s="444" t="str">
        <f>IF('Design Fee'!CU150&gt;0,"✔","-")</f>
        <v>-</v>
      </c>
      <c r="AZ148" s="444" t="str">
        <f>IF('Design Fee'!CV150&gt;0,"✔","-")</f>
        <v>-</v>
      </c>
      <c r="BA148" s="444" t="str">
        <f>IF('Design Fee'!CW150&gt;0,"✔","-")</f>
        <v>-</v>
      </c>
      <c r="BB148" s="466" t="str">
        <f>IF('Design Fee'!CX150&gt;0,"✔","-")</f>
        <v>-</v>
      </c>
      <c r="BC148" s="479"/>
      <c r="BD148" s="444" t="str">
        <f>IF('Design Fee'!CZ150&gt;0,"✔","-")</f>
        <v>-</v>
      </c>
      <c r="BE148" s="444" t="str">
        <f>IF('Design Fee'!DA150&gt;0,"✔","-")</f>
        <v>-</v>
      </c>
      <c r="BF148" s="444" t="str">
        <f>IF('Design Fee'!DB150&gt;0,"✔","-")</f>
        <v>-</v>
      </c>
      <c r="BG148" s="444" t="str">
        <f>IF('Design Fee'!DC150&gt;0,"✔","-")</f>
        <v>-</v>
      </c>
      <c r="BH148" s="444" t="str">
        <f>IF('Design Fee'!DD150&gt;0,"✔","-")</f>
        <v>-</v>
      </c>
      <c r="BI148" s="479"/>
      <c r="BJ148" s="479"/>
      <c r="BK148" s="479"/>
      <c r="BL148" s="443" t="str">
        <f>IF('Design Fee'!EA150&gt;0,"✔","-")</f>
        <v>-</v>
      </c>
      <c r="BM148" s="443" t="str">
        <f>IF('Design Fee'!EB150&gt;0,"✔","-")</f>
        <v>-</v>
      </c>
      <c r="BN148" s="444" t="str">
        <f>IF('Design Fee'!EC150&gt;0,"✔","-")</f>
        <v>-</v>
      </c>
      <c r="BO148" s="444" t="str">
        <f>IF('Design Fee'!ED150&gt;0,"✔","-")</f>
        <v>-</v>
      </c>
      <c r="BP148" s="444" t="str">
        <f>IF('Design Fee'!EE150&gt;0,"✔","-")</f>
        <v>-</v>
      </c>
      <c r="BQ148" s="444" t="str">
        <f>IF('Design Fee'!EF150&gt;0,"✔","-")</f>
        <v>-</v>
      </c>
      <c r="BR148" s="444" t="str">
        <f>IF('Design Fee'!EG150&gt;0,"✔","-")</f>
        <v>-</v>
      </c>
      <c r="BS148" s="466" t="str">
        <f>IF('Design Fee'!EH150&gt;0,"✔","-")</f>
        <v>-</v>
      </c>
      <c r="BT148" s="383"/>
      <c r="BU148" s="444" t="str">
        <f>IF('Design Fee'!EJ150&gt;0,"✔","-")</f>
        <v>-</v>
      </c>
      <c r="BV148" s="444" t="str">
        <f>IF('Design Fee'!EK150&gt;0,"✔","-")</f>
        <v>-</v>
      </c>
      <c r="BW148" s="444" t="str">
        <f>IF('Design Fee'!EL150&gt;0,"✔","-")</f>
        <v>-</v>
      </c>
      <c r="BX148" s="444" t="str">
        <f>IF('Design Fee'!EM150&gt;0,"✔","-")</f>
        <v>-</v>
      </c>
      <c r="BY148" s="444" t="str">
        <f>IF('Design Fee'!EN150&gt;0,"✔","-")</f>
        <v>-</v>
      </c>
      <c r="BZ148" s="383"/>
    </row>
    <row r="149" spans="2:78" ht="12.75" outlineLevel="3">
      <c r="B149" s="463" t="s">
        <v>158</v>
      </c>
      <c r="C149" s="464">
        <v>1</v>
      </c>
      <c r="D149" s="465" t="s">
        <v>152</v>
      </c>
      <c r="E149" s="383"/>
      <c r="F149" s="443">
        <f t="shared" ref="F149:H150" si="535">COUNTIF(M149,"✔")+COUNTIF(AD149,"✔")+COUNTIF(BL149,"✔")+COUNTIF(AU149,"✔")</f>
        <v>1</v>
      </c>
      <c r="G149" s="444">
        <f t="shared" si="535"/>
        <v>1</v>
      </c>
      <c r="H149" s="444">
        <f t="shared" si="535"/>
        <v>1</v>
      </c>
      <c r="I149" s="444">
        <f t="shared" ref="I149:I150" si="536">F149-G149</f>
        <v>0</v>
      </c>
      <c r="J149" s="430"/>
      <c r="K149" s="449"/>
      <c r="L149" s="442"/>
      <c r="M149" s="443" t="str">
        <f>IF('Design Fee'!W151&gt;0,"✔","-")</f>
        <v>-</v>
      </c>
      <c r="N149" s="443" t="str">
        <f>IF('Design Fee'!X151&gt;0,"✔","-")</f>
        <v>-</v>
      </c>
      <c r="O149" s="444" t="str">
        <f>IF('Design Fee'!Y151&gt;0,"✔","-")</f>
        <v>-</v>
      </c>
      <c r="P149" s="444" t="str">
        <f>IF('Design Fee'!Z151&gt;0,"✔","-")</f>
        <v>-</v>
      </c>
      <c r="Q149" s="444" t="str">
        <f>IF('Design Fee'!AA151&gt;0,"✔","-")</f>
        <v>-</v>
      </c>
      <c r="R149" s="444" t="str">
        <f>IF('Design Fee'!AB151&gt;0,"✔","-")</f>
        <v>-</v>
      </c>
      <c r="S149" s="444" t="str">
        <f>IF('Design Fee'!AC151&gt;0,"✔","-")</f>
        <v>-</v>
      </c>
      <c r="T149" s="466" t="str">
        <f>IF('Design Fee'!AD151&gt;0,"✔","-")</f>
        <v>-</v>
      </c>
      <c r="U149" s="430"/>
      <c r="V149" s="444" t="str">
        <f>IF('Design Fee'!AF151&gt;0,"✔","-")</f>
        <v>-</v>
      </c>
      <c r="W149" s="444" t="str">
        <f>IF('Design Fee'!AG151&gt;0,"✔","-")</f>
        <v>-</v>
      </c>
      <c r="X149" s="444" t="str">
        <f>IF('Design Fee'!AH151&gt;0,"✔","-")</f>
        <v>-</v>
      </c>
      <c r="Y149" s="444" t="str">
        <f>IF('Design Fee'!AI151&gt;0,"✔","-")</f>
        <v>-</v>
      </c>
      <c r="Z149" s="444" t="str">
        <f>IF('Design Fee'!AJ151&gt;0,"✔","-")</f>
        <v>-</v>
      </c>
      <c r="AA149" s="430"/>
      <c r="AB149" s="449"/>
      <c r="AC149" s="442"/>
      <c r="AD149" s="443" t="str">
        <f>IF('Design Fee'!BG151&gt;0,"✔","-")</f>
        <v>✔</v>
      </c>
      <c r="AE149" s="443" t="str">
        <f>IF('Design Fee'!BH151&gt;0,"✔","-")</f>
        <v>✔</v>
      </c>
      <c r="AF149" s="444" t="str">
        <f>IF('Design Fee'!BI151&gt;0,"✔","-")</f>
        <v>✔</v>
      </c>
      <c r="AG149" s="444" t="str">
        <f>IF('Design Fee'!BJ151&gt;0,"✔","-")</f>
        <v>-</v>
      </c>
      <c r="AH149" s="444" t="str">
        <f>IF('Design Fee'!BK151&gt;0,"✔","-")</f>
        <v>-</v>
      </c>
      <c r="AI149" s="444" t="str">
        <f>IF('Design Fee'!BL151&gt;0,"✔","-")</f>
        <v>-</v>
      </c>
      <c r="AJ149" s="444" t="str">
        <f>IF('Design Fee'!BM151&gt;0,"✔","-")</f>
        <v>-</v>
      </c>
      <c r="AK149" s="466" t="str">
        <f>IF('Design Fee'!BN151&gt;0,"✔","-")</f>
        <v>-</v>
      </c>
      <c r="AL149" s="445"/>
      <c r="AM149" s="444" t="str">
        <f>IF('Design Fee'!BP151&gt;0,"✔","-")</f>
        <v>-</v>
      </c>
      <c r="AN149" s="444" t="str">
        <f>IF('Design Fee'!BQ151&gt;0,"✔","-")</f>
        <v>-</v>
      </c>
      <c r="AO149" s="444" t="str">
        <f>IF('Design Fee'!BR151&gt;0,"✔","-")</f>
        <v>-</v>
      </c>
      <c r="AP149" s="444" t="str">
        <f>IF('Design Fee'!BS151&gt;0,"✔","-")</f>
        <v>-</v>
      </c>
      <c r="AQ149" s="444" t="str">
        <f>IF('Design Fee'!BT151&gt;0,"✔","-")</f>
        <v>-</v>
      </c>
      <c r="AR149" s="445"/>
      <c r="AS149" s="449"/>
      <c r="AT149" s="442"/>
      <c r="AU149" s="443" t="str">
        <f>IF('Design Fee'!CQ151&gt;0,"✔","-")</f>
        <v>-</v>
      </c>
      <c r="AV149" s="443" t="str">
        <f>IF('Design Fee'!CR151&gt;0,"✔","-")</f>
        <v>-</v>
      </c>
      <c r="AW149" s="444" t="str">
        <f>IF('Design Fee'!CS151&gt;0,"✔","-")</f>
        <v>-</v>
      </c>
      <c r="AX149" s="444" t="str">
        <f>IF('Design Fee'!CT151&gt;0,"✔","-")</f>
        <v>-</v>
      </c>
      <c r="AY149" s="444" t="str">
        <f>IF('Design Fee'!CU151&gt;0,"✔","-")</f>
        <v>-</v>
      </c>
      <c r="AZ149" s="444" t="str">
        <f>IF('Design Fee'!CV151&gt;0,"✔","-")</f>
        <v>-</v>
      </c>
      <c r="BA149" s="444" t="str">
        <f>IF('Design Fee'!CW151&gt;0,"✔","-")</f>
        <v>-</v>
      </c>
      <c r="BB149" s="466" t="str">
        <f>IF('Design Fee'!CX151&gt;0,"✔","-")</f>
        <v>-</v>
      </c>
      <c r="BC149" s="445"/>
      <c r="BD149" s="444" t="str">
        <f>IF('Design Fee'!CZ151&gt;0,"✔","-")</f>
        <v>-</v>
      </c>
      <c r="BE149" s="444" t="str">
        <f>IF('Design Fee'!DA151&gt;0,"✔","-")</f>
        <v>-</v>
      </c>
      <c r="BF149" s="444" t="str">
        <f>IF('Design Fee'!DB151&gt;0,"✔","-")</f>
        <v>-</v>
      </c>
      <c r="BG149" s="444" t="str">
        <f>IF('Design Fee'!DC151&gt;0,"✔","-")</f>
        <v>-</v>
      </c>
      <c r="BH149" s="444" t="str">
        <f>IF('Design Fee'!DD151&gt;0,"✔","-")</f>
        <v>-</v>
      </c>
      <c r="BI149" s="445"/>
      <c r="BJ149" s="449"/>
      <c r="BK149" s="442"/>
      <c r="BL149" s="443" t="str">
        <f>IF('Design Fee'!EA151&gt;0,"✔","-")</f>
        <v>-</v>
      </c>
      <c r="BM149" s="443" t="str">
        <f>IF('Design Fee'!EB151&gt;0,"✔","-")</f>
        <v>-</v>
      </c>
      <c r="BN149" s="444" t="str">
        <f>IF('Design Fee'!EC151&gt;0,"✔","-")</f>
        <v>-</v>
      </c>
      <c r="BO149" s="444" t="str">
        <f>IF('Design Fee'!ED151&gt;0,"✔","-")</f>
        <v>-</v>
      </c>
      <c r="BP149" s="444" t="str">
        <f>IF('Design Fee'!EE151&gt;0,"✔","-")</f>
        <v>-</v>
      </c>
      <c r="BQ149" s="444" t="str">
        <f>IF('Design Fee'!EF151&gt;0,"✔","-")</f>
        <v>-</v>
      </c>
      <c r="BR149" s="444" t="str">
        <f>IF('Design Fee'!EG151&gt;0,"✔","-")</f>
        <v>-</v>
      </c>
      <c r="BS149" s="466" t="str">
        <f>IF('Design Fee'!EH151&gt;0,"✔","-")</f>
        <v>-</v>
      </c>
      <c r="BT149" s="383"/>
      <c r="BU149" s="444" t="str">
        <f>IF('Design Fee'!EJ151&gt;0,"✔","-")</f>
        <v>-</v>
      </c>
      <c r="BV149" s="444" t="str">
        <f>IF('Design Fee'!EK151&gt;0,"✔","-")</f>
        <v>-</v>
      </c>
      <c r="BW149" s="444" t="str">
        <f>IF('Design Fee'!EL151&gt;0,"✔","-")</f>
        <v>-</v>
      </c>
      <c r="BX149" s="444" t="str">
        <f>IF('Design Fee'!EM151&gt;0,"✔","-")</f>
        <v>-</v>
      </c>
      <c r="BY149" s="444" t="str">
        <f>IF('Design Fee'!EN151&gt;0,"✔","-")</f>
        <v>-</v>
      </c>
      <c r="BZ149" s="383"/>
    </row>
    <row r="150" spans="2:78" ht="12.75" outlineLevel="3">
      <c r="B150" s="463" t="s">
        <v>159</v>
      </c>
      <c r="C150" s="464">
        <v>2</v>
      </c>
      <c r="D150" s="465" t="s">
        <v>154</v>
      </c>
      <c r="E150" s="383"/>
      <c r="F150" s="443">
        <f t="shared" si="535"/>
        <v>1</v>
      </c>
      <c r="G150" s="444">
        <f t="shared" si="535"/>
        <v>1</v>
      </c>
      <c r="H150" s="444">
        <f t="shared" si="535"/>
        <v>1</v>
      </c>
      <c r="I150" s="444">
        <f t="shared" si="536"/>
        <v>0</v>
      </c>
      <c r="J150" s="430"/>
      <c r="K150" s="449"/>
      <c r="L150" s="442"/>
      <c r="M150" s="443" t="str">
        <f>IF('Design Fee'!W152&gt;0,"✔","-")</f>
        <v>-</v>
      </c>
      <c r="N150" s="443" t="str">
        <f>IF('Design Fee'!X152&gt;0,"✔","-")</f>
        <v>-</v>
      </c>
      <c r="O150" s="444" t="str">
        <f>IF('Design Fee'!Y152&gt;0,"✔","-")</f>
        <v>-</v>
      </c>
      <c r="P150" s="444" t="str">
        <f>IF('Design Fee'!Z152&gt;0,"✔","-")</f>
        <v>-</v>
      </c>
      <c r="Q150" s="444" t="str">
        <f>IF('Design Fee'!AA152&gt;0,"✔","-")</f>
        <v>-</v>
      </c>
      <c r="R150" s="444" t="str">
        <f>IF('Design Fee'!AB152&gt;0,"✔","-")</f>
        <v>-</v>
      </c>
      <c r="S150" s="444" t="str">
        <f>IF('Design Fee'!AC152&gt;0,"✔","-")</f>
        <v>-</v>
      </c>
      <c r="T150" s="466" t="str">
        <f>IF('Design Fee'!AD152&gt;0,"✔","-")</f>
        <v>-</v>
      </c>
      <c r="U150" s="430"/>
      <c r="V150" s="444" t="str">
        <f>IF('Design Fee'!AF152&gt;0,"✔","-")</f>
        <v>-</v>
      </c>
      <c r="W150" s="444" t="str">
        <f>IF('Design Fee'!AG152&gt;0,"✔","-")</f>
        <v>-</v>
      </c>
      <c r="X150" s="444" t="str">
        <f>IF('Design Fee'!AH152&gt;0,"✔","-")</f>
        <v>-</v>
      </c>
      <c r="Y150" s="444" t="str">
        <f>IF('Design Fee'!AI152&gt;0,"✔","-")</f>
        <v>-</v>
      </c>
      <c r="Z150" s="444" t="str">
        <f>IF('Design Fee'!AJ152&gt;0,"✔","-")</f>
        <v>-</v>
      </c>
      <c r="AA150" s="430"/>
      <c r="AB150" s="449"/>
      <c r="AC150" s="442"/>
      <c r="AD150" s="443" t="str">
        <f>IF('Design Fee'!BG152&gt;0,"✔","-")</f>
        <v>✔</v>
      </c>
      <c r="AE150" s="443" t="str">
        <f>IF('Design Fee'!BH152&gt;0,"✔","-")</f>
        <v>✔</v>
      </c>
      <c r="AF150" s="444" t="str">
        <f>IF('Design Fee'!BI152&gt;0,"✔","-")</f>
        <v>✔</v>
      </c>
      <c r="AG150" s="444" t="str">
        <f>IF('Design Fee'!BJ152&gt;0,"✔","-")</f>
        <v>-</v>
      </c>
      <c r="AH150" s="444" t="str">
        <f>IF('Design Fee'!BK152&gt;0,"✔","-")</f>
        <v>-</v>
      </c>
      <c r="AI150" s="444" t="str">
        <f>IF('Design Fee'!BL152&gt;0,"✔","-")</f>
        <v>-</v>
      </c>
      <c r="AJ150" s="444" t="str">
        <f>IF('Design Fee'!BM152&gt;0,"✔","-")</f>
        <v>-</v>
      </c>
      <c r="AK150" s="466" t="str">
        <f>IF('Design Fee'!BN152&gt;0,"✔","-")</f>
        <v>-</v>
      </c>
      <c r="AL150" s="445"/>
      <c r="AM150" s="444" t="str">
        <f>IF('Design Fee'!BP152&gt;0,"✔","-")</f>
        <v>-</v>
      </c>
      <c r="AN150" s="444" t="str">
        <f>IF('Design Fee'!BQ152&gt;0,"✔","-")</f>
        <v>-</v>
      </c>
      <c r="AO150" s="444" t="str">
        <f>IF('Design Fee'!BR152&gt;0,"✔","-")</f>
        <v>-</v>
      </c>
      <c r="AP150" s="444" t="str">
        <f>IF('Design Fee'!BS152&gt;0,"✔","-")</f>
        <v>-</v>
      </c>
      <c r="AQ150" s="444" t="str">
        <f>IF('Design Fee'!BT152&gt;0,"✔","-")</f>
        <v>-</v>
      </c>
      <c r="AR150" s="445"/>
      <c r="AS150" s="449"/>
      <c r="AT150" s="442"/>
      <c r="AU150" s="443" t="str">
        <f>IF('Design Fee'!CQ152&gt;0,"✔","-")</f>
        <v>-</v>
      </c>
      <c r="AV150" s="443" t="str">
        <f>IF('Design Fee'!CR152&gt;0,"✔","-")</f>
        <v>-</v>
      </c>
      <c r="AW150" s="444" t="str">
        <f>IF('Design Fee'!CS152&gt;0,"✔","-")</f>
        <v>-</v>
      </c>
      <c r="AX150" s="444" t="str">
        <f>IF('Design Fee'!CT152&gt;0,"✔","-")</f>
        <v>-</v>
      </c>
      <c r="AY150" s="444" t="str">
        <f>IF('Design Fee'!CU152&gt;0,"✔","-")</f>
        <v>-</v>
      </c>
      <c r="AZ150" s="444" t="str">
        <f>IF('Design Fee'!CV152&gt;0,"✔","-")</f>
        <v>-</v>
      </c>
      <c r="BA150" s="444" t="str">
        <f>IF('Design Fee'!CW152&gt;0,"✔","-")</f>
        <v>-</v>
      </c>
      <c r="BB150" s="466" t="str">
        <f>IF('Design Fee'!CX152&gt;0,"✔","-")</f>
        <v>-</v>
      </c>
      <c r="BC150" s="445"/>
      <c r="BD150" s="444" t="str">
        <f>IF('Design Fee'!CZ152&gt;0,"✔","-")</f>
        <v>-</v>
      </c>
      <c r="BE150" s="444" t="str">
        <f>IF('Design Fee'!DA152&gt;0,"✔","-")</f>
        <v>-</v>
      </c>
      <c r="BF150" s="444" t="str">
        <f>IF('Design Fee'!DB152&gt;0,"✔","-")</f>
        <v>-</v>
      </c>
      <c r="BG150" s="444" t="str">
        <f>IF('Design Fee'!DC152&gt;0,"✔","-")</f>
        <v>-</v>
      </c>
      <c r="BH150" s="444" t="str">
        <f>IF('Design Fee'!DD152&gt;0,"✔","-")</f>
        <v>-</v>
      </c>
      <c r="BI150" s="445"/>
      <c r="BJ150" s="449"/>
      <c r="BK150" s="442"/>
      <c r="BL150" s="443" t="str">
        <f>IF('Design Fee'!EA152&gt;0,"✔","-")</f>
        <v>-</v>
      </c>
      <c r="BM150" s="443" t="str">
        <f>IF('Design Fee'!EB152&gt;0,"✔","-")</f>
        <v>-</v>
      </c>
      <c r="BN150" s="444" t="str">
        <f>IF('Design Fee'!EC152&gt;0,"✔","-")</f>
        <v>-</v>
      </c>
      <c r="BO150" s="444" t="str">
        <f>IF('Design Fee'!ED152&gt;0,"✔","-")</f>
        <v>-</v>
      </c>
      <c r="BP150" s="444" t="str">
        <f>IF('Design Fee'!EE152&gt;0,"✔","-")</f>
        <v>-</v>
      </c>
      <c r="BQ150" s="444" t="str">
        <f>IF('Design Fee'!EF152&gt;0,"✔","-")</f>
        <v>-</v>
      </c>
      <c r="BR150" s="444" t="str">
        <f>IF('Design Fee'!EG152&gt;0,"✔","-")</f>
        <v>-</v>
      </c>
      <c r="BS150" s="466" t="str">
        <f>IF('Design Fee'!EH152&gt;0,"✔","-")</f>
        <v>-</v>
      </c>
      <c r="BT150" s="383"/>
      <c r="BU150" s="444" t="str">
        <f>IF('Design Fee'!EJ152&gt;0,"✔","-")</f>
        <v>-</v>
      </c>
      <c r="BV150" s="444" t="str">
        <f>IF('Design Fee'!EK152&gt;0,"✔","-")</f>
        <v>-</v>
      </c>
      <c r="BW150" s="444" t="str">
        <f>IF('Design Fee'!EL152&gt;0,"✔","-")</f>
        <v>-</v>
      </c>
      <c r="BX150" s="444" t="str">
        <f>IF('Design Fee'!EM152&gt;0,"✔","-")</f>
        <v>-</v>
      </c>
      <c r="BY150" s="444" t="str">
        <f>IF('Design Fee'!EN152&gt;0,"✔","-")</f>
        <v>-</v>
      </c>
      <c r="BZ150" s="383"/>
    </row>
    <row r="151" spans="2:78" ht="12.75" outlineLevel="2">
      <c r="B151" s="483"/>
      <c r="C151" s="484"/>
      <c r="D151" s="465"/>
      <c r="E151" s="383"/>
      <c r="F151" s="443"/>
      <c r="G151" s="444"/>
      <c r="H151" s="444"/>
      <c r="I151" s="444"/>
      <c r="J151" s="430"/>
      <c r="K151" s="441"/>
      <c r="L151" s="442"/>
      <c r="M151" s="443" t="str">
        <f>IF('Design Fee'!W153&gt;0,"✔","-")</f>
        <v>-</v>
      </c>
      <c r="N151" s="443" t="str">
        <f>IF('Design Fee'!X153&gt;0,"✔","-")</f>
        <v>-</v>
      </c>
      <c r="O151" s="444" t="str">
        <f>IF('Design Fee'!Y153&gt;0,"✔","-")</f>
        <v>-</v>
      </c>
      <c r="P151" s="444" t="str">
        <f>IF('Design Fee'!Z153&gt;0,"✔","-")</f>
        <v>-</v>
      </c>
      <c r="Q151" s="444" t="str">
        <f>IF('Design Fee'!AA153&gt;0,"✔","-")</f>
        <v>-</v>
      </c>
      <c r="R151" s="444" t="str">
        <f>IF('Design Fee'!AB153&gt;0,"✔","-")</f>
        <v>-</v>
      </c>
      <c r="S151" s="444" t="str">
        <f>IF('Design Fee'!AC153&gt;0,"✔","-")</f>
        <v>-</v>
      </c>
      <c r="T151" s="466" t="str">
        <f>IF('Design Fee'!AD153&gt;0,"✔","-")</f>
        <v>-</v>
      </c>
      <c r="U151" s="430"/>
      <c r="V151" s="444" t="str">
        <f>IF('Design Fee'!AF153&gt;0,"✔","-")</f>
        <v>-</v>
      </c>
      <c r="W151" s="444" t="str">
        <f>IF('Design Fee'!AG153&gt;0,"✔","-")</f>
        <v>-</v>
      </c>
      <c r="X151" s="444" t="str">
        <f>IF('Design Fee'!AH153&gt;0,"✔","-")</f>
        <v>-</v>
      </c>
      <c r="Y151" s="444" t="str">
        <f>IF('Design Fee'!AI153&gt;0,"✔","-")</f>
        <v>-</v>
      </c>
      <c r="Z151" s="444" t="str">
        <f>IF('Design Fee'!AJ153&gt;0,"✔","-")</f>
        <v>-</v>
      </c>
      <c r="AA151" s="430"/>
      <c r="AB151" s="441"/>
      <c r="AC151" s="442"/>
      <c r="AD151" s="443" t="str">
        <f>IF('Design Fee'!BG153&gt;0,"✔","-")</f>
        <v>-</v>
      </c>
      <c r="AE151" s="443" t="str">
        <f>IF('Design Fee'!BH153&gt;0,"✔","-")</f>
        <v>-</v>
      </c>
      <c r="AF151" s="444" t="str">
        <f>IF('Design Fee'!BI153&gt;0,"✔","-")</f>
        <v>-</v>
      </c>
      <c r="AG151" s="444" t="str">
        <f>IF('Design Fee'!BJ153&gt;0,"✔","-")</f>
        <v>-</v>
      </c>
      <c r="AH151" s="444" t="str">
        <f>IF('Design Fee'!BK153&gt;0,"✔","-")</f>
        <v>-</v>
      </c>
      <c r="AI151" s="444" t="str">
        <f>IF('Design Fee'!BL153&gt;0,"✔","-")</f>
        <v>-</v>
      </c>
      <c r="AJ151" s="444" t="str">
        <f>IF('Design Fee'!BM153&gt;0,"✔","-")</f>
        <v>-</v>
      </c>
      <c r="AK151" s="466" t="str">
        <f>IF('Design Fee'!BN153&gt;0,"✔","-")</f>
        <v>-</v>
      </c>
      <c r="AL151" s="445"/>
      <c r="AM151" s="444" t="str">
        <f>IF('Design Fee'!BP153&gt;0,"✔","-")</f>
        <v>-</v>
      </c>
      <c r="AN151" s="444" t="str">
        <f>IF('Design Fee'!BQ153&gt;0,"✔","-")</f>
        <v>-</v>
      </c>
      <c r="AO151" s="444" t="str">
        <f>IF('Design Fee'!BR153&gt;0,"✔","-")</f>
        <v>-</v>
      </c>
      <c r="AP151" s="444" t="str">
        <f>IF('Design Fee'!BS153&gt;0,"✔","-")</f>
        <v>-</v>
      </c>
      <c r="AQ151" s="444" t="str">
        <f>IF('Design Fee'!BT153&gt;0,"✔","-")</f>
        <v>-</v>
      </c>
      <c r="AR151" s="445"/>
      <c r="AS151" s="441"/>
      <c r="AT151" s="442"/>
      <c r="AU151" s="443" t="str">
        <f>IF('Design Fee'!CQ153&gt;0,"✔","-")</f>
        <v>-</v>
      </c>
      <c r="AV151" s="443" t="str">
        <f>IF('Design Fee'!CR153&gt;0,"✔","-")</f>
        <v>-</v>
      </c>
      <c r="AW151" s="444" t="str">
        <f>IF('Design Fee'!CS153&gt;0,"✔","-")</f>
        <v>-</v>
      </c>
      <c r="AX151" s="444" t="str">
        <f>IF('Design Fee'!CT153&gt;0,"✔","-")</f>
        <v>-</v>
      </c>
      <c r="AY151" s="444" t="str">
        <f>IF('Design Fee'!CU153&gt;0,"✔","-")</f>
        <v>-</v>
      </c>
      <c r="AZ151" s="444" t="str">
        <f>IF('Design Fee'!CV153&gt;0,"✔","-")</f>
        <v>-</v>
      </c>
      <c r="BA151" s="444" t="str">
        <f>IF('Design Fee'!CW153&gt;0,"✔","-")</f>
        <v>-</v>
      </c>
      <c r="BB151" s="466" t="str">
        <f>IF('Design Fee'!CX153&gt;0,"✔","-")</f>
        <v>-</v>
      </c>
      <c r="BC151" s="445"/>
      <c r="BD151" s="444" t="str">
        <f>IF('Design Fee'!CZ153&gt;0,"✔","-")</f>
        <v>-</v>
      </c>
      <c r="BE151" s="444" t="str">
        <f>IF('Design Fee'!DA153&gt;0,"✔","-")</f>
        <v>-</v>
      </c>
      <c r="BF151" s="444" t="str">
        <f>IF('Design Fee'!DB153&gt;0,"✔","-")</f>
        <v>-</v>
      </c>
      <c r="BG151" s="444" t="str">
        <f>IF('Design Fee'!DC153&gt;0,"✔","-")</f>
        <v>-</v>
      </c>
      <c r="BH151" s="444" t="str">
        <f>IF('Design Fee'!DD153&gt;0,"✔","-")</f>
        <v>-</v>
      </c>
      <c r="BI151" s="445"/>
      <c r="BJ151" s="441"/>
      <c r="BK151" s="442"/>
      <c r="BL151" s="443" t="str">
        <f>IF('Design Fee'!EA153&gt;0,"✔","-")</f>
        <v>-</v>
      </c>
      <c r="BM151" s="443" t="str">
        <f>IF('Design Fee'!EB153&gt;0,"✔","-")</f>
        <v>-</v>
      </c>
      <c r="BN151" s="444" t="str">
        <f>IF('Design Fee'!EC153&gt;0,"✔","-")</f>
        <v>-</v>
      </c>
      <c r="BO151" s="444" t="str">
        <f>IF('Design Fee'!ED153&gt;0,"✔","-")</f>
        <v>-</v>
      </c>
      <c r="BP151" s="444" t="str">
        <f>IF('Design Fee'!EE153&gt;0,"✔","-")</f>
        <v>-</v>
      </c>
      <c r="BQ151" s="444" t="str">
        <f>IF('Design Fee'!EF153&gt;0,"✔","-")</f>
        <v>-</v>
      </c>
      <c r="BR151" s="444" t="str">
        <f>IF('Design Fee'!EG153&gt;0,"✔","-")</f>
        <v>-</v>
      </c>
      <c r="BS151" s="466" t="str">
        <f>IF('Design Fee'!EH153&gt;0,"✔","-")</f>
        <v>-</v>
      </c>
      <c r="BT151" s="383"/>
      <c r="BU151" s="444" t="str">
        <f>IF('Design Fee'!EJ153&gt;0,"✔","-")</f>
        <v>-</v>
      </c>
      <c r="BV151" s="444" t="str">
        <f>IF('Design Fee'!EK153&gt;0,"✔","-")</f>
        <v>-</v>
      </c>
      <c r="BW151" s="444" t="str">
        <f>IF('Design Fee'!EL153&gt;0,"✔","-")</f>
        <v>-</v>
      </c>
      <c r="BX151" s="444" t="str">
        <f>IF('Design Fee'!EM153&gt;0,"✔","-")</f>
        <v>-</v>
      </c>
      <c r="BY151" s="444" t="str">
        <f>IF('Design Fee'!EN153&gt;0,"✔","-")</f>
        <v>-</v>
      </c>
      <c r="BZ151" s="383"/>
    </row>
    <row r="152" spans="2:78" ht="12.75" outlineLevel="2">
      <c r="B152" s="483">
        <v>2.2000000000000002</v>
      </c>
      <c r="C152" s="484">
        <v>2.2000000000000002</v>
      </c>
      <c r="D152" s="485" t="s">
        <v>160</v>
      </c>
      <c r="E152" s="383"/>
      <c r="F152" s="408"/>
      <c r="G152" s="444"/>
      <c r="H152" s="444"/>
      <c r="I152" s="444"/>
      <c r="J152" s="430"/>
      <c r="K152" s="479"/>
      <c r="L152" s="479"/>
      <c r="M152" s="443" t="str">
        <f>IF('Design Fee'!W154&gt;0,"✔","-")</f>
        <v>-</v>
      </c>
      <c r="N152" s="443" t="str">
        <f>IF('Design Fee'!X154&gt;0,"✔","-")</f>
        <v>-</v>
      </c>
      <c r="O152" s="444" t="str">
        <f>IF('Design Fee'!Y154&gt;0,"✔","-")</f>
        <v>-</v>
      </c>
      <c r="P152" s="444" t="str">
        <f>IF('Design Fee'!Z154&gt;0,"✔","-")</f>
        <v>-</v>
      </c>
      <c r="Q152" s="444" t="str">
        <f>IF('Design Fee'!AA154&gt;0,"✔","-")</f>
        <v>-</v>
      </c>
      <c r="R152" s="444" t="str">
        <f>IF('Design Fee'!AB154&gt;0,"✔","-")</f>
        <v>-</v>
      </c>
      <c r="S152" s="444" t="str">
        <f>IF('Design Fee'!AC154&gt;0,"✔","-")</f>
        <v>-</v>
      </c>
      <c r="T152" s="466" t="str">
        <f>IF('Design Fee'!AD154&gt;0,"✔","-")</f>
        <v>-</v>
      </c>
      <c r="U152" s="430"/>
      <c r="V152" s="444" t="str">
        <f>IF('Design Fee'!AF154&gt;0,"✔","-")</f>
        <v>-</v>
      </c>
      <c r="W152" s="444" t="str">
        <f>IF('Design Fee'!AG154&gt;0,"✔","-")</f>
        <v>-</v>
      </c>
      <c r="X152" s="444" t="str">
        <f>IF('Design Fee'!AH154&gt;0,"✔","-")</f>
        <v>-</v>
      </c>
      <c r="Y152" s="444" t="str">
        <f>IF('Design Fee'!AI154&gt;0,"✔","-")</f>
        <v>-</v>
      </c>
      <c r="Z152" s="444" t="str">
        <f>IF('Design Fee'!AJ154&gt;0,"✔","-")</f>
        <v>-</v>
      </c>
      <c r="AA152" s="430"/>
      <c r="AB152" s="479"/>
      <c r="AC152" s="479"/>
      <c r="AD152" s="443"/>
      <c r="AE152" s="443"/>
      <c r="AF152" s="444"/>
      <c r="AG152" s="444" t="str">
        <f>IF('Design Fee'!BJ154&gt;0,"✔","-")</f>
        <v>-</v>
      </c>
      <c r="AH152" s="444" t="str">
        <f>IF('Design Fee'!BK154&gt;0,"✔","-")</f>
        <v>-</v>
      </c>
      <c r="AI152" s="444" t="str">
        <f>IF('Design Fee'!BL154&gt;0,"✔","-")</f>
        <v>-</v>
      </c>
      <c r="AJ152" s="444" t="str">
        <f>IF('Design Fee'!BM154&gt;0,"✔","-")</f>
        <v>-</v>
      </c>
      <c r="AK152" s="466" t="str">
        <f>IF('Design Fee'!BN154&gt;0,"✔","-")</f>
        <v>-</v>
      </c>
      <c r="AL152" s="479"/>
      <c r="AM152" s="444" t="str">
        <f>IF('Design Fee'!BP154&gt;0,"✔","-")</f>
        <v>-</v>
      </c>
      <c r="AN152" s="444" t="str">
        <f>IF('Design Fee'!BQ154&gt;0,"✔","-")</f>
        <v>-</v>
      </c>
      <c r="AO152" s="444" t="str">
        <f>IF('Design Fee'!BR154&gt;0,"✔","-")</f>
        <v>-</v>
      </c>
      <c r="AP152" s="444" t="str">
        <f>IF('Design Fee'!BS154&gt;0,"✔","-")</f>
        <v>-</v>
      </c>
      <c r="AQ152" s="444" t="str">
        <f>IF('Design Fee'!BT154&gt;0,"✔","-")</f>
        <v>-</v>
      </c>
      <c r="AR152" s="479"/>
      <c r="AS152" s="479"/>
      <c r="AT152" s="479"/>
      <c r="AU152" s="443" t="str">
        <f>IF('Design Fee'!CQ154&gt;0,"✔","-")</f>
        <v>-</v>
      </c>
      <c r="AV152" s="443" t="str">
        <f>IF('Design Fee'!CR154&gt;0,"✔","-")</f>
        <v>-</v>
      </c>
      <c r="AW152" s="444" t="str">
        <f>IF('Design Fee'!CS154&gt;0,"✔","-")</f>
        <v>-</v>
      </c>
      <c r="AX152" s="444" t="str">
        <f>IF('Design Fee'!CT154&gt;0,"✔","-")</f>
        <v>-</v>
      </c>
      <c r="AY152" s="444" t="str">
        <f>IF('Design Fee'!CU154&gt;0,"✔","-")</f>
        <v>-</v>
      </c>
      <c r="AZ152" s="444" t="str">
        <f>IF('Design Fee'!CV154&gt;0,"✔","-")</f>
        <v>-</v>
      </c>
      <c r="BA152" s="444" t="str">
        <f>IF('Design Fee'!CW154&gt;0,"✔","-")</f>
        <v>-</v>
      </c>
      <c r="BB152" s="466" t="str">
        <f>IF('Design Fee'!CX154&gt;0,"✔","-")</f>
        <v>-</v>
      </c>
      <c r="BC152" s="479"/>
      <c r="BD152" s="444" t="str">
        <f>IF('Design Fee'!CZ154&gt;0,"✔","-")</f>
        <v>-</v>
      </c>
      <c r="BE152" s="444" t="str">
        <f>IF('Design Fee'!DA154&gt;0,"✔","-")</f>
        <v>-</v>
      </c>
      <c r="BF152" s="444" t="str">
        <f>IF('Design Fee'!DB154&gt;0,"✔","-")</f>
        <v>-</v>
      </c>
      <c r="BG152" s="444" t="str">
        <f>IF('Design Fee'!DC154&gt;0,"✔","-")</f>
        <v>-</v>
      </c>
      <c r="BH152" s="444" t="str">
        <f>IF('Design Fee'!DD154&gt;0,"✔","-")</f>
        <v>-</v>
      </c>
      <c r="BI152" s="479"/>
      <c r="BJ152" s="479"/>
      <c r="BK152" s="479"/>
      <c r="BL152" s="443" t="str">
        <f>IF('Design Fee'!EA154&gt;0,"✔","-")</f>
        <v>-</v>
      </c>
      <c r="BM152" s="443" t="str">
        <f>IF('Design Fee'!EB154&gt;0,"✔","-")</f>
        <v>-</v>
      </c>
      <c r="BN152" s="444" t="str">
        <f>IF('Design Fee'!EC154&gt;0,"✔","-")</f>
        <v>-</v>
      </c>
      <c r="BO152" s="444" t="str">
        <f>IF('Design Fee'!ED154&gt;0,"✔","-")</f>
        <v>-</v>
      </c>
      <c r="BP152" s="444" t="str">
        <f>IF('Design Fee'!EE154&gt;0,"✔","-")</f>
        <v>-</v>
      </c>
      <c r="BQ152" s="444" t="str">
        <f>IF('Design Fee'!EF154&gt;0,"✔","-")</f>
        <v>-</v>
      </c>
      <c r="BR152" s="444" t="str">
        <f>IF('Design Fee'!EG154&gt;0,"✔","-")</f>
        <v>-</v>
      </c>
      <c r="BS152" s="466" t="str">
        <f>IF('Design Fee'!EH154&gt;0,"✔","-")</f>
        <v>-</v>
      </c>
      <c r="BT152" s="383"/>
      <c r="BU152" s="444" t="str">
        <f>IF('Design Fee'!EJ154&gt;0,"✔","-")</f>
        <v>-</v>
      </c>
      <c r="BV152" s="444" t="str">
        <f>IF('Design Fee'!EK154&gt;0,"✔","-")</f>
        <v>-</v>
      </c>
      <c r="BW152" s="444" t="str">
        <f>IF('Design Fee'!EL154&gt;0,"✔","-")</f>
        <v>-</v>
      </c>
      <c r="BX152" s="444" t="str">
        <f>IF('Design Fee'!EM154&gt;0,"✔","-")</f>
        <v>-</v>
      </c>
      <c r="BY152" s="444" t="str">
        <f>IF('Design Fee'!EN154&gt;0,"✔","-")</f>
        <v>-</v>
      </c>
      <c r="BZ152" s="383"/>
    </row>
    <row r="153" spans="2:78" ht="12.75" outlineLevel="3">
      <c r="B153" s="463" t="s">
        <v>158</v>
      </c>
      <c r="C153" s="464">
        <v>1</v>
      </c>
      <c r="D153" s="465" t="s">
        <v>152</v>
      </c>
      <c r="E153" s="383"/>
      <c r="F153" s="443">
        <f t="shared" ref="F153:H154" si="537">COUNTIF(M153,"✔")+COUNTIF(AD153,"✔")+COUNTIF(BL153,"✔")+COUNTIF(AU153,"✔")</f>
        <v>1</v>
      </c>
      <c r="G153" s="444">
        <f t="shared" si="537"/>
        <v>1</v>
      </c>
      <c r="H153" s="444">
        <f t="shared" si="537"/>
        <v>1</v>
      </c>
      <c r="I153" s="444">
        <f t="shared" ref="I153:I154" si="538">F153-G153</f>
        <v>0</v>
      </c>
      <c r="J153" s="430"/>
      <c r="K153" s="449"/>
      <c r="L153" s="442"/>
      <c r="M153" s="443" t="str">
        <f>IF('Design Fee'!W155&gt;0,"✔","-")</f>
        <v>-</v>
      </c>
      <c r="N153" s="443" t="str">
        <f>IF('Design Fee'!X155&gt;0,"✔","-")</f>
        <v>-</v>
      </c>
      <c r="O153" s="444" t="str">
        <f>IF('Design Fee'!Y155&gt;0,"✔","-")</f>
        <v>-</v>
      </c>
      <c r="P153" s="444" t="str">
        <f>IF('Design Fee'!Z155&gt;0,"✔","-")</f>
        <v>-</v>
      </c>
      <c r="Q153" s="444" t="str">
        <f>IF('Design Fee'!AA155&gt;0,"✔","-")</f>
        <v>-</v>
      </c>
      <c r="R153" s="444" t="str">
        <f>IF('Design Fee'!AB155&gt;0,"✔","-")</f>
        <v>-</v>
      </c>
      <c r="S153" s="444" t="str">
        <f>IF('Design Fee'!AC155&gt;0,"✔","-")</f>
        <v>-</v>
      </c>
      <c r="T153" s="466" t="str">
        <f>IF('Design Fee'!AD155&gt;0,"✔","-")</f>
        <v>-</v>
      </c>
      <c r="U153" s="430"/>
      <c r="V153" s="444" t="str">
        <f>IF('Design Fee'!AF155&gt;0,"✔","-")</f>
        <v>-</v>
      </c>
      <c r="W153" s="444" t="str">
        <f>IF('Design Fee'!AG155&gt;0,"✔","-")</f>
        <v>-</v>
      </c>
      <c r="X153" s="444" t="str">
        <f>IF('Design Fee'!AH155&gt;0,"✔","-")</f>
        <v>-</v>
      </c>
      <c r="Y153" s="444" t="str">
        <f>IF('Design Fee'!AI155&gt;0,"✔","-")</f>
        <v>-</v>
      </c>
      <c r="Z153" s="444" t="str">
        <f>IF('Design Fee'!AJ155&gt;0,"✔","-")</f>
        <v>-</v>
      </c>
      <c r="AA153" s="430"/>
      <c r="AB153" s="449"/>
      <c r="AC153" s="442"/>
      <c r="AD153" s="443" t="str">
        <f>IF('Design Fee'!BG155&gt;0,"✔","-")</f>
        <v>✔</v>
      </c>
      <c r="AE153" s="443" t="str">
        <f>IF('Design Fee'!BH155&gt;0,"✔","-")</f>
        <v>✔</v>
      </c>
      <c r="AF153" s="444" t="str">
        <f>IF('Design Fee'!BI155&gt;0,"✔","-")</f>
        <v>✔</v>
      </c>
      <c r="AG153" s="444" t="str">
        <f>IF('Design Fee'!BJ155&gt;0,"✔","-")</f>
        <v>-</v>
      </c>
      <c r="AH153" s="444" t="str">
        <f>IF('Design Fee'!BK155&gt;0,"✔","-")</f>
        <v>-</v>
      </c>
      <c r="AI153" s="444" t="str">
        <f>IF('Design Fee'!BL155&gt;0,"✔","-")</f>
        <v>-</v>
      </c>
      <c r="AJ153" s="444" t="str">
        <f>IF('Design Fee'!BM155&gt;0,"✔","-")</f>
        <v>-</v>
      </c>
      <c r="AK153" s="466" t="str">
        <f>IF('Design Fee'!BN155&gt;0,"✔","-")</f>
        <v>-</v>
      </c>
      <c r="AL153" s="445"/>
      <c r="AM153" s="444" t="str">
        <f>IF('Design Fee'!BP155&gt;0,"✔","-")</f>
        <v>-</v>
      </c>
      <c r="AN153" s="444" t="str">
        <f>IF('Design Fee'!BQ155&gt;0,"✔","-")</f>
        <v>-</v>
      </c>
      <c r="AO153" s="444" t="str">
        <f>IF('Design Fee'!BR155&gt;0,"✔","-")</f>
        <v>-</v>
      </c>
      <c r="AP153" s="444" t="str">
        <f>IF('Design Fee'!BS155&gt;0,"✔","-")</f>
        <v>-</v>
      </c>
      <c r="AQ153" s="444" t="str">
        <f>IF('Design Fee'!BT155&gt;0,"✔","-")</f>
        <v>-</v>
      </c>
      <c r="AR153" s="445"/>
      <c r="AS153" s="449"/>
      <c r="AT153" s="442"/>
      <c r="AU153" s="443" t="str">
        <f>IF('Design Fee'!CQ155&gt;0,"✔","-")</f>
        <v>-</v>
      </c>
      <c r="AV153" s="443" t="str">
        <f>IF('Design Fee'!CR155&gt;0,"✔","-")</f>
        <v>-</v>
      </c>
      <c r="AW153" s="444" t="str">
        <f>IF('Design Fee'!CS155&gt;0,"✔","-")</f>
        <v>-</v>
      </c>
      <c r="AX153" s="444" t="str">
        <f>IF('Design Fee'!CT155&gt;0,"✔","-")</f>
        <v>-</v>
      </c>
      <c r="AY153" s="444" t="str">
        <f>IF('Design Fee'!CU155&gt;0,"✔","-")</f>
        <v>-</v>
      </c>
      <c r="AZ153" s="444" t="str">
        <f>IF('Design Fee'!CV155&gt;0,"✔","-")</f>
        <v>-</v>
      </c>
      <c r="BA153" s="444" t="str">
        <f>IF('Design Fee'!CW155&gt;0,"✔","-")</f>
        <v>-</v>
      </c>
      <c r="BB153" s="466" t="str">
        <f>IF('Design Fee'!CX155&gt;0,"✔","-")</f>
        <v>-</v>
      </c>
      <c r="BC153" s="445"/>
      <c r="BD153" s="444" t="str">
        <f>IF('Design Fee'!CZ155&gt;0,"✔","-")</f>
        <v>-</v>
      </c>
      <c r="BE153" s="444" t="str">
        <f>IF('Design Fee'!DA155&gt;0,"✔","-")</f>
        <v>-</v>
      </c>
      <c r="BF153" s="444" t="str">
        <f>IF('Design Fee'!DB155&gt;0,"✔","-")</f>
        <v>-</v>
      </c>
      <c r="BG153" s="444" t="str">
        <f>IF('Design Fee'!DC155&gt;0,"✔","-")</f>
        <v>-</v>
      </c>
      <c r="BH153" s="444" t="str">
        <f>IF('Design Fee'!DD155&gt;0,"✔","-")</f>
        <v>-</v>
      </c>
      <c r="BI153" s="445"/>
      <c r="BJ153" s="449"/>
      <c r="BK153" s="442"/>
      <c r="BL153" s="443" t="str">
        <f>IF('Design Fee'!EA155&gt;0,"✔","-")</f>
        <v>-</v>
      </c>
      <c r="BM153" s="443" t="str">
        <f>IF('Design Fee'!EB155&gt;0,"✔","-")</f>
        <v>-</v>
      </c>
      <c r="BN153" s="444" t="str">
        <f>IF('Design Fee'!EC155&gt;0,"✔","-")</f>
        <v>-</v>
      </c>
      <c r="BO153" s="444" t="str">
        <f>IF('Design Fee'!ED155&gt;0,"✔","-")</f>
        <v>-</v>
      </c>
      <c r="BP153" s="444" t="str">
        <f>IF('Design Fee'!EE155&gt;0,"✔","-")</f>
        <v>-</v>
      </c>
      <c r="BQ153" s="444" t="str">
        <f>IF('Design Fee'!EF155&gt;0,"✔","-")</f>
        <v>-</v>
      </c>
      <c r="BR153" s="444" t="str">
        <f>IF('Design Fee'!EG155&gt;0,"✔","-")</f>
        <v>-</v>
      </c>
      <c r="BS153" s="466" t="str">
        <f>IF('Design Fee'!EH155&gt;0,"✔","-")</f>
        <v>-</v>
      </c>
      <c r="BT153" s="383"/>
      <c r="BU153" s="444" t="str">
        <f>IF('Design Fee'!EJ155&gt;0,"✔","-")</f>
        <v>-</v>
      </c>
      <c r="BV153" s="444" t="str">
        <f>IF('Design Fee'!EK155&gt;0,"✔","-")</f>
        <v>-</v>
      </c>
      <c r="BW153" s="444" t="str">
        <f>IF('Design Fee'!EL155&gt;0,"✔","-")</f>
        <v>-</v>
      </c>
      <c r="BX153" s="444" t="str">
        <f>IF('Design Fee'!EM155&gt;0,"✔","-")</f>
        <v>-</v>
      </c>
      <c r="BY153" s="444" t="str">
        <f>IF('Design Fee'!EN155&gt;0,"✔","-")</f>
        <v>-</v>
      </c>
      <c r="BZ153" s="383"/>
    </row>
    <row r="154" spans="2:78" ht="12.75" outlineLevel="3">
      <c r="B154" s="463" t="s">
        <v>159</v>
      </c>
      <c r="C154" s="464">
        <v>2</v>
      </c>
      <c r="D154" s="465" t="s">
        <v>154</v>
      </c>
      <c r="E154" s="383"/>
      <c r="F154" s="443">
        <f t="shared" si="537"/>
        <v>1</v>
      </c>
      <c r="G154" s="444">
        <f t="shared" si="537"/>
        <v>1</v>
      </c>
      <c r="H154" s="444">
        <f t="shared" si="537"/>
        <v>1</v>
      </c>
      <c r="I154" s="444">
        <f t="shared" si="538"/>
        <v>0</v>
      </c>
      <c r="J154" s="430"/>
      <c r="K154" s="449"/>
      <c r="L154" s="442"/>
      <c r="M154" s="443" t="str">
        <f>IF('Design Fee'!W156&gt;0,"✔","-")</f>
        <v>-</v>
      </c>
      <c r="N154" s="443" t="str">
        <f>IF('Design Fee'!X156&gt;0,"✔","-")</f>
        <v>-</v>
      </c>
      <c r="O154" s="444" t="str">
        <f>IF('Design Fee'!Y156&gt;0,"✔","-")</f>
        <v>-</v>
      </c>
      <c r="P154" s="444" t="str">
        <f>IF('Design Fee'!Z156&gt;0,"✔","-")</f>
        <v>-</v>
      </c>
      <c r="Q154" s="444" t="str">
        <f>IF('Design Fee'!AA156&gt;0,"✔","-")</f>
        <v>-</v>
      </c>
      <c r="R154" s="444" t="str">
        <f>IF('Design Fee'!AB156&gt;0,"✔","-")</f>
        <v>-</v>
      </c>
      <c r="S154" s="444" t="str">
        <f>IF('Design Fee'!AC156&gt;0,"✔","-")</f>
        <v>-</v>
      </c>
      <c r="T154" s="466" t="str">
        <f>IF('Design Fee'!AD156&gt;0,"✔","-")</f>
        <v>-</v>
      </c>
      <c r="U154" s="430"/>
      <c r="V154" s="444" t="str">
        <f>IF('Design Fee'!AF156&gt;0,"✔","-")</f>
        <v>-</v>
      </c>
      <c r="W154" s="444" t="str">
        <f>IF('Design Fee'!AG156&gt;0,"✔","-")</f>
        <v>-</v>
      </c>
      <c r="X154" s="444" t="str">
        <f>IF('Design Fee'!AH156&gt;0,"✔","-")</f>
        <v>-</v>
      </c>
      <c r="Y154" s="444" t="str">
        <f>IF('Design Fee'!AI156&gt;0,"✔","-")</f>
        <v>-</v>
      </c>
      <c r="Z154" s="444" t="str">
        <f>IF('Design Fee'!AJ156&gt;0,"✔","-")</f>
        <v>-</v>
      </c>
      <c r="AA154" s="430"/>
      <c r="AB154" s="449"/>
      <c r="AC154" s="442"/>
      <c r="AD154" s="443" t="str">
        <f>IF('Design Fee'!BG156&gt;0,"✔","-")</f>
        <v>✔</v>
      </c>
      <c r="AE154" s="443" t="str">
        <f>IF('Design Fee'!BH156&gt;0,"✔","-")</f>
        <v>✔</v>
      </c>
      <c r="AF154" s="444" t="str">
        <f>IF('Design Fee'!BI156&gt;0,"✔","-")</f>
        <v>✔</v>
      </c>
      <c r="AG154" s="444" t="str">
        <f>IF('Design Fee'!BJ156&gt;0,"✔","-")</f>
        <v>-</v>
      </c>
      <c r="AH154" s="444" t="str">
        <f>IF('Design Fee'!BK156&gt;0,"✔","-")</f>
        <v>-</v>
      </c>
      <c r="AI154" s="444" t="str">
        <f>IF('Design Fee'!BL156&gt;0,"✔","-")</f>
        <v>-</v>
      </c>
      <c r="AJ154" s="444" t="str">
        <f>IF('Design Fee'!BM156&gt;0,"✔","-")</f>
        <v>-</v>
      </c>
      <c r="AK154" s="466" t="str">
        <f>IF('Design Fee'!BN156&gt;0,"✔","-")</f>
        <v>-</v>
      </c>
      <c r="AL154" s="445"/>
      <c r="AM154" s="444" t="str">
        <f>IF('Design Fee'!BP156&gt;0,"✔","-")</f>
        <v>-</v>
      </c>
      <c r="AN154" s="444" t="str">
        <f>IF('Design Fee'!BQ156&gt;0,"✔","-")</f>
        <v>-</v>
      </c>
      <c r="AO154" s="444" t="str">
        <f>IF('Design Fee'!BR156&gt;0,"✔","-")</f>
        <v>-</v>
      </c>
      <c r="AP154" s="444" t="str">
        <f>IF('Design Fee'!BS156&gt;0,"✔","-")</f>
        <v>-</v>
      </c>
      <c r="AQ154" s="444" t="str">
        <f>IF('Design Fee'!BT156&gt;0,"✔","-")</f>
        <v>-</v>
      </c>
      <c r="AR154" s="445"/>
      <c r="AS154" s="449"/>
      <c r="AT154" s="442"/>
      <c r="AU154" s="443" t="str">
        <f>IF('Design Fee'!CQ156&gt;0,"✔","-")</f>
        <v>-</v>
      </c>
      <c r="AV154" s="443" t="str">
        <f>IF('Design Fee'!CR156&gt;0,"✔","-")</f>
        <v>-</v>
      </c>
      <c r="AW154" s="444" t="str">
        <f>IF('Design Fee'!CS156&gt;0,"✔","-")</f>
        <v>-</v>
      </c>
      <c r="AX154" s="444" t="str">
        <f>IF('Design Fee'!CT156&gt;0,"✔","-")</f>
        <v>-</v>
      </c>
      <c r="AY154" s="444" t="str">
        <f>IF('Design Fee'!CU156&gt;0,"✔","-")</f>
        <v>-</v>
      </c>
      <c r="AZ154" s="444" t="str">
        <f>IF('Design Fee'!CV156&gt;0,"✔","-")</f>
        <v>-</v>
      </c>
      <c r="BA154" s="444" t="str">
        <f>IF('Design Fee'!CW156&gt;0,"✔","-")</f>
        <v>-</v>
      </c>
      <c r="BB154" s="466" t="str">
        <f>IF('Design Fee'!CX156&gt;0,"✔","-")</f>
        <v>-</v>
      </c>
      <c r="BC154" s="445"/>
      <c r="BD154" s="444" t="str">
        <f>IF('Design Fee'!CZ156&gt;0,"✔","-")</f>
        <v>-</v>
      </c>
      <c r="BE154" s="444" t="str">
        <f>IF('Design Fee'!DA156&gt;0,"✔","-")</f>
        <v>-</v>
      </c>
      <c r="BF154" s="444" t="str">
        <f>IF('Design Fee'!DB156&gt;0,"✔","-")</f>
        <v>-</v>
      </c>
      <c r="BG154" s="444" t="str">
        <f>IF('Design Fee'!DC156&gt;0,"✔","-")</f>
        <v>-</v>
      </c>
      <c r="BH154" s="444" t="str">
        <f>IF('Design Fee'!DD156&gt;0,"✔","-")</f>
        <v>-</v>
      </c>
      <c r="BI154" s="445"/>
      <c r="BJ154" s="449"/>
      <c r="BK154" s="442"/>
      <c r="BL154" s="443" t="str">
        <f>IF('Design Fee'!EA156&gt;0,"✔","-")</f>
        <v>-</v>
      </c>
      <c r="BM154" s="443" t="str">
        <f>IF('Design Fee'!EB156&gt;0,"✔","-")</f>
        <v>-</v>
      </c>
      <c r="BN154" s="444" t="str">
        <f>IF('Design Fee'!EC156&gt;0,"✔","-")</f>
        <v>-</v>
      </c>
      <c r="BO154" s="444" t="str">
        <f>IF('Design Fee'!ED156&gt;0,"✔","-")</f>
        <v>-</v>
      </c>
      <c r="BP154" s="444" t="str">
        <f>IF('Design Fee'!EE156&gt;0,"✔","-")</f>
        <v>-</v>
      </c>
      <c r="BQ154" s="444" t="str">
        <f>IF('Design Fee'!EF156&gt;0,"✔","-")</f>
        <v>-</v>
      </c>
      <c r="BR154" s="444" t="str">
        <f>IF('Design Fee'!EG156&gt;0,"✔","-")</f>
        <v>-</v>
      </c>
      <c r="BS154" s="466" t="str">
        <f>IF('Design Fee'!EH156&gt;0,"✔","-")</f>
        <v>-</v>
      </c>
      <c r="BT154" s="383"/>
      <c r="BU154" s="444" t="str">
        <f>IF('Design Fee'!EJ156&gt;0,"✔","-")</f>
        <v>-</v>
      </c>
      <c r="BV154" s="444" t="str">
        <f>IF('Design Fee'!EK156&gt;0,"✔","-")</f>
        <v>-</v>
      </c>
      <c r="BW154" s="444" t="str">
        <f>IF('Design Fee'!EL156&gt;0,"✔","-")</f>
        <v>-</v>
      </c>
      <c r="BX154" s="444" t="str">
        <f>IF('Design Fee'!EM156&gt;0,"✔","-")</f>
        <v>-</v>
      </c>
      <c r="BY154" s="444" t="str">
        <f>IF('Design Fee'!EN156&gt;0,"✔","-")</f>
        <v>-</v>
      </c>
      <c r="BZ154" s="383"/>
    </row>
    <row r="155" spans="2:78" ht="12.75" outlineLevel="2">
      <c r="B155" s="483"/>
      <c r="C155" s="484"/>
      <c r="D155" s="465"/>
      <c r="E155" s="383"/>
      <c r="F155" s="443"/>
      <c r="G155" s="444"/>
      <c r="H155" s="444"/>
      <c r="I155" s="444"/>
      <c r="J155" s="430"/>
      <c r="K155" s="441"/>
      <c r="L155" s="442"/>
      <c r="M155" s="443" t="str">
        <f>IF('Design Fee'!W157&gt;0,"✔","-")</f>
        <v>-</v>
      </c>
      <c r="N155" s="443" t="str">
        <f>IF('Design Fee'!X157&gt;0,"✔","-")</f>
        <v>-</v>
      </c>
      <c r="O155" s="444" t="str">
        <f>IF('Design Fee'!Y157&gt;0,"✔","-")</f>
        <v>-</v>
      </c>
      <c r="P155" s="444" t="str">
        <f>IF('Design Fee'!Z157&gt;0,"✔","-")</f>
        <v>-</v>
      </c>
      <c r="Q155" s="444" t="str">
        <f>IF('Design Fee'!AA157&gt;0,"✔","-")</f>
        <v>-</v>
      </c>
      <c r="R155" s="444" t="str">
        <f>IF('Design Fee'!AB157&gt;0,"✔","-")</f>
        <v>-</v>
      </c>
      <c r="S155" s="444" t="str">
        <f>IF('Design Fee'!AC157&gt;0,"✔","-")</f>
        <v>-</v>
      </c>
      <c r="T155" s="466" t="str">
        <f>IF('Design Fee'!AD157&gt;0,"✔","-")</f>
        <v>-</v>
      </c>
      <c r="U155" s="430"/>
      <c r="V155" s="444" t="str">
        <f>IF('Design Fee'!AF157&gt;0,"✔","-")</f>
        <v>-</v>
      </c>
      <c r="W155" s="444" t="str">
        <f>IF('Design Fee'!AG157&gt;0,"✔","-")</f>
        <v>-</v>
      </c>
      <c r="X155" s="444" t="str">
        <f>IF('Design Fee'!AH157&gt;0,"✔","-")</f>
        <v>-</v>
      </c>
      <c r="Y155" s="444" t="str">
        <f>IF('Design Fee'!AI157&gt;0,"✔","-")</f>
        <v>-</v>
      </c>
      <c r="Z155" s="444" t="str">
        <f>IF('Design Fee'!AJ157&gt;0,"✔","-")</f>
        <v>-</v>
      </c>
      <c r="AA155" s="430"/>
      <c r="AB155" s="441"/>
      <c r="AC155" s="442"/>
      <c r="AD155" s="443" t="str">
        <f>IF('Design Fee'!BG157&gt;0,"✔","-")</f>
        <v>-</v>
      </c>
      <c r="AE155" s="443" t="str">
        <f>IF('Design Fee'!BH157&gt;0,"✔","-")</f>
        <v>-</v>
      </c>
      <c r="AF155" s="444" t="str">
        <f>IF('Design Fee'!BI157&gt;0,"✔","-")</f>
        <v>-</v>
      </c>
      <c r="AG155" s="444" t="str">
        <f>IF('Design Fee'!BJ157&gt;0,"✔","-")</f>
        <v>-</v>
      </c>
      <c r="AH155" s="444" t="str">
        <f>IF('Design Fee'!BK157&gt;0,"✔","-")</f>
        <v>-</v>
      </c>
      <c r="AI155" s="444" t="str">
        <f>IF('Design Fee'!BL157&gt;0,"✔","-")</f>
        <v>-</v>
      </c>
      <c r="AJ155" s="444" t="str">
        <f>IF('Design Fee'!BM157&gt;0,"✔","-")</f>
        <v>-</v>
      </c>
      <c r="AK155" s="466" t="str">
        <f>IF('Design Fee'!BN157&gt;0,"✔","-")</f>
        <v>-</v>
      </c>
      <c r="AL155" s="445"/>
      <c r="AM155" s="444" t="str">
        <f>IF('Design Fee'!BP157&gt;0,"✔","-")</f>
        <v>-</v>
      </c>
      <c r="AN155" s="444" t="str">
        <f>IF('Design Fee'!BQ157&gt;0,"✔","-")</f>
        <v>-</v>
      </c>
      <c r="AO155" s="444" t="str">
        <f>IF('Design Fee'!BR157&gt;0,"✔","-")</f>
        <v>-</v>
      </c>
      <c r="AP155" s="444" t="str">
        <f>IF('Design Fee'!BS157&gt;0,"✔","-")</f>
        <v>-</v>
      </c>
      <c r="AQ155" s="444" t="str">
        <f>IF('Design Fee'!BT157&gt;0,"✔","-")</f>
        <v>-</v>
      </c>
      <c r="AR155" s="445"/>
      <c r="AS155" s="441"/>
      <c r="AT155" s="442"/>
      <c r="AU155" s="443" t="str">
        <f>IF('Design Fee'!CQ157&gt;0,"✔","-")</f>
        <v>-</v>
      </c>
      <c r="AV155" s="443" t="str">
        <f>IF('Design Fee'!CR157&gt;0,"✔","-")</f>
        <v>-</v>
      </c>
      <c r="AW155" s="444" t="str">
        <f>IF('Design Fee'!CS157&gt;0,"✔","-")</f>
        <v>-</v>
      </c>
      <c r="AX155" s="444" t="str">
        <f>IF('Design Fee'!CT157&gt;0,"✔","-")</f>
        <v>-</v>
      </c>
      <c r="AY155" s="444" t="str">
        <f>IF('Design Fee'!CU157&gt;0,"✔","-")</f>
        <v>-</v>
      </c>
      <c r="AZ155" s="444" t="str">
        <f>IF('Design Fee'!CV157&gt;0,"✔","-")</f>
        <v>-</v>
      </c>
      <c r="BA155" s="444" t="str">
        <f>IF('Design Fee'!CW157&gt;0,"✔","-")</f>
        <v>-</v>
      </c>
      <c r="BB155" s="466" t="str">
        <f>IF('Design Fee'!CX157&gt;0,"✔","-")</f>
        <v>-</v>
      </c>
      <c r="BC155" s="445"/>
      <c r="BD155" s="444" t="str">
        <f>IF('Design Fee'!CZ157&gt;0,"✔","-")</f>
        <v>-</v>
      </c>
      <c r="BE155" s="444" t="str">
        <f>IF('Design Fee'!DA157&gt;0,"✔","-")</f>
        <v>-</v>
      </c>
      <c r="BF155" s="444" t="str">
        <f>IF('Design Fee'!DB157&gt;0,"✔","-")</f>
        <v>-</v>
      </c>
      <c r="BG155" s="444" t="str">
        <f>IF('Design Fee'!DC157&gt;0,"✔","-")</f>
        <v>-</v>
      </c>
      <c r="BH155" s="444" t="str">
        <f>IF('Design Fee'!DD157&gt;0,"✔","-")</f>
        <v>-</v>
      </c>
      <c r="BI155" s="445"/>
      <c r="BJ155" s="441"/>
      <c r="BK155" s="442"/>
      <c r="BL155" s="443" t="str">
        <f>IF('Design Fee'!EA157&gt;0,"✔","-")</f>
        <v>-</v>
      </c>
      <c r="BM155" s="443" t="str">
        <f>IF('Design Fee'!EB157&gt;0,"✔","-")</f>
        <v>-</v>
      </c>
      <c r="BN155" s="444" t="str">
        <f>IF('Design Fee'!EC157&gt;0,"✔","-")</f>
        <v>-</v>
      </c>
      <c r="BO155" s="444" t="str">
        <f>IF('Design Fee'!ED157&gt;0,"✔","-")</f>
        <v>-</v>
      </c>
      <c r="BP155" s="444" t="str">
        <f>IF('Design Fee'!EE157&gt;0,"✔","-")</f>
        <v>-</v>
      </c>
      <c r="BQ155" s="444" t="str">
        <f>IF('Design Fee'!EF157&gt;0,"✔","-")</f>
        <v>-</v>
      </c>
      <c r="BR155" s="444" t="str">
        <f>IF('Design Fee'!EG157&gt;0,"✔","-")</f>
        <v>-</v>
      </c>
      <c r="BS155" s="466" t="str">
        <f>IF('Design Fee'!EH157&gt;0,"✔","-")</f>
        <v>-</v>
      </c>
      <c r="BT155" s="383"/>
      <c r="BU155" s="444" t="str">
        <f>IF('Design Fee'!EJ157&gt;0,"✔","-")</f>
        <v>-</v>
      </c>
      <c r="BV155" s="444" t="str">
        <f>IF('Design Fee'!EK157&gt;0,"✔","-")</f>
        <v>-</v>
      </c>
      <c r="BW155" s="444" t="str">
        <f>IF('Design Fee'!EL157&gt;0,"✔","-")</f>
        <v>-</v>
      </c>
      <c r="BX155" s="444" t="str">
        <f>IF('Design Fee'!EM157&gt;0,"✔","-")</f>
        <v>-</v>
      </c>
      <c r="BY155" s="444" t="str">
        <f>IF('Design Fee'!EN157&gt;0,"✔","-")</f>
        <v>-</v>
      </c>
      <c r="BZ155" s="383"/>
    </row>
    <row r="156" spans="2:78" ht="12.75" outlineLevel="2">
      <c r="B156" s="483">
        <v>2.2999999999999998</v>
      </c>
      <c r="C156" s="484">
        <v>2.2999999999999998</v>
      </c>
      <c r="D156" s="485" t="s">
        <v>161</v>
      </c>
      <c r="E156" s="383"/>
      <c r="F156" s="408"/>
      <c r="G156" s="486"/>
      <c r="H156" s="486"/>
      <c r="I156" s="486"/>
      <c r="J156" s="487"/>
      <c r="K156" s="479"/>
      <c r="L156" s="479"/>
      <c r="M156" s="443" t="str">
        <f>IF('Design Fee'!W158&gt;0,"✔","-")</f>
        <v>-</v>
      </c>
      <c r="N156" s="443" t="str">
        <f>IF('Design Fee'!X158&gt;0,"✔","-")</f>
        <v>-</v>
      </c>
      <c r="O156" s="486" t="str">
        <f>IF('Design Fee'!Y158&gt;0,"✔","-")</f>
        <v>-</v>
      </c>
      <c r="P156" s="486" t="str">
        <f>IF('Design Fee'!Z158&gt;0,"✔","-")</f>
        <v>-</v>
      </c>
      <c r="Q156" s="444" t="str">
        <f>IF('Design Fee'!AA158&gt;0,"✔","-")</f>
        <v>-</v>
      </c>
      <c r="R156" s="444" t="str">
        <f>IF('Design Fee'!AB158&gt;0,"✔","-")</f>
        <v>-</v>
      </c>
      <c r="S156" s="444" t="str">
        <f>IF('Design Fee'!AC158&gt;0,"✔","-")</f>
        <v>-</v>
      </c>
      <c r="T156" s="466" t="str">
        <f>IF('Design Fee'!AD158&gt;0,"✔","-")</f>
        <v>-</v>
      </c>
      <c r="U156" s="487"/>
      <c r="V156" s="486" t="str">
        <f>IF('Design Fee'!AF158&gt;0,"✔","-")</f>
        <v>-</v>
      </c>
      <c r="W156" s="444" t="str">
        <f>IF('Design Fee'!AG158&gt;0,"✔","-")</f>
        <v>-</v>
      </c>
      <c r="X156" s="444" t="str">
        <f>IF('Design Fee'!AH158&gt;0,"✔","-")</f>
        <v>-</v>
      </c>
      <c r="Y156" s="444" t="str">
        <f>IF('Design Fee'!AI158&gt;0,"✔","-")</f>
        <v>-</v>
      </c>
      <c r="Z156" s="444" t="str">
        <f>IF('Design Fee'!AJ158&gt;0,"✔","-")</f>
        <v>-</v>
      </c>
      <c r="AA156" s="487"/>
      <c r="AB156" s="479"/>
      <c r="AC156" s="479"/>
      <c r="AD156" s="443"/>
      <c r="AE156" s="443"/>
      <c r="AF156" s="486"/>
      <c r="AG156" s="486" t="str">
        <f>IF('Design Fee'!BJ158&gt;0,"✔","-")</f>
        <v>-</v>
      </c>
      <c r="AH156" s="444" t="str">
        <f>IF('Design Fee'!BK158&gt;0,"✔","-")</f>
        <v>-</v>
      </c>
      <c r="AI156" s="444" t="str">
        <f>IF('Design Fee'!BL158&gt;0,"✔","-")</f>
        <v>-</v>
      </c>
      <c r="AJ156" s="444" t="str">
        <f>IF('Design Fee'!BM158&gt;0,"✔","-")</f>
        <v>-</v>
      </c>
      <c r="AK156" s="466" t="str">
        <f>IF('Design Fee'!BN158&gt;0,"✔","-")</f>
        <v>-</v>
      </c>
      <c r="AL156" s="479"/>
      <c r="AM156" s="486" t="str">
        <f>IF('Design Fee'!BP158&gt;0,"✔","-")</f>
        <v>-</v>
      </c>
      <c r="AN156" s="444" t="str">
        <f>IF('Design Fee'!BQ158&gt;0,"✔","-")</f>
        <v>-</v>
      </c>
      <c r="AO156" s="444" t="str">
        <f>IF('Design Fee'!BR158&gt;0,"✔","-")</f>
        <v>-</v>
      </c>
      <c r="AP156" s="444" t="str">
        <f>IF('Design Fee'!BS158&gt;0,"✔","-")</f>
        <v>-</v>
      </c>
      <c r="AQ156" s="444" t="str">
        <f>IF('Design Fee'!BT158&gt;0,"✔","-")</f>
        <v>-</v>
      </c>
      <c r="AR156" s="479"/>
      <c r="AS156" s="479"/>
      <c r="AT156" s="479"/>
      <c r="AU156" s="443" t="str">
        <f>IF('Design Fee'!CQ158&gt;0,"✔","-")</f>
        <v>-</v>
      </c>
      <c r="AV156" s="443" t="str">
        <f>IF('Design Fee'!CR158&gt;0,"✔","-")</f>
        <v>-</v>
      </c>
      <c r="AW156" s="486" t="str">
        <f>IF('Design Fee'!CS158&gt;0,"✔","-")</f>
        <v>-</v>
      </c>
      <c r="AX156" s="486" t="str">
        <f>IF('Design Fee'!CT158&gt;0,"✔","-")</f>
        <v>-</v>
      </c>
      <c r="AY156" s="444" t="str">
        <f>IF('Design Fee'!CU158&gt;0,"✔","-")</f>
        <v>-</v>
      </c>
      <c r="AZ156" s="444" t="str">
        <f>IF('Design Fee'!CV158&gt;0,"✔","-")</f>
        <v>-</v>
      </c>
      <c r="BA156" s="444" t="str">
        <f>IF('Design Fee'!CW158&gt;0,"✔","-")</f>
        <v>-</v>
      </c>
      <c r="BB156" s="466" t="str">
        <f>IF('Design Fee'!CX158&gt;0,"✔","-")</f>
        <v>-</v>
      </c>
      <c r="BC156" s="479"/>
      <c r="BD156" s="486" t="str">
        <f>IF('Design Fee'!CZ158&gt;0,"✔","-")</f>
        <v>-</v>
      </c>
      <c r="BE156" s="444" t="str">
        <f>IF('Design Fee'!DA158&gt;0,"✔","-")</f>
        <v>-</v>
      </c>
      <c r="BF156" s="444" t="str">
        <f>IF('Design Fee'!DB158&gt;0,"✔","-")</f>
        <v>-</v>
      </c>
      <c r="BG156" s="444" t="str">
        <f>IF('Design Fee'!DC158&gt;0,"✔","-")</f>
        <v>-</v>
      </c>
      <c r="BH156" s="444" t="str">
        <f>IF('Design Fee'!DD158&gt;0,"✔","-")</f>
        <v>-</v>
      </c>
      <c r="BI156" s="479"/>
      <c r="BJ156" s="479"/>
      <c r="BK156" s="479"/>
      <c r="BL156" s="443" t="str">
        <f>IF('Design Fee'!EA158&gt;0,"✔","-")</f>
        <v>-</v>
      </c>
      <c r="BM156" s="443" t="str">
        <f>IF('Design Fee'!EB158&gt;0,"✔","-")</f>
        <v>-</v>
      </c>
      <c r="BN156" s="486" t="str">
        <f>IF('Design Fee'!EC158&gt;0,"✔","-")</f>
        <v>-</v>
      </c>
      <c r="BO156" s="486" t="str">
        <f>IF('Design Fee'!ED158&gt;0,"✔","-")</f>
        <v>-</v>
      </c>
      <c r="BP156" s="444" t="str">
        <f>IF('Design Fee'!EE158&gt;0,"✔","-")</f>
        <v>-</v>
      </c>
      <c r="BQ156" s="444" t="str">
        <f>IF('Design Fee'!EF158&gt;0,"✔","-")</f>
        <v>-</v>
      </c>
      <c r="BR156" s="444" t="str">
        <f>IF('Design Fee'!EG158&gt;0,"✔","-")</f>
        <v>-</v>
      </c>
      <c r="BS156" s="466" t="str">
        <f>IF('Design Fee'!EH158&gt;0,"✔","-")</f>
        <v>-</v>
      </c>
      <c r="BT156" s="383"/>
      <c r="BU156" s="486" t="str">
        <f>IF('Design Fee'!EJ158&gt;0,"✔","-")</f>
        <v>-</v>
      </c>
      <c r="BV156" s="444" t="str">
        <f>IF('Design Fee'!EK158&gt;0,"✔","-")</f>
        <v>-</v>
      </c>
      <c r="BW156" s="444" t="str">
        <f>IF('Design Fee'!EL158&gt;0,"✔","-")</f>
        <v>-</v>
      </c>
      <c r="BX156" s="444" t="str">
        <f>IF('Design Fee'!EM158&gt;0,"✔","-")</f>
        <v>-</v>
      </c>
      <c r="BY156" s="444" t="str">
        <f>IF('Design Fee'!EN158&gt;0,"✔","-")</f>
        <v>-</v>
      </c>
      <c r="BZ156" s="383"/>
    </row>
    <row r="157" spans="2:78" ht="12.75" outlineLevel="3">
      <c r="B157" s="463" t="s">
        <v>158</v>
      </c>
      <c r="C157" s="464">
        <v>1</v>
      </c>
      <c r="D157" s="465" t="s">
        <v>152</v>
      </c>
      <c r="E157" s="383"/>
      <c r="F157" s="443">
        <f t="shared" ref="F157:H158" si="539">COUNTIF(M157,"✔")+COUNTIF(AD157,"✔")+COUNTIF(BL157,"✔")+COUNTIF(AU157,"✔")</f>
        <v>1</v>
      </c>
      <c r="G157" s="444">
        <f t="shared" si="539"/>
        <v>1</v>
      </c>
      <c r="H157" s="444">
        <f t="shared" si="539"/>
        <v>1</v>
      </c>
      <c r="I157" s="444">
        <f t="shared" ref="I157:I158" si="540">F157-G157</f>
        <v>0</v>
      </c>
      <c r="J157" s="487"/>
      <c r="K157" s="449"/>
      <c r="L157" s="442"/>
      <c r="M157" s="443" t="str">
        <f>IF('Design Fee'!W159&gt;0,"✔","-")</f>
        <v>-</v>
      </c>
      <c r="N157" s="443" t="str">
        <f>IF('Design Fee'!X159&gt;0,"✔","-")</f>
        <v>-</v>
      </c>
      <c r="O157" s="421" t="str">
        <f>IF('Design Fee'!Y159&gt;0,"✔","-")</f>
        <v>-</v>
      </c>
      <c r="P157" s="421" t="str">
        <f>IF('Design Fee'!Z159&gt;0,"✔","-")</f>
        <v>-</v>
      </c>
      <c r="Q157" s="444" t="str">
        <f>IF('Design Fee'!AA159&gt;0,"✔","-")</f>
        <v>-</v>
      </c>
      <c r="R157" s="444" t="str">
        <f>IF('Design Fee'!AB159&gt;0,"✔","-")</f>
        <v>-</v>
      </c>
      <c r="S157" s="444" t="str">
        <f>IF('Design Fee'!AC159&gt;0,"✔","-")</f>
        <v>-</v>
      </c>
      <c r="T157" s="466" t="str">
        <f>IF('Design Fee'!AD159&gt;0,"✔","-")</f>
        <v>-</v>
      </c>
      <c r="U157" s="487"/>
      <c r="V157" s="421" t="str">
        <f>IF('Design Fee'!AF159&gt;0,"✔","-")</f>
        <v>-</v>
      </c>
      <c r="W157" s="444" t="str">
        <f>IF('Design Fee'!AG159&gt;0,"✔","-")</f>
        <v>-</v>
      </c>
      <c r="X157" s="444" t="str">
        <f>IF('Design Fee'!AH159&gt;0,"✔","-")</f>
        <v>-</v>
      </c>
      <c r="Y157" s="444" t="str">
        <f>IF('Design Fee'!AI159&gt;0,"✔","-")</f>
        <v>-</v>
      </c>
      <c r="Z157" s="444" t="str">
        <f>IF('Design Fee'!AJ159&gt;0,"✔","-")</f>
        <v>-</v>
      </c>
      <c r="AA157" s="487"/>
      <c r="AB157" s="449"/>
      <c r="AC157" s="442"/>
      <c r="AD157" s="443" t="str">
        <f>IF('Design Fee'!BG159&gt;0,"✔","-")</f>
        <v>✔</v>
      </c>
      <c r="AE157" s="443" t="str">
        <f>IF('Design Fee'!BH159&gt;0,"✔","-")</f>
        <v>✔</v>
      </c>
      <c r="AF157" s="421" t="str">
        <f>IF('Design Fee'!BI159&gt;0,"✔","-")</f>
        <v>✔</v>
      </c>
      <c r="AG157" s="421" t="str">
        <f>IF('Design Fee'!BJ159&gt;0,"✔","-")</f>
        <v>-</v>
      </c>
      <c r="AH157" s="444" t="str">
        <f>IF('Design Fee'!BK159&gt;0,"✔","-")</f>
        <v>-</v>
      </c>
      <c r="AI157" s="444" t="str">
        <f>IF('Design Fee'!BL159&gt;0,"✔","-")</f>
        <v>-</v>
      </c>
      <c r="AJ157" s="444" t="str">
        <f>IF('Design Fee'!BM159&gt;0,"✔","-")</f>
        <v>-</v>
      </c>
      <c r="AK157" s="466" t="str">
        <f>IF('Design Fee'!BN159&gt;0,"✔","-")</f>
        <v>-</v>
      </c>
      <c r="AL157" s="445"/>
      <c r="AM157" s="421" t="str">
        <f>IF('Design Fee'!BP159&gt;0,"✔","-")</f>
        <v>-</v>
      </c>
      <c r="AN157" s="444" t="str">
        <f>IF('Design Fee'!BQ159&gt;0,"✔","-")</f>
        <v>-</v>
      </c>
      <c r="AO157" s="444" t="str">
        <f>IF('Design Fee'!BR159&gt;0,"✔","-")</f>
        <v>-</v>
      </c>
      <c r="AP157" s="444" t="str">
        <f>IF('Design Fee'!BS159&gt;0,"✔","-")</f>
        <v>-</v>
      </c>
      <c r="AQ157" s="444" t="str">
        <f>IF('Design Fee'!BT159&gt;0,"✔","-")</f>
        <v>-</v>
      </c>
      <c r="AR157" s="445"/>
      <c r="AS157" s="449"/>
      <c r="AT157" s="442"/>
      <c r="AU157" s="443" t="str">
        <f>IF('Design Fee'!CQ159&gt;0,"✔","-")</f>
        <v>-</v>
      </c>
      <c r="AV157" s="443" t="str">
        <f>IF('Design Fee'!CR159&gt;0,"✔","-")</f>
        <v>-</v>
      </c>
      <c r="AW157" s="421" t="str">
        <f>IF('Design Fee'!CS159&gt;0,"✔","-")</f>
        <v>-</v>
      </c>
      <c r="AX157" s="421" t="str">
        <f>IF('Design Fee'!CT159&gt;0,"✔","-")</f>
        <v>-</v>
      </c>
      <c r="AY157" s="444" t="str">
        <f>IF('Design Fee'!CU159&gt;0,"✔","-")</f>
        <v>-</v>
      </c>
      <c r="AZ157" s="444" t="str">
        <f>IF('Design Fee'!CV159&gt;0,"✔","-")</f>
        <v>-</v>
      </c>
      <c r="BA157" s="444" t="str">
        <f>IF('Design Fee'!CW159&gt;0,"✔","-")</f>
        <v>-</v>
      </c>
      <c r="BB157" s="466" t="str">
        <f>IF('Design Fee'!CX159&gt;0,"✔","-")</f>
        <v>-</v>
      </c>
      <c r="BC157" s="445"/>
      <c r="BD157" s="421" t="str">
        <f>IF('Design Fee'!CZ159&gt;0,"✔","-")</f>
        <v>-</v>
      </c>
      <c r="BE157" s="444" t="str">
        <f>IF('Design Fee'!DA159&gt;0,"✔","-")</f>
        <v>-</v>
      </c>
      <c r="BF157" s="444" t="str">
        <f>IF('Design Fee'!DB159&gt;0,"✔","-")</f>
        <v>-</v>
      </c>
      <c r="BG157" s="444" t="str">
        <f>IF('Design Fee'!DC159&gt;0,"✔","-")</f>
        <v>-</v>
      </c>
      <c r="BH157" s="444" t="str">
        <f>IF('Design Fee'!DD159&gt;0,"✔","-")</f>
        <v>-</v>
      </c>
      <c r="BI157" s="445"/>
      <c r="BJ157" s="449"/>
      <c r="BK157" s="442"/>
      <c r="BL157" s="443" t="str">
        <f>IF('Design Fee'!EA159&gt;0,"✔","-")</f>
        <v>-</v>
      </c>
      <c r="BM157" s="443" t="str">
        <f>IF('Design Fee'!EB159&gt;0,"✔","-")</f>
        <v>-</v>
      </c>
      <c r="BN157" s="421" t="str">
        <f>IF('Design Fee'!EC159&gt;0,"✔","-")</f>
        <v>-</v>
      </c>
      <c r="BO157" s="421" t="str">
        <f>IF('Design Fee'!ED159&gt;0,"✔","-")</f>
        <v>-</v>
      </c>
      <c r="BP157" s="444" t="str">
        <f>IF('Design Fee'!EE159&gt;0,"✔","-")</f>
        <v>-</v>
      </c>
      <c r="BQ157" s="444" t="str">
        <f>IF('Design Fee'!EF159&gt;0,"✔","-")</f>
        <v>-</v>
      </c>
      <c r="BR157" s="444" t="str">
        <f>IF('Design Fee'!EG159&gt;0,"✔","-")</f>
        <v>-</v>
      </c>
      <c r="BS157" s="466" t="str">
        <f>IF('Design Fee'!EH159&gt;0,"✔","-")</f>
        <v>-</v>
      </c>
      <c r="BT157" s="383"/>
      <c r="BU157" s="421" t="str">
        <f>IF('Design Fee'!EJ159&gt;0,"✔","-")</f>
        <v>-</v>
      </c>
      <c r="BV157" s="444" t="str">
        <f>IF('Design Fee'!EK159&gt;0,"✔","-")</f>
        <v>-</v>
      </c>
      <c r="BW157" s="444" t="str">
        <f>IF('Design Fee'!EL159&gt;0,"✔","-")</f>
        <v>-</v>
      </c>
      <c r="BX157" s="444" t="str">
        <f>IF('Design Fee'!EM159&gt;0,"✔","-")</f>
        <v>-</v>
      </c>
      <c r="BY157" s="444" t="str">
        <f>IF('Design Fee'!EN159&gt;0,"✔","-")</f>
        <v>-</v>
      </c>
      <c r="BZ157" s="383"/>
    </row>
    <row r="158" spans="2:78" ht="12.75" outlineLevel="3">
      <c r="B158" s="463" t="s">
        <v>159</v>
      </c>
      <c r="C158" s="464">
        <v>2</v>
      </c>
      <c r="D158" s="465" t="s">
        <v>154</v>
      </c>
      <c r="E158" s="383"/>
      <c r="F158" s="443">
        <f t="shared" si="539"/>
        <v>1</v>
      </c>
      <c r="G158" s="444">
        <f t="shared" si="539"/>
        <v>1</v>
      </c>
      <c r="H158" s="444">
        <f t="shared" si="539"/>
        <v>1</v>
      </c>
      <c r="I158" s="444">
        <f t="shared" si="540"/>
        <v>0</v>
      </c>
      <c r="J158" s="487"/>
      <c r="K158" s="449"/>
      <c r="L158" s="442"/>
      <c r="M158" s="443" t="str">
        <f>IF('Design Fee'!W160&gt;0,"✔","-")</f>
        <v>-</v>
      </c>
      <c r="N158" s="443" t="str">
        <f>IF('Design Fee'!X160&gt;0,"✔","-")</f>
        <v>-</v>
      </c>
      <c r="O158" s="444" t="str">
        <f>IF('Design Fee'!Y160&gt;0,"✔","-")</f>
        <v>-</v>
      </c>
      <c r="P158" s="444" t="str">
        <f>IF('Design Fee'!Z160&gt;0,"✔","-")</f>
        <v>-</v>
      </c>
      <c r="Q158" s="444" t="str">
        <f>IF('Design Fee'!AA160&gt;0,"✔","-")</f>
        <v>-</v>
      </c>
      <c r="R158" s="444" t="str">
        <f>IF('Design Fee'!AB160&gt;0,"✔","-")</f>
        <v>-</v>
      </c>
      <c r="S158" s="444" t="str">
        <f>IF('Design Fee'!AC160&gt;0,"✔","-")</f>
        <v>-</v>
      </c>
      <c r="T158" s="466" t="str">
        <f>IF('Design Fee'!AD160&gt;0,"✔","-")</f>
        <v>-</v>
      </c>
      <c r="U158" s="487"/>
      <c r="V158" s="444" t="str">
        <f>IF('Design Fee'!AF160&gt;0,"✔","-")</f>
        <v>-</v>
      </c>
      <c r="W158" s="444" t="str">
        <f>IF('Design Fee'!AG160&gt;0,"✔","-")</f>
        <v>-</v>
      </c>
      <c r="X158" s="444" t="str">
        <f>IF('Design Fee'!AH160&gt;0,"✔","-")</f>
        <v>-</v>
      </c>
      <c r="Y158" s="444" t="str">
        <f>IF('Design Fee'!AI160&gt;0,"✔","-")</f>
        <v>-</v>
      </c>
      <c r="Z158" s="444" t="str">
        <f>IF('Design Fee'!AJ160&gt;0,"✔","-")</f>
        <v>-</v>
      </c>
      <c r="AA158" s="487"/>
      <c r="AB158" s="449"/>
      <c r="AC158" s="442"/>
      <c r="AD158" s="443" t="str">
        <f>IF('Design Fee'!BG160&gt;0,"✔","-")</f>
        <v>✔</v>
      </c>
      <c r="AE158" s="443" t="str">
        <f>IF('Design Fee'!BH160&gt;0,"✔","-")</f>
        <v>✔</v>
      </c>
      <c r="AF158" s="444" t="str">
        <f>IF('Design Fee'!BI160&gt;0,"✔","-")</f>
        <v>✔</v>
      </c>
      <c r="AG158" s="444" t="str">
        <f>IF('Design Fee'!BJ160&gt;0,"✔","-")</f>
        <v>-</v>
      </c>
      <c r="AH158" s="444" t="str">
        <f>IF('Design Fee'!BK160&gt;0,"✔","-")</f>
        <v>-</v>
      </c>
      <c r="AI158" s="444" t="str">
        <f>IF('Design Fee'!BL160&gt;0,"✔","-")</f>
        <v>-</v>
      </c>
      <c r="AJ158" s="444" t="str">
        <f>IF('Design Fee'!BM160&gt;0,"✔","-")</f>
        <v>-</v>
      </c>
      <c r="AK158" s="466" t="str">
        <f>IF('Design Fee'!BN160&gt;0,"✔","-")</f>
        <v>-</v>
      </c>
      <c r="AL158" s="445"/>
      <c r="AM158" s="444" t="str">
        <f>IF('Design Fee'!BP160&gt;0,"✔","-")</f>
        <v>-</v>
      </c>
      <c r="AN158" s="444" t="str">
        <f>IF('Design Fee'!BQ160&gt;0,"✔","-")</f>
        <v>-</v>
      </c>
      <c r="AO158" s="444" t="str">
        <f>IF('Design Fee'!BR160&gt;0,"✔","-")</f>
        <v>-</v>
      </c>
      <c r="AP158" s="444" t="str">
        <f>IF('Design Fee'!BS160&gt;0,"✔","-")</f>
        <v>-</v>
      </c>
      <c r="AQ158" s="444" t="str">
        <f>IF('Design Fee'!BT160&gt;0,"✔","-")</f>
        <v>-</v>
      </c>
      <c r="AR158" s="445"/>
      <c r="AS158" s="449"/>
      <c r="AT158" s="442"/>
      <c r="AU158" s="443" t="str">
        <f>IF('Design Fee'!CQ160&gt;0,"✔","-")</f>
        <v>-</v>
      </c>
      <c r="AV158" s="443" t="str">
        <f>IF('Design Fee'!CR160&gt;0,"✔","-")</f>
        <v>-</v>
      </c>
      <c r="AW158" s="444" t="str">
        <f>IF('Design Fee'!CS160&gt;0,"✔","-")</f>
        <v>-</v>
      </c>
      <c r="AX158" s="444" t="str">
        <f>IF('Design Fee'!CT160&gt;0,"✔","-")</f>
        <v>-</v>
      </c>
      <c r="AY158" s="444" t="str">
        <f>IF('Design Fee'!CU160&gt;0,"✔","-")</f>
        <v>-</v>
      </c>
      <c r="AZ158" s="444" t="str">
        <f>IF('Design Fee'!CV160&gt;0,"✔","-")</f>
        <v>-</v>
      </c>
      <c r="BA158" s="444" t="str">
        <f>IF('Design Fee'!CW160&gt;0,"✔","-")</f>
        <v>-</v>
      </c>
      <c r="BB158" s="466" t="str">
        <f>IF('Design Fee'!CX160&gt;0,"✔","-")</f>
        <v>-</v>
      </c>
      <c r="BC158" s="445"/>
      <c r="BD158" s="444" t="str">
        <f>IF('Design Fee'!CZ160&gt;0,"✔","-")</f>
        <v>-</v>
      </c>
      <c r="BE158" s="444" t="str">
        <f>IF('Design Fee'!DA160&gt;0,"✔","-")</f>
        <v>-</v>
      </c>
      <c r="BF158" s="444" t="str">
        <f>IF('Design Fee'!DB160&gt;0,"✔","-")</f>
        <v>-</v>
      </c>
      <c r="BG158" s="444" t="str">
        <f>IF('Design Fee'!DC160&gt;0,"✔","-")</f>
        <v>-</v>
      </c>
      <c r="BH158" s="444" t="str">
        <f>IF('Design Fee'!DD160&gt;0,"✔","-")</f>
        <v>-</v>
      </c>
      <c r="BI158" s="445"/>
      <c r="BJ158" s="449"/>
      <c r="BK158" s="442"/>
      <c r="BL158" s="443" t="str">
        <f>IF('Design Fee'!EA160&gt;0,"✔","-")</f>
        <v>-</v>
      </c>
      <c r="BM158" s="443" t="str">
        <f>IF('Design Fee'!EB160&gt;0,"✔","-")</f>
        <v>-</v>
      </c>
      <c r="BN158" s="444" t="str">
        <f>IF('Design Fee'!EC160&gt;0,"✔","-")</f>
        <v>-</v>
      </c>
      <c r="BO158" s="444" t="str">
        <f>IF('Design Fee'!ED160&gt;0,"✔","-")</f>
        <v>-</v>
      </c>
      <c r="BP158" s="444" t="str">
        <f>IF('Design Fee'!EE160&gt;0,"✔","-")</f>
        <v>-</v>
      </c>
      <c r="BQ158" s="444" t="str">
        <f>IF('Design Fee'!EF160&gt;0,"✔","-")</f>
        <v>-</v>
      </c>
      <c r="BR158" s="444" t="str">
        <f>IF('Design Fee'!EG160&gt;0,"✔","-")</f>
        <v>-</v>
      </c>
      <c r="BS158" s="466" t="str">
        <f>IF('Design Fee'!EH160&gt;0,"✔","-")</f>
        <v>-</v>
      </c>
      <c r="BT158" s="383"/>
      <c r="BU158" s="444" t="str">
        <f>IF('Design Fee'!EJ160&gt;0,"✔","-")</f>
        <v>-</v>
      </c>
      <c r="BV158" s="444" t="str">
        <f>IF('Design Fee'!EK160&gt;0,"✔","-")</f>
        <v>-</v>
      </c>
      <c r="BW158" s="444" t="str">
        <f>IF('Design Fee'!EL160&gt;0,"✔","-")</f>
        <v>-</v>
      </c>
      <c r="BX158" s="444" t="str">
        <f>IF('Design Fee'!EM160&gt;0,"✔","-")</f>
        <v>-</v>
      </c>
      <c r="BY158" s="444" t="str">
        <f>IF('Design Fee'!EN160&gt;0,"✔","-")</f>
        <v>-</v>
      </c>
      <c r="BZ158" s="383"/>
    </row>
    <row r="159" spans="2:78" ht="12.75" outlineLevel="2">
      <c r="B159" s="483"/>
      <c r="C159" s="484"/>
      <c r="D159" s="465"/>
      <c r="E159" s="383"/>
      <c r="F159" s="443"/>
      <c r="G159" s="444"/>
      <c r="H159" s="444"/>
      <c r="I159" s="444"/>
      <c r="J159" s="430"/>
      <c r="K159" s="441"/>
      <c r="L159" s="442"/>
      <c r="M159" s="443" t="str">
        <f>IF('Design Fee'!W161&gt;0,"✔","-")</f>
        <v>-</v>
      </c>
      <c r="N159" s="443" t="str">
        <f>IF('Design Fee'!X161&gt;0,"✔","-")</f>
        <v>-</v>
      </c>
      <c r="O159" s="444" t="str">
        <f>IF('Design Fee'!Y161&gt;0,"✔","-")</f>
        <v>-</v>
      </c>
      <c r="P159" s="444" t="str">
        <f>IF('Design Fee'!Z161&gt;0,"✔","-")</f>
        <v>-</v>
      </c>
      <c r="Q159" s="444" t="str">
        <f>IF('Design Fee'!AA161&gt;0,"✔","-")</f>
        <v>-</v>
      </c>
      <c r="R159" s="444" t="str">
        <f>IF('Design Fee'!AB161&gt;0,"✔","-")</f>
        <v>-</v>
      </c>
      <c r="S159" s="444" t="str">
        <f>IF('Design Fee'!AC161&gt;0,"✔","-")</f>
        <v>-</v>
      </c>
      <c r="T159" s="466" t="str">
        <f>IF('Design Fee'!AD161&gt;0,"✔","-")</f>
        <v>-</v>
      </c>
      <c r="U159" s="430"/>
      <c r="V159" s="444" t="str">
        <f>IF('Design Fee'!AF161&gt;0,"✔","-")</f>
        <v>-</v>
      </c>
      <c r="W159" s="444" t="str">
        <f>IF('Design Fee'!AG161&gt;0,"✔","-")</f>
        <v>-</v>
      </c>
      <c r="X159" s="444" t="str">
        <f>IF('Design Fee'!AH161&gt;0,"✔","-")</f>
        <v>-</v>
      </c>
      <c r="Y159" s="444" t="str">
        <f>IF('Design Fee'!AI161&gt;0,"✔","-")</f>
        <v>-</v>
      </c>
      <c r="Z159" s="444" t="str">
        <f>IF('Design Fee'!AJ161&gt;0,"✔","-")</f>
        <v>-</v>
      </c>
      <c r="AA159" s="430"/>
      <c r="AB159" s="441"/>
      <c r="AC159" s="442"/>
      <c r="AD159" s="443" t="str">
        <f>IF('Design Fee'!BG161&gt;0,"✔","-")</f>
        <v>-</v>
      </c>
      <c r="AE159" s="443" t="str">
        <f>IF('Design Fee'!BH161&gt;0,"✔","-")</f>
        <v>-</v>
      </c>
      <c r="AF159" s="444" t="str">
        <f>IF('Design Fee'!BI161&gt;0,"✔","-")</f>
        <v>-</v>
      </c>
      <c r="AG159" s="444" t="str">
        <f>IF('Design Fee'!BJ161&gt;0,"✔","-")</f>
        <v>-</v>
      </c>
      <c r="AH159" s="444" t="str">
        <f>IF('Design Fee'!BK161&gt;0,"✔","-")</f>
        <v>-</v>
      </c>
      <c r="AI159" s="444" t="str">
        <f>IF('Design Fee'!BL161&gt;0,"✔","-")</f>
        <v>-</v>
      </c>
      <c r="AJ159" s="444" t="str">
        <f>IF('Design Fee'!BM161&gt;0,"✔","-")</f>
        <v>-</v>
      </c>
      <c r="AK159" s="466" t="str">
        <f>IF('Design Fee'!BN161&gt;0,"✔","-")</f>
        <v>-</v>
      </c>
      <c r="AL159" s="445"/>
      <c r="AM159" s="444" t="str">
        <f>IF('Design Fee'!BP161&gt;0,"✔","-")</f>
        <v>-</v>
      </c>
      <c r="AN159" s="444" t="str">
        <f>IF('Design Fee'!BQ161&gt;0,"✔","-")</f>
        <v>-</v>
      </c>
      <c r="AO159" s="444" t="str">
        <f>IF('Design Fee'!BR161&gt;0,"✔","-")</f>
        <v>-</v>
      </c>
      <c r="AP159" s="444" t="str">
        <f>IF('Design Fee'!BS161&gt;0,"✔","-")</f>
        <v>-</v>
      </c>
      <c r="AQ159" s="444" t="str">
        <f>IF('Design Fee'!BT161&gt;0,"✔","-")</f>
        <v>-</v>
      </c>
      <c r="AR159" s="445"/>
      <c r="AS159" s="441"/>
      <c r="AT159" s="442"/>
      <c r="AU159" s="443" t="str">
        <f>IF('Design Fee'!CQ161&gt;0,"✔","-")</f>
        <v>-</v>
      </c>
      <c r="AV159" s="443" t="str">
        <f>IF('Design Fee'!CR161&gt;0,"✔","-")</f>
        <v>-</v>
      </c>
      <c r="AW159" s="444" t="str">
        <f>IF('Design Fee'!CS161&gt;0,"✔","-")</f>
        <v>-</v>
      </c>
      <c r="AX159" s="444" t="str">
        <f>IF('Design Fee'!CT161&gt;0,"✔","-")</f>
        <v>-</v>
      </c>
      <c r="AY159" s="444" t="str">
        <f>IF('Design Fee'!CU161&gt;0,"✔","-")</f>
        <v>-</v>
      </c>
      <c r="AZ159" s="444" t="str">
        <f>IF('Design Fee'!CV161&gt;0,"✔","-")</f>
        <v>-</v>
      </c>
      <c r="BA159" s="444" t="str">
        <f>IF('Design Fee'!CW161&gt;0,"✔","-")</f>
        <v>-</v>
      </c>
      <c r="BB159" s="466" t="str">
        <f>IF('Design Fee'!CX161&gt;0,"✔","-")</f>
        <v>-</v>
      </c>
      <c r="BC159" s="445"/>
      <c r="BD159" s="444" t="str">
        <f>IF('Design Fee'!CZ161&gt;0,"✔","-")</f>
        <v>-</v>
      </c>
      <c r="BE159" s="444" t="str">
        <f>IF('Design Fee'!DA161&gt;0,"✔","-")</f>
        <v>-</v>
      </c>
      <c r="BF159" s="444" t="str">
        <f>IF('Design Fee'!DB161&gt;0,"✔","-")</f>
        <v>-</v>
      </c>
      <c r="BG159" s="444" t="str">
        <f>IF('Design Fee'!DC161&gt;0,"✔","-")</f>
        <v>-</v>
      </c>
      <c r="BH159" s="444" t="str">
        <f>IF('Design Fee'!DD161&gt;0,"✔","-")</f>
        <v>-</v>
      </c>
      <c r="BI159" s="445"/>
      <c r="BJ159" s="441"/>
      <c r="BK159" s="442"/>
      <c r="BL159" s="443" t="str">
        <f>IF('Design Fee'!EA161&gt;0,"✔","-")</f>
        <v>-</v>
      </c>
      <c r="BM159" s="443" t="str">
        <f>IF('Design Fee'!EB161&gt;0,"✔","-")</f>
        <v>-</v>
      </c>
      <c r="BN159" s="444" t="str">
        <f>IF('Design Fee'!EC161&gt;0,"✔","-")</f>
        <v>-</v>
      </c>
      <c r="BO159" s="444" t="str">
        <f>IF('Design Fee'!ED161&gt;0,"✔","-")</f>
        <v>-</v>
      </c>
      <c r="BP159" s="444" t="str">
        <f>IF('Design Fee'!EE161&gt;0,"✔","-")</f>
        <v>-</v>
      </c>
      <c r="BQ159" s="444" t="str">
        <f>IF('Design Fee'!EF161&gt;0,"✔","-")</f>
        <v>-</v>
      </c>
      <c r="BR159" s="444" t="str">
        <f>IF('Design Fee'!EG161&gt;0,"✔","-")</f>
        <v>-</v>
      </c>
      <c r="BS159" s="466" t="str">
        <f>IF('Design Fee'!EH161&gt;0,"✔","-")</f>
        <v>-</v>
      </c>
      <c r="BT159" s="383"/>
      <c r="BU159" s="444" t="str">
        <f>IF('Design Fee'!EJ161&gt;0,"✔","-")</f>
        <v>-</v>
      </c>
      <c r="BV159" s="444" t="str">
        <f>IF('Design Fee'!EK161&gt;0,"✔","-")</f>
        <v>-</v>
      </c>
      <c r="BW159" s="444" t="str">
        <f>IF('Design Fee'!EL161&gt;0,"✔","-")</f>
        <v>-</v>
      </c>
      <c r="BX159" s="444" t="str">
        <f>IF('Design Fee'!EM161&gt;0,"✔","-")</f>
        <v>-</v>
      </c>
      <c r="BY159" s="444" t="str">
        <f>IF('Design Fee'!EN161&gt;0,"✔","-")</f>
        <v>-</v>
      </c>
      <c r="BZ159" s="383"/>
    </row>
    <row r="160" spans="2:78" ht="12.75" outlineLevel="2">
      <c r="B160" s="483">
        <v>2.4</v>
      </c>
      <c r="C160" s="484">
        <v>2.4</v>
      </c>
      <c r="D160" s="485" t="s">
        <v>162</v>
      </c>
      <c r="E160" s="383"/>
      <c r="F160" s="408"/>
      <c r="G160" s="444"/>
      <c r="H160" s="444"/>
      <c r="I160" s="444"/>
      <c r="J160" s="430"/>
      <c r="K160" s="479"/>
      <c r="L160" s="479"/>
      <c r="M160" s="443" t="str">
        <f>IF('Design Fee'!W162&gt;0,"✔","-")</f>
        <v>-</v>
      </c>
      <c r="N160" s="443" t="str">
        <f>IF('Design Fee'!X162&gt;0,"✔","-")</f>
        <v>-</v>
      </c>
      <c r="O160" s="444" t="str">
        <f>IF('Design Fee'!Y162&gt;0,"✔","-")</f>
        <v>-</v>
      </c>
      <c r="P160" s="444" t="str">
        <f>IF('Design Fee'!Z162&gt;0,"✔","-")</f>
        <v>-</v>
      </c>
      <c r="Q160" s="444" t="str">
        <f>IF('Design Fee'!AA162&gt;0,"✔","-")</f>
        <v>-</v>
      </c>
      <c r="R160" s="444" t="str">
        <f>IF('Design Fee'!AB162&gt;0,"✔","-")</f>
        <v>-</v>
      </c>
      <c r="S160" s="444" t="str">
        <f>IF('Design Fee'!AC162&gt;0,"✔","-")</f>
        <v>-</v>
      </c>
      <c r="T160" s="466" t="str">
        <f>IF('Design Fee'!AD162&gt;0,"✔","-")</f>
        <v>-</v>
      </c>
      <c r="U160" s="430"/>
      <c r="V160" s="444" t="str">
        <f>IF('Design Fee'!AF162&gt;0,"✔","-")</f>
        <v>-</v>
      </c>
      <c r="W160" s="444" t="str">
        <f>IF('Design Fee'!AG162&gt;0,"✔","-")</f>
        <v>-</v>
      </c>
      <c r="X160" s="444" t="str">
        <f>IF('Design Fee'!AH162&gt;0,"✔","-")</f>
        <v>-</v>
      </c>
      <c r="Y160" s="444" t="str">
        <f>IF('Design Fee'!AI162&gt;0,"✔","-")</f>
        <v>-</v>
      </c>
      <c r="Z160" s="444" t="str">
        <f>IF('Design Fee'!AJ162&gt;0,"✔","-")</f>
        <v>-</v>
      </c>
      <c r="AA160" s="430"/>
      <c r="AB160" s="479"/>
      <c r="AC160" s="479"/>
      <c r="AD160" s="443"/>
      <c r="AE160" s="443"/>
      <c r="AF160" s="444"/>
      <c r="AG160" s="444" t="str">
        <f>IF('Design Fee'!BJ162&gt;0,"✔","-")</f>
        <v>-</v>
      </c>
      <c r="AH160" s="444" t="str">
        <f>IF('Design Fee'!BK162&gt;0,"✔","-")</f>
        <v>-</v>
      </c>
      <c r="AI160" s="444" t="str">
        <f>IF('Design Fee'!BL162&gt;0,"✔","-")</f>
        <v>-</v>
      </c>
      <c r="AJ160" s="444" t="str">
        <f>IF('Design Fee'!BM162&gt;0,"✔","-")</f>
        <v>-</v>
      </c>
      <c r="AK160" s="466" t="str">
        <f>IF('Design Fee'!BN162&gt;0,"✔","-")</f>
        <v>-</v>
      </c>
      <c r="AL160" s="479"/>
      <c r="AM160" s="444" t="str">
        <f>IF('Design Fee'!BP162&gt;0,"✔","-")</f>
        <v>-</v>
      </c>
      <c r="AN160" s="444" t="str">
        <f>IF('Design Fee'!BQ162&gt;0,"✔","-")</f>
        <v>-</v>
      </c>
      <c r="AO160" s="444" t="str">
        <f>IF('Design Fee'!BR162&gt;0,"✔","-")</f>
        <v>-</v>
      </c>
      <c r="AP160" s="444" t="str">
        <f>IF('Design Fee'!BS162&gt;0,"✔","-")</f>
        <v>-</v>
      </c>
      <c r="AQ160" s="444" t="str">
        <f>IF('Design Fee'!BT162&gt;0,"✔","-")</f>
        <v>-</v>
      </c>
      <c r="AR160" s="479"/>
      <c r="AS160" s="479"/>
      <c r="AT160" s="479"/>
      <c r="AU160" s="443" t="str">
        <f>IF('Design Fee'!CQ162&gt;0,"✔","-")</f>
        <v>-</v>
      </c>
      <c r="AV160" s="443" t="str">
        <f>IF('Design Fee'!CR162&gt;0,"✔","-")</f>
        <v>-</v>
      </c>
      <c r="AW160" s="444" t="str">
        <f>IF('Design Fee'!CS162&gt;0,"✔","-")</f>
        <v>-</v>
      </c>
      <c r="AX160" s="444" t="str">
        <f>IF('Design Fee'!CT162&gt;0,"✔","-")</f>
        <v>-</v>
      </c>
      <c r="AY160" s="444" t="str">
        <f>IF('Design Fee'!CU162&gt;0,"✔","-")</f>
        <v>-</v>
      </c>
      <c r="AZ160" s="444" t="str">
        <f>IF('Design Fee'!CV162&gt;0,"✔","-")</f>
        <v>-</v>
      </c>
      <c r="BA160" s="444" t="str">
        <f>IF('Design Fee'!CW162&gt;0,"✔","-")</f>
        <v>-</v>
      </c>
      <c r="BB160" s="466" t="str">
        <f>IF('Design Fee'!CX162&gt;0,"✔","-")</f>
        <v>-</v>
      </c>
      <c r="BC160" s="479"/>
      <c r="BD160" s="444" t="str">
        <f>IF('Design Fee'!CZ162&gt;0,"✔","-")</f>
        <v>-</v>
      </c>
      <c r="BE160" s="444" t="str">
        <f>IF('Design Fee'!DA162&gt;0,"✔","-")</f>
        <v>-</v>
      </c>
      <c r="BF160" s="444" t="str">
        <f>IF('Design Fee'!DB162&gt;0,"✔","-")</f>
        <v>-</v>
      </c>
      <c r="BG160" s="444" t="str">
        <f>IF('Design Fee'!DC162&gt;0,"✔","-")</f>
        <v>-</v>
      </c>
      <c r="BH160" s="444" t="str">
        <f>IF('Design Fee'!DD162&gt;0,"✔","-")</f>
        <v>-</v>
      </c>
      <c r="BI160" s="479"/>
      <c r="BJ160" s="479"/>
      <c r="BK160" s="479"/>
      <c r="BL160" s="443" t="str">
        <f>IF('Design Fee'!EA162&gt;0,"✔","-")</f>
        <v>-</v>
      </c>
      <c r="BM160" s="443" t="str">
        <f>IF('Design Fee'!EB162&gt;0,"✔","-")</f>
        <v>-</v>
      </c>
      <c r="BN160" s="444" t="str">
        <f>IF('Design Fee'!EC162&gt;0,"✔","-")</f>
        <v>-</v>
      </c>
      <c r="BO160" s="444" t="str">
        <f>IF('Design Fee'!ED162&gt;0,"✔","-")</f>
        <v>-</v>
      </c>
      <c r="BP160" s="444" t="str">
        <f>IF('Design Fee'!EE162&gt;0,"✔","-")</f>
        <v>-</v>
      </c>
      <c r="BQ160" s="444" t="str">
        <f>IF('Design Fee'!EF162&gt;0,"✔","-")</f>
        <v>-</v>
      </c>
      <c r="BR160" s="444" t="str">
        <f>IF('Design Fee'!EG162&gt;0,"✔","-")</f>
        <v>-</v>
      </c>
      <c r="BS160" s="466" t="str">
        <f>IF('Design Fee'!EH162&gt;0,"✔","-")</f>
        <v>-</v>
      </c>
      <c r="BT160" s="383"/>
      <c r="BU160" s="444" t="str">
        <f>IF('Design Fee'!EJ162&gt;0,"✔","-")</f>
        <v>-</v>
      </c>
      <c r="BV160" s="444" t="str">
        <f>IF('Design Fee'!EK162&gt;0,"✔","-")</f>
        <v>-</v>
      </c>
      <c r="BW160" s="444" t="str">
        <f>IF('Design Fee'!EL162&gt;0,"✔","-")</f>
        <v>-</v>
      </c>
      <c r="BX160" s="444" t="str">
        <f>IF('Design Fee'!EM162&gt;0,"✔","-")</f>
        <v>-</v>
      </c>
      <c r="BY160" s="444" t="str">
        <f>IF('Design Fee'!EN162&gt;0,"✔","-")</f>
        <v>-</v>
      </c>
      <c r="BZ160" s="383"/>
    </row>
    <row r="161" spans="2:78" ht="12.75" outlineLevel="3">
      <c r="B161" s="463" t="s">
        <v>163</v>
      </c>
      <c r="C161" s="464">
        <v>1</v>
      </c>
      <c r="D161" s="465" t="s">
        <v>152</v>
      </c>
      <c r="E161" s="383"/>
      <c r="F161" s="443">
        <f t="shared" ref="F161:H162" si="541">COUNTIF(M161,"✔")+COUNTIF(AD161,"✔")+COUNTIF(BL161,"✔")+COUNTIF(AU161,"✔")</f>
        <v>1</v>
      </c>
      <c r="G161" s="444">
        <f t="shared" si="541"/>
        <v>1</v>
      </c>
      <c r="H161" s="444">
        <f t="shared" si="541"/>
        <v>1</v>
      </c>
      <c r="I161" s="444">
        <f t="shared" ref="I161:I162" si="542">F161-G161</f>
        <v>0</v>
      </c>
      <c r="J161" s="430"/>
      <c r="K161" s="449"/>
      <c r="L161" s="442"/>
      <c r="M161" s="443" t="str">
        <f>IF('Design Fee'!W163&gt;0,"✔","-")</f>
        <v>-</v>
      </c>
      <c r="N161" s="443" t="str">
        <f>IF('Design Fee'!X163&gt;0,"✔","-")</f>
        <v>-</v>
      </c>
      <c r="O161" s="444" t="str">
        <f>IF('Design Fee'!Y163&gt;0,"✔","-")</f>
        <v>-</v>
      </c>
      <c r="P161" s="444" t="str">
        <f>IF('Design Fee'!Z163&gt;0,"✔","-")</f>
        <v>-</v>
      </c>
      <c r="Q161" s="444" t="str">
        <f>IF('Design Fee'!AA163&gt;0,"✔","-")</f>
        <v>-</v>
      </c>
      <c r="R161" s="444" t="str">
        <f>IF('Design Fee'!AB163&gt;0,"✔","-")</f>
        <v>-</v>
      </c>
      <c r="S161" s="444" t="str">
        <f>IF('Design Fee'!AC163&gt;0,"✔","-")</f>
        <v>-</v>
      </c>
      <c r="T161" s="466" t="str">
        <f>IF('Design Fee'!AD163&gt;0,"✔","-")</f>
        <v>-</v>
      </c>
      <c r="U161" s="430"/>
      <c r="V161" s="444" t="str">
        <f>IF('Design Fee'!AF163&gt;0,"✔","-")</f>
        <v>-</v>
      </c>
      <c r="W161" s="444" t="str">
        <f>IF('Design Fee'!AG163&gt;0,"✔","-")</f>
        <v>-</v>
      </c>
      <c r="X161" s="444" t="str">
        <f>IF('Design Fee'!AH163&gt;0,"✔","-")</f>
        <v>-</v>
      </c>
      <c r="Y161" s="444" t="str">
        <f>IF('Design Fee'!AI163&gt;0,"✔","-")</f>
        <v>-</v>
      </c>
      <c r="Z161" s="444" t="str">
        <f>IF('Design Fee'!AJ163&gt;0,"✔","-")</f>
        <v>-</v>
      </c>
      <c r="AA161" s="430"/>
      <c r="AB161" s="449"/>
      <c r="AC161" s="442"/>
      <c r="AD161" s="443" t="str">
        <f>IF('Design Fee'!BG163&gt;0,"✔","-")</f>
        <v>✔</v>
      </c>
      <c r="AE161" s="443" t="str">
        <f>IF('Design Fee'!BH163&gt;0,"✔","-")</f>
        <v>✔</v>
      </c>
      <c r="AF161" s="444" t="str">
        <f>IF('Design Fee'!BI163&gt;0,"✔","-")</f>
        <v>✔</v>
      </c>
      <c r="AG161" s="444" t="str">
        <f>IF('Design Fee'!BJ163&gt;0,"✔","-")</f>
        <v>-</v>
      </c>
      <c r="AH161" s="444" t="str">
        <f>IF('Design Fee'!BK163&gt;0,"✔","-")</f>
        <v>-</v>
      </c>
      <c r="AI161" s="444" t="str">
        <f>IF('Design Fee'!BL163&gt;0,"✔","-")</f>
        <v>-</v>
      </c>
      <c r="AJ161" s="444" t="str">
        <f>IF('Design Fee'!BM163&gt;0,"✔","-")</f>
        <v>-</v>
      </c>
      <c r="AK161" s="466" t="str">
        <f>IF('Design Fee'!BN163&gt;0,"✔","-")</f>
        <v>-</v>
      </c>
      <c r="AL161" s="445"/>
      <c r="AM161" s="444" t="str">
        <f>IF('Design Fee'!BP163&gt;0,"✔","-")</f>
        <v>-</v>
      </c>
      <c r="AN161" s="444" t="str">
        <f>IF('Design Fee'!BQ163&gt;0,"✔","-")</f>
        <v>-</v>
      </c>
      <c r="AO161" s="444" t="str">
        <f>IF('Design Fee'!BR163&gt;0,"✔","-")</f>
        <v>-</v>
      </c>
      <c r="AP161" s="444" t="str">
        <f>IF('Design Fee'!BS163&gt;0,"✔","-")</f>
        <v>-</v>
      </c>
      <c r="AQ161" s="444" t="str">
        <f>IF('Design Fee'!BT163&gt;0,"✔","-")</f>
        <v>-</v>
      </c>
      <c r="AR161" s="445"/>
      <c r="AS161" s="449"/>
      <c r="AT161" s="442"/>
      <c r="AU161" s="443" t="str">
        <f>IF('Design Fee'!CQ163&gt;0,"✔","-")</f>
        <v>-</v>
      </c>
      <c r="AV161" s="443" t="str">
        <f>IF('Design Fee'!CR163&gt;0,"✔","-")</f>
        <v>-</v>
      </c>
      <c r="AW161" s="444" t="str">
        <f>IF('Design Fee'!CS163&gt;0,"✔","-")</f>
        <v>-</v>
      </c>
      <c r="AX161" s="444" t="str">
        <f>IF('Design Fee'!CT163&gt;0,"✔","-")</f>
        <v>-</v>
      </c>
      <c r="AY161" s="444" t="str">
        <f>IF('Design Fee'!CU163&gt;0,"✔","-")</f>
        <v>-</v>
      </c>
      <c r="AZ161" s="444" t="str">
        <f>IF('Design Fee'!CV163&gt;0,"✔","-")</f>
        <v>-</v>
      </c>
      <c r="BA161" s="444" t="str">
        <f>IF('Design Fee'!CW163&gt;0,"✔","-")</f>
        <v>-</v>
      </c>
      <c r="BB161" s="466" t="str">
        <f>IF('Design Fee'!CX163&gt;0,"✔","-")</f>
        <v>-</v>
      </c>
      <c r="BC161" s="445"/>
      <c r="BD161" s="444" t="str">
        <f>IF('Design Fee'!CZ163&gt;0,"✔","-")</f>
        <v>-</v>
      </c>
      <c r="BE161" s="444" t="str">
        <f>IF('Design Fee'!DA163&gt;0,"✔","-")</f>
        <v>-</v>
      </c>
      <c r="BF161" s="444" t="str">
        <f>IF('Design Fee'!DB163&gt;0,"✔","-")</f>
        <v>-</v>
      </c>
      <c r="BG161" s="444" t="str">
        <f>IF('Design Fee'!DC163&gt;0,"✔","-")</f>
        <v>-</v>
      </c>
      <c r="BH161" s="444" t="str">
        <f>IF('Design Fee'!DD163&gt;0,"✔","-")</f>
        <v>-</v>
      </c>
      <c r="BI161" s="445"/>
      <c r="BJ161" s="449"/>
      <c r="BK161" s="442"/>
      <c r="BL161" s="443" t="str">
        <f>IF('Design Fee'!EA163&gt;0,"✔","-")</f>
        <v>-</v>
      </c>
      <c r="BM161" s="443" t="str">
        <f>IF('Design Fee'!EB163&gt;0,"✔","-")</f>
        <v>-</v>
      </c>
      <c r="BN161" s="444" t="str">
        <f>IF('Design Fee'!EC163&gt;0,"✔","-")</f>
        <v>-</v>
      </c>
      <c r="BO161" s="444" t="str">
        <f>IF('Design Fee'!ED163&gt;0,"✔","-")</f>
        <v>-</v>
      </c>
      <c r="BP161" s="444" t="str">
        <f>IF('Design Fee'!EE163&gt;0,"✔","-")</f>
        <v>-</v>
      </c>
      <c r="BQ161" s="444" t="str">
        <f>IF('Design Fee'!EF163&gt;0,"✔","-")</f>
        <v>-</v>
      </c>
      <c r="BR161" s="444" t="str">
        <f>IF('Design Fee'!EG163&gt;0,"✔","-")</f>
        <v>-</v>
      </c>
      <c r="BS161" s="466" t="str">
        <f>IF('Design Fee'!EH163&gt;0,"✔","-")</f>
        <v>-</v>
      </c>
      <c r="BT161" s="383"/>
      <c r="BU161" s="444" t="str">
        <f>IF('Design Fee'!EJ163&gt;0,"✔","-")</f>
        <v>-</v>
      </c>
      <c r="BV161" s="444" t="str">
        <f>IF('Design Fee'!EK163&gt;0,"✔","-")</f>
        <v>-</v>
      </c>
      <c r="BW161" s="444" t="str">
        <f>IF('Design Fee'!EL163&gt;0,"✔","-")</f>
        <v>-</v>
      </c>
      <c r="BX161" s="444" t="str">
        <f>IF('Design Fee'!EM163&gt;0,"✔","-")</f>
        <v>-</v>
      </c>
      <c r="BY161" s="444" t="str">
        <f>IF('Design Fee'!EN163&gt;0,"✔","-")</f>
        <v>-</v>
      </c>
      <c r="BZ161" s="383"/>
    </row>
    <row r="162" spans="2:78" ht="12.75" outlineLevel="3">
      <c r="B162" s="463" t="s">
        <v>164</v>
      </c>
      <c r="C162" s="464">
        <v>2</v>
      </c>
      <c r="D162" s="465" t="s">
        <v>154</v>
      </c>
      <c r="E162" s="383"/>
      <c r="F162" s="443">
        <f t="shared" si="541"/>
        <v>1</v>
      </c>
      <c r="G162" s="444">
        <f t="shared" si="541"/>
        <v>1</v>
      </c>
      <c r="H162" s="444">
        <f t="shared" si="541"/>
        <v>1</v>
      </c>
      <c r="I162" s="444">
        <f t="shared" si="542"/>
        <v>0</v>
      </c>
      <c r="J162" s="430"/>
      <c r="K162" s="449"/>
      <c r="L162" s="442"/>
      <c r="M162" s="443" t="str">
        <f>IF('Design Fee'!W164&gt;0,"✔","-")</f>
        <v>-</v>
      </c>
      <c r="N162" s="443" t="str">
        <f>IF('Design Fee'!X164&gt;0,"✔","-")</f>
        <v>-</v>
      </c>
      <c r="O162" s="444" t="str">
        <f>IF('Design Fee'!Y164&gt;0,"✔","-")</f>
        <v>-</v>
      </c>
      <c r="P162" s="444" t="str">
        <f>IF('Design Fee'!Z164&gt;0,"✔","-")</f>
        <v>-</v>
      </c>
      <c r="Q162" s="444" t="str">
        <f>IF('Design Fee'!AA164&gt;0,"✔","-")</f>
        <v>-</v>
      </c>
      <c r="R162" s="444" t="str">
        <f>IF('Design Fee'!AB164&gt;0,"✔","-")</f>
        <v>-</v>
      </c>
      <c r="S162" s="444" t="str">
        <f>IF('Design Fee'!AC164&gt;0,"✔","-")</f>
        <v>-</v>
      </c>
      <c r="T162" s="466" t="str">
        <f>IF('Design Fee'!AD164&gt;0,"✔","-")</f>
        <v>-</v>
      </c>
      <c r="U162" s="430"/>
      <c r="V162" s="444" t="str">
        <f>IF('Design Fee'!AF164&gt;0,"✔","-")</f>
        <v>-</v>
      </c>
      <c r="W162" s="444" t="str">
        <f>IF('Design Fee'!AG164&gt;0,"✔","-")</f>
        <v>-</v>
      </c>
      <c r="X162" s="444" t="str">
        <f>IF('Design Fee'!AH164&gt;0,"✔","-")</f>
        <v>-</v>
      </c>
      <c r="Y162" s="444" t="str">
        <f>IF('Design Fee'!AI164&gt;0,"✔","-")</f>
        <v>-</v>
      </c>
      <c r="Z162" s="444" t="str">
        <f>IF('Design Fee'!AJ164&gt;0,"✔","-")</f>
        <v>-</v>
      </c>
      <c r="AA162" s="430"/>
      <c r="AB162" s="449"/>
      <c r="AC162" s="442"/>
      <c r="AD162" s="443" t="str">
        <f>IF('Design Fee'!BG164&gt;0,"✔","-")</f>
        <v>✔</v>
      </c>
      <c r="AE162" s="443" t="str">
        <f>IF('Design Fee'!BH164&gt;0,"✔","-")</f>
        <v>✔</v>
      </c>
      <c r="AF162" s="444" t="str">
        <f>IF('Design Fee'!BI164&gt;0,"✔","-")</f>
        <v>✔</v>
      </c>
      <c r="AG162" s="444" t="str">
        <f>IF('Design Fee'!BJ164&gt;0,"✔","-")</f>
        <v>-</v>
      </c>
      <c r="AH162" s="444" t="str">
        <f>IF('Design Fee'!BK164&gt;0,"✔","-")</f>
        <v>-</v>
      </c>
      <c r="AI162" s="444" t="str">
        <f>IF('Design Fee'!BL164&gt;0,"✔","-")</f>
        <v>-</v>
      </c>
      <c r="AJ162" s="444" t="str">
        <f>IF('Design Fee'!BM164&gt;0,"✔","-")</f>
        <v>-</v>
      </c>
      <c r="AK162" s="466" t="str">
        <f>IF('Design Fee'!BN164&gt;0,"✔","-")</f>
        <v>-</v>
      </c>
      <c r="AL162" s="445"/>
      <c r="AM162" s="444" t="str">
        <f>IF('Design Fee'!BP164&gt;0,"✔","-")</f>
        <v>-</v>
      </c>
      <c r="AN162" s="444" t="str">
        <f>IF('Design Fee'!BQ164&gt;0,"✔","-")</f>
        <v>-</v>
      </c>
      <c r="AO162" s="444" t="str">
        <f>IF('Design Fee'!BR164&gt;0,"✔","-")</f>
        <v>-</v>
      </c>
      <c r="AP162" s="444" t="str">
        <f>IF('Design Fee'!BS164&gt;0,"✔","-")</f>
        <v>-</v>
      </c>
      <c r="AQ162" s="444" t="str">
        <f>IF('Design Fee'!BT164&gt;0,"✔","-")</f>
        <v>-</v>
      </c>
      <c r="AR162" s="445"/>
      <c r="AS162" s="449"/>
      <c r="AT162" s="442"/>
      <c r="AU162" s="443" t="str">
        <f>IF('Design Fee'!CQ164&gt;0,"✔","-")</f>
        <v>-</v>
      </c>
      <c r="AV162" s="443" t="str">
        <f>IF('Design Fee'!CR164&gt;0,"✔","-")</f>
        <v>-</v>
      </c>
      <c r="AW162" s="444" t="str">
        <f>IF('Design Fee'!CS164&gt;0,"✔","-")</f>
        <v>-</v>
      </c>
      <c r="AX162" s="444" t="str">
        <f>IF('Design Fee'!CT164&gt;0,"✔","-")</f>
        <v>-</v>
      </c>
      <c r="AY162" s="444" t="str">
        <f>IF('Design Fee'!CU164&gt;0,"✔","-")</f>
        <v>-</v>
      </c>
      <c r="AZ162" s="444" t="str">
        <f>IF('Design Fee'!CV164&gt;0,"✔","-")</f>
        <v>-</v>
      </c>
      <c r="BA162" s="444" t="str">
        <f>IF('Design Fee'!CW164&gt;0,"✔","-")</f>
        <v>-</v>
      </c>
      <c r="BB162" s="466" t="str">
        <f>IF('Design Fee'!CX164&gt;0,"✔","-")</f>
        <v>-</v>
      </c>
      <c r="BC162" s="445"/>
      <c r="BD162" s="444" t="str">
        <f>IF('Design Fee'!CZ164&gt;0,"✔","-")</f>
        <v>-</v>
      </c>
      <c r="BE162" s="444" t="str">
        <f>IF('Design Fee'!DA164&gt;0,"✔","-")</f>
        <v>-</v>
      </c>
      <c r="BF162" s="444" t="str">
        <f>IF('Design Fee'!DB164&gt;0,"✔","-")</f>
        <v>-</v>
      </c>
      <c r="BG162" s="444" t="str">
        <f>IF('Design Fee'!DC164&gt;0,"✔","-")</f>
        <v>-</v>
      </c>
      <c r="BH162" s="444" t="str">
        <f>IF('Design Fee'!DD164&gt;0,"✔","-")</f>
        <v>-</v>
      </c>
      <c r="BI162" s="445"/>
      <c r="BJ162" s="449"/>
      <c r="BK162" s="442"/>
      <c r="BL162" s="443" t="str">
        <f>IF('Design Fee'!EA164&gt;0,"✔","-")</f>
        <v>-</v>
      </c>
      <c r="BM162" s="443" t="str">
        <f>IF('Design Fee'!EB164&gt;0,"✔","-")</f>
        <v>-</v>
      </c>
      <c r="BN162" s="444" t="str">
        <f>IF('Design Fee'!EC164&gt;0,"✔","-")</f>
        <v>-</v>
      </c>
      <c r="BO162" s="444" t="str">
        <f>IF('Design Fee'!ED164&gt;0,"✔","-")</f>
        <v>-</v>
      </c>
      <c r="BP162" s="444" t="str">
        <f>IF('Design Fee'!EE164&gt;0,"✔","-")</f>
        <v>-</v>
      </c>
      <c r="BQ162" s="444" t="str">
        <f>IF('Design Fee'!EF164&gt;0,"✔","-")</f>
        <v>-</v>
      </c>
      <c r="BR162" s="444" t="str">
        <f>IF('Design Fee'!EG164&gt;0,"✔","-")</f>
        <v>-</v>
      </c>
      <c r="BS162" s="466" t="str">
        <f>IF('Design Fee'!EH164&gt;0,"✔","-")</f>
        <v>-</v>
      </c>
      <c r="BT162" s="383"/>
      <c r="BU162" s="444" t="str">
        <f>IF('Design Fee'!EJ164&gt;0,"✔","-")</f>
        <v>-</v>
      </c>
      <c r="BV162" s="444" t="str">
        <f>IF('Design Fee'!EK164&gt;0,"✔","-")</f>
        <v>-</v>
      </c>
      <c r="BW162" s="444" t="str">
        <f>IF('Design Fee'!EL164&gt;0,"✔","-")</f>
        <v>-</v>
      </c>
      <c r="BX162" s="444" t="str">
        <f>IF('Design Fee'!EM164&gt;0,"✔","-")</f>
        <v>-</v>
      </c>
      <c r="BY162" s="444" t="str">
        <f>IF('Design Fee'!EN164&gt;0,"✔","-")</f>
        <v>-</v>
      </c>
      <c r="BZ162" s="383"/>
    </row>
    <row r="163" spans="2:78" ht="12.75" outlineLevel="2">
      <c r="B163" s="483"/>
      <c r="C163" s="484"/>
      <c r="D163" s="465"/>
      <c r="E163" s="383"/>
      <c r="F163" s="443"/>
      <c r="G163" s="444"/>
      <c r="H163" s="444"/>
      <c r="I163" s="444"/>
      <c r="J163" s="430"/>
      <c r="K163" s="441"/>
      <c r="L163" s="442"/>
      <c r="M163" s="443" t="str">
        <f>IF('Design Fee'!W165&gt;0,"✔","-")</f>
        <v>-</v>
      </c>
      <c r="N163" s="443" t="str">
        <f>IF('Design Fee'!X165&gt;0,"✔","-")</f>
        <v>-</v>
      </c>
      <c r="O163" s="444" t="str">
        <f>IF('Design Fee'!Y165&gt;0,"✔","-")</f>
        <v>-</v>
      </c>
      <c r="P163" s="444" t="str">
        <f>IF('Design Fee'!Z165&gt;0,"✔","-")</f>
        <v>-</v>
      </c>
      <c r="Q163" s="444" t="str">
        <f>IF('Design Fee'!AA165&gt;0,"✔","-")</f>
        <v>-</v>
      </c>
      <c r="R163" s="444" t="str">
        <f>IF('Design Fee'!AB165&gt;0,"✔","-")</f>
        <v>-</v>
      </c>
      <c r="S163" s="444" t="str">
        <f>IF('Design Fee'!AC165&gt;0,"✔","-")</f>
        <v>-</v>
      </c>
      <c r="T163" s="466" t="str">
        <f>IF('Design Fee'!AD165&gt;0,"✔","-")</f>
        <v>-</v>
      </c>
      <c r="U163" s="430"/>
      <c r="V163" s="444" t="str">
        <f>IF('Design Fee'!AF165&gt;0,"✔","-")</f>
        <v>-</v>
      </c>
      <c r="W163" s="444" t="str">
        <f>IF('Design Fee'!AG165&gt;0,"✔","-")</f>
        <v>-</v>
      </c>
      <c r="X163" s="444" t="str">
        <f>IF('Design Fee'!AH165&gt;0,"✔","-")</f>
        <v>-</v>
      </c>
      <c r="Y163" s="444" t="str">
        <f>IF('Design Fee'!AI165&gt;0,"✔","-")</f>
        <v>-</v>
      </c>
      <c r="Z163" s="444" t="str">
        <f>IF('Design Fee'!AJ165&gt;0,"✔","-")</f>
        <v>-</v>
      </c>
      <c r="AA163" s="430"/>
      <c r="AB163" s="441"/>
      <c r="AC163" s="442"/>
      <c r="AD163" s="443" t="str">
        <f>IF('Design Fee'!BG165&gt;0,"✔","-")</f>
        <v>-</v>
      </c>
      <c r="AE163" s="443" t="str">
        <f>IF('Design Fee'!BH165&gt;0,"✔","-")</f>
        <v>-</v>
      </c>
      <c r="AF163" s="444" t="str">
        <f>IF('Design Fee'!BI165&gt;0,"✔","-")</f>
        <v>-</v>
      </c>
      <c r="AG163" s="444" t="str">
        <f>IF('Design Fee'!BJ165&gt;0,"✔","-")</f>
        <v>-</v>
      </c>
      <c r="AH163" s="444" t="str">
        <f>IF('Design Fee'!BK165&gt;0,"✔","-")</f>
        <v>-</v>
      </c>
      <c r="AI163" s="444" t="str">
        <f>IF('Design Fee'!BL165&gt;0,"✔","-")</f>
        <v>-</v>
      </c>
      <c r="AJ163" s="444" t="str">
        <f>IF('Design Fee'!BM165&gt;0,"✔","-")</f>
        <v>-</v>
      </c>
      <c r="AK163" s="466" t="str">
        <f>IF('Design Fee'!BN165&gt;0,"✔","-")</f>
        <v>-</v>
      </c>
      <c r="AL163" s="445"/>
      <c r="AM163" s="444" t="str">
        <f>IF('Design Fee'!BP165&gt;0,"✔","-")</f>
        <v>-</v>
      </c>
      <c r="AN163" s="444" t="str">
        <f>IF('Design Fee'!BQ165&gt;0,"✔","-")</f>
        <v>-</v>
      </c>
      <c r="AO163" s="444" t="str">
        <f>IF('Design Fee'!BR165&gt;0,"✔","-")</f>
        <v>-</v>
      </c>
      <c r="AP163" s="444" t="str">
        <f>IF('Design Fee'!BS165&gt;0,"✔","-")</f>
        <v>-</v>
      </c>
      <c r="AQ163" s="444" t="str">
        <f>IF('Design Fee'!BT165&gt;0,"✔","-")</f>
        <v>-</v>
      </c>
      <c r="AR163" s="445"/>
      <c r="AS163" s="441"/>
      <c r="AT163" s="442"/>
      <c r="AU163" s="443" t="str">
        <f>IF('Design Fee'!CQ165&gt;0,"✔","-")</f>
        <v>-</v>
      </c>
      <c r="AV163" s="443" t="str">
        <f>IF('Design Fee'!CR165&gt;0,"✔","-")</f>
        <v>-</v>
      </c>
      <c r="AW163" s="444" t="str">
        <f>IF('Design Fee'!CS165&gt;0,"✔","-")</f>
        <v>-</v>
      </c>
      <c r="AX163" s="444" t="str">
        <f>IF('Design Fee'!CT165&gt;0,"✔","-")</f>
        <v>-</v>
      </c>
      <c r="AY163" s="444" t="str">
        <f>IF('Design Fee'!CU165&gt;0,"✔","-")</f>
        <v>-</v>
      </c>
      <c r="AZ163" s="444" t="str">
        <f>IF('Design Fee'!CV165&gt;0,"✔","-")</f>
        <v>-</v>
      </c>
      <c r="BA163" s="444" t="str">
        <f>IF('Design Fee'!CW165&gt;0,"✔","-")</f>
        <v>-</v>
      </c>
      <c r="BB163" s="466" t="str">
        <f>IF('Design Fee'!CX165&gt;0,"✔","-")</f>
        <v>-</v>
      </c>
      <c r="BC163" s="445"/>
      <c r="BD163" s="444" t="str">
        <f>IF('Design Fee'!CZ165&gt;0,"✔","-")</f>
        <v>-</v>
      </c>
      <c r="BE163" s="444" t="str">
        <f>IF('Design Fee'!DA165&gt;0,"✔","-")</f>
        <v>-</v>
      </c>
      <c r="BF163" s="444" t="str">
        <f>IF('Design Fee'!DB165&gt;0,"✔","-")</f>
        <v>-</v>
      </c>
      <c r="BG163" s="444" t="str">
        <f>IF('Design Fee'!DC165&gt;0,"✔","-")</f>
        <v>-</v>
      </c>
      <c r="BH163" s="444" t="str">
        <f>IF('Design Fee'!DD165&gt;0,"✔","-")</f>
        <v>-</v>
      </c>
      <c r="BI163" s="445"/>
      <c r="BJ163" s="441"/>
      <c r="BK163" s="442"/>
      <c r="BL163" s="443" t="str">
        <f>IF('Design Fee'!EA165&gt;0,"✔","-")</f>
        <v>-</v>
      </c>
      <c r="BM163" s="443" t="str">
        <f>IF('Design Fee'!EB165&gt;0,"✔","-")</f>
        <v>-</v>
      </c>
      <c r="BN163" s="444" t="str">
        <f>IF('Design Fee'!EC165&gt;0,"✔","-")</f>
        <v>-</v>
      </c>
      <c r="BO163" s="444" t="str">
        <f>IF('Design Fee'!ED165&gt;0,"✔","-")</f>
        <v>-</v>
      </c>
      <c r="BP163" s="444" t="str">
        <f>IF('Design Fee'!EE165&gt;0,"✔","-")</f>
        <v>-</v>
      </c>
      <c r="BQ163" s="444" t="str">
        <f>IF('Design Fee'!EF165&gt;0,"✔","-")</f>
        <v>-</v>
      </c>
      <c r="BR163" s="444" t="str">
        <f>IF('Design Fee'!EG165&gt;0,"✔","-")</f>
        <v>-</v>
      </c>
      <c r="BS163" s="466" t="str">
        <f>IF('Design Fee'!EH165&gt;0,"✔","-")</f>
        <v>-</v>
      </c>
      <c r="BT163" s="383"/>
      <c r="BU163" s="444" t="str">
        <f>IF('Design Fee'!EJ165&gt;0,"✔","-")</f>
        <v>-</v>
      </c>
      <c r="BV163" s="444" t="str">
        <f>IF('Design Fee'!EK165&gt;0,"✔","-")</f>
        <v>-</v>
      </c>
      <c r="BW163" s="444" t="str">
        <f>IF('Design Fee'!EL165&gt;0,"✔","-")</f>
        <v>-</v>
      </c>
      <c r="BX163" s="444" t="str">
        <f>IF('Design Fee'!EM165&gt;0,"✔","-")</f>
        <v>-</v>
      </c>
      <c r="BY163" s="444" t="str">
        <f>IF('Design Fee'!EN165&gt;0,"✔","-")</f>
        <v>-</v>
      </c>
      <c r="BZ163" s="383"/>
    </row>
    <row r="164" spans="2:78" ht="12.75" outlineLevel="2">
      <c r="B164" s="483">
        <v>2.5</v>
      </c>
      <c r="C164" s="484">
        <v>2.5</v>
      </c>
      <c r="D164" s="485" t="s">
        <v>165</v>
      </c>
      <c r="E164" s="383"/>
      <c r="F164" s="408"/>
      <c r="G164" s="444"/>
      <c r="H164" s="444"/>
      <c r="I164" s="444"/>
      <c r="J164" s="430"/>
      <c r="K164" s="479"/>
      <c r="L164" s="479"/>
      <c r="M164" s="443" t="str">
        <f>IF('Design Fee'!W166&gt;0,"✔","-")</f>
        <v>-</v>
      </c>
      <c r="N164" s="443" t="str">
        <f>IF('Design Fee'!X166&gt;0,"✔","-")</f>
        <v>-</v>
      </c>
      <c r="O164" s="444" t="str">
        <f>IF('Design Fee'!Y166&gt;0,"✔","-")</f>
        <v>-</v>
      </c>
      <c r="P164" s="444" t="str">
        <f>IF('Design Fee'!Z166&gt;0,"✔","-")</f>
        <v>-</v>
      </c>
      <c r="Q164" s="444" t="str">
        <f>IF('Design Fee'!AA166&gt;0,"✔","-")</f>
        <v>-</v>
      </c>
      <c r="R164" s="444" t="str">
        <f>IF('Design Fee'!AB166&gt;0,"✔","-")</f>
        <v>-</v>
      </c>
      <c r="S164" s="444" t="str">
        <f>IF('Design Fee'!AC166&gt;0,"✔","-")</f>
        <v>-</v>
      </c>
      <c r="T164" s="466" t="str">
        <f>IF('Design Fee'!AD166&gt;0,"✔","-")</f>
        <v>-</v>
      </c>
      <c r="U164" s="430"/>
      <c r="V164" s="444" t="str">
        <f>IF('Design Fee'!AF166&gt;0,"✔","-")</f>
        <v>-</v>
      </c>
      <c r="W164" s="444" t="str">
        <f>IF('Design Fee'!AG166&gt;0,"✔","-")</f>
        <v>-</v>
      </c>
      <c r="X164" s="444" t="str">
        <f>IF('Design Fee'!AH166&gt;0,"✔","-")</f>
        <v>-</v>
      </c>
      <c r="Y164" s="444" t="str">
        <f>IF('Design Fee'!AI166&gt;0,"✔","-")</f>
        <v>-</v>
      </c>
      <c r="Z164" s="444" t="str">
        <f>IF('Design Fee'!AJ166&gt;0,"✔","-")</f>
        <v>-</v>
      </c>
      <c r="AA164" s="430"/>
      <c r="AB164" s="479"/>
      <c r="AC164" s="479"/>
      <c r="AD164" s="443"/>
      <c r="AE164" s="443"/>
      <c r="AF164" s="444"/>
      <c r="AG164" s="444" t="str">
        <f>IF('Design Fee'!BJ166&gt;0,"✔","-")</f>
        <v>-</v>
      </c>
      <c r="AH164" s="444" t="str">
        <f>IF('Design Fee'!BK166&gt;0,"✔","-")</f>
        <v>-</v>
      </c>
      <c r="AI164" s="444" t="str">
        <f>IF('Design Fee'!BL166&gt;0,"✔","-")</f>
        <v>-</v>
      </c>
      <c r="AJ164" s="444" t="str">
        <f>IF('Design Fee'!BM166&gt;0,"✔","-")</f>
        <v>-</v>
      </c>
      <c r="AK164" s="466" t="str">
        <f>IF('Design Fee'!BN166&gt;0,"✔","-")</f>
        <v>-</v>
      </c>
      <c r="AL164" s="479"/>
      <c r="AM164" s="444" t="str">
        <f>IF('Design Fee'!BP166&gt;0,"✔","-")</f>
        <v>-</v>
      </c>
      <c r="AN164" s="444" t="str">
        <f>IF('Design Fee'!BQ166&gt;0,"✔","-")</f>
        <v>-</v>
      </c>
      <c r="AO164" s="444" t="str">
        <f>IF('Design Fee'!BR166&gt;0,"✔","-")</f>
        <v>-</v>
      </c>
      <c r="AP164" s="444" t="str">
        <f>IF('Design Fee'!BS166&gt;0,"✔","-")</f>
        <v>-</v>
      </c>
      <c r="AQ164" s="444" t="str">
        <f>IF('Design Fee'!BT166&gt;0,"✔","-")</f>
        <v>-</v>
      </c>
      <c r="AR164" s="479"/>
      <c r="AS164" s="479"/>
      <c r="AT164" s="479"/>
      <c r="AU164" s="443" t="str">
        <f>IF('Design Fee'!CQ166&gt;0,"✔","-")</f>
        <v>-</v>
      </c>
      <c r="AV164" s="443" t="str">
        <f>IF('Design Fee'!CR166&gt;0,"✔","-")</f>
        <v>-</v>
      </c>
      <c r="AW164" s="444" t="str">
        <f>IF('Design Fee'!CS166&gt;0,"✔","-")</f>
        <v>-</v>
      </c>
      <c r="AX164" s="444" t="str">
        <f>IF('Design Fee'!CT166&gt;0,"✔","-")</f>
        <v>-</v>
      </c>
      <c r="AY164" s="444" t="str">
        <f>IF('Design Fee'!CU166&gt;0,"✔","-")</f>
        <v>-</v>
      </c>
      <c r="AZ164" s="444" t="str">
        <f>IF('Design Fee'!CV166&gt;0,"✔","-")</f>
        <v>-</v>
      </c>
      <c r="BA164" s="444" t="str">
        <f>IF('Design Fee'!CW166&gt;0,"✔","-")</f>
        <v>-</v>
      </c>
      <c r="BB164" s="466" t="str">
        <f>IF('Design Fee'!CX166&gt;0,"✔","-")</f>
        <v>-</v>
      </c>
      <c r="BC164" s="479"/>
      <c r="BD164" s="444" t="str">
        <f>IF('Design Fee'!CZ166&gt;0,"✔","-")</f>
        <v>-</v>
      </c>
      <c r="BE164" s="444" t="str">
        <f>IF('Design Fee'!DA166&gt;0,"✔","-")</f>
        <v>-</v>
      </c>
      <c r="BF164" s="444" t="str">
        <f>IF('Design Fee'!DB166&gt;0,"✔","-")</f>
        <v>-</v>
      </c>
      <c r="BG164" s="444" t="str">
        <f>IF('Design Fee'!DC166&gt;0,"✔","-")</f>
        <v>-</v>
      </c>
      <c r="BH164" s="444" t="str">
        <f>IF('Design Fee'!DD166&gt;0,"✔","-")</f>
        <v>-</v>
      </c>
      <c r="BI164" s="479"/>
      <c r="BJ164" s="479"/>
      <c r="BK164" s="479"/>
      <c r="BL164" s="443" t="str">
        <f>IF('Design Fee'!EA166&gt;0,"✔","-")</f>
        <v>-</v>
      </c>
      <c r="BM164" s="443" t="str">
        <f>IF('Design Fee'!EB166&gt;0,"✔","-")</f>
        <v>-</v>
      </c>
      <c r="BN164" s="444" t="str">
        <f>IF('Design Fee'!EC166&gt;0,"✔","-")</f>
        <v>-</v>
      </c>
      <c r="BO164" s="444" t="str">
        <f>IF('Design Fee'!ED166&gt;0,"✔","-")</f>
        <v>-</v>
      </c>
      <c r="BP164" s="444" t="str">
        <f>IF('Design Fee'!EE166&gt;0,"✔","-")</f>
        <v>-</v>
      </c>
      <c r="BQ164" s="444" t="str">
        <f>IF('Design Fee'!EF166&gt;0,"✔","-")</f>
        <v>-</v>
      </c>
      <c r="BR164" s="444" t="str">
        <f>IF('Design Fee'!EG166&gt;0,"✔","-")</f>
        <v>-</v>
      </c>
      <c r="BS164" s="466" t="str">
        <f>IF('Design Fee'!EH166&gt;0,"✔","-")</f>
        <v>-</v>
      </c>
      <c r="BT164" s="383"/>
      <c r="BU164" s="444" t="str">
        <f>IF('Design Fee'!EJ166&gt;0,"✔","-")</f>
        <v>-</v>
      </c>
      <c r="BV164" s="444" t="str">
        <f>IF('Design Fee'!EK166&gt;0,"✔","-")</f>
        <v>-</v>
      </c>
      <c r="BW164" s="444" t="str">
        <f>IF('Design Fee'!EL166&gt;0,"✔","-")</f>
        <v>-</v>
      </c>
      <c r="BX164" s="444" t="str">
        <f>IF('Design Fee'!EM166&gt;0,"✔","-")</f>
        <v>-</v>
      </c>
      <c r="BY164" s="444" t="str">
        <f>IF('Design Fee'!EN166&gt;0,"✔","-")</f>
        <v>-</v>
      </c>
      <c r="BZ164" s="383"/>
    </row>
    <row r="165" spans="2:78" ht="12.75" outlineLevel="3">
      <c r="B165" s="463" t="s">
        <v>158</v>
      </c>
      <c r="C165" s="464">
        <v>1</v>
      </c>
      <c r="D165" s="465" t="s">
        <v>152</v>
      </c>
      <c r="E165" s="383"/>
      <c r="F165" s="443">
        <f t="shared" ref="F165:H166" si="543">COUNTIF(M165,"✔")+COUNTIF(AD165,"✔")+COUNTIF(BL165,"✔")+COUNTIF(AU165,"✔")</f>
        <v>1</v>
      </c>
      <c r="G165" s="444">
        <f t="shared" si="543"/>
        <v>1</v>
      </c>
      <c r="H165" s="444">
        <f t="shared" si="543"/>
        <v>1</v>
      </c>
      <c r="I165" s="444">
        <f t="shared" ref="I165:I166" si="544">F165-G165</f>
        <v>0</v>
      </c>
      <c r="J165" s="430"/>
      <c r="K165" s="449"/>
      <c r="L165" s="442"/>
      <c r="M165" s="443" t="str">
        <f>IF('Design Fee'!W167&gt;0,"✔","-")</f>
        <v>-</v>
      </c>
      <c r="N165" s="443" t="str">
        <f>IF('Design Fee'!X167&gt;0,"✔","-")</f>
        <v>-</v>
      </c>
      <c r="O165" s="444" t="str">
        <f>IF('Design Fee'!Y167&gt;0,"✔","-")</f>
        <v>-</v>
      </c>
      <c r="P165" s="444" t="str">
        <f>IF('Design Fee'!Z167&gt;0,"✔","-")</f>
        <v>-</v>
      </c>
      <c r="Q165" s="444" t="str">
        <f>IF('Design Fee'!AA167&gt;0,"✔","-")</f>
        <v>-</v>
      </c>
      <c r="R165" s="444" t="str">
        <f>IF('Design Fee'!AB167&gt;0,"✔","-")</f>
        <v>-</v>
      </c>
      <c r="S165" s="444" t="str">
        <f>IF('Design Fee'!AC167&gt;0,"✔","-")</f>
        <v>-</v>
      </c>
      <c r="T165" s="466" t="str">
        <f>IF('Design Fee'!AD167&gt;0,"✔","-")</f>
        <v>-</v>
      </c>
      <c r="U165" s="430"/>
      <c r="V165" s="444" t="str">
        <f>IF('Design Fee'!AF167&gt;0,"✔","-")</f>
        <v>-</v>
      </c>
      <c r="W165" s="444" t="str">
        <f>IF('Design Fee'!AG167&gt;0,"✔","-")</f>
        <v>-</v>
      </c>
      <c r="X165" s="444" t="str">
        <f>IF('Design Fee'!AH167&gt;0,"✔","-")</f>
        <v>-</v>
      </c>
      <c r="Y165" s="444" t="str">
        <f>IF('Design Fee'!AI167&gt;0,"✔","-")</f>
        <v>-</v>
      </c>
      <c r="Z165" s="444" t="str">
        <f>IF('Design Fee'!AJ167&gt;0,"✔","-")</f>
        <v>-</v>
      </c>
      <c r="AA165" s="430"/>
      <c r="AB165" s="449"/>
      <c r="AC165" s="442"/>
      <c r="AD165" s="443" t="str">
        <f>IF('Design Fee'!BG167&gt;0,"✔","-")</f>
        <v>✔</v>
      </c>
      <c r="AE165" s="443" t="str">
        <f>IF('Design Fee'!BH167&gt;0,"✔","-")</f>
        <v>✔</v>
      </c>
      <c r="AF165" s="444" t="str">
        <f>IF('Design Fee'!BI167&gt;0,"✔","-")</f>
        <v>✔</v>
      </c>
      <c r="AG165" s="444" t="str">
        <f>IF('Design Fee'!BJ167&gt;0,"✔","-")</f>
        <v>-</v>
      </c>
      <c r="AH165" s="444" t="str">
        <f>IF('Design Fee'!BK167&gt;0,"✔","-")</f>
        <v>-</v>
      </c>
      <c r="AI165" s="444" t="str">
        <f>IF('Design Fee'!BL167&gt;0,"✔","-")</f>
        <v>-</v>
      </c>
      <c r="AJ165" s="444" t="str">
        <f>IF('Design Fee'!BM167&gt;0,"✔","-")</f>
        <v>-</v>
      </c>
      <c r="AK165" s="466" t="str">
        <f>IF('Design Fee'!BN167&gt;0,"✔","-")</f>
        <v>-</v>
      </c>
      <c r="AL165" s="445"/>
      <c r="AM165" s="444" t="str">
        <f>IF('Design Fee'!BP167&gt;0,"✔","-")</f>
        <v>-</v>
      </c>
      <c r="AN165" s="444" t="str">
        <f>IF('Design Fee'!BQ167&gt;0,"✔","-")</f>
        <v>-</v>
      </c>
      <c r="AO165" s="444" t="str">
        <f>IF('Design Fee'!BR167&gt;0,"✔","-")</f>
        <v>-</v>
      </c>
      <c r="AP165" s="444" t="str">
        <f>IF('Design Fee'!BS167&gt;0,"✔","-")</f>
        <v>-</v>
      </c>
      <c r="AQ165" s="444" t="str">
        <f>IF('Design Fee'!BT167&gt;0,"✔","-")</f>
        <v>-</v>
      </c>
      <c r="AR165" s="445"/>
      <c r="AS165" s="449"/>
      <c r="AT165" s="442"/>
      <c r="AU165" s="443" t="str">
        <f>IF('Design Fee'!CQ167&gt;0,"✔","-")</f>
        <v>-</v>
      </c>
      <c r="AV165" s="443" t="str">
        <f>IF('Design Fee'!CR167&gt;0,"✔","-")</f>
        <v>-</v>
      </c>
      <c r="AW165" s="444" t="str">
        <f>IF('Design Fee'!CS167&gt;0,"✔","-")</f>
        <v>-</v>
      </c>
      <c r="AX165" s="444" t="str">
        <f>IF('Design Fee'!CT167&gt;0,"✔","-")</f>
        <v>-</v>
      </c>
      <c r="AY165" s="444" t="str">
        <f>IF('Design Fee'!CU167&gt;0,"✔","-")</f>
        <v>-</v>
      </c>
      <c r="AZ165" s="444" t="str">
        <f>IF('Design Fee'!CV167&gt;0,"✔","-")</f>
        <v>-</v>
      </c>
      <c r="BA165" s="444" t="str">
        <f>IF('Design Fee'!CW167&gt;0,"✔","-")</f>
        <v>-</v>
      </c>
      <c r="BB165" s="466" t="str">
        <f>IF('Design Fee'!CX167&gt;0,"✔","-")</f>
        <v>-</v>
      </c>
      <c r="BC165" s="445"/>
      <c r="BD165" s="444" t="str">
        <f>IF('Design Fee'!CZ167&gt;0,"✔","-")</f>
        <v>-</v>
      </c>
      <c r="BE165" s="444" t="str">
        <f>IF('Design Fee'!DA167&gt;0,"✔","-")</f>
        <v>-</v>
      </c>
      <c r="BF165" s="444" t="str">
        <f>IF('Design Fee'!DB167&gt;0,"✔","-")</f>
        <v>-</v>
      </c>
      <c r="BG165" s="444" t="str">
        <f>IF('Design Fee'!DC167&gt;0,"✔","-")</f>
        <v>-</v>
      </c>
      <c r="BH165" s="444" t="str">
        <f>IF('Design Fee'!DD167&gt;0,"✔","-")</f>
        <v>-</v>
      </c>
      <c r="BI165" s="445"/>
      <c r="BJ165" s="449"/>
      <c r="BK165" s="442"/>
      <c r="BL165" s="443" t="str">
        <f>IF('Design Fee'!EA167&gt;0,"✔","-")</f>
        <v>-</v>
      </c>
      <c r="BM165" s="443" t="str">
        <f>IF('Design Fee'!EB167&gt;0,"✔","-")</f>
        <v>-</v>
      </c>
      <c r="BN165" s="444" t="str">
        <f>IF('Design Fee'!EC167&gt;0,"✔","-")</f>
        <v>-</v>
      </c>
      <c r="BO165" s="444" t="str">
        <f>IF('Design Fee'!ED167&gt;0,"✔","-")</f>
        <v>-</v>
      </c>
      <c r="BP165" s="444" t="str">
        <f>IF('Design Fee'!EE167&gt;0,"✔","-")</f>
        <v>-</v>
      </c>
      <c r="BQ165" s="444" t="str">
        <f>IF('Design Fee'!EF167&gt;0,"✔","-")</f>
        <v>-</v>
      </c>
      <c r="BR165" s="444" t="str">
        <f>IF('Design Fee'!EG167&gt;0,"✔","-")</f>
        <v>-</v>
      </c>
      <c r="BS165" s="466" t="str">
        <f>IF('Design Fee'!EH167&gt;0,"✔","-")</f>
        <v>-</v>
      </c>
      <c r="BT165" s="383"/>
      <c r="BU165" s="444" t="str">
        <f>IF('Design Fee'!EJ167&gt;0,"✔","-")</f>
        <v>-</v>
      </c>
      <c r="BV165" s="444" t="str">
        <f>IF('Design Fee'!EK167&gt;0,"✔","-")</f>
        <v>-</v>
      </c>
      <c r="BW165" s="444" t="str">
        <f>IF('Design Fee'!EL167&gt;0,"✔","-")</f>
        <v>-</v>
      </c>
      <c r="BX165" s="444" t="str">
        <f>IF('Design Fee'!EM167&gt;0,"✔","-")</f>
        <v>-</v>
      </c>
      <c r="BY165" s="444" t="str">
        <f>IF('Design Fee'!EN167&gt;0,"✔","-")</f>
        <v>-</v>
      </c>
      <c r="BZ165" s="383"/>
    </row>
    <row r="166" spans="2:78" ht="12.75" outlineLevel="3">
      <c r="B166" s="463" t="s">
        <v>159</v>
      </c>
      <c r="C166" s="464">
        <v>2</v>
      </c>
      <c r="D166" s="465" t="s">
        <v>154</v>
      </c>
      <c r="E166" s="383"/>
      <c r="F166" s="443">
        <f t="shared" si="543"/>
        <v>1</v>
      </c>
      <c r="G166" s="444">
        <f t="shared" si="543"/>
        <v>1</v>
      </c>
      <c r="H166" s="444">
        <f t="shared" si="543"/>
        <v>1</v>
      </c>
      <c r="I166" s="444">
        <f t="shared" si="544"/>
        <v>0</v>
      </c>
      <c r="J166" s="430"/>
      <c r="K166" s="449"/>
      <c r="L166" s="442"/>
      <c r="M166" s="443" t="str">
        <f>IF('Design Fee'!W168&gt;0,"✔","-")</f>
        <v>-</v>
      </c>
      <c r="N166" s="443" t="str">
        <f>IF('Design Fee'!X168&gt;0,"✔","-")</f>
        <v>-</v>
      </c>
      <c r="O166" s="444" t="str">
        <f>IF('Design Fee'!Y168&gt;0,"✔","-")</f>
        <v>-</v>
      </c>
      <c r="P166" s="444" t="str">
        <f>IF('Design Fee'!Z168&gt;0,"✔","-")</f>
        <v>-</v>
      </c>
      <c r="Q166" s="444" t="str">
        <f>IF('Design Fee'!AA168&gt;0,"✔","-")</f>
        <v>-</v>
      </c>
      <c r="R166" s="444" t="str">
        <f>IF('Design Fee'!AB168&gt;0,"✔","-")</f>
        <v>-</v>
      </c>
      <c r="S166" s="444" t="str">
        <f>IF('Design Fee'!AC168&gt;0,"✔","-")</f>
        <v>-</v>
      </c>
      <c r="T166" s="466" t="str">
        <f>IF('Design Fee'!AD168&gt;0,"✔","-")</f>
        <v>-</v>
      </c>
      <c r="U166" s="430"/>
      <c r="V166" s="444" t="str">
        <f>IF('Design Fee'!AF168&gt;0,"✔","-")</f>
        <v>-</v>
      </c>
      <c r="W166" s="444" t="str">
        <f>IF('Design Fee'!AG168&gt;0,"✔","-")</f>
        <v>-</v>
      </c>
      <c r="X166" s="444" t="str">
        <f>IF('Design Fee'!AH168&gt;0,"✔","-")</f>
        <v>-</v>
      </c>
      <c r="Y166" s="444" t="str">
        <f>IF('Design Fee'!AI168&gt;0,"✔","-")</f>
        <v>-</v>
      </c>
      <c r="Z166" s="444" t="str">
        <f>IF('Design Fee'!AJ168&gt;0,"✔","-")</f>
        <v>-</v>
      </c>
      <c r="AA166" s="430"/>
      <c r="AB166" s="449"/>
      <c r="AC166" s="442"/>
      <c r="AD166" s="443" t="str">
        <f>IF('Design Fee'!BG168&gt;0,"✔","-")</f>
        <v>✔</v>
      </c>
      <c r="AE166" s="443" t="str">
        <f>IF('Design Fee'!BH168&gt;0,"✔","-")</f>
        <v>✔</v>
      </c>
      <c r="AF166" s="444" t="str">
        <f>IF('Design Fee'!BI168&gt;0,"✔","-")</f>
        <v>✔</v>
      </c>
      <c r="AG166" s="444" t="str">
        <f>IF('Design Fee'!BJ168&gt;0,"✔","-")</f>
        <v>-</v>
      </c>
      <c r="AH166" s="444" t="str">
        <f>IF('Design Fee'!BK168&gt;0,"✔","-")</f>
        <v>-</v>
      </c>
      <c r="AI166" s="444" t="str">
        <f>IF('Design Fee'!BL168&gt;0,"✔","-")</f>
        <v>-</v>
      </c>
      <c r="AJ166" s="444" t="str">
        <f>IF('Design Fee'!BM168&gt;0,"✔","-")</f>
        <v>-</v>
      </c>
      <c r="AK166" s="466" t="str">
        <f>IF('Design Fee'!BN168&gt;0,"✔","-")</f>
        <v>-</v>
      </c>
      <c r="AL166" s="445"/>
      <c r="AM166" s="444" t="str">
        <f>IF('Design Fee'!BP168&gt;0,"✔","-")</f>
        <v>-</v>
      </c>
      <c r="AN166" s="444" t="str">
        <f>IF('Design Fee'!BQ168&gt;0,"✔","-")</f>
        <v>-</v>
      </c>
      <c r="AO166" s="444" t="str">
        <f>IF('Design Fee'!BR168&gt;0,"✔","-")</f>
        <v>-</v>
      </c>
      <c r="AP166" s="444" t="str">
        <f>IF('Design Fee'!BS168&gt;0,"✔","-")</f>
        <v>-</v>
      </c>
      <c r="AQ166" s="444" t="str">
        <f>IF('Design Fee'!BT168&gt;0,"✔","-")</f>
        <v>-</v>
      </c>
      <c r="AR166" s="445"/>
      <c r="AS166" s="449"/>
      <c r="AT166" s="442"/>
      <c r="AU166" s="443" t="str">
        <f>IF('Design Fee'!CQ168&gt;0,"✔","-")</f>
        <v>-</v>
      </c>
      <c r="AV166" s="443" t="str">
        <f>IF('Design Fee'!CR168&gt;0,"✔","-")</f>
        <v>-</v>
      </c>
      <c r="AW166" s="444" t="str">
        <f>IF('Design Fee'!CS168&gt;0,"✔","-")</f>
        <v>-</v>
      </c>
      <c r="AX166" s="444" t="str">
        <f>IF('Design Fee'!CT168&gt;0,"✔","-")</f>
        <v>-</v>
      </c>
      <c r="AY166" s="444" t="str">
        <f>IF('Design Fee'!CU168&gt;0,"✔","-")</f>
        <v>-</v>
      </c>
      <c r="AZ166" s="444" t="str">
        <f>IF('Design Fee'!CV168&gt;0,"✔","-")</f>
        <v>-</v>
      </c>
      <c r="BA166" s="444" t="str">
        <f>IF('Design Fee'!CW168&gt;0,"✔","-")</f>
        <v>-</v>
      </c>
      <c r="BB166" s="466" t="str">
        <f>IF('Design Fee'!CX168&gt;0,"✔","-")</f>
        <v>-</v>
      </c>
      <c r="BC166" s="445"/>
      <c r="BD166" s="444" t="str">
        <f>IF('Design Fee'!CZ168&gt;0,"✔","-")</f>
        <v>-</v>
      </c>
      <c r="BE166" s="444" t="str">
        <f>IF('Design Fee'!DA168&gt;0,"✔","-")</f>
        <v>-</v>
      </c>
      <c r="BF166" s="444" t="str">
        <f>IF('Design Fee'!DB168&gt;0,"✔","-")</f>
        <v>-</v>
      </c>
      <c r="BG166" s="444" t="str">
        <f>IF('Design Fee'!DC168&gt;0,"✔","-")</f>
        <v>-</v>
      </c>
      <c r="BH166" s="444" t="str">
        <f>IF('Design Fee'!DD168&gt;0,"✔","-")</f>
        <v>-</v>
      </c>
      <c r="BI166" s="445"/>
      <c r="BJ166" s="449"/>
      <c r="BK166" s="442"/>
      <c r="BL166" s="443" t="str">
        <f>IF('Design Fee'!EA168&gt;0,"✔","-")</f>
        <v>-</v>
      </c>
      <c r="BM166" s="443" t="str">
        <f>IF('Design Fee'!EB168&gt;0,"✔","-")</f>
        <v>-</v>
      </c>
      <c r="BN166" s="444" t="str">
        <f>IF('Design Fee'!EC168&gt;0,"✔","-")</f>
        <v>-</v>
      </c>
      <c r="BO166" s="444" t="str">
        <f>IF('Design Fee'!ED168&gt;0,"✔","-")</f>
        <v>-</v>
      </c>
      <c r="BP166" s="444" t="str">
        <f>IF('Design Fee'!EE168&gt;0,"✔","-")</f>
        <v>-</v>
      </c>
      <c r="BQ166" s="444" t="str">
        <f>IF('Design Fee'!EF168&gt;0,"✔","-")</f>
        <v>-</v>
      </c>
      <c r="BR166" s="444" t="str">
        <f>IF('Design Fee'!EG168&gt;0,"✔","-")</f>
        <v>-</v>
      </c>
      <c r="BS166" s="466" t="str">
        <f>IF('Design Fee'!EH168&gt;0,"✔","-")</f>
        <v>-</v>
      </c>
      <c r="BT166" s="383"/>
      <c r="BU166" s="444" t="str">
        <f>IF('Design Fee'!EJ168&gt;0,"✔","-")</f>
        <v>-</v>
      </c>
      <c r="BV166" s="444" t="str">
        <f>IF('Design Fee'!EK168&gt;0,"✔","-")</f>
        <v>-</v>
      </c>
      <c r="BW166" s="444" t="str">
        <f>IF('Design Fee'!EL168&gt;0,"✔","-")</f>
        <v>-</v>
      </c>
      <c r="BX166" s="444" t="str">
        <f>IF('Design Fee'!EM168&gt;0,"✔","-")</f>
        <v>-</v>
      </c>
      <c r="BY166" s="444" t="str">
        <f>IF('Design Fee'!EN168&gt;0,"✔","-")</f>
        <v>-</v>
      </c>
      <c r="BZ166" s="383"/>
    </row>
    <row r="167" spans="2:78" ht="12.75" outlineLevel="2">
      <c r="B167" s="483"/>
      <c r="C167" s="484"/>
      <c r="D167" s="465"/>
      <c r="E167" s="383"/>
      <c r="F167" s="443"/>
      <c r="G167" s="444"/>
      <c r="H167" s="444"/>
      <c r="I167" s="444"/>
      <c r="J167" s="430"/>
      <c r="K167" s="441"/>
      <c r="L167" s="442"/>
      <c r="M167" s="443" t="str">
        <f>IF('Design Fee'!W169&gt;0,"✔","-")</f>
        <v>-</v>
      </c>
      <c r="N167" s="443" t="str">
        <f>IF('Design Fee'!X169&gt;0,"✔","-")</f>
        <v>-</v>
      </c>
      <c r="O167" s="444" t="str">
        <f>IF('Design Fee'!Y169&gt;0,"✔","-")</f>
        <v>-</v>
      </c>
      <c r="P167" s="444" t="str">
        <f>IF('Design Fee'!Z169&gt;0,"✔","-")</f>
        <v>-</v>
      </c>
      <c r="Q167" s="444" t="str">
        <f>IF('Design Fee'!AA169&gt;0,"✔","-")</f>
        <v>-</v>
      </c>
      <c r="R167" s="444" t="str">
        <f>IF('Design Fee'!AB169&gt;0,"✔","-")</f>
        <v>-</v>
      </c>
      <c r="S167" s="444" t="str">
        <f>IF('Design Fee'!AC169&gt;0,"✔","-")</f>
        <v>-</v>
      </c>
      <c r="T167" s="466" t="str">
        <f>IF('Design Fee'!AD169&gt;0,"✔","-")</f>
        <v>-</v>
      </c>
      <c r="U167" s="430"/>
      <c r="V167" s="444" t="str">
        <f>IF('Design Fee'!AF169&gt;0,"✔","-")</f>
        <v>-</v>
      </c>
      <c r="W167" s="444" t="str">
        <f>IF('Design Fee'!AG169&gt;0,"✔","-")</f>
        <v>-</v>
      </c>
      <c r="X167" s="444" t="str">
        <f>IF('Design Fee'!AH169&gt;0,"✔","-")</f>
        <v>-</v>
      </c>
      <c r="Y167" s="444" t="str">
        <f>IF('Design Fee'!AI169&gt;0,"✔","-")</f>
        <v>-</v>
      </c>
      <c r="Z167" s="444" t="str">
        <f>IF('Design Fee'!AJ169&gt;0,"✔","-")</f>
        <v>-</v>
      </c>
      <c r="AA167" s="430"/>
      <c r="AB167" s="441"/>
      <c r="AC167" s="442"/>
      <c r="AD167" s="443" t="str">
        <f>IF('Design Fee'!BG169&gt;0,"✔","-")</f>
        <v>-</v>
      </c>
      <c r="AE167" s="443" t="str">
        <f>IF('Design Fee'!BH169&gt;0,"✔","-")</f>
        <v>-</v>
      </c>
      <c r="AF167" s="444" t="str">
        <f>IF('Design Fee'!BI169&gt;0,"✔","-")</f>
        <v>-</v>
      </c>
      <c r="AG167" s="444" t="str">
        <f>IF('Design Fee'!BJ169&gt;0,"✔","-")</f>
        <v>-</v>
      </c>
      <c r="AH167" s="444" t="str">
        <f>IF('Design Fee'!BK169&gt;0,"✔","-")</f>
        <v>-</v>
      </c>
      <c r="AI167" s="444" t="str">
        <f>IF('Design Fee'!BL169&gt;0,"✔","-")</f>
        <v>-</v>
      </c>
      <c r="AJ167" s="444" t="str">
        <f>IF('Design Fee'!BM169&gt;0,"✔","-")</f>
        <v>-</v>
      </c>
      <c r="AK167" s="466" t="str">
        <f>IF('Design Fee'!BN169&gt;0,"✔","-")</f>
        <v>-</v>
      </c>
      <c r="AL167" s="445"/>
      <c r="AM167" s="444" t="str">
        <f>IF('Design Fee'!BP169&gt;0,"✔","-")</f>
        <v>-</v>
      </c>
      <c r="AN167" s="444" t="str">
        <f>IF('Design Fee'!BQ169&gt;0,"✔","-")</f>
        <v>-</v>
      </c>
      <c r="AO167" s="444" t="str">
        <f>IF('Design Fee'!BR169&gt;0,"✔","-")</f>
        <v>-</v>
      </c>
      <c r="AP167" s="444" t="str">
        <f>IF('Design Fee'!BS169&gt;0,"✔","-")</f>
        <v>-</v>
      </c>
      <c r="AQ167" s="444" t="str">
        <f>IF('Design Fee'!BT169&gt;0,"✔","-")</f>
        <v>-</v>
      </c>
      <c r="AR167" s="445"/>
      <c r="AS167" s="441"/>
      <c r="AT167" s="442"/>
      <c r="AU167" s="443" t="str">
        <f>IF('Design Fee'!CQ169&gt;0,"✔","-")</f>
        <v>-</v>
      </c>
      <c r="AV167" s="443" t="str">
        <f>IF('Design Fee'!CR169&gt;0,"✔","-")</f>
        <v>-</v>
      </c>
      <c r="AW167" s="444" t="str">
        <f>IF('Design Fee'!CS169&gt;0,"✔","-")</f>
        <v>-</v>
      </c>
      <c r="AX167" s="444" t="str">
        <f>IF('Design Fee'!CT169&gt;0,"✔","-")</f>
        <v>-</v>
      </c>
      <c r="AY167" s="444" t="str">
        <f>IF('Design Fee'!CU169&gt;0,"✔","-")</f>
        <v>-</v>
      </c>
      <c r="AZ167" s="444" t="str">
        <f>IF('Design Fee'!CV169&gt;0,"✔","-")</f>
        <v>-</v>
      </c>
      <c r="BA167" s="444" t="str">
        <f>IF('Design Fee'!CW169&gt;0,"✔","-")</f>
        <v>-</v>
      </c>
      <c r="BB167" s="466" t="str">
        <f>IF('Design Fee'!CX169&gt;0,"✔","-")</f>
        <v>-</v>
      </c>
      <c r="BC167" s="445"/>
      <c r="BD167" s="444" t="str">
        <f>IF('Design Fee'!CZ169&gt;0,"✔","-")</f>
        <v>-</v>
      </c>
      <c r="BE167" s="444" t="str">
        <f>IF('Design Fee'!DA169&gt;0,"✔","-")</f>
        <v>-</v>
      </c>
      <c r="BF167" s="444" t="str">
        <f>IF('Design Fee'!DB169&gt;0,"✔","-")</f>
        <v>-</v>
      </c>
      <c r="BG167" s="444" t="str">
        <f>IF('Design Fee'!DC169&gt;0,"✔","-")</f>
        <v>-</v>
      </c>
      <c r="BH167" s="444" t="str">
        <f>IF('Design Fee'!DD169&gt;0,"✔","-")</f>
        <v>-</v>
      </c>
      <c r="BI167" s="445"/>
      <c r="BJ167" s="441"/>
      <c r="BK167" s="442"/>
      <c r="BL167" s="443" t="str">
        <f>IF('Design Fee'!EA169&gt;0,"✔","-")</f>
        <v>-</v>
      </c>
      <c r="BM167" s="443" t="str">
        <f>IF('Design Fee'!EB169&gt;0,"✔","-")</f>
        <v>-</v>
      </c>
      <c r="BN167" s="444" t="str">
        <f>IF('Design Fee'!EC169&gt;0,"✔","-")</f>
        <v>-</v>
      </c>
      <c r="BO167" s="444" t="str">
        <f>IF('Design Fee'!ED169&gt;0,"✔","-")</f>
        <v>-</v>
      </c>
      <c r="BP167" s="444" t="str">
        <f>IF('Design Fee'!EE169&gt;0,"✔","-")</f>
        <v>-</v>
      </c>
      <c r="BQ167" s="444" t="str">
        <f>IF('Design Fee'!EF169&gt;0,"✔","-")</f>
        <v>-</v>
      </c>
      <c r="BR167" s="444" t="str">
        <f>IF('Design Fee'!EG169&gt;0,"✔","-")</f>
        <v>-</v>
      </c>
      <c r="BS167" s="466" t="str">
        <f>IF('Design Fee'!EH169&gt;0,"✔","-")</f>
        <v>-</v>
      </c>
      <c r="BT167" s="383"/>
      <c r="BU167" s="444" t="str">
        <f>IF('Design Fee'!EJ169&gt;0,"✔","-")</f>
        <v>-</v>
      </c>
      <c r="BV167" s="444" t="str">
        <f>IF('Design Fee'!EK169&gt;0,"✔","-")</f>
        <v>-</v>
      </c>
      <c r="BW167" s="444" t="str">
        <f>IF('Design Fee'!EL169&gt;0,"✔","-")</f>
        <v>-</v>
      </c>
      <c r="BX167" s="444" t="str">
        <f>IF('Design Fee'!EM169&gt;0,"✔","-")</f>
        <v>-</v>
      </c>
      <c r="BY167" s="444" t="str">
        <f>IF('Design Fee'!EN169&gt;0,"✔","-")</f>
        <v>-</v>
      </c>
      <c r="BZ167" s="383"/>
    </row>
    <row r="168" spans="2:78" ht="12.75" outlineLevel="2">
      <c r="B168" s="483">
        <v>2.6</v>
      </c>
      <c r="C168" s="484">
        <v>2.6</v>
      </c>
      <c r="D168" s="485" t="s">
        <v>166</v>
      </c>
      <c r="E168" s="383"/>
      <c r="F168" s="408"/>
      <c r="G168" s="444"/>
      <c r="H168" s="444"/>
      <c r="I168" s="444"/>
      <c r="J168" s="430"/>
      <c r="K168" s="479"/>
      <c r="L168" s="479"/>
      <c r="M168" s="443" t="str">
        <f>IF('Design Fee'!W170&gt;0,"✔","-")</f>
        <v>-</v>
      </c>
      <c r="N168" s="443" t="str">
        <f>IF('Design Fee'!X170&gt;0,"✔","-")</f>
        <v>-</v>
      </c>
      <c r="O168" s="444" t="str">
        <f>IF('Design Fee'!Y170&gt;0,"✔","-")</f>
        <v>-</v>
      </c>
      <c r="P168" s="444" t="str">
        <f>IF('Design Fee'!Z170&gt;0,"✔","-")</f>
        <v>-</v>
      </c>
      <c r="Q168" s="444" t="str">
        <f>IF('Design Fee'!AA170&gt;0,"✔","-")</f>
        <v>-</v>
      </c>
      <c r="R168" s="444" t="str">
        <f>IF('Design Fee'!AB170&gt;0,"✔","-")</f>
        <v>-</v>
      </c>
      <c r="S168" s="444" t="str">
        <f>IF('Design Fee'!AC170&gt;0,"✔","-")</f>
        <v>-</v>
      </c>
      <c r="T168" s="466" t="str">
        <f>IF('Design Fee'!AD170&gt;0,"✔","-")</f>
        <v>-</v>
      </c>
      <c r="U168" s="430"/>
      <c r="V168" s="444" t="str">
        <f>IF('Design Fee'!AF170&gt;0,"✔","-")</f>
        <v>-</v>
      </c>
      <c r="W168" s="444" t="str">
        <f>IF('Design Fee'!AG170&gt;0,"✔","-")</f>
        <v>-</v>
      </c>
      <c r="X168" s="444" t="str">
        <f>IF('Design Fee'!AH170&gt;0,"✔","-")</f>
        <v>-</v>
      </c>
      <c r="Y168" s="444" t="str">
        <f>IF('Design Fee'!AI170&gt;0,"✔","-")</f>
        <v>-</v>
      </c>
      <c r="Z168" s="444" t="str">
        <f>IF('Design Fee'!AJ170&gt;0,"✔","-")</f>
        <v>-</v>
      </c>
      <c r="AA168" s="430"/>
      <c r="AB168" s="479"/>
      <c r="AC168" s="479"/>
      <c r="AD168" s="443"/>
      <c r="AE168" s="443"/>
      <c r="AF168" s="444"/>
      <c r="AG168" s="444"/>
      <c r="AH168" s="444" t="str">
        <f>IF('Design Fee'!BK170&gt;0,"✔","-")</f>
        <v>-</v>
      </c>
      <c r="AI168" s="444"/>
      <c r="AJ168" s="444"/>
      <c r="AK168" s="466"/>
      <c r="AL168" s="479"/>
      <c r="AM168" s="444"/>
      <c r="AN168" s="444"/>
      <c r="AO168" s="444"/>
      <c r="AP168" s="444"/>
      <c r="AQ168" s="444"/>
      <c r="AR168" s="479"/>
      <c r="AS168" s="479"/>
      <c r="AT168" s="479"/>
      <c r="AU168" s="443" t="str">
        <f>IF('Design Fee'!CQ170&gt;0,"✔","-")</f>
        <v>-</v>
      </c>
      <c r="AV168" s="443" t="str">
        <f>IF('Design Fee'!CR170&gt;0,"✔","-")</f>
        <v>-</v>
      </c>
      <c r="AW168" s="444" t="str">
        <f>IF('Design Fee'!CS170&gt;0,"✔","-")</f>
        <v>-</v>
      </c>
      <c r="AX168" s="444" t="str">
        <f>IF('Design Fee'!CT170&gt;0,"✔","-")</f>
        <v>-</v>
      </c>
      <c r="AY168" s="444" t="str">
        <f>IF('Design Fee'!CU170&gt;0,"✔","-")</f>
        <v>-</v>
      </c>
      <c r="AZ168" s="444" t="str">
        <f>IF('Design Fee'!CV170&gt;0,"✔","-")</f>
        <v>-</v>
      </c>
      <c r="BA168" s="444" t="str">
        <f>IF('Design Fee'!CW170&gt;0,"✔","-")</f>
        <v>-</v>
      </c>
      <c r="BB168" s="466" t="str">
        <f>IF('Design Fee'!CX170&gt;0,"✔","-")</f>
        <v>-</v>
      </c>
      <c r="BC168" s="479"/>
      <c r="BD168" s="444" t="str">
        <f>IF('Design Fee'!CZ170&gt;0,"✔","-")</f>
        <v>-</v>
      </c>
      <c r="BE168" s="444" t="str">
        <f>IF('Design Fee'!DA170&gt;0,"✔","-")</f>
        <v>-</v>
      </c>
      <c r="BF168" s="444" t="str">
        <f>IF('Design Fee'!DB170&gt;0,"✔","-")</f>
        <v>-</v>
      </c>
      <c r="BG168" s="444" t="str">
        <f>IF('Design Fee'!DC170&gt;0,"✔","-")</f>
        <v>-</v>
      </c>
      <c r="BH168" s="444" t="str">
        <f>IF('Design Fee'!DD170&gt;0,"✔","-")</f>
        <v>-</v>
      </c>
      <c r="BI168" s="479"/>
      <c r="BJ168" s="479"/>
      <c r="BK168" s="479"/>
      <c r="BL168" s="443" t="str">
        <f>IF('Design Fee'!EA170&gt;0,"✔","-")</f>
        <v>-</v>
      </c>
      <c r="BM168" s="443" t="str">
        <f>IF('Design Fee'!EB170&gt;0,"✔","-")</f>
        <v>-</v>
      </c>
      <c r="BN168" s="444" t="str">
        <f>IF('Design Fee'!EC170&gt;0,"✔","-")</f>
        <v>-</v>
      </c>
      <c r="BO168" s="444" t="str">
        <f>IF('Design Fee'!ED170&gt;0,"✔","-")</f>
        <v>-</v>
      </c>
      <c r="BP168" s="444" t="str">
        <f>IF('Design Fee'!EE170&gt;0,"✔","-")</f>
        <v>-</v>
      </c>
      <c r="BQ168" s="444" t="str">
        <f>IF('Design Fee'!EF170&gt;0,"✔","-")</f>
        <v>-</v>
      </c>
      <c r="BR168" s="444" t="str">
        <f>IF('Design Fee'!EG170&gt;0,"✔","-")</f>
        <v>-</v>
      </c>
      <c r="BS168" s="466" t="str">
        <f>IF('Design Fee'!EH170&gt;0,"✔","-")</f>
        <v>-</v>
      </c>
      <c r="BT168" s="383"/>
      <c r="BU168" s="444" t="str">
        <f>IF('Design Fee'!EJ170&gt;0,"✔","-")</f>
        <v>-</v>
      </c>
      <c r="BV168" s="444" t="str">
        <f>IF('Design Fee'!EK170&gt;0,"✔","-")</f>
        <v>-</v>
      </c>
      <c r="BW168" s="444" t="str">
        <f>IF('Design Fee'!EL170&gt;0,"✔","-")</f>
        <v>-</v>
      </c>
      <c r="BX168" s="444" t="str">
        <f>IF('Design Fee'!EM170&gt;0,"✔","-")</f>
        <v>-</v>
      </c>
      <c r="BY168" s="444" t="str">
        <f>IF('Design Fee'!EN170&gt;0,"✔","-")</f>
        <v>-</v>
      </c>
      <c r="BZ168" s="383"/>
    </row>
    <row r="169" spans="2:78" ht="12.75" outlineLevel="3">
      <c r="B169" s="463" t="s">
        <v>158</v>
      </c>
      <c r="C169" s="464">
        <v>1</v>
      </c>
      <c r="D169" s="465" t="s">
        <v>152</v>
      </c>
      <c r="E169" s="383"/>
      <c r="F169" s="443">
        <f t="shared" ref="F169:H170" si="545">COUNTIF(M169,"✔")+COUNTIF(AD169,"✔")+COUNTIF(BL169,"✔")+COUNTIF(AU169,"✔")</f>
        <v>1</v>
      </c>
      <c r="G169" s="444">
        <f t="shared" si="545"/>
        <v>1</v>
      </c>
      <c r="H169" s="444">
        <f t="shared" si="545"/>
        <v>1</v>
      </c>
      <c r="I169" s="444">
        <f t="shared" ref="I169:I170" si="546">F169-G169</f>
        <v>0</v>
      </c>
      <c r="J169" s="430"/>
      <c r="K169" s="449"/>
      <c r="L169" s="442"/>
      <c r="M169" s="443" t="str">
        <f>IF('Design Fee'!W171&gt;0,"✔","-")</f>
        <v>-</v>
      </c>
      <c r="N169" s="443" t="str">
        <f>IF('Design Fee'!X171&gt;0,"✔","-")</f>
        <v>-</v>
      </c>
      <c r="O169" s="444" t="str">
        <f>IF('Design Fee'!Y171&gt;0,"✔","-")</f>
        <v>-</v>
      </c>
      <c r="P169" s="444" t="str">
        <f>IF('Design Fee'!Z171&gt;0,"✔","-")</f>
        <v>-</v>
      </c>
      <c r="Q169" s="444" t="str">
        <f>IF('Design Fee'!AA171&gt;0,"✔","-")</f>
        <v>-</v>
      </c>
      <c r="R169" s="444" t="str">
        <f>IF('Design Fee'!AB171&gt;0,"✔","-")</f>
        <v>-</v>
      </c>
      <c r="S169" s="444" t="str">
        <f>IF('Design Fee'!AC171&gt;0,"✔","-")</f>
        <v>-</v>
      </c>
      <c r="T169" s="466" t="str">
        <f>IF('Design Fee'!AD171&gt;0,"✔","-")</f>
        <v>-</v>
      </c>
      <c r="U169" s="430"/>
      <c r="V169" s="444" t="str">
        <f>IF('Design Fee'!AF171&gt;0,"✔","-")</f>
        <v>-</v>
      </c>
      <c r="W169" s="444" t="str">
        <f>IF('Design Fee'!AG171&gt;0,"✔","-")</f>
        <v>-</v>
      </c>
      <c r="X169" s="444" t="str">
        <f>IF('Design Fee'!AH171&gt;0,"✔","-")</f>
        <v>-</v>
      </c>
      <c r="Y169" s="444" t="str">
        <f>IF('Design Fee'!AI171&gt;0,"✔","-")</f>
        <v>-</v>
      </c>
      <c r="Z169" s="444" t="str">
        <f>IF('Design Fee'!AJ171&gt;0,"✔","-")</f>
        <v>-</v>
      </c>
      <c r="AA169" s="430"/>
      <c r="AB169" s="449"/>
      <c r="AC169" s="442"/>
      <c r="AD169" s="443" t="str">
        <f>IF('Design Fee'!BG171&gt;0,"✔","-")</f>
        <v>✔</v>
      </c>
      <c r="AE169" s="443" t="str">
        <f>IF('Design Fee'!BH171&gt;0,"✔","-")</f>
        <v>✔</v>
      </c>
      <c r="AF169" s="444" t="str">
        <f>IF('Design Fee'!BI171&gt;0,"✔","-")</f>
        <v>✔</v>
      </c>
      <c r="AG169" s="444" t="str">
        <f>IF('Design Fee'!BJ171&gt;0,"✔","-")</f>
        <v>-</v>
      </c>
      <c r="AH169" s="444" t="str">
        <f>IF('Design Fee'!BK171&gt;0,"✔","-")</f>
        <v>-</v>
      </c>
      <c r="AI169" s="444" t="str">
        <f>IF('Design Fee'!BL171&gt;0,"✔","-")</f>
        <v>-</v>
      </c>
      <c r="AJ169" s="444" t="str">
        <f>IF('Design Fee'!BM171&gt;0,"✔","-")</f>
        <v>-</v>
      </c>
      <c r="AK169" s="466" t="str">
        <f>IF('Design Fee'!BN171&gt;0,"✔","-")</f>
        <v>-</v>
      </c>
      <c r="AL169" s="445"/>
      <c r="AM169" s="444" t="str">
        <f>IF('Design Fee'!BP171&gt;0,"✔","-")</f>
        <v>-</v>
      </c>
      <c r="AN169" s="444" t="str">
        <f>IF('Design Fee'!BQ171&gt;0,"✔","-")</f>
        <v>-</v>
      </c>
      <c r="AO169" s="444" t="str">
        <f>IF('Design Fee'!BR171&gt;0,"✔","-")</f>
        <v>-</v>
      </c>
      <c r="AP169" s="444" t="str">
        <f>IF('Design Fee'!BS171&gt;0,"✔","-")</f>
        <v>-</v>
      </c>
      <c r="AQ169" s="444" t="str">
        <f>IF('Design Fee'!BT171&gt;0,"✔","-")</f>
        <v>-</v>
      </c>
      <c r="AR169" s="445"/>
      <c r="AS169" s="449"/>
      <c r="AT169" s="442"/>
      <c r="AU169" s="443" t="str">
        <f>IF('Design Fee'!CQ171&gt;0,"✔","-")</f>
        <v>-</v>
      </c>
      <c r="AV169" s="443" t="str">
        <f>IF('Design Fee'!CR171&gt;0,"✔","-")</f>
        <v>-</v>
      </c>
      <c r="AW169" s="444" t="str">
        <f>IF('Design Fee'!CS171&gt;0,"✔","-")</f>
        <v>-</v>
      </c>
      <c r="AX169" s="444" t="str">
        <f>IF('Design Fee'!CT171&gt;0,"✔","-")</f>
        <v>-</v>
      </c>
      <c r="AY169" s="444" t="str">
        <f>IF('Design Fee'!CU171&gt;0,"✔","-")</f>
        <v>-</v>
      </c>
      <c r="AZ169" s="444" t="str">
        <f>IF('Design Fee'!CV171&gt;0,"✔","-")</f>
        <v>-</v>
      </c>
      <c r="BA169" s="444" t="str">
        <f>IF('Design Fee'!CW171&gt;0,"✔","-")</f>
        <v>-</v>
      </c>
      <c r="BB169" s="466" t="str">
        <f>IF('Design Fee'!CX171&gt;0,"✔","-")</f>
        <v>-</v>
      </c>
      <c r="BC169" s="445"/>
      <c r="BD169" s="444" t="str">
        <f>IF('Design Fee'!CZ171&gt;0,"✔","-")</f>
        <v>-</v>
      </c>
      <c r="BE169" s="444" t="str">
        <f>IF('Design Fee'!DA171&gt;0,"✔","-")</f>
        <v>-</v>
      </c>
      <c r="BF169" s="444" t="str">
        <f>IF('Design Fee'!DB171&gt;0,"✔","-")</f>
        <v>-</v>
      </c>
      <c r="BG169" s="444" t="str">
        <f>IF('Design Fee'!DC171&gt;0,"✔","-")</f>
        <v>-</v>
      </c>
      <c r="BH169" s="444" t="str">
        <f>IF('Design Fee'!DD171&gt;0,"✔","-")</f>
        <v>-</v>
      </c>
      <c r="BI169" s="445"/>
      <c r="BJ169" s="449"/>
      <c r="BK169" s="442"/>
      <c r="BL169" s="443" t="str">
        <f>IF('Design Fee'!EA171&gt;0,"✔","-")</f>
        <v>-</v>
      </c>
      <c r="BM169" s="443" t="str">
        <f>IF('Design Fee'!EB171&gt;0,"✔","-")</f>
        <v>-</v>
      </c>
      <c r="BN169" s="444" t="str">
        <f>IF('Design Fee'!EC171&gt;0,"✔","-")</f>
        <v>-</v>
      </c>
      <c r="BO169" s="444" t="str">
        <f>IF('Design Fee'!ED171&gt;0,"✔","-")</f>
        <v>-</v>
      </c>
      <c r="BP169" s="444" t="str">
        <f>IF('Design Fee'!EE171&gt;0,"✔","-")</f>
        <v>-</v>
      </c>
      <c r="BQ169" s="444" t="str">
        <f>IF('Design Fee'!EF171&gt;0,"✔","-")</f>
        <v>-</v>
      </c>
      <c r="BR169" s="444" t="str">
        <f>IF('Design Fee'!EG171&gt;0,"✔","-")</f>
        <v>-</v>
      </c>
      <c r="BS169" s="466" t="str">
        <f>IF('Design Fee'!EH171&gt;0,"✔","-")</f>
        <v>-</v>
      </c>
      <c r="BT169" s="383"/>
      <c r="BU169" s="444" t="str">
        <f>IF('Design Fee'!EJ171&gt;0,"✔","-")</f>
        <v>-</v>
      </c>
      <c r="BV169" s="444" t="str">
        <f>IF('Design Fee'!EK171&gt;0,"✔","-")</f>
        <v>-</v>
      </c>
      <c r="BW169" s="444" t="str">
        <f>IF('Design Fee'!EL171&gt;0,"✔","-")</f>
        <v>-</v>
      </c>
      <c r="BX169" s="444" t="str">
        <f>IF('Design Fee'!EM171&gt;0,"✔","-")</f>
        <v>-</v>
      </c>
      <c r="BY169" s="444" t="str">
        <f>IF('Design Fee'!EN171&gt;0,"✔","-")</f>
        <v>-</v>
      </c>
      <c r="BZ169" s="383"/>
    </row>
    <row r="170" spans="2:78" ht="12.75" outlineLevel="3">
      <c r="B170" s="463" t="s">
        <v>159</v>
      </c>
      <c r="C170" s="464">
        <v>2</v>
      </c>
      <c r="D170" s="465" t="s">
        <v>154</v>
      </c>
      <c r="E170" s="383"/>
      <c r="F170" s="443">
        <f t="shared" si="545"/>
        <v>1</v>
      </c>
      <c r="G170" s="444">
        <f t="shared" si="545"/>
        <v>1</v>
      </c>
      <c r="H170" s="444">
        <f t="shared" si="545"/>
        <v>1</v>
      </c>
      <c r="I170" s="444">
        <f t="shared" si="546"/>
        <v>0</v>
      </c>
      <c r="J170" s="467"/>
      <c r="K170" s="449"/>
      <c r="L170" s="442"/>
      <c r="M170" s="443" t="str">
        <f>IF('Design Fee'!W172&gt;0,"✔","-")</f>
        <v>-</v>
      </c>
      <c r="N170" s="443" t="str">
        <f>IF('Design Fee'!X172&gt;0,"✔","-")</f>
        <v>-</v>
      </c>
      <c r="O170" s="482" t="str">
        <f>IF('Design Fee'!Y172&gt;0,"✔","-")</f>
        <v>-</v>
      </c>
      <c r="P170" s="482" t="str">
        <f>IF('Design Fee'!Z172&gt;0,"✔","-")</f>
        <v>-</v>
      </c>
      <c r="Q170" s="444" t="str">
        <f>IF('Design Fee'!AA172&gt;0,"✔","-")</f>
        <v>-</v>
      </c>
      <c r="R170" s="444" t="str">
        <f>IF('Design Fee'!AB172&gt;0,"✔","-")</f>
        <v>-</v>
      </c>
      <c r="S170" s="444" t="str">
        <f>IF('Design Fee'!AC172&gt;0,"✔","-")</f>
        <v>-</v>
      </c>
      <c r="T170" s="466" t="str">
        <f>IF('Design Fee'!AD172&gt;0,"✔","-")</f>
        <v>-</v>
      </c>
      <c r="U170" s="467"/>
      <c r="V170" s="482" t="str">
        <f>IF('Design Fee'!AF172&gt;0,"✔","-")</f>
        <v>-</v>
      </c>
      <c r="W170" s="444" t="str">
        <f>IF('Design Fee'!AG172&gt;0,"✔","-")</f>
        <v>-</v>
      </c>
      <c r="X170" s="444" t="str">
        <f>IF('Design Fee'!AH172&gt;0,"✔","-")</f>
        <v>-</v>
      </c>
      <c r="Y170" s="444" t="str">
        <f>IF('Design Fee'!AI172&gt;0,"✔","-")</f>
        <v>-</v>
      </c>
      <c r="Z170" s="444" t="str">
        <f>IF('Design Fee'!AJ172&gt;0,"✔","-")</f>
        <v>-</v>
      </c>
      <c r="AA170" s="467"/>
      <c r="AB170" s="449"/>
      <c r="AC170" s="442"/>
      <c r="AD170" s="443" t="str">
        <f>IF('Design Fee'!BG172&gt;0,"✔","-")</f>
        <v>✔</v>
      </c>
      <c r="AE170" s="443" t="str">
        <f>IF('Design Fee'!BH172&gt;0,"✔","-")</f>
        <v>✔</v>
      </c>
      <c r="AF170" s="482" t="str">
        <f>IF('Design Fee'!BI172&gt;0,"✔","-")</f>
        <v>✔</v>
      </c>
      <c r="AG170" s="482" t="str">
        <f>IF('Design Fee'!BJ172&gt;0,"✔","-")</f>
        <v>-</v>
      </c>
      <c r="AH170" s="444" t="str">
        <f>IF('Design Fee'!BK172&gt;0,"✔","-")</f>
        <v>-</v>
      </c>
      <c r="AI170" s="444" t="str">
        <f>IF('Design Fee'!BL172&gt;0,"✔","-")</f>
        <v>-</v>
      </c>
      <c r="AJ170" s="444" t="str">
        <f>IF('Design Fee'!BM172&gt;0,"✔","-")</f>
        <v>-</v>
      </c>
      <c r="AK170" s="466" t="str">
        <f>IF('Design Fee'!BN172&gt;0,"✔","-")</f>
        <v>-</v>
      </c>
      <c r="AL170" s="445"/>
      <c r="AM170" s="482" t="str">
        <f>IF('Design Fee'!BP172&gt;0,"✔","-")</f>
        <v>-</v>
      </c>
      <c r="AN170" s="444" t="str">
        <f>IF('Design Fee'!BQ172&gt;0,"✔","-")</f>
        <v>-</v>
      </c>
      <c r="AO170" s="444" t="str">
        <f>IF('Design Fee'!BR172&gt;0,"✔","-")</f>
        <v>-</v>
      </c>
      <c r="AP170" s="444" t="str">
        <f>IF('Design Fee'!BS172&gt;0,"✔","-")</f>
        <v>-</v>
      </c>
      <c r="AQ170" s="444" t="str">
        <f>IF('Design Fee'!BT172&gt;0,"✔","-")</f>
        <v>-</v>
      </c>
      <c r="AR170" s="445"/>
      <c r="AS170" s="449"/>
      <c r="AT170" s="442"/>
      <c r="AU170" s="443" t="str">
        <f>IF('Design Fee'!CQ172&gt;0,"✔","-")</f>
        <v>-</v>
      </c>
      <c r="AV170" s="443" t="str">
        <f>IF('Design Fee'!CR172&gt;0,"✔","-")</f>
        <v>-</v>
      </c>
      <c r="AW170" s="482" t="str">
        <f>IF('Design Fee'!CS172&gt;0,"✔","-")</f>
        <v>-</v>
      </c>
      <c r="AX170" s="482" t="str">
        <f>IF('Design Fee'!CT172&gt;0,"✔","-")</f>
        <v>-</v>
      </c>
      <c r="AY170" s="444" t="str">
        <f>IF('Design Fee'!CU172&gt;0,"✔","-")</f>
        <v>-</v>
      </c>
      <c r="AZ170" s="444" t="str">
        <f>IF('Design Fee'!CV172&gt;0,"✔","-")</f>
        <v>-</v>
      </c>
      <c r="BA170" s="444" t="str">
        <f>IF('Design Fee'!CW172&gt;0,"✔","-")</f>
        <v>-</v>
      </c>
      <c r="BB170" s="466" t="str">
        <f>IF('Design Fee'!CX172&gt;0,"✔","-")</f>
        <v>-</v>
      </c>
      <c r="BC170" s="445"/>
      <c r="BD170" s="482" t="str">
        <f>IF('Design Fee'!CZ172&gt;0,"✔","-")</f>
        <v>-</v>
      </c>
      <c r="BE170" s="444" t="str">
        <f>IF('Design Fee'!DA172&gt;0,"✔","-")</f>
        <v>-</v>
      </c>
      <c r="BF170" s="444" t="str">
        <f>IF('Design Fee'!DB172&gt;0,"✔","-")</f>
        <v>-</v>
      </c>
      <c r="BG170" s="444" t="str">
        <f>IF('Design Fee'!DC172&gt;0,"✔","-")</f>
        <v>-</v>
      </c>
      <c r="BH170" s="444" t="str">
        <f>IF('Design Fee'!DD172&gt;0,"✔","-")</f>
        <v>-</v>
      </c>
      <c r="BI170" s="445"/>
      <c r="BJ170" s="449"/>
      <c r="BK170" s="442"/>
      <c r="BL170" s="443" t="str">
        <f>IF('Design Fee'!EA172&gt;0,"✔","-")</f>
        <v>-</v>
      </c>
      <c r="BM170" s="443" t="str">
        <f>IF('Design Fee'!EB172&gt;0,"✔","-")</f>
        <v>-</v>
      </c>
      <c r="BN170" s="482" t="str">
        <f>IF('Design Fee'!EC172&gt;0,"✔","-")</f>
        <v>-</v>
      </c>
      <c r="BO170" s="482" t="str">
        <f>IF('Design Fee'!ED172&gt;0,"✔","-")</f>
        <v>-</v>
      </c>
      <c r="BP170" s="444" t="str">
        <f>IF('Design Fee'!EE172&gt;0,"✔","-")</f>
        <v>-</v>
      </c>
      <c r="BQ170" s="444" t="str">
        <f>IF('Design Fee'!EF172&gt;0,"✔","-")</f>
        <v>-</v>
      </c>
      <c r="BR170" s="444" t="str">
        <f>IF('Design Fee'!EG172&gt;0,"✔","-")</f>
        <v>-</v>
      </c>
      <c r="BS170" s="466" t="str">
        <f>IF('Design Fee'!EH172&gt;0,"✔","-")</f>
        <v>-</v>
      </c>
      <c r="BT170" s="383"/>
      <c r="BU170" s="482" t="str">
        <f>IF('Design Fee'!EJ172&gt;0,"✔","-")</f>
        <v>-</v>
      </c>
      <c r="BV170" s="444" t="str">
        <f>IF('Design Fee'!EK172&gt;0,"✔","-")</f>
        <v>-</v>
      </c>
      <c r="BW170" s="444" t="str">
        <f>IF('Design Fee'!EL172&gt;0,"✔","-")</f>
        <v>-</v>
      </c>
      <c r="BX170" s="444" t="str">
        <f>IF('Design Fee'!EM172&gt;0,"✔","-")</f>
        <v>-</v>
      </c>
      <c r="BY170" s="444" t="str">
        <f>IF('Design Fee'!EN172&gt;0,"✔","-")</f>
        <v>-</v>
      </c>
      <c r="BZ170" s="383"/>
    </row>
    <row r="171" spans="2:78" ht="12.75" outlineLevel="2">
      <c r="B171" s="483"/>
      <c r="C171" s="484"/>
      <c r="D171" s="465"/>
      <c r="E171" s="383"/>
      <c r="F171" s="408"/>
      <c r="G171" s="421"/>
      <c r="H171" s="421"/>
      <c r="I171" s="421"/>
      <c r="J171" s="467"/>
      <c r="K171" s="441"/>
      <c r="L171" s="442"/>
      <c r="M171" s="408" t="str">
        <f>IF('Design Fee'!W173&gt;0,"✔","-")</f>
        <v>-</v>
      </c>
      <c r="N171" s="408" t="str">
        <f>IF('Design Fee'!X173&gt;0,"✔","-")</f>
        <v>-</v>
      </c>
      <c r="O171" s="421" t="str">
        <f>IF('Design Fee'!Y173&gt;0,"✔","-")</f>
        <v>-</v>
      </c>
      <c r="P171" s="421" t="str">
        <f>IF('Design Fee'!Z173&gt;0,"✔","-")</f>
        <v>-</v>
      </c>
      <c r="Q171" s="444" t="str">
        <f>IF('Design Fee'!AA173&gt;0,"✔","-")</f>
        <v>-</v>
      </c>
      <c r="R171" s="444" t="str">
        <f>IF('Design Fee'!AB173&gt;0,"✔","-")</f>
        <v>-</v>
      </c>
      <c r="S171" s="444" t="str">
        <f>IF('Design Fee'!AC173&gt;0,"✔","-")</f>
        <v>-</v>
      </c>
      <c r="T171" s="466" t="str">
        <f>IF('Design Fee'!AD173&gt;0,"✔","-")</f>
        <v>-</v>
      </c>
      <c r="U171" s="467"/>
      <c r="V171" s="421" t="str">
        <f>IF('Design Fee'!AF173&gt;0,"✔","-")</f>
        <v>-</v>
      </c>
      <c r="W171" s="444" t="str">
        <f>IF('Design Fee'!AG173&gt;0,"✔","-")</f>
        <v>-</v>
      </c>
      <c r="X171" s="444" t="str">
        <f>IF('Design Fee'!AH173&gt;0,"✔","-")</f>
        <v>-</v>
      </c>
      <c r="Y171" s="444" t="str">
        <f>IF('Design Fee'!AI173&gt;0,"✔","-")</f>
        <v>-</v>
      </c>
      <c r="Z171" s="444" t="str">
        <f>IF('Design Fee'!AJ173&gt;0,"✔","-")</f>
        <v>-</v>
      </c>
      <c r="AA171" s="467"/>
      <c r="AB171" s="441"/>
      <c r="AC171" s="442"/>
      <c r="AD171" s="408" t="str">
        <f>IF('Design Fee'!BG173&gt;0,"✔","-")</f>
        <v>-</v>
      </c>
      <c r="AE171" s="408" t="str">
        <f>IF('Design Fee'!BH173&gt;0,"✔","-")</f>
        <v>-</v>
      </c>
      <c r="AF171" s="421" t="str">
        <f>IF('Design Fee'!BI173&gt;0,"✔","-")</f>
        <v>-</v>
      </c>
      <c r="AG171" s="421" t="str">
        <f>IF('Design Fee'!BJ173&gt;0,"✔","-")</f>
        <v>-</v>
      </c>
      <c r="AH171" s="444" t="str">
        <f>IF('Design Fee'!BK173&gt;0,"✔","-")</f>
        <v>-</v>
      </c>
      <c r="AI171" s="444" t="str">
        <f>IF('Design Fee'!BL173&gt;0,"✔","-")</f>
        <v>-</v>
      </c>
      <c r="AJ171" s="444" t="str">
        <f>IF('Design Fee'!BM173&gt;0,"✔","-")</f>
        <v>-</v>
      </c>
      <c r="AK171" s="466" t="str">
        <f>IF('Design Fee'!BN173&gt;0,"✔","-")</f>
        <v>-</v>
      </c>
      <c r="AL171" s="445"/>
      <c r="AM171" s="421" t="str">
        <f>IF('Design Fee'!BP173&gt;0,"✔","-")</f>
        <v>-</v>
      </c>
      <c r="AN171" s="444" t="str">
        <f>IF('Design Fee'!BQ173&gt;0,"✔","-")</f>
        <v>-</v>
      </c>
      <c r="AO171" s="444" t="str">
        <f>IF('Design Fee'!BR173&gt;0,"✔","-")</f>
        <v>-</v>
      </c>
      <c r="AP171" s="444" t="str">
        <f>IF('Design Fee'!BS173&gt;0,"✔","-")</f>
        <v>-</v>
      </c>
      <c r="AQ171" s="444" t="str">
        <f>IF('Design Fee'!BT173&gt;0,"✔","-")</f>
        <v>-</v>
      </c>
      <c r="AR171" s="445"/>
      <c r="AS171" s="441"/>
      <c r="AT171" s="442"/>
      <c r="AU171" s="408" t="str">
        <f>IF('Design Fee'!CQ173&gt;0,"✔","-")</f>
        <v>-</v>
      </c>
      <c r="AV171" s="408" t="str">
        <f>IF('Design Fee'!CR173&gt;0,"✔","-")</f>
        <v>-</v>
      </c>
      <c r="AW171" s="421" t="str">
        <f>IF('Design Fee'!CS173&gt;0,"✔","-")</f>
        <v>-</v>
      </c>
      <c r="AX171" s="421" t="str">
        <f>IF('Design Fee'!CT173&gt;0,"✔","-")</f>
        <v>-</v>
      </c>
      <c r="AY171" s="444" t="str">
        <f>IF('Design Fee'!CU173&gt;0,"✔","-")</f>
        <v>-</v>
      </c>
      <c r="AZ171" s="444" t="str">
        <f>IF('Design Fee'!CV173&gt;0,"✔","-")</f>
        <v>-</v>
      </c>
      <c r="BA171" s="444" t="str">
        <f>IF('Design Fee'!CW173&gt;0,"✔","-")</f>
        <v>-</v>
      </c>
      <c r="BB171" s="466" t="str">
        <f>IF('Design Fee'!CX173&gt;0,"✔","-")</f>
        <v>-</v>
      </c>
      <c r="BC171" s="445"/>
      <c r="BD171" s="421" t="str">
        <f>IF('Design Fee'!CZ173&gt;0,"✔","-")</f>
        <v>-</v>
      </c>
      <c r="BE171" s="444" t="str">
        <f>IF('Design Fee'!DA173&gt;0,"✔","-")</f>
        <v>-</v>
      </c>
      <c r="BF171" s="444" t="str">
        <f>IF('Design Fee'!DB173&gt;0,"✔","-")</f>
        <v>-</v>
      </c>
      <c r="BG171" s="444" t="str">
        <f>IF('Design Fee'!DC173&gt;0,"✔","-")</f>
        <v>-</v>
      </c>
      <c r="BH171" s="444" t="str">
        <f>IF('Design Fee'!DD173&gt;0,"✔","-")</f>
        <v>-</v>
      </c>
      <c r="BI171" s="445"/>
      <c r="BJ171" s="441"/>
      <c r="BK171" s="442"/>
      <c r="BL171" s="408" t="str">
        <f>IF('Design Fee'!EA173&gt;0,"✔","-")</f>
        <v>-</v>
      </c>
      <c r="BM171" s="408" t="str">
        <f>IF('Design Fee'!EB173&gt;0,"✔","-")</f>
        <v>-</v>
      </c>
      <c r="BN171" s="421" t="str">
        <f>IF('Design Fee'!EC173&gt;0,"✔","-")</f>
        <v>-</v>
      </c>
      <c r="BO171" s="421" t="str">
        <f>IF('Design Fee'!ED173&gt;0,"✔","-")</f>
        <v>-</v>
      </c>
      <c r="BP171" s="444" t="str">
        <f>IF('Design Fee'!EE173&gt;0,"✔","-")</f>
        <v>-</v>
      </c>
      <c r="BQ171" s="444" t="str">
        <f>IF('Design Fee'!EF173&gt;0,"✔","-")</f>
        <v>-</v>
      </c>
      <c r="BR171" s="444" t="str">
        <f>IF('Design Fee'!EG173&gt;0,"✔","-")</f>
        <v>-</v>
      </c>
      <c r="BS171" s="466" t="str">
        <f>IF('Design Fee'!EH173&gt;0,"✔","-")</f>
        <v>-</v>
      </c>
      <c r="BT171" s="383"/>
      <c r="BU171" s="421" t="str">
        <f>IF('Design Fee'!EJ173&gt;0,"✔","-")</f>
        <v>-</v>
      </c>
      <c r="BV171" s="444" t="str">
        <f>IF('Design Fee'!EK173&gt;0,"✔","-")</f>
        <v>-</v>
      </c>
      <c r="BW171" s="444" t="str">
        <f>IF('Design Fee'!EL173&gt;0,"✔","-")</f>
        <v>-</v>
      </c>
      <c r="BX171" s="444" t="str">
        <f>IF('Design Fee'!EM173&gt;0,"✔","-")</f>
        <v>-</v>
      </c>
      <c r="BY171" s="444" t="str">
        <f>IF('Design Fee'!EN173&gt;0,"✔","-")</f>
        <v>-</v>
      </c>
      <c r="BZ171" s="383"/>
    </row>
    <row r="172" spans="2:78" ht="12.75" outlineLevel="2">
      <c r="B172" s="483">
        <v>2.7</v>
      </c>
      <c r="C172" s="484">
        <v>2.7</v>
      </c>
      <c r="D172" s="485" t="s">
        <v>167</v>
      </c>
      <c r="E172" s="383"/>
      <c r="F172" s="408"/>
      <c r="G172" s="444"/>
      <c r="H172" s="444"/>
      <c r="I172" s="444"/>
      <c r="J172" s="467"/>
      <c r="K172" s="479"/>
      <c r="L172" s="479"/>
      <c r="M172" s="443" t="str">
        <f>IF('Design Fee'!W174&gt;0,"✔","-")</f>
        <v>-</v>
      </c>
      <c r="N172" s="443" t="str">
        <f>IF('Design Fee'!X174&gt;0,"✔","-")</f>
        <v>-</v>
      </c>
      <c r="O172" s="444" t="str">
        <f>IF('Design Fee'!Y174&gt;0,"✔","-")</f>
        <v>-</v>
      </c>
      <c r="P172" s="444" t="str">
        <f>IF('Design Fee'!Z174&gt;0,"✔","-")</f>
        <v>-</v>
      </c>
      <c r="Q172" s="444" t="str">
        <f>IF('Design Fee'!AA174&gt;0,"✔","-")</f>
        <v>-</v>
      </c>
      <c r="R172" s="444" t="str">
        <f>IF('Design Fee'!AB174&gt;0,"✔","-")</f>
        <v>-</v>
      </c>
      <c r="S172" s="444" t="str">
        <f>IF('Design Fee'!AC174&gt;0,"✔","-")</f>
        <v>-</v>
      </c>
      <c r="T172" s="466" t="str">
        <f>IF('Design Fee'!AD174&gt;0,"✔","-")</f>
        <v>-</v>
      </c>
      <c r="U172" s="467"/>
      <c r="V172" s="444" t="str">
        <f>IF('Design Fee'!AF174&gt;0,"✔","-")</f>
        <v>-</v>
      </c>
      <c r="W172" s="444" t="str">
        <f>IF('Design Fee'!AG174&gt;0,"✔","-")</f>
        <v>-</v>
      </c>
      <c r="X172" s="444" t="str">
        <f>IF('Design Fee'!AH174&gt;0,"✔","-")</f>
        <v>-</v>
      </c>
      <c r="Y172" s="444" t="str">
        <f>IF('Design Fee'!AI174&gt;0,"✔","-")</f>
        <v>-</v>
      </c>
      <c r="Z172" s="444" t="str">
        <f>IF('Design Fee'!AJ174&gt;0,"✔","-")</f>
        <v>-</v>
      </c>
      <c r="AA172" s="467"/>
      <c r="AB172" s="479"/>
      <c r="AC172" s="479"/>
      <c r="AD172" s="443"/>
      <c r="AE172" s="443"/>
      <c r="AF172" s="444" t="str">
        <f>IF('Design Fee'!BI174&gt;0,"✔","-")</f>
        <v>✔</v>
      </c>
      <c r="AG172" s="444"/>
      <c r="AH172" s="444"/>
      <c r="AI172" s="444" t="str">
        <f>IF('Design Fee'!BL174&gt;0,"✔","-")</f>
        <v>-</v>
      </c>
      <c r="AJ172" s="444" t="str">
        <f>IF('Design Fee'!BM174&gt;0,"✔","-")</f>
        <v>-</v>
      </c>
      <c r="AK172" s="466" t="str">
        <f>IF('Design Fee'!BN174&gt;0,"✔","-")</f>
        <v>-</v>
      </c>
      <c r="AL172" s="479"/>
      <c r="AM172" s="444"/>
      <c r="AN172" s="444"/>
      <c r="AO172" s="444" t="str">
        <f>IF('Design Fee'!BR174&gt;0,"✔","-")</f>
        <v>-</v>
      </c>
      <c r="AP172" s="444" t="str">
        <f>IF('Design Fee'!BS174&gt;0,"✔","-")</f>
        <v>-</v>
      </c>
      <c r="AQ172" s="444" t="str">
        <f>IF('Design Fee'!BT174&gt;0,"✔","-")</f>
        <v>-</v>
      </c>
      <c r="AR172" s="479"/>
      <c r="AS172" s="479"/>
      <c r="AT172" s="479"/>
      <c r="AU172" s="443" t="str">
        <f>IF('Design Fee'!CQ174&gt;0,"✔","-")</f>
        <v>-</v>
      </c>
      <c r="AV172" s="443" t="str">
        <f>IF('Design Fee'!CR174&gt;0,"✔","-")</f>
        <v>-</v>
      </c>
      <c r="AW172" s="444" t="str">
        <f>IF('Design Fee'!CS174&gt;0,"✔","-")</f>
        <v>-</v>
      </c>
      <c r="AX172" s="444" t="str">
        <f>IF('Design Fee'!CT174&gt;0,"✔","-")</f>
        <v>-</v>
      </c>
      <c r="AY172" s="444" t="str">
        <f>IF('Design Fee'!CU174&gt;0,"✔","-")</f>
        <v>-</v>
      </c>
      <c r="AZ172" s="444" t="str">
        <f>IF('Design Fee'!CV174&gt;0,"✔","-")</f>
        <v>-</v>
      </c>
      <c r="BA172" s="444" t="str">
        <f>IF('Design Fee'!CW174&gt;0,"✔","-")</f>
        <v>-</v>
      </c>
      <c r="BB172" s="466" t="str">
        <f>IF('Design Fee'!CX174&gt;0,"✔","-")</f>
        <v>-</v>
      </c>
      <c r="BC172" s="479"/>
      <c r="BD172" s="444" t="str">
        <f>IF('Design Fee'!CZ174&gt;0,"✔","-")</f>
        <v>-</v>
      </c>
      <c r="BE172" s="444" t="str">
        <f>IF('Design Fee'!DA174&gt;0,"✔","-")</f>
        <v>-</v>
      </c>
      <c r="BF172" s="444" t="str">
        <f>IF('Design Fee'!DB174&gt;0,"✔","-")</f>
        <v>-</v>
      </c>
      <c r="BG172" s="444" t="str">
        <f>IF('Design Fee'!DC174&gt;0,"✔","-")</f>
        <v>-</v>
      </c>
      <c r="BH172" s="444" t="str">
        <f>IF('Design Fee'!DD174&gt;0,"✔","-")</f>
        <v>-</v>
      </c>
      <c r="BI172" s="479"/>
      <c r="BJ172" s="479"/>
      <c r="BK172" s="479"/>
      <c r="BL172" s="443" t="str">
        <f>IF('Design Fee'!EA174&gt;0,"✔","-")</f>
        <v>-</v>
      </c>
      <c r="BM172" s="443" t="str">
        <f>IF('Design Fee'!EB174&gt;0,"✔","-")</f>
        <v>-</v>
      </c>
      <c r="BN172" s="444" t="str">
        <f>IF('Design Fee'!EC174&gt;0,"✔","-")</f>
        <v>-</v>
      </c>
      <c r="BO172" s="444" t="str">
        <f>IF('Design Fee'!ED174&gt;0,"✔","-")</f>
        <v>-</v>
      </c>
      <c r="BP172" s="444" t="str">
        <f>IF('Design Fee'!EE174&gt;0,"✔","-")</f>
        <v>-</v>
      </c>
      <c r="BQ172" s="444" t="str">
        <f>IF('Design Fee'!EF174&gt;0,"✔","-")</f>
        <v>-</v>
      </c>
      <c r="BR172" s="444" t="str">
        <f>IF('Design Fee'!EG174&gt;0,"✔","-")</f>
        <v>-</v>
      </c>
      <c r="BS172" s="466" t="str">
        <f>IF('Design Fee'!EH174&gt;0,"✔","-")</f>
        <v>-</v>
      </c>
      <c r="BT172" s="383"/>
      <c r="BU172" s="444" t="str">
        <f>IF('Design Fee'!EJ174&gt;0,"✔","-")</f>
        <v>-</v>
      </c>
      <c r="BV172" s="444" t="str">
        <f>IF('Design Fee'!EK174&gt;0,"✔","-")</f>
        <v>-</v>
      </c>
      <c r="BW172" s="444" t="str">
        <f>IF('Design Fee'!EL174&gt;0,"✔","-")</f>
        <v>-</v>
      </c>
      <c r="BX172" s="444" t="str">
        <f>IF('Design Fee'!EM174&gt;0,"✔","-")</f>
        <v>-</v>
      </c>
      <c r="BY172" s="444" t="str">
        <f>IF('Design Fee'!EN174&gt;0,"✔","-")</f>
        <v>-</v>
      </c>
      <c r="BZ172" s="383"/>
    </row>
    <row r="173" spans="2:78" ht="12.75" outlineLevel="3">
      <c r="B173" s="463" t="s">
        <v>158</v>
      </c>
      <c r="C173" s="464">
        <v>1</v>
      </c>
      <c r="D173" s="465" t="s">
        <v>152</v>
      </c>
      <c r="E173" s="383"/>
      <c r="F173" s="443">
        <f t="shared" ref="F173:H174" si="547">COUNTIF(M173,"✔")+COUNTIF(AD173,"✔")+COUNTIF(BL173,"✔")+COUNTIF(AU173,"✔")</f>
        <v>1</v>
      </c>
      <c r="G173" s="444">
        <f t="shared" si="547"/>
        <v>1</v>
      </c>
      <c r="H173" s="444">
        <f t="shared" si="547"/>
        <v>1</v>
      </c>
      <c r="I173" s="444">
        <f t="shared" ref="I173:I174" si="548">F173-G173</f>
        <v>0</v>
      </c>
      <c r="J173" s="430"/>
      <c r="K173" s="449"/>
      <c r="L173" s="442"/>
      <c r="M173" s="443" t="str">
        <f>IF('Design Fee'!W175&gt;0,"✔","-")</f>
        <v>-</v>
      </c>
      <c r="N173" s="443" t="str">
        <f>IF('Design Fee'!X175&gt;0,"✔","-")</f>
        <v>-</v>
      </c>
      <c r="O173" s="444" t="str">
        <f>IF('Design Fee'!Y175&gt;0,"✔","-")</f>
        <v>-</v>
      </c>
      <c r="P173" s="444" t="str">
        <f>IF('Design Fee'!Z175&gt;0,"✔","-")</f>
        <v>-</v>
      </c>
      <c r="Q173" s="444" t="str">
        <f>IF('Design Fee'!AA175&gt;0,"✔","-")</f>
        <v>-</v>
      </c>
      <c r="R173" s="444" t="str">
        <f>IF('Design Fee'!AB175&gt;0,"✔","-")</f>
        <v>-</v>
      </c>
      <c r="S173" s="444" t="str">
        <f>IF('Design Fee'!AC175&gt;0,"✔","-")</f>
        <v>-</v>
      </c>
      <c r="T173" s="466" t="str">
        <f>IF('Design Fee'!AD175&gt;0,"✔","-")</f>
        <v>-</v>
      </c>
      <c r="U173" s="430"/>
      <c r="V173" s="444" t="str">
        <f>IF('Design Fee'!AF175&gt;0,"✔","-")</f>
        <v>-</v>
      </c>
      <c r="W173" s="444" t="str">
        <f>IF('Design Fee'!AG175&gt;0,"✔","-")</f>
        <v>-</v>
      </c>
      <c r="X173" s="444" t="str">
        <f>IF('Design Fee'!AH175&gt;0,"✔","-")</f>
        <v>-</v>
      </c>
      <c r="Y173" s="444" t="str">
        <f>IF('Design Fee'!AI175&gt;0,"✔","-")</f>
        <v>-</v>
      </c>
      <c r="Z173" s="444" t="str">
        <f>IF('Design Fee'!AJ175&gt;0,"✔","-")</f>
        <v>-</v>
      </c>
      <c r="AA173" s="430"/>
      <c r="AB173" s="449"/>
      <c r="AC173" s="442"/>
      <c r="AD173" s="443" t="str">
        <f>IF('Design Fee'!BG175&gt;0,"✔","-")</f>
        <v>✔</v>
      </c>
      <c r="AE173" s="443" t="str">
        <f>IF('Design Fee'!BH175&gt;0,"✔","-")</f>
        <v>✔</v>
      </c>
      <c r="AF173" s="444" t="str">
        <f>IF('Design Fee'!BI175&gt;0,"✔","-")</f>
        <v>✔</v>
      </c>
      <c r="AG173" s="444" t="str">
        <f>IF('Design Fee'!BJ175&gt;0,"✔","-")</f>
        <v>-</v>
      </c>
      <c r="AH173" s="444" t="str">
        <f>IF('Design Fee'!BK175&gt;0,"✔","-")</f>
        <v>-</v>
      </c>
      <c r="AI173" s="444" t="str">
        <f>IF('Design Fee'!BL175&gt;0,"✔","-")</f>
        <v>-</v>
      </c>
      <c r="AJ173" s="444" t="str">
        <f>IF('Design Fee'!BM175&gt;0,"✔","-")</f>
        <v>-</v>
      </c>
      <c r="AK173" s="466" t="str">
        <f>IF('Design Fee'!BN175&gt;0,"✔","-")</f>
        <v>-</v>
      </c>
      <c r="AL173" s="445"/>
      <c r="AM173" s="444" t="str">
        <f>IF('Design Fee'!BP175&gt;0,"✔","-")</f>
        <v>-</v>
      </c>
      <c r="AN173" s="444" t="str">
        <f>IF('Design Fee'!BQ175&gt;0,"✔","-")</f>
        <v>-</v>
      </c>
      <c r="AO173" s="444" t="str">
        <f>IF('Design Fee'!BR175&gt;0,"✔","-")</f>
        <v>-</v>
      </c>
      <c r="AP173" s="444" t="str">
        <f>IF('Design Fee'!BS175&gt;0,"✔","-")</f>
        <v>-</v>
      </c>
      <c r="AQ173" s="444" t="str">
        <f>IF('Design Fee'!BT175&gt;0,"✔","-")</f>
        <v>-</v>
      </c>
      <c r="AR173" s="445"/>
      <c r="AS173" s="449"/>
      <c r="AT173" s="442"/>
      <c r="AU173" s="443" t="str">
        <f>IF('Design Fee'!CQ175&gt;0,"✔","-")</f>
        <v>-</v>
      </c>
      <c r="AV173" s="443" t="str">
        <f>IF('Design Fee'!CR175&gt;0,"✔","-")</f>
        <v>-</v>
      </c>
      <c r="AW173" s="444" t="str">
        <f>IF('Design Fee'!CS175&gt;0,"✔","-")</f>
        <v>-</v>
      </c>
      <c r="AX173" s="444" t="str">
        <f>IF('Design Fee'!CT175&gt;0,"✔","-")</f>
        <v>-</v>
      </c>
      <c r="AY173" s="444" t="str">
        <f>IF('Design Fee'!CU175&gt;0,"✔","-")</f>
        <v>-</v>
      </c>
      <c r="AZ173" s="444" t="str">
        <f>IF('Design Fee'!CV175&gt;0,"✔","-")</f>
        <v>-</v>
      </c>
      <c r="BA173" s="444" t="str">
        <f>IF('Design Fee'!CW175&gt;0,"✔","-")</f>
        <v>-</v>
      </c>
      <c r="BB173" s="466" t="str">
        <f>IF('Design Fee'!CX175&gt;0,"✔","-")</f>
        <v>-</v>
      </c>
      <c r="BC173" s="445"/>
      <c r="BD173" s="444" t="str">
        <f>IF('Design Fee'!CZ175&gt;0,"✔","-")</f>
        <v>-</v>
      </c>
      <c r="BE173" s="444" t="str">
        <f>IF('Design Fee'!DA175&gt;0,"✔","-")</f>
        <v>-</v>
      </c>
      <c r="BF173" s="444" t="str">
        <f>IF('Design Fee'!DB175&gt;0,"✔","-")</f>
        <v>-</v>
      </c>
      <c r="BG173" s="444" t="str">
        <f>IF('Design Fee'!DC175&gt;0,"✔","-")</f>
        <v>-</v>
      </c>
      <c r="BH173" s="444" t="str">
        <f>IF('Design Fee'!DD175&gt;0,"✔","-")</f>
        <v>-</v>
      </c>
      <c r="BI173" s="445"/>
      <c r="BJ173" s="449"/>
      <c r="BK173" s="442"/>
      <c r="BL173" s="443" t="str">
        <f>IF('Design Fee'!EA175&gt;0,"✔","-")</f>
        <v>-</v>
      </c>
      <c r="BM173" s="443" t="str">
        <f>IF('Design Fee'!EB175&gt;0,"✔","-")</f>
        <v>-</v>
      </c>
      <c r="BN173" s="444" t="str">
        <f>IF('Design Fee'!EC175&gt;0,"✔","-")</f>
        <v>-</v>
      </c>
      <c r="BO173" s="444" t="str">
        <f>IF('Design Fee'!ED175&gt;0,"✔","-")</f>
        <v>-</v>
      </c>
      <c r="BP173" s="444" t="str">
        <f>IF('Design Fee'!EE175&gt;0,"✔","-")</f>
        <v>-</v>
      </c>
      <c r="BQ173" s="444" t="str">
        <f>IF('Design Fee'!EF175&gt;0,"✔","-")</f>
        <v>-</v>
      </c>
      <c r="BR173" s="444" t="str">
        <f>IF('Design Fee'!EG175&gt;0,"✔","-")</f>
        <v>-</v>
      </c>
      <c r="BS173" s="466" t="str">
        <f>IF('Design Fee'!EH175&gt;0,"✔","-")</f>
        <v>-</v>
      </c>
      <c r="BT173" s="383"/>
      <c r="BU173" s="444" t="str">
        <f>IF('Design Fee'!EJ175&gt;0,"✔","-")</f>
        <v>-</v>
      </c>
      <c r="BV173" s="444" t="str">
        <f>IF('Design Fee'!EK175&gt;0,"✔","-")</f>
        <v>-</v>
      </c>
      <c r="BW173" s="444" t="str">
        <f>IF('Design Fee'!EL175&gt;0,"✔","-")</f>
        <v>-</v>
      </c>
      <c r="BX173" s="444" t="str">
        <f>IF('Design Fee'!EM175&gt;0,"✔","-")</f>
        <v>-</v>
      </c>
      <c r="BY173" s="444" t="str">
        <f>IF('Design Fee'!EN175&gt;0,"✔","-")</f>
        <v>-</v>
      </c>
      <c r="BZ173" s="383"/>
    </row>
    <row r="174" spans="2:78" ht="12.75" outlineLevel="3">
      <c r="B174" s="463" t="s">
        <v>159</v>
      </c>
      <c r="C174" s="464">
        <v>2</v>
      </c>
      <c r="D174" s="465" t="s">
        <v>154</v>
      </c>
      <c r="E174" s="383"/>
      <c r="F174" s="443">
        <f t="shared" si="547"/>
        <v>1</v>
      </c>
      <c r="G174" s="444">
        <f t="shared" si="547"/>
        <v>1</v>
      </c>
      <c r="H174" s="444">
        <f t="shared" si="547"/>
        <v>1</v>
      </c>
      <c r="I174" s="444">
        <f t="shared" si="548"/>
        <v>0</v>
      </c>
      <c r="J174" s="430"/>
      <c r="K174" s="449"/>
      <c r="L174" s="442"/>
      <c r="M174" s="443" t="str">
        <f>IF('Design Fee'!W176&gt;0,"✔","-")</f>
        <v>-</v>
      </c>
      <c r="N174" s="443" t="str">
        <f>IF('Design Fee'!X176&gt;0,"✔","-")</f>
        <v>-</v>
      </c>
      <c r="O174" s="444" t="str">
        <f>IF('Design Fee'!Y176&gt;0,"✔","-")</f>
        <v>-</v>
      </c>
      <c r="P174" s="444" t="str">
        <f>IF('Design Fee'!Z176&gt;0,"✔","-")</f>
        <v>-</v>
      </c>
      <c r="Q174" s="444" t="str">
        <f>IF('Design Fee'!AA176&gt;0,"✔","-")</f>
        <v>-</v>
      </c>
      <c r="R174" s="444" t="str">
        <f>IF('Design Fee'!AB176&gt;0,"✔","-")</f>
        <v>-</v>
      </c>
      <c r="S174" s="444" t="str">
        <f>IF('Design Fee'!AC176&gt;0,"✔","-")</f>
        <v>-</v>
      </c>
      <c r="T174" s="466" t="str">
        <f>IF('Design Fee'!AD176&gt;0,"✔","-")</f>
        <v>-</v>
      </c>
      <c r="U174" s="430"/>
      <c r="V174" s="444" t="str">
        <f>IF('Design Fee'!AF176&gt;0,"✔","-")</f>
        <v>-</v>
      </c>
      <c r="W174" s="444" t="str">
        <f>IF('Design Fee'!AG176&gt;0,"✔","-")</f>
        <v>-</v>
      </c>
      <c r="X174" s="444" t="str">
        <f>IF('Design Fee'!AH176&gt;0,"✔","-")</f>
        <v>-</v>
      </c>
      <c r="Y174" s="444" t="str">
        <f>IF('Design Fee'!AI176&gt;0,"✔","-")</f>
        <v>-</v>
      </c>
      <c r="Z174" s="444" t="str">
        <f>IF('Design Fee'!AJ176&gt;0,"✔","-")</f>
        <v>-</v>
      </c>
      <c r="AA174" s="430"/>
      <c r="AB174" s="449"/>
      <c r="AC174" s="442"/>
      <c r="AD174" s="443" t="str">
        <f>IF('Design Fee'!BG176&gt;0,"✔","-")</f>
        <v>✔</v>
      </c>
      <c r="AE174" s="443" t="str">
        <f>IF('Design Fee'!BH176&gt;0,"✔","-")</f>
        <v>✔</v>
      </c>
      <c r="AF174" s="444" t="str">
        <f>IF('Design Fee'!BI176&gt;0,"✔","-")</f>
        <v>✔</v>
      </c>
      <c r="AG174" s="444" t="str">
        <f>IF('Design Fee'!BJ176&gt;0,"✔","-")</f>
        <v>-</v>
      </c>
      <c r="AH174" s="444" t="str">
        <f>IF('Design Fee'!BK176&gt;0,"✔","-")</f>
        <v>-</v>
      </c>
      <c r="AI174" s="444" t="str">
        <f>IF('Design Fee'!BL176&gt;0,"✔","-")</f>
        <v>-</v>
      </c>
      <c r="AJ174" s="444" t="str">
        <f>IF('Design Fee'!BM176&gt;0,"✔","-")</f>
        <v>-</v>
      </c>
      <c r="AK174" s="466" t="str">
        <f>IF('Design Fee'!BN176&gt;0,"✔","-")</f>
        <v>-</v>
      </c>
      <c r="AL174" s="445"/>
      <c r="AM174" s="444" t="str">
        <f>IF('Design Fee'!BP176&gt;0,"✔","-")</f>
        <v>-</v>
      </c>
      <c r="AN174" s="444" t="str">
        <f>IF('Design Fee'!BQ176&gt;0,"✔","-")</f>
        <v>-</v>
      </c>
      <c r="AO174" s="444" t="str">
        <f>IF('Design Fee'!BR176&gt;0,"✔","-")</f>
        <v>-</v>
      </c>
      <c r="AP174" s="444" t="str">
        <f>IF('Design Fee'!BS176&gt;0,"✔","-")</f>
        <v>-</v>
      </c>
      <c r="AQ174" s="444" t="str">
        <f>IF('Design Fee'!BT176&gt;0,"✔","-")</f>
        <v>-</v>
      </c>
      <c r="AR174" s="445"/>
      <c r="AS174" s="449"/>
      <c r="AT174" s="442"/>
      <c r="AU174" s="443" t="str">
        <f>IF('Design Fee'!CQ176&gt;0,"✔","-")</f>
        <v>-</v>
      </c>
      <c r="AV174" s="443" t="str">
        <f>IF('Design Fee'!CR176&gt;0,"✔","-")</f>
        <v>-</v>
      </c>
      <c r="AW174" s="444" t="str">
        <f>IF('Design Fee'!CS176&gt;0,"✔","-")</f>
        <v>-</v>
      </c>
      <c r="AX174" s="444" t="str">
        <f>IF('Design Fee'!CT176&gt;0,"✔","-")</f>
        <v>-</v>
      </c>
      <c r="AY174" s="444" t="str">
        <f>IF('Design Fee'!CU176&gt;0,"✔","-")</f>
        <v>-</v>
      </c>
      <c r="AZ174" s="444" t="str">
        <f>IF('Design Fee'!CV176&gt;0,"✔","-")</f>
        <v>-</v>
      </c>
      <c r="BA174" s="444" t="str">
        <f>IF('Design Fee'!CW176&gt;0,"✔","-")</f>
        <v>-</v>
      </c>
      <c r="BB174" s="466" t="str">
        <f>IF('Design Fee'!CX176&gt;0,"✔","-")</f>
        <v>-</v>
      </c>
      <c r="BC174" s="445"/>
      <c r="BD174" s="444" t="str">
        <f>IF('Design Fee'!CZ176&gt;0,"✔","-")</f>
        <v>-</v>
      </c>
      <c r="BE174" s="444" t="str">
        <f>IF('Design Fee'!DA176&gt;0,"✔","-")</f>
        <v>-</v>
      </c>
      <c r="BF174" s="444" t="str">
        <f>IF('Design Fee'!DB176&gt;0,"✔","-")</f>
        <v>-</v>
      </c>
      <c r="BG174" s="444" t="str">
        <f>IF('Design Fee'!DC176&gt;0,"✔","-")</f>
        <v>-</v>
      </c>
      <c r="BH174" s="444" t="str">
        <f>IF('Design Fee'!DD176&gt;0,"✔","-")</f>
        <v>-</v>
      </c>
      <c r="BI174" s="445"/>
      <c r="BJ174" s="449"/>
      <c r="BK174" s="442"/>
      <c r="BL174" s="443" t="str">
        <f>IF('Design Fee'!EA176&gt;0,"✔","-")</f>
        <v>-</v>
      </c>
      <c r="BM174" s="443" t="str">
        <f>IF('Design Fee'!EB176&gt;0,"✔","-")</f>
        <v>-</v>
      </c>
      <c r="BN174" s="444" t="str">
        <f>IF('Design Fee'!EC176&gt;0,"✔","-")</f>
        <v>-</v>
      </c>
      <c r="BO174" s="444" t="str">
        <f>IF('Design Fee'!ED176&gt;0,"✔","-")</f>
        <v>-</v>
      </c>
      <c r="BP174" s="444" t="str">
        <f>IF('Design Fee'!EE176&gt;0,"✔","-")</f>
        <v>-</v>
      </c>
      <c r="BQ174" s="444" t="str">
        <f>IF('Design Fee'!EF176&gt;0,"✔","-")</f>
        <v>-</v>
      </c>
      <c r="BR174" s="444" t="str">
        <f>IF('Design Fee'!EG176&gt;0,"✔","-")</f>
        <v>-</v>
      </c>
      <c r="BS174" s="466" t="str">
        <f>IF('Design Fee'!EH176&gt;0,"✔","-")</f>
        <v>-</v>
      </c>
      <c r="BT174" s="383"/>
      <c r="BU174" s="444" t="str">
        <f>IF('Design Fee'!EJ176&gt;0,"✔","-")</f>
        <v>-</v>
      </c>
      <c r="BV174" s="444" t="str">
        <f>IF('Design Fee'!EK176&gt;0,"✔","-")</f>
        <v>-</v>
      </c>
      <c r="BW174" s="444" t="str">
        <f>IF('Design Fee'!EL176&gt;0,"✔","-")</f>
        <v>-</v>
      </c>
      <c r="BX174" s="444" t="str">
        <f>IF('Design Fee'!EM176&gt;0,"✔","-")</f>
        <v>-</v>
      </c>
      <c r="BY174" s="444" t="str">
        <f>IF('Design Fee'!EN176&gt;0,"✔","-")</f>
        <v>-</v>
      </c>
      <c r="BZ174" s="383"/>
    </row>
    <row r="175" spans="2:78" ht="12.75" outlineLevel="2">
      <c r="B175" s="483"/>
      <c r="C175" s="484"/>
      <c r="D175" s="465"/>
      <c r="E175" s="383"/>
      <c r="F175" s="443"/>
      <c r="G175" s="444"/>
      <c r="H175" s="444"/>
      <c r="I175" s="444"/>
      <c r="J175" s="430"/>
      <c r="K175" s="441"/>
      <c r="L175" s="442"/>
      <c r="M175" s="443" t="str">
        <f>IF('Design Fee'!W177&gt;0,"✔","-")</f>
        <v>-</v>
      </c>
      <c r="N175" s="443" t="str">
        <f>IF('Design Fee'!X177&gt;0,"✔","-")</f>
        <v>-</v>
      </c>
      <c r="O175" s="444" t="str">
        <f>IF('Design Fee'!Y177&gt;0,"✔","-")</f>
        <v>-</v>
      </c>
      <c r="P175" s="444" t="str">
        <f>IF('Design Fee'!Z177&gt;0,"✔","-")</f>
        <v>-</v>
      </c>
      <c r="Q175" s="444" t="str">
        <f>IF('Design Fee'!AA177&gt;0,"✔","-")</f>
        <v>-</v>
      </c>
      <c r="R175" s="444" t="str">
        <f>IF('Design Fee'!AB177&gt;0,"✔","-")</f>
        <v>-</v>
      </c>
      <c r="S175" s="444" t="str">
        <f>IF('Design Fee'!AC177&gt;0,"✔","-")</f>
        <v>-</v>
      </c>
      <c r="T175" s="466" t="str">
        <f>IF('Design Fee'!AD177&gt;0,"✔","-")</f>
        <v>-</v>
      </c>
      <c r="U175" s="430"/>
      <c r="V175" s="444" t="str">
        <f>IF('Design Fee'!AF177&gt;0,"✔","-")</f>
        <v>-</v>
      </c>
      <c r="W175" s="444" t="str">
        <f>IF('Design Fee'!AG177&gt;0,"✔","-")</f>
        <v>-</v>
      </c>
      <c r="X175" s="444" t="str">
        <f>IF('Design Fee'!AH177&gt;0,"✔","-")</f>
        <v>-</v>
      </c>
      <c r="Y175" s="444" t="str">
        <f>IF('Design Fee'!AI177&gt;0,"✔","-")</f>
        <v>-</v>
      </c>
      <c r="Z175" s="444" t="str">
        <f>IF('Design Fee'!AJ177&gt;0,"✔","-")</f>
        <v>-</v>
      </c>
      <c r="AA175" s="430"/>
      <c r="AB175" s="441"/>
      <c r="AC175" s="442"/>
      <c r="AD175" s="443" t="str">
        <f>IF('Design Fee'!BG177&gt;0,"✔","-")</f>
        <v>-</v>
      </c>
      <c r="AE175" s="443" t="str">
        <f>IF('Design Fee'!BH177&gt;0,"✔","-")</f>
        <v>-</v>
      </c>
      <c r="AF175" s="444" t="str">
        <f>IF('Design Fee'!BI177&gt;0,"✔","-")</f>
        <v>-</v>
      </c>
      <c r="AG175" s="444" t="str">
        <f>IF('Design Fee'!BJ177&gt;0,"✔","-")</f>
        <v>-</v>
      </c>
      <c r="AH175" s="444" t="str">
        <f>IF('Design Fee'!BK177&gt;0,"✔","-")</f>
        <v>-</v>
      </c>
      <c r="AI175" s="444" t="str">
        <f>IF('Design Fee'!BL177&gt;0,"✔","-")</f>
        <v>-</v>
      </c>
      <c r="AJ175" s="444" t="str">
        <f>IF('Design Fee'!BM177&gt;0,"✔","-")</f>
        <v>-</v>
      </c>
      <c r="AK175" s="466" t="str">
        <f>IF('Design Fee'!BN177&gt;0,"✔","-")</f>
        <v>-</v>
      </c>
      <c r="AL175" s="445"/>
      <c r="AM175" s="444" t="str">
        <f>IF('Design Fee'!BP177&gt;0,"✔","-")</f>
        <v>-</v>
      </c>
      <c r="AN175" s="444" t="str">
        <f>IF('Design Fee'!BQ177&gt;0,"✔","-")</f>
        <v>-</v>
      </c>
      <c r="AO175" s="444" t="str">
        <f>IF('Design Fee'!BR177&gt;0,"✔","-")</f>
        <v>-</v>
      </c>
      <c r="AP175" s="444" t="str">
        <f>IF('Design Fee'!BS177&gt;0,"✔","-")</f>
        <v>-</v>
      </c>
      <c r="AQ175" s="444" t="str">
        <f>IF('Design Fee'!BT177&gt;0,"✔","-")</f>
        <v>-</v>
      </c>
      <c r="AR175" s="445"/>
      <c r="AS175" s="441"/>
      <c r="AT175" s="442"/>
      <c r="AU175" s="443" t="str">
        <f>IF('Design Fee'!CQ177&gt;0,"✔","-")</f>
        <v>-</v>
      </c>
      <c r="AV175" s="443" t="str">
        <f>IF('Design Fee'!CR177&gt;0,"✔","-")</f>
        <v>-</v>
      </c>
      <c r="AW175" s="444" t="str">
        <f>IF('Design Fee'!CS177&gt;0,"✔","-")</f>
        <v>-</v>
      </c>
      <c r="AX175" s="444" t="str">
        <f>IF('Design Fee'!CT177&gt;0,"✔","-")</f>
        <v>-</v>
      </c>
      <c r="AY175" s="444" t="str">
        <f>IF('Design Fee'!CU177&gt;0,"✔","-")</f>
        <v>-</v>
      </c>
      <c r="AZ175" s="444" t="str">
        <f>IF('Design Fee'!CV177&gt;0,"✔","-")</f>
        <v>-</v>
      </c>
      <c r="BA175" s="444" t="str">
        <f>IF('Design Fee'!CW177&gt;0,"✔","-")</f>
        <v>-</v>
      </c>
      <c r="BB175" s="466" t="str">
        <f>IF('Design Fee'!CX177&gt;0,"✔","-")</f>
        <v>-</v>
      </c>
      <c r="BC175" s="445"/>
      <c r="BD175" s="444" t="str">
        <f>IF('Design Fee'!CZ177&gt;0,"✔","-")</f>
        <v>-</v>
      </c>
      <c r="BE175" s="444" t="str">
        <f>IF('Design Fee'!DA177&gt;0,"✔","-")</f>
        <v>-</v>
      </c>
      <c r="BF175" s="444" t="str">
        <f>IF('Design Fee'!DB177&gt;0,"✔","-")</f>
        <v>-</v>
      </c>
      <c r="BG175" s="444" t="str">
        <f>IF('Design Fee'!DC177&gt;0,"✔","-")</f>
        <v>-</v>
      </c>
      <c r="BH175" s="444" t="str">
        <f>IF('Design Fee'!DD177&gt;0,"✔","-")</f>
        <v>-</v>
      </c>
      <c r="BI175" s="445"/>
      <c r="BJ175" s="441"/>
      <c r="BK175" s="442"/>
      <c r="BL175" s="443" t="str">
        <f>IF('Design Fee'!EA177&gt;0,"✔","-")</f>
        <v>-</v>
      </c>
      <c r="BM175" s="443" t="str">
        <f>IF('Design Fee'!EB177&gt;0,"✔","-")</f>
        <v>-</v>
      </c>
      <c r="BN175" s="444" t="str">
        <f>IF('Design Fee'!EC177&gt;0,"✔","-")</f>
        <v>-</v>
      </c>
      <c r="BO175" s="444" t="str">
        <f>IF('Design Fee'!ED177&gt;0,"✔","-")</f>
        <v>-</v>
      </c>
      <c r="BP175" s="444" t="str">
        <f>IF('Design Fee'!EE177&gt;0,"✔","-")</f>
        <v>-</v>
      </c>
      <c r="BQ175" s="444" t="str">
        <f>IF('Design Fee'!EF177&gt;0,"✔","-")</f>
        <v>-</v>
      </c>
      <c r="BR175" s="444" t="str">
        <f>IF('Design Fee'!EG177&gt;0,"✔","-")</f>
        <v>-</v>
      </c>
      <c r="BS175" s="466" t="str">
        <f>IF('Design Fee'!EH177&gt;0,"✔","-")</f>
        <v>-</v>
      </c>
      <c r="BT175" s="383"/>
      <c r="BU175" s="444" t="str">
        <f>IF('Design Fee'!EJ177&gt;0,"✔","-")</f>
        <v>-</v>
      </c>
      <c r="BV175" s="444" t="str">
        <f>IF('Design Fee'!EK177&gt;0,"✔","-")</f>
        <v>-</v>
      </c>
      <c r="BW175" s="444" t="str">
        <f>IF('Design Fee'!EL177&gt;0,"✔","-")</f>
        <v>-</v>
      </c>
      <c r="BX175" s="444" t="str">
        <f>IF('Design Fee'!EM177&gt;0,"✔","-")</f>
        <v>-</v>
      </c>
      <c r="BY175" s="444" t="str">
        <f>IF('Design Fee'!EN177&gt;0,"✔","-")</f>
        <v>-</v>
      </c>
      <c r="BZ175" s="383"/>
    </row>
    <row r="176" spans="2:78" ht="12.75" outlineLevel="2">
      <c r="B176" s="483">
        <v>2.8</v>
      </c>
      <c r="C176" s="484">
        <v>2.8</v>
      </c>
      <c r="D176" s="485" t="s">
        <v>168</v>
      </c>
      <c r="E176" s="383"/>
      <c r="F176" s="408"/>
      <c r="G176" s="444"/>
      <c r="H176" s="444"/>
      <c r="I176" s="444"/>
      <c r="J176" s="430"/>
      <c r="K176" s="479"/>
      <c r="L176" s="479"/>
      <c r="M176" s="443" t="str">
        <f>IF('Design Fee'!W178&gt;0,"✔","-")</f>
        <v>-</v>
      </c>
      <c r="N176" s="443" t="str">
        <f>IF('Design Fee'!X178&gt;0,"✔","-")</f>
        <v>-</v>
      </c>
      <c r="O176" s="444" t="str">
        <f>IF('Design Fee'!Y178&gt;0,"✔","-")</f>
        <v>-</v>
      </c>
      <c r="P176" s="444" t="str">
        <f>IF('Design Fee'!Z178&gt;0,"✔","-")</f>
        <v>-</v>
      </c>
      <c r="Q176" s="444" t="str">
        <f>IF('Design Fee'!AA178&gt;0,"✔","-")</f>
        <v>-</v>
      </c>
      <c r="R176" s="444" t="str">
        <f>IF('Design Fee'!AB178&gt;0,"✔","-")</f>
        <v>-</v>
      </c>
      <c r="S176" s="444" t="str">
        <f>IF('Design Fee'!AC178&gt;0,"✔","-")</f>
        <v>-</v>
      </c>
      <c r="T176" s="466" t="str">
        <f>IF('Design Fee'!AD178&gt;0,"✔","-")</f>
        <v>-</v>
      </c>
      <c r="U176" s="430"/>
      <c r="V176" s="444" t="str">
        <f>IF('Design Fee'!AF178&gt;0,"✔","-")</f>
        <v>-</v>
      </c>
      <c r="W176" s="444" t="str">
        <f>IF('Design Fee'!AG178&gt;0,"✔","-")</f>
        <v>-</v>
      </c>
      <c r="X176" s="444" t="str">
        <f>IF('Design Fee'!AH178&gt;0,"✔","-")</f>
        <v>-</v>
      </c>
      <c r="Y176" s="444" t="str">
        <f>IF('Design Fee'!AI178&gt;0,"✔","-")</f>
        <v>-</v>
      </c>
      <c r="Z176" s="444" t="str">
        <f>IF('Design Fee'!AJ178&gt;0,"✔","-")</f>
        <v>-</v>
      </c>
      <c r="AA176" s="430"/>
      <c r="AB176" s="479"/>
      <c r="AC176" s="479"/>
      <c r="AD176" s="443"/>
      <c r="AE176" s="443"/>
      <c r="AF176" s="444" t="str">
        <f>IF('Design Fee'!BI178&gt;0,"✔","-")</f>
        <v>✔</v>
      </c>
      <c r="AG176" s="444"/>
      <c r="AH176" s="444"/>
      <c r="AI176" s="444" t="str">
        <f>IF('Design Fee'!BL178&gt;0,"✔","-")</f>
        <v>-</v>
      </c>
      <c r="AJ176" s="444" t="str">
        <f>IF('Design Fee'!BM178&gt;0,"✔","-")</f>
        <v>-</v>
      </c>
      <c r="AK176" s="466" t="str">
        <f>IF('Design Fee'!BN178&gt;0,"✔","-")</f>
        <v>-</v>
      </c>
      <c r="AL176" s="479"/>
      <c r="AM176" s="444"/>
      <c r="AN176" s="444"/>
      <c r="AO176" s="444" t="str">
        <f>IF('Design Fee'!BR178&gt;0,"✔","-")</f>
        <v>-</v>
      </c>
      <c r="AP176" s="444" t="str">
        <f>IF('Design Fee'!BS178&gt;0,"✔","-")</f>
        <v>-</v>
      </c>
      <c r="AQ176" s="444" t="str">
        <f>IF('Design Fee'!BT178&gt;0,"✔","-")</f>
        <v>-</v>
      </c>
      <c r="AR176" s="479"/>
      <c r="AS176" s="479"/>
      <c r="AT176" s="479"/>
      <c r="AU176" s="443" t="str">
        <f>IF('Design Fee'!CQ178&gt;0,"✔","-")</f>
        <v>-</v>
      </c>
      <c r="AV176" s="443" t="str">
        <f>IF('Design Fee'!CR178&gt;0,"✔","-")</f>
        <v>-</v>
      </c>
      <c r="AW176" s="444" t="str">
        <f>IF('Design Fee'!CS178&gt;0,"✔","-")</f>
        <v>-</v>
      </c>
      <c r="AX176" s="444" t="str">
        <f>IF('Design Fee'!CT178&gt;0,"✔","-")</f>
        <v>-</v>
      </c>
      <c r="AY176" s="444" t="str">
        <f>IF('Design Fee'!CU178&gt;0,"✔","-")</f>
        <v>-</v>
      </c>
      <c r="AZ176" s="444" t="str">
        <f>IF('Design Fee'!CV178&gt;0,"✔","-")</f>
        <v>-</v>
      </c>
      <c r="BA176" s="444" t="str">
        <f>IF('Design Fee'!CW178&gt;0,"✔","-")</f>
        <v>-</v>
      </c>
      <c r="BB176" s="466" t="str">
        <f>IF('Design Fee'!CX178&gt;0,"✔","-")</f>
        <v>-</v>
      </c>
      <c r="BC176" s="479"/>
      <c r="BD176" s="444" t="str">
        <f>IF('Design Fee'!CZ178&gt;0,"✔","-")</f>
        <v>-</v>
      </c>
      <c r="BE176" s="444" t="str">
        <f>IF('Design Fee'!DA178&gt;0,"✔","-")</f>
        <v>-</v>
      </c>
      <c r="BF176" s="444" t="str">
        <f>IF('Design Fee'!DB178&gt;0,"✔","-")</f>
        <v>-</v>
      </c>
      <c r="BG176" s="444" t="str">
        <f>IF('Design Fee'!DC178&gt;0,"✔","-")</f>
        <v>-</v>
      </c>
      <c r="BH176" s="444" t="str">
        <f>IF('Design Fee'!DD178&gt;0,"✔","-")</f>
        <v>-</v>
      </c>
      <c r="BI176" s="479"/>
      <c r="BJ176" s="479"/>
      <c r="BK176" s="479"/>
      <c r="BL176" s="443" t="str">
        <f>IF('Design Fee'!EA178&gt;0,"✔","-")</f>
        <v>-</v>
      </c>
      <c r="BM176" s="443" t="str">
        <f>IF('Design Fee'!EB178&gt;0,"✔","-")</f>
        <v>-</v>
      </c>
      <c r="BN176" s="444" t="str">
        <f>IF('Design Fee'!EC178&gt;0,"✔","-")</f>
        <v>-</v>
      </c>
      <c r="BO176" s="444" t="str">
        <f>IF('Design Fee'!ED178&gt;0,"✔","-")</f>
        <v>-</v>
      </c>
      <c r="BP176" s="444" t="str">
        <f>IF('Design Fee'!EE178&gt;0,"✔","-")</f>
        <v>-</v>
      </c>
      <c r="BQ176" s="444" t="str">
        <f>IF('Design Fee'!EF178&gt;0,"✔","-")</f>
        <v>-</v>
      </c>
      <c r="BR176" s="444" t="str">
        <f>IF('Design Fee'!EG178&gt;0,"✔","-")</f>
        <v>-</v>
      </c>
      <c r="BS176" s="466" t="str">
        <f>IF('Design Fee'!EH178&gt;0,"✔","-")</f>
        <v>-</v>
      </c>
      <c r="BT176" s="383"/>
      <c r="BU176" s="444" t="str">
        <f>IF('Design Fee'!EJ178&gt;0,"✔","-")</f>
        <v>-</v>
      </c>
      <c r="BV176" s="444" t="str">
        <f>IF('Design Fee'!EK178&gt;0,"✔","-")</f>
        <v>-</v>
      </c>
      <c r="BW176" s="444" t="str">
        <f>IF('Design Fee'!EL178&gt;0,"✔","-")</f>
        <v>-</v>
      </c>
      <c r="BX176" s="444" t="str">
        <f>IF('Design Fee'!EM178&gt;0,"✔","-")</f>
        <v>-</v>
      </c>
      <c r="BY176" s="444" t="str">
        <f>IF('Design Fee'!EN178&gt;0,"✔","-")</f>
        <v>-</v>
      </c>
      <c r="BZ176" s="383"/>
    </row>
    <row r="177" spans="2:78" ht="12.75" outlineLevel="3">
      <c r="B177" s="463" t="s">
        <v>158</v>
      </c>
      <c r="C177" s="464">
        <v>1</v>
      </c>
      <c r="D177" s="465" t="s">
        <v>152</v>
      </c>
      <c r="E177" s="383"/>
      <c r="F177" s="443">
        <f t="shared" ref="F177:H178" si="549">COUNTIF(M177,"✔")+COUNTIF(AD177,"✔")+COUNTIF(BL177,"✔")+COUNTIF(AU177,"✔")</f>
        <v>1</v>
      </c>
      <c r="G177" s="444">
        <f t="shared" si="549"/>
        <v>1</v>
      </c>
      <c r="H177" s="444">
        <f t="shared" si="549"/>
        <v>1</v>
      </c>
      <c r="I177" s="444">
        <f t="shared" ref="I177:I178" si="550">F177-G177</f>
        <v>0</v>
      </c>
      <c r="J177" s="430"/>
      <c r="K177" s="449"/>
      <c r="L177" s="442"/>
      <c r="M177" s="443" t="str">
        <f>IF('Design Fee'!W179&gt;0,"✔","-")</f>
        <v>-</v>
      </c>
      <c r="N177" s="443" t="str">
        <f>IF('Design Fee'!X179&gt;0,"✔","-")</f>
        <v>-</v>
      </c>
      <c r="O177" s="444" t="str">
        <f>IF('Design Fee'!Y179&gt;0,"✔","-")</f>
        <v>-</v>
      </c>
      <c r="P177" s="444" t="str">
        <f>IF('Design Fee'!Z179&gt;0,"✔","-")</f>
        <v>-</v>
      </c>
      <c r="Q177" s="444" t="str">
        <f>IF('Design Fee'!AA179&gt;0,"✔","-")</f>
        <v>-</v>
      </c>
      <c r="R177" s="444" t="str">
        <f>IF('Design Fee'!AB179&gt;0,"✔","-")</f>
        <v>-</v>
      </c>
      <c r="S177" s="444" t="str">
        <f>IF('Design Fee'!AC179&gt;0,"✔","-")</f>
        <v>-</v>
      </c>
      <c r="T177" s="466" t="str">
        <f>IF('Design Fee'!AD179&gt;0,"✔","-")</f>
        <v>-</v>
      </c>
      <c r="U177" s="430"/>
      <c r="V177" s="444" t="str">
        <f>IF('Design Fee'!AF179&gt;0,"✔","-")</f>
        <v>-</v>
      </c>
      <c r="W177" s="444" t="str">
        <f>IF('Design Fee'!AG179&gt;0,"✔","-")</f>
        <v>-</v>
      </c>
      <c r="X177" s="444" t="str">
        <f>IF('Design Fee'!AH179&gt;0,"✔","-")</f>
        <v>-</v>
      </c>
      <c r="Y177" s="444" t="str">
        <f>IF('Design Fee'!AI179&gt;0,"✔","-")</f>
        <v>-</v>
      </c>
      <c r="Z177" s="444" t="str">
        <f>IF('Design Fee'!AJ179&gt;0,"✔","-")</f>
        <v>-</v>
      </c>
      <c r="AA177" s="430"/>
      <c r="AB177" s="449"/>
      <c r="AC177" s="442"/>
      <c r="AD177" s="443" t="str">
        <f>IF('Design Fee'!BG179&gt;0,"✔","-")</f>
        <v>✔</v>
      </c>
      <c r="AE177" s="443" t="str">
        <f>IF('Design Fee'!BH179&gt;0,"✔","-")</f>
        <v>✔</v>
      </c>
      <c r="AF177" s="444" t="str">
        <f>IF('Design Fee'!BI179&gt;0,"✔","-")</f>
        <v>✔</v>
      </c>
      <c r="AG177" s="444" t="str">
        <f>IF('Design Fee'!BJ179&gt;0,"✔","-")</f>
        <v>-</v>
      </c>
      <c r="AH177" s="444" t="str">
        <f>IF('Design Fee'!BK179&gt;0,"✔","-")</f>
        <v>-</v>
      </c>
      <c r="AI177" s="444" t="str">
        <f>IF('Design Fee'!BL179&gt;0,"✔","-")</f>
        <v>-</v>
      </c>
      <c r="AJ177" s="444" t="str">
        <f>IF('Design Fee'!BM179&gt;0,"✔","-")</f>
        <v>-</v>
      </c>
      <c r="AK177" s="466" t="str">
        <f>IF('Design Fee'!BN179&gt;0,"✔","-")</f>
        <v>-</v>
      </c>
      <c r="AL177" s="445"/>
      <c r="AM177" s="444" t="str">
        <f>IF('Design Fee'!BP179&gt;0,"✔","-")</f>
        <v>-</v>
      </c>
      <c r="AN177" s="444" t="str">
        <f>IF('Design Fee'!BQ179&gt;0,"✔","-")</f>
        <v>-</v>
      </c>
      <c r="AO177" s="444" t="str">
        <f>IF('Design Fee'!BR179&gt;0,"✔","-")</f>
        <v>-</v>
      </c>
      <c r="AP177" s="444" t="str">
        <f>IF('Design Fee'!BS179&gt;0,"✔","-")</f>
        <v>-</v>
      </c>
      <c r="AQ177" s="444" t="str">
        <f>IF('Design Fee'!BT179&gt;0,"✔","-")</f>
        <v>-</v>
      </c>
      <c r="AR177" s="445"/>
      <c r="AS177" s="449"/>
      <c r="AT177" s="442"/>
      <c r="AU177" s="443" t="str">
        <f>IF('Design Fee'!CQ179&gt;0,"✔","-")</f>
        <v>-</v>
      </c>
      <c r="AV177" s="443" t="str">
        <f>IF('Design Fee'!CR179&gt;0,"✔","-")</f>
        <v>-</v>
      </c>
      <c r="AW177" s="444" t="str">
        <f>IF('Design Fee'!CS179&gt;0,"✔","-")</f>
        <v>-</v>
      </c>
      <c r="AX177" s="444" t="str">
        <f>IF('Design Fee'!CT179&gt;0,"✔","-")</f>
        <v>-</v>
      </c>
      <c r="AY177" s="444" t="str">
        <f>IF('Design Fee'!CU179&gt;0,"✔","-")</f>
        <v>-</v>
      </c>
      <c r="AZ177" s="444" t="str">
        <f>IF('Design Fee'!CV179&gt;0,"✔","-")</f>
        <v>-</v>
      </c>
      <c r="BA177" s="444" t="str">
        <f>IF('Design Fee'!CW179&gt;0,"✔","-")</f>
        <v>-</v>
      </c>
      <c r="BB177" s="466" t="str">
        <f>IF('Design Fee'!CX179&gt;0,"✔","-")</f>
        <v>-</v>
      </c>
      <c r="BC177" s="445"/>
      <c r="BD177" s="444" t="str">
        <f>IF('Design Fee'!CZ179&gt;0,"✔","-")</f>
        <v>-</v>
      </c>
      <c r="BE177" s="444" t="str">
        <f>IF('Design Fee'!DA179&gt;0,"✔","-")</f>
        <v>-</v>
      </c>
      <c r="BF177" s="444" t="str">
        <f>IF('Design Fee'!DB179&gt;0,"✔","-")</f>
        <v>-</v>
      </c>
      <c r="BG177" s="444" t="str">
        <f>IF('Design Fee'!DC179&gt;0,"✔","-")</f>
        <v>-</v>
      </c>
      <c r="BH177" s="444" t="str">
        <f>IF('Design Fee'!DD179&gt;0,"✔","-")</f>
        <v>-</v>
      </c>
      <c r="BI177" s="445"/>
      <c r="BJ177" s="449"/>
      <c r="BK177" s="442"/>
      <c r="BL177" s="443" t="str">
        <f>IF('Design Fee'!EA179&gt;0,"✔","-")</f>
        <v>-</v>
      </c>
      <c r="BM177" s="443" t="str">
        <f>IF('Design Fee'!EB179&gt;0,"✔","-")</f>
        <v>-</v>
      </c>
      <c r="BN177" s="444" t="str">
        <f>IF('Design Fee'!EC179&gt;0,"✔","-")</f>
        <v>-</v>
      </c>
      <c r="BO177" s="444" t="str">
        <f>IF('Design Fee'!ED179&gt;0,"✔","-")</f>
        <v>-</v>
      </c>
      <c r="BP177" s="444" t="str">
        <f>IF('Design Fee'!EE179&gt;0,"✔","-")</f>
        <v>-</v>
      </c>
      <c r="BQ177" s="444" t="str">
        <f>IF('Design Fee'!EF179&gt;0,"✔","-")</f>
        <v>-</v>
      </c>
      <c r="BR177" s="444" t="str">
        <f>IF('Design Fee'!EG179&gt;0,"✔","-")</f>
        <v>-</v>
      </c>
      <c r="BS177" s="466" t="str">
        <f>IF('Design Fee'!EH179&gt;0,"✔","-")</f>
        <v>-</v>
      </c>
      <c r="BT177" s="383"/>
      <c r="BU177" s="444" t="str">
        <f>IF('Design Fee'!EJ179&gt;0,"✔","-")</f>
        <v>-</v>
      </c>
      <c r="BV177" s="444" t="str">
        <f>IF('Design Fee'!EK179&gt;0,"✔","-")</f>
        <v>-</v>
      </c>
      <c r="BW177" s="444" t="str">
        <f>IF('Design Fee'!EL179&gt;0,"✔","-")</f>
        <v>-</v>
      </c>
      <c r="BX177" s="444" t="str">
        <f>IF('Design Fee'!EM179&gt;0,"✔","-")</f>
        <v>-</v>
      </c>
      <c r="BY177" s="444" t="str">
        <f>IF('Design Fee'!EN179&gt;0,"✔","-")</f>
        <v>-</v>
      </c>
      <c r="BZ177" s="383"/>
    </row>
    <row r="178" spans="2:78" ht="12.75" outlineLevel="3">
      <c r="B178" s="463" t="s">
        <v>159</v>
      </c>
      <c r="C178" s="464">
        <v>2</v>
      </c>
      <c r="D178" s="465" t="s">
        <v>154</v>
      </c>
      <c r="E178" s="383"/>
      <c r="F178" s="443">
        <f t="shared" si="549"/>
        <v>1</v>
      </c>
      <c r="G178" s="444">
        <f t="shared" si="549"/>
        <v>1</v>
      </c>
      <c r="H178" s="444">
        <f t="shared" si="549"/>
        <v>1</v>
      </c>
      <c r="I178" s="444">
        <f t="shared" si="550"/>
        <v>0</v>
      </c>
      <c r="J178" s="430"/>
      <c r="K178" s="449"/>
      <c r="L178" s="442"/>
      <c r="M178" s="443" t="str">
        <f>IF('Design Fee'!W180&gt;0,"✔","-")</f>
        <v>-</v>
      </c>
      <c r="N178" s="443" t="str">
        <f>IF('Design Fee'!X180&gt;0,"✔","-")</f>
        <v>-</v>
      </c>
      <c r="O178" s="444" t="str">
        <f>IF('Design Fee'!Y180&gt;0,"✔","-")</f>
        <v>-</v>
      </c>
      <c r="P178" s="444" t="str">
        <f>IF('Design Fee'!Z180&gt;0,"✔","-")</f>
        <v>-</v>
      </c>
      <c r="Q178" s="444" t="str">
        <f>IF('Design Fee'!AA180&gt;0,"✔","-")</f>
        <v>-</v>
      </c>
      <c r="R178" s="444" t="str">
        <f>IF('Design Fee'!AB180&gt;0,"✔","-")</f>
        <v>-</v>
      </c>
      <c r="S178" s="444" t="str">
        <f>IF('Design Fee'!AC180&gt;0,"✔","-")</f>
        <v>-</v>
      </c>
      <c r="T178" s="466" t="str">
        <f>IF('Design Fee'!AD180&gt;0,"✔","-")</f>
        <v>-</v>
      </c>
      <c r="U178" s="430"/>
      <c r="V178" s="444" t="str">
        <f>IF('Design Fee'!AF180&gt;0,"✔","-")</f>
        <v>-</v>
      </c>
      <c r="W178" s="444" t="str">
        <f>IF('Design Fee'!AG180&gt;0,"✔","-")</f>
        <v>-</v>
      </c>
      <c r="X178" s="444" t="str">
        <f>IF('Design Fee'!AH180&gt;0,"✔","-")</f>
        <v>-</v>
      </c>
      <c r="Y178" s="444" t="str">
        <f>IF('Design Fee'!AI180&gt;0,"✔","-")</f>
        <v>-</v>
      </c>
      <c r="Z178" s="444" t="str">
        <f>IF('Design Fee'!AJ180&gt;0,"✔","-")</f>
        <v>-</v>
      </c>
      <c r="AA178" s="430"/>
      <c r="AB178" s="449"/>
      <c r="AC178" s="442"/>
      <c r="AD178" s="443" t="str">
        <f>IF('Design Fee'!BG180&gt;0,"✔","-")</f>
        <v>✔</v>
      </c>
      <c r="AE178" s="443" t="str">
        <f>IF('Design Fee'!BH180&gt;0,"✔","-")</f>
        <v>✔</v>
      </c>
      <c r="AF178" s="444" t="str">
        <f>IF('Design Fee'!BI180&gt;0,"✔","-")</f>
        <v>✔</v>
      </c>
      <c r="AG178" s="444" t="str">
        <f>IF('Design Fee'!BJ180&gt;0,"✔","-")</f>
        <v>-</v>
      </c>
      <c r="AH178" s="444" t="str">
        <f>IF('Design Fee'!BK180&gt;0,"✔","-")</f>
        <v>-</v>
      </c>
      <c r="AI178" s="444" t="str">
        <f>IF('Design Fee'!BL180&gt;0,"✔","-")</f>
        <v>-</v>
      </c>
      <c r="AJ178" s="444" t="str">
        <f>IF('Design Fee'!BM180&gt;0,"✔","-")</f>
        <v>-</v>
      </c>
      <c r="AK178" s="466" t="str">
        <f>IF('Design Fee'!BN180&gt;0,"✔","-")</f>
        <v>-</v>
      </c>
      <c r="AL178" s="445"/>
      <c r="AM178" s="444" t="str">
        <f>IF('Design Fee'!BP180&gt;0,"✔","-")</f>
        <v>-</v>
      </c>
      <c r="AN178" s="444" t="str">
        <f>IF('Design Fee'!BQ180&gt;0,"✔","-")</f>
        <v>-</v>
      </c>
      <c r="AO178" s="444" t="str">
        <f>IF('Design Fee'!BR180&gt;0,"✔","-")</f>
        <v>-</v>
      </c>
      <c r="AP178" s="444" t="str">
        <f>IF('Design Fee'!BS180&gt;0,"✔","-")</f>
        <v>-</v>
      </c>
      <c r="AQ178" s="444" t="str">
        <f>IF('Design Fee'!BT180&gt;0,"✔","-")</f>
        <v>-</v>
      </c>
      <c r="AR178" s="445"/>
      <c r="AS178" s="449"/>
      <c r="AT178" s="442"/>
      <c r="AU178" s="443" t="str">
        <f>IF('Design Fee'!CQ180&gt;0,"✔","-")</f>
        <v>-</v>
      </c>
      <c r="AV178" s="443" t="str">
        <f>IF('Design Fee'!CR180&gt;0,"✔","-")</f>
        <v>-</v>
      </c>
      <c r="AW178" s="444" t="str">
        <f>IF('Design Fee'!CS180&gt;0,"✔","-")</f>
        <v>-</v>
      </c>
      <c r="AX178" s="444" t="str">
        <f>IF('Design Fee'!CT180&gt;0,"✔","-")</f>
        <v>-</v>
      </c>
      <c r="AY178" s="444" t="str">
        <f>IF('Design Fee'!CU180&gt;0,"✔","-")</f>
        <v>-</v>
      </c>
      <c r="AZ178" s="444" t="str">
        <f>IF('Design Fee'!CV180&gt;0,"✔","-")</f>
        <v>-</v>
      </c>
      <c r="BA178" s="444" t="str">
        <f>IF('Design Fee'!CW180&gt;0,"✔","-")</f>
        <v>-</v>
      </c>
      <c r="BB178" s="466" t="str">
        <f>IF('Design Fee'!CX180&gt;0,"✔","-")</f>
        <v>-</v>
      </c>
      <c r="BC178" s="445"/>
      <c r="BD178" s="444" t="str">
        <f>IF('Design Fee'!CZ180&gt;0,"✔","-")</f>
        <v>-</v>
      </c>
      <c r="BE178" s="444" t="str">
        <f>IF('Design Fee'!DA180&gt;0,"✔","-")</f>
        <v>-</v>
      </c>
      <c r="BF178" s="444" t="str">
        <f>IF('Design Fee'!DB180&gt;0,"✔","-")</f>
        <v>-</v>
      </c>
      <c r="BG178" s="444" t="str">
        <f>IF('Design Fee'!DC180&gt;0,"✔","-")</f>
        <v>-</v>
      </c>
      <c r="BH178" s="444" t="str">
        <f>IF('Design Fee'!DD180&gt;0,"✔","-")</f>
        <v>-</v>
      </c>
      <c r="BI178" s="445"/>
      <c r="BJ178" s="449"/>
      <c r="BK178" s="442"/>
      <c r="BL178" s="443" t="str">
        <f>IF('Design Fee'!EA180&gt;0,"✔","-")</f>
        <v>-</v>
      </c>
      <c r="BM178" s="443" t="str">
        <f>IF('Design Fee'!EB180&gt;0,"✔","-")</f>
        <v>-</v>
      </c>
      <c r="BN178" s="444" t="str">
        <f>IF('Design Fee'!EC180&gt;0,"✔","-")</f>
        <v>-</v>
      </c>
      <c r="BO178" s="444" t="str">
        <f>IF('Design Fee'!ED180&gt;0,"✔","-")</f>
        <v>-</v>
      </c>
      <c r="BP178" s="444" t="str">
        <f>IF('Design Fee'!EE180&gt;0,"✔","-")</f>
        <v>-</v>
      </c>
      <c r="BQ178" s="444" t="str">
        <f>IF('Design Fee'!EF180&gt;0,"✔","-")</f>
        <v>-</v>
      </c>
      <c r="BR178" s="444" t="str">
        <f>IF('Design Fee'!EG180&gt;0,"✔","-")</f>
        <v>-</v>
      </c>
      <c r="BS178" s="466" t="str">
        <f>IF('Design Fee'!EH180&gt;0,"✔","-")</f>
        <v>-</v>
      </c>
      <c r="BT178" s="383"/>
      <c r="BU178" s="444" t="str">
        <f>IF('Design Fee'!EJ180&gt;0,"✔","-")</f>
        <v>-</v>
      </c>
      <c r="BV178" s="444" t="str">
        <f>IF('Design Fee'!EK180&gt;0,"✔","-")</f>
        <v>-</v>
      </c>
      <c r="BW178" s="444" t="str">
        <f>IF('Design Fee'!EL180&gt;0,"✔","-")</f>
        <v>-</v>
      </c>
      <c r="BX178" s="444" t="str">
        <f>IF('Design Fee'!EM180&gt;0,"✔","-")</f>
        <v>-</v>
      </c>
      <c r="BY178" s="444" t="str">
        <f>IF('Design Fee'!EN180&gt;0,"✔","-")</f>
        <v>-</v>
      </c>
      <c r="BZ178" s="383"/>
    </row>
    <row r="179" spans="2:78" ht="12.75" outlineLevel="2">
      <c r="B179" s="483"/>
      <c r="C179" s="484"/>
      <c r="D179" s="465"/>
      <c r="E179" s="383"/>
      <c r="F179" s="443"/>
      <c r="G179" s="444"/>
      <c r="H179" s="444"/>
      <c r="I179" s="444"/>
      <c r="J179" s="430"/>
      <c r="K179" s="441"/>
      <c r="L179" s="442"/>
      <c r="M179" s="443" t="str">
        <f>IF('Design Fee'!W181&gt;0,"✔","-")</f>
        <v>-</v>
      </c>
      <c r="N179" s="443" t="str">
        <f>IF('Design Fee'!X181&gt;0,"✔","-")</f>
        <v>-</v>
      </c>
      <c r="O179" s="444" t="str">
        <f>IF('Design Fee'!Y181&gt;0,"✔","-")</f>
        <v>-</v>
      </c>
      <c r="P179" s="444" t="str">
        <f>IF('Design Fee'!Z181&gt;0,"✔","-")</f>
        <v>-</v>
      </c>
      <c r="Q179" s="444" t="str">
        <f>IF('Design Fee'!AA181&gt;0,"✔","-")</f>
        <v>-</v>
      </c>
      <c r="R179" s="444" t="str">
        <f>IF('Design Fee'!AB181&gt;0,"✔","-")</f>
        <v>-</v>
      </c>
      <c r="S179" s="444" t="str">
        <f>IF('Design Fee'!AC181&gt;0,"✔","-")</f>
        <v>-</v>
      </c>
      <c r="T179" s="466" t="str">
        <f>IF('Design Fee'!AD181&gt;0,"✔","-")</f>
        <v>-</v>
      </c>
      <c r="U179" s="430"/>
      <c r="V179" s="444" t="str">
        <f>IF('Design Fee'!AF181&gt;0,"✔","-")</f>
        <v>-</v>
      </c>
      <c r="W179" s="444" t="str">
        <f>IF('Design Fee'!AG181&gt;0,"✔","-")</f>
        <v>-</v>
      </c>
      <c r="X179" s="444" t="str">
        <f>IF('Design Fee'!AH181&gt;0,"✔","-")</f>
        <v>-</v>
      </c>
      <c r="Y179" s="444" t="str">
        <f>IF('Design Fee'!AI181&gt;0,"✔","-")</f>
        <v>-</v>
      </c>
      <c r="Z179" s="444" t="str">
        <f>IF('Design Fee'!AJ181&gt;0,"✔","-")</f>
        <v>-</v>
      </c>
      <c r="AA179" s="430"/>
      <c r="AB179" s="441"/>
      <c r="AC179" s="442"/>
      <c r="AD179" s="443" t="str">
        <f>IF('Design Fee'!BG181&gt;0,"✔","-")</f>
        <v>-</v>
      </c>
      <c r="AE179" s="443" t="str">
        <f>IF('Design Fee'!BH181&gt;0,"✔","-")</f>
        <v>-</v>
      </c>
      <c r="AF179" s="444" t="str">
        <f>IF('Design Fee'!BI181&gt;0,"✔","-")</f>
        <v>-</v>
      </c>
      <c r="AG179" s="444" t="str">
        <f>IF('Design Fee'!BJ181&gt;0,"✔","-")</f>
        <v>-</v>
      </c>
      <c r="AH179" s="444" t="str">
        <f>IF('Design Fee'!BK181&gt;0,"✔","-")</f>
        <v>-</v>
      </c>
      <c r="AI179" s="444" t="str">
        <f>IF('Design Fee'!BL181&gt;0,"✔","-")</f>
        <v>-</v>
      </c>
      <c r="AJ179" s="444" t="str">
        <f>IF('Design Fee'!BM181&gt;0,"✔","-")</f>
        <v>-</v>
      </c>
      <c r="AK179" s="466" t="str">
        <f>IF('Design Fee'!BN181&gt;0,"✔","-")</f>
        <v>-</v>
      </c>
      <c r="AL179" s="445"/>
      <c r="AM179" s="444" t="str">
        <f>IF('Design Fee'!BP181&gt;0,"✔","-")</f>
        <v>-</v>
      </c>
      <c r="AN179" s="444" t="str">
        <f>IF('Design Fee'!BQ181&gt;0,"✔","-")</f>
        <v>-</v>
      </c>
      <c r="AO179" s="444" t="str">
        <f>IF('Design Fee'!BR181&gt;0,"✔","-")</f>
        <v>-</v>
      </c>
      <c r="AP179" s="444" t="str">
        <f>IF('Design Fee'!BS181&gt;0,"✔","-")</f>
        <v>-</v>
      </c>
      <c r="AQ179" s="444" t="str">
        <f>IF('Design Fee'!BT181&gt;0,"✔","-")</f>
        <v>-</v>
      </c>
      <c r="AR179" s="445"/>
      <c r="AS179" s="441"/>
      <c r="AT179" s="442"/>
      <c r="AU179" s="443" t="str">
        <f>IF('Design Fee'!CQ181&gt;0,"✔","-")</f>
        <v>-</v>
      </c>
      <c r="AV179" s="443" t="str">
        <f>IF('Design Fee'!CR181&gt;0,"✔","-")</f>
        <v>-</v>
      </c>
      <c r="AW179" s="444" t="str">
        <f>IF('Design Fee'!CS181&gt;0,"✔","-")</f>
        <v>-</v>
      </c>
      <c r="AX179" s="444" t="str">
        <f>IF('Design Fee'!CT181&gt;0,"✔","-")</f>
        <v>-</v>
      </c>
      <c r="AY179" s="444" t="str">
        <f>IF('Design Fee'!CU181&gt;0,"✔","-")</f>
        <v>-</v>
      </c>
      <c r="AZ179" s="444" t="str">
        <f>IF('Design Fee'!CV181&gt;0,"✔","-")</f>
        <v>-</v>
      </c>
      <c r="BA179" s="444" t="str">
        <f>IF('Design Fee'!CW181&gt;0,"✔","-")</f>
        <v>-</v>
      </c>
      <c r="BB179" s="466" t="str">
        <f>IF('Design Fee'!CX181&gt;0,"✔","-")</f>
        <v>-</v>
      </c>
      <c r="BC179" s="445"/>
      <c r="BD179" s="444" t="str">
        <f>IF('Design Fee'!CZ181&gt;0,"✔","-")</f>
        <v>-</v>
      </c>
      <c r="BE179" s="444" t="str">
        <f>IF('Design Fee'!DA181&gt;0,"✔","-")</f>
        <v>-</v>
      </c>
      <c r="BF179" s="444" t="str">
        <f>IF('Design Fee'!DB181&gt;0,"✔","-")</f>
        <v>-</v>
      </c>
      <c r="BG179" s="444" t="str">
        <f>IF('Design Fee'!DC181&gt;0,"✔","-")</f>
        <v>-</v>
      </c>
      <c r="BH179" s="444" t="str">
        <f>IF('Design Fee'!DD181&gt;0,"✔","-")</f>
        <v>-</v>
      </c>
      <c r="BI179" s="445"/>
      <c r="BJ179" s="441"/>
      <c r="BK179" s="442"/>
      <c r="BL179" s="443" t="str">
        <f>IF('Design Fee'!EA181&gt;0,"✔","-")</f>
        <v>-</v>
      </c>
      <c r="BM179" s="443" t="str">
        <f>IF('Design Fee'!EB181&gt;0,"✔","-")</f>
        <v>-</v>
      </c>
      <c r="BN179" s="444" t="str">
        <f>IF('Design Fee'!EC181&gt;0,"✔","-")</f>
        <v>-</v>
      </c>
      <c r="BO179" s="444" t="str">
        <f>IF('Design Fee'!ED181&gt;0,"✔","-")</f>
        <v>-</v>
      </c>
      <c r="BP179" s="444" t="str">
        <f>IF('Design Fee'!EE181&gt;0,"✔","-")</f>
        <v>-</v>
      </c>
      <c r="BQ179" s="444" t="str">
        <f>IF('Design Fee'!EF181&gt;0,"✔","-")</f>
        <v>-</v>
      </c>
      <c r="BR179" s="444" t="str">
        <f>IF('Design Fee'!EG181&gt;0,"✔","-")</f>
        <v>-</v>
      </c>
      <c r="BS179" s="466" t="str">
        <f>IF('Design Fee'!EH181&gt;0,"✔","-")</f>
        <v>-</v>
      </c>
      <c r="BT179" s="383"/>
      <c r="BU179" s="444" t="str">
        <f>IF('Design Fee'!EJ181&gt;0,"✔","-")</f>
        <v>-</v>
      </c>
      <c r="BV179" s="444" t="str">
        <f>IF('Design Fee'!EK181&gt;0,"✔","-")</f>
        <v>-</v>
      </c>
      <c r="BW179" s="444" t="str">
        <f>IF('Design Fee'!EL181&gt;0,"✔","-")</f>
        <v>-</v>
      </c>
      <c r="BX179" s="444" t="str">
        <f>IF('Design Fee'!EM181&gt;0,"✔","-")</f>
        <v>-</v>
      </c>
      <c r="BY179" s="444" t="str">
        <f>IF('Design Fee'!EN181&gt;0,"✔","-")</f>
        <v>-</v>
      </c>
      <c r="BZ179" s="383"/>
    </row>
    <row r="180" spans="2:78" ht="12.75" outlineLevel="2">
      <c r="B180" s="483">
        <v>2.9</v>
      </c>
      <c r="C180" s="484">
        <v>2.9</v>
      </c>
      <c r="D180" s="485" t="s">
        <v>169</v>
      </c>
      <c r="E180" s="383"/>
      <c r="F180" s="408"/>
      <c r="G180" s="444"/>
      <c r="H180" s="444"/>
      <c r="I180" s="444"/>
      <c r="J180" s="430"/>
      <c r="K180" s="479"/>
      <c r="L180" s="479"/>
      <c r="M180" s="443" t="str">
        <f>IF('Design Fee'!W182&gt;0,"✔","-")</f>
        <v>-</v>
      </c>
      <c r="N180" s="443" t="str">
        <f>IF('Design Fee'!X182&gt;0,"✔","-")</f>
        <v>-</v>
      </c>
      <c r="O180" s="444" t="str">
        <f>IF('Design Fee'!Y182&gt;0,"✔","-")</f>
        <v>-</v>
      </c>
      <c r="P180" s="444" t="str">
        <f>IF('Design Fee'!Z182&gt;0,"✔","-")</f>
        <v>-</v>
      </c>
      <c r="Q180" s="444" t="str">
        <f>IF('Design Fee'!AA182&gt;0,"✔","-")</f>
        <v>-</v>
      </c>
      <c r="R180" s="444" t="str">
        <f>IF('Design Fee'!AB182&gt;0,"✔","-")</f>
        <v>-</v>
      </c>
      <c r="S180" s="444" t="str">
        <f>IF('Design Fee'!AC182&gt;0,"✔","-")</f>
        <v>-</v>
      </c>
      <c r="T180" s="466" t="str">
        <f>IF('Design Fee'!AD182&gt;0,"✔","-")</f>
        <v>-</v>
      </c>
      <c r="U180" s="430"/>
      <c r="V180" s="444" t="str">
        <f>IF('Design Fee'!AF182&gt;0,"✔","-")</f>
        <v>-</v>
      </c>
      <c r="W180" s="444" t="str">
        <f>IF('Design Fee'!AG182&gt;0,"✔","-")</f>
        <v>-</v>
      </c>
      <c r="X180" s="444" t="str">
        <f>IF('Design Fee'!AH182&gt;0,"✔","-")</f>
        <v>-</v>
      </c>
      <c r="Y180" s="444" t="str">
        <f>IF('Design Fee'!AI182&gt;0,"✔","-")</f>
        <v>-</v>
      </c>
      <c r="Z180" s="444" t="str">
        <f>IF('Design Fee'!AJ182&gt;0,"✔","-")</f>
        <v>-</v>
      </c>
      <c r="AA180" s="430"/>
      <c r="AB180" s="479"/>
      <c r="AC180" s="479"/>
      <c r="AD180" s="443"/>
      <c r="AE180" s="443"/>
      <c r="AF180" s="444"/>
      <c r="AG180" s="444" t="str">
        <f>IF('Design Fee'!BJ182&gt;0,"✔","-")</f>
        <v>-</v>
      </c>
      <c r="AH180" s="444" t="str">
        <f>IF('Design Fee'!BK182&gt;0,"✔","-")</f>
        <v>-</v>
      </c>
      <c r="AI180" s="444" t="str">
        <f>IF('Design Fee'!BL182&gt;0,"✔","-")</f>
        <v>-</v>
      </c>
      <c r="AJ180" s="444" t="str">
        <f>IF('Design Fee'!BM182&gt;0,"✔","-")</f>
        <v>-</v>
      </c>
      <c r="AK180" s="466" t="str">
        <f>IF('Design Fee'!BN182&gt;0,"✔","-")</f>
        <v>-</v>
      </c>
      <c r="AL180" s="479"/>
      <c r="AM180" s="444" t="str">
        <f>IF('Design Fee'!BP182&gt;0,"✔","-")</f>
        <v>-</v>
      </c>
      <c r="AN180" s="444" t="str">
        <f>IF('Design Fee'!BQ182&gt;0,"✔","-")</f>
        <v>-</v>
      </c>
      <c r="AO180" s="444" t="str">
        <f>IF('Design Fee'!BR182&gt;0,"✔","-")</f>
        <v>-</v>
      </c>
      <c r="AP180" s="444" t="str">
        <f>IF('Design Fee'!BS182&gt;0,"✔","-")</f>
        <v>-</v>
      </c>
      <c r="AQ180" s="444" t="str">
        <f>IF('Design Fee'!BT182&gt;0,"✔","-")</f>
        <v>-</v>
      </c>
      <c r="AR180" s="479"/>
      <c r="AS180" s="479"/>
      <c r="AT180" s="479"/>
      <c r="AU180" s="443" t="str">
        <f>IF('Design Fee'!CQ182&gt;0,"✔","-")</f>
        <v>-</v>
      </c>
      <c r="AV180" s="443" t="str">
        <f>IF('Design Fee'!CR182&gt;0,"✔","-")</f>
        <v>-</v>
      </c>
      <c r="AW180" s="444" t="str">
        <f>IF('Design Fee'!CS182&gt;0,"✔","-")</f>
        <v>-</v>
      </c>
      <c r="AX180" s="444" t="str">
        <f>IF('Design Fee'!CT182&gt;0,"✔","-")</f>
        <v>-</v>
      </c>
      <c r="AY180" s="444" t="str">
        <f>IF('Design Fee'!CU182&gt;0,"✔","-")</f>
        <v>-</v>
      </c>
      <c r="AZ180" s="444" t="str">
        <f>IF('Design Fee'!CV182&gt;0,"✔","-")</f>
        <v>-</v>
      </c>
      <c r="BA180" s="444" t="str">
        <f>IF('Design Fee'!CW182&gt;0,"✔","-")</f>
        <v>-</v>
      </c>
      <c r="BB180" s="466" t="str">
        <f>IF('Design Fee'!CX182&gt;0,"✔","-")</f>
        <v>-</v>
      </c>
      <c r="BC180" s="479"/>
      <c r="BD180" s="444" t="str">
        <f>IF('Design Fee'!CZ182&gt;0,"✔","-")</f>
        <v>-</v>
      </c>
      <c r="BE180" s="444" t="str">
        <f>IF('Design Fee'!DA182&gt;0,"✔","-")</f>
        <v>-</v>
      </c>
      <c r="BF180" s="444" t="str">
        <f>IF('Design Fee'!DB182&gt;0,"✔","-")</f>
        <v>-</v>
      </c>
      <c r="BG180" s="444" t="str">
        <f>IF('Design Fee'!DC182&gt;0,"✔","-")</f>
        <v>-</v>
      </c>
      <c r="BH180" s="444" t="str">
        <f>IF('Design Fee'!DD182&gt;0,"✔","-")</f>
        <v>-</v>
      </c>
      <c r="BI180" s="479"/>
      <c r="BJ180" s="479"/>
      <c r="BK180" s="479"/>
      <c r="BL180" s="443" t="str">
        <f>IF('Design Fee'!EA182&gt;0,"✔","-")</f>
        <v>-</v>
      </c>
      <c r="BM180" s="443" t="str">
        <f>IF('Design Fee'!EB182&gt;0,"✔","-")</f>
        <v>-</v>
      </c>
      <c r="BN180" s="444" t="str">
        <f>IF('Design Fee'!EC182&gt;0,"✔","-")</f>
        <v>-</v>
      </c>
      <c r="BO180" s="444" t="str">
        <f>IF('Design Fee'!ED182&gt;0,"✔","-")</f>
        <v>-</v>
      </c>
      <c r="BP180" s="444" t="str">
        <f>IF('Design Fee'!EE182&gt;0,"✔","-")</f>
        <v>-</v>
      </c>
      <c r="BQ180" s="444" t="str">
        <f>IF('Design Fee'!EF182&gt;0,"✔","-")</f>
        <v>-</v>
      </c>
      <c r="BR180" s="444" t="str">
        <f>IF('Design Fee'!EG182&gt;0,"✔","-")</f>
        <v>-</v>
      </c>
      <c r="BS180" s="466" t="str">
        <f>IF('Design Fee'!EH182&gt;0,"✔","-")</f>
        <v>-</v>
      </c>
      <c r="BT180" s="383"/>
      <c r="BU180" s="444" t="str">
        <f>IF('Design Fee'!EJ182&gt;0,"✔","-")</f>
        <v>-</v>
      </c>
      <c r="BV180" s="444" t="str">
        <f>IF('Design Fee'!EK182&gt;0,"✔","-")</f>
        <v>-</v>
      </c>
      <c r="BW180" s="444" t="str">
        <f>IF('Design Fee'!EL182&gt;0,"✔","-")</f>
        <v>-</v>
      </c>
      <c r="BX180" s="444" t="str">
        <f>IF('Design Fee'!EM182&gt;0,"✔","-")</f>
        <v>-</v>
      </c>
      <c r="BY180" s="444" t="str">
        <f>IF('Design Fee'!EN182&gt;0,"✔","-")</f>
        <v>-</v>
      </c>
      <c r="BZ180" s="383"/>
    </row>
    <row r="181" spans="2:78" ht="12.75" outlineLevel="3">
      <c r="B181" s="463" t="s">
        <v>170</v>
      </c>
      <c r="C181" s="464">
        <v>1</v>
      </c>
      <c r="D181" s="465" t="s">
        <v>152</v>
      </c>
      <c r="E181" s="383"/>
      <c r="F181" s="443">
        <f t="shared" ref="F181:H182" si="551">COUNTIF(M181,"✔")+COUNTIF(AD181,"✔")+COUNTIF(BL181,"✔")+COUNTIF(AU181,"✔")</f>
        <v>1</v>
      </c>
      <c r="G181" s="444">
        <f t="shared" si="551"/>
        <v>1</v>
      </c>
      <c r="H181" s="444">
        <f t="shared" si="551"/>
        <v>1</v>
      </c>
      <c r="I181" s="444">
        <f t="shared" ref="I181:I182" si="552">F181-G181</f>
        <v>0</v>
      </c>
      <c r="J181" s="430"/>
      <c r="K181" s="449"/>
      <c r="L181" s="442"/>
      <c r="M181" s="443" t="str">
        <f>IF('Design Fee'!W183&gt;0,"✔","-")</f>
        <v>-</v>
      </c>
      <c r="N181" s="443" t="str">
        <f>IF('Design Fee'!X183&gt;0,"✔","-")</f>
        <v>-</v>
      </c>
      <c r="O181" s="444" t="str">
        <f>IF('Design Fee'!Y183&gt;0,"✔","-")</f>
        <v>-</v>
      </c>
      <c r="P181" s="444" t="str">
        <f>IF('Design Fee'!Z183&gt;0,"✔","-")</f>
        <v>-</v>
      </c>
      <c r="Q181" s="444" t="str">
        <f>IF('Design Fee'!AA183&gt;0,"✔","-")</f>
        <v>-</v>
      </c>
      <c r="R181" s="444" t="str">
        <f>IF('Design Fee'!AB183&gt;0,"✔","-")</f>
        <v>-</v>
      </c>
      <c r="S181" s="444" t="str">
        <f>IF('Design Fee'!AC183&gt;0,"✔","-")</f>
        <v>-</v>
      </c>
      <c r="T181" s="466" t="str">
        <f>IF('Design Fee'!AD183&gt;0,"✔","-")</f>
        <v>-</v>
      </c>
      <c r="U181" s="430"/>
      <c r="V181" s="444" t="str">
        <f>IF('Design Fee'!AF183&gt;0,"✔","-")</f>
        <v>-</v>
      </c>
      <c r="W181" s="444" t="str">
        <f>IF('Design Fee'!AG183&gt;0,"✔","-")</f>
        <v>-</v>
      </c>
      <c r="X181" s="444" t="str">
        <f>IF('Design Fee'!AH183&gt;0,"✔","-")</f>
        <v>-</v>
      </c>
      <c r="Y181" s="444" t="str">
        <f>IF('Design Fee'!AI183&gt;0,"✔","-")</f>
        <v>-</v>
      </c>
      <c r="Z181" s="444" t="str">
        <f>IF('Design Fee'!AJ183&gt;0,"✔","-")</f>
        <v>-</v>
      </c>
      <c r="AA181" s="430"/>
      <c r="AB181" s="449"/>
      <c r="AC181" s="442"/>
      <c r="AD181" s="443" t="str">
        <f>IF('Design Fee'!BG183&gt;0,"✔","-")</f>
        <v>✔</v>
      </c>
      <c r="AE181" s="443" t="str">
        <f>IF('Design Fee'!BH183&gt;0,"✔","-")</f>
        <v>✔</v>
      </c>
      <c r="AF181" s="444" t="str">
        <f>IF('Design Fee'!BI183&gt;0,"✔","-")</f>
        <v>✔</v>
      </c>
      <c r="AG181" s="444" t="str">
        <f>IF('Design Fee'!BJ183&gt;0,"✔","-")</f>
        <v>-</v>
      </c>
      <c r="AH181" s="444" t="str">
        <f>IF('Design Fee'!BK183&gt;0,"✔","-")</f>
        <v>-</v>
      </c>
      <c r="AI181" s="444" t="str">
        <f>IF('Design Fee'!BL183&gt;0,"✔","-")</f>
        <v>-</v>
      </c>
      <c r="AJ181" s="444" t="str">
        <f>IF('Design Fee'!BM183&gt;0,"✔","-")</f>
        <v>-</v>
      </c>
      <c r="AK181" s="466" t="str">
        <f>IF('Design Fee'!BN183&gt;0,"✔","-")</f>
        <v>-</v>
      </c>
      <c r="AL181" s="445"/>
      <c r="AM181" s="444" t="str">
        <f>IF('Design Fee'!BP183&gt;0,"✔","-")</f>
        <v>-</v>
      </c>
      <c r="AN181" s="444" t="str">
        <f>IF('Design Fee'!BQ183&gt;0,"✔","-")</f>
        <v>-</v>
      </c>
      <c r="AO181" s="444" t="str">
        <f>IF('Design Fee'!BR183&gt;0,"✔","-")</f>
        <v>-</v>
      </c>
      <c r="AP181" s="444" t="str">
        <f>IF('Design Fee'!BS183&gt;0,"✔","-")</f>
        <v>-</v>
      </c>
      <c r="AQ181" s="444" t="str">
        <f>IF('Design Fee'!BT183&gt;0,"✔","-")</f>
        <v>-</v>
      </c>
      <c r="AR181" s="445"/>
      <c r="AS181" s="449"/>
      <c r="AT181" s="442"/>
      <c r="AU181" s="443" t="str">
        <f>IF('Design Fee'!CQ183&gt;0,"✔","-")</f>
        <v>-</v>
      </c>
      <c r="AV181" s="443" t="str">
        <f>IF('Design Fee'!CR183&gt;0,"✔","-")</f>
        <v>-</v>
      </c>
      <c r="AW181" s="444" t="str">
        <f>IF('Design Fee'!CS183&gt;0,"✔","-")</f>
        <v>-</v>
      </c>
      <c r="AX181" s="444" t="str">
        <f>IF('Design Fee'!CT183&gt;0,"✔","-")</f>
        <v>-</v>
      </c>
      <c r="AY181" s="444" t="str">
        <f>IF('Design Fee'!CU183&gt;0,"✔","-")</f>
        <v>-</v>
      </c>
      <c r="AZ181" s="444" t="str">
        <f>IF('Design Fee'!CV183&gt;0,"✔","-")</f>
        <v>-</v>
      </c>
      <c r="BA181" s="444" t="str">
        <f>IF('Design Fee'!CW183&gt;0,"✔","-")</f>
        <v>-</v>
      </c>
      <c r="BB181" s="466" t="str">
        <f>IF('Design Fee'!CX183&gt;0,"✔","-")</f>
        <v>-</v>
      </c>
      <c r="BC181" s="445"/>
      <c r="BD181" s="444" t="str">
        <f>IF('Design Fee'!CZ183&gt;0,"✔","-")</f>
        <v>-</v>
      </c>
      <c r="BE181" s="444" t="str">
        <f>IF('Design Fee'!DA183&gt;0,"✔","-")</f>
        <v>-</v>
      </c>
      <c r="BF181" s="444" t="str">
        <f>IF('Design Fee'!DB183&gt;0,"✔","-")</f>
        <v>-</v>
      </c>
      <c r="BG181" s="444" t="str">
        <f>IF('Design Fee'!DC183&gt;0,"✔","-")</f>
        <v>-</v>
      </c>
      <c r="BH181" s="444" t="str">
        <f>IF('Design Fee'!DD183&gt;0,"✔","-")</f>
        <v>-</v>
      </c>
      <c r="BI181" s="445"/>
      <c r="BJ181" s="449"/>
      <c r="BK181" s="442"/>
      <c r="BL181" s="443" t="str">
        <f>IF('Design Fee'!EA183&gt;0,"✔","-")</f>
        <v>-</v>
      </c>
      <c r="BM181" s="443" t="str">
        <f>IF('Design Fee'!EB183&gt;0,"✔","-")</f>
        <v>-</v>
      </c>
      <c r="BN181" s="444" t="str">
        <f>IF('Design Fee'!EC183&gt;0,"✔","-")</f>
        <v>-</v>
      </c>
      <c r="BO181" s="444" t="str">
        <f>IF('Design Fee'!ED183&gt;0,"✔","-")</f>
        <v>-</v>
      </c>
      <c r="BP181" s="444" t="str">
        <f>IF('Design Fee'!EE183&gt;0,"✔","-")</f>
        <v>-</v>
      </c>
      <c r="BQ181" s="444" t="str">
        <f>IF('Design Fee'!EF183&gt;0,"✔","-")</f>
        <v>-</v>
      </c>
      <c r="BR181" s="444" t="str">
        <f>IF('Design Fee'!EG183&gt;0,"✔","-")</f>
        <v>-</v>
      </c>
      <c r="BS181" s="466" t="str">
        <f>IF('Design Fee'!EH183&gt;0,"✔","-")</f>
        <v>-</v>
      </c>
      <c r="BT181" s="383"/>
      <c r="BU181" s="444" t="str">
        <f>IF('Design Fee'!EJ183&gt;0,"✔","-")</f>
        <v>-</v>
      </c>
      <c r="BV181" s="444" t="str">
        <f>IF('Design Fee'!EK183&gt;0,"✔","-")</f>
        <v>-</v>
      </c>
      <c r="BW181" s="444" t="str">
        <f>IF('Design Fee'!EL183&gt;0,"✔","-")</f>
        <v>-</v>
      </c>
      <c r="BX181" s="444" t="str">
        <f>IF('Design Fee'!EM183&gt;0,"✔","-")</f>
        <v>-</v>
      </c>
      <c r="BY181" s="444" t="str">
        <f>IF('Design Fee'!EN183&gt;0,"✔","-")</f>
        <v>-</v>
      </c>
      <c r="BZ181" s="383"/>
    </row>
    <row r="182" spans="2:78" ht="12.75" outlineLevel="3">
      <c r="B182" s="463" t="s">
        <v>171</v>
      </c>
      <c r="C182" s="464">
        <v>2</v>
      </c>
      <c r="D182" s="465" t="s">
        <v>154</v>
      </c>
      <c r="E182" s="383"/>
      <c r="F182" s="443">
        <f t="shared" si="551"/>
        <v>1</v>
      </c>
      <c r="G182" s="444">
        <f t="shared" si="551"/>
        <v>1</v>
      </c>
      <c r="H182" s="444">
        <f t="shared" si="551"/>
        <v>1</v>
      </c>
      <c r="I182" s="444">
        <f t="shared" si="552"/>
        <v>0</v>
      </c>
      <c r="J182" s="430"/>
      <c r="K182" s="449"/>
      <c r="L182" s="442"/>
      <c r="M182" s="443" t="str">
        <f>IF('Design Fee'!W184&gt;0,"✔","-")</f>
        <v>-</v>
      </c>
      <c r="N182" s="443" t="str">
        <f>IF('Design Fee'!X184&gt;0,"✔","-")</f>
        <v>-</v>
      </c>
      <c r="O182" s="444" t="str">
        <f>IF('Design Fee'!Y184&gt;0,"✔","-")</f>
        <v>-</v>
      </c>
      <c r="P182" s="444" t="str">
        <f>IF('Design Fee'!Z184&gt;0,"✔","-")</f>
        <v>-</v>
      </c>
      <c r="Q182" s="444" t="str">
        <f>IF('Design Fee'!AA184&gt;0,"✔","-")</f>
        <v>-</v>
      </c>
      <c r="R182" s="444" t="str">
        <f>IF('Design Fee'!AB184&gt;0,"✔","-")</f>
        <v>-</v>
      </c>
      <c r="S182" s="444" t="str">
        <f>IF('Design Fee'!AC184&gt;0,"✔","-")</f>
        <v>-</v>
      </c>
      <c r="T182" s="466" t="str">
        <f>IF('Design Fee'!AD184&gt;0,"✔","-")</f>
        <v>-</v>
      </c>
      <c r="U182" s="430"/>
      <c r="V182" s="444" t="str">
        <f>IF('Design Fee'!AF184&gt;0,"✔","-")</f>
        <v>-</v>
      </c>
      <c r="W182" s="444" t="str">
        <f>IF('Design Fee'!AG184&gt;0,"✔","-")</f>
        <v>-</v>
      </c>
      <c r="X182" s="444" t="str">
        <f>IF('Design Fee'!AH184&gt;0,"✔","-")</f>
        <v>-</v>
      </c>
      <c r="Y182" s="444" t="str">
        <f>IF('Design Fee'!AI184&gt;0,"✔","-")</f>
        <v>-</v>
      </c>
      <c r="Z182" s="444" t="str">
        <f>IF('Design Fee'!AJ184&gt;0,"✔","-")</f>
        <v>-</v>
      </c>
      <c r="AA182" s="430"/>
      <c r="AB182" s="449"/>
      <c r="AC182" s="442"/>
      <c r="AD182" s="443" t="str">
        <f>IF('Design Fee'!BG184&gt;0,"✔","-")</f>
        <v>✔</v>
      </c>
      <c r="AE182" s="443" t="str">
        <f>IF('Design Fee'!BH184&gt;0,"✔","-")</f>
        <v>✔</v>
      </c>
      <c r="AF182" s="444" t="str">
        <f>IF('Design Fee'!BI184&gt;0,"✔","-")</f>
        <v>✔</v>
      </c>
      <c r="AG182" s="444" t="str">
        <f>IF('Design Fee'!BJ184&gt;0,"✔","-")</f>
        <v>-</v>
      </c>
      <c r="AH182" s="444" t="str">
        <f>IF('Design Fee'!BK184&gt;0,"✔","-")</f>
        <v>-</v>
      </c>
      <c r="AI182" s="444" t="str">
        <f>IF('Design Fee'!BL184&gt;0,"✔","-")</f>
        <v>-</v>
      </c>
      <c r="AJ182" s="444" t="str">
        <f>IF('Design Fee'!BM184&gt;0,"✔","-")</f>
        <v>-</v>
      </c>
      <c r="AK182" s="466" t="str">
        <f>IF('Design Fee'!BN184&gt;0,"✔","-")</f>
        <v>-</v>
      </c>
      <c r="AL182" s="445"/>
      <c r="AM182" s="444" t="str">
        <f>IF('Design Fee'!BP184&gt;0,"✔","-")</f>
        <v>-</v>
      </c>
      <c r="AN182" s="444" t="str">
        <f>IF('Design Fee'!BQ184&gt;0,"✔","-")</f>
        <v>-</v>
      </c>
      <c r="AO182" s="444" t="str">
        <f>IF('Design Fee'!BR184&gt;0,"✔","-")</f>
        <v>-</v>
      </c>
      <c r="AP182" s="444" t="str">
        <f>IF('Design Fee'!BS184&gt;0,"✔","-")</f>
        <v>-</v>
      </c>
      <c r="AQ182" s="444" t="str">
        <f>IF('Design Fee'!BT184&gt;0,"✔","-")</f>
        <v>-</v>
      </c>
      <c r="AR182" s="445"/>
      <c r="AS182" s="449"/>
      <c r="AT182" s="442"/>
      <c r="AU182" s="443" t="str">
        <f>IF('Design Fee'!CQ184&gt;0,"✔","-")</f>
        <v>-</v>
      </c>
      <c r="AV182" s="443" t="str">
        <f>IF('Design Fee'!CR184&gt;0,"✔","-")</f>
        <v>-</v>
      </c>
      <c r="AW182" s="444" t="str">
        <f>IF('Design Fee'!CS184&gt;0,"✔","-")</f>
        <v>-</v>
      </c>
      <c r="AX182" s="444" t="str">
        <f>IF('Design Fee'!CT184&gt;0,"✔","-")</f>
        <v>-</v>
      </c>
      <c r="AY182" s="444" t="str">
        <f>IF('Design Fee'!CU184&gt;0,"✔","-")</f>
        <v>-</v>
      </c>
      <c r="AZ182" s="444" t="str">
        <f>IF('Design Fee'!CV184&gt;0,"✔","-")</f>
        <v>-</v>
      </c>
      <c r="BA182" s="444" t="str">
        <f>IF('Design Fee'!CW184&gt;0,"✔","-")</f>
        <v>-</v>
      </c>
      <c r="BB182" s="466" t="str">
        <f>IF('Design Fee'!CX184&gt;0,"✔","-")</f>
        <v>-</v>
      </c>
      <c r="BC182" s="445"/>
      <c r="BD182" s="444" t="str">
        <f>IF('Design Fee'!CZ184&gt;0,"✔","-")</f>
        <v>-</v>
      </c>
      <c r="BE182" s="444" t="str">
        <f>IF('Design Fee'!DA184&gt;0,"✔","-")</f>
        <v>-</v>
      </c>
      <c r="BF182" s="444" t="str">
        <f>IF('Design Fee'!DB184&gt;0,"✔","-")</f>
        <v>-</v>
      </c>
      <c r="BG182" s="444" t="str">
        <f>IF('Design Fee'!DC184&gt;0,"✔","-")</f>
        <v>-</v>
      </c>
      <c r="BH182" s="444" t="str">
        <f>IF('Design Fee'!DD184&gt;0,"✔","-")</f>
        <v>-</v>
      </c>
      <c r="BI182" s="445"/>
      <c r="BJ182" s="449"/>
      <c r="BK182" s="442"/>
      <c r="BL182" s="443" t="str">
        <f>IF('Design Fee'!EA184&gt;0,"✔","-")</f>
        <v>-</v>
      </c>
      <c r="BM182" s="443" t="str">
        <f>IF('Design Fee'!EB184&gt;0,"✔","-")</f>
        <v>-</v>
      </c>
      <c r="BN182" s="444" t="str">
        <f>IF('Design Fee'!EC184&gt;0,"✔","-")</f>
        <v>-</v>
      </c>
      <c r="BO182" s="444" t="str">
        <f>IF('Design Fee'!ED184&gt;0,"✔","-")</f>
        <v>-</v>
      </c>
      <c r="BP182" s="444" t="str">
        <f>IF('Design Fee'!EE184&gt;0,"✔","-")</f>
        <v>-</v>
      </c>
      <c r="BQ182" s="444" t="str">
        <f>IF('Design Fee'!EF184&gt;0,"✔","-")</f>
        <v>-</v>
      </c>
      <c r="BR182" s="444" t="str">
        <f>IF('Design Fee'!EG184&gt;0,"✔","-")</f>
        <v>-</v>
      </c>
      <c r="BS182" s="466" t="str">
        <f>IF('Design Fee'!EH184&gt;0,"✔","-")</f>
        <v>-</v>
      </c>
      <c r="BT182" s="383"/>
      <c r="BU182" s="444" t="str">
        <f>IF('Design Fee'!EJ184&gt;0,"✔","-")</f>
        <v>-</v>
      </c>
      <c r="BV182" s="444" t="str">
        <f>IF('Design Fee'!EK184&gt;0,"✔","-")</f>
        <v>-</v>
      </c>
      <c r="BW182" s="444" t="str">
        <f>IF('Design Fee'!EL184&gt;0,"✔","-")</f>
        <v>-</v>
      </c>
      <c r="BX182" s="444" t="str">
        <f>IF('Design Fee'!EM184&gt;0,"✔","-")</f>
        <v>-</v>
      </c>
      <c r="BY182" s="444" t="str">
        <f>IF('Design Fee'!EN184&gt;0,"✔","-")</f>
        <v>-</v>
      </c>
      <c r="BZ182" s="383"/>
    </row>
    <row r="183" spans="2:78" ht="12.75" outlineLevel="2">
      <c r="B183" s="483"/>
      <c r="C183" s="484"/>
      <c r="D183" s="465"/>
      <c r="E183" s="383"/>
      <c r="F183" s="443"/>
      <c r="G183" s="444"/>
      <c r="H183" s="444"/>
      <c r="I183" s="444"/>
      <c r="J183" s="430"/>
      <c r="K183" s="441"/>
      <c r="L183" s="442"/>
      <c r="M183" s="443" t="str">
        <f>IF('Design Fee'!W185&gt;0,"✔","-")</f>
        <v>-</v>
      </c>
      <c r="N183" s="443" t="str">
        <f>IF('Design Fee'!X185&gt;0,"✔","-")</f>
        <v>-</v>
      </c>
      <c r="O183" s="444" t="str">
        <f>IF('Design Fee'!Y185&gt;0,"✔","-")</f>
        <v>-</v>
      </c>
      <c r="P183" s="444" t="str">
        <f>IF('Design Fee'!Z185&gt;0,"✔","-")</f>
        <v>-</v>
      </c>
      <c r="Q183" s="444" t="str">
        <f>IF('Design Fee'!AA185&gt;0,"✔","-")</f>
        <v>-</v>
      </c>
      <c r="R183" s="444" t="str">
        <f>IF('Design Fee'!AB185&gt;0,"✔","-")</f>
        <v>-</v>
      </c>
      <c r="S183" s="444" t="str">
        <f>IF('Design Fee'!AC185&gt;0,"✔","-")</f>
        <v>-</v>
      </c>
      <c r="T183" s="466" t="str">
        <f>IF('Design Fee'!AD185&gt;0,"✔","-")</f>
        <v>-</v>
      </c>
      <c r="U183" s="430"/>
      <c r="V183" s="444" t="str">
        <f>IF('Design Fee'!AF185&gt;0,"✔","-")</f>
        <v>-</v>
      </c>
      <c r="W183" s="444" t="str">
        <f>IF('Design Fee'!AG185&gt;0,"✔","-")</f>
        <v>-</v>
      </c>
      <c r="X183" s="444" t="str">
        <f>IF('Design Fee'!AH185&gt;0,"✔","-")</f>
        <v>-</v>
      </c>
      <c r="Y183" s="444" t="str">
        <f>IF('Design Fee'!AI185&gt;0,"✔","-")</f>
        <v>-</v>
      </c>
      <c r="Z183" s="444" t="str">
        <f>IF('Design Fee'!AJ185&gt;0,"✔","-")</f>
        <v>-</v>
      </c>
      <c r="AA183" s="430"/>
      <c r="AB183" s="441"/>
      <c r="AC183" s="442"/>
      <c r="AD183" s="443" t="str">
        <f>IF('Design Fee'!BG185&gt;0,"✔","-")</f>
        <v>-</v>
      </c>
      <c r="AE183" s="443" t="str">
        <f>IF('Design Fee'!BH185&gt;0,"✔","-")</f>
        <v>-</v>
      </c>
      <c r="AF183" s="444" t="str">
        <f>IF('Design Fee'!BI185&gt;0,"✔","-")</f>
        <v>-</v>
      </c>
      <c r="AG183" s="444" t="str">
        <f>IF('Design Fee'!BJ185&gt;0,"✔","-")</f>
        <v>-</v>
      </c>
      <c r="AH183" s="444" t="str">
        <f>IF('Design Fee'!BK185&gt;0,"✔","-")</f>
        <v>-</v>
      </c>
      <c r="AI183" s="444" t="str">
        <f>IF('Design Fee'!BL185&gt;0,"✔","-")</f>
        <v>-</v>
      </c>
      <c r="AJ183" s="444" t="str">
        <f>IF('Design Fee'!BM185&gt;0,"✔","-")</f>
        <v>-</v>
      </c>
      <c r="AK183" s="466" t="str">
        <f>IF('Design Fee'!BN185&gt;0,"✔","-")</f>
        <v>-</v>
      </c>
      <c r="AL183" s="445"/>
      <c r="AM183" s="444" t="str">
        <f>IF('Design Fee'!BP185&gt;0,"✔","-")</f>
        <v>-</v>
      </c>
      <c r="AN183" s="444" t="str">
        <f>IF('Design Fee'!BQ185&gt;0,"✔","-")</f>
        <v>-</v>
      </c>
      <c r="AO183" s="444" t="str">
        <f>IF('Design Fee'!BR185&gt;0,"✔","-")</f>
        <v>-</v>
      </c>
      <c r="AP183" s="444" t="str">
        <f>IF('Design Fee'!BS185&gt;0,"✔","-")</f>
        <v>-</v>
      </c>
      <c r="AQ183" s="444" t="str">
        <f>IF('Design Fee'!BT185&gt;0,"✔","-")</f>
        <v>-</v>
      </c>
      <c r="AR183" s="445"/>
      <c r="AS183" s="441"/>
      <c r="AT183" s="442"/>
      <c r="AU183" s="443" t="str">
        <f>IF('Design Fee'!CQ185&gt;0,"✔","-")</f>
        <v>-</v>
      </c>
      <c r="AV183" s="443" t="str">
        <f>IF('Design Fee'!CR185&gt;0,"✔","-")</f>
        <v>-</v>
      </c>
      <c r="AW183" s="444" t="str">
        <f>IF('Design Fee'!CS185&gt;0,"✔","-")</f>
        <v>-</v>
      </c>
      <c r="AX183" s="444" t="str">
        <f>IF('Design Fee'!CT185&gt;0,"✔","-")</f>
        <v>-</v>
      </c>
      <c r="AY183" s="444" t="str">
        <f>IF('Design Fee'!CU185&gt;0,"✔","-")</f>
        <v>-</v>
      </c>
      <c r="AZ183" s="444" t="str">
        <f>IF('Design Fee'!CV185&gt;0,"✔","-")</f>
        <v>-</v>
      </c>
      <c r="BA183" s="444" t="str">
        <f>IF('Design Fee'!CW185&gt;0,"✔","-")</f>
        <v>-</v>
      </c>
      <c r="BB183" s="466" t="str">
        <f>IF('Design Fee'!CX185&gt;0,"✔","-")</f>
        <v>-</v>
      </c>
      <c r="BC183" s="445"/>
      <c r="BD183" s="444" t="str">
        <f>IF('Design Fee'!CZ185&gt;0,"✔","-")</f>
        <v>-</v>
      </c>
      <c r="BE183" s="444" t="str">
        <f>IF('Design Fee'!DA185&gt;0,"✔","-")</f>
        <v>-</v>
      </c>
      <c r="BF183" s="444" t="str">
        <f>IF('Design Fee'!DB185&gt;0,"✔","-")</f>
        <v>-</v>
      </c>
      <c r="BG183" s="444" t="str">
        <f>IF('Design Fee'!DC185&gt;0,"✔","-")</f>
        <v>-</v>
      </c>
      <c r="BH183" s="444" t="str">
        <f>IF('Design Fee'!DD185&gt;0,"✔","-")</f>
        <v>-</v>
      </c>
      <c r="BI183" s="445"/>
      <c r="BJ183" s="441"/>
      <c r="BK183" s="442"/>
      <c r="BL183" s="443" t="str">
        <f>IF('Design Fee'!EA185&gt;0,"✔","-")</f>
        <v>-</v>
      </c>
      <c r="BM183" s="443" t="str">
        <f>IF('Design Fee'!EB185&gt;0,"✔","-")</f>
        <v>-</v>
      </c>
      <c r="BN183" s="444" t="str">
        <f>IF('Design Fee'!EC185&gt;0,"✔","-")</f>
        <v>-</v>
      </c>
      <c r="BO183" s="444" t="str">
        <f>IF('Design Fee'!ED185&gt;0,"✔","-")</f>
        <v>-</v>
      </c>
      <c r="BP183" s="444" t="str">
        <f>IF('Design Fee'!EE185&gt;0,"✔","-")</f>
        <v>-</v>
      </c>
      <c r="BQ183" s="444" t="str">
        <f>IF('Design Fee'!EF185&gt;0,"✔","-")</f>
        <v>-</v>
      </c>
      <c r="BR183" s="444" t="str">
        <f>IF('Design Fee'!EG185&gt;0,"✔","-")</f>
        <v>-</v>
      </c>
      <c r="BS183" s="466" t="str">
        <f>IF('Design Fee'!EH185&gt;0,"✔","-")</f>
        <v>-</v>
      </c>
      <c r="BT183" s="383"/>
      <c r="BU183" s="444" t="str">
        <f>IF('Design Fee'!EJ185&gt;0,"✔","-")</f>
        <v>-</v>
      </c>
      <c r="BV183" s="444" t="str">
        <f>IF('Design Fee'!EK185&gt;0,"✔","-")</f>
        <v>-</v>
      </c>
      <c r="BW183" s="444" t="str">
        <f>IF('Design Fee'!EL185&gt;0,"✔","-")</f>
        <v>-</v>
      </c>
      <c r="BX183" s="444" t="str">
        <f>IF('Design Fee'!EM185&gt;0,"✔","-")</f>
        <v>-</v>
      </c>
      <c r="BY183" s="444" t="str">
        <f>IF('Design Fee'!EN185&gt;0,"✔","-")</f>
        <v>-</v>
      </c>
      <c r="BZ183" s="383"/>
    </row>
    <row r="184" spans="2:78" ht="12.75" outlineLevel="2">
      <c r="B184" s="477">
        <v>2.1</v>
      </c>
      <c r="C184" s="478">
        <v>2.1</v>
      </c>
      <c r="D184" s="485" t="s">
        <v>172</v>
      </c>
      <c r="E184" s="383"/>
      <c r="F184" s="408"/>
      <c r="G184" s="482"/>
      <c r="H184" s="482"/>
      <c r="I184" s="482"/>
      <c r="J184" s="467"/>
      <c r="K184" s="479"/>
      <c r="L184" s="479"/>
      <c r="M184" s="443" t="str">
        <f>IF('Design Fee'!W186&gt;0,"✔","-")</f>
        <v>-</v>
      </c>
      <c r="N184" s="443" t="str">
        <f>IF('Design Fee'!X186&gt;0,"✔","-")</f>
        <v>-</v>
      </c>
      <c r="O184" s="482" t="str">
        <f>IF('Design Fee'!Y186&gt;0,"✔","-")</f>
        <v>-</v>
      </c>
      <c r="P184" s="482" t="str">
        <f>IF('Design Fee'!Z186&gt;0,"✔","-")</f>
        <v>-</v>
      </c>
      <c r="Q184" s="444" t="str">
        <f>IF('Design Fee'!AA186&gt;0,"✔","-")</f>
        <v>-</v>
      </c>
      <c r="R184" s="444" t="str">
        <f>IF('Design Fee'!AB186&gt;0,"✔","-")</f>
        <v>-</v>
      </c>
      <c r="S184" s="444" t="str">
        <f>IF('Design Fee'!AC186&gt;0,"✔","-")</f>
        <v>-</v>
      </c>
      <c r="T184" s="466" t="str">
        <f>IF('Design Fee'!AD186&gt;0,"✔","-")</f>
        <v>-</v>
      </c>
      <c r="U184" s="467"/>
      <c r="V184" s="482" t="str">
        <f>IF('Design Fee'!AF186&gt;0,"✔","-")</f>
        <v>-</v>
      </c>
      <c r="W184" s="444" t="str">
        <f>IF('Design Fee'!AG186&gt;0,"✔","-")</f>
        <v>-</v>
      </c>
      <c r="X184" s="444" t="str">
        <f>IF('Design Fee'!AH186&gt;0,"✔","-")</f>
        <v>-</v>
      </c>
      <c r="Y184" s="444" t="str">
        <f>IF('Design Fee'!AI186&gt;0,"✔","-")</f>
        <v>-</v>
      </c>
      <c r="Z184" s="444" t="str">
        <f>IF('Design Fee'!AJ186&gt;0,"✔","-")</f>
        <v>-</v>
      </c>
      <c r="AA184" s="467"/>
      <c r="AB184" s="479"/>
      <c r="AC184" s="479"/>
      <c r="AD184" s="443"/>
      <c r="AE184" s="443"/>
      <c r="AF184" s="482"/>
      <c r="AG184" s="482" t="str">
        <f>IF('Design Fee'!BJ186&gt;0,"✔","-")</f>
        <v>-</v>
      </c>
      <c r="AH184" s="444" t="str">
        <f>IF('Design Fee'!BK186&gt;0,"✔","-")</f>
        <v>-</v>
      </c>
      <c r="AI184" s="444" t="str">
        <f>IF('Design Fee'!BL186&gt;0,"✔","-")</f>
        <v>-</v>
      </c>
      <c r="AJ184" s="444" t="str">
        <f>IF('Design Fee'!BM186&gt;0,"✔","-")</f>
        <v>-</v>
      </c>
      <c r="AK184" s="466" t="str">
        <f>IF('Design Fee'!BN186&gt;0,"✔","-")</f>
        <v>-</v>
      </c>
      <c r="AL184" s="479"/>
      <c r="AM184" s="482" t="str">
        <f>IF('Design Fee'!BP186&gt;0,"✔","-")</f>
        <v>-</v>
      </c>
      <c r="AN184" s="444" t="str">
        <f>IF('Design Fee'!BQ186&gt;0,"✔","-")</f>
        <v>-</v>
      </c>
      <c r="AO184" s="444" t="str">
        <f>IF('Design Fee'!BR186&gt;0,"✔","-")</f>
        <v>-</v>
      </c>
      <c r="AP184" s="444" t="str">
        <f>IF('Design Fee'!BS186&gt;0,"✔","-")</f>
        <v>-</v>
      </c>
      <c r="AQ184" s="444" t="str">
        <f>IF('Design Fee'!BT186&gt;0,"✔","-")</f>
        <v>-</v>
      </c>
      <c r="AR184" s="479"/>
      <c r="AS184" s="479"/>
      <c r="AT184" s="479"/>
      <c r="AU184" s="443" t="str">
        <f>IF('Design Fee'!CQ186&gt;0,"✔","-")</f>
        <v>-</v>
      </c>
      <c r="AV184" s="443" t="str">
        <f>IF('Design Fee'!CR186&gt;0,"✔","-")</f>
        <v>-</v>
      </c>
      <c r="AW184" s="482" t="str">
        <f>IF('Design Fee'!CS186&gt;0,"✔","-")</f>
        <v>-</v>
      </c>
      <c r="AX184" s="482" t="str">
        <f>IF('Design Fee'!CT186&gt;0,"✔","-")</f>
        <v>-</v>
      </c>
      <c r="AY184" s="444" t="str">
        <f>IF('Design Fee'!CU186&gt;0,"✔","-")</f>
        <v>-</v>
      </c>
      <c r="AZ184" s="444" t="str">
        <f>IF('Design Fee'!CV186&gt;0,"✔","-")</f>
        <v>-</v>
      </c>
      <c r="BA184" s="444" t="str">
        <f>IF('Design Fee'!CW186&gt;0,"✔","-")</f>
        <v>-</v>
      </c>
      <c r="BB184" s="466" t="str">
        <f>IF('Design Fee'!CX186&gt;0,"✔","-")</f>
        <v>-</v>
      </c>
      <c r="BC184" s="479"/>
      <c r="BD184" s="482" t="str">
        <f>IF('Design Fee'!CZ186&gt;0,"✔","-")</f>
        <v>-</v>
      </c>
      <c r="BE184" s="444" t="str">
        <f>IF('Design Fee'!DA186&gt;0,"✔","-")</f>
        <v>-</v>
      </c>
      <c r="BF184" s="444" t="str">
        <f>IF('Design Fee'!DB186&gt;0,"✔","-")</f>
        <v>-</v>
      </c>
      <c r="BG184" s="444" t="str">
        <f>IF('Design Fee'!DC186&gt;0,"✔","-")</f>
        <v>-</v>
      </c>
      <c r="BH184" s="444" t="str">
        <f>IF('Design Fee'!DD186&gt;0,"✔","-")</f>
        <v>-</v>
      </c>
      <c r="BI184" s="479"/>
      <c r="BJ184" s="479"/>
      <c r="BK184" s="479"/>
      <c r="BL184" s="443" t="str">
        <f>IF('Design Fee'!EA186&gt;0,"✔","-")</f>
        <v>-</v>
      </c>
      <c r="BM184" s="443" t="str">
        <f>IF('Design Fee'!EB186&gt;0,"✔","-")</f>
        <v>-</v>
      </c>
      <c r="BN184" s="482" t="str">
        <f>IF('Design Fee'!EC186&gt;0,"✔","-")</f>
        <v>-</v>
      </c>
      <c r="BO184" s="482" t="str">
        <f>IF('Design Fee'!ED186&gt;0,"✔","-")</f>
        <v>-</v>
      </c>
      <c r="BP184" s="444" t="str">
        <f>IF('Design Fee'!EE186&gt;0,"✔","-")</f>
        <v>-</v>
      </c>
      <c r="BQ184" s="444" t="str">
        <f>IF('Design Fee'!EF186&gt;0,"✔","-")</f>
        <v>-</v>
      </c>
      <c r="BR184" s="444" t="str">
        <f>IF('Design Fee'!EG186&gt;0,"✔","-")</f>
        <v>-</v>
      </c>
      <c r="BS184" s="466" t="str">
        <f>IF('Design Fee'!EH186&gt;0,"✔","-")</f>
        <v>-</v>
      </c>
      <c r="BT184" s="383"/>
      <c r="BU184" s="482" t="str">
        <f>IF('Design Fee'!EJ186&gt;0,"✔","-")</f>
        <v>-</v>
      </c>
      <c r="BV184" s="444" t="str">
        <f>IF('Design Fee'!EK186&gt;0,"✔","-")</f>
        <v>-</v>
      </c>
      <c r="BW184" s="444" t="str">
        <f>IF('Design Fee'!EL186&gt;0,"✔","-")</f>
        <v>-</v>
      </c>
      <c r="BX184" s="444" t="str">
        <f>IF('Design Fee'!EM186&gt;0,"✔","-")</f>
        <v>-</v>
      </c>
      <c r="BY184" s="444" t="str">
        <f>IF('Design Fee'!EN186&gt;0,"✔","-")</f>
        <v>-</v>
      </c>
      <c r="BZ184" s="383"/>
    </row>
    <row r="185" spans="2:78" ht="12.75" outlineLevel="3">
      <c r="B185" s="463" t="s">
        <v>158</v>
      </c>
      <c r="C185" s="464">
        <v>1</v>
      </c>
      <c r="D185" s="465" t="s">
        <v>152</v>
      </c>
      <c r="E185" s="383"/>
      <c r="F185" s="443">
        <f t="shared" ref="F185:H186" si="553">COUNTIF(M185,"✔")+COUNTIF(AD185,"✔")+COUNTIF(BL185,"✔")+COUNTIF(AU185,"✔")</f>
        <v>1</v>
      </c>
      <c r="G185" s="444">
        <f t="shared" si="553"/>
        <v>1</v>
      </c>
      <c r="H185" s="444">
        <f t="shared" si="553"/>
        <v>1</v>
      </c>
      <c r="I185" s="444">
        <f t="shared" ref="I185:I186" si="554">F185-G185</f>
        <v>0</v>
      </c>
      <c r="J185" s="467"/>
      <c r="K185" s="449"/>
      <c r="L185" s="442"/>
      <c r="M185" s="443" t="str">
        <f>IF('Design Fee'!W187&gt;0,"✔","-")</f>
        <v>-</v>
      </c>
      <c r="N185" s="443" t="str">
        <f>IF('Design Fee'!X187&gt;0,"✔","-")</f>
        <v>-</v>
      </c>
      <c r="O185" s="421" t="str">
        <f>IF('Design Fee'!Y187&gt;0,"✔","-")</f>
        <v>-</v>
      </c>
      <c r="P185" s="421" t="str">
        <f>IF('Design Fee'!Z187&gt;0,"✔","-")</f>
        <v>-</v>
      </c>
      <c r="Q185" s="444" t="str">
        <f>IF('Design Fee'!AA187&gt;0,"✔","-")</f>
        <v>-</v>
      </c>
      <c r="R185" s="444" t="str">
        <f>IF('Design Fee'!AB187&gt;0,"✔","-")</f>
        <v>-</v>
      </c>
      <c r="S185" s="444" t="str">
        <f>IF('Design Fee'!AC187&gt;0,"✔","-")</f>
        <v>-</v>
      </c>
      <c r="T185" s="466" t="str">
        <f>IF('Design Fee'!AD187&gt;0,"✔","-")</f>
        <v>-</v>
      </c>
      <c r="U185" s="467"/>
      <c r="V185" s="421" t="str">
        <f>IF('Design Fee'!AF187&gt;0,"✔","-")</f>
        <v>-</v>
      </c>
      <c r="W185" s="444" t="str">
        <f>IF('Design Fee'!AG187&gt;0,"✔","-")</f>
        <v>-</v>
      </c>
      <c r="X185" s="444" t="str">
        <f>IF('Design Fee'!AH187&gt;0,"✔","-")</f>
        <v>-</v>
      </c>
      <c r="Y185" s="444" t="str">
        <f>IF('Design Fee'!AI187&gt;0,"✔","-")</f>
        <v>-</v>
      </c>
      <c r="Z185" s="444" t="str">
        <f>IF('Design Fee'!AJ187&gt;0,"✔","-")</f>
        <v>-</v>
      </c>
      <c r="AA185" s="467"/>
      <c r="AB185" s="449"/>
      <c r="AC185" s="442"/>
      <c r="AD185" s="443" t="str">
        <f>IF('Design Fee'!BG187&gt;0,"✔","-")</f>
        <v>✔</v>
      </c>
      <c r="AE185" s="443" t="str">
        <f>IF('Design Fee'!BH187&gt;0,"✔","-")</f>
        <v>✔</v>
      </c>
      <c r="AF185" s="421" t="str">
        <f>IF('Design Fee'!BI187&gt;0,"✔","-")</f>
        <v>✔</v>
      </c>
      <c r="AG185" s="421" t="str">
        <f>IF('Design Fee'!BJ187&gt;0,"✔","-")</f>
        <v>-</v>
      </c>
      <c r="AH185" s="444" t="str">
        <f>IF('Design Fee'!BK187&gt;0,"✔","-")</f>
        <v>-</v>
      </c>
      <c r="AI185" s="444" t="str">
        <f>IF('Design Fee'!BL187&gt;0,"✔","-")</f>
        <v>-</v>
      </c>
      <c r="AJ185" s="444" t="str">
        <f>IF('Design Fee'!BM187&gt;0,"✔","-")</f>
        <v>-</v>
      </c>
      <c r="AK185" s="466" t="str">
        <f>IF('Design Fee'!BN187&gt;0,"✔","-")</f>
        <v>-</v>
      </c>
      <c r="AL185" s="445"/>
      <c r="AM185" s="421" t="str">
        <f>IF('Design Fee'!BP187&gt;0,"✔","-")</f>
        <v>-</v>
      </c>
      <c r="AN185" s="444" t="str">
        <f>IF('Design Fee'!BQ187&gt;0,"✔","-")</f>
        <v>-</v>
      </c>
      <c r="AO185" s="444" t="str">
        <f>IF('Design Fee'!BR187&gt;0,"✔","-")</f>
        <v>-</v>
      </c>
      <c r="AP185" s="444" t="str">
        <f>IF('Design Fee'!BS187&gt;0,"✔","-")</f>
        <v>-</v>
      </c>
      <c r="AQ185" s="444" t="str">
        <f>IF('Design Fee'!BT187&gt;0,"✔","-")</f>
        <v>-</v>
      </c>
      <c r="AR185" s="445"/>
      <c r="AS185" s="449"/>
      <c r="AT185" s="442"/>
      <c r="AU185" s="443" t="str">
        <f>IF('Design Fee'!CQ187&gt;0,"✔","-")</f>
        <v>-</v>
      </c>
      <c r="AV185" s="443" t="str">
        <f>IF('Design Fee'!CR187&gt;0,"✔","-")</f>
        <v>-</v>
      </c>
      <c r="AW185" s="421" t="str">
        <f>IF('Design Fee'!CS187&gt;0,"✔","-")</f>
        <v>-</v>
      </c>
      <c r="AX185" s="421" t="str">
        <f>IF('Design Fee'!CT187&gt;0,"✔","-")</f>
        <v>-</v>
      </c>
      <c r="AY185" s="444" t="str">
        <f>IF('Design Fee'!CU187&gt;0,"✔","-")</f>
        <v>-</v>
      </c>
      <c r="AZ185" s="444" t="str">
        <f>IF('Design Fee'!CV187&gt;0,"✔","-")</f>
        <v>-</v>
      </c>
      <c r="BA185" s="444" t="str">
        <f>IF('Design Fee'!CW187&gt;0,"✔","-")</f>
        <v>-</v>
      </c>
      <c r="BB185" s="466" t="str">
        <f>IF('Design Fee'!CX187&gt;0,"✔","-")</f>
        <v>-</v>
      </c>
      <c r="BC185" s="445"/>
      <c r="BD185" s="421" t="str">
        <f>IF('Design Fee'!CZ187&gt;0,"✔","-")</f>
        <v>-</v>
      </c>
      <c r="BE185" s="444" t="str">
        <f>IF('Design Fee'!DA187&gt;0,"✔","-")</f>
        <v>-</v>
      </c>
      <c r="BF185" s="444" t="str">
        <f>IF('Design Fee'!DB187&gt;0,"✔","-")</f>
        <v>-</v>
      </c>
      <c r="BG185" s="444" t="str">
        <f>IF('Design Fee'!DC187&gt;0,"✔","-")</f>
        <v>-</v>
      </c>
      <c r="BH185" s="444" t="str">
        <f>IF('Design Fee'!DD187&gt;0,"✔","-")</f>
        <v>-</v>
      </c>
      <c r="BI185" s="445"/>
      <c r="BJ185" s="449"/>
      <c r="BK185" s="442"/>
      <c r="BL185" s="443" t="str">
        <f>IF('Design Fee'!EA187&gt;0,"✔","-")</f>
        <v>-</v>
      </c>
      <c r="BM185" s="443" t="str">
        <f>IF('Design Fee'!EB187&gt;0,"✔","-")</f>
        <v>-</v>
      </c>
      <c r="BN185" s="421" t="str">
        <f>IF('Design Fee'!EC187&gt;0,"✔","-")</f>
        <v>-</v>
      </c>
      <c r="BO185" s="421" t="str">
        <f>IF('Design Fee'!ED187&gt;0,"✔","-")</f>
        <v>-</v>
      </c>
      <c r="BP185" s="444" t="str">
        <f>IF('Design Fee'!EE187&gt;0,"✔","-")</f>
        <v>-</v>
      </c>
      <c r="BQ185" s="444" t="str">
        <f>IF('Design Fee'!EF187&gt;0,"✔","-")</f>
        <v>-</v>
      </c>
      <c r="BR185" s="444" t="str">
        <f>IF('Design Fee'!EG187&gt;0,"✔","-")</f>
        <v>-</v>
      </c>
      <c r="BS185" s="466" t="str">
        <f>IF('Design Fee'!EH187&gt;0,"✔","-")</f>
        <v>-</v>
      </c>
      <c r="BT185" s="383"/>
      <c r="BU185" s="421" t="str">
        <f>IF('Design Fee'!EJ187&gt;0,"✔","-")</f>
        <v>-</v>
      </c>
      <c r="BV185" s="444" t="str">
        <f>IF('Design Fee'!EK187&gt;0,"✔","-")</f>
        <v>-</v>
      </c>
      <c r="BW185" s="444" t="str">
        <f>IF('Design Fee'!EL187&gt;0,"✔","-")</f>
        <v>-</v>
      </c>
      <c r="BX185" s="444" t="str">
        <f>IF('Design Fee'!EM187&gt;0,"✔","-")</f>
        <v>-</v>
      </c>
      <c r="BY185" s="444" t="str">
        <f>IF('Design Fee'!EN187&gt;0,"✔","-")</f>
        <v>-</v>
      </c>
      <c r="BZ185" s="383"/>
    </row>
    <row r="186" spans="2:78" ht="12.75" outlineLevel="3">
      <c r="B186" s="463" t="s">
        <v>159</v>
      </c>
      <c r="C186" s="464">
        <v>2</v>
      </c>
      <c r="D186" s="465" t="s">
        <v>154</v>
      </c>
      <c r="E186" s="383"/>
      <c r="F186" s="443">
        <f t="shared" si="553"/>
        <v>1</v>
      </c>
      <c r="G186" s="444">
        <f t="shared" si="553"/>
        <v>1</v>
      </c>
      <c r="H186" s="444">
        <f t="shared" si="553"/>
        <v>1</v>
      </c>
      <c r="I186" s="444">
        <f t="shared" si="554"/>
        <v>0</v>
      </c>
      <c r="J186" s="467"/>
      <c r="K186" s="449"/>
      <c r="L186" s="442"/>
      <c r="M186" s="443" t="str">
        <f>IF('Design Fee'!W188&gt;0,"✔","-")</f>
        <v>-</v>
      </c>
      <c r="N186" s="443" t="str">
        <f>IF('Design Fee'!X188&gt;0,"✔","-")</f>
        <v>-</v>
      </c>
      <c r="O186" s="444" t="str">
        <f>IF('Design Fee'!Y188&gt;0,"✔","-")</f>
        <v>-</v>
      </c>
      <c r="P186" s="444" t="str">
        <f>IF('Design Fee'!Z188&gt;0,"✔","-")</f>
        <v>-</v>
      </c>
      <c r="Q186" s="444" t="str">
        <f>IF('Design Fee'!AA188&gt;0,"✔","-")</f>
        <v>-</v>
      </c>
      <c r="R186" s="444" t="str">
        <f>IF('Design Fee'!AB188&gt;0,"✔","-")</f>
        <v>-</v>
      </c>
      <c r="S186" s="444" t="str">
        <f>IF('Design Fee'!AC188&gt;0,"✔","-")</f>
        <v>-</v>
      </c>
      <c r="T186" s="466" t="str">
        <f>IF('Design Fee'!AD188&gt;0,"✔","-")</f>
        <v>-</v>
      </c>
      <c r="U186" s="467"/>
      <c r="V186" s="444" t="str">
        <f>IF('Design Fee'!AF188&gt;0,"✔","-")</f>
        <v>-</v>
      </c>
      <c r="W186" s="444" t="str">
        <f>IF('Design Fee'!AG188&gt;0,"✔","-")</f>
        <v>-</v>
      </c>
      <c r="X186" s="444" t="str">
        <f>IF('Design Fee'!AH188&gt;0,"✔","-")</f>
        <v>-</v>
      </c>
      <c r="Y186" s="444" t="str">
        <f>IF('Design Fee'!AI188&gt;0,"✔","-")</f>
        <v>-</v>
      </c>
      <c r="Z186" s="444" t="str">
        <f>IF('Design Fee'!AJ188&gt;0,"✔","-")</f>
        <v>-</v>
      </c>
      <c r="AA186" s="467"/>
      <c r="AB186" s="449"/>
      <c r="AC186" s="442"/>
      <c r="AD186" s="443" t="str">
        <f>IF('Design Fee'!BG188&gt;0,"✔","-")</f>
        <v>✔</v>
      </c>
      <c r="AE186" s="443" t="str">
        <f>IF('Design Fee'!BH188&gt;0,"✔","-")</f>
        <v>✔</v>
      </c>
      <c r="AF186" s="444" t="str">
        <f>IF('Design Fee'!BI188&gt;0,"✔","-")</f>
        <v>✔</v>
      </c>
      <c r="AG186" s="444" t="str">
        <f>IF('Design Fee'!BJ188&gt;0,"✔","-")</f>
        <v>-</v>
      </c>
      <c r="AH186" s="444" t="str">
        <f>IF('Design Fee'!BK188&gt;0,"✔","-")</f>
        <v>-</v>
      </c>
      <c r="AI186" s="444" t="str">
        <f>IF('Design Fee'!BL188&gt;0,"✔","-")</f>
        <v>-</v>
      </c>
      <c r="AJ186" s="444" t="str">
        <f>IF('Design Fee'!BM188&gt;0,"✔","-")</f>
        <v>-</v>
      </c>
      <c r="AK186" s="466" t="str">
        <f>IF('Design Fee'!BN188&gt;0,"✔","-")</f>
        <v>-</v>
      </c>
      <c r="AL186" s="445"/>
      <c r="AM186" s="444" t="str">
        <f>IF('Design Fee'!BP188&gt;0,"✔","-")</f>
        <v>-</v>
      </c>
      <c r="AN186" s="444" t="str">
        <f>IF('Design Fee'!BQ188&gt;0,"✔","-")</f>
        <v>-</v>
      </c>
      <c r="AO186" s="444" t="str">
        <f>IF('Design Fee'!BR188&gt;0,"✔","-")</f>
        <v>-</v>
      </c>
      <c r="AP186" s="444" t="str">
        <f>IF('Design Fee'!BS188&gt;0,"✔","-")</f>
        <v>-</v>
      </c>
      <c r="AQ186" s="444" t="str">
        <f>IF('Design Fee'!BT188&gt;0,"✔","-")</f>
        <v>-</v>
      </c>
      <c r="AR186" s="445"/>
      <c r="AS186" s="449"/>
      <c r="AT186" s="442"/>
      <c r="AU186" s="443" t="str">
        <f>IF('Design Fee'!CQ188&gt;0,"✔","-")</f>
        <v>-</v>
      </c>
      <c r="AV186" s="443" t="str">
        <f>IF('Design Fee'!CR188&gt;0,"✔","-")</f>
        <v>-</v>
      </c>
      <c r="AW186" s="444" t="str">
        <f>IF('Design Fee'!CS188&gt;0,"✔","-")</f>
        <v>-</v>
      </c>
      <c r="AX186" s="444" t="str">
        <f>IF('Design Fee'!CT188&gt;0,"✔","-")</f>
        <v>-</v>
      </c>
      <c r="AY186" s="444" t="str">
        <f>IF('Design Fee'!CU188&gt;0,"✔","-")</f>
        <v>-</v>
      </c>
      <c r="AZ186" s="444" t="str">
        <f>IF('Design Fee'!CV188&gt;0,"✔","-")</f>
        <v>-</v>
      </c>
      <c r="BA186" s="444" t="str">
        <f>IF('Design Fee'!CW188&gt;0,"✔","-")</f>
        <v>-</v>
      </c>
      <c r="BB186" s="466" t="str">
        <f>IF('Design Fee'!CX188&gt;0,"✔","-")</f>
        <v>-</v>
      </c>
      <c r="BC186" s="445"/>
      <c r="BD186" s="444" t="str">
        <f>IF('Design Fee'!CZ188&gt;0,"✔","-")</f>
        <v>-</v>
      </c>
      <c r="BE186" s="444" t="str">
        <f>IF('Design Fee'!DA188&gt;0,"✔","-")</f>
        <v>-</v>
      </c>
      <c r="BF186" s="444" t="str">
        <f>IF('Design Fee'!DB188&gt;0,"✔","-")</f>
        <v>-</v>
      </c>
      <c r="BG186" s="444" t="str">
        <f>IF('Design Fee'!DC188&gt;0,"✔","-")</f>
        <v>-</v>
      </c>
      <c r="BH186" s="444" t="str">
        <f>IF('Design Fee'!DD188&gt;0,"✔","-")</f>
        <v>-</v>
      </c>
      <c r="BI186" s="445"/>
      <c r="BJ186" s="449"/>
      <c r="BK186" s="442"/>
      <c r="BL186" s="443" t="str">
        <f>IF('Design Fee'!EA188&gt;0,"✔","-")</f>
        <v>-</v>
      </c>
      <c r="BM186" s="443" t="str">
        <f>IF('Design Fee'!EB188&gt;0,"✔","-")</f>
        <v>-</v>
      </c>
      <c r="BN186" s="444" t="str">
        <f>IF('Design Fee'!EC188&gt;0,"✔","-")</f>
        <v>-</v>
      </c>
      <c r="BO186" s="444" t="str">
        <f>IF('Design Fee'!ED188&gt;0,"✔","-")</f>
        <v>-</v>
      </c>
      <c r="BP186" s="444" t="str">
        <f>IF('Design Fee'!EE188&gt;0,"✔","-")</f>
        <v>-</v>
      </c>
      <c r="BQ186" s="444" t="str">
        <f>IF('Design Fee'!EF188&gt;0,"✔","-")</f>
        <v>-</v>
      </c>
      <c r="BR186" s="444" t="str">
        <f>IF('Design Fee'!EG188&gt;0,"✔","-")</f>
        <v>-</v>
      </c>
      <c r="BS186" s="466" t="str">
        <f>IF('Design Fee'!EH188&gt;0,"✔","-")</f>
        <v>-</v>
      </c>
      <c r="BT186" s="383"/>
      <c r="BU186" s="444" t="str">
        <f>IF('Design Fee'!EJ188&gt;0,"✔","-")</f>
        <v>-</v>
      </c>
      <c r="BV186" s="444" t="str">
        <f>IF('Design Fee'!EK188&gt;0,"✔","-")</f>
        <v>-</v>
      </c>
      <c r="BW186" s="444" t="str">
        <f>IF('Design Fee'!EL188&gt;0,"✔","-")</f>
        <v>-</v>
      </c>
      <c r="BX186" s="444" t="str">
        <f>IF('Design Fee'!EM188&gt;0,"✔","-")</f>
        <v>-</v>
      </c>
      <c r="BY186" s="444" t="str">
        <f>IF('Design Fee'!EN188&gt;0,"✔","-")</f>
        <v>-</v>
      </c>
      <c r="BZ186" s="383"/>
    </row>
    <row r="187" spans="2:78" ht="12.75" outlineLevel="2">
      <c r="B187" s="483"/>
      <c r="C187" s="484"/>
      <c r="D187" s="465"/>
      <c r="E187" s="383"/>
      <c r="F187" s="443"/>
      <c r="G187" s="444"/>
      <c r="H187" s="444"/>
      <c r="I187" s="444"/>
      <c r="J187" s="430"/>
      <c r="K187" s="441"/>
      <c r="L187" s="442"/>
      <c r="M187" s="443" t="str">
        <f>IF('Design Fee'!W189&gt;0,"✔","-")</f>
        <v>-</v>
      </c>
      <c r="N187" s="443" t="str">
        <f>IF('Design Fee'!X189&gt;0,"✔","-")</f>
        <v>-</v>
      </c>
      <c r="O187" s="444" t="str">
        <f>IF('Design Fee'!Y189&gt;0,"✔","-")</f>
        <v>-</v>
      </c>
      <c r="P187" s="444" t="str">
        <f>IF('Design Fee'!Z189&gt;0,"✔","-")</f>
        <v>-</v>
      </c>
      <c r="Q187" s="444" t="str">
        <f>IF('Design Fee'!AA189&gt;0,"✔","-")</f>
        <v>-</v>
      </c>
      <c r="R187" s="444" t="str">
        <f>IF('Design Fee'!AB189&gt;0,"✔","-")</f>
        <v>-</v>
      </c>
      <c r="S187" s="444" t="str">
        <f>IF('Design Fee'!AC189&gt;0,"✔","-")</f>
        <v>-</v>
      </c>
      <c r="T187" s="466" t="str">
        <f>IF('Design Fee'!AD189&gt;0,"✔","-")</f>
        <v>-</v>
      </c>
      <c r="U187" s="430"/>
      <c r="V187" s="444" t="str">
        <f>IF('Design Fee'!AF189&gt;0,"✔","-")</f>
        <v>-</v>
      </c>
      <c r="W187" s="444" t="str">
        <f>IF('Design Fee'!AG189&gt;0,"✔","-")</f>
        <v>-</v>
      </c>
      <c r="X187" s="444" t="str">
        <f>IF('Design Fee'!AH189&gt;0,"✔","-")</f>
        <v>-</v>
      </c>
      <c r="Y187" s="444" t="str">
        <f>IF('Design Fee'!AI189&gt;0,"✔","-")</f>
        <v>-</v>
      </c>
      <c r="Z187" s="444" t="str">
        <f>IF('Design Fee'!AJ189&gt;0,"✔","-")</f>
        <v>-</v>
      </c>
      <c r="AA187" s="430"/>
      <c r="AB187" s="441"/>
      <c r="AC187" s="442"/>
      <c r="AD187" s="443" t="str">
        <f>IF('Design Fee'!BG189&gt;0,"✔","-")</f>
        <v>-</v>
      </c>
      <c r="AE187" s="443" t="str">
        <f>IF('Design Fee'!BH189&gt;0,"✔","-")</f>
        <v>-</v>
      </c>
      <c r="AF187" s="444" t="str">
        <f>IF('Design Fee'!BI189&gt;0,"✔","-")</f>
        <v>-</v>
      </c>
      <c r="AG187" s="444" t="str">
        <f>IF('Design Fee'!BJ189&gt;0,"✔","-")</f>
        <v>-</v>
      </c>
      <c r="AH187" s="444" t="str">
        <f>IF('Design Fee'!BK189&gt;0,"✔","-")</f>
        <v>-</v>
      </c>
      <c r="AI187" s="444" t="str">
        <f>IF('Design Fee'!BL189&gt;0,"✔","-")</f>
        <v>-</v>
      </c>
      <c r="AJ187" s="444" t="str">
        <f>IF('Design Fee'!BM189&gt;0,"✔","-")</f>
        <v>-</v>
      </c>
      <c r="AK187" s="466" t="str">
        <f>IF('Design Fee'!BN189&gt;0,"✔","-")</f>
        <v>-</v>
      </c>
      <c r="AL187" s="445"/>
      <c r="AM187" s="444" t="str">
        <f>IF('Design Fee'!BP189&gt;0,"✔","-")</f>
        <v>-</v>
      </c>
      <c r="AN187" s="444" t="str">
        <f>IF('Design Fee'!BQ189&gt;0,"✔","-")</f>
        <v>-</v>
      </c>
      <c r="AO187" s="444" t="str">
        <f>IF('Design Fee'!BR189&gt;0,"✔","-")</f>
        <v>-</v>
      </c>
      <c r="AP187" s="444" t="str">
        <f>IF('Design Fee'!BS189&gt;0,"✔","-")</f>
        <v>-</v>
      </c>
      <c r="AQ187" s="444" t="str">
        <f>IF('Design Fee'!BT189&gt;0,"✔","-")</f>
        <v>-</v>
      </c>
      <c r="AR187" s="445"/>
      <c r="AS187" s="441"/>
      <c r="AT187" s="442"/>
      <c r="AU187" s="443" t="str">
        <f>IF('Design Fee'!CQ189&gt;0,"✔","-")</f>
        <v>-</v>
      </c>
      <c r="AV187" s="443" t="str">
        <f>IF('Design Fee'!CR189&gt;0,"✔","-")</f>
        <v>-</v>
      </c>
      <c r="AW187" s="444" t="str">
        <f>IF('Design Fee'!CS189&gt;0,"✔","-")</f>
        <v>-</v>
      </c>
      <c r="AX187" s="444" t="str">
        <f>IF('Design Fee'!CT189&gt;0,"✔","-")</f>
        <v>-</v>
      </c>
      <c r="AY187" s="444" t="str">
        <f>IF('Design Fee'!CU189&gt;0,"✔","-")</f>
        <v>-</v>
      </c>
      <c r="AZ187" s="444" t="str">
        <f>IF('Design Fee'!CV189&gt;0,"✔","-")</f>
        <v>-</v>
      </c>
      <c r="BA187" s="444" t="str">
        <f>IF('Design Fee'!CW189&gt;0,"✔","-")</f>
        <v>-</v>
      </c>
      <c r="BB187" s="466" t="str">
        <f>IF('Design Fee'!CX189&gt;0,"✔","-")</f>
        <v>-</v>
      </c>
      <c r="BC187" s="445"/>
      <c r="BD187" s="444" t="str">
        <f>IF('Design Fee'!CZ189&gt;0,"✔","-")</f>
        <v>-</v>
      </c>
      <c r="BE187" s="444" t="str">
        <f>IF('Design Fee'!DA189&gt;0,"✔","-")</f>
        <v>-</v>
      </c>
      <c r="BF187" s="444" t="str">
        <f>IF('Design Fee'!DB189&gt;0,"✔","-")</f>
        <v>-</v>
      </c>
      <c r="BG187" s="444" t="str">
        <f>IF('Design Fee'!DC189&gt;0,"✔","-")</f>
        <v>-</v>
      </c>
      <c r="BH187" s="444" t="str">
        <f>IF('Design Fee'!DD189&gt;0,"✔","-")</f>
        <v>-</v>
      </c>
      <c r="BI187" s="445"/>
      <c r="BJ187" s="441"/>
      <c r="BK187" s="442"/>
      <c r="BL187" s="443" t="str">
        <f>IF('Design Fee'!EA189&gt;0,"✔","-")</f>
        <v>-</v>
      </c>
      <c r="BM187" s="443" t="str">
        <f>IF('Design Fee'!EB189&gt;0,"✔","-")</f>
        <v>-</v>
      </c>
      <c r="BN187" s="444" t="str">
        <f>IF('Design Fee'!EC189&gt;0,"✔","-")</f>
        <v>-</v>
      </c>
      <c r="BO187" s="444" t="str">
        <f>IF('Design Fee'!ED189&gt;0,"✔","-")</f>
        <v>-</v>
      </c>
      <c r="BP187" s="444" t="str">
        <f>IF('Design Fee'!EE189&gt;0,"✔","-")</f>
        <v>-</v>
      </c>
      <c r="BQ187" s="444" t="str">
        <f>IF('Design Fee'!EF189&gt;0,"✔","-")</f>
        <v>-</v>
      </c>
      <c r="BR187" s="444" t="str">
        <f>IF('Design Fee'!EG189&gt;0,"✔","-")</f>
        <v>-</v>
      </c>
      <c r="BS187" s="466" t="str">
        <f>IF('Design Fee'!EH189&gt;0,"✔","-")</f>
        <v>-</v>
      </c>
      <c r="BT187" s="383"/>
      <c r="BU187" s="444" t="str">
        <f>IF('Design Fee'!EJ189&gt;0,"✔","-")</f>
        <v>-</v>
      </c>
      <c r="BV187" s="444" t="str">
        <f>IF('Design Fee'!EK189&gt;0,"✔","-")</f>
        <v>-</v>
      </c>
      <c r="BW187" s="444" t="str">
        <f>IF('Design Fee'!EL189&gt;0,"✔","-")</f>
        <v>-</v>
      </c>
      <c r="BX187" s="444" t="str">
        <f>IF('Design Fee'!EM189&gt;0,"✔","-")</f>
        <v>-</v>
      </c>
      <c r="BY187" s="444" t="str">
        <f>IF('Design Fee'!EN189&gt;0,"✔","-")</f>
        <v>-</v>
      </c>
      <c r="BZ187" s="383"/>
    </row>
    <row r="188" spans="2:78" ht="12.75" outlineLevel="2">
      <c r="B188" s="477">
        <v>2.1</v>
      </c>
      <c r="C188" s="478">
        <v>2.11</v>
      </c>
      <c r="D188" s="485" t="s">
        <v>173</v>
      </c>
      <c r="E188" s="383"/>
      <c r="F188" s="408"/>
      <c r="G188" s="482"/>
      <c r="H188" s="482"/>
      <c r="I188" s="482"/>
      <c r="J188" s="467"/>
      <c r="K188" s="479"/>
      <c r="L188" s="479"/>
      <c r="M188" s="443" t="str">
        <f>IF('Design Fee'!W190&gt;0,"✔","-")</f>
        <v>-</v>
      </c>
      <c r="N188" s="443" t="str">
        <f>IF('Design Fee'!X190&gt;0,"✔","-")</f>
        <v>-</v>
      </c>
      <c r="O188" s="482" t="str">
        <f>IF('Design Fee'!Y190&gt;0,"✔","-")</f>
        <v>-</v>
      </c>
      <c r="P188" s="482" t="str">
        <f>IF('Design Fee'!Z190&gt;0,"✔","-")</f>
        <v>-</v>
      </c>
      <c r="Q188" s="444" t="str">
        <f>IF('Design Fee'!AA190&gt;0,"✔","-")</f>
        <v>-</v>
      </c>
      <c r="R188" s="444" t="str">
        <f>IF('Design Fee'!AB190&gt;0,"✔","-")</f>
        <v>-</v>
      </c>
      <c r="S188" s="444" t="str">
        <f>IF('Design Fee'!AC190&gt;0,"✔","-")</f>
        <v>-</v>
      </c>
      <c r="T188" s="466" t="str">
        <f>IF('Design Fee'!AD190&gt;0,"✔","-")</f>
        <v>-</v>
      </c>
      <c r="U188" s="467"/>
      <c r="V188" s="482" t="str">
        <f>IF('Design Fee'!AF190&gt;0,"✔","-")</f>
        <v>-</v>
      </c>
      <c r="W188" s="444" t="str">
        <f>IF('Design Fee'!AG190&gt;0,"✔","-")</f>
        <v>-</v>
      </c>
      <c r="X188" s="444" t="str">
        <f>IF('Design Fee'!AH190&gt;0,"✔","-")</f>
        <v>-</v>
      </c>
      <c r="Y188" s="444" t="str">
        <f>IF('Design Fee'!AI190&gt;0,"✔","-")</f>
        <v>-</v>
      </c>
      <c r="Z188" s="444" t="str">
        <f>IF('Design Fee'!AJ190&gt;0,"✔","-")</f>
        <v>-</v>
      </c>
      <c r="AA188" s="467"/>
      <c r="AB188" s="479"/>
      <c r="AC188" s="479"/>
      <c r="AD188" s="443"/>
      <c r="AE188" s="443"/>
      <c r="AF188" s="482"/>
      <c r="AG188" s="482"/>
      <c r="AH188" s="444" t="str">
        <f>IF('Design Fee'!BK190&gt;0,"✔","-")</f>
        <v>-</v>
      </c>
      <c r="AI188" s="444" t="str">
        <f>IF('Design Fee'!BL190&gt;0,"✔","-")</f>
        <v>-</v>
      </c>
      <c r="AJ188" s="444" t="str">
        <f>IF('Design Fee'!BM190&gt;0,"✔","-")</f>
        <v>-</v>
      </c>
      <c r="AK188" s="466" t="str">
        <f>IF('Design Fee'!BN190&gt;0,"✔","-")</f>
        <v>-</v>
      </c>
      <c r="AL188" s="479"/>
      <c r="AM188" s="482"/>
      <c r="AN188" s="444"/>
      <c r="AO188" s="444" t="str">
        <f>IF('Design Fee'!BR190&gt;0,"✔","-")</f>
        <v>-</v>
      </c>
      <c r="AP188" s="444" t="str">
        <f>IF('Design Fee'!BS190&gt;0,"✔","-")</f>
        <v>-</v>
      </c>
      <c r="AQ188" s="444" t="str">
        <f>IF('Design Fee'!BT190&gt;0,"✔","-")</f>
        <v>-</v>
      </c>
      <c r="AR188" s="479"/>
      <c r="AS188" s="479"/>
      <c r="AT188" s="479"/>
      <c r="AU188" s="443" t="str">
        <f>IF('Design Fee'!CQ190&gt;0,"✔","-")</f>
        <v>-</v>
      </c>
      <c r="AV188" s="443" t="str">
        <f>IF('Design Fee'!CR190&gt;0,"✔","-")</f>
        <v>-</v>
      </c>
      <c r="AW188" s="482" t="str">
        <f>IF('Design Fee'!CS190&gt;0,"✔","-")</f>
        <v>-</v>
      </c>
      <c r="AX188" s="482" t="str">
        <f>IF('Design Fee'!CT190&gt;0,"✔","-")</f>
        <v>-</v>
      </c>
      <c r="AY188" s="444" t="str">
        <f>IF('Design Fee'!CU190&gt;0,"✔","-")</f>
        <v>-</v>
      </c>
      <c r="AZ188" s="444" t="str">
        <f>IF('Design Fee'!CV190&gt;0,"✔","-")</f>
        <v>-</v>
      </c>
      <c r="BA188" s="444" t="str">
        <f>IF('Design Fee'!CW190&gt;0,"✔","-")</f>
        <v>-</v>
      </c>
      <c r="BB188" s="466" t="str">
        <f>IF('Design Fee'!CX190&gt;0,"✔","-")</f>
        <v>-</v>
      </c>
      <c r="BC188" s="479"/>
      <c r="BD188" s="482" t="str">
        <f>IF('Design Fee'!CZ190&gt;0,"✔","-")</f>
        <v>-</v>
      </c>
      <c r="BE188" s="444" t="str">
        <f>IF('Design Fee'!DA190&gt;0,"✔","-")</f>
        <v>-</v>
      </c>
      <c r="BF188" s="444" t="str">
        <f>IF('Design Fee'!DB190&gt;0,"✔","-")</f>
        <v>-</v>
      </c>
      <c r="BG188" s="444" t="str">
        <f>IF('Design Fee'!DC190&gt;0,"✔","-")</f>
        <v>-</v>
      </c>
      <c r="BH188" s="444" t="str">
        <f>IF('Design Fee'!DD190&gt;0,"✔","-")</f>
        <v>-</v>
      </c>
      <c r="BI188" s="479"/>
      <c r="BJ188" s="479"/>
      <c r="BK188" s="479"/>
      <c r="BL188" s="443" t="str">
        <f>IF('Design Fee'!EA190&gt;0,"✔","-")</f>
        <v>-</v>
      </c>
      <c r="BM188" s="443" t="str">
        <f>IF('Design Fee'!EB190&gt;0,"✔","-")</f>
        <v>-</v>
      </c>
      <c r="BN188" s="482" t="str">
        <f>IF('Design Fee'!EC190&gt;0,"✔","-")</f>
        <v>-</v>
      </c>
      <c r="BO188" s="482" t="str">
        <f>IF('Design Fee'!ED190&gt;0,"✔","-")</f>
        <v>-</v>
      </c>
      <c r="BP188" s="444" t="str">
        <f>IF('Design Fee'!EE190&gt;0,"✔","-")</f>
        <v>-</v>
      </c>
      <c r="BQ188" s="444" t="str">
        <f>IF('Design Fee'!EF190&gt;0,"✔","-")</f>
        <v>-</v>
      </c>
      <c r="BR188" s="444" t="str">
        <f>IF('Design Fee'!EG190&gt;0,"✔","-")</f>
        <v>-</v>
      </c>
      <c r="BS188" s="466" t="str">
        <f>IF('Design Fee'!EH190&gt;0,"✔","-")</f>
        <v>-</v>
      </c>
      <c r="BT188" s="383"/>
      <c r="BU188" s="482" t="str">
        <f>IF('Design Fee'!EJ190&gt;0,"✔","-")</f>
        <v>-</v>
      </c>
      <c r="BV188" s="444" t="str">
        <f>IF('Design Fee'!EK190&gt;0,"✔","-")</f>
        <v>-</v>
      </c>
      <c r="BW188" s="444" t="str">
        <f>IF('Design Fee'!EL190&gt;0,"✔","-")</f>
        <v>-</v>
      </c>
      <c r="BX188" s="444" t="str">
        <f>IF('Design Fee'!EM190&gt;0,"✔","-")</f>
        <v>-</v>
      </c>
      <c r="BY188" s="444" t="str">
        <f>IF('Design Fee'!EN190&gt;0,"✔","-")</f>
        <v>-</v>
      </c>
      <c r="BZ188" s="383"/>
    </row>
    <row r="189" spans="2:78" ht="12.75" outlineLevel="3">
      <c r="B189" s="463" t="s">
        <v>158</v>
      </c>
      <c r="C189" s="464">
        <v>1</v>
      </c>
      <c r="D189" s="465" t="s">
        <v>152</v>
      </c>
      <c r="E189" s="383"/>
      <c r="F189" s="443">
        <f t="shared" ref="F189:H190" si="555">COUNTIF(M189,"✔")+COUNTIF(AD189,"✔")+COUNTIF(BL189,"✔")+COUNTIF(AU189,"✔")</f>
        <v>1</v>
      </c>
      <c r="G189" s="444">
        <f t="shared" si="555"/>
        <v>1</v>
      </c>
      <c r="H189" s="444">
        <f t="shared" si="555"/>
        <v>1</v>
      </c>
      <c r="I189" s="444">
        <f t="shared" ref="I189:I190" si="556">F189-G189</f>
        <v>0</v>
      </c>
      <c r="J189" s="467"/>
      <c r="K189" s="449"/>
      <c r="L189" s="442"/>
      <c r="M189" s="443" t="str">
        <f>IF('Design Fee'!W191&gt;0,"✔","-")</f>
        <v>-</v>
      </c>
      <c r="N189" s="443" t="str">
        <f>IF('Design Fee'!X191&gt;0,"✔","-")</f>
        <v>-</v>
      </c>
      <c r="O189" s="421" t="str">
        <f>IF('Design Fee'!Y191&gt;0,"✔","-")</f>
        <v>-</v>
      </c>
      <c r="P189" s="421" t="str">
        <f>IF('Design Fee'!Z191&gt;0,"✔","-")</f>
        <v>-</v>
      </c>
      <c r="Q189" s="444" t="str">
        <f>IF('Design Fee'!AA191&gt;0,"✔","-")</f>
        <v>-</v>
      </c>
      <c r="R189" s="444" t="str">
        <f>IF('Design Fee'!AB191&gt;0,"✔","-")</f>
        <v>-</v>
      </c>
      <c r="S189" s="444" t="str">
        <f>IF('Design Fee'!AC191&gt;0,"✔","-")</f>
        <v>-</v>
      </c>
      <c r="T189" s="466" t="str">
        <f>IF('Design Fee'!AD191&gt;0,"✔","-")</f>
        <v>-</v>
      </c>
      <c r="U189" s="467"/>
      <c r="V189" s="421" t="str">
        <f>IF('Design Fee'!AF191&gt;0,"✔","-")</f>
        <v>-</v>
      </c>
      <c r="W189" s="444" t="str">
        <f>IF('Design Fee'!AG191&gt;0,"✔","-")</f>
        <v>-</v>
      </c>
      <c r="X189" s="444" t="str">
        <f>IF('Design Fee'!AH191&gt;0,"✔","-")</f>
        <v>-</v>
      </c>
      <c r="Y189" s="444" t="str">
        <f>IF('Design Fee'!AI191&gt;0,"✔","-")</f>
        <v>-</v>
      </c>
      <c r="Z189" s="444" t="str">
        <f>IF('Design Fee'!AJ191&gt;0,"✔","-")</f>
        <v>-</v>
      </c>
      <c r="AA189" s="467"/>
      <c r="AB189" s="449"/>
      <c r="AC189" s="442"/>
      <c r="AD189" s="443" t="str">
        <f>IF('Design Fee'!BG191&gt;0,"✔","-")</f>
        <v>✔</v>
      </c>
      <c r="AE189" s="443" t="str">
        <f>IF('Design Fee'!BH191&gt;0,"✔","-")</f>
        <v>✔</v>
      </c>
      <c r="AF189" s="421" t="str">
        <f>IF('Design Fee'!BI191&gt;0,"✔","-")</f>
        <v>✔</v>
      </c>
      <c r="AG189" s="421" t="str">
        <f>IF('Design Fee'!BJ191&gt;0,"✔","-")</f>
        <v>-</v>
      </c>
      <c r="AH189" s="444" t="str">
        <f>IF('Design Fee'!BK191&gt;0,"✔","-")</f>
        <v>-</v>
      </c>
      <c r="AI189" s="444" t="str">
        <f>IF('Design Fee'!BL191&gt;0,"✔","-")</f>
        <v>-</v>
      </c>
      <c r="AJ189" s="444" t="str">
        <f>IF('Design Fee'!BM191&gt;0,"✔","-")</f>
        <v>-</v>
      </c>
      <c r="AK189" s="466" t="str">
        <f>IF('Design Fee'!BN191&gt;0,"✔","-")</f>
        <v>-</v>
      </c>
      <c r="AL189" s="445"/>
      <c r="AM189" s="421" t="str">
        <f>IF('Design Fee'!BP191&gt;0,"✔","-")</f>
        <v>-</v>
      </c>
      <c r="AN189" s="444" t="str">
        <f>IF('Design Fee'!BQ191&gt;0,"✔","-")</f>
        <v>-</v>
      </c>
      <c r="AO189" s="444" t="str">
        <f>IF('Design Fee'!BR191&gt;0,"✔","-")</f>
        <v>-</v>
      </c>
      <c r="AP189" s="444" t="str">
        <f>IF('Design Fee'!BS191&gt;0,"✔","-")</f>
        <v>-</v>
      </c>
      <c r="AQ189" s="444" t="str">
        <f>IF('Design Fee'!BT191&gt;0,"✔","-")</f>
        <v>-</v>
      </c>
      <c r="AR189" s="445"/>
      <c r="AS189" s="449"/>
      <c r="AT189" s="442"/>
      <c r="AU189" s="443" t="str">
        <f>IF('Design Fee'!CQ191&gt;0,"✔","-")</f>
        <v>-</v>
      </c>
      <c r="AV189" s="443" t="str">
        <f>IF('Design Fee'!CR191&gt;0,"✔","-")</f>
        <v>-</v>
      </c>
      <c r="AW189" s="421" t="str">
        <f>IF('Design Fee'!CS191&gt;0,"✔","-")</f>
        <v>-</v>
      </c>
      <c r="AX189" s="421" t="str">
        <f>IF('Design Fee'!CT191&gt;0,"✔","-")</f>
        <v>-</v>
      </c>
      <c r="AY189" s="444" t="str">
        <f>IF('Design Fee'!CU191&gt;0,"✔","-")</f>
        <v>-</v>
      </c>
      <c r="AZ189" s="444" t="str">
        <f>IF('Design Fee'!CV191&gt;0,"✔","-")</f>
        <v>-</v>
      </c>
      <c r="BA189" s="444" t="str">
        <f>IF('Design Fee'!CW191&gt;0,"✔","-")</f>
        <v>-</v>
      </c>
      <c r="BB189" s="466" t="str">
        <f>IF('Design Fee'!CX191&gt;0,"✔","-")</f>
        <v>-</v>
      </c>
      <c r="BC189" s="445"/>
      <c r="BD189" s="421" t="str">
        <f>IF('Design Fee'!CZ191&gt;0,"✔","-")</f>
        <v>-</v>
      </c>
      <c r="BE189" s="444" t="str">
        <f>IF('Design Fee'!DA191&gt;0,"✔","-")</f>
        <v>-</v>
      </c>
      <c r="BF189" s="444" t="str">
        <f>IF('Design Fee'!DB191&gt;0,"✔","-")</f>
        <v>-</v>
      </c>
      <c r="BG189" s="444" t="str">
        <f>IF('Design Fee'!DC191&gt;0,"✔","-")</f>
        <v>-</v>
      </c>
      <c r="BH189" s="444" t="str">
        <f>IF('Design Fee'!DD191&gt;0,"✔","-")</f>
        <v>-</v>
      </c>
      <c r="BI189" s="445"/>
      <c r="BJ189" s="449"/>
      <c r="BK189" s="442"/>
      <c r="BL189" s="443" t="str">
        <f>IF('Design Fee'!EA191&gt;0,"✔","-")</f>
        <v>-</v>
      </c>
      <c r="BM189" s="443" t="str">
        <f>IF('Design Fee'!EB191&gt;0,"✔","-")</f>
        <v>-</v>
      </c>
      <c r="BN189" s="421" t="str">
        <f>IF('Design Fee'!EC191&gt;0,"✔","-")</f>
        <v>-</v>
      </c>
      <c r="BO189" s="421" t="str">
        <f>IF('Design Fee'!ED191&gt;0,"✔","-")</f>
        <v>-</v>
      </c>
      <c r="BP189" s="444" t="str">
        <f>IF('Design Fee'!EE191&gt;0,"✔","-")</f>
        <v>-</v>
      </c>
      <c r="BQ189" s="444" t="str">
        <f>IF('Design Fee'!EF191&gt;0,"✔","-")</f>
        <v>-</v>
      </c>
      <c r="BR189" s="444" t="str">
        <f>IF('Design Fee'!EG191&gt;0,"✔","-")</f>
        <v>-</v>
      </c>
      <c r="BS189" s="466" t="str">
        <f>IF('Design Fee'!EH191&gt;0,"✔","-")</f>
        <v>-</v>
      </c>
      <c r="BT189" s="383"/>
      <c r="BU189" s="421" t="str">
        <f>IF('Design Fee'!EJ191&gt;0,"✔","-")</f>
        <v>-</v>
      </c>
      <c r="BV189" s="444" t="str">
        <f>IF('Design Fee'!EK191&gt;0,"✔","-")</f>
        <v>-</v>
      </c>
      <c r="BW189" s="444" t="str">
        <f>IF('Design Fee'!EL191&gt;0,"✔","-")</f>
        <v>-</v>
      </c>
      <c r="BX189" s="444" t="str">
        <f>IF('Design Fee'!EM191&gt;0,"✔","-")</f>
        <v>-</v>
      </c>
      <c r="BY189" s="444" t="str">
        <f>IF('Design Fee'!EN191&gt;0,"✔","-")</f>
        <v>-</v>
      </c>
      <c r="BZ189" s="383"/>
    </row>
    <row r="190" spans="2:78" ht="12.75" outlineLevel="3">
      <c r="B190" s="463" t="s">
        <v>159</v>
      </c>
      <c r="C190" s="464">
        <v>2</v>
      </c>
      <c r="D190" s="465" t="s">
        <v>154</v>
      </c>
      <c r="E190" s="383"/>
      <c r="F190" s="443">
        <f t="shared" si="555"/>
        <v>1</v>
      </c>
      <c r="G190" s="444">
        <f t="shared" si="555"/>
        <v>1</v>
      </c>
      <c r="H190" s="444">
        <f t="shared" si="555"/>
        <v>1</v>
      </c>
      <c r="I190" s="444">
        <f t="shared" si="556"/>
        <v>0</v>
      </c>
      <c r="J190" s="467"/>
      <c r="K190" s="449"/>
      <c r="L190" s="442"/>
      <c r="M190" s="443" t="str">
        <f>IF('Design Fee'!W192&gt;0,"✔","-")</f>
        <v>-</v>
      </c>
      <c r="N190" s="443" t="str">
        <f>IF('Design Fee'!X192&gt;0,"✔","-")</f>
        <v>-</v>
      </c>
      <c r="O190" s="444" t="str">
        <f>IF('Design Fee'!Y192&gt;0,"✔","-")</f>
        <v>-</v>
      </c>
      <c r="P190" s="444" t="str">
        <f>IF('Design Fee'!Z192&gt;0,"✔","-")</f>
        <v>-</v>
      </c>
      <c r="Q190" s="444" t="str">
        <f>IF('Design Fee'!AA192&gt;0,"✔","-")</f>
        <v>-</v>
      </c>
      <c r="R190" s="444" t="str">
        <f>IF('Design Fee'!AB192&gt;0,"✔","-")</f>
        <v>-</v>
      </c>
      <c r="S190" s="444" t="str">
        <f>IF('Design Fee'!AC192&gt;0,"✔","-")</f>
        <v>-</v>
      </c>
      <c r="T190" s="466" t="str">
        <f>IF('Design Fee'!AD192&gt;0,"✔","-")</f>
        <v>-</v>
      </c>
      <c r="U190" s="467"/>
      <c r="V190" s="444" t="str">
        <f>IF('Design Fee'!AF192&gt;0,"✔","-")</f>
        <v>-</v>
      </c>
      <c r="W190" s="444" t="str">
        <f>IF('Design Fee'!AG192&gt;0,"✔","-")</f>
        <v>-</v>
      </c>
      <c r="X190" s="444" t="str">
        <f>IF('Design Fee'!AH192&gt;0,"✔","-")</f>
        <v>-</v>
      </c>
      <c r="Y190" s="444" t="str">
        <f>IF('Design Fee'!AI192&gt;0,"✔","-")</f>
        <v>-</v>
      </c>
      <c r="Z190" s="444" t="str">
        <f>IF('Design Fee'!AJ192&gt;0,"✔","-")</f>
        <v>-</v>
      </c>
      <c r="AA190" s="467"/>
      <c r="AB190" s="449"/>
      <c r="AC190" s="442"/>
      <c r="AD190" s="443" t="str">
        <f>IF('Design Fee'!BG192&gt;0,"✔","-")</f>
        <v>✔</v>
      </c>
      <c r="AE190" s="443" t="str">
        <f>IF('Design Fee'!BH192&gt;0,"✔","-")</f>
        <v>✔</v>
      </c>
      <c r="AF190" s="444" t="str">
        <f>IF('Design Fee'!BI192&gt;0,"✔","-")</f>
        <v>✔</v>
      </c>
      <c r="AG190" s="444" t="str">
        <f>IF('Design Fee'!BJ192&gt;0,"✔","-")</f>
        <v>-</v>
      </c>
      <c r="AH190" s="444" t="str">
        <f>IF('Design Fee'!BK192&gt;0,"✔","-")</f>
        <v>-</v>
      </c>
      <c r="AI190" s="444" t="str">
        <f>IF('Design Fee'!BL192&gt;0,"✔","-")</f>
        <v>-</v>
      </c>
      <c r="AJ190" s="444" t="str">
        <f>IF('Design Fee'!BM192&gt;0,"✔","-")</f>
        <v>-</v>
      </c>
      <c r="AK190" s="466" t="str">
        <f>IF('Design Fee'!BN192&gt;0,"✔","-")</f>
        <v>-</v>
      </c>
      <c r="AL190" s="445"/>
      <c r="AM190" s="444" t="str">
        <f>IF('Design Fee'!BP192&gt;0,"✔","-")</f>
        <v>-</v>
      </c>
      <c r="AN190" s="444" t="str">
        <f>IF('Design Fee'!BQ192&gt;0,"✔","-")</f>
        <v>-</v>
      </c>
      <c r="AO190" s="444" t="str">
        <f>IF('Design Fee'!BR192&gt;0,"✔","-")</f>
        <v>-</v>
      </c>
      <c r="AP190" s="444" t="str">
        <f>IF('Design Fee'!BS192&gt;0,"✔","-")</f>
        <v>-</v>
      </c>
      <c r="AQ190" s="444" t="str">
        <f>IF('Design Fee'!BT192&gt;0,"✔","-")</f>
        <v>-</v>
      </c>
      <c r="AR190" s="445"/>
      <c r="AS190" s="449"/>
      <c r="AT190" s="442"/>
      <c r="AU190" s="443" t="str">
        <f>IF('Design Fee'!CQ192&gt;0,"✔","-")</f>
        <v>-</v>
      </c>
      <c r="AV190" s="443" t="str">
        <f>IF('Design Fee'!CR192&gt;0,"✔","-")</f>
        <v>-</v>
      </c>
      <c r="AW190" s="444" t="str">
        <f>IF('Design Fee'!CS192&gt;0,"✔","-")</f>
        <v>-</v>
      </c>
      <c r="AX190" s="444" t="str">
        <f>IF('Design Fee'!CT192&gt;0,"✔","-")</f>
        <v>-</v>
      </c>
      <c r="AY190" s="444" t="str">
        <f>IF('Design Fee'!CU192&gt;0,"✔","-")</f>
        <v>-</v>
      </c>
      <c r="AZ190" s="444" t="str">
        <f>IF('Design Fee'!CV192&gt;0,"✔","-")</f>
        <v>-</v>
      </c>
      <c r="BA190" s="444" t="str">
        <f>IF('Design Fee'!CW192&gt;0,"✔","-")</f>
        <v>-</v>
      </c>
      <c r="BB190" s="466" t="str">
        <f>IF('Design Fee'!CX192&gt;0,"✔","-")</f>
        <v>-</v>
      </c>
      <c r="BC190" s="445"/>
      <c r="BD190" s="444" t="str">
        <f>IF('Design Fee'!CZ192&gt;0,"✔","-")</f>
        <v>-</v>
      </c>
      <c r="BE190" s="444" t="str">
        <f>IF('Design Fee'!DA192&gt;0,"✔","-")</f>
        <v>-</v>
      </c>
      <c r="BF190" s="444" t="str">
        <f>IF('Design Fee'!DB192&gt;0,"✔","-")</f>
        <v>-</v>
      </c>
      <c r="BG190" s="444" t="str">
        <f>IF('Design Fee'!DC192&gt;0,"✔","-")</f>
        <v>-</v>
      </c>
      <c r="BH190" s="444" t="str">
        <f>IF('Design Fee'!DD192&gt;0,"✔","-")</f>
        <v>-</v>
      </c>
      <c r="BI190" s="445"/>
      <c r="BJ190" s="449"/>
      <c r="BK190" s="442"/>
      <c r="BL190" s="443" t="str">
        <f>IF('Design Fee'!EA192&gt;0,"✔","-")</f>
        <v>-</v>
      </c>
      <c r="BM190" s="443" t="str">
        <f>IF('Design Fee'!EB192&gt;0,"✔","-")</f>
        <v>-</v>
      </c>
      <c r="BN190" s="444" t="str">
        <f>IF('Design Fee'!EC192&gt;0,"✔","-")</f>
        <v>-</v>
      </c>
      <c r="BO190" s="444" t="str">
        <f>IF('Design Fee'!ED192&gt;0,"✔","-")</f>
        <v>-</v>
      </c>
      <c r="BP190" s="444" t="str">
        <f>IF('Design Fee'!EE192&gt;0,"✔","-")</f>
        <v>-</v>
      </c>
      <c r="BQ190" s="444" t="str">
        <f>IF('Design Fee'!EF192&gt;0,"✔","-")</f>
        <v>-</v>
      </c>
      <c r="BR190" s="444" t="str">
        <f>IF('Design Fee'!EG192&gt;0,"✔","-")</f>
        <v>-</v>
      </c>
      <c r="BS190" s="466" t="str">
        <f>IF('Design Fee'!EH192&gt;0,"✔","-")</f>
        <v>-</v>
      </c>
      <c r="BT190" s="383"/>
      <c r="BU190" s="444" t="str">
        <f>IF('Design Fee'!EJ192&gt;0,"✔","-")</f>
        <v>-</v>
      </c>
      <c r="BV190" s="444" t="str">
        <f>IF('Design Fee'!EK192&gt;0,"✔","-")</f>
        <v>-</v>
      </c>
      <c r="BW190" s="444" t="str">
        <f>IF('Design Fee'!EL192&gt;0,"✔","-")</f>
        <v>-</v>
      </c>
      <c r="BX190" s="444" t="str">
        <f>IF('Design Fee'!EM192&gt;0,"✔","-")</f>
        <v>-</v>
      </c>
      <c r="BY190" s="444" t="str">
        <f>IF('Design Fee'!EN192&gt;0,"✔","-")</f>
        <v>-</v>
      </c>
      <c r="BZ190" s="383"/>
    </row>
    <row r="191" spans="2:78" ht="12.75" outlineLevel="2">
      <c r="B191" s="483"/>
      <c r="C191" s="484"/>
      <c r="D191" s="465"/>
      <c r="E191" s="383"/>
      <c r="F191" s="443"/>
      <c r="G191" s="444"/>
      <c r="H191" s="444"/>
      <c r="I191" s="444"/>
      <c r="J191" s="430"/>
      <c r="K191" s="441"/>
      <c r="L191" s="442"/>
      <c r="M191" s="443" t="str">
        <f>IF('Design Fee'!W193&gt;0,"✔","-")</f>
        <v>-</v>
      </c>
      <c r="N191" s="443" t="str">
        <f>IF('Design Fee'!X193&gt;0,"✔","-")</f>
        <v>-</v>
      </c>
      <c r="O191" s="444" t="str">
        <f>IF('Design Fee'!Y193&gt;0,"✔","-")</f>
        <v>-</v>
      </c>
      <c r="P191" s="444" t="str">
        <f>IF('Design Fee'!Z193&gt;0,"✔","-")</f>
        <v>-</v>
      </c>
      <c r="Q191" s="444" t="str">
        <f>IF('Design Fee'!AA193&gt;0,"✔","-")</f>
        <v>-</v>
      </c>
      <c r="R191" s="444" t="str">
        <f>IF('Design Fee'!AB193&gt;0,"✔","-")</f>
        <v>-</v>
      </c>
      <c r="S191" s="444" t="str">
        <f>IF('Design Fee'!AC193&gt;0,"✔","-")</f>
        <v>-</v>
      </c>
      <c r="T191" s="466" t="str">
        <f>IF('Design Fee'!AD193&gt;0,"✔","-")</f>
        <v>-</v>
      </c>
      <c r="U191" s="430"/>
      <c r="V191" s="444" t="str">
        <f>IF('Design Fee'!AF193&gt;0,"✔","-")</f>
        <v>-</v>
      </c>
      <c r="W191" s="444" t="str">
        <f>IF('Design Fee'!AG193&gt;0,"✔","-")</f>
        <v>-</v>
      </c>
      <c r="X191" s="444" t="str">
        <f>IF('Design Fee'!AH193&gt;0,"✔","-")</f>
        <v>-</v>
      </c>
      <c r="Y191" s="444" t="str">
        <f>IF('Design Fee'!AI193&gt;0,"✔","-")</f>
        <v>-</v>
      </c>
      <c r="Z191" s="444" t="str">
        <f>IF('Design Fee'!AJ193&gt;0,"✔","-")</f>
        <v>-</v>
      </c>
      <c r="AA191" s="430"/>
      <c r="AB191" s="441"/>
      <c r="AC191" s="442"/>
      <c r="AD191" s="443" t="str">
        <f>IF('Design Fee'!BG193&gt;0,"✔","-")</f>
        <v>-</v>
      </c>
      <c r="AE191" s="443" t="str">
        <f>IF('Design Fee'!BH193&gt;0,"✔","-")</f>
        <v>-</v>
      </c>
      <c r="AF191" s="444" t="str">
        <f>IF('Design Fee'!BI193&gt;0,"✔","-")</f>
        <v>-</v>
      </c>
      <c r="AG191" s="444" t="str">
        <f>IF('Design Fee'!BJ193&gt;0,"✔","-")</f>
        <v>-</v>
      </c>
      <c r="AH191" s="444" t="str">
        <f>IF('Design Fee'!BK193&gt;0,"✔","-")</f>
        <v>-</v>
      </c>
      <c r="AI191" s="444" t="str">
        <f>IF('Design Fee'!BL193&gt;0,"✔","-")</f>
        <v>-</v>
      </c>
      <c r="AJ191" s="444" t="str">
        <f>IF('Design Fee'!BM193&gt;0,"✔","-")</f>
        <v>-</v>
      </c>
      <c r="AK191" s="466" t="str">
        <f>IF('Design Fee'!BN193&gt;0,"✔","-")</f>
        <v>-</v>
      </c>
      <c r="AL191" s="445"/>
      <c r="AM191" s="444" t="str">
        <f>IF('Design Fee'!BP193&gt;0,"✔","-")</f>
        <v>-</v>
      </c>
      <c r="AN191" s="444" t="str">
        <f>IF('Design Fee'!BQ193&gt;0,"✔","-")</f>
        <v>-</v>
      </c>
      <c r="AO191" s="444" t="str">
        <f>IF('Design Fee'!BR193&gt;0,"✔","-")</f>
        <v>-</v>
      </c>
      <c r="AP191" s="444" t="str">
        <f>IF('Design Fee'!BS193&gt;0,"✔","-")</f>
        <v>-</v>
      </c>
      <c r="AQ191" s="444" t="str">
        <f>IF('Design Fee'!BT193&gt;0,"✔","-")</f>
        <v>-</v>
      </c>
      <c r="AR191" s="445"/>
      <c r="AS191" s="441"/>
      <c r="AT191" s="442"/>
      <c r="AU191" s="443" t="str">
        <f>IF('Design Fee'!CQ193&gt;0,"✔","-")</f>
        <v>-</v>
      </c>
      <c r="AV191" s="443" t="str">
        <f>IF('Design Fee'!CR193&gt;0,"✔","-")</f>
        <v>-</v>
      </c>
      <c r="AW191" s="444" t="str">
        <f>IF('Design Fee'!CS193&gt;0,"✔","-")</f>
        <v>-</v>
      </c>
      <c r="AX191" s="444" t="str">
        <f>IF('Design Fee'!CT193&gt;0,"✔","-")</f>
        <v>-</v>
      </c>
      <c r="AY191" s="444" t="str">
        <f>IF('Design Fee'!CU193&gt;0,"✔","-")</f>
        <v>-</v>
      </c>
      <c r="AZ191" s="444" t="str">
        <f>IF('Design Fee'!CV193&gt;0,"✔","-")</f>
        <v>-</v>
      </c>
      <c r="BA191" s="444" t="str">
        <f>IF('Design Fee'!CW193&gt;0,"✔","-")</f>
        <v>-</v>
      </c>
      <c r="BB191" s="466" t="str">
        <f>IF('Design Fee'!CX193&gt;0,"✔","-")</f>
        <v>-</v>
      </c>
      <c r="BC191" s="445"/>
      <c r="BD191" s="444" t="str">
        <f>IF('Design Fee'!CZ193&gt;0,"✔","-")</f>
        <v>-</v>
      </c>
      <c r="BE191" s="444" t="str">
        <f>IF('Design Fee'!DA193&gt;0,"✔","-")</f>
        <v>-</v>
      </c>
      <c r="BF191" s="444" t="str">
        <f>IF('Design Fee'!DB193&gt;0,"✔","-")</f>
        <v>-</v>
      </c>
      <c r="BG191" s="444" t="str">
        <f>IF('Design Fee'!DC193&gt;0,"✔","-")</f>
        <v>-</v>
      </c>
      <c r="BH191" s="444" t="str">
        <f>IF('Design Fee'!DD193&gt;0,"✔","-")</f>
        <v>-</v>
      </c>
      <c r="BI191" s="445"/>
      <c r="BJ191" s="441"/>
      <c r="BK191" s="442"/>
      <c r="BL191" s="443" t="str">
        <f>IF('Design Fee'!EA193&gt;0,"✔","-")</f>
        <v>-</v>
      </c>
      <c r="BM191" s="443" t="str">
        <f>IF('Design Fee'!EB193&gt;0,"✔","-")</f>
        <v>-</v>
      </c>
      <c r="BN191" s="444" t="str">
        <f>IF('Design Fee'!EC193&gt;0,"✔","-")</f>
        <v>-</v>
      </c>
      <c r="BO191" s="444" t="str">
        <f>IF('Design Fee'!ED193&gt;0,"✔","-")</f>
        <v>-</v>
      </c>
      <c r="BP191" s="444" t="str">
        <f>IF('Design Fee'!EE193&gt;0,"✔","-")</f>
        <v>-</v>
      </c>
      <c r="BQ191" s="444" t="str">
        <f>IF('Design Fee'!EF193&gt;0,"✔","-")</f>
        <v>-</v>
      </c>
      <c r="BR191" s="444" t="str">
        <f>IF('Design Fee'!EG193&gt;0,"✔","-")</f>
        <v>-</v>
      </c>
      <c r="BS191" s="466" t="str">
        <f>IF('Design Fee'!EH193&gt;0,"✔","-")</f>
        <v>-</v>
      </c>
      <c r="BT191" s="383"/>
      <c r="BU191" s="444" t="str">
        <f>IF('Design Fee'!EJ193&gt;0,"✔","-")</f>
        <v>-</v>
      </c>
      <c r="BV191" s="444" t="str">
        <f>IF('Design Fee'!EK193&gt;0,"✔","-")</f>
        <v>-</v>
      </c>
      <c r="BW191" s="444" t="str">
        <f>IF('Design Fee'!EL193&gt;0,"✔","-")</f>
        <v>-</v>
      </c>
      <c r="BX191" s="444" t="str">
        <f>IF('Design Fee'!EM193&gt;0,"✔","-")</f>
        <v>-</v>
      </c>
      <c r="BY191" s="444" t="str">
        <f>IF('Design Fee'!EN193&gt;0,"✔","-")</f>
        <v>-</v>
      </c>
      <c r="BZ191" s="383"/>
    </row>
    <row r="192" spans="2:78" ht="12.75" outlineLevel="2">
      <c r="B192" s="477">
        <v>2.1</v>
      </c>
      <c r="C192" s="478">
        <v>2.11</v>
      </c>
      <c r="D192" s="485" t="s">
        <v>174</v>
      </c>
      <c r="E192" s="383"/>
      <c r="F192" s="408"/>
      <c r="G192" s="482"/>
      <c r="H192" s="482"/>
      <c r="I192" s="482"/>
      <c r="J192" s="467"/>
      <c r="K192" s="479"/>
      <c r="L192" s="479"/>
      <c r="M192" s="443" t="str">
        <f>IF('Design Fee'!W194&gt;0,"✔","-")</f>
        <v>-</v>
      </c>
      <c r="N192" s="443" t="str">
        <f>IF('Design Fee'!X194&gt;0,"✔","-")</f>
        <v>-</v>
      </c>
      <c r="O192" s="482" t="str">
        <f>IF('Design Fee'!Y194&gt;0,"✔","-")</f>
        <v>-</v>
      </c>
      <c r="P192" s="482" t="str">
        <f>IF('Design Fee'!Z194&gt;0,"✔","-")</f>
        <v>-</v>
      </c>
      <c r="Q192" s="444" t="str">
        <f>IF('Design Fee'!AA194&gt;0,"✔","-")</f>
        <v>-</v>
      </c>
      <c r="R192" s="444" t="str">
        <f>IF('Design Fee'!AB194&gt;0,"✔","-")</f>
        <v>-</v>
      </c>
      <c r="S192" s="444" t="str">
        <f>IF('Design Fee'!AC194&gt;0,"✔","-")</f>
        <v>-</v>
      </c>
      <c r="T192" s="466" t="str">
        <f>IF('Design Fee'!AD194&gt;0,"✔","-")</f>
        <v>-</v>
      </c>
      <c r="U192" s="467"/>
      <c r="V192" s="482" t="str">
        <f>IF('Design Fee'!AF194&gt;0,"✔","-")</f>
        <v>-</v>
      </c>
      <c r="W192" s="444" t="str">
        <f>IF('Design Fee'!AG194&gt;0,"✔","-")</f>
        <v>-</v>
      </c>
      <c r="X192" s="444" t="str">
        <f>IF('Design Fee'!AH194&gt;0,"✔","-")</f>
        <v>-</v>
      </c>
      <c r="Y192" s="444" t="str">
        <f>IF('Design Fee'!AI194&gt;0,"✔","-")</f>
        <v>-</v>
      </c>
      <c r="Z192" s="444" t="str">
        <f>IF('Design Fee'!AJ194&gt;0,"✔","-")</f>
        <v>-</v>
      </c>
      <c r="AA192" s="467"/>
      <c r="AB192" s="479"/>
      <c r="AC192" s="479"/>
      <c r="AD192" s="443"/>
      <c r="AE192" s="443"/>
      <c r="AF192" s="482"/>
      <c r="AG192" s="482"/>
      <c r="AH192" s="444"/>
      <c r="AI192" s="444"/>
      <c r="AJ192" s="444"/>
      <c r="AK192" s="466"/>
      <c r="AL192" s="479"/>
      <c r="AM192" s="482"/>
      <c r="AN192" s="444"/>
      <c r="AO192" s="444" t="str">
        <f>IF('Design Fee'!BR194&gt;0,"✔","-")</f>
        <v>-</v>
      </c>
      <c r="AP192" s="444" t="str">
        <f>IF('Design Fee'!BS194&gt;0,"✔","-")</f>
        <v>-</v>
      </c>
      <c r="AQ192" s="444" t="str">
        <f>IF('Design Fee'!BT194&gt;0,"✔","-")</f>
        <v>-</v>
      </c>
      <c r="AR192" s="479"/>
      <c r="AS192" s="479"/>
      <c r="AT192" s="479"/>
      <c r="AU192" s="443" t="str">
        <f>IF('Design Fee'!CQ194&gt;0,"✔","-")</f>
        <v>-</v>
      </c>
      <c r="AV192" s="443" t="str">
        <f>IF('Design Fee'!CR194&gt;0,"✔","-")</f>
        <v>-</v>
      </c>
      <c r="AW192" s="482" t="str">
        <f>IF('Design Fee'!CS194&gt;0,"✔","-")</f>
        <v>-</v>
      </c>
      <c r="AX192" s="482" t="str">
        <f>IF('Design Fee'!CT194&gt;0,"✔","-")</f>
        <v>-</v>
      </c>
      <c r="AY192" s="444" t="str">
        <f>IF('Design Fee'!CU194&gt;0,"✔","-")</f>
        <v>-</v>
      </c>
      <c r="AZ192" s="444" t="str">
        <f>IF('Design Fee'!CV194&gt;0,"✔","-")</f>
        <v>-</v>
      </c>
      <c r="BA192" s="444" t="str">
        <f>IF('Design Fee'!CW194&gt;0,"✔","-")</f>
        <v>-</v>
      </c>
      <c r="BB192" s="466" t="str">
        <f>IF('Design Fee'!CX194&gt;0,"✔","-")</f>
        <v>-</v>
      </c>
      <c r="BC192" s="479"/>
      <c r="BD192" s="482" t="str">
        <f>IF('Design Fee'!CZ194&gt;0,"✔","-")</f>
        <v>-</v>
      </c>
      <c r="BE192" s="444" t="str">
        <f>IF('Design Fee'!DA194&gt;0,"✔","-")</f>
        <v>-</v>
      </c>
      <c r="BF192" s="444" t="str">
        <f>IF('Design Fee'!DB194&gt;0,"✔","-")</f>
        <v>-</v>
      </c>
      <c r="BG192" s="444" t="str">
        <f>IF('Design Fee'!DC194&gt;0,"✔","-")</f>
        <v>-</v>
      </c>
      <c r="BH192" s="444" t="str">
        <f>IF('Design Fee'!DD194&gt;0,"✔","-")</f>
        <v>-</v>
      </c>
      <c r="BI192" s="479"/>
      <c r="BJ192" s="479"/>
      <c r="BK192" s="479"/>
      <c r="BL192" s="443" t="str">
        <f>IF('Design Fee'!EA194&gt;0,"✔","-")</f>
        <v>-</v>
      </c>
      <c r="BM192" s="443" t="str">
        <f>IF('Design Fee'!EB194&gt;0,"✔","-")</f>
        <v>-</v>
      </c>
      <c r="BN192" s="482" t="str">
        <f>IF('Design Fee'!EC194&gt;0,"✔","-")</f>
        <v>-</v>
      </c>
      <c r="BO192" s="482" t="str">
        <f>IF('Design Fee'!ED194&gt;0,"✔","-")</f>
        <v>-</v>
      </c>
      <c r="BP192" s="444" t="str">
        <f>IF('Design Fee'!EE194&gt;0,"✔","-")</f>
        <v>-</v>
      </c>
      <c r="BQ192" s="444" t="str">
        <f>IF('Design Fee'!EF194&gt;0,"✔","-")</f>
        <v>-</v>
      </c>
      <c r="BR192" s="444" t="str">
        <f>IF('Design Fee'!EG194&gt;0,"✔","-")</f>
        <v>-</v>
      </c>
      <c r="BS192" s="466" t="str">
        <f>IF('Design Fee'!EH194&gt;0,"✔","-")</f>
        <v>-</v>
      </c>
      <c r="BT192" s="383"/>
      <c r="BU192" s="482" t="str">
        <f>IF('Design Fee'!EJ194&gt;0,"✔","-")</f>
        <v>-</v>
      </c>
      <c r="BV192" s="444" t="str">
        <f>IF('Design Fee'!EK194&gt;0,"✔","-")</f>
        <v>-</v>
      </c>
      <c r="BW192" s="444" t="str">
        <f>IF('Design Fee'!EL194&gt;0,"✔","-")</f>
        <v>-</v>
      </c>
      <c r="BX192" s="444" t="str">
        <f>IF('Design Fee'!EM194&gt;0,"✔","-")</f>
        <v>-</v>
      </c>
      <c r="BY192" s="444" t="str">
        <f>IF('Design Fee'!EN194&gt;0,"✔","-")</f>
        <v>-</v>
      </c>
      <c r="BZ192" s="383"/>
    </row>
    <row r="193" spans="2:78" ht="12.75" outlineLevel="3">
      <c r="B193" s="463" t="s">
        <v>158</v>
      </c>
      <c r="C193" s="464">
        <v>1</v>
      </c>
      <c r="D193" s="465" t="s">
        <v>152</v>
      </c>
      <c r="E193" s="383"/>
      <c r="F193" s="443">
        <f t="shared" ref="F193:H194" si="557">COUNTIF(M193,"✔")+COUNTIF(AD193,"✔")+COUNTIF(BL193,"✔")+COUNTIF(AU193,"✔")</f>
        <v>1</v>
      </c>
      <c r="G193" s="444">
        <f t="shared" si="557"/>
        <v>1</v>
      </c>
      <c r="H193" s="444">
        <f t="shared" si="557"/>
        <v>1</v>
      </c>
      <c r="I193" s="444">
        <f t="shared" ref="I193:I194" si="558">F193-G193</f>
        <v>0</v>
      </c>
      <c r="J193" s="467"/>
      <c r="K193" s="449"/>
      <c r="L193" s="442"/>
      <c r="M193" s="443" t="str">
        <f>IF('Design Fee'!W195&gt;0,"✔","-")</f>
        <v>-</v>
      </c>
      <c r="N193" s="443" t="str">
        <f>IF('Design Fee'!X195&gt;0,"✔","-")</f>
        <v>-</v>
      </c>
      <c r="O193" s="421" t="str">
        <f>IF('Design Fee'!Y195&gt;0,"✔","-")</f>
        <v>-</v>
      </c>
      <c r="P193" s="421" t="str">
        <f>IF('Design Fee'!Z195&gt;0,"✔","-")</f>
        <v>-</v>
      </c>
      <c r="Q193" s="444" t="str">
        <f>IF('Design Fee'!AA195&gt;0,"✔","-")</f>
        <v>-</v>
      </c>
      <c r="R193" s="444" t="str">
        <f>IF('Design Fee'!AB195&gt;0,"✔","-")</f>
        <v>-</v>
      </c>
      <c r="S193" s="444" t="str">
        <f>IF('Design Fee'!AC195&gt;0,"✔","-")</f>
        <v>-</v>
      </c>
      <c r="T193" s="466" t="str">
        <f>IF('Design Fee'!AD195&gt;0,"✔","-")</f>
        <v>-</v>
      </c>
      <c r="U193" s="467"/>
      <c r="V193" s="421" t="str">
        <f>IF('Design Fee'!AF195&gt;0,"✔","-")</f>
        <v>-</v>
      </c>
      <c r="W193" s="444" t="str">
        <f>IF('Design Fee'!AG195&gt;0,"✔","-")</f>
        <v>-</v>
      </c>
      <c r="X193" s="444" t="str">
        <f>IF('Design Fee'!AH195&gt;0,"✔","-")</f>
        <v>-</v>
      </c>
      <c r="Y193" s="444" t="str">
        <f>IF('Design Fee'!AI195&gt;0,"✔","-")</f>
        <v>-</v>
      </c>
      <c r="Z193" s="444" t="str">
        <f>IF('Design Fee'!AJ195&gt;0,"✔","-")</f>
        <v>-</v>
      </c>
      <c r="AA193" s="467"/>
      <c r="AB193" s="449"/>
      <c r="AC193" s="442"/>
      <c r="AD193" s="443" t="str">
        <f>IF('Design Fee'!BG195&gt;0,"✔","-")</f>
        <v>✔</v>
      </c>
      <c r="AE193" s="443" t="str">
        <f>IF('Design Fee'!BH195&gt;0,"✔","-")</f>
        <v>✔</v>
      </c>
      <c r="AF193" s="421" t="str">
        <f>IF('Design Fee'!BI195&gt;0,"✔","-")</f>
        <v>✔</v>
      </c>
      <c r="AG193" s="421" t="str">
        <f>IF('Design Fee'!BJ195&gt;0,"✔","-")</f>
        <v>-</v>
      </c>
      <c r="AH193" s="444" t="str">
        <f>IF('Design Fee'!BK195&gt;0,"✔","-")</f>
        <v>-</v>
      </c>
      <c r="AI193" s="444" t="str">
        <f>IF('Design Fee'!BL195&gt;0,"✔","-")</f>
        <v>-</v>
      </c>
      <c r="AJ193" s="444" t="str">
        <f>IF('Design Fee'!BM195&gt;0,"✔","-")</f>
        <v>-</v>
      </c>
      <c r="AK193" s="466" t="str">
        <f>IF('Design Fee'!BN195&gt;0,"✔","-")</f>
        <v>-</v>
      </c>
      <c r="AL193" s="445"/>
      <c r="AM193" s="421" t="str">
        <f>IF('Design Fee'!BP195&gt;0,"✔","-")</f>
        <v>-</v>
      </c>
      <c r="AN193" s="444" t="str">
        <f>IF('Design Fee'!BQ195&gt;0,"✔","-")</f>
        <v>-</v>
      </c>
      <c r="AO193" s="444" t="str">
        <f>IF('Design Fee'!BR195&gt;0,"✔","-")</f>
        <v>-</v>
      </c>
      <c r="AP193" s="444" t="str">
        <f>IF('Design Fee'!BS195&gt;0,"✔","-")</f>
        <v>-</v>
      </c>
      <c r="AQ193" s="444" t="str">
        <f>IF('Design Fee'!BT195&gt;0,"✔","-")</f>
        <v>-</v>
      </c>
      <c r="AR193" s="445"/>
      <c r="AS193" s="449"/>
      <c r="AT193" s="442"/>
      <c r="AU193" s="443" t="str">
        <f>IF('Design Fee'!CQ195&gt;0,"✔","-")</f>
        <v>-</v>
      </c>
      <c r="AV193" s="443" t="str">
        <f>IF('Design Fee'!CR195&gt;0,"✔","-")</f>
        <v>-</v>
      </c>
      <c r="AW193" s="421" t="str">
        <f>IF('Design Fee'!CS195&gt;0,"✔","-")</f>
        <v>-</v>
      </c>
      <c r="AX193" s="421" t="str">
        <f>IF('Design Fee'!CT195&gt;0,"✔","-")</f>
        <v>-</v>
      </c>
      <c r="AY193" s="444" t="str">
        <f>IF('Design Fee'!CU195&gt;0,"✔","-")</f>
        <v>-</v>
      </c>
      <c r="AZ193" s="444" t="str">
        <f>IF('Design Fee'!CV195&gt;0,"✔","-")</f>
        <v>-</v>
      </c>
      <c r="BA193" s="444" t="str">
        <f>IF('Design Fee'!CW195&gt;0,"✔","-")</f>
        <v>-</v>
      </c>
      <c r="BB193" s="466" t="str">
        <f>IF('Design Fee'!CX195&gt;0,"✔","-")</f>
        <v>-</v>
      </c>
      <c r="BC193" s="445"/>
      <c r="BD193" s="421" t="str">
        <f>IF('Design Fee'!CZ195&gt;0,"✔","-")</f>
        <v>-</v>
      </c>
      <c r="BE193" s="444" t="str">
        <f>IF('Design Fee'!DA195&gt;0,"✔","-")</f>
        <v>-</v>
      </c>
      <c r="BF193" s="444" t="str">
        <f>IF('Design Fee'!DB195&gt;0,"✔","-")</f>
        <v>-</v>
      </c>
      <c r="BG193" s="444" t="str">
        <f>IF('Design Fee'!DC195&gt;0,"✔","-")</f>
        <v>-</v>
      </c>
      <c r="BH193" s="444" t="str">
        <f>IF('Design Fee'!DD195&gt;0,"✔","-")</f>
        <v>-</v>
      </c>
      <c r="BI193" s="445"/>
      <c r="BJ193" s="449"/>
      <c r="BK193" s="442"/>
      <c r="BL193" s="443" t="str">
        <f>IF('Design Fee'!EA195&gt;0,"✔","-")</f>
        <v>-</v>
      </c>
      <c r="BM193" s="443" t="str">
        <f>IF('Design Fee'!EB195&gt;0,"✔","-")</f>
        <v>-</v>
      </c>
      <c r="BN193" s="421" t="str">
        <f>IF('Design Fee'!EC195&gt;0,"✔","-")</f>
        <v>-</v>
      </c>
      <c r="BO193" s="421" t="str">
        <f>IF('Design Fee'!ED195&gt;0,"✔","-")</f>
        <v>-</v>
      </c>
      <c r="BP193" s="444" t="str">
        <f>IF('Design Fee'!EE195&gt;0,"✔","-")</f>
        <v>-</v>
      </c>
      <c r="BQ193" s="444" t="str">
        <f>IF('Design Fee'!EF195&gt;0,"✔","-")</f>
        <v>-</v>
      </c>
      <c r="BR193" s="444" t="str">
        <f>IF('Design Fee'!EG195&gt;0,"✔","-")</f>
        <v>-</v>
      </c>
      <c r="BS193" s="466" t="str">
        <f>IF('Design Fee'!EH195&gt;0,"✔","-")</f>
        <v>-</v>
      </c>
      <c r="BT193" s="383"/>
      <c r="BU193" s="421" t="str">
        <f>IF('Design Fee'!EJ195&gt;0,"✔","-")</f>
        <v>-</v>
      </c>
      <c r="BV193" s="444" t="str">
        <f>IF('Design Fee'!EK195&gt;0,"✔","-")</f>
        <v>-</v>
      </c>
      <c r="BW193" s="444" t="str">
        <f>IF('Design Fee'!EL195&gt;0,"✔","-")</f>
        <v>-</v>
      </c>
      <c r="BX193" s="444" t="str">
        <f>IF('Design Fee'!EM195&gt;0,"✔","-")</f>
        <v>-</v>
      </c>
      <c r="BY193" s="444" t="str">
        <f>IF('Design Fee'!EN195&gt;0,"✔","-")</f>
        <v>-</v>
      </c>
      <c r="BZ193" s="383"/>
    </row>
    <row r="194" spans="2:78" ht="12.75" outlineLevel="3">
      <c r="B194" s="463" t="s">
        <v>159</v>
      </c>
      <c r="C194" s="464">
        <v>2</v>
      </c>
      <c r="D194" s="465" t="s">
        <v>154</v>
      </c>
      <c r="E194" s="383"/>
      <c r="F194" s="443">
        <f t="shared" si="557"/>
        <v>1</v>
      </c>
      <c r="G194" s="444">
        <f t="shared" si="557"/>
        <v>1</v>
      </c>
      <c r="H194" s="444">
        <f t="shared" si="557"/>
        <v>1</v>
      </c>
      <c r="I194" s="444">
        <f t="shared" si="558"/>
        <v>0</v>
      </c>
      <c r="J194" s="467"/>
      <c r="K194" s="449"/>
      <c r="L194" s="442"/>
      <c r="M194" s="443" t="str">
        <f>IF('Design Fee'!W196&gt;0,"✔","-")</f>
        <v>-</v>
      </c>
      <c r="N194" s="443" t="str">
        <f>IF('Design Fee'!X196&gt;0,"✔","-")</f>
        <v>-</v>
      </c>
      <c r="O194" s="444" t="str">
        <f>IF('Design Fee'!Y196&gt;0,"✔","-")</f>
        <v>-</v>
      </c>
      <c r="P194" s="444" t="str">
        <f>IF('Design Fee'!Z196&gt;0,"✔","-")</f>
        <v>-</v>
      </c>
      <c r="Q194" s="444" t="str">
        <f>IF('Design Fee'!AA196&gt;0,"✔","-")</f>
        <v>-</v>
      </c>
      <c r="R194" s="444" t="str">
        <f>IF('Design Fee'!AB196&gt;0,"✔","-")</f>
        <v>-</v>
      </c>
      <c r="S194" s="444" t="str">
        <f>IF('Design Fee'!AC196&gt;0,"✔","-")</f>
        <v>-</v>
      </c>
      <c r="T194" s="466" t="str">
        <f>IF('Design Fee'!AD196&gt;0,"✔","-")</f>
        <v>-</v>
      </c>
      <c r="U194" s="467"/>
      <c r="V194" s="444" t="str">
        <f>IF('Design Fee'!AF196&gt;0,"✔","-")</f>
        <v>-</v>
      </c>
      <c r="W194" s="444" t="str">
        <f>IF('Design Fee'!AG196&gt;0,"✔","-")</f>
        <v>-</v>
      </c>
      <c r="X194" s="444" t="str">
        <f>IF('Design Fee'!AH196&gt;0,"✔","-")</f>
        <v>-</v>
      </c>
      <c r="Y194" s="444" t="str">
        <f>IF('Design Fee'!AI196&gt;0,"✔","-")</f>
        <v>-</v>
      </c>
      <c r="Z194" s="444" t="str">
        <f>IF('Design Fee'!AJ196&gt;0,"✔","-")</f>
        <v>-</v>
      </c>
      <c r="AA194" s="467"/>
      <c r="AB194" s="449"/>
      <c r="AC194" s="442"/>
      <c r="AD194" s="443" t="str">
        <f>IF('Design Fee'!BG196&gt;0,"✔","-")</f>
        <v>✔</v>
      </c>
      <c r="AE194" s="443" t="str">
        <f>IF('Design Fee'!BH196&gt;0,"✔","-")</f>
        <v>✔</v>
      </c>
      <c r="AF194" s="444" t="str">
        <f>IF('Design Fee'!BI196&gt;0,"✔","-")</f>
        <v>✔</v>
      </c>
      <c r="AG194" s="444" t="str">
        <f>IF('Design Fee'!BJ196&gt;0,"✔","-")</f>
        <v>-</v>
      </c>
      <c r="AH194" s="444" t="str">
        <f>IF('Design Fee'!BK196&gt;0,"✔","-")</f>
        <v>-</v>
      </c>
      <c r="AI194" s="444" t="str">
        <f>IF('Design Fee'!BL196&gt;0,"✔","-")</f>
        <v>-</v>
      </c>
      <c r="AJ194" s="444" t="str">
        <f>IF('Design Fee'!BM196&gt;0,"✔","-")</f>
        <v>-</v>
      </c>
      <c r="AK194" s="466" t="str">
        <f>IF('Design Fee'!BN196&gt;0,"✔","-")</f>
        <v>-</v>
      </c>
      <c r="AL194" s="445"/>
      <c r="AM194" s="444" t="str">
        <f>IF('Design Fee'!BP196&gt;0,"✔","-")</f>
        <v>-</v>
      </c>
      <c r="AN194" s="444" t="str">
        <f>IF('Design Fee'!BQ196&gt;0,"✔","-")</f>
        <v>-</v>
      </c>
      <c r="AO194" s="444" t="str">
        <f>IF('Design Fee'!BR196&gt;0,"✔","-")</f>
        <v>-</v>
      </c>
      <c r="AP194" s="444" t="str">
        <f>IF('Design Fee'!BS196&gt;0,"✔","-")</f>
        <v>-</v>
      </c>
      <c r="AQ194" s="444" t="str">
        <f>IF('Design Fee'!BT196&gt;0,"✔","-")</f>
        <v>-</v>
      </c>
      <c r="AR194" s="445"/>
      <c r="AS194" s="449"/>
      <c r="AT194" s="442"/>
      <c r="AU194" s="443" t="str">
        <f>IF('Design Fee'!CQ196&gt;0,"✔","-")</f>
        <v>-</v>
      </c>
      <c r="AV194" s="443" t="str">
        <f>IF('Design Fee'!CR196&gt;0,"✔","-")</f>
        <v>-</v>
      </c>
      <c r="AW194" s="444" t="str">
        <f>IF('Design Fee'!CS196&gt;0,"✔","-")</f>
        <v>-</v>
      </c>
      <c r="AX194" s="444" t="str">
        <f>IF('Design Fee'!CT196&gt;0,"✔","-")</f>
        <v>-</v>
      </c>
      <c r="AY194" s="444" t="str">
        <f>IF('Design Fee'!CU196&gt;0,"✔","-")</f>
        <v>-</v>
      </c>
      <c r="AZ194" s="444" t="str">
        <f>IF('Design Fee'!CV196&gt;0,"✔","-")</f>
        <v>-</v>
      </c>
      <c r="BA194" s="444" t="str">
        <f>IF('Design Fee'!CW196&gt;0,"✔","-")</f>
        <v>-</v>
      </c>
      <c r="BB194" s="466" t="str">
        <f>IF('Design Fee'!CX196&gt;0,"✔","-")</f>
        <v>-</v>
      </c>
      <c r="BC194" s="445"/>
      <c r="BD194" s="444" t="str">
        <f>IF('Design Fee'!CZ196&gt;0,"✔","-")</f>
        <v>-</v>
      </c>
      <c r="BE194" s="444" t="str">
        <f>IF('Design Fee'!DA196&gt;0,"✔","-")</f>
        <v>-</v>
      </c>
      <c r="BF194" s="444" t="str">
        <f>IF('Design Fee'!DB196&gt;0,"✔","-")</f>
        <v>-</v>
      </c>
      <c r="BG194" s="444" t="str">
        <f>IF('Design Fee'!DC196&gt;0,"✔","-")</f>
        <v>-</v>
      </c>
      <c r="BH194" s="444" t="str">
        <f>IF('Design Fee'!DD196&gt;0,"✔","-")</f>
        <v>-</v>
      </c>
      <c r="BI194" s="445"/>
      <c r="BJ194" s="449"/>
      <c r="BK194" s="442"/>
      <c r="BL194" s="443" t="str">
        <f>IF('Design Fee'!EA196&gt;0,"✔","-")</f>
        <v>-</v>
      </c>
      <c r="BM194" s="443" t="str">
        <f>IF('Design Fee'!EB196&gt;0,"✔","-")</f>
        <v>-</v>
      </c>
      <c r="BN194" s="444" t="str">
        <f>IF('Design Fee'!EC196&gt;0,"✔","-")</f>
        <v>-</v>
      </c>
      <c r="BO194" s="444" t="str">
        <f>IF('Design Fee'!ED196&gt;0,"✔","-")</f>
        <v>-</v>
      </c>
      <c r="BP194" s="444" t="str">
        <f>IF('Design Fee'!EE196&gt;0,"✔","-")</f>
        <v>-</v>
      </c>
      <c r="BQ194" s="444" t="str">
        <f>IF('Design Fee'!EF196&gt;0,"✔","-")</f>
        <v>-</v>
      </c>
      <c r="BR194" s="444" t="str">
        <f>IF('Design Fee'!EG196&gt;0,"✔","-")</f>
        <v>-</v>
      </c>
      <c r="BS194" s="466" t="str">
        <f>IF('Design Fee'!EH196&gt;0,"✔","-")</f>
        <v>-</v>
      </c>
      <c r="BT194" s="383"/>
      <c r="BU194" s="444" t="str">
        <f>IF('Design Fee'!EJ196&gt;0,"✔","-")</f>
        <v>-</v>
      </c>
      <c r="BV194" s="444" t="str">
        <f>IF('Design Fee'!EK196&gt;0,"✔","-")</f>
        <v>-</v>
      </c>
      <c r="BW194" s="444" t="str">
        <f>IF('Design Fee'!EL196&gt;0,"✔","-")</f>
        <v>-</v>
      </c>
      <c r="BX194" s="444" t="str">
        <f>IF('Design Fee'!EM196&gt;0,"✔","-")</f>
        <v>-</v>
      </c>
      <c r="BY194" s="444" t="str">
        <f>IF('Design Fee'!EN196&gt;0,"✔","-")</f>
        <v>-</v>
      </c>
      <c r="BZ194" s="383"/>
    </row>
    <row r="195" spans="2:78" ht="3" customHeight="1" outlineLevel="1">
      <c r="B195" s="463"/>
      <c r="C195" s="464"/>
      <c r="D195" s="465"/>
      <c r="E195" s="383"/>
      <c r="F195" s="408"/>
      <c r="G195" s="421"/>
      <c r="H195" s="421"/>
      <c r="I195" s="421"/>
      <c r="J195" s="467"/>
      <c r="K195" s="449"/>
      <c r="L195" s="442"/>
      <c r="M195" s="443"/>
      <c r="N195" s="443"/>
      <c r="O195" s="444"/>
      <c r="P195" s="444"/>
      <c r="Q195" s="444"/>
      <c r="R195" s="444"/>
      <c r="S195" s="444"/>
      <c r="T195" s="444"/>
      <c r="U195" s="467"/>
      <c r="V195" s="444"/>
      <c r="W195" s="444"/>
      <c r="X195" s="444"/>
      <c r="Y195" s="444"/>
      <c r="Z195" s="444"/>
      <c r="AA195" s="467"/>
      <c r="AB195" s="449"/>
      <c r="AC195" s="442"/>
      <c r="AD195" s="443"/>
      <c r="AE195" s="443"/>
      <c r="AF195" s="421"/>
      <c r="AG195" s="421"/>
      <c r="AH195" s="421"/>
      <c r="AI195" s="421"/>
      <c r="AJ195" s="421"/>
      <c r="AK195" s="421"/>
      <c r="AL195" s="421"/>
      <c r="AM195" s="421"/>
      <c r="AN195" s="421"/>
      <c r="AO195" s="421"/>
      <c r="AP195" s="421"/>
      <c r="AQ195" s="421"/>
      <c r="AR195" s="421"/>
      <c r="AS195" s="449"/>
      <c r="AT195" s="421"/>
      <c r="AU195" s="443"/>
      <c r="AV195" s="443"/>
      <c r="AW195" s="421"/>
      <c r="AX195" s="421"/>
      <c r="AY195" s="421"/>
      <c r="AZ195" s="421"/>
      <c r="BA195" s="421"/>
      <c r="BB195" s="421"/>
      <c r="BC195" s="421"/>
      <c r="BD195" s="421"/>
      <c r="BE195" s="421"/>
      <c r="BF195" s="421"/>
      <c r="BG195" s="421"/>
      <c r="BH195" s="421"/>
      <c r="BI195" s="421"/>
      <c r="BJ195" s="449"/>
      <c r="BK195" s="421"/>
      <c r="BL195" s="443"/>
      <c r="BM195" s="443"/>
      <c r="BN195" s="421"/>
      <c r="BO195" s="421"/>
      <c r="BP195" s="421"/>
      <c r="BQ195" s="421"/>
      <c r="BR195" s="421"/>
      <c r="BS195" s="421"/>
      <c r="BT195" s="383"/>
      <c r="BU195" s="421"/>
      <c r="BV195" s="421"/>
      <c r="BW195" s="421"/>
      <c r="BX195" s="421"/>
      <c r="BY195" s="421"/>
      <c r="BZ195" s="383"/>
    </row>
    <row r="196" spans="2:78" ht="12.75" outlineLevel="1">
      <c r="B196" s="432">
        <v>12</v>
      </c>
      <c r="C196" s="459">
        <v>10</v>
      </c>
      <c r="D196" s="460" t="s">
        <v>175</v>
      </c>
      <c r="E196" s="434"/>
      <c r="F196" s="461">
        <f>M196+AD196+AU196+BL196</f>
        <v>10</v>
      </c>
      <c r="G196" s="461">
        <f t="shared" ref="G196:I196" si="559">N196+AE196+AV196+BM196</f>
        <v>10</v>
      </c>
      <c r="H196" s="461">
        <f t="shared" si="559"/>
        <v>10</v>
      </c>
      <c r="I196" s="461">
        <f t="shared" si="559"/>
        <v>0</v>
      </c>
      <c r="J196" s="438">
        <f t="shared" ref="J196" si="560">COUNT(J197:J199)</f>
        <v>0</v>
      </c>
      <c r="K196" s="435"/>
      <c r="L196" s="435"/>
      <c r="M196" s="461">
        <f>COUNTIF(M197:M199,"✔")</f>
        <v>3</v>
      </c>
      <c r="N196" s="461">
        <f t="shared" ref="N196:AA196" si="561">COUNTIF(N197:N199,"✔")</f>
        <v>3</v>
      </c>
      <c r="O196" s="461">
        <f t="shared" si="561"/>
        <v>3</v>
      </c>
      <c r="P196" s="461">
        <f t="shared" si="561"/>
        <v>0</v>
      </c>
      <c r="Q196" s="461">
        <f t="shared" si="561"/>
        <v>0</v>
      </c>
      <c r="R196" s="461">
        <f t="shared" si="561"/>
        <v>0</v>
      </c>
      <c r="S196" s="461">
        <f t="shared" si="561"/>
        <v>0</v>
      </c>
      <c r="T196" s="461">
        <f t="shared" si="561"/>
        <v>0</v>
      </c>
      <c r="U196" s="461">
        <f t="shared" si="561"/>
        <v>0</v>
      </c>
      <c r="V196" s="461">
        <f t="shared" si="561"/>
        <v>0</v>
      </c>
      <c r="W196" s="461">
        <f t="shared" si="561"/>
        <v>0</v>
      </c>
      <c r="X196" s="461">
        <f t="shared" si="561"/>
        <v>0</v>
      </c>
      <c r="Y196" s="461">
        <f t="shared" si="561"/>
        <v>0</v>
      </c>
      <c r="Z196" s="461">
        <f t="shared" si="561"/>
        <v>0</v>
      </c>
      <c r="AA196" s="461">
        <f t="shared" si="561"/>
        <v>0</v>
      </c>
      <c r="AB196" s="435"/>
      <c r="AC196" s="461">
        <f t="shared" ref="AC196:AR196" si="562">COUNTIF(AC197:AC199,"✔")</f>
        <v>0</v>
      </c>
      <c r="AD196" s="461">
        <f t="shared" si="562"/>
        <v>3</v>
      </c>
      <c r="AE196" s="461">
        <f t="shared" si="562"/>
        <v>3</v>
      </c>
      <c r="AF196" s="461">
        <f t="shared" si="562"/>
        <v>3</v>
      </c>
      <c r="AG196" s="461">
        <f t="shared" si="562"/>
        <v>0</v>
      </c>
      <c r="AH196" s="461">
        <f t="shared" si="562"/>
        <v>0</v>
      </c>
      <c r="AI196" s="461">
        <f t="shared" si="562"/>
        <v>0</v>
      </c>
      <c r="AJ196" s="461">
        <f t="shared" si="562"/>
        <v>0</v>
      </c>
      <c r="AK196" s="461">
        <f t="shared" si="562"/>
        <v>0</v>
      </c>
      <c r="AL196" s="461">
        <f t="shared" si="562"/>
        <v>0</v>
      </c>
      <c r="AM196" s="461">
        <f t="shared" si="562"/>
        <v>0</v>
      </c>
      <c r="AN196" s="461">
        <f t="shared" si="562"/>
        <v>0</v>
      </c>
      <c r="AO196" s="461">
        <f t="shared" si="562"/>
        <v>0</v>
      </c>
      <c r="AP196" s="461">
        <f t="shared" si="562"/>
        <v>0</v>
      </c>
      <c r="AQ196" s="461">
        <f t="shared" si="562"/>
        <v>0</v>
      </c>
      <c r="AR196" s="461">
        <f t="shared" si="562"/>
        <v>0</v>
      </c>
      <c r="AS196" s="435"/>
      <c r="AT196" s="461">
        <f t="shared" ref="AT196:BI196" si="563">COUNTIF(AT197:AT199,"✔")</f>
        <v>0</v>
      </c>
      <c r="AU196" s="461">
        <f t="shared" si="563"/>
        <v>3</v>
      </c>
      <c r="AV196" s="461">
        <f t="shared" si="563"/>
        <v>3</v>
      </c>
      <c r="AW196" s="461">
        <f t="shared" si="563"/>
        <v>3</v>
      </c>
      <c r="AX196" s="461">
        <f t="shared" si="563"/>
        <v>0</v>
      </c>
      <c r="AY196" s="461">
        <f t="shared" si="563"/>
        <v>0</v>
      </c>
      <c r="AZ196" s="461">
        <f t="shared" si="563"/>
        <v>0</v>
      </c>
      <c r="BA196" s="461">
        <f t="shared" si="563"/>
        <v>0</v>
      </c>
      <c r="BB196" s="461">
        <f t="shared" si="563"/>
        <v>0</v>
      </c>
      <c r="BC196" s="461">
        <f t="shared" si="563"/>
        <v>0</v>
      </c>
      <c r="BD196" s="461">
        <f t="shared" si="563"/>
        <v>0</v>
      </c>
      <c r="BE196" s="461">
        <f t="shared" si="563"/>
        <v>0</v>
      </c>
      <c r="BF196" s="461">
        <f t="shared" si="563"/>
        <v>0</v>
      </c>
      <c r="BG196" s="461">
        <f t="shared" si="563"/>
        <v>0</v>
      </c>
      <c r="BH196" s="461">
        <f t="shared" si="563"/>
        <v>0</v>
      </c>
      <c r="BI196" s="461">
        <f t="shared" si="563"/>
        <v>0</v>
      </c>
      <c r="BJ196" s="435"/>
      <c r="BK196" s="461">
        <f t="shared" ref="BK196:BS196" si="564">COUNTIF(BK197:BK199,"✔")</f>
        <v>0</v>
      </c>
      <c r="BL196" s="461">
        <f t="shared" si="564"/>
        <v>1</v>
      </c>
      <c r="BM196" s="461">
        <f t="shared" si="564"/>
        <v>1</v>
      </c>
      <c r="BN196" s="461">
        <f t="shared" si="564"/>
        <v>1</v>
      </c>
      <c r="BO196" s="461">
        <f t="shared" si="564"/>
        <v>0</v>
      </c>
      <c r="BP196" s="461">
        <f t="shared" si="564"/>
        <v>0</v>
      </c>
      <c r="BQ196" s="461">
        <f t="shared" si="564"/>
        <v>0</v>
      </c>
      <c r="BR196" s="461">
        <f t="shared" si="564"/>
        <v>0</v>
      </c>
      <c r="BS196" s="461">
        <f t="shared" si="564"/>
        <v>0</v>
      </c>
      <c r="BT196" s="383"/>
      <c r="BU196" s="461">
        <f t="shared" ref="BU196:BY196" si="565">COUNTIF(BU197:BU199,"✔")</f>
        <v>0</v>
      </c>
      <c r="BV196" s="461">
        <f t="shared" si="565"/>
        <v>0</v>
      </c>
      <c r="BW196" s="461">
        <f t="shared" si="565"/>
        <v>0</v>
      </c>
      <c r="BX196" s="461">
        <f t="shared" si="565"/>
        <v>0</v>
      </c>
      <c r="BY196" s="461">
        <f t="shared" si="565"/>
        <v>0</v>
      </c>
      <c r="BZ196" s="383"/>
    </row>
    <row r="197" spans="2:78" ht="12.75" outlineLevel="2">
      <c r="B197" s="463" t="s">
        <v>176</v>
      </c>
      <c r="C197" s="464">
        <v>1</v>
      </c>
      <c r="D197" s="465" t="s">
        <v>177</v>
      </c>
      <c r="E197" s="383"/>
      <c r="F197" s="443">
        <f t="shared" ref="F197:H199" si="566">COUNTIF(M197,"✔")+COUNTIF(AD197,"✔")+COUNTIF(BL197,"✔")+COUNTIF(AU197,"✔")</f>
        <v>3</v>
      </c>
      <c r="G197" s="444">
        <f t="shared" si="566"/>
        <v>3</v>
      </c>
      <c r="H197" s="444">
        <f t="shared" si="566"/>
        <v>3</v>
      </c>
      <c r="I197" s="444">
        <f t="shared" ref="I197:I199" si="567">F197-G197</f>
        <v>0</v>
      </c>
      <c r="J197" s="467"/>
      <c r="K197" s="441"/>
      <c r="L197" s="442"/>
      <c r="M197" s="443" t="str">
        <f>IF('Design Fee'!W199&gt;0,"✔","-")</f>
        <v>✔</v>
      </c>
      <c r="N197" s="443" t="str">
        <f>IF('Design Fee'!X199&gt;0,"✔","-")</f>
        <v>✔</v>
      </c>
      <c r="O197" s="444" t="str">
        <f>IF('Design Fee'!Y199&gt;0,"✔","-")</f>
        <v>✔</v>
      </c>
      <c r="P197" s="444" t="str">
        <f>IF('Design Fee'!Z199&gt;0,"✔","-")</f>
        <v>-</v>
      </c>
      <c r="Q197" s="444" t="str">
        <f>IF('Design Fee'!AA199&gt;0,"✔","-")</f>
        <v>-</v>
      </c>
      <c r="R197" s="444" t="str">
        <f>IF('Design Fee'!AB199&gt;0,"✔","-")</f>
        <v>-</v>
      </c>
      <c r="S197" s="444" t="str">
        <f>IF('Design Fee'!AC199&gt;0,"✔","-")</f>
        <v>-</v>
      </c>
      <c r="T197" s="466" t="str">
        <f>IF('Design Fee'!AD199&gt;0,"✔","-")</f>
        <v>-</v>
      </c>
      <c r="U197" s="467"/>
      <c r="V197" s="444" t="str">
        <f>IF('Design Fee'!AF199&gt;0,"✔","-")</f>
        <v>-</v>
      </c>
      <c r="W197" s="444" t="str">
        <f>IF('Design Fee'!AG199&gt;0,"✔","-")</f>
        <v>-</v>
      </c>
      <c r="X197" s="444" t="str">
        <f>IF('Design Fee'!AH199&gt;0,"✔","-")</f>
        <v>-</v>
      </c>
      <c r="Y197" s="444" t="str">
        <f>IF('Design Fee'!AI199&gt;0,"✔","-")</f>
        <v>-</v>
      </c>
      <c r="Z197" s="444" t="str">
        <f>IF('Design Fee'!AJ199&gt;0,"✔","-")</f>
        <v>-</v>
      </c>
      <c r="AA197" s="467"/>
      <c r="AB197" s="441"/>
      <c r="AC197" s="442"/>
      <c r="AD197" s="443" t="str">
        <f>IF('Design Fee'!BG199&gt;0,"✔","-")</f>
        <v>✔</v>
      </c>
      <c r="AE197" s="443" t="str">
        <f>IF('Design Fee'!BH199&gt;0,"✔","-")</f>
        <v>✔</v>
      </c>
      <c r="AF197" s="444" t="str">
        <f>IF('Design Fee'!BI199&gt;0,"✔","-")</f>
        <v>✔</v>
      </c>
      <c r="AG197" s="444" t="str">
        <f>IF('Design Fee'!BJ199&gt;0,"✔","-")</f>
        <v>-</v>
      </c>
      <c r="AH197" s="444" t="str">
        <f>IF('Design Fee'!BK199&gt;0,"✔","-")</f>
        <v>-</v>
      </c>
      <c r="AI197" s="444" t="str">
        <f>IF('Design Fee'!BL199&gt;0,"✔","-")</f>
        <v>-</v>
      </c>
      <c r="AJ197" s="444" t="str">
        <f>IF('Design Fee'!BM199&gt;0,"✔","-")</f>
        <v>-</v>
      </c>
      <c r="AK197" s="466" t="str">
        <f>IF('Design Fee'!BN199&gt;0,"✔","-")</f>
        <v>-</v>
      </c>
      <c r="AL197" s="445"/>
      <c r="AM197" s="444" t="str">
        <f>IF('Design Fee'!BP199&gt;0,"✔","-")</f>
        <v>-</v>
      </c>
      <c r="AN197" s="444" t="str">
        <f>IF('Design Fee'!BQ199&gt;0,"✔","-")</f>
        <v>-</v>
      </c>
      <c r="AO197" s="444" t="str">
        <f>IF('Design Fee'!BR199&gt;0,"✔","-")</f>
        <v>-</v>
      </c>
      <c r="AP197" s="444" t="str">
        <f>IF('Design Fee'!BS199&gt;0,"✔","-")</f>
        <v>-</v>
      </c>
      <c r="AQ197" s="444" t="str">
        <f>IF('Design Fee'!BT199&gt;0,"✔","-")</f>
        <v>-</v>
      </c>
      <c r="AR197" s="445"/>
      <c r="AS197" s="441"/>
      <c r="AT197" s="442"/>
      <c r="AU197" s="443" t="str">
        <f>IF('Design Fee'!CQ199&gt;0,"✔","-")</f>
        <v>✔</v>
      </c>
      <c r="AV197" s="443" t="str">
        <f>IF('Design Fee'!CR199&gt;0,"✔","-")</f>
        <v>✔</v>
      </c>
      <c r="AW197" s="444" t="str">
        <f>IF('Design Fee'!CS199&gt;0,"✔","-")</f>
        <v>✔</v>
      </c>
      <c r="AX197" s="444" t="str">
        <f>IF('Design Fee'!CT199&gt;0,"✔","-")</f>
        <v>-</v>
      </c>
      <c r="AY197" s="444" t="str">
        <f>IF('Design Fee'!CU199&gt;0,"✔","-")</f>
        <v>-</v>
      </c>
      <c r="AZ197" s="444" t="str">
        <f>IF('Design Fee'!CV199&gt;0,"✔","-")</f>
        <v>-</v>
      </c>
      <c r="BA197" s="444" t="str">
        <f>IF('Design Fee'!CW199&gt;0,"✔","-")</f>
        <v>-</v>
      </c>
      <c r="BB197" s="466" t="str">
        <f>IF('Design Fee'!CX199&gt;0,"✔","-")</f>
        <v>-</v>
      </c>
      <c r="BC197" s="445"/>
      <c r="BD197" s="444" t="str">
        <f>IF('Design Fee'!CZ199&gt;0,"✔","-")</f>
        <v>-</v>
      </c>
      <c r="BE197" s="444" t="str">
        <f>IF('Design Fee'!DA199&gt;0,"✔","-")</f>
        <v>-</v>
      </c>
      <c r="BF197" s="444" t="str">
        <f>IF('Design Fee'!DB199&gt;0,"✔","-")</f>
        <v>-</v>
      </c>
      <c r="BG197" s="444" t="str">
        <f>IF('Design Fee'!DC199&gt;0,"✔","-")</f>
        <v>-</v>
      </c>
      <c r="BH197" s="444" t="str">
        <f>IF('Design Fee'!DD199&gt;0,"✔","-")</f>
        <v>-</v>
      </c>
      <c r="BI197" s="445"/>
      <c r="BJ197" s="441"/>
      <c r="BK197" s="442"/>
      <c r="BL197" s="443" t="str">
        <f>IF('Design Fee'!EA199&gt;0,"✔","-")</f>
        <v>-</v>
      </c>
      <c r="BM197" s="443" t="str">
        <f>IF('Design Fee'!EB199&gt;0,"✔","-")</f>
        <v>-</v>
      </c>
      <c r="BN197" s="444" t="str">
        <f>IF('Design Fee'!EC199&gt;0,"✔","-")</f>
        <v>-</v>
      </c>
      <c r="BO197" s="444" t="str">
        <f>IF('Design Fee'!ED199&gt;0,"✔","-")</f>
        <v>-</v>
      </c>
      <c r="BP197" s="444" t="str">
        <f>IF('Design Fee'!EE199&gt;0,"✔","-")</f>
        <v>-</v>
      </c>
      <c r="BQ197" s="444" t="str">
        <f>IF('Design Fee'!EF199&gt;0,"✔","-")</f>
        <v>-</v>
      </c>
      <c r="BR197" s="444" t="str">
        <f>IF('Design Fee'!EG199&gt;0,"✔","-")</f>
        <v>-</v>
      </c>
      <c r="BS197" s="466" t="str">
        <f>IF('Design Fee'!EH199&gt;0,"✔","-")</f>
        <v>-</v>
      </c>
      <c r="BT197" s="383"/>
      <c r="BU197" s="444" t="str">
        <f>IF('Design Fee'!EJ199&gt;0,"✔","-")</f>
        <v>-</v>
      </c>
      <c r="BV197" s="444" t="str">
        <f>IF('Design Fee'!EK199&gt;0,"✔","-")</f>
        <v>-</v>
      </c>
      <c r="BW197" s="444" t="str">
        <f>IF('Design Fee'!EL199&gt;0,"✔","-")</f>
        <v>-</v>
      </c>
      <c r="BX197" s="444" t="str">
        <f>IF('Design Fee'!EM199&gt;0,"✔","-")</f>
        <v>-</v>
      </c>
      <c r="BY197" s="444" t="str">
        <f>IF('Design Fee'!EN199&gt;0,"✔","-")</f>
        <v>-</v>
      </c>
      <c r="BZ197" s="383"/>
    </row>
    <row r="198" spans="2:78" ht="12.75" outlineLevel="2">
      <c r="B198" s="463" t="s">
        <v>178</v>
      </c>
      <c r="C198" s="464">
        <v>2</v>
      </c>
      <c r="D198" s="465" t="s">
        <v>179</v>
      </c>
      <c r="E198" s="383"/>
      <c r="F198" s="443">
        <f t="shared" si="566"/>
        <v>3</v>
      </c>
      <c r="G198" s="444">
        <f t="shared" si="566"/>
        <v>3</v>
      </c>
      <c r="H198" s="444">
        <f t="shared" si="566"/>
        <v>3</v>
      </c>
      <c r="I198" s="444">
        <f t="shared" si="567"/>
        <v>0</v>
      </c>
      <c r="J198" s="467"/>
      <c r="K198" s="441"/>
      <c r="L198" s="442"/>
      <c r="M198" s="443" t="str">
        <f>IF('Design Fee'!W200&gt;0,"✔","-")</f>
        <v>✔</v>
      </c>
      <c r="N198" s="443" t="str">
        <f>IF('Design Fee'!X200&gt;0,"✔","-")</f>
        <v>✔</v>
      </c>
      <c r="O198" s="444" t="str">
        <f>IF('Design Fee'!Y200&gt;0,"✔","-")</f>
        <v>✔</v>
      </c>
      <c r="P198" s="444" t="str">
        <f>IF('Design Fee'!Z200&gt;0,"✔","-")</f>
        <v>-</v>
      </c>
      <c r="Q198" s="444" t="str">
        <f>IF('Design Fee'!AA200&gt;0,"✔","-")</f>
        <v>-</v>
      </c>
      <c r="R198" s="444" t="str">
        <f>IF('Design Fee'!AB200&gt;0,"✔","-")</f>
        <v>-</v>
      </c>
      <c r="S198" s="444" t="str">
        <f>IF('Design Fee'!AC200&gt;0,"✔","-")</f>
        <v>-</v>
      </c>
      <c r="T198" s="466" t="str">
        <f>IF('Design Fee'!AD200&gt;0,"✔","-")</f>
        <v>-</v>
      </c>
      <c r="U198" s="467"/>
      <c r="V198" s="444" t="str">
        <f>IF('Design Fee'!AF200&gt;0,"✔","-")</f>
        <v>-</v>
      </c>
      <c r="W198" s="444" t="str">
        <f>IF('Design Fee'!AG200&gt;0,"✔","-")</f>
        <v>-</v>
      </c>
      <c r="X198" s="444" t="str">
        <f>IF('Design Fee'!AH200&gt;0,"✔","-")</f>
        <v>-</v>
      </c>
      <c r="Y198" s="444" t="str">
        <f>IF('Design Fee'!AI200&gt;0,"✔","-")</f>
        <v>-</v>
      </c>
      <c r="Z198" s="444" t="str">
        <f>IF('Design Fee'!AJ200&gt;0,"✔","-")</f>
        <v>-</v>
      </c>
      <c r="AA198" s="467"/>
      <c r="AB198" s="441"/>
      <c r="AC198" s="442"/>
      <c r="AD198" s="443" t="str">
        <f>IF('Design Fee'!BG200&gt;0,"✔","-")</f>
        <v>✔</v>
      </c>
      <c r="AE198" s="443" t="str">
        <f>IF('Design Fee'!BH200&gt;0,"✔","-")</f>
        <v>✔</v>
      </c>
      <c r="AF198" s="444" t="str">
        <f>IF('Design Fee'!BI200&gt;0,"✔","-")</f>
        <v>✔</v>
      </c>
      <c r="AG198" s="444" t="str">
        <f>IF('Design Fee'!BJ200&gt;0,"✔","-")</f>
        <v>-</v>
      </c>
      <c r="AH198" s="444" t="str">
        <f>IF('Design Fee'!BK200&gt;0,"✔","-")</f>
        <v>-</v>
      </c>
      <c r="AI198" s="444" t="str">
        <f>IF('Design Fee'!BL200&gt;0,"✔","-")</f>
        <v>-</v>
      </c>
      <c r="AJ198" s="444" t="str">
        <f>IF('Design Fee'!BM200&gt;0,"✔","-")</f>
        <v>-</v>
      </c>
      <c r="AK198" s="466" t="str">
        <f>IF('Design Fee'!BN200&gt;0,"✔","-")</f>
        <v>-</v>
      </c>
      <c r="AL198" s="445"/>
      <c r="AM198" s="444" t="str">
        <f>IF('Design Fee'!BP200&gt;0,"✔","-")</f>
        <v>-</v>
      </c>
      <c r="AN198" s="444" t="str">
        <f>IF('Design Fee'!BQ200&gt;0,"✔","-")</f>
        <v>-</v>
      </c>
      <c r="AO198" s="444" t="str">
        <f>IF('Design Fee'!BR200&gt;0,"✔","-")</f>
        <v>-</v>
      </c>
      <c r="AP198" s="444" t="str">
        <f>IF('Design Fee'!BS200&gt;0,"✔","-")</f>
        <v>-</v>
      </c>
      <c r="AQ198" s="444" t="str">
        <f>IF('Design Fee'!BT200&gt;0,"✔","-")</f>
        <v>-</v>
      </c>
      <c r="AR198" s="445"/>
      <c r="AS198" s="441"/>
      <c r="AT198" s="442"/>
      <c r="AU198" s="443" t="str">
        <f>IF('Design Fee'!CQ200&gt;0,"✔","-")</f>
        <v>✔</v>
      </c>
      <c r="AV198" s="443" t="str">
        <f>IF('Design Fee'!CR200&gt;0,"✔","-")</f>
        <v>✔</v>
      </c>
      <c r="AW198" s="444" t="str">
        <f>IF('Design Fee'!CS200&gt;0,"✔","-")</f>
        <v>✔</v>
      </c>
      <c r="AX198" s="444" t="str">
        <f>IF('Design Fee'!CT200&gt;0,"✔","-")</f>
        <v>-</v>
      </c>
      <c r="AY198" s="444" t="str">
        <f>IF('Design Fee'!CU200&gt;0,"✔","-")</f>
        <v>-</v>
      </c>
      <c r="AZ198" s="444" t="str">
        <f>IF('Design Fee'!CV200&gt;0,"✔","-")</f>
        <v>-</v>
      </c>
      <c r="BA198" s="444" t="str">
        <f>IF('Design Fee'!CW200&gt;0,"✔","-")</f>
        <v>-</v>
      </c>
      <c r="BB198" s="466" t="str">
        <f>IF('Design Fee'!CX200&gt;0,"✔","-")</f>
        <v>-</v>
      </c>
      <c r="BC198" s="445"/>
      <c r="BD198" s="444" t="str">
        <f>IF('Design Fee'!CZ200&gt;0,"✔","-")</f>
        <v>-</v>
      </c>
      <c r="BE198" s="444" t="str">
        <f>IF('Design Fee'!DA200&gt;0,"✔","-")</f>
        <v>-</v>
      </c>
      <c r="BF198" s="444" t="str">
        <f>IF('Design Fee'!DB200&gt;0,"✔","-")</f>
        <v>-</v>
      </c>
      <c r="BG198" s="444" t="str">
        <f>IF('Design Fee'!DC200&gt;0,"✔","-")</f>
        <v>-</v>
      </c>
      <c r="BH198" s="444" t="str">
        <f>IF('Design Fee'!DD200&gt;0,"✔","-")</f>
        <v>-</v>
      </c>
      <c r="BI198" s="445"/>
      <c r="BJ198" s="441"/>
      <c r="BK198" s="442"/>
      <c r="BL198" s="443" t="str">
        <f>IF('Design Fee'!EA200&gt;0,"✔","-")</f>
        <v>-</v>
      </c>
      <c r="BM198" s="443" t="str">
        <f>IF('Design Fee'!EB200&gt;0,"✔","-")</f>
        <v>-</v>
      </c>
      <c r="BN198" s="444" t="str">
        <f>IF('Design Fee'!EC200&gt;0,"✔","-")</f>
        <v>-</v>
      </c>
      <c r="BO198" s="444" t="str">
        <f>IF('Design Fee'!ED200&gt;0,"✔","-")</f>
        <v>-</v>
      </c>
      <c r="BP198" s="444" t="str">
        <f>IF('Design Fee'!EE200&gt;0,"✔","-")</f>
        <v>-</v>
      </c>
      <c r="BQ198" s="444" t="str">
        <f>IF('Design Fee'!EF200&gt;0,"✔","-")</f>
        <v>-</v>
      </c>
      <c r="BR198" s="444" t="str">
        <f>IF('Design Fee'!EG200&gt;0,"✔","-")</f>
        <v>-</v>
      </c>
      <c r="BS198" s="466" t="str">
        <f>IF('Design Fee'!EH200&gt;0,"✔","-")</f>
        <v>-</v>
      </c>
      <c r="BT198" s="383"/>
      <c r="BU198" s="444" t="str">
        <f>IF('Design Fee'!EJ200&gt;0,"✔","-")</f>
        <v>-</v>
      </c>
      <c r="BV198" s="444" t="str">
        <f>IF('Design Fee'!EK200&gt;0,"✔","-")</f>
        <v>-</v>
      </c>
      <c r="BW198" s="444" t="str">
        <f>IF('Design Fee'!EL200&gt;0,"✔","-")</f>
        <v>-</v>
      </c>
      <c r="BX198" s="444" t="str">
        <f>IF('Design Fee'!EM200&gt;0,"✔","-")</f>
        <v>-</v>
      </c>
      <c r="BY198" s="444" t="str">
        <f>IF('Design Fee'!EN200&gt;0,"✔","-")</f>
        <v>-</v>
      </c>
      <c r="BZ198" s="383"/>
    </row>
    <row r="199" spans="2:78" ht="12.75" outlineLevel="2">
      <c r="B199" s="463" t="s">
        <v>180</v>
      </c>
      <c r="C199" s="464">
        <v>3</v>
      </c>
      <c r="D199" s="465" t="s">
        <v>156</v>
      </c>
      <c r="E199" s="383"/>
      <c r="F199" s="443">
        <f t="shared" si="566"/>
        <v>4</v>
      </c>
      <c r="G199" s="444">
        <f t="shared" si="566"/>
        <v>4</v>
      </c>
      <c r="H199" s="444">
        <f t="shared" si="566"/>
        <v>4</v>
      </c>
      <c r="I199" s="444">
        <f t="shared" si="567"/>
        <v>0</v>
      </c>
      <c r="J199" s="467"/>
      <c r="K199" s="441"/>
      <c r="L199" s="442"/>
      <c r="M199" s="443" t="str">
        <f>IF('Design Fee'!W201&gt;0,"✔","-")</f>
        <v>✔</v>
      </c>
      <c r="N199" s="443" t="str">
        <f>IF('Design Fee'!X201&gt;0,"✔","-")</f>
        <v>✔</v>
      </c>
      <c r="O199" s="444" t="str">
        <f>IF('Design Fee'!Y201&gt;0,"✔","-")</f>
        <v>✔</v>
      </c>
      <c r="P199" s="444" t="str">
        <f>IF('Design Fee'!Z201&gt;0,"✔","-")</f>
        <v>-</v>
      </c>
      <c r="Q199" s="444" t="str">
        <f>IF('Design Fee'!AA201&gt;0,"✔","-")</f>
        <v>-</v>
      </c>
      <c r="R199" s="444" t="str">
        <f>IF('Design Fee'!AB201&gt;0,"✔","-")</f>
        <v>-</v>
      </c>
      <c r="S199" s="444" t="str">
        <f>IF('Design Fee'!AC201&gt;0,"✔","-")</f>
        <v>-</v>
      </c>
      <c r="T199" s="466" t="str">
        <f>IF('Design Fee'!AD201&gt;0,"✔","-")</f>
        <v>-</v>
      </c>
      <c r="U199" s="467"/>
      <c r="V199" s="444" t="str">
        <f>IF('Design Fee'!AF201&gt;0,"✔","-")</f>
        <v>-</v>
      </c>
      <c r="W199" s="444" t="str">
        <f>IF('Design Fee'!AG201&gt;0,"✔","-")</f>
        <v>-</v>
      </c>
      <c r="X199" s="444" t="str">
        <f>IF('Design Fee'!AH201&gt;0,"✔","-")</f>
        <v>-</v>
      </c>
      <c r="Y199" s="444" t="str">
        <f>IF('Design Fee'!AI201&gt;0,"✔","-")</f>
        <v>-</v>
      </c>
      <c r="Z199" s="444" t="str">
        <f>IF('Design Fee'!AJ201&gt;0,"✔","-")</f>
        <v>-</v>
      </c>
      <c r="AA199" s="467"/>
      <c r="AB199" s="441"/>
      <c r="AC199" s="442"/>
      <c r="AD199" s="443" t="str">
        <f>IF('Design Fee'!BG201&gt;0,"✔","-")</f>
        <v>✔</v>
      </c>
      <c r="AE199" s="443" t="str">
        <f>IF('Design Fee'!BH201&gt;0,"✔","-")</f>
        <v>✔</v>
      </c>
      <c r="AF199" s="444" t="str">
        <f>IF('Design Fee'!BI201&gt;0,"✔","-")</f>
        <v>✔</v>
      </c>
      <c r="AG199" s="444" t="str">
        <f>IF('Design Fee'!BJ201&gt;0,"✔","-")</f>
        <v>-</v>
      </c>
      <c r="AH199" s="444" t="str">
        <f>IF('Design Fee'!BK201&gt;0,"✔","-")</f>
        <v>-</v>
      </c>
      <c r="AI199" s="444" t="str">
        <f>IF('Design Fee'!BL201&gt;0,"✔","-")</f>
        <v>-</v>
      </c>
      <c r="AJ199" s="444" t="str">
        <f>IF('Design Fee'!BM201&gt;0,"✔","-")</f>
        <v>-</v>
      </c>
      <c r="AK199" s="466" t="str">
        <f>IF('Design Fee'!BN201&gt;0,"✔","-")</f>
        <v>-</v>
      </c>
      <c r="AL199" s="445"/>
      <c r="AM199" s="444" t="str">
        <f>IF('Design Fee'!BP201&gt;0,"✔","-")</f>
        <v>-</v>
      </c>
      <c r="AN199" s="444" t="str">
        <f>IF('Design Fee'!BQ201&gt;0,"✔","-")</f>
        <v>-</v>
      </c>
      <c r="AO199" s="444" t="str">
        <f>IF('Design Fee'!BR201&gt;0,"✔","-")</f>
        <v>-</v>
      </c>
      <c r="AP199" s="444" t="str">
        <f>IF('Design Fee'!BS201&gt;0,"✔","-")</f>
        <v>-</v>
      </c>
      <c r="AQ199" s="444" t="str">
        <f>IF('Design Fee'!BT201&gt;0,"✔","-")</f>
        <v>-</v>
      </c>
      <c r="AR199" s="445"/>
      <c r="AS199" s="441"/>
      <c r="AT199" s="442"/>
      <c r="AU199" s="443" t="str">
        <f>IF('Design Fee'!CQ201&gt;0,"✔","-")</f>
        <v>✔</v>
      </c>
      <c r="AV199" s="443" t="str">
        <f>IF('Design Fee'!CR201&gt;0,"✔","-")</f>
        <v>✔</v>
      </c>
      <c r="AW199" s="444" t="str">
        <f>IF('Design Fee'!CS201&gt;0,"✔","-")</f>
        <v>✔</v>
      </c>
      <c r="AX199" s="444" t="str">
        <f>IF('Design Fee'!CT201&gt;0,"✔","-")</f>
        <v>-</v>
      </c>
      <c r="AY199" s="444" t="str">
        <f>IF('Design Fee'!CU201&gt;0,"✔","-")</f>
        <v>-</v>
      </c>
      <c r="AZ199" s="444" t="str">
        <f>IF('Design Fee'!CV201&gt;0,"✔","-")</f>
        <v>-</v>
      </c>
      <c r="BA199" s="444" t="str">
        <f>IF('Design Fee'!CW201&gt;0,"✔","-")</f>
        <v>-</v>
      </c>
      <c r="BB199" s="466" t="str">
        <f>IF('Design Fee'!CX201&gt;0,"✔","-")</f>
        <v>-</v>
      </c>
      <c r="BC199" s="445"/>
      <c r="BD199" s="444" t="str">
        <f>IF('Design Fee'!CZ201&gt;0,"✔","-")</f>
        <v>-</v>
      </c>
      <c r="BE199" s="444" t="str">
        <f>IF('Design Fee'!DA201&gt;0,"✔","-")</f>
        <v>-</v>
      </c>
      <c r="BF199" s="444" t="str">
        <f>IF('Design Fee'!DB201&gt;0,"✔","-")</f>
        <v>-</v>
      </c>
      <c r="BG199" s="444" t="str">
        <f>IF('Design Fee'!DC201&gt;0,"✔","-")</f>
        <v>-</v>
      </c>
      <c r="BH199" s="444" t="str">
        <f>IF('Design Fee'!DD201&gt;0,"✔","-")</f>
        <v>-</v>
      </c>
      <c r="BI199" s="445"/>
      <c r="BJ199" s="441"/>
      <c r="BK199" s="442"/>
      <c r="BL199" s="443" t="str">
        <f>IF('Design Fee'!EA201&gt;0,"✔","-")</f>
        <v>✔</v>
      </c>
      <c r="BM199" s="443" t="str">
        <f>IF('Design Fee'!EB201&gt;0,"✔","-")</f>
        <v>✔</v>
      </c>
      <c r="BN199" s="444" t="str">
        <f>IF('Design Fee'!EC201&gt;0,"✔","-")</f>
        <v>✔</v>
      </c>
      <c r="BO199" s="444" t="str">
        <f>IF('Design Fee'!ED201&gt;0,"✔","-")</f>
        <v>-</v>
      </c>
      <c r="BP199" s="444" t="str">
        <f>IF('Design Fee'!EE201&gt;0,"✔","-")</f>
        <v>-</v>
      </c>
      <c r="BQ199" s="444" t="str">
        <f>IF('Design Fee'!EF201&gt;0,"✔","-")</f>
        <v>-</v>
      </c>
      <c r="BR199" s="444" t="str">
        <f>IF('Design Fee'!EG201&gt;0,"✔","-")</f>
        <v>-</v>
      </c>
      <c r="BS199" s="466" t="str">
        <f>IF('Design Fee'!EH201&gt;0,"✔","-")</f>
        <v>-</v>
      </c>
      <c r="BT199" s="383"/>
      <c r="BU199" s="444" t="str">
        <f>IF('Design Fee'!EJ201&gt;0,"✔","-")</f>
        <v>-</v>
      </c>
      <c r="BV199" s="444" t="str">
        <f>IF('Design Fee'!EK201&gt;0,"✔","-")</f>
        <v>-</v>
      </c>
      <c r="BW199" s="444" t="str">
        <f>IF('Design Fee'!EL201&gt;0,"✔","-")</f>
        <v>-</v>
      </c>
      <c r="BX199" s="444" t="str">
        <f>IF('Design Fee'!EM201&gt;0,"✔","-")</f>
        <v>-</v>
      </c>
      <c r="BY199" s="444" t="str">
        <f>IF('Design Fee'!EN201&gt;0,"✔","-")</f>
        <v>-</v>
      </c>
      <c r="BZ199" s="383"/>
    </row>
    <row r="200" spans="2:78" ht="3" customHeight="1" outlineLevel="1">
      <c r="B200" s="384"/>
      <c r="C200" s="488"/>
      <c r="D200" s="465"/>
      <c r="E200" s="383"/>
      <c r="F200" s="408"/>
      <c r="G200" s="421"/>
      <c r="H200" s="421"/>
      <c r="I200" s="421"/>
      <c r="J200" s="467"/>
      <c r="K200" s="441"/>
      <c r="L200" s="442"/>
      <c r="M200" s="443"/>
      <c r="N200" s="443"/>
      <c r="O200" s="482"/>
      <c r="P200" s="482"/>
      <c r="Q200" s="482"/>
      <c r="R200" s="482"/>
      <c r="S200" s="482"/>
      <c r="T200" s="482"/>
      <c r="U200" s="467"/>
      <c r="V200" s="482"/>
      <c r="W200" s="482"/>
      <c r="X200" s="482"/>
      <c r="Y200" s="482"/>
      <c r="Z200" s="482"/>
      <c r="AA200" s="467"/>
      <c r="AB200" s="441"/>
      <c r="AC200" s="442"/>
      <c r="AD200" s="443"/>
      <c r="AE200" s="443"/>
      <c r="AF200" s="421"/>
      <c r="AG200" s="421"/>
      <c r="AH200" s="421"/>
      <c r="AI200" s="421"/>
      <c r="AJ200" s="421"/>
      <c r="AK200" s="421"/>
      <c r="AL200" s="421"/>
      <c r="AM200" s="421"/>
      <c r="AN200" s="421"/>
      <c r="AO200" s="421"/>
      <c r="AP200" s="421"/>
      <c r="AQ200" s="421"/>
      <c r="AR200" s="421"/>
      <c r="AS200" s="441"/>
      <c r="AT200" s="421"/>
      <c r="AU200" s="443"/>
      <c r="AV200" s="443"/>
      <c r="AW200" s="421"/>
      <c r="AX200" s="421"/>
      <c r="AY200" s="421"/>
      <c r="AZ200" s="421"/>
      <c r="BA200" s="421"/>
      <c r="BB200" s="421"/>
      <c r="BC200" s="421"/>
      <c r="BD200" s="421"/>
      <c r="BE200" s="421"/>
      <c r="BF200" s="421"/>
      <c r="BG200" s="421"/>
      <c r="BH200" s="421"/>
      <c r="BI200" s="421"/>
      <c r="BJ200" s="441"/>
      <c r="BK200" s="421"/>
      <c r="BL200" s="443"/>
      <c r="BM200" s="443"/>
      <c r="BN200" s="421"/>
      <c r="BO200" s="421"/>
      <c r="BP200" s="421"/>
      <c r="BQ200" s="421"/>
      <c r="BR200" s="421"/>
      <c r="BS200" s="421"/>
      <c r="BT200" s="383"/>
      <c r="BU200" s="421"/>
      <c r="BV200" s="421"/>
      <c r="BW200" s="421"/>
      <c r="BX200" s="421"/>
      <c r="BY200" s="421"/>
      <c r="BZ200" s="383"/>
    </row>
    <row r="201" spans="2:78" ht="12.75" outlineLevel="1">
      <c r="B201" s="432">
        <v>13</v>
      </c>
      <c r="C201" s="459">
        <v>11</v>
      </c>
      <c r="D201" s="460" t="s">
        <v>181</v>
      </c>
      <c r="E201" s="434"/>
      <c r="F201" s="461">
        <f>M201+AD201+AU201+BL201</f>
        <v>9</v>
      </c>
      <c r="G201" s="461">
        <f t="shared" ref="G201:I201" si="568">N201+AE201+AV201+BM201</f>
        <v>6</v>
      </c>
      <c r="H201" s="461">
        <f t="shared" si="568"/>
        <v>0</v>
      </c>
      <c r="I201" s="461">
        <f t="shared" si="568"/>
        <v>9</v>
      </c>
      <c r="J201" s="438">
        <f t="shared" ref="J201" si="569">COUNT(J202:J204)</f>
        <v>0</v>
      </c>
      <c r="K201" s="435"/>
      <c r="L201" s="435"/>
      <c r="M201" s="461">
        <f>COUNTIF(M202:M204,"✔")</f>
        <v>3</v>
      </c>
      <c r="N201" s="461">
        <f t="shared" ref="N201" si="570">COUNTIF(N202:N204,"✔")</f>
        <v>1</v>
      </c>
      <c r="O201" s="461">
        <f t="shared" ref="O201" si="571">COUNTIF(O202:O204,"✔")</f>
        <v>0</v>
      </c>
      <c r="P201" s="461">
        <f t="shared" ref="P201" si="572">COUNTIF(P202:P204,"✔")</f>
        <v>3</v>
      </c>
      <c r="Q201" s="461">
        <f t="shared" ref="Q201" si="573">COUNTIF(Q202:Q204,"✔")</f>
        <v>3</v>
      </c>
      <c r="R201" s="461">
        <f t="shared" ref="R201" si="574">COUNTIF(R202:R204,"✔")</f>
        <v>0</v>
      </c>
      <c r="S201" s="461">
        <f t="shared" ref="S201" si="575">COUNTIF(S202:S204,"✔")</f>
        <v>0</v>
      </c>
      <c r="T201" s="461">
        <f t="shared" ref="T201" si="576">COUNTIF(T202:T204,"✔")</f>
        <v>0</v>
      </c>
      <c r="U201" s="461">
        <f t="shared" ref="U201" si="577">COUNTIF(U202:U204,"✔")</f>
        <v>0</v>
      </c>
      <c r="V201" s="461">
        <f t="shared" ref="V201" si="578">COUNTIF(V202:V204,"✔")</f>
        <v>1</v>
      </c>
      <c r="W201" s="461">
        <f t="shared" ref="W201" si="579">COUNTIF(W202:W204,"✔")</f>
        <v>0</v>
      </c>
      <c r="X201" s="461">
        <f t="shared" ref="X201" si="580">COUNTIF(X202:X204,"✔")</f>
        <v>1</v>
      </c>
      <c r="Y201" s="461">
        <f t="shared" ref="Y201" si="581">COUNTIF(Y202:Y204,"✔")</f>
        <v>0</v>
      </c>
      <c r="Z201" s="461">
        <f t="shared" ref="Z201" si="582">COUNTIF(Z202:Z204,"✔")</f>
        <v>0</v>
      </c>
      <c r="AA201" s="461">
        <f t="shared" ref="AA201" si="583">COUNTIF(AA202:AA204,"✔")</f>
        <v>0</v>
      </c>
      <c r="AB201" s="435"/>
      <c r="AC201" s="461">
        <f t="shared" ref="AC201" si="584">COUNTIF(AC202:AC204,"✔")</f>
        <v>0</v>
      </c>
      <c r="AD201" s="461">
        <f t="shared" ref="AD201" si="585">COUNTIF(AD202:AD204,"✔")</f>
        <v>2</v>
      </c>
      <c r="AE201" s="461">
        <f t="shared" ref="AE201" si="586">COUNTIF(AE202:AE204,"✔")</f>
        <v>1</v>
      </c>
      <c r="AF201" s="461">
        <f t="shared" ref="AF201" si="587">COUNTIF(AF202:AF204,"✔")</f>
        <v>0</v>
      </c>
      <c r="AG201" s="461">
        <f t="shared" ref="AG201" si="588">COUNTIF(AG202:AG204,"✔")</f>
        <v>2</v>
      </c>
      <c r="AH201" s="461">
        <f t="shared" ref="AH201" si="589">COUNTIF(AH202:AH204,"✔")</f>
        <v>2</v>
      </c>
      <c r="AI201" s="461">
        <f t="shared" ref="AI201" si="590">COUNTIF(AI202:AI204,"✔")</f>
        <v>0</v>
      </c>
      <c r="AJ201" s="461">
        <f t="shared" ref="AJ201" si="591">COUNTIF(AJ202:AJ204,"✔")</f>
        <v>0</v>
      </c>
      <c r="AK201" s="461">
        <f t="shared" ref="AK201" si="592">COUNTIF(AK202:AK204,"✔")</f>
        <v>0</v>
      </c>
      <c r="AL201" s="461">
        <f t="shared" ref="AL201" si="593">COUNTIF(AL202:AL204,"✔")</f>
        <v>0</v>
      </c>
      <c r="AM201" s="461">
        <f t="shared" ref="AM201" si="594">COUNTIF(AM202:AM204,"✔")</f>
        <v>1</v>
      </c>
      <c r="AN201" s="461">
        <f t="shared" ref="AN201" si="595">COUNTIF(AN202:AN204,"✔")</f>
        <v>0</v>
      </c>
      <c r="AO201" s="461">
        <f t="shared" ref="AO201" si="596">COUNTIF(AO202:AO204,"✔")</f>
        <v>0</v>
      </c>
      <c r="AP201" s="461">
        <f t="shared" ref="AP201" si="597">COUNTIF(AP202:AP204,"✔")</f>
        <v>1</v>
      </c>
      <c r="AQ201" s="461">
        <f t="shared" ref="AQ201" si="598">COUNTIF(AQ202:AQ204,"✔")</f>
        <v>0</v>
      </c>
      <c r="AR201" s="461">
        <f t="shared" ref="AR201" si="599">COUNTIF(AR202:AR204,"✔")</f>
        <v>0</v>
      </c>
      <c r="AS201" s="435"/>
      <c r="AT201" s="461">
        <f t="shared" ref="AT201" si="600">COUNTIF(AT202:AT204,"✔")</f>
        <v>0</v>
      </c>
      <c r="AU201" s="461">
        <f t="shared" ref="AU201" si="601">COUNTIF(AU202:AU204,"✔")</f>
        <v>3</v>
      </c>
      <c r="AV201" s="461">
        <f t="shared" ref="AV201" si="602">COUNTIF(AV202:AV204,"✔")</f>
        <v>3</v>
      </c>
      <c r="AW201" s="461">
        <f t="shared" ref="AW201" si="603">COUNTIF(AW202:AW204,"✔")</f>
        <v>0</v>
      </c>
      <c r="AX201" s="461">
        <f t="shared" ref="AX201" si="604">COUNTIF(AX202:AX204,"✔")</f>
        <v>3</v>
      </c>
      <c r="AY201" s="461">
        <f t="shared" ref="AY201" si="605">COUNTIF(AY202:AY204,"✔")</f>
        <v>3</v>
      </c>
      <c r="AZ201" s="461">
        <f t="shared" ref="AZ201" si="606">COUNTIF(AZ202:AZ204,"✔")</f>
        <v>0</v>
      </c>
      <c r="BA201" s="461">
        <f t="shared" ref="BA201" si="607">COUNTIF(BA202:BA204,"✔")</f>
        <v>0</v>
      </c>
      <c r="BB201" s="461">
        <f t="shared" ref="BB201" si="608">COUNTIF(BB202:BB204,"✔")</f>
        <v>0</v>
      </c>
      <c r="BC201" s="461">
        <f t="shared" ref="BC201" si="609">COUNTIF(BC202:BC204,"✔")</f>
        <v>0</v>
      </c>
      <c r="BD201" s="461">
        <f t="shared" ref="BD201" si="610">COUNTIF(BD202:BD204,"✔")</f>
        <v>3</v>
      </c>
      <c r="BE201" s="461">
        <f t="shared" ref="BE201" si="611">COUNTIF(BE202:BE204,"✔")</f>
        <v>0</v>
      </c>
      <c r="BF201" s="461">
        <f t="shared" ref="BF201" si="612">COUNTIF(BF202:BF204,"✔")</f>
        <v>0</v>
      </c>
      <c r="BG201" s="461">
        <f t="shared" ref="BG201" si="613">COUNTIF(BG202:BG204,"✔")</f>
        <v>3</v>
      </c>
      <c r="BH201" s="461">
        <f t="shared" ref="BH201" si="614">COUNTIF(BH202:BH204,"✔")</f>
        <v>0</v>
      </c>
      <c r="BI201" s="461">
        <f t="shared" ref="BI201" si="615">COUNTIF(BI202:BI204,"✔")</f>
        <v>0</v>
      </c>
      <c r="BJ201" s="435"/>
      <c r="BK201" s="461">
        <f t="shared" ref="BK201" si="616">COUNTIF(BK202:BK204,"✔")</f>
        <v>0</v>
      </c>
      <c r="BL201" s="461">
        <f t="shared" ref="BL201" si="617">COUNTIF(BL202:BL204,"✔")</f>
        <v>1</v>
      </c>
      <c r="BM201" s="461">
        <f t="shared" ref="BM201" si="618">COUNTIF(BM202:BM204,"✔")</f>
        <v>1</v>
      </c>
      <c r="BN201" s="461">
        <f t="shared" ref="BN201" si="619">COUNTIF(BN202:BN204,"✔")</f>
        <v>0</v>
      </c>
      <c r="BO201" s="461">
        <f t="shared" ref="BO201" si="620">COUNTIF(BO202:BO204,"✔")</f>
        <v>1</v>
      </c>
      <c r="BP201" s="461">
        <f t="shared" ref="BP201" si="621">COUNTIF(BP202:BP204,"✔")</f>
        <v>1</v>
      </c>
      <c r="BQ201" s="461">
        <f t="shared" ref="BQ201" si="622">COUNTIF(BQ202:BQ204,"✔")</f>
        <v>0</v>
      </c>
      <c r="BR201" s="461">
        <f t="shared" ref="BR201" si="623">COUNTIF(BR202:BR204,"✔")</f>
        <v>0</v>
      </c>
      <c r="BS201" s="461">
        <f t="shared" ref="BS201" si="624">COUNTIF(BS202:BS204,"✔")</f>
        <v>0</v>
      </c>
      <c r="BT201" s="383"/>
      <c r="BU201" s="461">
        <f t="shared" ref="BU201" si="625">COUNTIF(BU202:BU204,"✔")</f>
        <v>1</v>
      </c>
      <c r="BV201" s="461">
        <f t="shared" ref="BV201" si="626">COUNTIF(BV202:BV204,"✔")</f>
        <v>0</v>
      </c>
      <c r="BW201" s="461">
        <f t="shared" ref="BW201" si="627">COUNTIF(BW202:BW204,"✔")</f>
        <v>0</v>
      </c>
      <c r="BX201" s="461">
        <f t="shared" ref="BX201" si="628">COUNTIF(BX202:BX204,"✔")</f>
        <v>0</v>
      </c>
      <c r="BY201" s="461">
        <f t="shared" ref="BY201" si="629">COUNTIF(BY202:BY204,"✔")</f>
        <v>1</v>
      </c>
      <c r="BZ201" s="383"/>
    </row>
    <row r="202" spans="2:78" ht="12.75" outlineLevel="2">
      <c r="B202" s="463" t="s">
        <v>182</v>
      </c>
      <c r="C202" s="464">
        <v>1</v>
      </c>
      <c r="D202" s="465" t="s">
        <v>177</v>
      </c>
      <c r="E202" s="383"/>
      <c r="F202" s="443">
        <f t="shared" ref="F202:H204" si="630">COUNTIF(M202,"✔")+COUNTIF(AD202,"✔")+COUNTIF(BL202,"✔")+COUNTIF(AU202,"✔")</f>
        <v>3</v>
      </c>
      <c r="G202" s="444">
        <f t="shared" si="630"/>
        <v>3</v>
      </c>
      <c r="H202" s="444">
        <f t="shared" si="630"/>
        <v>0</v>
      </c>
      <c r="I202" s="444">
        <f t="shared" ref="I202:I204" si="631">F202-G202</f>
        <v>0</v>
      </c>
      <c r="J202" s="467"/>
      <c r="K202" s="441"/>
      <c r="L202" s="442"/>
      <c r="M202" s="443" t="str">
        <f>IF('Design Fee'!W204&gt;0,"✔","-")</f>
        <v>✔</v>
      </c>
      <c r="N202" s="443" t="str">
        <f>IF('Design Fee'!X204&gt;0,"✔","-")</f>
        <v>✔</v>
      </c>
      <c r="O202" s="444" t="str">
        <f>IF('Design Fee'!Y204&gt;0,"✔","-")</f>
        <v>-</v>
      </c>
      <c r="P202" s="444" t="str">
        <f>IF('Design Fee'!Z204&gt;0,"✔","-")</f>
        <v>✔</v>
      </c>
      <c r="Q202" s="444" t="str">
        <f>IF('Design Fee'!AA204&gt;0,"✔","-")</f>
        <v>✔</v>
      </c>
      <c r="R202" s="444" t="str">
        <f>IF('Design Fee'!AB204&gt;0,"✔","-")</f>
        <v>-</v>
      </c>
      <c r="S202" s="444" t="str">
        <f>IF('Design Fee'!AC204&gt;0,"✔","-")</f>
        <v>-</v>
      </c>
      <c r="T202" s="466" t="str">
        <f>IF('Design Fee'!AD204&gt;0,"✔","-")</f>
        <v>-</v>
      </c>
      <c r="U202" s="467"/>
      <c r="V202" s="444" t="str">
        <f>IF('Design Fee'!AF204&gt;0,"✔","-")</f>
        <v>✔</v>
      </c>
      <c r="W202" s="444" t="str">
        <f>IF('Design Fee'!AG204&gt;0,"✔","-")</f>
        <v>-</v>
      </c>
      <c r="X202" s="444" t="str">
        <f>IF('Design Fee'!AH204&gt;0,"✔","-")</f>
        <v>✔</v>
      </c>
      <c r="Y202" s="444" t="str">
        <f>IF('Design Fee'!AI204&gt;0,"✔","-")</f>
        <v>-</v>
      </c>
      <c r="Z202" s="444" t="str">
        <f>IF('Design Fee'!AJ204&gt;0,"✔","-")</f>
        <v>-</v>
      </c>
      <c r="AA202" s="467"/>
      <c r="AB202" s="441"/>
      <c r="AC202" s="442"/>
      <c r="AD202" s="443" t="str">
        <f>IF('Design Fee'!BG204&gt;0,"✔","-")</f>
        <v>✔</v>
      </c>
      <c r="AE202" s="443" t="str">
        <f>IF('Design Fee'!BH204&gt;0,"✔","-")</f>
        <v>✔</v>
      </c>
      <c r="AF202" s="444" t="str">
        <f>IF('Design Fee'!BI204&gt;0,"✔","-")</f>
        <v>-</v>
      </c>
      <c r="AG202" s="444" t="str">
        <f>IF('Design Fee'!BJ204&gt;0,"✔","-")</f>
        <v>✔</v>
      </c>
      <c r="AH202" s="444" t="str">
        <f>IF('Design Fee'!BK204&gt;0,"✔","-")</f>
        <v>✔</v>
      </c>
      <c r="AI202" s="444" t="str">
        <f>IF('Design Fee'!BL204&gt;0,"✔","-")</f>
        <v>-</v>
      </c>
      <c r="AJ202" s="444" t="str">
        <f>IF('Design Fee'!BM204&gt;0,"✔","-")</f>
        <v>-</v>
      </c>
      <c r="AK202" s="466" t="str">
        <f>IF('Design Fee'!BN204&gt;0,"✔","-")</f>
        <v>-</v>
      </c>
      <c r="AL202" s="445"/>
      <c r="AM202" s="444" t="str">
        <f>IF('Design Fee'!BP204&gt;0,"✔","-")</f>
        <v>✔</v>
      </c>
      <c r="AN202" s="444" t="str">
        <f>IF('Design Fee'!BQ204&gt;0,"✔","-")</f>
        <v>-</v>
      </c>
      <c r="AO202" s="444" t="str">
        <f>IF('Design Fee'!BR204&gt;0,"✔","-")</f>
        <v>-</v>
      </c>
      <c r="AP202" s="444" t="str">
        <f>IF('Design Fee'!BS204&gt;0,"✔","-")</f>
        <v>✔</v>
      </c>
      <c r="AQ202" s="444" t="str">
        <f>IF('Design Fee'!BT204&gt;0,"✔","-")</f>
        <v>-</v>
      </c>
      <c r="AR202" s="445"/>
      <c r="AS202" s="441"/>
      <c r="AT202" s="442"/>
      <c r="AU202" s="443" t="str">
        <f>IF('Design Fee'!CQ204&gt;0,"✔","-")</f>
        <v>✔</v>
      </c>
      <c r="AV202" s="443" t="str">
        <f>IF('Design Fee'!CR204&gt;0,"✔","-")</f>
        <v>✔</v>
      </c>
      <c r="AW202" s="444" t="str">
        <f>IF('Design Fee'!CS204&gt;0,"✔","-")</f>
        <v>-</v>
      </c>
      <c r="AX202" s="444" t="str">
        <f>IF('Design Fee'!CT204&gt;0,"✔","-")</f>
        <v>✔</v>
      </c>
      <c r="AY202" s="444" t="str">
        <f>IF('Design Fee'!CU204&gt;0,"✔","-")</f>
        <v>✔</v>
      </c>
      <c r="AZ202" s="444" t="str">
        <f>IF('Design Fee'!CV204&gt;0,"✔","-")</f>
        <v>-</v>
      </c>
      <c r="BA202" s="444" t="str">
        <f>IF('Design Fee'!CW204&gt;0,"✔","-")</f>
        <v>-</v>
      </c>
      <c r="BB202" s="466" t="str">
        <f>IF('Design Fee'!CX204&gt;0,"✔","-")</f>
        <v>-</v>
      </c>
      <c r="BC202" s="445"/>
      <c r="BD202" s="444" t="str">
        <f>IF('Design Fee'!CZ204&gt;0,"✔","-")</f>
        <v>✔</v>
      </c>
      <c r="BE202" s="444" t="str">
        <f>IF('Design Fee'!DA204&gt;0,"✔","-")</f>
        <v>-</v>
      </c>
      <c r="BF202" s="444" t="str">
        <f>IF('Design Fee'!DB204&gt;0,"✔","-")</f>
        <v>-</v>
      </c>
      <c r="BG202" s="444" t="str">
        <f>IF('Design Fee'!DC204&gt;0,"✔","-")</f>
        <v>✔</v>
      </c>
      <c r="BH202" s="444" t="str">
        <f>IF('Design Fee'!DD204&gt;0,"✔","-")</f>
        <v>-</v>
      </c>
      <c r="BI202" s="445"/>
      <c r="BJ202" s="441"/>
      <c r="BK202" s="442"/>
      <c r="BL202" s="443" t="str">
        <f>IF('Design Fee'!EA204&gt;0,"✔","-")</f>
        <v>-</v>
      </c>
      <c r="BM202" s="443" t="str">
        <f>IF('Design Fee'!EB204&gt;0,"✔","-")</f>
        <v>-</v>
      </c>
      <c r="BN202" s="444" t="str">
        <f>IF('Design Fee'!EC204&gt;0,"✔","-")</f>
        <v>-</v>
      </c>
      <c r="BO202" s="444" t="str">
        <f>IF('Design Fee'!ED204&gt;0,"✔","-")</f>
        <v>-</v>
      </c>
      <c r="BP202" s="444" t="str">
        <f>IF('Design Fee'!EE204&gt;0,"✔","-")</f>
        <v>-</v>
      </c>
      <c r="BQ202" s="444" t="str">
        <f>IF('Design Fee'!EF204&gt;0,"✔","-")</f>
        <v>-</v>
      </c>
      <c r="BR202" s="444" t="str">
        <f>IF('Design Fee'!EG204&gt;0,"✔","-")</f>
        <v>-</v>
      </c>
      <c r="BS202" s="466" t="str">
        <f>IF('Design Fee'!EH204&gt;0,"✔","-")</f>
        <v>-</v>
      </c>
      <c r="BT202" s="383"/>
      <c r="BU202" s="444" t="str">
        <f>IF('Design Fee'!EJ204&gt;0,"✔","-")</f>
        <v>-</v>
      </c>
      <c r="BV202" s="444" t="str">
        <f>IF('Design Fee'!EK204&gt;0,"✔","-")</f>
        <v>-</v>
      </c>
      <c r="BW202" s="444" t="str">
        <f>IF('Design Fee'!EL204&gt;0,"✔","-")</f>
        <v>-</v>
      </c>
      <c r="BX202" s="444" t="str">
        <f>IF('Design Fee'!EM204&gt;0,"✔","-")</f>
        <v>-</v>
      </c>
      <c r="BY202" s="444" t="str">
        <f>IF('Design Fee'!EN204&gt;0,"✔","-")</f>
        <v>-</v>
      </c>
      <c r="BZ202" s="383"/>
    </row>
    <row r="203" spans="2:78" ht="12.75" outlineLevel="2">
      <c r="B203" s="463" t="s">
        <v>183</v>
      </c>
      <c r="C203" s="464">
        <v>2</v>
      </c>
      <c r="D203" s="465" t="s">
        <v>179</v>
      </c>
      <c r="E203" s="383"/>
      <c r="F203" s="443">
        <f t="shared" si="630"/>
        <v>3</v>
      </c>
      <c r="G203" s="444">
        <f t="shared" si="630"/>
        <v>1</v>
      </c>
      <c r="H203" s="444">
        <f t="shared" si="630"/>
        <v>0</v>
      </c>
      <c r="I203" s="444">
        <f t="shared" si="631"/>
        <v>2</v>
      </c>
      <c r="J203" s="467"/>
      <c r="K203" s="441"/>
      <c r="L203" s="442"/>
      <c r="M203" s="443" t="str">
        <f>IF('Design Fee'!W205&gt;0,"✔","-")</f>
        <v>✔</v>
      </c>
      <c r="N203" s="443" t="str">
        <f>IF('Design Fee'!X205&gt;0,"✔","-")</f>
        <v>-</v>
      </c>
      <c r="O203" s="444" t="str">
        <f>IF('Design Fee'!Y205&gt;0,"✔","-")</f>
        <v>-</v>
      </c>
      <c r="P203" s="444" t="str">
        <f>IF('Design Fee'!Z205&gt;0,"✔","-")</f>
        <v>✔</v>
      </c>
      <c r="Q203" s="444" t="str">
        <f>IF('Design Fee'!AA205&gt;0,"✔","-")</f>
        <v>✔</v>
      </c>
      <c r="R203" s="444" t="str">
        <f>IF('Design Fee'!AB205&gt;0,"✔","-")</f>
        <v>-</v>
      </c>
      <c r="S203" s="444" t="str">
        <f>IF('Design Fee'!AC205&gt;0,"✔","-")</f>
        <v>-</v>
      </c>
      <c r="T203" s="466" t="str">
        <f>IF('Design Fee'!AD205&gt;0,"✔","-")</f>
        <v>-</v>
      </c>
      <c r="U203" s="467"/>
      <c r="V203" s="444" t="str">
        <f>IF('Design Fee'!AF205&gt;0,"✔","-")</f>
        <v>-</v>
      </c>
      <c r="W203" s="444" t="str">
        <f>IF('Design Fee'!AG205&gt;0,"✔","-")</f>
        <v>-</v>
      </c>
      <c r="X203" s="444" t="str">
        <f>IF('Design Fee'!AH205&gt;0,"✔","-")</f>
        <v>-</v>
      </c>
      <c r="Y203" s="444" t="str">
        <f>IF('Design Fee'!AI205&gt;0,"✔","-")</f>
        <v>-</v>
      </c>
      <c r="Z203" s="444" t="str">
        <f>IF('Design Fee'!AJ205&gt;0,"✔","-")</f>
        <v>-</v>
      </c>
      <c r="AA203" s="467"/>
      <c r="AB203" s="441"/>
      <c r="AC203" s="442"/>
      <c r="AD203" s="443" t="str">
        <f>IF('Design Fee'!BG205&gt;0,"✔","-")</f>
        <v>✔</v>
      </c>
      <c r="AE203" s="443" t="str">
        <f>IF('Design Fee'!BH205&gt;0,"✔","-")</f>
        <v>-</v>
      </c>
      <c r="AF203" s="444" t="str">
        <f>IF('Design Fee'!BI205&gt;0,"✔","-")</f>
        <v>-</v>
      </c>
      <c r="AG203" s="444" t="str">
        <f>IF('Design Fee'!BJ205&gt;0,"✔","-")</f>
        <v>✔</v>
      </c>
      <c r="AH203" s="444" t="str">
        <f>IF('Design Fee'!BK205&gt;0,"✔","-")</f>
        <v>✔</v>
      </c>
      <c r="AI203" s="444" t="str">
        <f>IF('Design Fee'!BL205&gt;0,"✔","-")</f>
        <v>-</v>
      </c>
      <c r="AJ203" s="444" t="str">
        <f>IF('Design Fee'!BM205&gt;0,"✔","-")</f>
        <v>-</v>
      </c>
      <c r="AK203" s="466" t="str">
        <f>IF('Design Fee'!BN205&gt;0,"✔","-")</f>
        <v>-</v>
      </c>
      <c r="AL203" s="445"/>
      <c r="AM203" s="444" t="str">
        <f>IF('Design Fee'!BP205&gt;0,"✔","-")</f>
        <v>-</v>
      </c>
      <c r="AN203" s="444" t="str">
        <f>IF('Design Fee'!BQ205&gt;0,"✔","-")</f>
        <v>-</v>
      </c>
      <c r="AO203" s="444" t="str">
        <f>IF('Design Fee'!BR205&gt;0,"✔","-")</f>
        <v>-</v>
      </c>
      <c r="AP203" s="444" t="str">
        <f>IF('Design Fee'!BS205&gt;0,"✔","-")</f>
        <v>-</v>
      </c>
      <c r="AQ203" s="444" t="str">
        <f>IF('Design Fee'!BT205&gt;0,"✔","-")</f>
        <v>-</v>
      </c>
      <c r="AR203" s="445"/>
      <c r="AS203" s="441"/>
      <c r="AT203" s="442"/>
      <c r="AU203" s="443" t="str">
        <f>IF('Design Fee'!CQ205&gt;0,"✔","-")</f>
        <v>✔</v>
      </c>
      <c r="AV203" s="443" t="str">
        <f>IF('Design Fee'!CR205&gt;0,"✔","-")</f>
        <v>✔</v>
      </c>
      <c r="AW203" s="444" t="str">
        <f>IF('Design Fee'!CS205&gt;0,"✔","-")</f>
        <v>-</v>
      </c>
      <c r="AX203" s="444" t="str">
        <f>IF('Design Fee'!CT205&gt;0,"✔","-")</f>
        <v>✔</v>
      </c>
      <c r="AY203" s="444" t="str">
        <f>IF('Design Fee'!CU205&gt;0,"✔","-")</f>
        <v>✔</v>
      </c>
      <c r="AZ203" s="444" t="str">
        <f>IF('Design Fee'!CV205&gt;0,"✔","-")</f>
        <v>-</v>
      </c>
      <c r="BA203" s="444" t="str">
        <f>IF('Design Fee'!CW205&gt;0,"✔","-")</f>
        <v>-</v>
      </c>
      <c r="BB203" s="466" t="str">
        <f>IF('Design Fee'!CX205&gt;0,"✔","-")</f>
        <v>-</v>
      </c>
      <c r="BC203" s="445"/>
      <c r="BD203" s="444" t="str">
        <f>IF('Design Fee'!CZ205&gt;0,"✔","-")</f>
        <v>✔</v>
      </c>
      <c r="BE203" s="444" t="str">
        <f>IF('Design Fee'!DA205&gt;0,"✔","-")</f>
        <v>-</v>
      </c>
      <c r="BF203" s="444" t="str">
        <f>IF('Design Fee'!DB205&gt;0,"✔","-")</f>
        <v>-</v>
      </c>
      <c r="BG203" s="444" t="str">
        <f>IF('Design Fee'!DC205&gt;0,"✔","-")</f>
        <v>✔</v>
      </c>
      <c r="BH203" s="444" t="str">
        <f>IF('Design Fee'!DD205&gt;0,"✔","-")</f>
        <v>-</v>
      </c>
      <c r="BI203" s="445"/>
      <c r="BJ203" s="441"/>
      <c r="BK203" s="442"/>
      <c r="BL203" s="443" t="str">
        <f>IF('Design Fee'!EA205&gt;0,"✔","-")</f>
        <v>-</v>
      </c>
      <c r="BM203" s="443" t="str">
        <f>IF('Design Fee'!EB205&gt;0,"✔","-")</f>
        <v>-</v>
      </c>
      <c r="BN203" s="444" t="str">
        <f>IF('Design Fee'!EC205&gt;0,"✔","-")</f>
        <v>-</v>
      </c>
      <c r="BO203" s="444" t="str">
        <f>IF('Design Fee'!ED205&gt;0,"✔","-")</f>
        <v>-</v>
      </c>
      <c r="BP203" s="444" t="str">
        <f>IF('Design Fee'!EE205&gt;0,"✔","-")</f>
        <v>-</v>
      </c>
      <c r="BQ203" s="444" t="str">
        <f>IF('Design Fee'!EF205&gt;0,"✔","-")</f>
        <v>-</v>
      </c>
      <c r="BR203" s="444" t="str">
        <f>IF('Design Fee'!EG205&gt;0,"✔","-")</f>
        <v>-</v>
      </c>
      <c r="BS203" s="466" t="str">
        <f>IF('Design Fee'!EH205&gt;0,"✔","-")</f>
        <v>-</v>
      </c>
      <c r="BT203" s="383"/>
      <c r="BU203" s="444" t="str">
        <f>IF('Design Fee'!EJ205&gt;0,"✔","-")</f>
        <v>-</v>
      </c>
      <c r="BV203" s="444" t="str">
        <f>IF('Design Fee'!EK205&gt;0,"✔","-")</f>
        <v>-</v>
      </c>
      <c r="BW203" s="444" t="str">
        <f>IF('Design Fee'!EL205&gt;0,"✔","-")</f>
        <v>-</v>
      </c>
      <c r="BX203" s="444" t="str">
        <f>IF('Design Fee'!EM205&gt;0,"✔","-")</f>
        <v>-</v>
      </c>
      <c r="BY203" s="444" t="str">
        <f>IF('Design Fee'!EN205&gt;0,"✔","-")</f>
        <v>-</v>
      </c>
      <c r="BZ203" s="383"/>
    </row>
    <row r="204" spans="2:78" ht="12.75" outlineLevel="2">
      <c r="B204" s="463" t="s">
        <v>184</v>
      </c>
      <c r="C204" s="464">
        <v>3</v>
      </c>
      <c r="D204" s="465" t="s">
        <v>156</v>
      </c>
      <c r="E204" s="383"/>
      <c r="F204" s="443">
        <f t="shared" si="630"/>
        <v>3</v>
      </c>
      <c r="G204" s="444">
        <f t="shared" si="630"/>
        <v>2</v>
      </c>
      <c r="H204" s="444">
        <f t="shared" si="630"/>
        <v>0</v>
      </c>
      <c r="I204" s="444">
        <f t="shared" si="631"/>
        <v>1</v>
      </c>
      <c r="J204" s="467"/>
      <c r="K204" s="441"/>
      <c r="L204" s="442"/>
      <c r="M204" s="443" t="str">
        <f>IF('Design Fee'!W206&gt;0,"✔","-")</f>
        <v>✔</v>
      </c>
      <c r="N204" s="443" t="str">
        <f>IF('Design Fee'!X206&gt;0,"✔","-")</f>
        <v>-</v>
      </c>
      <c r="O204" s="444" t="str">
        <f>IF('Design Fee'!Y206&gt;0,"✔","-")</f>
        <v>-</v>
      </c>
      <c r="P204" s="444" t="str">
        <f>IF('Design Fee'!Z206&gt;0,"✔","-")</f>
        <v>✔</v>
      </c>
      <c r="Q204" s="444" t="str">
        <f>IF('Design Fee'!AA206&gt;0,"✔","-")</f>
        <v>✔</v>
      </c>
      <c r="R204" s="444" t="str">
        <f>IF('Design Fee'!AB206&gt;0,"✔","-")</f>
        <v>-</v>
      </c>
      <c r="S204" s="444" t="str">
        <f>IF('Design Fee'!AC206&gt;0,"✔","-")</f>
        <v>-</v>
      </c>
      <c r="T204" s="466" t="str">
        <f>IF('Design Fee'!AD206&gt;0,"✔","-")</f>
        <v>-</v>
      </c>
      <c r="U204" s="467"/>
      <c r="V204" s="444" t="str">
        <f>IF('Design Fee'!AF206&gt;0,"✔","-")</f>
        <v>-</v>
      </c>
      <c r="W204" s="444" t="str">
        <f>IF('Design Fee'!AG206&gt;0,"✔","-")</f>
        <v>-</v>
      </c>
      <c r="X204" s="444" t="str">
        <f>IF('Design Fee'!AH206&gt;0,"✔","-")</f>
        <v>-</v>
      </c>
      <c r="Y204" s="444" t="str">
        <f>IF('Design Fee'!AI206&gt;0,"✔","-")</f>
        <v>-</v>
      </c>
      <c r="Z204" s="444" t="str">
        <f>IF('Design Fee'!AJ206&gt;0,"✔","-")</f>
        <v>-</v>
      </c>
      <c r="AA204" s="467"/>
      <c r="AB204" s="441"/>
      <c r="AC204" s="442"/>
      <c r="AD204" s="443" t="str">
        <f>IF('Design Fee'!BG206&gt;0,"✔","-")</f>
        <v>-</v>
      </c>
      <c r="AE204" s="443" t="str">
        <f>IF('Design Fee'!BH206&gt;0,"✔","-")</f>
        <v>-</v>
      </c>
      <c r="AF204" s="444" t="str">
        <f>IF('Design Fee'!BI206&gt;0,"✔","-")</f>
        <v>-</v>
      </c>
      <c r="AG204" s="444" t="str">
        <f>IF('Design Fee'!BJ206&gt;0,"✔","-")</f>
        <v>-</v>
      </c>
      <c r="AH204" s="444" t="str">
        <f>IF('Design Fee'!BK206&gt;0,"✔","-")</f>
        <v>-</v>
      </c>
      <c r="AI204" s="444" t="str">
        <f>IF('Design Fee'!BL206&gt;0,"✔","-")</f>
        <v>-</v>
      </c>
      <c r="AJ204" s="444" t="str">
        <f>IF('Design Fee'!BM206&gt;0,"✔","-")</f>
        <v>-</v>
      </c>
      <c r="AK204" s="466" t="str">
        <f>IF('Design Fee'!BN206&gt;0,"✔","-")</f>
        <v>-</v>
      </c>
      <c r="AL204" s="445"/>
      <c r="AM204" s="444" t="str">
        <f>IF('Design Fee'!BP206&gt;0,"✔","-")</f>
        <v>-</v>
      </c>
      <c r="AN204" s="444" t="str">
        <f>IF('Design Fee'!BQ206&gt;0,"✔","-")</f>
        <v>-</v>
      </c>
      <c r="AO204" s="444" t="str">
        <f>IF('Design Fee'!BR206&gt;0,"✔","-")</f>
        <v>-</v>
      </c>
      <c r="AP204" s="444" t="str">
        <f>IF('Design Fee'!BS206&gt;0,"✔","-")</f>
        <v>-</v>
      </c>
      <c r="AQ204" s="444" t="str">
        <f>IF('Design Fee'!BT206&gt;0,"✔","-")</f>
        <v>-</v>
      </c>
      <c r="AR204" s="445"/>
      <c r="AS204" s="441"/>
      <c r="AT204" s="442"/>
      <c r="AU204" s="443" t="str">
        <f>IF('Design Fee'!CQ206&gt;0,"✔","-")</f>
        <v>✔</v>
      </c>
      <c r="AV204" s="443" t="str">
        <f>IF('Design Fee'!CR206&gt;0,"✔","-")</f>
        <v>✔</v>
      </c>
      <c r="AW204" s="444" t="str">
        <f>IF('Design Fee'!CS206&gt;0,"✔","-")</f>
        <v>-</v>
      </c>
      <c r="AX204" s="444" t="str">
        <f>IF('Design Fee'!CT206&gt;0,"✔","-")</f>
        <v>✔</v>
      </c>
      <c r="AY204" s="444" t="str">
        <f>IF('Design Fee'!CU206&gt;0,"✔","-")</f>
        <v>✔</v>
      </c>
      <c r="AZ204" s="444" t="str">
        <f>IF('Design Fee'!CV206&gt;0,"✔","-")</f>
        <v>-</v>
      </c>
      <c r="BA204" s="444" t="str">
        <f>IF('Design Fee'!CW206&gt;0,"✔","-")</f>
        <v>-</v>
      </c>
      <c r="BB204" s="466" t="str">
        <f>IF('Design Fee'!CX206&gt;0,"✔","-")</f>
        <v>-</v>
      </c>
      <c r="BC204" s="445"/>
      <c r="BD204" s="444" t="str">
        <f>IF('Design Fee'!CZ206&gt;0,"✔","-")</f>
        <v>✔</v>
      </c>
      <c r="BE204" s="444" t="str">
        <f>IF('Design Fee'!DA206&gt;0,"✔","-")</f>
        <v>-</v>
      </c>
      <c r="BF204" s="444" t="str">
        <f>IF('Design Fee'!DB206&gt;0,"✔","-")</f>
        <v>-</v>
      </c>
      <c r="BG204" s="444" t="str">
        <f>IF('Design Fee'!DC206&gt;0,"✔","-")</f>
        <v>✔</v>
      </c>
      <c r="BH204" s="444" t="str">
        <f>IF('Design Fee'!DD206&gt;0,"✔","-")</f>
        <v>-</v>
      </c>
      <c r="BI204" s="445"/>
      <c r="BJ204" s="441"/>
      <c r="BK204" s="442"/>
      <c r="BL204" s="443" t="str">
        <f>IF('Design Fee'!EA206&gt;0,"✔","-")</f>
        <v>✔</v>
      </c>
      <c r="BM204" s="443" t="str">
        <f>IF('Design Fee'!EB206&gt;0,"✔","-")</f>
        <v>✔</v>
      </c>
      <c r="BN204" s="444" t="str">
        <f>IF('Design Fee'!EC206&gt;0,"✔","-")</f>
        <v>-</v>
      </c>
      <c r="BO204" s="444" t="str">
        <f>IF('Design Fee'!ED206&gt;0,"✔","-")</f>
        <v>✔</v>
      </c>
      <c r="BP204" s="444" t="str">
        <f>IF('Design Fee'!EE206&gt;0,"✔","-")</f>
        <v>✔</v>
      </c>
      <c r="BQ204" s="444" t="str">
        <f>IF('Design Fee'!EF206&gt;0,"✔","-")</f>
        <v>-</v>
      </c>
      <c r="BR204" s="444" t="str">
        <f>IF('Design Fee'!EG206&gt;0,"✔","-")</f>
        <v>-</v>
      </c>
      <c r="BS204" s="466" t="str">
        <f>IF('Design Fee'!EH206&gt;0,"✔","-")</f>
        <v>-</v>
      </c>
      <c r="BT204" s="383"/>
      <c r="BU204" s="444" t="str">
        <f>IF('Design Fee'!EJ206&gt;0,"✔","-")</f>
        <v>✔</v>
      </c>
      <c r="BV204" s="444" t="str">
        <f>IF('Design Fee'!EK206&gt;0,"✔","-")</f>
        <v>-</v>
      </c>
      <c r="BW204" s="444" t="str">
        <f>IF('Design Fee'!EL206&gt;0,"✔","-")</f>
        <v>-</v>
      </c>
      <c r="BX204" s="444" t="str">
        <f>IF('Design Fee'!EM206&gt;0,"✔","-")</f>
        <v>-</v>
      </c>
      <c r="BY204" s="444" t="str">
        <f>IF('Design Fee'!EN206&gt;0,"✔","-")</f>
        <v>✔</v>
      </c>
      <c r="BZ204" s="383"/>
    </row>
    <row r="205" spans="2:78" ht="3" customHeight="1" outlineLevel="1">
      <c r="B205" s="384"/>
      <c r="C205" s="488"/>
      <c r="D205" s="465"/>
      <c r="E205" s="383"/>
      <c r="F205" s="408"/>
      <c r="G205" s="421"/>
      <c r="H205" s="421"/>
      <c r="I205" s="421"/>
      <c r="J205" s="467"/>
      <c r="K205" s="441"/>
      <c r="L205" s="442"/>
      <c r="M205" s="443"/>
      <c r="N205" s="443"/>
      <c r="O205" s="482"/>
      <c r="P205" s="482"/>
      <c r="Q205" s="482"/>
      <c r="R205" s="482"/>
      <c r="S205" s="482"/>
      <c r="T205" s="482"/>
      <c r="U205" s="467"/>
      <c r="V205" s="482"/>
      <c r="W205" s="482"/>
      <c r="X205" s="482"/>
      <c r="Y205" s="482"/>
      <c r="Z205" s="482"/>
      <c r="AA205" s="467"/>
      <c r="AB205" s="441"/>
      <c r="AC205" s="442"/>
      <c r="AD205" s="443"/>
      <c r="AE205" s="443"/>
      <c r="AF205" s="421"/>
      <c r="AG205" s="421"/>
      <c r="AH205" s="421"/>
      <c r="AI205" s="421"/>
      <c r="AJ205" s="421"/>
      <c r="AK205" s="421"/>
      <c r="AL205" s="421"/>
      <c r="AM205" s="421"/>
      <c r="AN205" s="421"/>
      <c r="AO205" s="421"/>
      <c r="AP205" s="421"/>
      <c r="AQ205" s="421"/>
      <c r="AR205" s="421"/>
      <c r="AS205" s="441"/>
      <c r="AT205" s="421"/>
      <c r="AU205" s="443"/>
      <c r="AV205" s="443"/>
      <c r="AW205" s="421"/>
      <c r="AX205" s="421"/>
      <c r="AY205" s="421"/>
      <c r="AZ205" s="421"/>
      <c r="BA205" s="421"/>
      <c r="BB205" s="421"/>
      <c r="BC205" s="421"/>
      <c r="BD205" s="421"/>
      <c r="BE205" s="421"/>
      <c r="BF205" s="421"/>
      <c r="BG205" s="421"/>
      <c r="BH205" s="421"/>
      <c r="BI205" s="421"/>
      <c r="BJ205" s="441"/>
      <c r="BK205" s="421"/>
      <c r="BL205" s="443"/>
      <c r="BM205" s="443"/>
      <c r="BN205" s="421"/>
      <c r="BO205" s="421"/>
      <c r="BP205" s="421"/>
      <c r="BQ205" s="421"/>
      <c r="BR205" s="421"/>
      <c r="BS205" s="421"/>
      <c r="BT205" s="383"/>
      <c r="BU205" s="421"/>
      <c r="BV205" s="421"/>
      <c r="BW205" s="421"/>
      <c r="BX205" s="421"/>
      <c r="BY205" s="421"/>
      <c r="BZ205" s="383"/>
    </row>
    <row r="206" spans="2:78" ht="12.75" outlineLevel="1">
      <c r="B206" s="432">
        <v>15</v>
      </c>
      <c r="C206" s="459">
        <v>14</v>
      </c>
      <c r="D206" s="460" t="s">
        <v>185</v>
      </c>
      <c r="E206" s="434"/>
      <c r="F206" s="461">
        <f>M206+AD206+AU206+BL206</f>
        <v>30</v>
      </c>
      <c r="G206" s="461">
        <f t="shared" ref="G206:I206" si="632">N206+AE206+AV206+BM206</f>
        <v>24</v>
      </c>
      <c r="H206" s="461">
        <f t="shared" si="632"/>
        <v>12</v>
      </c>
      <c r="I206" s="461">
        <f t="shared" si="632"/>
        <v>18</v>
      </c>
      <c r="J206" s="438">
        <f t="shared" ref="J206" si="633">COUNT(J207:J211)</f>
        <v>0</v>
      </c>
      <c r="K206" s="435"/>
      <c r="L206" s="435"/>
      <c r="M206" s="461">
        <f t="shared" ref="M206:AA206" si="634">COUNTIF(M207:M216,"✔")</f>
        <v>10</v>
      </c>
      <c r="N206" s="461">
        <f t="shared" si="634"/>
        <v>7</v>
      </c>
      <c r="O206" s="461">
        <f t="shared" si="634"/>
        <v>4</v>
      </c>
      <c r="P206" s="461">
        <f t="shared" si="634"/>
        <v>6</v>
      </c>
      <c r="Q206" s="461">
        <f t="shared" si="634"/>
        <v>6</v>
      </c>
      <c r="R206" s="461">
        <f t="shared" si="634"/>
        <v>0</v>
      </c>
      <c r="S206" s="461">
        <f t="shared" si="634"/>
        <v>0</v>
      </c>
      <c r="T206" s="461">
        <f t="shared" si="634"/>
        <v>0</v>
      </c>
      <c r="U206" s="461">
        <f t="shared" si="634"/>
        <v>0</v>
      </c>
      <c r="V206" s="461">
        <f t="shared" si="634"/>
        <v>3</v>
      </c>
      <c r="W206" s="461">
        <f t="shared" si="634"/>
        <v>0</v>
      </c>
      <c r="X206" s="461">
        <f t="shared" si="634"/>
        <v>2</v>
      </c>
      <c r="Y206" s="461">
        <f t="shared" si="634"/>
        <v>1</v>
      </c>
      <c r="Z206" s="461">
        <f t="shared" si="634"/>
        <v>0</v>
      </c>
      <c r="AA206" s="461">
        <f t="shared" si="634"/>
        <v>0</v>
      </c>
      <c r="AB206" s="435"/>
      <c r="AC206" s="461">
        <f t="shared" ref="AC206:AR206" si="635">COUNTIF(AC207:AC216,"✔")</f>
        <v>0</v>
      </c>
      <c r="AD206" s="461">
        <f t="shared" si="635"/>
        <v>0</v>
      </c>
      <c r="AE206" s="461">
        <f t="shared" si="635"/>
        <v>0</v>
      </c>
      <c r="AF206" s="461">
        <f t="shared" si="635"/>
        <v>0</v>
      </c>
      <c r="AG206" s="461">
        <f t="shared" si="635"/>
        <v>0</v>
      </c>
      <c r="AH206" s="461">
        <f t="shared" si="635"/>
        <v>0</v>
      </c>
      <c r="AI206" s="461">
        <f t="shared" si="635"/>
        <v>0</v>
      </c>
      <c r="AJ206" s="461">
        <f t="shared" si="635"/>
        <v>0</v>
      </c>
      <c r="AK206" s="461">
        <f t="shared" si="635"/>
        <v>0</v>
      </c>
      <c r="AL206" s="461">
        <f t="shared" si="635"/>
        <v>0</v>
      </c>
      <c r="AM206" s="461">
        <f t="shared" si="635"/>
        <v>0</v>
      </c>
      <c r="AN206" s="461">
        <f t="shared" si="635"/>
        <v>0</v>
      </c>
      <c r="AO206" s="461">
        <f t="shared" si="635"/>
        <v>0</v>
      </c>
      <c r="AP206" s="461">
        <f t="shared" si="635"/>
        <v>0</v>
      </c>
      <c r="AQ206" s="461">
        <f t="shared" si="635"/>
        <v>0</v>
      </c>
      <c r="AR206" s="461">
        <f t="shared" si="635"/>
        <v>0</v>
      </c>
      <c r="AS206" s="435"/>
      <c r="AT206" s="461">
        <f t="shared" ref="AT206:BI206" si="636">COUNTIF(AT207:AT216,"✔")</f>
        <v>0</v>
      </c>
      <c r="AU206" s="461">
        <f t="shared" si="636"/>
        <v>10</v>
      </c>
      <c r="AV206" s="461">
        <f t="shared" si="636"/>
        <v>7</v>
      </c>
      <c r="AW206" s="461">
        <f t="shared" si="636"/>
        <v>4</v>
      </c>
      <c r="AX206" s="461">
        <f t="shared" si="636"/>
        <v>6</v>
      </c>
      <c r="AY206" s="461">
        <f t="shared" si="636"/>
        <v>6</v>
      </c>
      <c r="AZ206" s="461">
        <f t="shared" si="636"/>
        <v>0</v>
      </c>
      <c r="BA206" s="461">
        <f t="shared" si="636"/>
        <v>0</v>
      </c>
      <c r="BB206" s="461">
        <f t="shared" si="636"/>
        <v>0</v>
      </c>
      <c r="BC206" s="461">
        <f t="shared" si="636"/>
        <v>0</v>
      </c>
      <c r="BD206" s="461">
        <f t="shared" si="636"/>
        <v>3</v>
      </c>
      <c r="BE206" s="461">
        <f t="shared" si="636"/>
        <v>0</v>
      </c>
      <c r="BF206" s="461">
        <f t="shared" si="636"/>
        <v>0</v>
      </c>
      <c r="BG206" s="461">
        <f t="shared" si="636"/>
        <v>0</v>
      </c>
      <c r="BH206" s="461">
        <f t="shared" si="636"/>
        <v>3</v>
      </c>
      <c r="BI206" s="461">
        <f t="shared" si="636"/>
        <v>0</v>
      </c>
      <c r="BJ206" s="435"/>
      <c r="BK206" s="461">
        <f t="shared" ref="BK206:BS206" si="637">COUNTIF(BK207:BK216,"✔")</f>
        <v>0</v>
      </c>
      <c r="BL206" s="461">
        <f t="shared" si="637"/>
        <v>10</v>
      </c>
      <c r="BM206" s="461">
        <f t="shared" si="637"/>
        <v>10</v>
      </c>
      <c r="BN206" s="461">
        <f t="shared" si="637"/>
        <v>4</v>
      </c>
      <c r="BO206" s="461">
        <f t="shared" si="637"/>
        <v>6</v>
      </c>
      <c r="BP206" s="461">
        <f t="shared" si="637"/>
        <v>6</v>
      </c>
      <c r="BQ206" s="461">
        <f t="shared" si="637"/>
        <v>0</v>
      </c>
      <c r="BR206" s="461">
        <f t="shared" si="637"/>
        <v>0</v>
      </c>
      <c r="BS206" s="461">
        <f t="shared" si="637"/>
        <v>0</v>
      </c>
      <c r="BT206" s="383"/>
      <c r="BU206" s="461">
        <f>COUNTIF(BU207:BU216,"✔")</f>
        <v>6</v>
      </c>
      <c r="BV206" s="461">
        <f>COUNTIF(BV207:BV216,"✔")</f>
        <v>0</v>
      </c>
      <c r="BW206" s="461">
        <f>COUNTIF(BW207:BW216,"✔")</f>
        <v>1</v>
      </c>
      <c r="BX206" s="461">
        <f>COUNTIF(BX207:BX216,"✔")</f>
        <v>0</v>
      </c>
      <c r="BY206" s="461">
        <f>COUNTIF(BY207:BY216,"✔")</f>
        <v>5</v>
      </c>
      <c r="BZ206" s="383"/>
    </row>
    <row r="207" spans="2:78" ht="12.75" outlineLevel="2">
      <c r="B207" s="463" t="s">
        <v>186</v>
      </c>
      <c r="C207" s="464">
        <v>1</v>
      </c>
      <c r="D207" s="470" t="s">
        <v>187</v>
      </c>
      <c r="E207" s="383"/>
      <c r="F207" s="443">
        <f t="shared" ref="F207:F216" si="638">COUNTIF(M207,"✔")+COUNTIF(AD207,"✔")+COUNTIF(BL207,"✔")+COUNTIF(AU207,"✔")</f>
        <v>3</v>
      </c>
      <c r="G207" s="444">
        <f t="shared" ref="G207:H216" si="639">COUNTIF(N207,"✔")+COUNTIF(AE207,"✔")+COUNTIF(BM207,"✔")+COUNTIF(AV207,"✔")</f>
        <v>3</v>
      </c>
      <c r="H207" s="444">
        <f t="shared" si="639"/>
        <v>3</v>
      </c>
      <c r="I207" s="444">
        <f t="shared" ref="I207:I216" si="640">F207-G207</f>
        <v>0</v>
      </c>
      <c r="J207" s="467"/>
      <c r="K207" s="441"/>
      <c r="L207" s="442"/>
      <c r="M207" s="443" t="str">
        <f>IF('Design Fee'!W209&gt;0,"✔","-")</f>
        <v>✔</v>
      </c>
      <c r="N207" s="443" t="str">
        <f>IF('Design Fee'!X209&gt;0,"✔","-")</f>
        <v>✔</v>
      </c>
      <c r="O207" s="444" t="str">
        <f>IF('Design Fee'!Y209&gt;0,"✔","-")</f>
        <v>✔</v>
      </c>
      <c r="P207" s="444" t="str">
        <f>IF('Design Fee'!Z209&gt;0,"✔","-")</f>
        <v>-</v>
      </c>
      <c r="Q207" s="444" t="str">
        <f>IF('Design Fee'!AA209&gt;0,"✔","-")</f>
        <v>-</v>
      </c>
      <c r="R207" s="444" t="str">
        <f>IF('Design Fee'!AB209&gt;0,"✔","-")</f>
        <v>-</v>
      </c>
      <c r="S207" s="444" t="str">
        <f>IF('Design Fee'!AC209&gt;0,"✔","-")</f>
        <v>-</v>
      </c>
      <c r="T207" s="466" t="str">
        <f>IF('Design Fee'!AD209&gt;0,"✔","-")</f>
        <v>-</v>
      </c>
      <c r="U207" s="467"/>
      <c r="V207" s="444" t="str">
        <f>IF('Design Fee'!AF209&gt;0,"✔","-")</f>
        <v>-</v>
      </c>
      <c r="W207" s="444" t="str">
        <f>IF('Design Fee'!AG209&gt;0,"✔","-")</f>
        <v>-</v>
      </c>
      <c r="X207" s="444" t="str">
        <f>IF('Design Fee'!AH209&gt;0,"✔","-")</f>
        <v>-</v>
      </c>
      <c r="Y207" s="444" t="str">
        <f>IF('Design Fee'!AI209&gt;0,"✔","-")</f>
        <v>-</v>
      </c>
      <c r="Z207" s="444" t="str">
        <f>IF('Design Fee'!AJ209&gt;0,"✔","-")</f>
        <v>-</v>
      </c>
      <c r="AA207" s="467"/>
      <c r="AB207" s="441"/>
      <c r="AC207" s="442"/>
      <c r="AD207" s="443" t="str">
        <f>IF('Design Fee'!BG209&gt;0,"✔","-")</f>
        <v>-</v>
      </c>
      <c r="AE207" s="443" t="str">
        <f>IF('Design Fee'!BH209&gt;0,"✔","-")</f>
        <v>-</v>
      </c>
      <c r="AF207" s="444" t="str">
        <f>IF('Design Fee'!BI209&gt;0,"✔","-")</f>
        <v>-</v>
      </c>
      <c r="AG207" s="444" t="str">
        <f>IF('Design Fee'!BJ209&gt;0,"✔","-")</f>
        <v>-</v>
      </c>
      <c r="AH207" s="444" t="str">
        <f>IF('Design Fee'!BK209&gt;0,"✔","-")</f>
        <v>-</v>
      </c>
      <c r="AI207" s="444" t="str">
        <f>IF('Design Fee'!BL209&gt;0,"✔","-")</f>
        <v>-</v>
      </c>
      <c r="AJ207" s="444" t="str">
        <f>IF('Design Fee'!BM209&gt;0,"✔","-")</f>
        <v>-</v>
      </c>
      <c r="AK207" s="466" t="str">
        <f>IF('Design Fee'!BN209&gt;0,"✔","-")</f>
        <v>-</v>
      </c>
      <c r="AL207" s="445"/>
      <c r="AM207" s="444" t="str">
        <f>IF('Design Fee'!BP209&gt;0,"✔","-")</f>
        <v>-</v>
      </c>
      <c r="AN207" s="444" t="str">
        <f>IF('Design Fee'!BQ209&gt;0,"✔","-")</f>
        <v>-</v>
      </c>
      <c r="AO207" s="444" t="str">
        <f>IF('Design Fee'!BR209&gt;0,"✔","-")</f>
        <v>-</v>
      </c>
      <c r="AP207" s="444" t="str">
        <f>IF('Design Fee'!BS209&gt;0,"✔","-")</f>
        <v>-</v>
      </c>
      <c r="AQ207" s="444" t="str">
        <f>IF('Design Fee'!BT209&gt;0,"✔","-")</f>
        <v>-</v>
      </c>
      <c r="AR207" s="445"/>
      <c r="AS207" s="441"/>
      <c r="AT207" s="442"/>
      <c r="AU207" s="443" t="str">
        <f>IF('Design Fee'!CQ209&gt;0,"✔","-")</f>
        <v>✔</v>
      </c>
      <c r="AV207" s="443" t="str">
        <f>IF('Design Fee'!CR209&gt;0,"✔","-")</f>
        <v>✔</v>
      </c>
      <c r="AW207" s="444" t="str">
        <f>IF('Design Fee'!CS209&gt;0,"✔","-")</f>
        <v>✔</v>
      </c>
      <c r="AX207" s="444" t="str">
        <f>IF('Design Fee'!CT209&gt;0,"✔","-")</f>
        <v>-</v>
      </c>
      <c r="AY207" s="444" t="str">
        <f>IF('Design Fee'!CU209&gt;0,"✔","-")</f>
        <v>-</v>
      </c>
      <c r="AZ207" s="444" t="str">
        <f>IF('Design Fee'!CV209&gt;0,"✔","-")</f>
        <v>-</v>
      </c>
      <c r="BA207" s="444" t="str">
        <f>IF('Design Fee'!CW209&gt;0,"✔","-")</f>
        <v>-</v>
      </c>
      <c r="BB207" s="466" t="str">
        <f>IF('Design Fee'!CX209&gt;0,"✔","-")</f>
        <v>-</v>
      </c>
      <c r="BC207" s="445"/>
      <c r="BD207" s="444" t="str">
        <f>IF('Design Fee'!CZ209&gt;0,"✔","-")</f>
        <v>-</v>
      </c>
      <c r="BE207" s="444" t="str">
        <f>IF('Design Fee'!DA209&gt;0,"✔","-")</f>
        <v>-</v>
      </c>
      <c r="BF207" s="444" t="str">
        <f>IF('Design Fee'!DB209&gt;0,"✔","-")</f>
        <v>-</v>
      </c>
      <c r="BG207" s="444" t="str">
        <f>IF('Design Fee'!DC209&gt;0,"✔","-")</f>
        <v>-</v>
      </c>
      <c r="BH207" s="444" t="str">
        <f>IF('Design Fee'!DD209&gt;0,"✔","-")</f>
        <v>-</v>
      </c>
      <c r="BI207" s="445"/>
      <c r="BJ207" s="441"/>
      <c r="BK207" s="442"/>
      <c r="BL207" s="443" t="str">
        <f>IF('Design Fee'!EA209&gt;0,"✔","-")</f>
        <v>✔</v>
      </c>
      <c r="BM207" s="443" t="str">
        <f>IF('Design Fee'!EB209&gt;0,"✔","-")</f>
        <v>✔</v>
      </c>
      <c r="BN207" s="444" t="str">
        <f>IF('Design Fee'!EC209&gt;0,"✔","-")</f>
        <v>✔</v>
      </c>
      <c r="BO207" s="444" t="str">
        <f>IF('Design Fee'!ED209&gt;0,"✔","-")</f>
        <v>-</v>
      </c>
      <c r="BP207" s="444" t="str">
        <f>IF('Design Fee'!EE209&gt;0,"✔","-")</f>
        <v>-</v>
      </c>
      <c r="BQ207" s="444" t="str">
        <f>IF('Design Fee'!EF209&gt;0,"✔","-")</f>
        <v>-</v>
      </c>
      <c r="BR207" s="444" t="str">
        <f>IF('Design Fee'!EG209&gt;0,"✔","-")</f>
        <v>-</v>
      </c>
      <c r="BS207" s="466" t="str">
        <f>IF('Design Fee'!EH209&gt;0,"✔","-")</f>
        <v>-</v>
      </c>
      <c r="BT207" s="383"/>
      <c r="BU207" s="444" t="str">
        <f>IF('Design Fee'!EJ209&gt;0,"✔","-")</f>
        <v>-</v>
      </c>
      <c r="BV207" s="444" t="str">
        <f>IF('Design Fee'!EK209&gt;0,"✔","-")</f>
        <v>-</v>
      </c>
      <c r="BW207" s="444" t="str">
        <f>IF('Design Fee'!EL209&gt;0,"✔","-")</f>
        <v>-</v>
      </c>
      <c r="BX207" s="444" t="str">
        <f>IF('Design Fee'!EM209&gt;0,"✔","-")</f>
        <v>-</v>
      </c>
      <c r="BY207" s="444" t="str">
        <f>IF('Design Fee'!EN209&gt;0,"✔","-")</f>
        <v>-</v>
      </c>
      <c r="BZ207" s="383"/>
    </row>
    <row r="208" spans="2:78" ht="12.75" outlineLevel="2">
      <c r="B208" s="463" t="s">
        <v>188</v>
      </c>
      <c r="C208" s="464">
        <v>2</v>
      </c>
      <c r="D208" s="470" t="s">
        <v>189</v>
      </c>
      <c r="E208" s="383"/>
      <c r="F208" s="443">
        <f t="shared" si="638"/>
        <v>3</v>
      </c>
      <c r="G208" s="444">
        <f t="shared" si="639"/>
        <v>3</v>
      </c>
      <c r="H208" s="444">
        <f t="shared" si="639"/>
        <v>3</v>
      </c>
      <c r="I208" s="444">
        <f t="shared" si="640"/>
        <v>0</v>
      </c>
      <c r="J208" s="467"/>
      <c r="K208" s="441"/>
      <c r="L208" s="442"/>
      <c r="M208" s="443" t="str">
        <f>IF('Design Fee'!W210&gt;0,"✔","-")</f>
        <v>✔</v>
      </c>
      <c r="N208" s="443" t="str">
        <f>IF('Design Fee'!X210&gt;0,"✔","-")</f>
        <v>✔</v>
      </c>
      <c r="O208" s="444" t="str">
        <f>IF('Design Fee'!Y210&gt;0,"✔","-")</f>
        <v>✔</v>
      </c>
      <c r="P208" s="444" t="str">
        <f>IF('Design Fee'!Z210&gt;0,"✔","-")</f>
        <v>-</v>
      </c>
      <c r="Q208" s="444" t="str">
        <f>IF('Design Fee'!AA210&gt;0,"✔","-")</f>
        <v>-</v>
      </c>
      <c r="R208" s="444" t="str">
        <f>IF('Design Fee'!AB210&gt;0,"✔","-")</f>
        <v>-</v>
      </c>
      <c r="S208" s="444" t="str">
        <f>IF('Design Fee'!AC210&gt;0,"✔","-")</f>
        <v>-</v>
      </c>
      <c r="T208" s="466" t="str">
        <f>IF('Design Fee'!AD210&gt;0,"✔","-")</f>
        <v>-</v>
      </c>
      <c r="U208" s="467"/>
      <c r="V208" s="444" t="str">
        <f>IF('Design Fee'!AF210&gt;0,"✔","-")</f>
        <v>-</v>
      </c>
      <c r="W208" s="444" t="str">
        <f>IF('Design Fee'!AG210&gt;0,"✔","-")</f>
        <v>-</v>
      </c>
      <c r="X208" s="444" t="str">
        <f>IF('Design Fee'!AH210&gt;0,"✔","-")</f>
        <v>-</v>
      </c>
      <c r="Y208" s="444" t="str">
        <f>IF('Design Fee'!AI210&gt;0,"✔","-")</f>
        <v>-</v>
      </c>
      <c r="Z208" s="444" t="str">
        <f>IF('Design Fee'!AJ210&gt;0,"✔","-")</f>
        <v>-</v>
      </c>
      <c r="AA208" s="467"/>
      <c r="AB208" s="441"/>
      <c r="AC208" s="442"/>
      <c r="AD208" s="443" t="str">
        <f>IF('Design Fee'!BG210&gt;0,"✔","-")</f>
        <v>-</v>
      </c>
      <c r="AE208" s="443" t="str">
        <f>IF('Design Fee'!BH210&gt;0,"✔","-")</f>
        <v>-</v>
      </c>
      <c r="AF208" s="444" t="str">
        <f>IF('Design Fee'!BI210&gt;0,"✔","-")</f>
        <v>-</v>
      </c>
      <c r="AG208" s="444" t="str">
        <f>IF('Design Fee'!BJ210&gt;0,"✔","-")</f>
        <v>-</v>
      </c>
      <c r="AH208" s="444" t="str">
        <f>IF('Design Fee'!BK210&gt;0,"✔","-")</f>
        <v>-</v>
      </c>
      <c r="AI208" s="444" t="str">
        <f>IF('Design Fee'!BL210&gt;0,"✔","-")</f>
        <v>-</v>
      </c>
      <c r="AJ208" s="444" t="str">
        <f>IF('Design Fee'!BM210&gt;0,"✔","-")</f>
        <v>-</v>
      </c>
      <c r="AK208" s="466" t="str">
        <f>IF('Design Fee'!BN210&gt;0,"✔","-")</f>
        <v>-</v>
      </c>
      <c r="AL208" s="445"/>
      <c r="AM208" s="444" t="str">
        <f>IF('Design Fee'!BP210&gt;0,"✔","-")</f>
        <v>-</v>
      </c>
      <c r="AN208" s="444" t="str">
        <f>IF('Design Fee'!BQ210&gt;0,"✔","-")</f>
        <v>-</v>
      </c>
      <c r="AO208" s="444" t="str">
        <f>IF('Design Fee'!BR210&gt;0,"✔","-")</f>
        <v>-</v>
      </c>
      <c r="AP208" s="444" t="str">
        <f>IF('Design Fee'!BS210&gt;0,"✔","-")</f>
        <v>-</v>
      </c>
      <c r="AQ208" s="444" t="str">
        <f>IF('Design Fee'!BT210&gt;0,"✔","-")</f>
        <v>-</v>
      </c>
      <c r="AR208" s="445"/>
      <c r="AS208" s="441"/>
      <c r="AT208" s="442"/>
      <c r="AU208" s="443" t="str">
        <f>IF('Design Fee'!CQ210&gt;0,"✔","-")</f>
        <v>✔</v>
      </c>
      <c r="AV208" s="443" t="str">
        <f>IF('Design Fee'!CR210&gt;0,"✔","-")</f>
        <v>✔</v>
      </c>
      <c r="AW208" s="444" t="str">
        <f>IF('Design Fee'!CS210&gt;0,"✔","-")</f>
        <v>✔</v>
      </c>
      <c r="AX208" s="444" t="str">
        <f>IF('Design Fee'!CT210&gt;0,"✔","-")</f>
        <v>-</v>
      </c>
      <c r="AY208" s="444" t="str">
        <f>IF('Design Fee'!CU210&gt;0,"✔","-")</f>
        <v>-</v>
      </c>
      <c r="AZ208" s="444" t="str">
        <f>IF('Design Fee'!CV210&gt;0,"✔","-")</f>
        <v>-</v>
      </c>
      <c r="BA208" s="444" t="str">
        <f>IF('Design Fee'!CW210&gt;0,"✔","-")</f>
        <v>-</v>
      </c>
      <c r="BB208" s="466" t="str">
        <f>IF('Design Fee'!CX210&gt;0,"✔","-")</f>
        <v>-</v>
      </c>
      <c r="BC208" s="445"/>
      <c r="BD208" s="444" t="str">
        <f>IF('Design Fee'!CZ210&gt;0,"✔","-")</f>
        <v>-</v>
      </c>
      <c r="BE208" s="444" t="str">
        <f>IF('Design Fee'!DA210&gt;0,"✔","-")</f>
        <v>-</v>
      </c>
      <c r="BF208" s="444" t="str">
        <f>IF('Design Fee'!DB210&gt;0,"✔","-")</f>
        <v>-</v>
      </c>
      <c r="BG208" s="444" t="str">
        <f>IF('Design Fee'!DC210&gt;0,"✔","-")</f>
        <v>-</v>
      </c>
      <c r="BH208" s="444" t="str">
        <f>IF('Design Fee'!DD210&gt;0,"✔","-")</f>
        <v>-</v>
      </c>
      <c r="BI208" s="445"/>
      <c r="BJ208" s="441"/>
      <c r="BK208" s="442"/>
      <c r="BL208" s="443" t="str">
        <f>IF('Design Fee'!EA210&gt;0,"✔","-")</f>
        <v>✔</v>
      </c>
      <c r="BM208" s="443" t="str">
        <f>IF('Design Fee'!EB210&gt;0,"✔","-")</f>
        <v>✔</v>
      </c>
      <c r="BN208" s="444" t="str">
        <f>IF('Design Fee'!EC210&gt;0,"✔","-")</f>
        <v>✔</v>
      </c>
      <c r="BO208" s="444" t="str">
        <f>IF('Design Fee'!ED210&gt;0,"✔","-")</f>
        <v>-</v>
      </c>
      <c r="BP208" s="444" t="str">
        <f>IF('Design Fee'!EE210&gt;0,"✔","-")</f>
        <v>-</v>
      </c>
      <c r="BQ208" s="444" t="str">
        <f>IF('Design Fee'!EF210&gt;0,"✔","-")</f>
        <v>-</v>
      </c>
      <c r="BR208" s="444" t="str">
        <f>IF('Design Fee'!EG210&gt;0,"✔","-")</f>
        <v>-</v>
      </c>
      <c r="BS208" s="466" t="str">
        <f>IF('Design Fee'!EH210&gt;0,"✔","-")</f>
        <v>-</v>
      </c>
      <c r="BT208" s="383"/>
      <c r="BU208" s="444" t="str">
        <f>IF('Design Fee'!EJ210&gt;0,"✔","-")</f>
        <v>-</v>
      </c>
      <c r="BV208" s="444" t="str">
        <f>IF('Design Fee'!EK210&gt;0,"✔","-")</f>
        <v>-</v>
      </c>
      <c r="BW208" s="444" t="str">
        <f>IF('Design Fee'!EL210&gt;0,"✔","-")</f>
        <v>-</v>
      </c>
      <c r="BX208" s="444" t="str">
        <f>IF('Design Fee'!EM210&gt;0,"✔","-")</f>
        <v>-</v>
      </c>
      <c r="BY208" s="444" t="str">
        <f>IF('Design Fee'!EN210&gt;0,"✔","-")</f>
        <v>-</v>
      </c>
      <c r="BZ208" s="383"/>
    </row>
    <row r="209" spans="1:78" ht="12.75" outlineLevel="2">
      <c r="A209" s="383"/>
      <c r="B209" s="463" t="s">
        <v>190</v>
      </c>
      <c r="C209" s="464">
        <v>3</v>
      </c>
      <c r="D209" s="470" t="s">
        <v>191</v>
      </c>
      <c r="E209" s="383"/>
      <c r="F209" s="443">
        <f t="shared" si="638"/>
        <v>3</v>
      </c>
      <c r="G209" s="444">
        <f t="shared" si="639"/>
        <v>3</v>
      </c>
      <c r="H209" s="444">
        <f t="shared" si="639"/>
        <v>3</v>
      </c>
      <c r="I209" s="444">
        <f t="shared" si="640"/>
        <v>0</v>
      </c>
      <c r="J209" s="467"/>
      <c r="K209" s="441"/>
      <c r="L209" s="442"/>
      <c r="M209" s="443" t="str">
        <f>IF('Design Fee'!W211&gt;0,"✔","-")</f>
        <v>✔</v>
      </c>
      <c r="N209" s="443" t="str">
        <f>IF('Design Fee'!X211&gt;0,"✔","-")</f>
        <v>✔</v>
      </c>
      <c r="O209" s="444" t="str">
        <f>IF('Design Fee'!Y211&gt;0,"✔","-")</f>
        <v>✔</v>
      </c>
      <c r="P209" s="444" t="str">
        <f>IF('Design Fee'!Z211&gt;0,"✔","-")</f>
        <v>-</v>
      </c>
      <c r="Q209" s="444" t="str">
        <f>IF('Design Fee'!AA211&gt;0,"✔","-")</f>
        <v>-</v>
      </c>
      <c r="R209" s="444" t="str">
        <f>IF('Design Fee'!AB211&gt;0,"✔","-")</f>
        <v>-</v>
      </c>
      <c r="S209" s="444" t="str">
        <f>IF('Design Fee'!AC211&gt;0,"✔","-")</f>
        <v>-</v>
      </c>
      <c r="T209" s="466" t="str">
        <f>IF('Design Fee'!AD211&gt;0,"✔","-")</f>
        <v>-</v>
      </c>
      <c r="U209" s="467"/>
      <c r="V209" s="444" t="str">
        <f>IF('Design Fee'!AF211&gt;0,"✔","-")</f>
        <v>-</v>
      </c>
      <c r="W209" s="444" t="str">
        <f>IF('Design Fee'!AG211&gt;0,"✔","-")</f>
        <v>-</v>
      </c>
      <c r="X209" s="444" t="str">
        <f>IF('Design Fee'!AH211&gt;0,"✔","-")</f>
        <v>-</v>
      </c>
      <c r="Y209" s="444" t="str">
        <f>IF('Design Fee'!AI211&gt;0,"✔","-")</f>
        <v>-</v>
      </c>
      <c r="Z209" s="444" t="str">
        <f>IF('Design Fee'!AJ211&gt;0,"✔","-")</f>
        <v>-</v>
      </c>
      <c r="AA209" s="467"/>
      <c r="AB209" s="441"/>
      <c r="AC209" s="442"/>
      <c r="AD209" s="443" t="str">
        <f>IF('Design Fee'!BG211&gt;0,"✔","-")</f>
        <v>-</v>
      </c>
      <c r="AE209" s="443" t="str">
        <f>IF('Design Fee'!BH211&gt;0,"✔","-")</f>
        <v>-</v>
      </c>
      <c r="AF209" s="444" t="str">
        <f>IF('Design Fee'!BI211&gt;0,"✔","-")</f>
        <v>-</v>
      </c>
      <c r="AG209" s="444" t="str">
        <f>IF('Design Fee'!BJ211&gt;0,"✔","-")</f>
        <v>-</v>
      </c>
      <c r="AH209" s="444" t="str">
        <f>IF('Design Fee'!BK211&gt;0,"✔","-")</f>
        <v>-</v>
      </c>
      <c r="AI209" s="444" t="str">
        <f>IF('Design Fee'!BL211&gt;0,"✔","-")</f>
        <v>-</v>
      </c>
      <c r="AJ209" s="444" t="str">
        <f>IF('Design Fee'!BM211&gt;0,"✔","-")</f>
        <v>-</v>
      </c>
      <c r="AK209" s="466" t="str">
        <f>IF('Design Fee'!BN211&gt;0,"✔","-")</f>
        <v>-</v>
      </c>
      <c r="AL209" s="445"/>
      <c r="AM209" s="444" t="str">
        <f>IF('Design Fee'!BP211&gt;0,"✔","-")</f>
        <v>-</v>
      </c>
      <c r="AN209" s="444" t="str">
        <f>IF('Design Fee'!BQ211&gt;0,"✔","-")</f>
        <v>-</v>
      </c>
      <c r="AO209" s="444" t="str">
        <f>IF('Design Fee'!BR211&gt;0,"✔","-")</f>
        <v>-</v>
      </c>
      <c r="AP209" s="444" t="str">
        <f>IF('Design Fee'!BS211&gt;0,"✔","-")</f>
        <v>-</v>
      </c>
      <c r="AQ209" s="444" t="str">
        <f>IF('Design Fee'!BT211&gt;0,"✔","-")</f>
        <v>-</v>
      </c>
      <c r="AR209" s="445"/>
      <c r="AS209" s="441"/>
      <c r="AT209" s="442"/>
      <c r="AU209" s="443" t="str">
        <f>IF('Design Fee'!CQ211&gt;0,"✔","-")</f>
        <v>✔</v>
      </c>
      <c r="AV209" s="443" t="str">
        <f>IF('Design Fee'!CR211&gt;0,"✔","-")</f>
        <v>✔</v>
      </c>
      <c r="AW209" s="444" t="str">
        <f>IF('Design Fee'!CS211&gt;0,"✔","-")</f>
        <v>✔</v>
      </c>
      <c r="AX209" s="444" t="str">
        <f>IF('Design Fee'!CT211&gt;0,"✔","-")</f>
        <v>-</v>
      </c>
      <c r="AY209" s="444" t="str">
        <f>IF('Design Fee'!CU211&gt;0,"✔","-")</f>
        <v>-</v>
      </c>
      <c r="AZ209" s="444" t="str">
        <f>IF('Design Fee'!CV211&gt;0,"✔","-")</f>
        <v>-</v>
      </c>
      <c r="BA209" s="444" t="str">
        <f>IF('Design Fee'!CW211&gt;0,"✔","-")</f>
        <v>-</v>
      </c>
      <c r="BB209" s="466" t="str">
        <f>IF('Design Fee'!CX211&gt;0,"✔","-")</f>
        <v>-</v>
      </c>
      <c r="BC209" s="445"/>
      <c r="BD209" s="444" t="str">
        <f>IF('Design Fee'!CZ211&gt;0,"✔","-")</f>
        <v>-</v>
      </c>
      <c r="BE209" s="444" t="str">
        <f>IF('Design Fee'!DA211&gt;0,"✔","-")</f>
        <v>-</v>
      </c>
      <c r="BF209" s="444" t="str">
        <f>IF('Design Fee'!DB211&gt;0,"✔","-")</f>
        <v>-</v>
      </c>
      <c r="BG209" s="444" t="str">
        <f>IF('Design Fee'!DC211&gt;0,"✔","-")</f>
        <v>-</v>
      </c>
      <c r="BH209" s="444" t="str">
        <f>IF('Design Fee'!DD211&gt;0,"✔","-")</f>
        <v>-</v>
      </c>
      <c r="BI209" s="445"/>
      <c r="BJ209" s="441"/>
      <c r="BK209" s="442"/>
      <c r="BL209" s="443" t="str">
        <f>IF('Design Fee'!EA211&gt;0,"✔","-")</f>
        <v>✔</v>
      </c>
      <c r="BM209" s="443" t="str">
        <f>IF('Design Fee'!EB211&gt;0,"✔","-")</f>
        <v>✔</v>
      </c>
      <c r="BN209" s="444" t="str">
        <f>IF('Design Fee'!EC211&gt;0,"✔","-")</f>
        <v>✔</v>
      </c>
      <c r="BO209" s="444" t="str">
        <f>IF('Design Fee'!ED211&gt;0,"✔","-")</f>
        <v>-</v>
      </c>
      <c r="BP209" s="444" t="str">
        <f>IF('Design Fee'!EE211&gt;0,"✔","-")</f>
        <v>-</v>
      </c>
      <c r="BQ209" s="444" t="str">
        <f>IF('Design Fee'!EF211&gt;0,"✔","-")</f>
        <v>-</v>
      </c>
      <c r="BR209" s="444" t="str">
        <f>IF('Design Fee'!EG211&gt;0,"✔","-")</f>
        <v>-</v>
      </c>
      <c r="BS209" s="466" t="str">
        <f>IF('Design Fee'!EH211&gt;0,"✔","-")</f>
        <v>-</v>
      </c>
      <c r="BT209" s="383"/>
      <c r="BU209" s="444" t="str">
        <f>IF('Design Fee'!EJ211&gt;0,"✔","-")</f>
        <v>-</v>
      </c>
      <c r="BV209" s="444" t="str">
        <f>IF('Design Fee'!EK211&gt;0,"✔","-")</f>
        <v>-</v>
      </c>
      <c r="BW209" s="444" t="str">
        <f>IF('Design Fee'!EL211&gt;0,"✔","-")</f>
        <v>-</v>
      </c>
      <c r="BX209" s="444" t="str">
        <f>IF('Design Fee'!EM211&gt;0,"✔","-")</f>
        <v>-</v>
      </c>
      <c r="BY209" s="444" t="str">
        <f>IF('Design Fee'!EN211&gt;0,"✔","-")</f>
        <v>-</v>
      </c>
      <c r="BZ209" s="383"/>
    </row>
    <row r="210" spans="1:78" ht="12.75" outlineLevel="2">
      <c r="A210" s="383"/>
      <c r="B210" s="463" t="s">
        <v>192</v>
      </c>
      <c r="C210" s="464">
        <v>4</v>
      </c>
      <c r="D210" s="465" t="s">
        <v>193</v>
      </c>
      <c r="E210" s="383"/>
      <c r="F210" s="443">
        <f t="shared" si="638"/>
        <v>3</v>
      </c>
      <c r="G210" s="444">
        <f t="shared" si="639"/>
        <v>3</v>
      </c>
      <c r="H210" s="444">
        <f t="shared" si="639"/>
        <v>3</v>
      </c>
      <c r="I210" s="444">
        <f t="shared" si="640"/>
        <v>0</v>
      </c>
      <c r="J210" s="467"/>
      <c r="K210" s="441"/>
      <c r="L210" s="442"/>
      <c r="M210" s="443" t="str">
        <f>IF('Design Fee'!W212&gt;0,"✔","-")</f>
        <v>✔</v>
      </c>
      <c r="N210" s="443" t="str">
        <f>IF('Design Fee'!X212&gt;0,"✔","-")</f>
        <v>✔</v>
      </c>
      <c r="O210" s="444" t="str">
        <f>IF('Design Fee'!Y212&gt;0,"✔","-")</f>
        <v>✔</v>
      </c>
      <c r="P210" s="444" t="str">
        <f>IF('Design Fee'!Z212&gt;0,"✔","-")</f>
        <v>-</v>
      </c>
      <c r="Q210" s="444" t="str">
        <f>IF('Design Fee'!AA212&gt;0,"✔","-")</f>
        <v>-</v>
      </c>
      <c r="R210" s="444" t="str">
        <f>IF('Design Fee'!AB212&gt;0,"✔","-")</f>
        <v>-</v>
      </c>
      <c r="S210" s="444" t="str">
        <f>IF('Design Fee'!AC212&gt;0,"✔","-")</f>
        <v>-</v>
      </c>
      <c r="T210" s="466" t="str">
        <f>IF('Design Fee'!AD212&gt;0,"✔","-")</f>
        <v>-</v>
      </c>
      <c r="U210" s="467"/>
      <c r="V210" s="444" t="str">
        <f>IF('Design Fee'!AF212&gt;0,"✔","-")</f>
        <v>-</v>
      </c>
      <c r="W210" s="444" t="str">
        <f>IF('Design Fee'!AG212&gt;0,"✔","-")</f>
        <v>-</v>
      </c>
      <c r="X210" s="444" t="str">
        <f>IF('Design Fee'!AH212&gt;0,"✔","-")</f>
        <v>-</v>
      </c>
      <c r="Y210" s="444" t="str">
        <f>IF('Design Fee'!AI212&gt;0,"✔","-")</f>
        <v>-</v>
      </c>
      <c r="Z210" s="444" t="str">
        <f>IF('Design Fee'!AJ212&gt;0,"✔","-")</f>
        <v>-</v>
      </c>
      <c r="AA210" s="467"/>
      <c r="AB210" s="441"/>
      <c r="AC210" s="442"/>
      <c r="AD210" s="443" t="str">
        <f>IF('Design Fee'!BG212&gt;0,"✔","-")</f>
        <v>-</v>
      </c>
      <c r="AE210" s="443" t="str">
        <f>IF('Design Fee'!BH212&gt;0,"✔","-")</f>
        <v>-</v>
      </c>
      <c r="AF210" s="444" t="str">
        <f>IF('Design Fee'!BI212&gt;0,"✔","-")</f>
        <v>-</v>
      </c>
      <c r="AG210" s="444" t="str">
        <f>IF('Design Fee'!BJ212&gt;0,"✔","-")</f>
        <v>-</v>
      </c>
      <c r="AH210" s="444" t="str">
        <f>IF('Design Fee'!BK212&gt;0,"✔","-")</f>
        <v>-</v>
      </c>
      <c r="AI210" s="444" t="str">
        <f>IF('Design Fee'!BL212&gt;0,"✔","-")</f>
        <v>-</v>
      </c>
      <c r="AJ210" s="444" t="str">
        <f>IF('Design Fee'!BM212&gt;0,"✔","-")</f>
        <v>-</v>
      </c>
      <c r="AK210" s="466" t="str">
        <f>IF('Design Fee'!BN212&gt;0,"✔","-")</f>
        <v>-</v>
      </c>
      <c r="AL210" s="445"/>
      <c r="AM210" s="444" t="str">
        <f>IF('Design Fee'!BP212&gt;0,"✔","-")</f>
        <v>-</v>
      </c>
      <c r="AN210" s="444" t="str">
        <f>IF('Design Fee'!BQ212&gt;0,"✔","-")</f>
        <v>-</v>
      </c>
      <c r="AO210" s="444" t="str">
        <f>IF('Design Fee'!BR212&gt;0,"✔","-")</f>
        <v>-</v>
      </c>
      <c r="AP210" s="444" t="str">
        <f>IF('Design Fee'!BS212&gt;0,"✔","-")</f>
        <v>-</v>
      </c>
      <c r="AQ210" s="444" t="str">
        <f>IF('Design Fee'!BT212&gt;0,"✔","-")</f>
        <v>-</v>
      </c>
      <c r="AR210" s="445"/>
      <c r="AS210" s="441"/>
      <c r="AT210" s="442"/>
      <c r="AU210" s="443" t="str">
        <f>IF('Design Fee'!CQ212&gt;0,"✔","-")</f>
        <v>✔</v>
      </c>
      <c r="AV210" s="443" t="str">
        <f>IF('Design Fee'!CR212&gt;0,"✔","-")</f>
        <v>✔</v>
      </c>
      <c r="AW210" s="444" t="str">
        <f>IF('Design Fee'!CS212&gt;0,"✔","-")</f>
        <v>✔</v>
      </c>
      <c r="AX210" s="444" t="str">
        <f>IF('Design Fee'!CT212&gt;0,"✔","-")</f>
        <v>-</v>
      </c>
      <c r="AY210" s="444" t="str">
        <f>IF('Design Fee'!CU212&gt;0,"✔","-")</f>
        <v>-</v>
      </c>
      <c r="AZ210" s="444" t="str">
        <f>IF('Design Fee'!CV212&gt;0,"✔","-")</f>
        <v>-</v>
      </c>
      <c r="BA210" s="444" t="str">
        <f>IF('Design Fee'!CW212&gt;0,"✔","-")</f>
        <v>-</v>
      </c>
      <c r="BB210" s="466" t="str">
        <f>IF('Design Fee'!CX212&gt;0,"✔","-")</f>
        <v>-</v>
      </c>
      <c r="BC210" s="445"/>
      <c r="BD210" s="444" t="str">
        <f>IF('Design Fee'!CZ212&gt;0,"✔","-")</f>
        <v>-</v>
      </c>
      <c r="BE210" s="444" t="str">
        <f>IF('Design Fee'!DA212&gt;0,"✔","-")</f>
        <v>-</v>
      </c>
      <c r="BF210" s="444" t="str">
        <f>IF('Design Fee'!DB212&gt;0,"✔","-")</f>
        <v>-</v>
      </c>
      <c r="BG210" s="444" t="str">
        <f>IF('Design Fee'!DC212&gt;0,"✔","-")</f>
        <v>-</v>
      </c>
      <c r="BH210" s="444" t="str">
        <f>IF('Design Fee'!DD212&gt;0,"✔","-")</f>
        <v>-</v>
      </c>
      <c r="BI210" s="445"/>
      <c r="BJ210" s="441"/>
      <c r="BK210" s="442"/>
      <c r="BL210" s="443" t="str">
        <f>IF('Design Fee'!EA212&gt;0,"✔","-")</f>
        <v>✔</v>
      </c>
      <c r="BM210" s="443" t="str">
        <f>IF('Design Fee'!EB212&gt;0,"✔","-")</f>
        <v>✔</v>
      </c>
      <c r="BN210" s="444" t="str">
        <f>IF('Design Fee'!EC212&gt;0,"✔","-")</f>
        <v>✔</v>
      </c>
      <c r="BO210" s="444" t="str">
        <f>IF('Design Fee'!ED212&gt;0,"✔","-")</f>
        <v>-</v>
      </c>
      <c r="BP210" s="444" t="str">
        <f>IF('Design Fee'!EE212&gt;0,"✔","-")</f>
        <v>-</v>
      </c>
      <c r="BQ210" s="444" t="str">
        <f>IF('Design Fee'!EF212&gt;0,"✔","-")</f>
        <v>-</v>
      </c>
      <c r="BR210" s="444" t="str">
        <f>IF('Design Fee'!EG212&gt;0,"✔","-")</f>
        <v>-</v>
      </c>
      <c r="BS210" s="466" t="str">
        <f>IF('Design Fee'!EH212&gt;0,"✔","-")</f>
        <v>-</v>
      </c>
      <c r="BT210" s="383"/>
      <c r="BU210" s="444" t="str">
        <f>IF('Design Fee'!EJ212&gt;0,"✔","-")</f>
        <v>-</v>
      </c>
      <c r="BV210" s="444" t="str">
        <f>IF('Design Fee'!EK212&gt;0,"✔","-")</f>
        <v>-</v>
      </c>
      <c r="BW210" s="444" t="str">
        <f>IF('Design Fee'!EL212&gt;0,"✔","-")</f>
        <v>-</v>
      </c>
      <c r="BX210" s="444" t="str">
        <f>IF('Design Fee'!EM212&gt;0,"✔","-")</f>
        <v>-</v>
      </c>
      <c r="BY210" s="444" t="str">
        <f>IF('Design Fee'!EN212&gt;0,"✔","-")</f>
        <v>-</v>
      </c>
      <c r="BZ210" s="383"/>
    </row>
    <row r="211" spans="1:78" s="95" customFormat="1" ht="12.75" outlineLevel="2">
      <c r="A211" s="383"/>
      <c r="B211" s="481" t="s">
        <v>194</v>
      </c>
      <c r="C211" s="469">
        <v>5</v>
      </c>
      <c r="D211" s="470" t="s">
        <v>195</v>
      </c>
      <c r="E211" s="468"/>
      <c r="F211" s="443">
        <f t="shared" si="638"/>
        <v>3</v>
      </c>
      <c r="G211" s="444">
        <f t="shared" si="639"/>
        <v>1</v>
      </c>
      <c r="H211" s="444">
        <f t="shared" si="639"/>
        <v>0</v>
      </c>
      <c r="I211" s="444">
        <f t="shared" si="640"/>
        <v>2</v>
      </c>
      <c r="J211" s="480"/>
      <c r="K211" s="471"/>
      <c r="L211" s="472"/>
      <c r="M211" s="443" t="str">
        <f>IF('Design Fee'!W213&gt;0,"✔","-")</f>
        <v>✔</v>
      </c>
      <c r="N211" s="443" t="str">
        <f>IF('Design Fee'!X213&gt;0,"✔","-")</f>
        <v>-</v>
      </c>
      <c r="O211" s="466" t="str">
        <f>IF('Design Fee'!Y213&gt;0,"✔","-")</f>
        <v>-</v>
      </c>
      <c r="P211" s="466" t="str">
        <f>IF('Design Fee'!Z213&gt;0,"✔","-")</f>
        <v>✔</v>
      </c>
      <c r="Q211" s="466" t="str">
        <f>IF('Design Fee'!AA213&gt;0,"✔","-")</f>
        <v>✔</v>
      </c>
      <c r="R211" s="466" t="str">
        <f>IF('Design Fee'!AB213&gt;0,"✔","-")</f>
        <v>-</v>
      </c>
      <c r="S211" s="466" t="str">
        <f>IF('Design Fee'!AC213&gt;0,"✔","-")</f>
        <v>-</v>
      </c>
      <c r="T211" s="466" t="str">
        <f>IF('Design Fee'!AD213&gt;0,"✔","-")</f>
        <v>-</v>
      </c>
      <c r="U211" s="480"/>
      <c r="V211" s="444" t="str">
        <f>IF('Design Fee'!AF213&gt;0,"✔","-")</f>
        <v>-</v>
      </c>
      <c r="W211" s="444" t="str">
        <f>IF('Design Fee'!AG213&gt;0,"✔","-")</f>
        <v>-</v>
      </c>
      <c r="X211" s="444" t="str">
        <f>IF('Design Fee'!AH213&gt;0,"✔","-")</f>
        <v>-</v>
      </c>
      <c r="Y211" s="444" t="str">
        <f>IF('Design Fee'!AI213&gt;0,"✔","-")</f>
        <v>-</v>
      </c>
      <c r="Z211" s="444" t="str">
        <f>IF('Design Fee'!AJ213&gt;0,"✔","-")</f>
        <v>-</v>
      </c>
      <c r="AA211" s="480"/>
      <c r="AB211" s="471"/>
      <c r="AC211" s="472"/>
      <c r="AD211" s="443" t="str">
        <f>IF('Design Fee'!BG213&gt;0,"✔","-")</f>
        <v>-</v>
      </c>
      <c r="AE211" s="443" t="str">
        <f>IF('Design Fee'!BH213&gt;0,"✔","-")</f>
        <v>-</v>
      </c>
      <c r="AF211" s="466" t="str">
        <f>IF('Design Fee'!BI213&gt;0,"✔","-")</f>
        <v>-</v>
      </c>
      <c r="AG211" s="466" t="str">
        <f>IF('Design Fee'!BJ213&gt;0,"✔","-")</f>
        <v>-</v>
      </c>
      <c r="AH211" s="466" t="str">
        <f>IF('Design Fee'!BK213&gt;0,"✔","-")</f>
        <v>-</v>
      </c>
      <c r="AI211" s="466" t="str">
        <f>IF('Design Fee'!BL213&gt;0,"✔","-")</f>
        <v>-</v>
      </c>
      <c r="AJ211" s="466" t="str">
        <f>IF('Design Fee'!BM213&gt;0,"✔","-")</f>
        <v>-</v>
      </c>
      <c r="AK211" s="466" t="str">
        <f>IF('Design Fee'!BN213&gt;0,"✔","-")</f>
        <v>-</v>
      </c>
      <c r="AL211" s="476"/>
      <c r="AM211" s="444" t="str">
        <f>IF('Design Fee'!BP213&gt;0,"✔","-")</f>
        <v>-</v>
      </c>
      <c r="AN211" s="444" t="str">
        <f>IF('Design Fee'!BQ213&gt;0,"✔","-")</f>
        <v>-</v>
      </c>
      <c r="AO211" s="444" t="str">
        <f>IF('Design Fee'!BR213&gt;0,"✔","-")</f>
        <v>-</v>
      </c>
      <c r="AP211" s="444" t="str">
        <f>IF('Design Fee'!BS213&gt;0,"✔","-")</f>
        <v>-</v>
      </c>
      <c r="AQ211" s="444" t="str">
        <f>IF('Design Fee'!BT213&gt;0,"✔","-")</f>
        <v>-</v>
      </c>
      <c r="AR211" s="476"/>
      <c r="AS211" s="471"/>
      <c r="AT211" s="472"/>
      <c r="AU211" s="443" t="str">
        <f>IF('Design Fee'!CQ213&gt;0,"✔","-")</f>
        <v>✔</v>
      </c>
      <c r="AV211" s="443" t="str">
        <f>IF('Design Fee'!CR213&gt;0,"✔","-")</f>
        <v>-</v>
      </c>
      <c r="AW211" s="466" t="str">
        <f>IF('Design Fee'!CS213&gt;0,"✔","-")</f>
        <v>-</v>
      </c>
      <c r="AX211" s="466" t="str">
        <f>IF('Design Fee'!CT213&gt;0,"✔","-")</f>
        <v>✔</v>
      </c>
      <c r="AY211" s="466" t="str">
        <f>IF('Design Fee'!CU213&gt;0,"✔","-")</f>
        <v>✔</v>
      </c>
      <c r="AZ211" s="466" t="str">
        <f>IF('Design Fee'!CV213&gt;0,"✔","-")</f>
        <v>-</v>
      </c>
      <c r="BA211" s="466" t="str">
        <f>IF('Design Fee'!CW213&gt;0,"✔","-")</f>
        <v>-</v>
      </c>
      <c r="BB211" s="466" t="str">
        <f>IF('Design Fee'!CX213&gt;0,"✔","-")</f>
        <v>-</v>
      </c>
      <c r="BC211" s="476"/>
      <c r="BD211" s="444" t="str">
        <f>IF('Design Fee'!CZ213&gt;0,"✔","-")</f>
        <v>-</v>
      </c>
      <c r="BE211" s="444" t="str">
        <f>IF('Design Fee'!DA213&gt;0,"✔","-")</f>
        <v>-</v>
      </c>
      <c r="BF211" s="444" t="str">
        <f>IF('Design Fee'!DB213&gt;0,"✔","-")</f>
        <v>-</v>
      </c>
      <c r="BG211" s="444" t="str">
        <f>IF('Design Fee'!DC213&gt;0,"✔","-")</f>
        <v>-</v>
      </c>
      <c r="BH211" s="444" t="str">
        <f>IF('Design Fee'!DD213&gt;0,"✔","-")</f>
        <v>-</v>
      </c>
      <c r="BI211" s="476"/>
      <c r="BJ211" s="471"/>
      <c r="BK211" s="472"/>
      <c r="BL211" s="443" t="str">
        <f>IF('Design Fee'!EA213&gt;0,"✔","-")</f>
        <v>✔</v>
      </c>
      <c r="BM211" s="443" t="str">
        <f>IF('Design Fee'!EB213&gt;0,"✔","-")</f>
        <v>✔</v>
      </c>
      <c r="BN211" s="466" t="str">
        <f>IF('Design Fee'!EC213&gt;0,"✔","-")</f>
        <v>-</v>
      </c>
      <c r="BO211" s="466" t="str">
        <f>IF('Design Fee'!ED213&gt;0,"✔","-")</f>
        <v>✔</v>
      </c>
      <c r="BP211" s="466" t="str">
        <f>IF('Design Fee'!EE213&gt;0,"✔","-")</f>
        <v>✔</v>
      </c>
      <c r="BQ211" s="466" t="str">
        <f>IF('Design Fee'!EF213&gt;0,"✔","-")</f>
        <v>-</v>
      </c>
      <c r="BR211" s="466" t="str">
        <f>IF('Design Fee'!EG213&gt;0,"✔","-")</f>
        <v>-</v>
      </c>
      <c r="BS211" s="466" t="str">
        <f>IF('Design Fee'!EH213&gt;0,"✔","-")</f>
        <v>-</v>
      </c>
      <c r="BT211" s="468"/>
      <c r="BU211" s="444" t="str">
        <f>IF('Design Fee'!EJ213&gt;0,"✔","-")</f>
        <v>✔</v>
      </c>
      <c r="BV211" s="444" t="str">
        <f>IF('Design Fee'!EK213&gt;0,"✔","-")</f>
        <v>-</v>
      </c>
      <c r="BW211" s="444" t="str">
        <f>IF('Design Fee'!EL213&gt;0,"✔","-")</f>
        <v>-</v>
      </c>
      <c r="BX211" s="444" t="str">
        <f>IF('Design Fee'!EM213&gt;0,"✔","-")</f>
        <v>-</v>
      </c>
      <c r="BY211" s="444" t="str">
        <f>IF('Design Fee'!EN213&gt;0,"✔","-")</f>
        <v>✔</v>
      </c>
      <c r="BZ211" s="383"/>
    </row>
    <row r="212" spans="1:78" ht="12.75" outlineLevel="2">
      <c r="A212" s="383"/>
      <c r="B212" s="463" t="s">
        <v>192</v>
      </c>
      <c r="C212" s="464">
        <v>6</v>
      </c>
      <c r="D212" s="465" t="s">
        <v>196</v>
      </c>
      <c r="E212" s="383"/>
      <c r="F212" s="443">
        <f t="shared" si="638"/>
        <v>3</v>
      </c>
      <c r="G212" s="444">
        <f t="shared" si="639"/>
        <v>2</v>
      </c>
      <c r="H212" s="444">
        <f t="shared" si="639"/>
        <v>0</v>
      </c>
      <c r="I212" s="444">
        <f t="shared" si="640"/>
        <v>1</v>
      </c>
      <c r="J212" s="467"/>
      <c r="K212" s="441"/>
      <c r="L212" s="442"/>
      <c r="M212" s="443" t="str">
        <f>IF('Design Fee'!W214&gt;0,"✔","-")</f>
        <v>✔</v>
      </c>
      <c r="N212" s="443" t="str">
        <f>IF('Design Fee'!X214&gt;0,"✔","-")</f>
        <v>✔</v>
      </c>
      <c r="O212" s="444" t="str">
        <f>IF('Design Fee'!Y214&gt;0,"✔","-")</f>
        <v>-</v>
      </c>
      <c r="P212" s="444" t="str">
        <f>IF('Design Fee'!Z214&gt;0,"✔","-")</f>
        <v>✔</v>
      </c>
      <c r="Q212" s="444" t="str">
        <f>IF('Design Fee'!AA214&gt;0,"✔","-")</f>
        <v>✔</v>
      </c>
      <c r="R212" s="444" t="str">
        <f>IF('Design Fee'!AB214&gt;0,"✔","-")</f>
        <v>-</v>
      </c>
      <c r="S212" s="444" t="str">
        <f>IF('Design Fee'!AC214&gt;0,"✔","-")</f>
        <v>-</v>
      </c>
      <c r="T212" s="466" t="str">
        <f>IF('Design Fee'!AD214&gt;0,"✔","-")</f>
        <v>-</v>
      </c>
      <c r="U212" s="467"/>
      <c r="V212" s="444" t="str">
        <f>IF('Design Fee'!AF214&gt;0,"✔","-")</f>
        <v>✔</v>
      </c>
      <c r="W212" s="444" t="str">
        <f>IF('Design Fee'!AG214&gt;0,"✔","-")</f>
        <v>-</v>
      </c>
      <c r="X212" s="444" t="str">
        <f>IF('Design Fee'!AH214&gt;0,"✔","-")</f>
        <v>-</v>
      </c>
      <c r="Y212" s="444" t="str">
        <f>IF('Design Fee'!AI214&gt;0,"✔","-")</f>
        <v>✔</v>
      </c>
      <c r="Z212" s="444" t="str">
        <f>IF('Design Fee'!AJ214&gt;0,"✔","-")</f>
        <v>-</v>
      </c>
      <c r="AA212" s="467"/>
      <c r="AB212" s="441"/>
      <c r="AC212" s="442"/>
      <c r="AD212" s="443" t="str">
        <f>IF('Design Fee'!BG214&gt;0,"✔","-")</f>
        <v>-</v>
      </c>
      <c r="AE212" s="443" t="str">
        <f>IF('Design Fee'!BH214&gt;0,"✔","-")</f>
        <v>-</v>
      </c>
      <c r="AF212" s="444" t="str">
        <f>IF('Design Fee'!BI214&gt;0,"✔","-")</f>
        <v>-</v>
      </c>
      <c r="AG212" s="444" t="str">
        <f>IF('Design Fee'!BJ214&gt;0,"✔","-")</f>
        <v>-</v>
      </c>
      <c r="AH212" s="444" t="str">
        <f>IF('Design Fee'!BK214&gt;0,"✔","-")</f>
        <v>-</v>
      </c>
      <c r="AI212" s="444" t="str">
        <f>IF('Design Fee'!BL214&gt;0,"✔","-")</f>
        <v>-</v>
      </c>
      <c r="AJ212" s="444" t="str">
        <f>IF('Design Fee'!BM214&gt;0,"✔","-")</f>
        <v>-</v>
      </c>
      <c r="AK212" s="466" t="str">
        <f>IF('Design Fee'!BN214&gt;0,"✔","-")</f>
        <v>-</v>
      </c>
      <c r="AL212" s="445"/>
      <c r="AM212" s="444" t="str">
        <f>IF('Design Fee'!BP214&gt;0,"✔","-")</f>
        <v>-</v>
      </c>
      <c r="AN212" s="444" t="str">
        <f>IF('Design Fee'!BQ214&gt;0,"✔","-")</f>
        <v>-</v>
      </c>
      <c r="AO212" s="444" t="str">
        <f>IF('Design Fee'!BR214&gt;0,"✔","-")</f>
        <v>-</v>
      </c>
      <c r="AP212" s="444" t="str">
        <f>IF('Design Fee'!BS214&gt;0,"✔","-")</f>
        <v>-</v>
      </c>
      <c r="AQ212" s="444" t="str">
        <f>IF('Design Fee'!BT214&gt;0,"✔","-")</f>
        <v>-</v>
      </c>
      <c r="AR212" s="445"/>
      <c r="AS212" s="441"/>
      <c r="AT212" s="442"/>
      <c r="AU212" s="443" t="str">
        <f>IF('Design Fee'!CQ214&gt;0,"✔","-")</f>
        <v>✔</v>
      </c>
      <c r="AV212" s="443" t="str">
        <f>IF('Design Fee'!CR214&gt;0,"✔","-")</f>
        <v>-</v>
      </c>
      <c r="AW212" s="444" t="str">
        <f>IF('Design Fee'!CS214&gt;0,"✔","-")</f>
        <v>-</v>
      </c>
      <c r="AX212" s="444" t="str">
        <f>IF('Design Fee'!CT214&gt;0,"✔","-")</f>
        <v>✔</v>
      </c>
      <c r="AY212" s="444" t="str">
        <f>IF('Design Fee'!CU214&gt;0,"✔","-")</f>
        <v>✔</v>
      </c>
      <c r="AZ212" s="444" t="str">
        <f>IF('Design Fee'!CV214&gt;0,"✔","-")</f>
        <v>-</v>
      </c>
      <c r="BA212" s="444" t="str">
        <f>IF('Design Fee'!CW214&gt;0,"✔","-")</f>
        <v>-</v>
      </c>
      <c r="BB212" s="466" t="str">
        <f>IF('Design Fee'!CX214&gt;0,"✔","-")</f>
        <v>-</v>
      </c>
      <c r="BC212" s="445"/>
      <c r="BD212" s="444" t="str">
        <f>IF('Design Fee'!CZ214&gt;0,"✔","-")</f>
        <v>-</v>
      </c>
      <c r="BE212" s="444" t="str">
        <f>IF('Design Fee'!DA214&gt;0,"✔","-")</f>
        <v>-</v>
      </c>
      <c r="BF212" s="444" t="str">
        <f>IF('Design Fee'!DB214&gt;0,"✔","-")</f>
        <v>-</v>
      </c>
      <c r="BG212" s="444" t="str">
        <f>IF('Design Fee'!DC214&gt;0,"✔","-")</f>
        <v>-</v>
      </c>
      <c r="BH212" s="444" t="str">
        <f>IF('Design Fee'!DD214&gt;0,"✔","-")</f>
        <v>-</v>
      </c>
      <c r="BI212" s="445"/>
      <c r="BJ212" s="441"/>
      <c r="BK212" s="442"/>
      <c r="BL212" s="443" t="str">
        <f>IF('Design Fee'!EA214&gt;0,"✔","-")</f>
        <v>✔</v>
      </c>
      <c r="BM212" s="443" t="str">
        <f>IF('Design Fee'!EB214&gt;0,"✔","-")</f>
        <v>✔</v>
      </c>
      <c r="BN212" s="444" t="str">
        <f>IF('Design Fee'!EC214&gt;0,"✔","-")</f>
        <v>-</v>
      </c>
      <c r="BO212" s="444" t="str">
        <f>IF('Design Fee'!ED214&gt;0,"✔","-")</f>
        <v>✔</v>
      </c>
      <c r="BP212" s="444" t="str">
        <f>IF('Design Fee'!EE214&gt;0,"✔","-")</f>
        <v>✔</v>
      </c>
      <c r="BQ212" s="444" t="str">
        <f>IF('Design Fee'!EF214&gt;0,"✔","-")</f>
        <v>-</v>
      </c>
      <c r="BR212" s="444" t="str">
        <f>IF('Design Fee'!EG214&gt;0,"✔","-")</f>
        <v>-</v>
      </c>
      <c r="BS212" s="466" t="str">
        <f>IF('Design Fee'!EH214&gt;0,"✔","-")</f>
        <v>-</v>
      </c>
      <c r="BT212" s="383"/>
      <c r="BU212" s="444" t="str">
        <f>IF('Design Fee'!EJ214&gt;0,"✔","-")</f>
        <v>✔</v>
      </c>
      <c r="BV212" s="444" t="str">
        <f>IF('Design Fee'!EK214&gt;0,"✔","-")</f>
        <v>-</v>
      </c>
      <c r="BW212" s="444" t="str">
        <f>IF('Design Fee'!EL214&gt;0,"✔","-")</f>
        <v>-</v>
      </c>
      <c r="BX212" s="444" t="str">
        <f>IF('Design Fee'!EM214&gt;0,"✔","-")</f>
        <v>-</v>
      </c>
      <c r="BY212" s="444" t="str">
        <f>IF('Design Fee'!EN214&gt;0,"✔","-")</f>
        <v>✔</v>
      </c>
      <c r="BZ212" s="383"/>
    </row>
    <row r="213" spans="1:78" s="95" customFormat="1" ht="12.75" outlineLevel="2">
      <c r="A213" s="383"/>
      <c r="B213" s="481" t="s">
        <v>194</v>
      </c>
      <c r="C213" s="469">
        <v>7</v>
      </c>
      <c r="D213" s="470" t="s">
        <v>197</v>
      </c>
      <c r="E213" s="468"/>
      <c r="F213" s="443">
        <f t="shared" si="638"/>
        <v>3</v>
      </c>
      <c r="G213" s="444">
        <f t="shared" si="639"/>
        <v>1</v>
      </c>
      <c r="H213" s="444">
        <f t="shared" si="639"/>
        <v>0</v>
      </c>
      <c r="I213" s="444">
        <f t="shared" si="640"/>
        <v>2</v>
      </c>
      <c r="J213" s="480"/>
      <c r="K213" s="471"/>
      <c r="L213" s="472"/>
      <c r="M213" s="443" t="str">
        <f>IF('Design Fee'!W215&gt;0,"✔","-")</f>
        <v>✔</v>
      </c>
      <c r="N213" s="443" t="str">
        <f>IF('Design Fee'!X215&gt;0,"✔","-")</f>
        <v>-</v>
      </c>
      <c r="O213" s="466" t="str">
        <f>IF('Design Fee'!Y215&gt;0,"✔","-")</f>
        <v>-</v>
      </c>
      <c r="P213" s="466" t="str">
        <f>IF('Design Fee'!Z215&gt;0,"✔","-")</f>
        <v>✔</v>
      </c>
      <c r="Q213" s="466" t="str">
        <f>IF('Design Fee'!AA215&gt;0,"✔","-")</f>
        <v>✔</v>
      </c>
      <c r="R213" s="466" t="str">
        <f>IF('Design Fee'!AB215&gt;0,"✔","-")</f>
        <v>-</v>
      </c>
      <c r="S213" s="466" t="str">
        <f>IF('Design Fee'!AC215&gt;0,"✔","-")</f>
        <v>-</v>
      </c>
      <c r="T213" s="466" t="str">
        <f>IF('Design Fee'!AD215&gt;0,"✔","-")</f>
        <v>-</v>
      </c>
      <c r="U213" s="480"/>
      <c r="V213" s="444" t="str">
        <f>IF('Design Fee'!AF215&gt;0,"✔","-")</f>
        <v>-</v>
      </c>
      <c r="W213" s="444" t="str">
        <f>IF('Design Fee'!AG215&gt;0,"✔","-")</f>
        <v>-</v>
      </c>
      <c r="X213" s="444" t="str">
        <f>IF('Design Fee'!AH215&gt;0,"✔","-")</f>
        <v>-</v>
      </c>
      <c r="Y213" s="444" t="str">
        <f>IF('Design Fee'!AI215&gt;0,"✔","-")</f>
        <v>-</v>
      </c>
      <c r="Z213" s="444" t="str">
        <f>IF('Design Fee'!AJ215&gt;0,"✔","-")</f>
        <v>-</v>
      </c>
      <c r="AA213" s="480"/>
      <c r="AB213" s="471"/>
      <c r="AC213" s="472"/>
      <c r="AD213" s="443" t="str">
        <f>IF('Design Fee'!BG215&gt;0,"✔","-")</f>
        <v>-</v>
      </c>
      <c r="AE213" s="443" t="str">
        <f>IF('Design Fee'!BH215&gt;0,"✔","-")</f>
        <v>-</v>
      </c>
      <c r="AF213" s="466" t="str">
        <f>IF('Design Fee'!BI215&gt;0,"✔","-")</f>
        <v>-</v>
      </c>
      <c r="AG213" s="466" t="str">
        <f>IF('Design Fee'!BJ215&gt;0,"✔","-")</f>
        <v>-</v>
      </c>
      <c r="AH213" s="466" t="str">
        <f>IF('Design Fee'!BK215&gt;0,"✔","-")</f>
        <v>-</v>
      </c>
      <c r="AI213" s="466" t="str">
        <f>IF('Design Fee'!BL215&gt;0,"✔","-")</f>
        <v>-</v>
      </c>
      <c r="AJ213" s="466" t="str">
        <f>IF('Design Fee'!BM215&gt;0,"✔","-")</f>
        <v>-</v>
      </c>
      <c r="AK213" s="466" t="str">
        <f>IF('Design Fee'!BN215&gt;0,"✔","-")</f>
        <v>-</v>
      </c>
      <c r="AL213" s="476"/>
      <c r="AM213" s="444" t="str">
        <f>IF('Design Fee'!BP215&gt;0,"✔","-")</f>
        <v>-</v>
      </c>
      <c r="AN213" s="444" t="str">
        <f>IF('Design Fee'!BQ215&gt;0,"✔","-")</f>
        <v>-</v>
      </c>
      <c r="AO213" s="444" t="str">
        <f>IF('Design Fee'!BR215&gt;0,"✔","-")</f>
        <v>-</v>
      </c>
      <c r="AP213" s="444" t="str">
        <f>IF('Design Fee'!BS215&gt;0,"✔","-")</f>
        <v>-</v>
      </c>
      <c r="AQ213" s="444" t="str">
        <f>IF('Design Fee'!BT215&gt;0,"✔","-")</f>
        <v>-</v>
      </c>
      <c r="AR213" s="476"/>
      <c r="AS213" s="471"/>
      <c r="AT213" s="472"/>
      <c r="AU213" s="443" t="str">
        <f>IF('Design Fee'!CQ215&gt;0,"✔","-")</f>
        <v>✔</v>
      </c>
      <c r="AV213" s="443" t="str">
        <f>IF('Design Fee'!CR215&gt;0,"✔","-")</f>
        <v>-</v>
      </c>
      <c r="AW213" s="466" t="str">
        <f>IF('Design Fee'!CS215&gt;0,"✔","-")</f>
        <v>-</v>
      </c>
      <c r="AX213" s="466" t="str">
        <f>IF('Design Fee'!CT215&gt;0,"✔","-")</f>
        <v>✔</v>
      </c>
      <c r="AY213" s="466" t="str">
        <f>IF('Design Fee'!CU215&gt;0,"✔","-")</f>
        <v>✔</v>
      </c>
      <c r="AZ213" s="466" t="str">
        <f>IF('Design Fee'!CV215&gt;0,"✔","-")</f>
        <v>-</v>
      </c>
      <c r="BA213" s="466" t="str">
        <f>IF('Design Fee'!CW215&gt;0,"✔","-")</f>
        <v>-</v>
      </c>
      <c r="BB213" s="466" t="str">
        <f>IF('Design Fee'!CX215&gt;0,"✔","-")</f>
        <v>-</v>
      </c>
      <c r="BC213" s="476"/>
      <c r="BD213" s="444" t="str">
        <f>IF('Design Fee'!CZ215&gt;0,"✔","-")</f>
        <v>-</v>
      </c>
      <c r="BE213" s="444" t="str">
        <f>IF('Design Fee'!DA215&gt;0,"✔","-")</f>
        <v>-</v>
      </c>
      <c r="BF213" s="444" t="str">
        <f>IF('Design Fee'!DB215&gt;0,"✔","-")</f>
        <v>-</v>
      </c>
      <c r="BG213" s="444" t="str">
        <f>IF('Design Fee'!DC215&gt;0,"✔","-")</f>
        <v>-</v>
      </c>
      <c r="BH213" s="444" t="str">
        <f>IF('Design Fee'!DD215&gt;0,"✔","-")</f>
        <v>-</v>
      </c>
      <c r="BI213" s="476"/>
      <c r="BJ213" s="471"/>
      <c r="BK213" s="472"/>
      <c r="BL213" s="443" t="str">
        <f>IF('Design Fee'!EA215&gt;0,"✔","-")</f>
        <v>✔</v>
      </c>
      <c r="BM213" s="443" t="str">
        <f>IF('Design Fee'!EB215&gt;0,"✔","-")</f>
        <v>✔</v>
      </c>
      <c r="BN213" s="466" t="str">
        <f>IF('Design Fee'!EC215&gt;0,"✔","-")</f>
        <v>-</v>
      </c>
      <c r="BO213" s="466" t="str">
        <f>IF('Design Fee'!ED215&gt;0,"✔","-")</f>
        <v>✔</v>
      </c>
      <c r="BP213" s="466" t="str">
        <f>IF('Design Fee'!EE215&gt;0,"✔","-")</f>
        <v>✔</v>
      </c>
      <c r="BQ213" s="466" t="str">
        <f>IF('Design Fee'!EF215&gt;0,"✔","-")</f>
        <v>-</v>
      </c>
      <c r="BR213" s="466" t="str">
        <f>IF('Design Fee'!EG215&gt;0,"✔","-")</f>
        <v>-</v>
      </c>
      <c r="BS213" s="466" t="str">
        <f>IF('Design Fee'!EH215&gt;0,"✔","-")</f>
        <v>-</v>
      </c>
      <c r="BT213" s="468"/>
      <c r="BU213" s="444" t="str">
        <f>IF('Design Fee'!EJ215&gt;0,"✔","-")</f>
        <v>✔</v>
      </c>
      <c r="BV213" s="444" t="str">
        <f>IF('Design Fee'!EK215&gt;0,"✔","-")</f>
        <v>-</v>
      </c>
      <c r="BW213" s="444" t="str">
        <f>IF('Design Fee'!EL215&gt;0,"✔","-")</f>
        <v>-</v>
      </c>
      <c r="BX213" s="444" t="str">
        <f>IF('Design Fee'!EM215&gt;0,"✔","-")</f>
        <v>-</v>
      </c>
      <c r="BY213" s="444" t="str">
        <f>IF('Design Fee'!EN215&gt;0,"✔","-")</f>
        <v>✔</v>
      </c>
      <c r="BZ213" s="383"/>
    </row>
    <row r="214" spans="1:78" ht="12.75" outlineLevel="2">
      <c r="A214" s="383"/>
      <c r="B214" s="463" t="s">
        <v>186</v>
      </c>
      <c r="C214" s="464">
        <v>8</v>
      </c>
      <c r="D214" s="470" t="s">
        <v>198</v>
      </c>
      <c r="E214" s="383"/>
      <c r="F214" s="443">
        <f t="shared" si="638"/>
        <v>3</v>
      </c>
      <c r="G214" s="444">
        <f t="shared" si="639"/>
        <v>3</v>
      </c>
      <c r="H214" s="444">
        <f t="shared" si="639"/>
        <v>0</v>
      </c>
      <c r="I214" s="444">
        <f t="shared" si="640"/>
        <v>0</v>
      </c>
      <c r="J214" s="467"/>
      <c r="K214" s="441"/>
      <c r="L214" s="442"/>
      <c r="M214" s="443" t="str">
        <f>IF('Design Fee'!W216&gt;0,"✔","-")</f>
        <v>✔</v>
      </c>
      <c r="N214" s="443" t="str">
        <f>IF('Design Fee'!X216&gt;0,"✔","-")</f>
        <v>✔</v>
      </c>
      <c r="O214" s="444" t="str">
        <f>IF('Design Fee'!Y216&gt;0,"✔","-")</f>
        <v>-</v>
      </c>
      <c r="P214" s="444" t="str">
        <f>IF('Design Fee'!Z216&gt;0,"✔","-")</f>
        <v>✔</v>
      </c>
      <c r="Q214" s="444" t="str">
        <f>IF('Design Fee'!AA216&gt;0,"✔","-")</f>
        <v>✔</v>
      </c>
      <c r="R214" s="444" t="str">
        <f>IF('Design Fee'!AB216&gt;0,"✔","-")</f>
        <v>-</v>
      </c>
      <c r="S214" s="444" t="str">
        <f>IF('Design Fee'!AC216&gt;0,"✔","-")</f>
        <v>-</v>
      </c>
      <c r="T214" s="466" t="str">
        <f>IF('Design Fee'!AD216&gt;0,"✔","-")</f>
        <v>-</v>
      </c>
      <c r="U214" s="467"/>
      <c r="V214" s="444" t="str">
        <f>IF('Design Fee'!AF216&gt;0,"✔","-")</f>
        <v>✔</v>
      </c>
      <c r="W214" s="444" t="str">
        <f>IF('Design Fee'!AG216&gt;0,"✔","-")</f>
        <v>-</v>
      </c>
      <c r="X214" s="444" t="str">
        <f>IF('Design Fee'!AH216&gt;0,"✔","-")</f>
        <v>✔</v>
      </c>
      <c r="Y214" s="444" t="str">
        <f>IF('Design Fee'!AI216&gt;0,"✔","-")</f>
        <v>-</v>
      </c>
      <c r="Z214" s="444" t="str">
        <f>IF('Design Fee'!AJ216&gt;0,"✔","-")</f>
        <v>-</v>
      </c>
      <c r="AA214" s="467"/>
      <c r="AB214" s="441"/>
      <c r="AC214" s="442"/>
      <c r="AD214" s="443" t="str">
        <f>IF('Design Fee'!BG216&gt;0,"✔","-")</f>
        <v>-</v>
      </c>
      <c r="AE214" s="443" t="str">
        <f>IF('Design Fee'!BH216&gt;0,"✔","-")</f>
        <v>-</v>
      </c>
      <c r="AF214" s="444" t="str">
        <f>IF('Design Fee'!BI216&gt;0,"✔","-")</f>
        <v>-</v>
      </c>
      <c r="AG214" s="444" t="str">
        <f>IF('Design Fee'!BJ216&gt;0,"✔","-")</f>
        <v>-</v>
      </c>
      <c r="AH214" s="444" t="str">
        <f>IF('Design Fee'!BK216&gt;0,"✔","-")</f>
        <v>-</v>
      </c>
      <c r="AI214" s="444" t="str">
        <f>IF('Design Fee'!BL216&gt;0,"✔","-")</f>
        <v>-</v>
      </c>
      <c r="AJ214" s="444" t="str">
        <f>IF('Design Fee'!BM216&gt;0,"✔","-")</f>
        <v>-</v>
      </c>
      <c r="AK214" s="466" t="str">
        <f>IF('Design Fee'!BN216&gt;0,"✔","-")</f>
        <v>-</v>
      </c>
      <c r="AL214" s="445"/>
      <c r="AM214" s="444" t="str">
        <f>IF('Design Fee'!BP216&gt;0,"✔","-")</f>
        <v>-</v>
      </c>
      <c r="AN214" s="444" t="str">
        <f>IF('Design Fee'!BQ216&gt;0,"✔","-")</f>
        <v>-</v>
      </c>
      <c r="AO214" s="444" t="str">
        <f>IF('Design Fee'!BR216&gt;0,"✔","-")</f>
        <v>-</v>
      </c>
      <c r="AP214" s="444" t="str">
        <f>IF('Design Fee'!BS216&gt;0,"✔","-")</f>
        <v>-</v>
      </c>
      <c r="AQ214" s="444" t="str">
        <f>IF('Design Fee'!BT216&gt;0,"✔","-")</f>
        <v>-</v>
      </c>
      <c r="AR214" s="445"/>
      <c r="AS214" s="441"/>
      <c r="AT214" s="442"/>
      <c r="AU214" s="443" t="str">
        <f>IF('Design Fee'!CQ216&gt;0,"✔","-")</f>
        <v>✔</v>
      </c>
      <c r="AV214" s="443" t="str">
        <f>IF('Design Fee'!CR216&gt;0,"✔","-")</f>
        <v>✔</v>
      </c>
      <c r="AW214" s="444" t="str">
        <f>IF('Design Fee'!CS216&gt;0,"✔","-")</f>
        <v>-</v>
      </c>
      <c r="AX214" s="444" t="str">
        <f>IF('Design Fee'!CT216&gt;0,"✔","-")</f>
        <v>✔</v>
      </c>
      <c r="AY214" s="444" t="str">
        <f>IF('Design Fee'!CU216&gt;0,"✔","-")</f>
        <v>✔</v>
      </c>
      <c r="AZ214" s="444" t="str">
        <f>IF('Design Fee'!CV216&gt;0,"✔","-")</f>
        <v>-</v>
      </c>
      <c r="BA214" s="444" t="str">
        <f>IF('Design Fee'!CW216&gt;0,"✔","-")</f>
        <v>-</v>
      </c>
      <c r="BB214" s="466" t="str">
        <f>IF('Design Fee'!CX216&gt;0,"✔","-")</f>
        <v>-</v>
      </c>
      <c r="BC214" s="445"/>
      <c r="BD214" s="444" t="str">
        <f>IF('Design Fee'!CZ216&gt;0,"✔","-")</f>
        <v>✔</v>
      </c>
      <c r="BE214" s="444" t="str">
        <f>IF('Design Fee'!DA216&gt;0,"✔","-")</f>
        <v>-</v>
      </c>
      <c r="BF214" s="444" t="str">
        <f>IF('Design Fee'!DB216&gt;0,"✔","-")</f>
        <v>-</v>
      </c>
      <c r="BG214" s="444" t="str">
        <f>IF('Design Fee'!DC216&gt;0,"✔","-")</f>
        <v>-</v>
      </c>
      <c r="BH214" s="444" t="str">
        <f>IF('Design Fee'!DD216&gt;0,"✔","-")</f>
        <v>✔</v>
      </c>
      <c r="BI214" s="445"/>
      <c r="BJ214" s="441"/>
      <c r="BK214" s="442"/>
      <c r="BL214" s="443" t="str">
        <f>IF('Design Fee'!EA216&gt;0,"✔","-")</f>
        <v>✔</v>
      </c>
      <c r="BM214" s="443" t="str">
        <f>IF('Design Fee'!EB216&gt;0,"✔","-")</f>
        <v>✔</v>
      </c>
      <c r="BN214" s="444" t="str">
        <f>IF('Design Fee'!EC216&gt;0,"✔","-")</f>
        <v>-</v>
      </c>
      <c r="BO214" s="444" t="str">
        <f>IF('Design Fee'!ED216&gt;0,"✔","-")</f>
        <v>✔</v>
      </c>
      <c r="BP214" s="444" t="str">
        <f>IF('Design Fee'!EE216&gt;0,"✔","-")</f>
        <v>✔</v>
      </c>
      <c r="BQ214" s="444" t="str">
        <f>IF('Design Fee'!EF216&gt;0,"✔","-")</f>
        <v>-</v>
      </c>
      <c r="BR214" s="444" t="str">
        <f>IF('Design Fee'!EG216&gt;0,"✔","-")</f>
        <v>-</v>
      </c>
      <c r="BS214" s="466" t="str">
        <f>IF('Design Fee'!EH216&gt;0,"✔","-")</f>
        <v>-</v>
      </c>
      <c r="BT214" s="383"/>
      <c r="BU214" s="444" t="str">
        <f>IF('Design Fee'!EJ216&gt;0,"✔","-")</f>
        <v>✔</v>
      </c>
      <c r="BV214" s="444" t="str">
        <f>IF('Design Fee'!EK216&gt;0,"✔","-")</f>
        <v>-</v>
      </c>
      <c r="BW214" s="444" t="str">
        <f>IF('Design Fee'!EL216&gt;0,"✔","-")</f>
        <v>✔</v>
      </c>
      <c r="BX214" s="444" t="str">
        <f>IF('Design Fee'!EM216&gt;0,"✔","-")</f>
        <v>-</v>
      </c>
      <c r="BY214" s="444" t="str">
        <f>IF('Design Fee'!EN216&gt;0,"✔","-")</f>
        <v>-</v>
      </c>
      <c r="BZ214" s="383"/>
    </row>
    <row r="215" spans="1:78" ht="12.75" outlineLevel="2">
      <c r="A215" s="383"/>
      <c r="B215" s="463" t="s">
        <v>188</v>
      </c>
      <c r="C215" s="469">
        <v>9</v>
      </c>
      <c r="D215" s="470" t="s">
        <v>199</v>
      </c>
      <c r="E215" s="383"/>
      <c r="F215" s="443">
        <f t="shared" si="638"/>
        <v>3</v>
      </c>
      <c r="G215" s="444">
        <f t="shared" si="639"/>
        <v>2</v>
      </c>
      <c r="H215" s="444">
        <f t="shared" si="639"/>
        <v>0</v>
      </c>
      <c r="I215" s="444">
        <f t="shared" si="640"/>
        <v>1</v>
      </c>
      <c r="J215" s="467"/>
      <c r="K215" s="441"/>
      <c r="L215" s="442"/>
      <c r="M215" s="443" t="str">
        <f>IF('Design Fee'!W217&gt;0,"✔","-")</f>
        <v>✔</v>
      </c>
      <c r="N215" s="443" t="str">
        <f>IF('Design Fee'!X217&gt;0,"✔","-")</f>
        <v>-</v>
      </c>
      <c r="O215" s="444" t="str">
        <f>IF('Design Fee'!Y217&gt;0,"✔","-")</f>
        <v>-</v>
      </c>
      <c r="P215" s="444" t="str">
        <f>IF('Design Fee'!Z217&gt;0,"✔","-")</f>
        <v>✔</v>
      </c>
      <c r="Q215" s="444" t="str">
        <f>IF('Design Fee'!AA217&gt;0,"✔","-")</f>
        <v>✔</v>
      </c>
      <c r="R215" s="444" t="str">
        <f>IF('Design Fee'!AB217&gt;0,"✔","-")</f>
        <v>-</v>
      </c>
      <c r="S215" s="444" t="str">
        <f>IF('Design Fee'!AC217&gt;0,"✔","-")</f>
        <v>-</v>
      </c>
      <c r="T215" s="466" t="str">
        <f>IF('Design Fee'!AD217&gt;0,"✔","-")</f>
        <v>-</v>
      </c>
      <c r="U215" s="467"/>
      <c r="V215" s="444" t="str">
        <f>IF('Design Fee'!AF217&gt;0,"✔","-")</f>
        <v>-</v>
      </c>
      <c r="W215" s="444" t="str">
        <f>IF('Design Fee'!AG217&gt;0,"✔","-")</f>
        <v>-</v>
      </c>
      <c r="X215" s="444" t="str">
        <f>IF('Design Fee'!AH217&gt;0,"✔","-")</f>
        <v>-</v>
      </c>
      <c r="Y215" s="444" t="str">
        <f>IF('Design Fee'!AI217&gt;0,"✔","-")</f>
        <v>-</v>
      </c>
      <c r="Z215" s="444" t="str">
        <f>IF('Design Fee'!AJ217&gt;0,"✔","-")</f>
        <v>-</v>
      </c>
      <c r="AA215" s="467"/>
      <c r="AB215" s="441"/>
      <c r="AC215" s="442"/>
      <c r="AD215" s="443" t="str">
        <f>IF('Design Fee'!BG217&gt;0,"✔","-")</f>
        <v>-</v>
      </c>
      <c r="AE215" s="443" t="str">
        <f>IF('Design Fee'!BH217&gt;0,"✔","-")</f>
        <v>-</v>
      </c>
      <c r="AF215" s="444" t="str">
        <f>IF('Design Fee'!BI217&gt;0,"✔","-")</f>
        <v>-</v>
      </c>
      <c r="AG215" s="444" t="str">
        <f>IF('Design Fee'!BJ217&gt;0,"✔","-")</f>
        <v>-</v>
      </c>
      <c r="AH215" s="444" t="str">
        <f>IF('Design Fee'!BK217&gt;0,"✔","-")</f>
        <v>-</v>
      </c>
      <c r="AI215" s="444" t="str">
        <f>IF('Design Fee'!BL217&gt;0,"✔","-")</f>
        <v>-</v>
      </c>
      <c r="AJ215" s="444" t="str">
        <f>IF('Design Fee'!BM217&gt;0,"✔","-")</f>
        <v>-</v>
      </c>
      <c r="AK215" s="466" t="str">
        <f>IF('Design Fee'!BN217&gt;0,"✔","-")</f>
        <v>-</v>
      </c>
      <c r="AL215" s="445"/>
      <c r="AM215" s="444" t="str">
        <f>IF('Design Fee'!BP217&gt;0,"✔","-")</f>
        <v>-</v>
      </c>
      <c r="AN215" s="444" t="str">
        <f>IF('Design Fee'!BQ217&gt;0,"✔","-")</f>
        <v>-</v>
      </c>
      <c r="AO215" s="444" t="str">
        <f>IF('Design Fee'!BR217&gt;0,"✔","-")</f>
        <v>-</v>
      </c>
      <c r="AP215" s="444" t="str">
        <f>IF('Design Fee'!BS217&gt;0,"✔","-")</f>
        <v>-</v>
      </c>
      <c r="AQ215" s="444" t="str">
        <f>IF('Design Fee'!BT217&gt;0,"✔","-")</f>
        <v>-</v>
      </c>
      <c r="AR215" s="445"/>
      <c r="AS215" s="441"/>
      <c r="AT215" s="442"/>
      <c r="AU215" s="443" t="str">
        <f>IF('Design Fee'!CQ217&gt;0,"✔","-")</f>
        <v>✔</v>
      </c>
      <c r="AV215" s="443" t="str">
        <f>IF('Design Fee'!CR217&gt;0,"✔","-")</f>
        <v>✔</v>
      </c>
      <c r="AW215" s="444" t="str">
        <f>IF('Design Fee'!CS217&gt;0,"✔","-")</f>
        <v>-</v>
      </c>
      <c r="AX215" s="444" t="str">
        <f>IF('Design Fee'!CT217&gt;0,"✔","-")</f>
        <v>✔</v>
      </c>
      <c r="AY215" s="444" t="str">
        <f>IF('Design Fee'!CU217&gt;0,"✔","-")</f>
        <v>✔</v>
      </c>
      <c r="AZ215" s="444" t="str">
        <f>IF('Design Fee'!CV217&gt;0,"✔","-")</f>
        <v>-</v>
      </c>
      <c r="BA215" s="444" t="str">
        <f>IF('Design Fee'!CW217&gt;0,"✔","-")</f>
        <v>-</v>
      </c>
      <c r="BB215" s="466" t="str">
        <f>IF('Design Fee'!CX217&gt;0,"✔","-")</f>
        <v>-</v>
      </c>
      <c r="BC215" s="445"/>
      <c r="BD215" s="444" t="str">
        <f>IF('Design Fee'!CZ217&gt;0,"✔","-")</f>
        <v>✔</v>
      </c>
      <c r="BE215" s="444" t="str">
        <f>IF('Design Fee'!DA217&gt;0,"✔","-")</f>
        <v>-</v>
      </c>
      <c r="BF215" s="444" t="str">
        <f>IF('Design Fee'!DB217&gt;0,"✔","-")</f>
        <v>-</v>
      </c>
      <c r="BG215" s="444" t="str">
        <f>IF('Design Fee'!DC217&gt;0,"✔","-")</f>
        <v>-</v>
      </c>
      <c r="BH215" s="444" t="str">
        <f>IF('Design Fee'!DD217&gt;0,"✔","-")</f>
        <v>✔</v>
      </c>
      <c r="BI215" s="445"/>
      <c r="BJ215" s="441"/>
      <c r="BK215" s="442"/>
      <c r="BL215" s="443" t="str">
        <f>IF('Design Fee'!EA217&gt;0,"✔","-")</f>
        <v>✔</v>
      </c>
      <c r="BM215" s="443" t="str">
        <f>IF('Design Fee'!EB217&gt;0,"✔","-")</f>
        <v>✔</v>
      </c>
      <c r="BN215" s="444" t="str">
        <f>IF('Design Fee'!EC217&gt;0,"✔","-")</f>
        <v>-</v>
      </c>
      <c r="BO215" s="444" t="str">
        <f>IF('Design Fee'!ED217&gt;0,"✔","-")</f>
        <v>✔</v>
      </c>
      <c r="BP215" s="444" t="str">
        <f>IF('Design Fee'!EE217&gt;0,"✔","-")</f>
        <v>✔</v>
      </c>
      <c r="BQ215" s="444" t="str">
        <f>IF('Design Fee'!EF217&gt;0,"✔","-")</f>
        <v>-</v>
      </c>
      <c r="BR215" s="444" t="str">
        <f>IF('Design Fee'!EG217&gt;0,"✔","-")</f>
        <v>-</v>
      </c>
      <c r="BS215" s="466" t="str">
        <f>IF('Design Fee'!EH217&gt;0,"✔","-")</f>
        <v>-</v>
      </c>
      <c r="BT215" s="383"/>
      <c r="BU215" s="444" t="str">
        <f>IF('Design Fee'!EJ217&gt;0,"✔","-")</f>
        <v>✔</v>
      </c>
      <c r="BV215" s="444" t="str">
        <f>IF('Design Fee'!EK217&gt;0,"✔","-")</f>
        <v>-</v>
      </c>
      <c r="BW215" s="444" t="str">
        <f>IF('Design Fee'!EL217&gt;0,"✔","-")</f>
        <v>-</v>
      </c>
      <c r="BX215" s="444" t="str">
        <f>IF('Design Fee'!EM217&gt;0,"✔","-")</f>
        <v>-</v>
      </c>
      <c r="BY215" s="444" t="str">
        <f>IF('Design Fee'!EN217&gt;0,"✔","-")</f>
        <v>✔</v>
      </c>
      <c r="BZ215" s="383"/>
    </row>
    <row r="216" spans="1:78" ht="12.75" outlineLevel="2">
      <c r="A216" s="383"/>
      <c r="B216" s="463" t="s">
        <v>190</v>
      </c>
      <c r="C216" s="464">
        <v>10</v>
      </c>
      <c r="D216" s="465" t="s">
        <v>200</v>
      </c>
      <c r="E216" s="383"/>
      <c r="F216" s="443">
        <f t="shared" si="638"/>
        <v>3</v>
      </c>
      <c r="G216" s="444">
        <f t="shared" si="639"/>
        <v>3</v>
      </c>
      <c r="H216" s="444">
        <f t="shared" si="639"/>
        <v>0</v>
      </c>
      <c r="I216" s="444">
        <f t="shared" si="640"/>
        <v>0</v>
      </c>
      <c r="J216" s="467"/>
      <c r="K216" s="441"/>
      <c r="L216" s="442"/>
      <c r="M216" s="443" t="str">
        <f>IF('Design Fee'!W218&gt;0,"✔","-")</f>
        <v>✔</v>
      </c>
      <c r="N216" s="443" t="str">
        <f>IF('Design Fee'!X218&gt;0,"✔","-")</f>
        <v>✔</v>
      </c>
      <c r="O216" s="444" t="str">
        <f>IF('Design Fee'!Y218&gt;0,"✔","-")</f>
        <v>-</v>
      </c>
      <c r="P216" s="444" t="str">
        <f>IF('Design Fee'!Z218&gt;0,"✔","-")</f>
        <v>✔</v>
      </c>
      <c r="Q216" s="444" t="str">
        <f>IF('Design Fee'!AA218&gt;0,"✔","-")</f>
        <v>✔</v>
      </c>
      <c r="R216" s="444" t="str">
        <f>IF('Design Fee'!AB218&gt;0,"✔","-")</f>
        <v>-</v>
      </c>
      <c r="S216" s="444" t="str">
        <f>IF('Design Fee'!AC218&gt;0,"✔","-")</f>
        <v>-</v>
      </c>
      <c r="T216" s="466" t="str">
        <f>IF('Design Fee'!AD218&gt;0,"✔","-")</f>
        <v>-</v>
      </c>
      <c r="U216" s="467"/>
      <c r="V216" s="444" t="str">
        <f>IF('Design Fee'!AF218&gt;0,"✔","-")</f>
        <v>✔</v>
      </c>
      <c r="W216" s="444" t="str">
        <f>IF('Design Fee'!AG218&gt;0,"✔","-")</f>
        <v>-</v>
      </c>
      <c r="X216" s="444" t="str">
        <f>IF('Design Fee'!AH218&gt;0,"✔","-")</f>
        <v>✔</v>
      </c>
      <c r="Y216" s="444" t="str">
        <f>IF('Design Fee'!AI218&gt;0,"✔","-")</f>
        <v>-</v>
      </c>
      <c r="Z216" s="444" t="str">
        <f>IF('Design Fee'!AJ218&gt;0,"✔","-")</f>
        <v>-</v>
      </c>
      <c r="AA216" s="467"/>
      <c r="AB216" s="441"/>
      <c r="AC216" s="442"/>
      <c r="AD216" s="443" t="str">
        <f>IF('Design Fee'!BG218&gt;0,"✔","-")</f>
        <v>-</v>
      </c>
      <c r="AE216" s="443" t="str">
        <f>IF('Design Fee'!BH218&gt;0,"✔","-")</f>
        <v>-</v>
      </c>
      <c r="AF216" s="444" t="str">
        <f>IF('Design Fee'!BI218&gt;0,"✔","-")</f>
        <v>-</v>
      </c>
      <c r="AG216" s="444" t="str">
        <f>IF('Design Fee'!BJ218&gt;0,"✔","-")</f>
        <v>-</v>
      </c>
      <c r="AH216" s="444" t="str">
        <f>IF('Design Fee'!BK218&gt;0,"✔","-")</f>
        <v>-</v>
      </c>
      <c r="AI216" s="444" t="str">
        <f>IF('Design Fee'!BL218&gt;0,"✔","-")</f>
        <v>-</v>
      </c>
      <c r="AJ216" s="444" t="str">
        <f>IF('Design Fee'!BM218&gt;0,"✔","-")</f>
        <v>-</v>
      </c>
      <c r="AK216" s="466" t="str">
        <f>IF('Design Fee'!BN218&gt;0,"✔","-")</f>
        <v>-</v>
      </c>
      <c r="AL216" s="445"/>
      <c r="AM216" s="444" t="str">
        <f>IF('Design Fee'!BP218&gt;0,"✔","-")</f>
        <v>-</v>
      </c>
      <c r="AN216" s="444" t="str">
        <f>IF('Design Fee'!BQ218&gt;0,"✔","-")</f>
        <v>-</v>
      </c>
      <c r="AO216" s="444" t="str">
        <f>IF('Design Fee'!BR218&gt;0,"✔","-")</f>
        <v>-</v>
      </c>
      <c r="AP216" s="444" t="str">
        <f>IF('Design Fee'!BS218&gt;0,"✔","-")</f>
        <v>-</v>
      </c>
      <c r="AQ216" s="444" t="str">
        <f>IF('Design Fee'!BT218&gt;0,"✔","-")</f>
        <v>-</v>
      </c>
      <c r="AR216" s="445"/>
      <c r="AS216" s="441"/>
      <c r="AT216" s="442"/>
      <c r="AU216" s="443" t="str">
        <f>IF('Design Fee'!CQ218&gt;0,"✔","-")</f>
        <v>✔</v>
      </c>
      <c r="AV216" s="443" t="str">
        <f>IF('Design Fee'!CR218&gt;0,"✔","-")</f>
        <v>✔</v>
      </c>
      <c r="AW216" s="444" t="str">
        <f>IF('Design Fee'!CS218&gt;0,"✔","-")</f>
        <v>-</v>
      </c>
      <c r="AX216" s="444" t="str">
        <f>IF('Design Fee'!CT218&gt;0,"✔","-")</f>
        <v>✔</v>
      </c>
      <c r="AY216" s="444" t="str">
        <f>IF('Design Fee'!CU218&gt;0,"✔","-")</f>
        <v>✔</v>
      </c>
      <c r="AZ216" s="444" t="str">
        <f>IF('Design Fee'!CV218&gt;0,"✔","-")</f>
        <v>-</v>
      </c>
      <c r="BA216" s="444" t="str">
        <f>IF('Design Fee'!CW218&gt;0,"✔","-")</f>
        <v>-</v>
      </c>
      <c r="BB216" s="466" t="str">
        <f>IF('Design Fee'!CX218&gt;0,"✔","-")</f>
        <v>-</v>
      </c>
      <c r="BC216" s="445"/>
      <c r="BD216" s="444" t="str">
        <f>IF('Design Fee'!CZ218&gt;0,"✔","-")</f>
        <v>✔</v>
      </c>
      <c r="BE216" s="444" t="str">
        <f>IF('Design Fee'!DA218&gt;0,"✔","-")</f>
        <v>-</v>
      </c>
      <c r="BF216" s="444" t="str">
        <f>IF('Design Fee'!DB218&gt;0,"✔","-")</f>
        <v>-</v>
      </c>
      <c r="BG216" s="444" t="str">
        <f>IF('Design Fee'!DC218&gt;0,"✔","-")</f>
        <v>-</v>
      </c>
      <c r="BH216" s="444" t="str">
        <f>IF('Design Fee'!DD218&gt;0,"✔","-")</f>
        <v>✔</v>
      </c>
      <c r="BI216" s="445"/>
      <c r="BJ216" s="441"/>
      <c r="BK216" s="442"/>
      <c r="BL216" s="443" t="str">
        <f>IF('Design Fee'!EA218&gt;0,"✔","-")</f>
        <v>✔</v>
      </c>
      <c r="BM216" s="443" t="str">
        <f>IF('Design Fee'!EB218&gt;0,"✔","-")</f>
        <v>✔</v>
      </c>
      <c r="BN216" s="444" t="str">
        <f>IF('Design Fee'!EC218&gt;0,"✔","-")</f>
        <v>-</v>
      </c>
      <c r="BO216" s="444" t="str">
        <f>IF('Design Fee'!ED218&gt;0,"✔","-")</f>
        <v>✔</v>
      </c>
      <c r="BP216" s="444" t="str">
        <f>IF('Design Fee'!EE218&gt;0,"✔","-")</f>
        <v>✔</v>
      </c>
      <c r="BQ216" s="444" t="str">
        <f>IF('Design Fee'!EF218&gt;0,"✔","-")</f>
        <v>-</v>
      </c>
      <c r="BR216" s="444" t="str">
        <f>IF('Design Fee'!EG218&gt;0,"✔","-")</f>
        <v>-</v>
      </c>
      <c r="BS216" s="466" t="str">
        <f>IF('Design Fee'!EH218&gt;0,"✔","-")</f>
        <v>-</v>
      </c>
      <c r="BT216" s="383"/>
      <c r="BU216" s="444" t="str">
        <f>IF('Design Fee'!EJ218&gt;0,"✔","-")</f>
        <v>✔</v>
      </c>
      <c r="BV216" s="444" t="str">
        <f>IF('Design Fee'!EK218&gt;0,"✔","-")</f>
        <v>-</v>
      </c>
      <c r="BW216" s="444" t="str">
        <f>IF('Design Fee'!EL218&gt;0,"✔","-")</f>
        <v>-</v>
      </c>
      <c r="BX216" s="444" t="str">
        <f>IF('Design Fee'!EM218&gt;0,"✔","-")</f>
        <v>-</v>
      </c>
      <c r="BY216" s="444" t="str">
        <f>IF('Design Fee'!EN218&gt;0,"✔","-")</f>
        <v>✔</v>
      </c>
      <c r="BZ216" s="383"/>
    </row>
    <row r="217" spans="1:78" ht="3" customHeight="1" outlineLevel="1">
      <c r="A217" s="383"/>
      <c r="B217" s="384"/>
      <c r="C217" s="488"/>
      <c r="D217" s="465"/>
      <c r="E217" s="383"/>
      <c r="F217" s="408"/>
      <c r="G217" s="421"/>
      <c r="H217" s="421"/>
      <c r="I217" s="421"/>
      <c r="J217" s="467"/>
      <c r="K217" s="441"/>
      <c r="L217" s="442"/>
      <c r="M217" s="443"/>
      <c r="N217" s="443"/>
      <c r="O217" s="482"/>
      <c r="P217" s="482"/>
      <c r="Q217" s="482"/>
      <c r="R217" s="482"/>
      <c r="S217" s="482"/>
      <c r="T217" s="482"/>
      <c r="U217" s="467"/>
      <c r="V217" s="482"/>
      <c r="W217" s="482"/>
      <c r="X217" s="482"/>
      <c r="Y217" s="482"/>
      <c r="Z217" s="482"/>
      <c r="AA217" s="467"/>
      <c r="AB217" s="441"/>
      <c r="AC217" s="442"/>
      <c r="AD217" s="443"/>
      <c r="AE217" s="443"/>
      <c r="AF217" s="421"/>
      <c r="AG217" s="421"/>
      <c r="AH217" s="421"/>
      <c r="AI217" s="421"/>
      <c r="AJ217" s="421"/>
      <c r="AK217" s="421"/>
      <c r="AL217" s="421"/>
      <c r="AM217" s="421"/>
      <c r="AN217" s="421"/>
      <c r="AO217" s="421"/>
      <c r="AP217" s="421"/>
      <c r="AQ217" s="421"/>
      <c r="AR217" s="421"/>
      <c r="AS217" s="441"/>
      <c r="AT217" s="421"/>
      <c r="AU217" s="443"/>
      <c r="AV217" s="443"/>
      <c r="AW217" s="421"/>
      <c r="AX217" s="421"/>
      <c r="AY217" s="421"/>
      <c r="AZ217" s="421"/>
      <c r="BA217" s="421"/>
      <c r="BB217" s="421"/>
      <c r="BC217" s="421"/>
      <c r="BD217" s="421"/>
      <c r="BE217" s="421"/>
      <c r="BF217" s="421"/>
      <c r="BG217" s="421"/>
      <c r="BH217" s="421"/>
      <c r="BI217" s="421"/>
      <c r="BJ217" s="441"/>
      <c r="BK217" s="421"/>
      <c r="BL217" s="443"/>
      <c r="BM217" s="443"/>
      <c r="BN217" s="421"/>
      <c r="BO217" s="421"/>
      <c r="BP217" s="421"/>
      <c r="BQ217" s="421"/>
      <c r="BR217" s="421"/>
      <c r="BS217" s="421"/>
      <c r="BT217" s="383"/>
      <c r="BU217" s="421"/>
      <c r="BV217" s="421"/>
      <c r="BW217" s="421"/>
      <c r="BX217" s="421"/>
      <c r="BY217" s="421"/>
      <c r="BZ217" s="383"/>
    </row>
    <row r="218" spans="1:78" ht="12.75" outlineLevel="1">
      <c r="A218" s="383"/>
      <c r="B218" s="432">
        <v>16</v>
      </c>
      <c r="C218" s="459">
        <v>15</v>
      </c>
      <c r="D218" s="460" t="s">
        <v>201</v>
      </c>
      <c r="E218" s="434"/>
      <c r="F218" s="461">
        <f>M218+AD218+AU218+BL218</f>
        <v>10</v>
      </c>
      <c r="G218" s="461">
        <f t="shared" ref="G218:I218" si="641">N218+AE218+AV218+BM218</f>
        <v>3</v>
      </c>
      <c r="H218" s="461">
        <f t="shared" si="641"/>
        <v>0</v>
      </c>
      <c r="I218" s="461">
        <f t="shared" si="641"/>
        <v>10</v>
      </c>
      <c r="J218" s="438">
        <f t="shared" ref="J218" si="642">COUNT(J219:J223)</f>
        <v>0</v>
      </c>
      <c r="K218" s="435"/>
      <c r="L218" s="435"/>
      <c r="M218" s="461">
        <f t="shared" ref="M218:AA218" si="643">COUNTIF(M219:M222,"✔")</f>
        <v>4</v>
      </c>
      <c r="N218" s="461">
        <f t="shared" si="643"/>
        <v>1</v>
      </c>
      <c r="O218" s="461">
        <f t="shared" si="643"/>
        <v>0</v>
      </c>
      <c r="P218" s="461">
        <f t="shared" si="643"/>
        <v>4</v>
      </c>
      <c r="Q218" s="461">
        <f t="shared" si="643"/>
        <v>4</v>
      </c>
      <c r="R218" s="461">
        <f t="shared" si="643"/>
        <v>0</v>
      </c>
      <c r="S218" s="461">
        <f t="shared" si="643"/>
        <v>0</v>
      </c>
      <c r="T218" s="461">
        <f t="shared" si="643"/>
        <v>0</v>
      </c>
      <c r="U218" s="461">
        <f t="shared" si="643"/>
        <v>0</v>
      </c>
      <c r="V218" s="461">
        <f t="shared" si="643"/>
        <v>1</v>
      </c>
      <c r="W218" s="461">
        <f t="shared" si="643"/>
        <v>0</v>
      </c>
      <c r="X218" s="461">
        <f t="shared" si="643"/>
        <v>1</v>
      </c>
      <c r="Y218" s="461">
        <f t="shared" si="643"/>
        <v>0</v>
      </c>
      <c r="Z218" s="461">
        <f t="shared" si="643"/>
        <v>0</v>
      </c>
      <c r="AA218" s="461">
        <f t="shared" si="643"/>
        <v>0</v>
      </c>
      <c r="AB218" s="435"/>
      <c r="AC218" s="461">
        <f t="shared" ref="AC218:AR218" si="644">COUNTIF(AC219:AC222,"✔")</f>
        <v>0</v>
      </c>
      <c r="AD218" s="461">
        <f t="shared" si="644"/>
        <v>2</v>
      </c>
      <c r="AE218" s="461">
        <f t="shared" si="644"/>
        <v>0</v>
      </c>
      <c r="AF218" s="461">
        <f t="shared" si="644"/>
        <v>0</v>
      </c>
      <c r="AG218" s="461">
        <f t="shared" si="644"/>
        <v>2</v>
      </c>
      <c r="AH218" s="461">
        <f t="shared" si="644"/>
        <v>2</v>
      </c>
      <c r="AI218" s="461">
        <f t="shared" si="644"/>
        <v>0</v>
      </c>
      <c r="AJ218" s="461">
        <f t="shared" si="644"/>
        <v>0</v>
      </c>
      <c r="AK218" s="461">
        <f t="shared" si="644"/>
        <v>0</v>
      </c>
      <c r="AL218" s="461">
        <f t="shared" si="644"/>
        <v>0</v>
      </c>
      <c r="AM218" s="461">
        <f t="shared" si="644"/>
        <v>0</v>
      </c>
      <c r="AN218" s="461">
        <f t="shared" si="644"/>
        <v>0</v>
      </c>
      <c r="AO218" s="461">
        <f t="shared" si="644"/>
        <v>0</v>
      </c>
      <c r="AP218" s="461">
        <f t="shared" si="644"/>
        <v>0</v>
      </c>
      <c r="AQ218" s="461">
        <f t="shared" si="644"/>
        <v>0</v>
      </c>
      <c r="AR218" s="461">
        <f t="shared" si="644"/>
        <v>0</v>
      </c>
      <c r="AS218" s="435"/>
      <c r="AT218" s="461">
        <f t="shared" ref="AT218:BI218" si="645">COUNTIF(AT219:AT222,"✔")</f>
        <v>0</v>
      </c>
      <c r="AU218" s="461">
        <f t="shared" si="645"/>
        <v>2</v>
      </c>
      <c r="AV218" s="461">
        <f t="shared" si="645"/>
        <v>0</v>
      </c>
      <c r="AW218" s="461">
        <f t="shared" si="645"/>
        <v>0</v>
      </c>
      <c r="AX218" s="461">
        <f t="shared" si="645"/>
        <v>2</v>
      </c>
      <c r="AY218" s="461">
        <f t="shared" si="645"/>
        <v>1</v>
      </c>
      <c r="AZ218" s="461">
        <f t="shared" si="645"/>
        <v>0</v>
      </c>
      <c r="BA218" s="461">
        <f t="shared" si="645"/>
        <v>0</v>
      </c>
      <c r="BB218" s="461">
        <f t="shared" si="645"/>
        <v>1</v>
      </c>
      <c r="BC218" s="461">
        <f t="shared" si="645"/>
        <v>0</v>
      </c>
      <c r="BD218" s="461">
        <f t="shared" si="645"/>
        <v>0</v>
      </c>
      <c r="BE218" s="461">
        <f t="shared" si="645"/>
        <v>0</v>
      </c>
      <c r="BF218" s="461">
        <f t="shared" si="645"/>
        <v>0</v>
      </c>
      <c r="BG218" s="461">
        <f t="shared" si="645"/>
        <v>0</v>
      </c>
      <c r="BH218" s="461">
        <f t="shared" si="645"/>
        <v>0</v>
      </c>
      <c r="BI218" s="461">
        <f t="shared" si="645"/>
        <v>0</v>
      </c>
      <c r="BJ218" s="435"/>
      <c r="BK218" s="461">
        <f t="shared" ref="BK218:BS218" si="646">COUNTIF(BK219:BK222,"✔")</f>
        <v>0</v>
      </c>
      <c r="BL218" s="461">
        <f t="shared" si="646"/>
        <v>2</v>
      </c>
      <c r="BM218" s="461">
        <f t="shared" si="646"/>
        <v>2</v>
      </c>
      <c r="BN218" s="461">
        <f t="shared" si="646"/>
        <v>0</v>
      </c>
      <c r="BO218" s="461">
        <f t="shared" si="646"/>
        <v>2</v>
      </c>
      <c r="BP218" s="461">
        <f t="shared" si="646"/>
        <v>2</v>
      </c>
      <c r="BQ218" s="461">
        <f t="shared" si="646"/>
        <v>0</v>
      </c>
      <c r="BR218" s="461">
        <f t="shared" si="646"/>
        <v>0</v>
      </c>
      <c r="BS218" s="461">
        <f t="shared" si="646"/>
        <v>0</v>
      </c>
      <c r="BT218" s="383"/>
      <c r="BU218" s="461">
        <f>COUNTIF(BU219:BU222,"✔")</f>
        <v>2</v>
      </c>
      <c r="BV218" s="461">
        <f>COUNTIF(BV219:BV222,"✔")</f>
        <v>0</v>
      </c>
      <c r="BW218" s="461">
        <f>COUNTIF(BW219:BW222,"✔")</f>
        <v>2</v>
      </c>
      <c r="BX218" s="461">
        <f>COUNTIF(BX219:BX222,"✔")</f>
        <v>0</v>
      </c>
      <c r="BY218" s="461">
        <f>COUNTIF(BY219:BY222,"✔")</f>
        <v>0</v>
      </c>
      <c r="BZ218" s="383"/>
    </row>
    <row r="219" spans="1:78" ht="12.75" outlineLevel="2">
      <c r="A219" s="383"/>
      <c r="B219" s="463" t="s">
        <v>202</v>
      </c>
      <c r="C219" s="464">
        <v>1</v>
      </c>
      <c r="D219" s="465" t="s">
        <v>27</v>
      </c>
      <c r="E219" s="383"/>
      <c r="F219" s="443">
        <f t="shared" ref="F219:H222" si="647">COUNTIF(M219,"✔")+COUNTIF(AD219,"✔")+COUNTIF(BL219,"✔")+COUNTIF(AU219,"✔")</f>
        <v>3</v>
      </c>
      <c r="G219" s="444">
        <f t="shared" si="647"/>
        <v>2</v>
      </c>
      <c r="H219" s="444">
        <f t="shared" si="647"/>
        <v>0</v>
      </c>
      <c r="I219" s="444">
        <f t="shared" ref="I219:I222" si="648">F219-G219</f>
        <v>1</v>
      </c>
      <c r="J219" s="467"/>
      <c r="K219" s="441"/>
      <c r="L219" s="442"/>
      <c r="M219" s="443" t="str">
        <f>IF('Design Fee'!W221&gt;0,"✔","-")</f>
        <v>✔</v>
      </c>
      <c r="N219" s="443" t="str">
        <f>IF('Design Fee'!X221&gt;0,"✔","-")</f>
        <v>✔</v>
      </c>
      <c r="O219" s="474" t="str">
        <f>IF('Design Fee'!Y221&gt;0,"✔","-")</f>
        <v>-</v>
      </c>
      <c r="P219" s="474" t="str">
        <f>IF('Design Fee'!Z221&gt;0,"✔","-")</f>
        <v>✔</v>
      </c>
      <c r="Q219" s="444" t="str">
        <f>IF('Design Fee'!AA221&gt;0,"✔","-")</f>
        <v>✔</v>
      </c>
      <c r="R219" s="444" t="str">
        <f>IF('Design Fee'!AB221&gt;0,"✔","-")</f>
        <v>-</v>
      </c>
      <c r="S219" s="444" t="str">
        <f>IF('Design Fee'!AC221&gt;0,"✔","-")</f>
        <v>-</v>
      </c>
      <c r="T219" s="466" t="str">
        <f>IF('Design Fee'!AD221&gt;0,"✔","-")</f>
        <v>-</v>
      </c>
      <c r="U219" s="467"/>
      <c r="V219" s="444" t="str">
        <f>IF('Design Fee'!AF221&gt;0,"✔","-")</f>
        <v>✔</v>
      </c>
      <c r="W219" s="444" t="str">
        <f>IF('Design Fee'!AG221&gt;0,"✔","-")</f>
        <v>-</v>
      </c>
      <c r="X219" s="444" t="str">
        <f>IF('Design Fee'!AH221&gt;0,"✔","-")</f>
        <v>✔</v>
      </c>
      <c r="Y219" s="444" t="str">
        <f>IF('Design Fee'!AI221&gt;0,"✔","-")</f>
        <v>-</v>
      </c>
      <c r="Z219" s="444" t="str">
        <f>IF('Design Fee'!AJ221&gt;0,"✔","-")</f>
        <v>-</v>
      </c>
      <c r="AA219" s="467"/>
      <c r="AB219" s="441"/>
      <c r="AC219" s="442"/>
      <c r="AD219" s="443" t="str">
        <f>IF('Design Fee'!BG221&gt;0,"✔","-")</f>
        <v>-</v>
      </c>
      <c r="AE219" s="443" t="str">
        <f>IF('Design Fee'!BH221&gt;0,"✔","-")</f>
        <v>-</v>
      </c>
      <c r="AF219" s="474" t="str">
        <f>IF('Design Fee'!BI221&gt;0,"✔","-")</f>
        <v>-</v>
      </c>
      <c r="AG219" s="474" t="str">
        <f>IF('Design Fee'!BJ221&gt;0,"✔","-")</f>
        <v>-</v>
      </c>
      <c r="AH219" s="444" t="str">
        <f>IF('Design Fee'!BK221&gt;0,"✔","-")</f>
        <v>-</v>
      </c>
      <c r="AI219" s="444" t="str">
        <f>IF('Design Fee'!BL221&gt;0,"✔","-")</f>
        <v>-</v>
      </c>
      <c r="AJ219" s="444" t="str">
        <f>IF('Design Fee'!BM221&gt;0,"✔","-")</f>
        <v>-</v>
      </c>
      <c r="AK219" s="466" t="str">
        <f>IF('Design Fee'!BN221&gt;0,"✔","-")</f>
        <v>-</v>
      </c>
      <c r="AL219" s="445"/>
      <c r="AM219" s="444" t="str">
        <f>IF('Design Fee'!BP221&gt;0,"✔","-")</f>
        <v>-</v>
      </c>
      <c r="AN219" s="444" t="str">
        <f>IF('Design Fee'!BQ221&gt;0,"✔","-")</f>
        <v>-</v>
      </c>
      <c r="AO219" s="444" t="str">
        <f>IF('Design Fee'!BR221&gt;0,"✔","-")</f>
        <v>-</v>
      </c>
      <c r="AP219" s="444" t="str">
        <f>IF('Design Fee'!BS221&gt;0,"✔","-")</f>
        <v>-</v>
      </c>
      <c r="AQ219" s="444" t="str">
        <f>IF('Design Fee'!BT221&gt;0,"✔","-")</f>
        <v>-</v>
      </c>
      <c r="AR219" s="445"/>
      <c r="AS219" s="441"/>
      <c r="AT219" s="442"/>
      <c r="AU219" s="443" t="str">
        <f>IF('Design Fee'!CQ221&gt;0,"✔","-")</f>
        <v>✔</v>
      </c>
      <c r="AV219" s="443" t="str">
        <f>IF('Design Fee'!CR221&gt;0,"✔","-")</f>
        <v>-</v>
      </c>
      <c r="AW219" s="474" t="str">
        <f>IF('Design Fee'!CS221&gt;0,"✔","-")</f>
        <v>-</v>
      </c>
      <c r="AX219" s="474" t="str">
        <f>IF('Design Fee'!CT221&gt;0,"✔","-")</f>
        <v>✔</v>
      </c>
      <c r="AY219" s="444" t="str">
        <f>IF('Design Fee'!CU221&gt;0,"✔","-")</f>
        <v>✔</v>
      </c>
      <c r="AZ219" s="444" t="str">
        <f>IF('Design Fee'!CV221&gt;0,"✔","-")</f>
        <v>-</v>
      </c>
      <c r="BA219" s="444" t="str">
        <f>IF('Design Fee'!CW221&gt;0,"✔","-")</f>
        <v>-</v>
      </c>
      <c r="BB219" s="466" t="str">
        <f>IF('Design Fee'!CX221&gt;0,"✔","-")</f>
        <v>-</v>
      </c>
      <c r="BC219" s="445"/>
      <c r="BD219" s="444" t="str">
        <f>IF('Design Fee'!CZ221&gt;0,"✔","-")</f>
        <v>-</v>
      </c>
      <c r="BE219" s="444" t="str">
        <f>IF('Design Fee'!DA221&gt;0,"✔","-")</f>
        <v>-</v>
      </c>
      <c r="BF219" s="444" t="str">
        <f>IF('Design Fee'!DB221&gt;0,"✔","-")</f>
        <v>-</v>
      </c>
      <c r="BG219" s="444" t="str">
        <f>IF('Design Fee'!DC221&gt;0,"✔","-")</f>
        <v>-</v>
      </c>
      <c r="BH219" s="444" t="str">
        <f>IF('Design Fee'!DD221&gt;0,"✔","-")</f>
        <v>-</v>
      </c>
      <c r="BI219" s="445"/>
      <c r="BJ219" s="441"/>
      <c r="BK219" s="442"/>
      <c r="BL219" s="443" t="str">
        <f>IF('Design Fee'!EA221&gt;0,"✔","-")</f>
        <v>✔</v>
      </c>
      <c r="BM219" s="443" t="str">
        <f>IF('Design Fee'!EB221&gt;0,"✔","-")</f>
        <v>✔</v>
      </c>
      <c r="BN219" s="474" t="str">
        <f>IF('Design Fee'!EC221&gt;0,"✔","-")</f>
        <v>-</v>
      </c>
      <c r="BO219" s="474" t="str">
        <f>IF('Design Fee'!ED221&gt;0,"✔","-")</f>
        <v>✔</v>
      </c>
      <c r="BP219" s="444" t="str">
        <f>IF('Design Fee'!EE221&gt;0,"✔","-")</f>
        <v>✔</v>
      </c>
      <c r="BQ219" s="444" t="str">
        <f>IF('Design Fee'!EF221&gt;0,"✔","-")</f>
        <v>-</v>
      </c>
      <c r="BR219" s="444" t="str">
        <f>IF('Design Fee'!EG221&gt;0,"✔","-")</f>
        <v>-</v>
      </c>
      <c r="BS219" s="466" t="str">
        <f>IF('Design Fee'!EH221&gt;0,"✔","-")</f>
        <v>-</v>
      </c>
      <c r="BT219" s="383"/>
      <c r="BU219" s="444" t="str">
        <f>IF('Design Fee'!EJ221&gt;0,"✔","-")</f>
        <v>✔</v>
      </c>
      <c r="BV219" s="444" t="str">
        <f>IF('Design Fee'!EK221&gt;0,"✔","-")</f>
        <v>-</v>
      </c>
      <c r="BW219" s="444" t="str">
        <f>IF('Design Fee'!EL221&gt;0,"✔","-")</f>
        <v>✔</v>
      </c>
      <c r="BX219" s="444" t="str">
        <f>IF('Design Fee'!EM221&gt;0,"✔","-")</f>
        <v>-</v>
      </c>
      <c r="BY219" s="444" t="str">
        <f>IF('Design Fee'!EN221&gt;0,"✔","-")</f>
        <v>-</v>
      </c>
      <c r="BZ219" s="383"/>
    </row>
    <row r="220" spans="1:78" ht="12.75" outlineLevel="2">
      <c r="A220" s="383"/>
      <c r="B220" s="463" t="s">
        <v>203</v>
      </c>
      <c r="C220" s="464">
        <v>2</v>
      </c>
      <c r="D220" s="465" t="s">
        <v>204</v>
      </c>
      <c r="E220" s="383"/>
      <c r="F220" s="443">
        <f t="shared" si="647"/>
        <v>2</v>
      </c>
      <c r="G220" s="444">
        <f t="shared" si="647"/>
        <v>0</v>
      </c>
      <c r="H220" s="444">
        <f t="shared" si="647"/>
        <v>0</v>
      </c>
      <c r="I220" s="444">
        <f t="shared" si="648"/>
        <v>2</v>
      </c>
      <c r="J220" s="467"/>
      <c r="K220" s="441"/>
      <c r="L220" s="442"/>
      <c r="M220" s="443" t="str">
        <f>IF('Design Fee'!W222&gt;0,"✔","-")</f>
        <v>✔</v>
      </c>
      <c r="N220" s="443" t="str">
        <f>IF('Design Fee'!X222&gt;0,"✔","-")</f>
        <v>-</v>
      </c>
      <c r="O220" s="474" t="str">
        <f>IF('Design Fee'!Y222&gt;0,"✔","-")</f>
        <v>-</v>
      </c>
      <c r="P220" s="474" t="str">
        <f>IF('Design Fee'!Z222&gt;0,"✔","-")</f>
        <v>✔</v>
      </c>
      <c r="Q220" s="444" t="str">
        <f>IF('Design Fee'!AA222&gt;0,"✔","-")</f>
        <v>✔</v>
      </c>
      <c r="R220" s="444" t="str">
        <f>IF('Design Fee'!AB222&gt;0,"✔","-")</f>
        <v>-</v>
      </c>
      <c r="S220" s="444" t="str">
        <f>IF('Design Fee'!AC222&gt;0,"✔","-")</f>
        <v>-</v>
      </c>
      <c r="T220" s="466" t="str">
        <f>IF('Design Fee'!AD222&gt;0,"✔","-")</f>
        <v>-</v>
      </c>
      <c r="U220" s="467"/>
      <c r="V220" s="444" t="str">
        <f>IF('Design Fee'!AF222&gt;0,"✔","-")</f>
        <v>-</v>
      </c>
      <c r="W220" s="444" t="str">
        <f>IF('Design Fee'!AG222&gt;0,"✔","-")</f>
        <v>-</v>
      </c>
      <c r="X220" s="444" t="str">
        <f>IF('Design Fee'!AH222&gt;0,"✔","-")</f>
        <v>-</v>
      </c>
      <c r="Y220" s="444" t="str">
        <f>IF('Design Fee'!AI222&gt;0,"✔","-")</f>
        <v>-</v>
      </c>
      <c r="Z220" s="444" t="str">
        <f>IF('Design Fee'!AJ222&gt;0,"✔","-")</f>
        <v>-</v>
      </c>
      <c r="AA220" s="467"/>
      <c r="AB220" s="441"/>
      <c r="AC220" s="442"/>
      <c r="AD220" s="443" t="str">
        <f>IF('Design Fee'!BG222&gt;0,"✔","-")</f>
        <v>✔</v>
      </c>
      <c r="AE220" s="443" t="str">
        <f>IF('Design Fee'!BH222&gt;0,"✔","-")</f>
        <v>-</v>
      </c>
      <c r="AF220" s="474" t="str">
        <f>IF('Design Fee'!BI222&gt;0,"✔","-")</f>
        <v>-</v>
      </c>
      <c r="AG220" s="474" t="str">
        <f>IF('Design Fee'!BJ222&gt;0,"✔","-")</f>
        <v>✔</v>
      </c>
      <c r="AH220" s="444" t="str">
        <f>IF('Design Fee'!BK222&gt;0,"✔","-")</f>
        <v>✔</v>
      </c>
      <c r="AI220" s="444" t="str">
        <f>IF('Design Fee'!BL222&gt;0,"✔","-")</f>
        <v>-</v>
      </c>
      <c r="AJ220" s="444" t="str">
        <f>IF('Design Fee'!BM222&gt;0,"✔","-")</f>
        <v>-</v>
      </c>
      <c r="AK220" s="466" t="str">
        <f>IF('Design Fee'!BN222&gt;0,"✔","-")</f>
        <v>-</v>
      </c>
      <c r="AL220" s="445"/>
      <c r="AM220" s="444" t="str">
        <f>IF('Design Fee'!BP222&gt;0,"✔","-")</f>
        <v>-</v>
      </c>
      <c r="AN220" s="444" t="str">
        <f>IF('Design Fee'!BQ222&gt;0,"✔","-")</f>
        <v>-</v>
      </c>
      <c r="AO220" s="444" t="str">
        <f>IF('Design Fee'!BR222&gt;0,"✔","-")</f>
        <v>-</v>
      </c>
      <c r="AP220" s="444" t="str">
        <f>IF('Design Fee'!BS222&gt;0,"✔","-")</f>
        <v>-</v>
      </c>
      <c r="AQ220" s="444" t="str">
        <f>IF('Design Fee'!BT222&gt;0,"✔","-")</f>
        <v>-</v>
      </c>
      <c r="AR220" s="445"/>
      <c r="AS220" s="441"/>
      <c r="AT220" s="442"/>
      <c r="AU220" s="443" t="str">
        <f>IF('Design Fee'!CQ222&gt;0,"✔","-")</f>
        <v>-</v>
      </c>
      <c r="AV220" s="443" t="str">
        <f>IF('Design Fee'!CR222&gt;0,"✔","-")</f>
        <v>-</v>
      </c>
      <c r="AW220" s="474" t="str">
        <f>IF('Design Fee'!CS222&gt;0,"✔","-")</f>
        <v>-</v>
      </c>
      <c r="AX220" s="474" t="str">
        <f>IF('Design Fee'!CT222&gt;0,"✔","-")</f>
        <v>-</v>
      </c>
      <c r="AY220" s="444" t="str">
        <f>IF('Design Fee'!CU222&gt;0,"✔","-")</f>
        <v>-</v>
      </c>
      <c r="AZ220" s="444" t="str">
        <f>IF('Design Fee'!CV222&gt;0,"✔","-")</f>
        <v>-</v>
      </c>
      <c r="BA220" s="444" t="str">
        <f>IF('Design Fee'!CW222&gt;0,"✔","-")</f>
        <v>-</v>
      </c>
      <c r="BB220" s="466" t="str">
        <f>IF('Design Fee'!CX222&gt;0,"✔","-")</f>
        <v>-</v>
      </c>
      <c r="BC220" s="445"/>
      <c r="BD220" s="444" t="str">
        <f>IF('Design Fee'!CZ222&gt;0,"✔","-")</f>
        <v>-</v>
      </c>
      <c r="BE220" s="444" t="str">
        <f>IF('Design Fee'!DA222&gt;0,"✔","-")</f>
        <v>-</v>
      </c>
      <c r="BF220" s="444" t="str">
        <f>IF('Design Fee'!DB222&gt;0,"✔","-")</f>
        <v>-</v>
      </c>
      <c r="BG220" s="444" t="str">
        <f>IF('Design Fee'!DC222&gt;0,"✔","-")</f>
        <v>-</v>
      </c>
      <c r="BH220" s="444" t="str">
        <f>IF('Design Fee'!DD222&gt;0,"✔","-")</f>
        <v>-</v>
      </c>
      <c r="BI220" s="445"/>
      <c r="BJ220" s="441"/>
      <c r="BK220" s="442"/>
      <c r="BL220" s="443" t="str">
        <f>IF('Design Fee'!EA222&gt;0,"✔","-")</f>
        <v>-</v>
      </c>
      <c r="BM220" s="443" t="str">
        <f>IF('Design Fee'!EB222&gt;0,"✔","-")</f>
        <v>-</v>
      </c>
      <c r="BN220" s="474" t="str">
        <f>IF('Design Fee'!EC222&gt;0,"✔","-")</f>
        <v>-</v>
      </c>
      <c r="BO220" s="474" t="str">
        <f>IF('Design Fee'!ED222&gt;0,"✔","-")</f>
        <v>-</v>
      </c>
      <c r="BP220" s="444" t="str">
        <f>IF('Design Fee'!EE222&gt;0,"✔","-")</f>
        <v>-</v>
      </c>
      <c r="BQ220" s="444" t="str">
        <f>IF('Design Fee'!EF222&gt;0,"✔","-")</f>
        <v>-</v>
      </c>
      <c r="BR220" s="444" t="str">
        <f>IF('Design Fee'!EG222&gt;0,"✔","-")</f>
        <v>-</v>
      </c>
      <c r="BS220" s="466" t="str">
        <f>IF('Design Fee'!EH222&gt;0,"✔","-")</f>
        <v>-</v>
      </c>
      <c r="BT220" s="383"/>
      <c r="BU220" s="444" t="str">
        <f>IF('Design Fee'!EJ222&gt;0,"✔","-")</f>
        <v>-</v>
      </c>
      <c r="BV220" s="444" t="str">
        <f>IF('Design Fee'!EK222&gt;0,"✔","-")</f>
        <v>-</v>
      </c>
      <c r="BW220" s="444" t="str">
        <f>IF('Design Fee'!EL222&gt;0,"✔","-")</f>
        <v>-</v>
      </c>
      <c r="BX220" s="444" t="str">
        <f>IF('Design Fee'!EM222&gt;0,"✔","-")</f>
        <v>-</v>
      </c>
      <c r="BY220" s="444" t="str">
        <f>IF('Design Fee'!EN222&gt;0,"✔","-")</f>
        <v>-</v>
      </c>
      <c r="BZ220" s="383"/>
    </row>
    <row r="221" spans="1:78" ht="12.75" outlineLevel="2">
      <c r="A221" s="383"/>
      <c r="B221" s="463" t="s">
        <v>205</v>
      </c>
      <c r="C221" s="464">
        <v>3</v>
      </c>
      <c r="D221" s="465" t="s">
        <v>206</v>
      </c>
      <c r="E221" s="383"/>
      <c r="F221" s="443">
        <f t="shared" si="647"/>
        <v>3</v>
      </c>
      <c r="G221" s="444">
        <f t="shared" si="647"/>
        <v>0</v>
      </c>
      <c r="H221" s="444">
        <f t="shared" si="647"/>
        <v>0</v>
      </c>
      <c r="I221" s="444">
        <f t="shared" si="648"/>
        <v>3</v>
      </c>
      <c r="J221" s="467"/>
      <c r="K221" s="441"/>
      <c r="L221" s="442"/>
      <c r="M221" s="443" t="str">
        <f>IF('Design Fee'!W223&gt;0,"✔","-")</f>
        <v>✔</v>
      </c>
      <c r="N221" s="443" t="str">
        <f>IF('Design Fee'!X223&gt;0,"✔","-")</f>
        <v>-</v>
      </c>
      <c r="O221" s="474" t="str">
        <f>IF('Design Fee'!Y223&gt;0,"✔","-")</f>
        <v>-</v>
      </c>
      <c r="P221" s="474" t="str">
        <f>IF('Design Fee'!Z223&gt;0,"✔","-")</f>
        <v>✔</v>
      </c>
      <c r="Q221" s="444" t="str">
        <f>IF('Design Fee'!AA223&gt;0,"✔","-")</f>
        <v>✔</v>
      </c>
      <c r="R221" s="444" t="str">
        <f>IF('Design Fee'!AB223&gt;0,"✔","-")</f>
        <v>-</v>
      </c>
      <c r="S221" s="444" t="str">
        <f>IF('Design Fee'!AC223&gt;0,"✔","-")</f>
        <v>-</v>
      </c>
      <c r="T221" s="466" t="str">
        <f>IF('Design Fee'!AD223&gt;0,"✔","-")</f>
        <v>-</v>
      </c>
      <c r="U221" s="467"/>
      <c r="V221" s="444" t="str">
        <f>IF('Design Fee'!AF223&gt;0,"✔","-")</f>
        <v>-</v>
      </c>
      <c r="W221" s="444" t="str">
        <f>IF('Design Fee'!AG223&gt;0,"✔","-")</f>
        <v>-</v>
      </c>
      <c r="X221" s="444" t="str">
        <f>IF('Design Fee'!AH223&gt;0,"✔","-")</f>
        <v>-</v>
      </c>
      <c r="Y221" s="444" t="str">
        <f>IF('Design Fee'!AI223&gt;0,"✔","-")</f>
        <v>-</v>
      </c>
      <c r="Z221" s="444" t="str">
        <f>IF('Design Fee'!AJ223&gt;0,"✔","-")</f>
        <v>-</v>
      </c>
      <c r="AA221" s="467"/>
      <c r="AB221" s="441"/>
      <c r="AC221" s="442"/>
      <c r="AD221" s="443" t="str">
        <f>IF('Design Fee'!BG223&gt;0,"✔","-")</f>
        <v>✔</v>
      </c>
      <c r="AE221" s="443" t="str">
        <f>IF('Design Fee'!BH223&gt;0,"✔","-")</f>
        <v>-</v>
      </c>
      <c r="AF221" s="474" t="str">
        <f>IF('Design Fee'!BI223&gt;0,"✔","-")</f>
        <v>-</v>
      </c>
      <c r="AG221" s="474" t="str">
        <f>IF('Design Fee'!BJ223&gt;0,"✔","-")</f>
        <v>✔</v>
      </c>
      <c r="AH221" s="444" t="str">
        <f>IF('Design Fee'!BK223&gt;0,"✔","-")</f>
        <v>✔</v>
      </c>
      <c r="AI221" s="444" t="str">
        <f>IF('Design Fee'!BL223&gt;0,"✔","-")</f>
        <v>-</v>
      </c>
      <c r="AJ221" s="444" t="str">
        <f>IF('Design Fee'!BM223&gt;0,"✔","-")</f>
        <v>-</v>
      </c>
      <c r="AK221" s="466" t="str">
        <f>IF('Design Fee'!BN223&gt;0,"✔","-")</f>
        <v>-</v>
      </c>
      <c r="AL221" s="445"/>
      <c r="AM221" s="444" t="str">
        <f>IF('Design Fee'!BP223&gt;0,"✔","-")</f>
        <v>-</v>
      </c>
      <c r="AN221" s="444" t="str">
        <f>IF('Design Fee'!BQ223&gt;0,"✔","-")</f>
        <v>-</v>
      </c>
      <c r="AO221" s="444" t="str">
        <f>IF('Design Fee'!BR223&gt;0,"✔","-")</f>
        <v>-</v>
      </c>
      <c r="AP221" s="444" t="str">
        <f>IF('Design Fee'!BS223&gt;0,"✔","-")</f>
        <v>-</v>
      </c>
      <c r="AQ221" s="444" t="str">
        <f>IF('Design Fee'!BT223&gt;0,"✔","-")</f>
        <v>-</v>
      </c>
      <c r="AR221" s="445"/>
      <c r="AS221" s="441"/>
      <c r="AT221" s="442"/>
      <c r="AU221" s="443" t="str">
        <f>IF('Design Fee'!CQ223&gt;0,"✔","-")</f>
        <v>✔</v>
      </c>
      <c r="AV221" s="443" t="str">
        <f>IF('Design Fee'!CR223&gt;0,"✔","-")</f>
        <v>-</v>
      </c>
      <c r="AW221" s="474" t="str">
        <f>IF('Design Fee'!CS223&gt;0,"✔","-")</f>
        <v>-</v>
      </c>
      <c r="AX221" s="474" t="str">
        <f>IF('Design Fee'!CT223&gt;0,"✔","-")</f>
        <v>✔</v>
      </c>
      <c r="AY221" s="444" t="str">
        <f>IF('Design Fee'!CU223&gt;0,"✔","-")</f>
        <v>-</v>
      </c>
      <c r="AZ221" s="444" t="str">
        <f>IF('Design Fee'!CV223&gt;0,"✔","-")</f>
        <v>-</v>
      </c>
      <c r="BA221" s="444" t="str">
        <f>IF('Design Fee'!CW223&gt;0,"✔","-")</f>
        <v>-</v>
      </c>
      <c r="BB221" s="466" t="str">
        <f>IF('Design Fee'!CX223&gt;0,"✔","-")</f>
        <v>✔</v>
      </c>
      <c r="BC221" s="445"/>
      <c r="BD221" s="444" t="str">
        <f>IF('Design Fee'!CZ223&gt;0,"✔","-")</f>
        <v>-</v>
      </c>
      <c r="BE221" s="444" t="str">
        <f>IF('Design Fee'!DA223&gt;0,"✔","-")</f>
        <v>-</v>
      </c>
      <c r="BF221" s="444" t="str">
        <f>IF('Design Fee'!DB223&gt;0,"✔","-")</f>
        <v>-</v>
      </c>
      <c r="BG221" s="444" t="str">
        <f>IF('Design Fee'!DC223&gt;0,"✔","-")</f>
        <v>-</v>
      </c>
      <c r="BH221" s="444" t="str">
        <f>IF('Design Fee'!DD223&gt;0,"✔","-")</f>
        <v>-</v>
      </c>
      <c r="BI221" s="445"/>
      <c r="BJ221" s="441"/>
      <c r="BK221" s="442"/>
      <c r="BL221" s="443" t="str">
        <f>IF('Design Fee'!EA223&gt;0,"✔","-")</f>
        <v>-</v>
      </c>
      <c r="BM221" s="443" t="str">
        <f>IF('Design Fee'!EB223&gt;0,"✔","-")</f>
        <v>-</v>
      </c>
      <c r="BN221" s="474" t="str">
        <f>IF('Design Fee'!EC223&gt;0,"✔","-")</f>
        <v>-</v>
      </c>
      <c r="BO221" s="474" t="str">
        <f>IF('Design Fee'!ED223&gt;0,"✔","-")</f>
        <v>-</v>
      </c>
      <c r="BP221" s="444" t="str">
        <f>IF('Design Fee'!EE223&gt;0,"✔","-")</f>
        <v>-</v>
      </c>
      <c r="BQ221" s="444" t="str">
        <f>IF('Design Fee'!EF223&gt;0,"✔","-")</f>
        <v>-</v>
      </c>
      <c r="BR221" s="444" t="str">
        <f>IF('Design Fee'!EG223&gt;0,"✔","-")</f>
        <v>-</v>
      </c>
      <c r="BS221" s="466" t="str">
        <f>IF('Design Fee'!EH223&gt;0,"✔","-")</f>
        <v>-</v>
      </c>
      <c r="BT221" s="383"/>
      <c r="BU221" s="444" t="str">
        <f>IF('Design Fee'!EJ223&gt;0,"✔","-")</f>
        <v>-</v>
      </c>
      <c r="BV221" s="444" t="str">
        <f>IF('Design Fee'!EK223&gt;0,"✔","-")</f>
        <v>-</v>
      </c>
      <c r="BW221" s="444" t="str">
        <f>IF('Design Fee'!EL223&gt;0,"✔","-")</f>
        <v>-</v>
      </c>
      <c r="BX221" s="444" t="str">
        <f>IF('Design Fee'!EM223&gt;0,"✔","-")</f>
        <v>-</v>
      </c>
      <c r="BY221" s="444" t="str">
        <f>IF('Design Fee'!EN223&gt;0,"✔","-")</f>
        <v>-</v>
      </c>
      <c r="BZ221" s="383"/>
    </row>
    <row r="222" spans="1:78" ht="12.75" outlineLevel="2">
      <c r="A222" s="383"/>
      <c r="B222" s="463" t="s">
        <v>207</v>
      </c>
      <c r="C222" s="464">
        <v>4</v>
      </c>
      <c r="D222" s="465" t="s">
        <v>208</v>
      </c>
      <c r="E222" s="383"/>
      <c r="F222" s="443">
        <f t="shared" si="647"/>
        <v>2</v>
      </c>
      <c r="G222" s="444">
        <f t="shared" si="647"/>
        <v>1</v>
      </c>
      <c r="H222" s="444">
        <f t="shared" si="647"/>
        <v>0</v>
      </c>
      <c r="I222" s="444">
        <f t="shared" si="648"/>
        <v>1</v>
      </c>
      <c r="J222" s="467"/>
      <c r="K222" s="441"/>
      <c r="L222" s="442"/>
      <c r="M222" s="443" t="str">
        <f>IF('Design Fee'!W224&gt;0,"✔","-")</f>
        <v>✔</v>
      </c>
      <c r="N222" s="443" t="str">
        <f>IF('Design Fee'!X224&gt;0,"✔","-")</f>
        <v>-</v>
      </c>
      <c r="O222" s="474" t="str">
        <f>IF('Design Fee'!Y224&gt;0,"✔","-")</f>
        <v>-</v>
      </c>
      <c r="P222" s="474" t="str">
        <f>IF('Design Fee'!Z224&gt;0,"✔","-")</f>
        <v>✔</v>
      </c>
      <c r="Q222" s="444" t="str">
        <f>IF('Design Fee'!AA224&gt;0,"✔","-")</f>
        <v>✔</v>
      </c>
      <c r="R222" s="444" t="str">
        <f>IF('Design Fee'!AB224&gt;0,"✔","-")</f>
        <v>-</v>
      </c>
      <c r="S222" s="444" t="str">
        <f>IF('Design Fee'!AC224&gt;0,"✔","-")</f>
        <v>-</v>
      </c>
      <c r="T222" s="466" t="str">
        <f>IF('Design Fee'!AD224&gt;0,"✔","-")</f>
        <v>-</v>
      </c>
      <c r="U222" s="467"/>
      <c r="V222" s="444" t="str">
        <f>IF('Design Fee'!AF224&gt;0,"✔","-")</f>
        <v>-</v>
      </c>
      <c r="W222" s="444" t="str">
        <f>IF('Design Fee'!AG224&gt;0,"✔","-")</f>
        <v>-</v>
      </c>
      <c r="X222" s="444" t="str">
        <f>IF('Design Fee'!AH224&gt;0,"✔","-")</f>
        <v>-</v>
      </c>
      <c r="Y222" s="444" t="str">
        <f>IF('Design Fee'!AI224&gt;0,"✔","-")</f>
        <v>-</v>
      </c>
      <c r="Z222" s="444" t="str">
        <f>IF('Design Fee'!AJ224&gt;0,"✔","-")</f>
        <v>-</v>
      </c>
      <c r="AA222" s="467"/>
      <c r="AB222" s="441"/>
      <c r="AC222" s="442"/>
      <c r="AD222" s="443" t="str">
        <f>IF('Design Fee'!BG224&gt;0,"✔","-")</f>
        <v>-</v>
      </c>
      <c r="AE222" s="443" t="str">
        <f>IF('Design Fee'!BH224&gt;0,"✔","-")</f>
        <v>-</v>
      </c>
      <c r="AF222" s="474" t="str">
        <f>IF('Design Fee'!BI224&gt;0,"✔","-")</f>
        <v>-</v>
      </c>
      <c r="AG222" s="474" t="str">
        <f>IF('Design Fee'!BJ224&gt;0,"✔","-")</f>
        <v>-</v>
      </c>
      <c r="AH222" s="444" t="str">
        <f>IF('Design Fee'!BK224&gt;0,"✔","-")</f>
        <v>-</v>
      </c>
      <c r="AI222" s="444" t="str">
        <f>IF('Design Fee'!BL224&gt;0,"✔","-")</f>
        <v>-</v>
      </c>
      <c r="AJ222" s="444" t="str">
        <f>IF('Design Fee'!BM224&gt;0,"✔","-")</f>
        <v>-</v>
      </c>
      <c r="AK222" s="466" t="str">
        <f>IF('Design Fee'!BN224&gt;0,"✔","-")</f>
        <v>-</v>
      </c>
      <c r="AL222" s="445"/>
      <c r="AM222" s="444" t="str">
        <f>IF('Design Fee'!BP224&gt;0,"✔","-")</f>
        <v>-</v>
      </c>
      <c r="AN222" s="444" t="str">
        <f>IF('Design Fee'!BQ224&gt;0,"✔","-")</f>
        <v>-</v>
      </c>
      <c r="AO222" s="444" t="str">
        <f>IF('Design Fee'!BR224&gt;0,"✔","-")</f>
        <v>-</v>
      </c>
      <c r="AP222" s="444" t="str">
        <f>IF('Design Fee'!BS224&gt;0,"✔","-")</f>
        <v>-</v>
      </c>
      <c r="AQ222" s="444" t="str">
        <f>IF('Design Fee'!BT224&gt;0,"✔","-")</f>
        <v>-</v>
      </c>
      <c r="AR222" s="445"/>
      <c r="AS222" s="441"/>
      <c r="AT222" s="442"/>
      <c r="AU222" s="443" t="str">
        <f>IF('Design Fee'!CQ224&gt;0,"✔","-")</f>
        <v>-</v>
      </c>
      <c r="AV222" s="443" t="str">
        <f>IF('Design Fee'!CR224&gt;0,"✔","-")</f>
        <v>-</v>
      </c>
      <c r="AW222" s="474" t="str">
        <f>IF('Design Fee'!CS224&gt;0,"✔","-")</f>
        <v>-</v>
      </c>
      <c r="AX222" s="474" t="str">
        <f>IF('Design Fee'!CT224&gt;0,"✔","-")</f>
        <v>-</v>
      </c>
      <c r="AY222" s="444" t="str">
        <f>IF('Design Fee'!CU224&gt;0,"✔","-")</f>
        <v>-</v>
      </c>
      <c r="AZ222" s="444" t="str">
        <f>IF('Design Fee'!CV224&gt;0,"✔","-")</f>
        <v>-</v>
      </c>
      <c r="BA222" s="444" t="str">
        <f>IF('Design Fee'!CW224&gt;0,"✔","-")</f>
        <v>-</v>
      </c>
      <c r="BB222" s="466" t="str">
        <f>IF('Design Fee'!CX224&gt;0,"✔","-")</f>
        <v>-</v>
      </c>
      <c r="BC222" s="445"/>
      <c r="BD222" s="444" t="str">
        <f>IF('Design Fee'!CZ224&gt;0,"✔","-")</f>
        <v>-</v>
      </c>
      <c r="BE222" s="444" t="str">
        <f>IF('Design Fee'!DA224&gt;0,"✔","-")</f>
        <v>-</v>
      </c>
      <c r="BF222" s="444" t="str">
        <f>IF('Design Fee'!DB224&gt;0,"✔","-")</f>
        <v>-</v>
      </c>
      <c r="BG222" s="444" t="str">
        <f>IF('Design Fee'!DC224&gt;0,"✔","-")</f>
        <v>-</v>
      </c>
      <c r="BH222" s="444" t="str">
        <f>IF('Design Fee'!DD224&gt;0,"✔","-")</f>
        <v>-</v>
      </c>
      <c r="BI222" s="445"/>
      <c r="BJ222" s="441"/>
      <c r="BK222" s="442"/>
      <c r="BL222" s="443" t="str">
        <f>IF('Design Fee'!EA224&gt;0,"✔","-")</f>
        <v>✔</v>
      </c>
      <c r="BM222" s="443" t="str">
        <f>IF('Design Fee'!EB224&gt;0,"✔","-")</f>
        <v>✔</v>
      </c>
      <c r="BN222" s="474" t="str">
        <f>IF('Design Fee'!EC224&gt;0,"✔","-")</f>
        <v>-</v>
      </c>
      <c r="BO222" s="474" t="str">
        <f>IF('Design Fee'!ED224&gt;0,"✔","-")</f>
        <v>✔</v>
      </c>
      <c r="BP222" s="444" t="str">
        <f>IF('Design Fee'!EE224&gt;0,"✔","-")</f>
        <v>✔</v>
      </c>
      <c r="BQ222" s="444" t="str">
        <f>IF('Design Fee'!EF224&gt;0,"✔","-")</f>
        <v>-</v>
      </c>
      <c r="BR222" s="444" t="str">
        <f>IF('Design Fee'!EG224&gt;0,"✔","-")</f>
        <v>-</v>
      </c>
      <c r="BS222" s="466" t="str">
        <f>IF('Design Fee'!EH224&gt;0,"✔","-")</f>
        <v>-</v>
      </c>
      <c r="BT222" s="383"/>
      <c r="BU222" s="444" t="str">
        <f>IF('Design Fee'!EJ224&gt;0,"✔","-")</f>
        <v>✔</v>
      </c>
      <c r="BV222" s="444" t="str">
        <f>IF('Design Fee'!EK224&gt;0,"✔","-")</f>
        <v>-</v>
      </c>
      <c r="BW222" s="444" t="str">
        <f>IF('Design Fee'!EL224&gt;0,"✔","-")</f>
        <v>✔</v>
      </c>
      <c r="BX222" s="444" t="str">
        <f>IF('Design Fee'!EM224&gt;0,"✔","-")</f>
        <v>-</v>
      </c>
      <c r="BY222" s="444" t="str">
        <f>IF('Design Fee'!EN224&gt;0,"✔","-")</f>
        <v>-</v>
      </c>
      <c r="BZ222" s="383"/>
    </row>
    <row r="223" spans="1:78" ht="3" customHeight="1" outlineLevel="1">
      <c r="A223" s="383"/>
      <c r="B223" s="384"/>
      <c r="C223" s="488"/>
      <c r="D223" s="465"/>
      <c r="E223" s="383"/>
      <c r="F223" s="408"/>
      <c r="G223" s="421"/>
      <c r="H223" s="421"/>
      <c r="I223" s="421"/>
      <c r="J223" s="467"/>
      <c r="K223" s="441"/>
      <c r="L223" s="442"/>
      <c r="M223" s="443"/>
      <c r="N223" s="443"/>
      <c r="O223" s="482"/>
      <c r="P223" s="482"/>
      <c r="Q223" s="482"/>
      <c r="R223" s="482"/>
      <c r="S223" s="482"/>
      <c r="T223" s="482"/>
      <c r="U223" s="467"/>
      <c r="V223" s="482"/>
      <c r="W223" s="482"/>
      <c r="X223" s="482"/>
      <c r="Y223" s="482"/>
      <c r="Z223" s="482"/>
      <c r="AA223" s="467"/>
      <c r="AB223" s="441"/>
      <c r="AC223" s="442"/>
      <c r="AD223" s="443"/>
      <c r="AE223" s="443"/>
      <c r="AF223" s="421"/>
      <c r="AG223" s="421"/>
      <c r="AH223" s="421"/>
      <c r="AI223" s="421"/>
      <c r="AJ223" s="421"/>
      <c r="AK223" s="421"/>
      <c r="AL223" s="421"/>
      <c r="AM223" s="421"/>
      <c r="AN223" s="421"/>
      <c r="AO223" s="421"/>
      <c r="AP223" s="421"/>
      <c r="AQ223" s="421"/>
      <c r="AR223" s="421"/>
      <c r="AS223" s="441"/>
      <c r="AT223" s="421"/>
      <c r="AU223" s="443"/>
      <c r="AV223" s="443"/>
      <c r="AW223" s="421"/>
      <c r="AX223" s="421"/>
      <c r="AY223" s="421"/>
      <c r="AZ223" s="421"/>
      <c r="BA223" s="421"/>
      <c r="BB223" s="421"/>
      <c r="BC223" s="421"/>
      <c r="BD223" s="421"/>
      <c r="BE223" s="421"/>
      <c r="BF223" s="421"/>
      <c r="BG223" s="421"/>
      <c r="BH223" s="421"/>
      <c r="BI223" s="421"/>
      <c r="BJ223" s="441"/>
      <c r="BK223" s="421"/>
      <c r="BL223" s="443"/>
      <c r="BM223" s="443"/>
      <c r="BN223" s="421"/>
      <c r="BO223" s="421"/>
      <c r="BP223" s="421"/>
      <c r="BQ223" s="421"/>
      <c r="BR223" s="421"/>
      <c r="BS223" s="421"/>
      <c r="BT223" s="383"/>
      <c r="BU223" s="421"/>
      <c r="BV223" s="421"/>
      <c r="BW223" s="421"/>
      <c r="BX223" s="421"/>
      <c r="BY223" s="421"/>
      <c r="BZ223" s="383"/>
    </row>
    <row r="224" spans="1:78" ht="12.75" outlineLevel="1">
      <c r="A224" s="383"/>
      <c r="B224" s="432">
        <v>17</v>
      </c>
      <c r="C224" s="459">
        <v>16</v>
      </c>
      <c r="D224" s="460" t="s">
        <v>209</v>
      </c>
      <c r="E224" s="434"/>
      <c r="F224" s="461">
        <f>M224+AD224+AU224+BL224</f>
        <v>15</v>
      </c>
      <c r="G224" s="461">
        <f t="shared" ref="G224:I224" si="649">N224+AE224+AV224+BM224</f>
        <v>10</v>
      </c>
      <c r="H224" s="461">
        <f t="shared" si="649"/>
        <v>8</v>
      </c>
      <c r="I224" s="461">
        <f t="shared" si="649"/>
        <v>7</v>
      </c>
      <c r="J224" s="438">
        <f t="shared" ref="J224" si="650">COUNT(J225:J229)</f>
        <v>0</v>
      </c>
      <c r="K224" s="435"/>
      <c r="L224" s="435"/>
      <c r="M224" s="461">
        <f t="shared" ref="M224:AA224" si="651">COUNTIF(M225:M229,"✔")</f>
        <v>4</v>
      </c>
      <c r="N224" s="461">
        <f t="shared" si="651"/>
        <v>3</v>
      </c>
      <c r="O224" s="461">
        <f t="shared" si="651"/>
        <v>1</v>
      </c>
      <c r="P224" s="461">
        <f t="shared" si="651"/>
        <v>3</v>
      </c>
      <c r="Q224" s="461">
        <f t="shared" si="651"/>
        <v>3</v>
      </c>
      <c r="R224" s="461">
        <f t="shared" si="651"/>
        <v>0</v>
      </c>
      <c r="S224" s="461">
        <f t="shared" si="651"/>
        <v>0</v>
      </c>
      <c r="T224" s="461">
        <f t="shared" si="651"/>
        <v>0</v>
      </c>
      <c r="U224" s="461">
        <f t="shared" si="651"/>
        <v>0</v>
      </c>
      <c r="V224" s="461">
        <f t="shared" si="651"/>
        <v>2</v>
      </c>
      <c r="W224" s="461">
        <f t="shared" si="651"/>
        <v>1</v>
      </c>
      <c r="X224" s="461">
        <f t="shared" si="651"/>
        <v>1</v>
      </c>
      <c r="Y224" s="461">
        <f t="shared" si="651"/>
        <v>0</v>
      </c>
      <c r="Z224" s="461">
        <f t="shared" si="651"/>
        <v>0</v>
      </c>
      <c r="AA224" s="461">
        <f t="shared" si="651"/>
        <v>0</v>
      </c>
      <c r="AB224" s="435"/>
      <c r="AC224" s="461">
        <f t="shared" ref="AC224:AR224" si="652">COUNTIF(AC225:AC229,"✔")</f>
        <v>0</v>
      </c>
      <c r="AD224" s="461">
        <f t="shared" si="652"/>
        <v>4</v>
      </c>
      <c r="AE224" s="461">
        <f t="shared" si="652"/>
        <v>3</v>
      </c>
      <c r="AF224" s="461">
        <f t="shared" si="652"/>
        <v>3</v>
      </c>
      <c r="AG224" s="461">
        <f t="shared" si="652"/>
        <v>1</v>
      </c>
      <c r="AH224" s="461">
        <f t="shared" si="652"/>
        <v>1</v>
      </c>
      <c r="AI224" s="461">
        <f t="shared" si="652"/>
        <v>0</v>
      </c>
      <c r="AJ224" s="461">
        <f t="shared" si="652"/>
        <v>0</v>
      </c>
      <c r="AK224" s="461">
        <f t="shared" si="652"/>
        <v>0</v>
      </c>
      <c r="AL224" s="461">
        <f t="shared" si="652"/>
        <v>0</v>
      </c>
      <c r="AM224" s="461">
        <f t="shared" si="652"/>
        <v>0</v>
      </c>
      <c r="AN224" s="461">
        <f t="shared" si="652"/>
        <v>0</v>
      </c>
      <c r="AO224" s="461">
        <f t="shared" si="652"/>
        <v>0</v>
      </c>
      <c r="AP224" s="461">
        <f t="shared" si="652"/>
        <v>0</v>
      </c>
      <c r="AQ224" s="461">
        <f t="shared" si="652"/>
        <v>0</v>
      </c>
      <c r="AR224" s="461">
        <f t="shared" si="652"/>
        <v>0</v>
      </c>
      <c r="AS224" s="435"/>
      <c r="AT224" s="461">
        <f t="shared" ref="AT224:BI224" si="653">COUNTIF(AT225:AT229,"✔")</f>
        <v>0</v>
      </c>
      <c r="AU224" s="461">
        <f t="shared" si="653"/>
        <v>4</v>
      </c>
      <c r="AV224" s="461">
        <f t="shared" si="653"/>
        <v>2</v>
      </c>
      <c r="AW224" s="461">
        <f t="shared" si="653"/>
        <v>2</v>
      </c>
      <c r="AX224" s="461">
        <f t="shared" si="653"/>
        <v>2</v>
      </c>
      <c r="AY224" s="461">
        <f t="shared" si="653"/>
        <v>2</v>
      </c>
      <c r="AZ224" s="461">
        <f t="shared" si="653"/>
        <v>0</v>
      </c>
      <c r="BA224" s="461">
        <f t="shared" si="653"/>
        <v>0</v>
      </c>
      <c r="BB224" s="461">
        <f t="shared" si="653"/>
        <v>0</v>
      </c>
      <c r="BC224" s="461">
        <f t="shared" si="653"/>
        <v>0</v>
      </c>
      <c r="BD224" s="461">
        <f t="shared" si="653"/>
        <v>0</v>
      </c>
      <c r="BE224" s="461">
        <f t="shared" si="653"/>
        <v>0</v>
      </c>
      <c r="BF224" s="461">
        <f t="shared" si="653"/>
        <v>0</v>
      </c>
      <c r="BG224" s="461">
        <f t="shared" si="653"/>
        <v>0</v>
      </c>
      <c r="BH224" s="461">
        <f t="shared" si="653"/>
        <v>0</v>
      </c>
      <c r="BI224" s="461">
        <f t="shared" si="653"/>
        <v>0</v>
      </c>
      <c r="BJ224" s="435"/>
      <c r="BK224" s="461">
        <f t="shared" ref="BK224:BS224" si="654">COUNTIF(BK225:BK229,"✔")</f>
        <v>0</v>
      </c>
      <c r="BL224" s="461">
        <f t="shared" si="654"/>
        <v>3</v>
      </c>
      <c r="BM224" s="461">
        <f t="shared" si="654"/>
        <v>2</v>
      </c>
      <c r="BN224" s="461">
        <f t="shared" si="654"/>
        <v>2</v>
      </c>
      <c r="BO224" s="461">
        <f t="shared" si="654"/>
        <v>1</v>
      </c>
      <c r="BP224" s="461">
        <f t="shared" si="654"/>
        <v>1</v>
      </c>
      <c r="BQ224" s="461">
        <f t="shared" si="654"/>
        <v>0</v>
      </c>
      <c r="BR224" s="461">
        <f t="shared" si="654"/>
        <v>0</v>
      </c>
      <c r="BS224" s="461">
        <f t="shared" si="654"/>
        <v>0</v>
      </c>
      <c r="BT224" s="383"/>
      <c r="BU224" s="461">
        <f>COUNTIF(BU225:BU229,"✔")</f>
        <v>0</v>
      </c>
      <c r="BV224" s="461">
        <f>COUNTIF(BV225:BV229,"✔")</f>
        <v>0</v>
      </c>
      <c r="BW224" s="461">
        <f>COUNTIF(BW225:BW229,"✔")</f>
        <v>0</v>
      </c>
      <c r="BX224" s="461">
        <f>COUNTIF(BX225:BX229,"✔")</f>
        <v>0</v>
      </c>
      <c r="BY224" s="461">
        <f>COUNTIF(BY225:BY229,"✔")</f>
        <v>0</v>
      </c>
      <c r="BZ224" s="383"/>
    </row>
    <row r="225" spans="1:78" ht="12.75" outlineLevel="2">
      <c r="A225" s="383" t="str">
        <f>"Amenities &amp; Facilities - "&amp;D225</f>
        <v>Amenities &amp; Facilities - Clubhouse—Structure and Envelope</v>
      </c>
      <c r="B225" s="463" t="s">
        <v>210</v>
      </c>
      <c r="C225" s="464">
        <v>1</v>
      </c>
      <c r="D225" s="470" t="s">
        <v>211</v>
      </c>
      <c r="E225" s="383"/>
      <c r="F225" s="443">
        <f t="shared" ref="F225:H229" si="655">COUNTIF(M225,"✔")+COUNTIF(AD225,"✔")+COUNTIF(BL225,"✔")+COUNTIF(AU225,"✔")</f>
        <v>3</v>
      </c>
      <c r="G225" s="444">
        <f t="shared" si="655"/>
        <v>3</v>
      </c>
      <c r="H225" s="444">
        <f t="shared" si="655"/>
        <v>3</v>
      </c>
      <c r="I225" s="444">
        <f t="shared" ref="I225:I229" si="656">F225-G225</f>
        <v>0</v>
      </c>
      <c r="J225" s="467"/>
      <c r="K225" s="441"/>
      <c r="L225" s="442"/>
      <c r="M225" s="443" t="str">
        <f>IF('Design Fee'!W227&gt;0,"✔","-")</f>
        <v>✔</v>
      </c>
      <c r="N225" s="443" t="str">
        <f>IF('Design Fee'!X227&gt;0,"✔","-")</f>
        <v>✔</v>
      </c>
      <c r="O225" s="444" t="str">
        <f>IF('Design Fee'!Y227&gt;0,"✔","-")</f>
        <v>✔</v>
      </c>
      <c r="P225" s="444" t="str">
        <f>IF('Design Fee'!Z227&gt;0,"✔","-")</f>
        <v>-</v>
      </c>
      <c r="Q225" s="444" t="str">
        <f>IF('Design Fee'!AA227&gt;0,"✔","-")</f>
        <v>-</v>
      </c>
      <c r="R225" s="444" t="str">
        <f>IF('Design Fee'!AB227&gt;0,"✔","-")</f>
        <v>-</v>
      </c>
      <c r="S225" s="444" t="str">
        <f>IF('Design Fee'!AC227&gt;0,"✔","-")</f>
        <v>-</v>
      </c>
      <c r="T225" s="466" t="str">
        <f>IF('Design Fee'!AD227&gt;0,"✔","-")</f>
        <v>-</v>
      </c>
      <c r="U225" s="467"/>
      <c r="V225" s="444" t="str">
        <f>IF('Design Fee'!AF227&gt;0,"✔","-")</f>
        <v>-</v>
      </c>
      <c r="W225" s="444" t="str">
        <f>IF('Design Fee'!AG227&gt;0,"✔","-")</f>
        <v>-</v>
      </c>
      <c r="X225" s="444" t="str">
        <f>IF('Design Fee'!AH227&gt;0,"✔","-")</f>
        <v>-</v>
      </c>
      <c r="Y225" s="444" t="str">
        <f>IF('Design Fee'!AI227&gt;0,"✔","-")</f>
        <v>-</v>
      </c>
      <c r="Z225" s="444" t="str">
        <f>IF('Design Fee'!AJ227&gt;0,"✔","-")</f>
        <v>-</v>
      </c>
      <c r="AA225" s="467"/>
      <c r="AB225" s="441"/>
      <c r="AC225" s="442"/>
      <c r="AD225" s="443" t="str">
        <f>IF('Design Fee'!BG227&gt;0,"✔","-")</f>
        <v>✔</v>
      </c>
      <c r="AE225" s="443" t="str">
        <f>IF('Design Fee'!BH227&gt;0,"✔","-")</f>
        <v>✔</v>
      </c>
      <c r="AF225" s="444" t="str">
        <f>IF('Design Fee'!BI227&gt;0,"✔","-")</f>
        <v>✔</v>
      </c>
      <c r="AG225" s="444" t="str">
        <f>IF('Design Fee'!BJ227&gt;0,"✔","-")</f>
        <v>-</v>
      </c>
      <c r="AH225" s="444" t="str">
        <f>IF('Design Fee'!BK227&gt;0,"✔","-")</f>
        <v>-</v>
      </c>
      <c r="AI225" s="444" t="str">
        <f>IF('Design Fee'!BL227&gt;0,"✔","-")</f>
        <v>-</v>
      </c>
      <c r="AJ225" s="444" t="str">
        <f>IF('Design Fee'!BM227&gt;0,"✔","-")</f>
        <v>-</v>
      </c>
      <c r="AK225" s="466" t="str">
        <f>IF('Design Fee'!BN227&gt;0,"✔","-")</f>
        <v>-</v>
      </c>
      <c r="AL225" s="445"/>
      <c r="AM225" s="444" t="str">
        <f>IF('Design Fee'!BP227&gt;0,"✔","-")</f>
        <v>-</v>
      </c>
      <c r="AN225" s="444" t="str">
        <f>IF('Design Fee'!BQ227&gt;0,"✔","-")</f>
        <v>-</v>
      </c>
      <c r="AO225" s="444" t="str">
        <f>IF('Design Fee'!BR227&gt;0,"✔","-")</f>
        <v>-</v>
      </c>
      <c r="AP225" s="444" t="str">
        <f>IF('Design Fee'!BS227&gt;0,"✔","-")</f>
        <v>-</v>
      </c>
      <c r="AQ225" s="444" t="str">
        <f>IF('Design Fee'!BT227&gt;0,"✔","-")</f>
        <v>-</v>
      </c>
      <c r="AR225" s="445"/>
      <c r="AS225" s="441"/>
      <c r="AT225" s="442"/>
      <c r="AU225" s="443" t="str">
        <f>IF('Design Fee'!CQ227&gt;0,"✔","-")</f>
        <v>✔</v>
      </c>
      <c r="AV225" s="443" t="str">
        <f>IF('Design Fee'!CR227&gt;0,"✔","-")</f>
        <v>✔</v>
      </c>
      <c r="AW225" s="444" t="str">
        <f>IF('Design Fee'!CS227&gt;0,"✔","-")</f>
        <v>✔</v>
      </c>
      <c r="AX225" s="444" t="str">
        <f>IF('Design Fee'!CT227&gt;0,"✔","-")</f>
        <v>-</v>
      </c>
      <c r="AY225" s="444" t="str">
        <f>IF('Design Fee'!CU227&gt;0,"✔","-")</f>
        <v>-</v>
      </c>
      <c r="AZ225" s="444" t="str">
        <f>IF('Design Fee'!CV227&gt;0,"✔","-")</f>
        <v>-</v>
      </c>
      <c r="BA225" s="444" t="str">
        <f>IF('Design Fee'!CW227&gt;0,"✔","-")</f>
        <v>-</v>
      </c>
      <c r="BB225" s="466" t="str">
        <f>IF('Design Fee'!CX227&gt;0,"✔","-")</f>
        <v>-</v>
      </c>
      <c r="BC225" s="445"/>
      <c r="BD225" s="444" t="str">
        <f>IF('Design Fee'!CZ227&gt;0,"✔","-")</f>
        <v>-</v>
      </c>
      <c r="BE225" s="444" t="str">
        <f>IF('Design Fee'!DA227&gt;0,"✔","-")</f>
        <v>-</v>
      </c>
      <c r="BF225" s="444" t="str">
        <f>IF('Design Fee'!DB227&gt;0,"✔","-")</f>
        <v>-</v>
      </c>
      <c r="BG225" s="444" t="str">
        <f>IF('Design Fee'!DC227&gt;0,"✔","-")</f>
        <v>-</v>
      </c>
      <c r="BH225" s="444" t="str">
        <f>IF('Design Fee'!DD227&gt;0,"✔","-")</f>
        <v>-</v>
      </c>
      <c r="BI225" s="445"/>
      <c r="BJ225" s="441"/>
      <c r="BK225" s="442"/>
      <c r="BL225" s="443" t="str">
        <f>IF('Design Fee'!EA227&gt;0,"✔","-")</f>
        <v>-</v>
      </c>
      <c r="BM225" s="443" t="str">
        <f>IF('Design Fee'!EB227&gt;0,"✔","-")</f>
        <v>-</v>
      </c>
      <c r="BN225" s="444" t="str">
        <f>IF('Design Fee'!EC227&gt;0,"✔","-")</f>
        <v>-</v>
      </c>
      <c r="BO225" s="444" t="str">
        <f>IF('Design Fee'!ED227&gt;0,"✔","-")</f>
        <v>-</v>
      </c>
      <c r="BP225" s="444" t="str">
        <f>IF('Design Fee'!EE227&gt;0,"✔","-")</f>
        <v>-</v>
      </c>
      <c r="BQ225" s="444" t="str">
        <f>IF('Design Fee'!EF227&gt;0,"✔","-")</f>
        <v>-</v>
      </c>
      <c r="BR225" s="444" t="str">
        <f>IF('Design Fee'!EG227&gt;0,"✔","-")</f>
        <v>-</v>
      </c>
      <c r="BS225" s="466" t="str">
        <f>IF('Design Fee'!EH227&gt;0,"✔","-")</f>
        <v>-</v>
      </c>
      <c r="BT225" s="383"/>
      <c r="BU225" s="444" t="str">
        <f>IF('Design Fee'!EJ227&gt;0,"✔","-")</f>
        <v>-</v>
      </c>
      <c r="BV225" s="444" t="str">
        <f>IF('Design Fee'!EK227&gt;0,"✔","-")</f>
        <v>-</v>
      </c>
      <c r="BW225" s="444" t="str">
        <f>IF('Design Fee'!EL227&gt;0,"✔","-")</f>
        <v>-</v>
      </c>
      <c r="BX225" s="444" t="str">
        <f>IF('Design Fee'!EM227&gt;0,"✔","-")</f>
        <v>-</v>
      </c>
      <c r="BY225" s="444" t="str">
        <f>IF('Design Fee'!EN227&gt;0,"✔","-")</f>
        <v>-</v>
      </c>
      <c r="BZ225" s="383"/>
    </row>
    <row r="226" spans="1:78" ht="12.75" outlineLevel="2">
      <c r="A226" s="383" t="str">
        <f t="shared" ref="A226:A229" si="657">"Amenities &amp; Facilities - "&amp;D226</f>
        <v>Amenities &amp; Facilities - Clubhouse—Interiors and Facilities</v>
      </c>
      <c r="B226" s="463" t="s">
        <v>212</v>
      </c>
      <c r="C226" s="464">
        <v>2</v>
      </c>
      <c r="D226" s="470" t="s">
        <v>213</v>
      </c>
      <c r="E226" s="383"/>
      <c r="F226" s="443">
        <f t="shared" si="655"/>
        <v>3</v>
      </c>
      <c r="G226" s="444">
        <f t="shared" si="655"/>
        <v>3</v>
      </c>
      <c r="H226" s="444">
        <f t="shared" si="655"/>
        <v>2</v>
      </c>
      <c r="I226" s="444">
        <f t="shared" si="656"/>
        <v>0</v>
      </c>
      <c r="J226" s="467"/>
      <c r="K226" s="441"/>
      <c r="L226" s="442"/>
      <c r="M226" s="443" t="str">
        <f>IF('Design Fee'!W228&gt;0,"✔","-")</f>
        <v>✔</v>
      </c>
      <c r="N226" s="443" t="str">
        <f>IF('Design Fee'!X228&gt;0,"✔","-")</f>
        <v>✔</v>
      </c>
      <c r="O226" s="444" t="str">
        <f>IF('Design Fee'!Y228&gt;0,"✔","-")</f>
        <v>-</v>
      </c>
      <c r="P226" s="444" t="str">
        <f>IF('Design Fee'!Z228&gt;0,"✔","-")</f>
        <v>✔</v>
      </c>
      <c r="Q226" s="444" t="str">
        <f>IF('Design Fee'!AA228&gt;0,"✔","-")</f>
        <v>✔</v>
      </c>
      <c r="R226" s="444" t="str">
        <f>IF('Design Fee'!AB228&gt;0,"✔","-")</f>
        <v>-</v>
      </c>
      <c r="S226" s="444" t="str">
        <f>IF('Design Fee'!AC228&gt;0,"✔","-")</f>
        <v>-</v>
      </c>
      <c r="T226" s="466" t="str">
        <f>IF('Design Fee'!AD228&gt;0,"✔","-")</f>
        <v>-</v>
      </c>
      <c r="U226" s="467"/>
      <c r="V226" s="444" t="str">
        <f>IF('Design Fee'!AF228&gt;0,"✔","-")</f>
        <v>✔</v>
      </c>
      <c r="W226" s="444" t="str">
        <f>IF('Design Fee'!AG228&gt;0,"✔","-")</f>
        <v>-</v>
      </c>
      <c r="X226" s="444" t="str">
        <f>IF('Design Fee'!AH228&gt;0,"✔","-")</f>
        <v>✔</v>
      </c>
      <c r="Y226" s="444" t="str">
        <f>IF('Design Fee'!AI228&gt;0,"✔","-")</f>
        <v>-</v>
      </c>
      <c r="Z226" s="444" t="str">
        <f>IF('Design Fee'!AJ228&gt;0,"✔","-")</f>
        <v>-</v>
      </c>
      <c r="AA226" s="467"/>
      <c r="AB226" s="441"/>
      <c r="AC226" s="442"/>
      <c r="AD226" s="443" t="str">
        <f>IF('Design Fee'!BG228&gt;0,"✔","-")</f>
        <v>-</v>
      </c>
      <c r="AE226" s="443" t="str">
        <f>IF('Design Fee'!BH228&gt;0,"✔","-")</f>
        <v>-</v>
      </c>
      <c r="AF226" s="444" t="str">
        <f>IF('Design Fee'!BI228&gt;0,"✔","-")</f>
        <v>-</v>
      </c>
      <c r="AG226" s="444" t="str">
        <f>IF('Design Fee'!BJ228&gt;0,"✔","-")</f>
        <v>-</v>
      </c>
      <c r="AH226" s="444" t="str">
        <f>IF('Design Fee'!BK228&gt;0,"✔","-")</f>
        <v>-</v>
      </c>
      <c r="AI226" s="444" t="str">
        <f>IF('Design Fee'!BL228&gt;0,"✔","-")</f>
        <v>-</v>
      </c>
      <c r="AJ226" s="444" t="str">
        <f>IF('Design Fee'!BM228&gt;0,"✔","-")</f>
        <v>-</v>
      </c>
      <c r="AK226" s="466" t="str">
        <f>IF('Design Fee'!BN228&gt;0,"✔","-")</f>
        <v>-</v>
      </c>
      <c r="AL226" s="445"/>
      <c r="AM226" s="444" t="str">
        <f>IF('Design Fee'!BP228&gt;0,"✔","-")</f>
        <v>-</v>
      </c>
      <c r="AN226" s="444" t="str">
        <f>IF('Design Fee'!BQ228&gt;0,"✔","-")</f>
        <v>-</v>
      </c>
      <c r="AO226" s="444" t="str">
        <f>IF('Design Fee'!BR228&gt;0,"✔","-")</f>
        <v>-</v>
      </c>
      <c r="AP226" s="444" t="str">
        <f>IF('Design Fee'!BS228&gt;0,"✔","-")</f>
        <v>-</v>
      </c>
      <c r="AQ226" s="444" t="str">
        <f>IF('Design Fee'!BT228&gt;0,"✔","-")</f>
        <v>-</v>
      </c>
      <c r="AR226" s="445"/>
      <c r="AS226" s="441"/>
      <c r="AT226" s="442"/>
      <c r="AU226" s="443" t="str">
        <f>IF('Design Fee'!CQ228&gt;0,"✔","-")</f>
        <v>✔</v>
      </c>
      <c r="AV226" s="443" t="str">
        <f>IF('Design Fee'!CR228&gt;0,"✔","-")</f>
        <v>✔</v>
      </c>
      <c r="AW226" s="444" t="str">
        <f>IF('Design Fee'!CS228&gt;0,"✔","-")</f>
        <v>✔</v>
      </c>
      <c r="AX226" s="444" t="str">
        <f>IF('Design Fee'!CT228&gt;0,"✔","-")</f>
        <v>-</v>
      </c>
      <c r="AY226" s="444" t="str">
        <f>IF('Design Fee'!CU228&gt;0,"✔","-")</f>
        <v>-</v>
      </c>
      <c r="AZ226" s="444" t="str">
        <f>IF('Design Fee'!CV228&gt;0,"✔","-")</f>
        <v>-</v>
      </c>
      <c r="BA226" s="444" t="str">
        <f>IF('Design Fee'!CW228&gt;0,"✔","-")</f>
        <v>-</v>
      </c>
      <c r="BB226" s="466" t="str">
        <f>IF('Design Fee'!CX228&gt;0,"✔","-")</f>
        <v>-</v>
      </c>
      <c r="BC226" s="445"/>
      <c r="BD226" s="444" t="str">
        <f>IF('Design Fee'!CZ228&gt;0,"✔","-")</f>
        <v>-</v>
      </c>
      <c r="BE226" s="444" t="str">
        <f>IF('Design Fee'!DA228&gt;0,"✔","-")</f>
        <v>-</v>
      </c>
      <c r="BF226" s="444" t="str">
        <f>IF('Design Fee'!DB228&gt;0,"✔","-")</f>
        <v>-</v>
      </c>
      <c r="BG226" s="444" t="str">
        <f>IF('Design Fee'!DC228&gt;0,"✔","-")</f>
        <v>-</v>
      </c>
      <c r="BH226" s="444" t="str">
        <f>IF('Design Fee'!DD228&gt;0,"✔","-")</f>
        <v>-</v>
      </c>
      <c r="BI226" s="445"/>
      <c r="BJ226" s="441"/>
      <c r="BK226" s="442"/>
      <c r="BL226" s="443" t="str">
        <f>IF('Design Fee'!EA228&gt;0,"✔","-")</f>
        <v>✔</v>
      </c>
      <c r="BM226" s="443" t="str">
        <f>IF('Design Fee'!EB228&gt;0,"✔","-")</f>
        <v>✔</v>
      </c>
      <c r="BN226" s="444" t="str">
        <f>IF('Design Fee'!EC228&gt;0,"✔","-")</f>
        <v>✔</v>
      </c>
      <c r="BO226" s="444" t="str">
        <f>IF('Design Fee'!ED228&gt;0,"✔","-")</f>
        <v>-</v>
      </c>
      <c r="BP226" s="444" t="str">
        <f>IF('Design Fee'!EE228&gt;0,"✔","-")</f>
        <v>-</v>
      </c>
      <c r="BQ226" s="444" t="str">
        <f>IF('Design Fee'!EF228&gt;0,"✔","-")</f>
        <v>-</v>
      </c>
      <c r="BR226" s="444" t="str">
        <f>IF('Design Fee'!EG228&gt;0,"✔","-")</f>
        <v>-</v>
      </c>
      <c r="BS226" s="466" t="str">
        <f>IF('Design Fee'!EH228&gt;0,"✔","-")</f>
        <v>-</v>
      </c>
      <c r="BT226" s="383"/>
      <c r="BU226" s="444" t="str">
        <f>IF('Design Fee'!EJ228&gt;0,"✔","-")</f>
        <v>-</v>
      </c>
      <c r="BV226" s="444" t="str">
        <f>IF('Design Fee'!EK228&gt;0,"✔","-")</f>
        <v>-</v>
      </c>
      <c r="BW226" s="444" t="str">
        <f>IF('Design Fee'!EL228&gt;0,"✔","-")</f>
        <v>-</v>
      </c>
      <c r="BX226" s="444" t="str">
        <f>IF('Design Fee'!EM228&gt;0,"✔","-")</f>
        <v>-</v>
      </c>
      <c r="BY226" s="444" t="str">
        <f>IF('Design Fee'!EN228&gt;0,"✔","-")</f>
        <v>-</v>
      </c>
      <c r="BZ226" s="383"/>
    </row>
    <row r="227" spans="1:78" s="95" customFormat="1" ht="12.75" outlineLevel="2">
      <c r="A227" s="383" t="str">
        <f t="shared" si="657"/>
        <v>Amenities &amp; Facilities - Clubhouse—Outdoor Spaces and Pool</v>
      </c>
      <c r="B227" s="463" t="s">
        <v>214</v>
      </c>
      <c r="C227" s="464">
        <v>3</v>
      </c>
      <c r="D227" s="470" t="s">
        <v>215</v>
      </c>
      <c r="E227" s="468"/>
      <c r="F227" s="443">
        <f t="shared" si="655"/>
        <v>4</v>
      </c>
      <c r="G227" s="444">
        <f t="shared" si="655"/>
        <v>3</v>
      </c>
      <c r="H227" s="444">
        <f t="shared" si="655"/>
        <v>2</v>
      </c>
      <c r="I227" s="444">
        <f t="shared" si="656"/>
        <v>1</v>
      </c>
      <c r="J227" s="480"/>
      <c r="K227" s="471"/>
      <c r="L227" s="472"/>
      <c r="M227" s="443" t="str">
        <f>IF('Design Fee'!W229&gt;0,"✔","-")</f>
        <v>✔</v>
      </c>
      <c r="N227" s="443" t="str">
        <f>IF('Design Fee'!X229&gt;0,"✔","-")</f>
        <v>✔</v>
      </c>
      <c r="O227" s="466" t="str">
        <f>IF('Design Fee'!Y229&gt;0,"✔","-")</f>
        <v>-</v>
      </c>
      <c r="P227" s="466" t="str">
        <f>IF('Design Fee'!Z229&gt;0,"✔","-")</f>
        <v>✔</v>
      </c>
      <c r="Q227" s="466" t="str">
        <f>IF('Design Fee'!AA229&gt;0,"✔","-")</f>
        <v>✔</v>
      </c>
      <c r="R227" s="466" t="str">
        <f>IF('Design Fee'!AB229&gt;0,"✔","-")</f>
        <v>-</v>
      </c>
      <c r="S227" s="466" t="str">
        <f>IF('Design Fee'!AC229&gt;0,"✔","-")</f>
        <v>-</v>
      </c>
      <c r="T227" s="466" t="str">
        <f>IF('Design Fee'!AD229&gt;0,"✔","-")</f>
        <v>-</v>
      </c>
      <c r="U227" s="480"/>
      <c r="V227" s="444" t="str">
        <f>IF('Design Fee'!AF229&gt;0,"✔","-")</f>
        <v>✔</v>
      </c>
      <c r="W227" s="444" t="str">
        <f>IF('Design Fee'!AG229&gt;0,"✔","-")</f>
        <v>✔</v>
      </c>
      <c r="X227" s="444" t="str">
        <f>IF('Design Fee'!AH229&gt;0,"✔","-")</f>
        <v>-</v>
      </c>
      <c r="Y227" s="444" t="str">
        <f>IF('Design Fee'!AI229&gt;0,"✔","-")</f>
        <v>-</v>
      </c>
      <c r="Z227" s="444" t="str">
        <f>IF('Design Fee'!AJ229&gt;0,"✔","-")</f>
        <v>-</v>
      </c>
      <c r="AA227" s="480"/>
      <c r="AB227" s="471"/>
      <c r="AC227" s="472"/>
      <c r="AD227" s="443" t="str">
        <f>IF('Design Fee'!BG229&gt;0,"✔","-")</f>
        <v>✔</v>
      </c>
      <c r="AE227" s="443" t="str">
        <f>IF('Design Fee'!BH229&gt;0,"✔","-")</f>
        <v>✔</v>
      </c>
      <c r="AF227" s="466" t="str">
        <f>IF('Design Fee'!BI229&gt;0,"✔","-")</f>
        <v>✔</v>
      </c>
      <c r="AG227" s="466" t="str">
        <f>IF('Design Fee'!BJ229&gt;0,"✔","-")</f>
        <v>-</v>
      </c>
      <c r="AH227" s="466" t="str">
        <f>IF('Design Fee'!BK229&gt;0,"✔","-")</f>
        <v>-</v>
      </c>
      <c r="AI227" s="466" t="str">
        <f>IF('Design Fee'!BL229&gt;0,"✔","-")</f>
        <v>-</v>
      </c>
      <c r="AJ227" s="466" t="str">
        <f>IF('Design Fee'!BM229&gt;0,"✔","-")</f>
        <v>-</v>
      </c>
      <c r="AK227" s="466" t="str">
        <f>IF('Design Fee'!BN229&gt;0,"✔","-")</f>
        <v>-</v>
      </c>
      <c r="AL227" s="476"/>
      <c r="AM227" s="444" t="str">
        <f>IF('Design Fee'!BP229&gt;0,"✔","-")</f>
        <v>-</v>
      </c>
      <c r="AN227" s="444" t="str">
        <f>IF('Design Fee'!BQ229&gt;0,"✔","-")</f>
        <v>-</v>
      </c>
      <c r="AO227" s="444" t="str">
        <f>IF('Design Fee'!BR229&gt;0,"✔","-")</f>
        <v>-</v>
      </c>
      <c r="AP227" s="444" t="str">
        <f>IF('Design Fee'!BS229&gt;0,"✔","-")</f>
        <v>-</v>
      </c>
      <c r="AQ227" s="444" t="str">
        <f>IF('Design Fee'!BT229&gt;0,"✔","-")</f>
        <v>-</v>
      </c>
      <c r="AR227" s="476"/>
      <c r="AS227" s="471"/>
      <c r="AT227" s="472"/>
      <c r="AU227" s="443" t="str">
        <f>IF('Design Fee'!CQ229&gt;0,"✔","-")</f>
        <v>✔</v>
      </c>
      <c r="AV227" s="443" t="str">
        <f>IF('Design Fee'!CR229&gt;0,"✔","-")</f>
        <v>-</v>
      </c>
      <c r="AW227" s="466" t="str">
        <f>IF('Design Fee'!CS229&gt;0,"✔","-")</f>
        <v>-</v>
      </c>
      <c r="AX227" s="466" t="str">
        <f>IF('Design Fee'!CT229&gt;0,"✔","-")</f>
        <v>✔</v>
      </c>
      <c r="AY227" s="466" t="str">
        <f>IF('Design Fee'!CU229&gt;0,"✔","-")</f>
        <v>✔</v>
      </c>
      <c r="AZ227" s="466" t="str">
        <f>IF('Design Fee'!CV229&gt;0,"✔","-")</f>
        <v>-</v>
      </c>
      <c r="BA227" s="466" t="str">
        <f>IF('Design Fee'!CW229&gt;0,"✔","-")</f>
        <v>-</v>
      </c>
      <c r="BB227" s="466" t="str">
        <f>IF('Design Fee'!CX229&gt;0,"✔","-")</f>
        <v>-</v>
      </c>
      <c r="BC227" s="476"/>
      <c r="BD227" s="444" t="str">
        <f>IF('Design Fee'!CZ229&gt;0,"✔","-")</f>
        <v>-</v>
      </c>
      <c r="BE227" s="444" t="str">
        <f>IF('Design Fee'!DA229&gt;0,"✔","-")</f>
        <v>-</v>
      </c>
      <c r="BF227" s="444" t="str">
        <f>IF('Design Fee'!DB229&gt;0,"✔","-")</f>
        <v>-</v>
      </c>
      <c r="BG227" s="444" t="str">
        <f>IF('Design Fee'!DC229&gt;0,"✔","-")</f>
        <v>-</v>
      </c>
      <c r="BH227" s="444" t="str">
        <f>IF('Design Fee'!DD229&gt;0,"✔","-")</f>
        <v>-</v>
      </c>
      <c r="BI227" s="476"/>
      <c r="BJ227" s="471"/>
      <c r="BK227" s="472"/>
      <c r="BL227" s="443" t="str">
        <f>IF('Design Fee'!EA229&gt;0,"✔","-")</f>
        <v>✔</v>
      </c>
      <c r="BM227" s="443" t="str">
        <f>IF('Design Fee'!EB229&gt;0,"✔","-")</f>
        <v>✔</v>
      </c>
      <c r="BN227" s="466" t="str">
        <f>IF('Design Fee'!EC229&gt;0,"✔","-")</f>
        <v>✔</v>
      </c>
      <c r="BO227" s="466" t="str">
        <f>IF('Design Fee'!ED229&gt;0,"✔","-")</f>
        <v>-</v>
      </c>
      <c r="BP227" s="466" t="str">
        <f>IF('Design Fee'!EE229&gt;0,"✔","-")</f>
        <v>-</v>
      </c>
      <c r="BQ227" s="466" t="str">
        <f>IF('Design Fee'!EF229&gt;0,"✔","-")</f>
        <v>-</v>
      </c>
      <c r="BR227" s="466" t="str">
        <f>IF('Design Fee'!EG229&gt;0,"✔","-")</f>
        <v>-</v>
      </c>
      <c r="BS227" s="466" t="str">
        <f>IF('Design Fee'!EH229&gt;0,"✔","-")</f>
        <v>-</v>
      </c>
      <c r="BT227" s="468"/>
      <c r="BU227" s="444" t="str">
        <f>IF('Design Fee'!EJ229&gt;0,"✔","-")</f>
        <v>-</v>
      </c>
      <c r="BV227" s="444" t="str">
        <f>IF('Design Fee'!EK229&gt;0,"✔","-")</f>
        <v>-</v>
      </c>
      <c r="BW227" s="444" t="str">
        <f>IF('Design Fee'!EL229&gt;0,"✔","-")</f>
        <v>-</v>
      </c>
      <c r="BX227" s="444" t="str">
        <f>IF('Design Fee'!EM229&gt;0,"✔","-")</f>
        <v>-</v>
      </c>
      <c r="BY227" s="444" t="str">
        <f>IF('Design Fee'!EN229&gt;0,"✔","-")</f>
        <v>-</v>
      </c>
      <c r="BZ227" s="468"/>
    </row>
    <row r="228" spans="1:78" ht="12.75" outlineLevel="2">
      <c r="A228" s="383" t="str">
        <f t="shared" si="657"/>
        <v>Amenities &amp; Facilities - Community spaces [Board Walk, Children play area]</v>
      </c>
      <c r="B228" s="463" t="s">
        <v>216</v>
      </c>
      <c r="C228" s="464">
        <v>4</v>
      </c>
      <c r="D228" s="470" t="s">
        <v>217</v>
      </c>
      <c r="E228" s="383"/>
      <c r="F228" s="443">
        <f t="shared" si="655"/>
        <v>2</v>
      </c>
      <c r="G228" s="444">
        <f t="shared" si="655"/>
        <v>1</v>
      </c>
      <c r="H228" s="444">
        <f t="shared" si="655"/>
        <v>1</v>
      </c>
      <c r="I228" s="444">
        <f t="shared" si="656"/>
        <v>1</v>
      </c>
      <c r="J228" s="467"/>
      <c r="K228" s="441"/>
      <c r="L228" s="442"/>
      <c r="M228" s="443" t="str">
        <f>IF('Design Fee'!W230&gt;0,"✔","-")</f>
        <v>-</v>
      </c>
      <c r="N228" s="443" t="str">
        <f>IF('Design Fee'!X230&gt;0,"✔","-")</f>
        <v>-</v>
      </c>
      <c r="O228" s="444" t="str">
        <f>IF('Design Fee'!Y230&gt;0,"✔","-")</f>
        <v>-</v>
      </c>
      <c r="P228" s="444" t="str">
        <f>IF('Design Fee'!Z230&gt;0,"✔","-")</f>
        <v>-</v>
      </c>
      <c r="Q228" s="444" t="str">
        <f>IF('Design Fee'!AA230&gt;0,"✔","-")</f>
        <v>-</v>
      </c>
      <c r="R228" s="444" t="str">
        <f>IF('Design Fee'!AB230&gt;0,"✔","-")</f>
        <v>-</v>
      </c>
      <c r="S228" s="444" t="str">
        <f>IF('Design Fee'!AC230&gt;0,"✔","-")</f>
        <v>-</v>
      </c>
      <c r="T228" s="466" t="str">
        <f>IF('Design Fee'!AD230&gt;0,"✔","-")</f>
        <v>-</v>
      </c>
      <c r="U228" s="467"/>
      <c r="V228" s="444" t="str">
        <f>IF('Design Fee'!AF230&gt;0,"✔","-")</f>
        <v>-</v>
      </c>
      <c r="W228" s="444" t="str">
        <f>IF('Design Fee'!AG230&gt;0,"✔","-")</f>
        <v>-</v>
      </c>
      <c r="X228" s="444" t="str">
        <f>IF('Design Fee'!AH230&gt;0,"✔","-")</f>
        <v>-</v>
      </c>
      <c r="Y228" s="444" t="str">
        <f>IF('Design Fee'!AI230&gt;0,"✔","-")</f>
        <v>-</v>
      </c>
      <c r="Z228" s="444" t="str">
        <f>IF('Design Fee'!AJ230&gt;0,"✔","-")</f>
        <v>-</v>
      </c>
      <c r="AA228" s="467"/>
      <c r="AB228" s="441"/>
      <c r="AC228" s="442"/>
      <c r="AD228" s="443" t="str">
        <f>IF('Design Fee'!BG230&gt;0,"✔","-")</f>
        <v>✔</v>
      </c>
      <c r="AE228" s="443" t="str">
        <f>IF('Design Fee'!BH230&gt;0,"✔","-")</f>
        <v>✔</v>
      </c>
      <c r="AF228" s="444" t="str">
        <f>IF('Design Fee'!BI230&gt;0,"✔","-")</f>
        <v>✔</v>
      </c>
      <c r="AG228" s="444" t="str">
        <f>IF('Design Fee'!BJ230&gt;0,"✔","-")</f>
        <v>-</v>
      </c>
      <c r="AH228" s="444" t="str">
        <f>IF('Design Fee'!BK230&gt;0,"✔","-")</f>
        <v>-</v>
      </c>
      <c r="AI228" s="444" t="str">
        <f>IF('Design Fee'!BL230&gt;0,"✔","-")</f>
        <v>-</v>
      </c>
      <c r="AJ228" s="444" t="str">
        <f>IF('Design Fee'!BM230&gt;0,"✔","-")</f>
        <v>-</v>
      </c>
      <c r="AK228" s="466" t="str">
        <f>IF('Design Fee'!BN230&gt;0,"✔","-")</f>
        <v>-</v>
      </c>
      <c r="AL228" s="445"/>
      <c r="AM228" s="444" t="str">
        <f>IF('Design Fee'!BP230&gt;0,"✔","-")</f>
        <v>-</v>
      </c>
      <c r="AN228" s="444" t="str">
        <f>IF('Design Fee'!BQ230&gt;0,"✔","-")</f>
        <v>-</v>
      </c>
      <c r="AO228" s="444" t="str">
        <f>IF('Design Fee'!BR230&gt;0,"✔","-")</f>
        <v>-</v>
      </c>
      <c r="AP228" s="444" t="str">
        <f>IF('Design Fee'!BS230&gt;0,"✔","-")</f>
        <v>-</v>
      </c>
      <c r="AQ228" s="444" t="str">
        <f>IF('Design Fee'!BT230&gt;0,"✔","-")</f>
        <v>-</v>
      </c>
      <c r="AR228" s="445"/>
      <c r="AS228" s="441"/>
      <c r="AT228" s="442"/>
      <c r="AU228" s="443" t="str">
        <f>IF('Design Fee'!CQ230&gt;0,"✔","-")</f>
        <v>-</v>
      </c>
      <c r="AV228" s="443" t="str">
        <f>IF('Design Fee'!CR230&gt;0,"✔","-")</f>
        <v>-</v>
      </c>
      <c r="AW228" s="444" t="str">
        <f>IF('Design Fee'!CS230&gt;0,"✔","-")</f>
        <v>-</v>
      </c>
      <c r="AX228" s="444" t="str">
        <f>IF('Design Fee'!CT230&gt;0,"✔","-")</f>
        <v>-</v>
      </c>
      <c r="AY228" s="444" t="str">
        <f>IF('Design Fee'!CU230&gt;0,"✔","-")</f>
        <v>-</v>
      </c>
      <c r="AZ228" s="444" t="str">
        <f>IF('Design Fee'!CV230&gt;0,"✔","-")</f>
        <v>-</v>
      </c>
      <c r="BA228" s="444" t="str">
        <f>IF('Design Fee'!CW230&gt;0,"✔","-")</f>
        <v>-</v>
      </c>
      <c r="BB228" s="466" t="str">
        <f>IF('Design Fee'!CX230&gt;0,"✔","-")</f>
        <v>-</v>
      </c>
      <c r="BC228" s="445"/>
      <c r="BD228" s="444" t="str">
        <f>IF('Design Fee'!CZ230&gt;0,"✔","-")</f>
        <v>-</v>
      </c>
      <c r="BE228" s="444" t="str">
        <f>IF('Design Fee'!DA230&gt;0,"✔","-")</f>
        <v>-</v>
      </c>
      <c r="BF228" s="444" t="str">
        <f>IF('Design Fee'!DB230&gt;0,"✔","-")</f>
        <v>-</v>
      </c>
      <c r="BG228" s="444" t="str">
        <f>IF('Design Fee'!DC230&gt;0,"✔","-")</f>
        <v>-</v>
      </c>
      <c r="BH228" s="444" t="str">
        <f>IF('Design Fee'!DD230&gt;0,"✔","-")</f>
        <v>-</v>
      </c>
      <c r="BI228" s="445"/>
      <c r="BJ228" s="441"/>
      <c r="BK228" s="442"/>
      <c r="BL228" s="443" t="str">
        <f>IF('Design Fee'!EA230&gt;0,"✔","-")</f>
        <v>✔</v>
      </c>
      <c r="BM228" s="443" t="str">
        <f>IF('Design Fee'!EB230&gt;0,"✔","-")</f>
        <v>-</v>
      </c>
      <c r="BN228" s="444" t="str">
        <f>IF('Design Fee'!EC230&gt;0,"✔","-")</f>
        <v>-</v>
      </c>
      <c r="BO228" s="444" t="str">
        <f>IF('Design Fee'!ED230&gt;0,"✔","-")</f>
        <v>✔</v>
      </c>
      <c r="BP228" s="444" t="str">
        <f>IF('Design Fee'!EE230&gt;0,"✔","-")</f>
        <v>✔</v>
      </c>
      <c r="BQ228" s="444" t="str">
        <f>IF('Design Fee'!EF230&gt;0,"✔","-")</f>
        <v>-</v>
      </c>
      <c r="BR228" s="444" t="str">
        <f>IF('Design Fee'!EG230&gt;0,"✔","-")</f>
        <v>-</v>
      </c>
      <c r="BS228" s="466" t="str">
        <f>IF('Design Fee'!EH230&gt;0,"✔","-")</f>
        <v>-</v>
      </c>
      <c r="BT228" s="383"/>
      <c r="BU228" s="444" t="str">
        <f>IF('Design Fee'!EJ230&gt;0,"✔","-")</f>
        <v>-</v>
      </c>
      <c r="BV228" s="444" t="str">
        <f>IF('Design Fee'!EK230&gt;0,"✔","-")</f>
        <v>-</v>
      </c>
      <c r="BW228" s="444" t="str">
        <f>IF('Design Fee'!EL230&gt;0,"✔","-")</f>
        <v>-</v>
      </c>
      <c r="BX228" s="444" t="str">
        <f>IF('Design Fee'!EM230&gt;0,"✔","-")</f>
        <v>-</v>
      </c>
      <c r="BY228" s="444" t="str">
        <f>IF('Design Fee'!EN230&gt;0,"✔","-")</f>
        <v>-</v>
      </c>
      <c r="BZ228" s="383"/>
    </row>
    <row r="229" spans="1:78" ht="12.75" outlineLevel="2">
      <c r="A229" s="383" t="str">
        <f t="shared" si="657"/>
        <v>Amenities &amp; Facilities - Sporting Facilities</v>
      </c>
      <c r="B229" s="463" t="s">
        <v>218</v>
      </c>
      <c r="C229" s="464">
        <v>5</v>
      </c>
      <c r="D229" s="470" t="s">
        <v>219</v>
      </c>
      <c r="E229" s="383"/>
      <c r="F229" s="443">
        <f t="shared" si="655"/>
        <v>3</v>
      </c>
      <c r="G229" s="444">
        <f t="shared" si="655"/>
        <v>0</v>
      </c>
      <c r="H229" s="444">
        <f t="shared" si="655"/>
        <v>0</v>
      </c>
      <c r="I229" s="444">
        <f t="shared" si="656"/>
        <v>3</v>
      </c>
      <c r="J229" s="467"/>
      <c r="K229" s="441"/>
      <c r="L229" s="442"/>
      <c r="M229" s="443" t="str">
        <f>IF('Design Fee'!W231&gt;0,"✔","-")</f>
        <v>✔</v>
      </c>
      <c r="N229" s="443" t="str">
        <f>IF('Design Fee'!X231&gt;0,"✔","-")</f>
        <v>-</v>
      </c>
      <c r="O229" s="444" t="str">
        <f>IF('Design Fee'!Y231&gt;0,"✔","-")</f>
        <v>-</v>
      </c>
      <c r="P229" s="444" t="str">
        <f>IF('Design Fee'!Z231&gt;0,"✔","-")</f>
        <v>✔</v>
      </c>
      <c r="Q229" s="444" t="str">
        <f>IF('Design Fee'!AA231&gt;0,"✔","-")</f>
        <v>✔</v>
      </c>
      <c r="R229" s="444" t="str">
        <f>IF('Design Fee'!AB231&gt;0,"✔","-")</f>
        <v>-</v>
      </c>
      <c r="S229" s="444" t="str">
        <f>IF('Design Fee'!AC231&gt;0,"✔","-")</f>
        <v>-</v>
      </c>
      <c r="T229" s="466" t="str">
        <f>IF('Design Fee'!AD231&gt;0,"✔","-")</f>
        <v>-</v>
      </c>
      <c r="U229" s="467"/>
      <c r="V229" s="444" t="str">
        <f>IF('Design Fee'!AF231&gt;0,"✔","-")</f>
        <v>-</v>
      </c>
      <c r="W229" s="444" t="str">
        <f>IF('Design Fee'!AG231&gt;0,"✔","-")</f>
        <v>-</v>
      </c>
      <c r="X229" s="444" t="str">
        <f>IF('Design Fee'!AH231&gt;0,"✔","-")</f>
        <v>-</v>
      </c>
      <c r="Y229" s="444" t="str">
        <f>IF('Design Fee'!AI231&gt;0,"✔","-")</f>
        <v>-</v>
      </c>
      <c r="Z229" s="444" t="str">
        <f>IF('Design Fee'!AJ231&gt;0,"✔","-")</f>
        <v>-</v>
      </c>
      <c r="AA229" s="467"/>
      <c r="AB229" s="441"/>
      <c r="AC229" s="442"/>
      <c r="AD229" s="443" t="str">
        <f>IF('Design Fee'!BG231&gt;0,"✔","-")</f>
        <v>✔</v>
      </c>
      <c r="AE229" s="443" t="str">
        <f>IF('Design Fee'!BH231&gt;0,"✔","-")</f>
        <v>-</v>
      </c>
      <c r="AF229" s="444" t="str">
        <f>IF('Design Fee'!BI231&gt;0,"✔","-")</f>
        <v>-</v>
      </c>
      <c r="AG229" s="444" t="str">
        <f>IF('Design Fee'!BJ231&gt;0,"✔","-")</f>
        <v>✔</v>
      </c>
      <c r="AH229" s="444" t="str">
        <f>IF('Design Fee'!BK231&gt;0,"✔","-")</f>
        <v>✔</v>
      </c>
      <c r="AI229" s="444" t="str">
        <f>IF('Design Fee'!BL231&gt;0,"✔","-")</f>
        <v>-</v>
      </c>
      <c r="AJ229" s="444" t="str">
        <f>IF('Design Fee'!BM231&gt;0,"✔","-")</f>
        <v>-</v>
      </c>
      <c r="AK229" s="466" t="str">
        <f>IF('Design Fee'!BN231&gt;0,"✔","-")</f>
        <v>-</v>
      </c>
      <c r="AL229" s="445"/>
      <c r="AM229" s="444" t="str">
        <f>IF('Design Fee'!BP231&gt;0,"✔","-")</f>
        <v>-</v>
      </c>
      <c r="AN229" s="444" t="str">
        <f>IF('Design Fee'!BQ231&gt;0,"✔","-")</f>
        <v>-</v>
      </c>
      <c r="AO229" s="444" t="str">
        <f>IF('Design Fee'!BR231&gt;0,"✔","-")</f>
        <v>-</v>
      </c>
      <c r="AP229" s="444" t="str">
        <f>IF('Design Fee'!BS231&gt;0,"✔","-")</f>
        <v>-</v>
      </c>
      <c r="AQ229" s="444" t="str">
        <f>IF('Design Fee'!BT231&gt;0,"✔","-")</f>
        <v>-</v>
      </c>
      <c r="AR229" s="445"/>
      <c r="AS229" s="441"/>
      <c r="AT229" s="442"/>
      <c r="AU229" s="443" t="str">
        <f>IF('Design Fee'!CQ231&gt;0,"✔","-")</f>
        <v>✔</v>
      </c>
      <c r="AV229" s="443" t="str">
        <f>IF('Design Fee'!CR231&gt;0,"✔","-")</f>
        <v>-</v>
      </c>
      <c r="AW229" s="444" t="str">
        <f>IF('Design Fee'!CS231&gt;0,"✔","-")</f>
        <v>-</v>
      </c>
      <c r="AX229" s="444" t="str">
        <f>IF('Design Fee'!CT231&gt;0,"✔","-")</f>
        <v>✔</v>
      </c>
      <c r="AY229" s="444" t="str">
        <f>IF('Design Fee'!CU231&gt;0,"✔","-")</f>
        <v>✔</v>
      </c>
      <c r="AZ229" s="444" t="str">
        <f>IF('Design Fee'!CV231&gt;0,"✔","-")</f>
        <v>-</v>
      </c>
      <c r="BA229" s="444" t="str">
        <f>IF('Design Fee'!CW231&gt;0,"✔","-")</f>
        <v>-</v>
      </c>
      <c r="BB229" s="466" t="str">
        <f>IF('Design Fee'!CX231&gt;0,"✔","-")</f>
        <v>-</v>
      </c>
      <c r="BC229" s="445"/>
      <c r="BD229" s="444" t="str">
        <f>IF('Design Fee'!CZ231&gt;0,"✔","-")</f>
        <v>-</v>
      </c>
      <c r="BE229" s="444" t="str">
        <f>IF('Design Fee'!DA231&gt;0,"✔","-")</f>
        <v>-</v>
      </c>
      <c r="BF229" s="444" t="str">
        <f>IF('Design Fee'!DB231&gt;0,"✔","-")</f>
        <v>-</v>
      </c>
      <c r="BG229" s="444" t="str">
        <f>IF('Design Fee'!DC231&gt;0,"✔","-")</f>
        <v>-</v>
      </c>
      <c r="BH229" s="444" t="str">
        <f>IF('Design Fee'!DD231&gt;0,"✔","-")</f>
        <v>-</v>
      </c>
      <c r="BI229" s="445"/>
      <c r="BJ229" s="441"/>
      <c r="BK229" s="442"/>
      <c r="BL229" s="443" t="str">
        <f>IF('Design Fee'!EA231&gt;0,"✔","-")</f>
        <v>-</v>
      </c>
      <c r="BM229" s="443" t="str">
        <f>IF('Design Fee'!EB231&gt;0,"✔","-")</f>
        <v>-</v>
      </c>
      <c r="BN229" s="444" t="str">
        <f>IF('Design Fee'!EC231&gt;0,"✔","-")</f>
        <v>-</v>
      </c>
      <c r="BO229" s="444" t="str">
        <f>IF('Design Fee'!ED231&gt;0,"✔","-")</f>
        <v>-</v>
      </c>
      <c r="BP229" s="444" t="str">
        <f>IF('Design Fee'!EE231&gt;0,"✔","-")</f>
        <v>-</v>
      </c>
      <c r="BQ229" s="444" t="str">
        <f>IF('Design Fee'!EF231&gt;0,"✔","-")</f>
        <v>-</v>
      </c>
      <c r="BR229" s="444" t="str">
        <f>IF('Design Fee'!EG231&gt;0,"✔","-")</f>
        <v>-</v>
      </c>
      <c r="BS229" s="466" t="str">
        <f>IF('Design Fee'!EH231&gt;0,"✔","-")</f>
        <v>-</v>
      </c>
      <c r="BT229" s="383"/>
      <c r="BU229" s="444" t="str">
        <f>IF('Design Fee'!EJ231&gt;0,"✔","-")</f>
        <v>-</v>
      </c>
      <c r="BV229" s="444" t="str">
        <f>IF('Design Fee'!EK231&gt;0,"✔","-")</f>
        <v>-</v>
      </c>
      <c r="BW229" s="444" t="str">
        <f>IF('Design Fee'!EL231&gt;0,"✔","-")</f>
        <v>-</v>
      </c>
      <c r="BX229" s="444" t="str">
        <f>IF('Design Fee'!EM231&gt;0,"✔","-")</f>
        <v>-</v>
      </c>
      <c r="BY229" s="444" t="str">
        <f>IF('Design Fee'!EN231&gt;0,"✔","-")</f>
        <v>-</v>
      </c>
      <c r="BZ229" s="383"/>
    </row>
    <row r="230" spans="1:78" ht="3" customHeight="1">
      <c r="A230" s="383"/>
      <c r="B230" s="384"/>
      <c r="C230" s="384"/>
      <c r="D230" s="406"/>
      <c r="E230" s="406"/>
      <c r="F230" s="408"/>
      <c r="G230" s="421"/>
      <c r="H230" s="421"/>
      <c r="I230" s="421"/>
      <c r="J230" s="430"/>
      <c r="K230" s="420"/>
      <c r="L230" s="429"/>
      <c r="M230" s="408"/>
      <c r="N230" s="408"/>
      <c r="O230" s="421"/>
      <c r="P230" s="421"/>
      <c r="Q230" s="444"/>
      <c r="R230" s="444"/>
      <c r="S230" s="444"/>
      <c r="T230" s="466"/>
      <c r="U230" s="430"/>
      <c r="V230" s="421"/>
      <c r="W230" s="444"/>
      <c r="X230" s="444"/>
      <c r="Y230" s="444"/>
      <c r="Z230" s="444"/>
      <c r="AA230" s="430"/>
      <c r="AB230" s="420"/>
      <c r="AC230" s="429"/>
      <c r="AD230" s="408"/>
      <c r="AE230" s="408"/>
      <c r="AF230" s="421"/>
      <c r="AG230" s="421"/>
      <c r="AH230" s="421"/>
      <c r="AI230" s="421"/>
      <c r="AJ230" s="421"/>
      <c r="AK230" s="421"/>
      <c r="AL230" s="421"/>
      <c r="AM230" s="421"/>
      <c r="AN230" s="421"/>
      <c r="AO230" s="421"/>
      <c r="AP230" s="421"/>
      <c r="AQ230" s="421"/>
      <c r="AR230" s="421"/>
      <c r="AS230" s="420"/>
      <c r="AT230" s="421"/>
      <c r="AU230" s="408"/>
      <c r="AV230" s="408"/>
      <c r="AW230" s="421"/>
      <c r="AX230" s="421"/>
      <c r="AY230" s="421"/>
      <c r="AZ230" s="421"/>
      <c r="BA230" s="421"/>
      <c r="BB230" s="421"/>
      <c r="BC230" s="421"/>
      <c r="BD230" s="421"/>
      <c r="BE230" s="421"/>
      <c r="BF230" s="421"/>
      <c r="BG230" s="421"/>
      <c r="BH230" s="421"/>
      <c r="BI230" s="421"/>
      <c r="BJ230" s="420"/>
      <c r="BK230" s="421"/>
      <c r="BL230" s="408"/>
      <c r="BM230" s="408"/>
      <c r="BN230" s="421"/>
      <c r="BO230" s="421"/>
      <c r="BP230" s="421"/>
      <c r="BQ230" s="421"/>
      <c r="BR230" s="421"/>
      <c r="BS230" s="421"/>
      <c r="BT230" s="406"/>
      <c r="BU230" s="421"/>
      <c r="BV230" s="421"/>
      <c r="BW230" s="421"/>
      <c r="BX230" s="421"/>
      <c r="BY230" s="421"/>
      <c r="BZ230" s="406"/>
    </row>
    <row r="231" spans="1:78" ht="18">
      <c r="A231" s="383"/>
      <c r="B231" s="383"/>
      <c r="C231" s="797" t="s">
        <v>220</v>
      </c>
      <c r="D231" s="797"/>
      <c r="E231" s="406"/>
      <c r="F231" s="426"/>
      <c r="G231" s="426"/>
      <c r="H231" s="426"/>
      <c r="I231" s="426"/>
      <c r="J231" s="427"/>
      <c r="K231" s="424"/>
      <c r="L231" s="425"/>
      <c r="M231" s="426"/>
      <c r="N231" s="426"/>
      <c r="O231" s="426"/>
      <c r="P231" s="426"/>
      <c r="Q231" s="489"/>
      <c r="R231" s="489"/>
      <c r="S231" s="489"/>
      <c r="T231" s="489"/>
      <c r="U231" s="427"/>
      <c r="V231" s="426"/>
      <c r="W231" s="489"/>
      <c r="X231" s="489"/>
      <c r="Y231" s="489"/>
      <c r="Z231" s="489"/>
      <c r="AA231" s="427"/>
      <c r="AB231" s="424"/>
      <c r="AC231" s="425"/>
      <c r="AD231" s="426"/>
      <c r="AE231" s="426"/>
      <c r="AF231" s="426"/>
      <c r="AG231" s="426"/>
      <c r="AH231" s="489"/>
      <c r="AI231" s="489"/>
      <c r="AJ231" s="489"/>
      <c r="AK231" s="489"/>
      <c r="AL231" s="425"/>
      <c r="AM231" s="426"/>
      <c r="AN231" s="489"/>
      <c r="AO231" s="489"/>
      <c r="AP231" s="489"/>
      <c r="AQ231" s="489"/>
      <c r="AR231" s="425"/>
      <c r="AS231" s="424"/>
      <c r="AT231" s="425"/>
      <c r="AU231" s="426"/>
      <c r="AV231" s="426"/>
      <c r="AW231" s="426"/>
      <c r="AX231" s="426"/>
      <c r="AY231" s="489"/>
      <c r="AZ231" s="489"/>
      <c r="BA231" s="489"/>
      <c r="BB231" s="489"/>
      <c r="BC231" s="425"/>
      <c r="BD231" s="426"/>
      <c r="BE231" s="489"/>
      <c r="BF231" s="489"/>
      <c r="BG231" s="489"/>
      <c r="BH231" s="489"/>
      <c r="BI231" s="425"/>
      <c r="BJ231" s="424"/>
      <c r="BK231" s="425"/>
      <c r="BL231" s="426"/>
      <c r="BM231" s="426"/>
      <c r="BN231" s="426" t="str">
        <f>IF('Design Fee'!EC233&gt;0,"✔","-")</f>
        <v>-</v>
      </c>
      <c r="BO231" s="426" t="str">
        <f>IF('Design Fee'!ED233&gt;0,"✔","-")</f>
        <v>✔</v>
      </c>
      <c r="BP231" s="489" t="str">
        <f>IF('Design Fee'!EE233&gt;0,"✔","-")</f>
        <v>-</v>
      </c>
      <c r="BQ231" s="489" t="str">
        <f>IF('Design Fee'!EF233&gt;0,"✔","-")</f>
        <v>✔</v>
      </c>
      <c r="BR231" s="489" t="str">
        <f>IF('Design Fee'!EG233&gt;0,"✔","-")</f>
        <v>-</v>
      </c>
      <c r="BS231" s="489" t="str">
        <f>IF('Design Fee'!EH233&gt;0,"✔","-")</f>
        <v>-</v>
      </c>
      <c r="BT231" s="406"/>
      <c r="BU231" s="426" t="str">
        <f>IF('Design Fee'!EJ233&gt;0,"✔","-")</f>
        <v>-</v>
      </c>
      <c r="BV231" s="489" t="str">
        <f>IF('Design Fee'!EK233&gt;0,"✔","-")</f>
        <v>-</v>
      </c>
      <c r="BW231" s="489" t="str">
        <f>IF('Design Fee'!EL233&gt;0,"✔","-")</f>
        <v>-</v>
      </c>
      <c r="BX231" s="489" t="str">
        <f>IF('Design Fee'!EM233&gt;0,"✔","-")</f>
        <v>-</v>
      </c>
      <c r="BY231" s="489" t="str">
        <f>IF('Design Fee'!EN233&gt;0,"✔","-")</f>
        <v>-</v>
      </c>
      <c r="BZ231" s="406"/>
    </row>
    <row r="232" spans="1:78" ht="3" customHeight="1" outlineLevel="1">
      <c r="A232" s="383"/>
      <c r="B232" s="384"/>
      <c r="C232" s="384"/>
      <c r="D232" s="405"/>
      <c r="E232" s="406"/>
      <c r="F232" s="408"/>
      <c r="G232" s="421"/>
      <c r="H232" s="421"/>
      <c r="I232" s="421"/>
      <c r="J232" s="430"/>
      <c r="K232" s="420"/>
      <c r="L232" s="429"/>
      <c r="M232" s="408"/>
      <c r="N232" s="408"/>
      <c r="O232" s="421"/>
      <c r="P232" s="421"/>
      <c r="Q232" s="421"/>
      <c r="R232" s="421"/>
      <c r="S232" s="421"/>
      <c r="T232" s="421"/>
      <c r="U232" s="430"/>
      <c r="V232" s="421"/>
      <c r="W232" s="421"/>
      <c r="X232" s="421"/>
      <c r="Y232" s="421"/>
      <c r="Z232" s="421"/>
      <c r="AA232" s="430"/>
      <c r="AB232" s="420"/>
      <c r="AC232" s="429"/>
      <c r="AD232" s="408"/>
      <c r="AE232" s="408"/>
      <c r="AF232" s="421"/>
      <c r="AG232" s="421"/>
      <c r="AH232" s="421"/>
      <c r="AI232" s="421"/>
      <c r="AJ232" s="421"/>
      <c r="AK232" s="421"/>
      <c r="AL232" s="421"/>
      <c r="AM232" s="421"/>
      <c r="AN232" s="421"/>
      <c r="AO232" s="421"/>
      <c r="AP232" s="421"/>
      <c r="AQ232" s="421"/>
      <c r="AR232" s="421"/>
      <c r="AS232" s="420"/>
      <c r="AT232" s="421"/>
      <c r="AU232" s="408"/>
      <c r="AV232" s="408"/>
      <c r="AW232" s="421"/>
      <c r="AX232" s="421"/>
      <c r="AY232" s="421"/>
      <c r="AZ232" s="421"/>
      <c r="BA232" s="421"/>
      <c r="BB232" s="421"/>
      <c r="BC232" s="421"/>
      <c r="BD232" s="421"/>
      <c r="BE232" s="421"/>
      <c r="BF232" s="421"/>
      <c r="BG232" s="421"/>
      <c r="BH232" s="421"/>
      <c r="BI232" s="421"/>
      <c r="BJ232" s="420"/>
      <c r="BK232" s="421"/>
      <c r="BL232" s="408"/>
      <c r="BM232" s="408"/>
      <c r="BN232" s="421"/>
      <c r="BO232" s="421"/>
      <c r="BP232" s="421"/>
      <c r="BQ232" s="421"/>
      <c r="BR232" s="421"/>
      <c r="BS232" s="421"/>
      <c r="BT232" s="406"/>
      <c r="BU232" s="421"/>
      <c r="BV232" s="421"/>
      <c r="BW232" s="421"/>
      <c r="BX232" s="421"/>
      <c r="BY232" s="421"/>
      <c r="BZ232" s="406"/>
    </row>
    <row r="233" spans="1:78" ht="12.75" outlineLevel="1">
      <c r="A233" s="383"/>
      <c r="B233" s="432">
        <v>1</v>
      </c>
      <c r="C233" s="432">
        <v>1</v>
      </c>
      <c r="D233" s="433" t="s">
        <v>221</v>
      </c>
      <c r="E233" s="434"/>
      <c r="F233" s="461">
        <f>M233+AD233+AU233+BL233</f>
        <v>3</v>
      </c>
      <c r="G233" s="461"/>
      <c r="H233" s="461"/>
      <c r="I233" s="461">
        <f t="shared" ref="I233" si="658">P233+AG233+AX233+BO233</f>
        <v>3</v>
      </c>
      <c r="J233" s="438"/>
      <c r="K233" s="435"/>
      <c r="L233" s="435"/>
      <c r="M233" s="461">
        <f>COUNT(M234)</f>
        <v>0</v>
      </c>
      <c r="N233" s="461">
        <f>COUNT(N234)</f>
        <v>0</v>
      </c>
      <c r="O233" s="437" t="str">
        <f>IF('Design Fee'!Y235&gt;0,"✔","-")</f>
        <v>-</v>
      </c>
      <c r="P233" s="461">
        <f>COUNT(P234)</f>
        <v>0</v>
      </c>
      <c r="Q233" s="437" t="str">
        <f>IF('Design Fee'!AA235&gt;0,"✔","-")</f>
        <v>-</v>
      </c>
      <c r="R233" s="437" t="str">
        <f>IF('Design Fee'!AB235&gt;0,"✔","-")</f>
        <v>✔</v>
      </c>
      <c r="S233" s="461">
        <f>COUNT(S234)</f>
        <v>0</v>
      </c>
      <c r="T233" s="437" t="str">
        <f>IF('Design Fee'!AD235&gt;0,"✔","-")</f>
        <v>-</v>
      </c>
      <c r="U233" s="438"/>
      <c r="V233" s="437" t="str">
        <f>IF('Design Fee'!AF235&gt;0,"✔","-")</f>
        <v>-</v>
      </c>
      <c r="W233" s="437" t="str">
        <f>IF('Design Fee'!AG235&gt;0,"✔","-")</f>
        <v>-</v>
      </c>
      <c r="X233" s="437" t="str">
        <f>IF('Design Fee'!AH235&gt;0,"✔","-")</f>
        <v>-</v>
      </c>
      <c r="Y233" s="437" t="str">
        <f>IF('Design Fee'!AI235&gt;0,"✔","-")</f>
        <v>-</v>
      </c>
      <c r="Z233" s="437" t="str">
        <f>IF('Design Fee'!AJ235&gt;0,"✔","-")</f>
        <v>-</v>
      </c>
      <c r="AA233" s="438"/>
      <c r="AB233" s="435"/>
      <c r="AC233" s="435"/>
      <c r="AD233" s="461">
        <f t="shared" ref="AD233:AR233" si="659">COUNTIF(AD234:AD237,"✔")</f>
        <v>1</v>
      </c>
      <c r="AE233" s="461">
        <f t="shared" si="659"/>
        <v>0</v>
      </c>
      <c r="AF233" s="461">
        <f t="shared" si="659"/>
        <v>0</v>
      </c>
      <c r="AG233" s="461">
        <f t="shared" si="659"/>
        <v>1</v>
      </c>
      <c r="AH233" s="461">
        <f t="shared" si="659"/>
        <v>0</v>
      </c>
      <c r="AI233" s="461">
        <f t="shared" si="659"/>
        <v>1</v>
      </c>
      <c r="AJ233" s="461">
        <f t="shared" si="659"/>
        <v>0</v>
      </c>
      <c r="AK233" s="461">
        <f t="shared" si="659"/>
        <v>0</v>
      </c>
      <c r="AL233" s="461">
        <f t="shared" si="659"/>
        <v>0</v>
      </c>
      <c r="AM233" s="461">
        <f t="shared" si="659"/>
        <v>0</v>
      </c>
      <c r="AN233" s="461">
        <f t="shared" si="659"/>
        <v>0</v>
      </c>
      <c r="AO233" s="461">
        <f t="shared" si="659"/>
        <v>0</v>
      </c>
      <c r="AP233" s="461">
        <f t="shared" si="659"/>
        <v>0</v>
      </c>
      <c r="AQ233" s="461">
        <f t="shared" si="659"/>
        <v>0</v>
      </c>
      <c r="AR233" s="461">
        <f t="shared" si="659"/>
        <v>0</v>
      </c>
      <c r="AS233" s="435"/>
      <c r="AT233" s="461">
        <f t="shared" ref="AT233:BI233" si="660">COUNTIF(AT234:AT237,"✔")</f>
        <v>0</v>
      </c>
      <c r="AU233" s="461">
        <f t="shared" si="660"/>
        <v>1</v>
      </c>
      <c r="AV233" s="461">
        <f t="shared" si="660"/>
        <v>0</v>
      </c>
      <c r="AW233" s="461">
        <f t="shared" si="660"/>
        <v>0</v>
      </c>
      <c r="AX233" s="461">
        <f t="shared" si="660"/>
        <v>1</v>
      </c>
      <c r="AY233" s="461">
        <f t="shared" si="660"/>
        <v>0</v>
      </c>
      <c r="AZ233" s="461">
        <f t="shared" si="660"/>
        <v>1</v>
      </c>
      <c r="BA233" s="461">
        <f t="shared" si="660"/>
        <v>0</v>
      </c>
      <c r="BB233" s="461">
        <f t="shared" si="660"/>
        <v>0</v>
      </c>
      <c r="BC233" s="461">
        <f t="shared" si="660"/>
        <v>0</v>
      </c>
      <c r="BD233" s="461">
        <f t="shared" si="660"/>
        <v>0</v>
      </c>
      <c r="BE233" s="461">
        <f t="shared" si="660"/>
        <v>0</v>
      </c>
      <c r="BF233" s="461">
        <f t="shared" si="660"/>
        <v>0</v>
      </c>
      <c r="BG233" s="461">
        <f t="shared" si="660"/>
        <v>0</v>
      </c>
      <c r="BH233" s="461">
        <f t="shared" si="660"/>
        <v>0</v>
      </c>
      <c r="BI233" s="461">
        <f t="shared" si="660"/>
        <v>0</v>
      </c>
      <c r="BJ233" s="435"/>
      <c r="BK233" s="461">
        <f t="shared" ref="BK233:BS233" si="661">COUNTIF(BK234:BK237,"✔")</f>
        <v>0</v>
      </c>
      <c r="BL233" s="461">
        <f t="shared" si="661"/>
        <v>1</v>
      </c>
      <c r="BM233" s="461">
        <f t="shared" si="661"/>
        <v>0</v>
      </c>
      <c r="BN233" s="461">
        <f t="shared" si="661"/>
        <v>0</v>
      </c>
      <c r="BO233" s="461">
        <f t="shared" si="661"/>
        <v>1</v>
      </c>
      <c r="BP233" s="461">
        <f t="shared" si="661"/>
        <v>0</v>
      </c>
      <c r="BQ233" s="461">
        <f t="shared" si="661"/>
        <v>1</v>
      </c>
      <c r="BR233" s="461">
        <f t="shared" si="661"/>
        <v>0</v>
      </c>
      <c r="BS233" s="461">
        <f t="shared" si="661"/>
        <v>0</v>
      </c>
      <c r="BT233" s="383"/>
      <c r="BU233" s="461">
        <f>COUNTIF(BU234:BU237,"✔")</f>
        <v>0</v>
      </c>
      <c r="BV233" s="461">
        <f>COUNTIF(BV234:BV237,"✔")</f>
        <v>0</v>
      </c>
      <c r="BW233" s="461">
        <f>COUNTIF(BW234:BW237,"✔")</f>
        <v>0</v>
      </c>
      <c r="BX233" s="461">
        <f>COUNTIF(BX234:BX237,"✔")</f>
        <v>0</v>
      </c>
      <c r="BY233" s="461">
        <f>COUNTIF(BY234:BY237,"✔")</f>
        <v>0</v>
      </c>
      <c r="BZ233" s="383"/>
    </row>
    <row r="234" spans="1:78" ht="12.75" outlineLevel="2">
      <c r="A234" s="383"/>
      <c r="B234" s="463">
        <v>1</v>
      </c>
      <c r="C234" s="463">
        <v>1</v>
      </c>
      <c r="D234" s="385" t="s">
        <v>222</v>
      </c>
      <c r="E234" s="385"/>
      <c r="F234" s="443">
        <f>COUNTIF(M234,"✔")+COUNTIF(AD234,"✔")+COUNTIF(BL234,"✔")+COUNTIF(AU234,"✔")</f>
        <v>4</v>
      </c>
      <c r="G234" s="444">
        <f>COUNTIF(N234,"✔")+COUNTIF(AE234,"✔")+COUNTIF(BM234,"✔")+COUNTIF(AV234,"✔")</f>
        <v>0</v>
      </c>
      <c r="H234" s="444">
        <f>COUNTIF(O234,"✔")+COUNTIF(AF234,"✔")+COUNTIF(BN234,"✔")+COUNTIF(AW234,"✔")</f>
        <v>0</v>
      </c>
      <c r="I234" s="444">
        <f t="shared" ref="I234" si="662">F234-G234</f>
        <v>4</v>
      </c>
      <c r="J234" s="467"/>
      <c r="K234" s="441"/>
      <c r="L234" s="490"/>
      <c r="M234" s="443" t="str">
        <f>IF('Design Fee'!W236&gt;0,"✔","-")</f>
        <v>✔</v>
      </c>
      <c r="N234" s="443" t="str">
        <f>IF('Design Fee'!X236&gt;0,"✔","-")</f>
        <v>-</v>
      </c>
      <c r="O234" s="444" t="str">
        <f>IF('Design Fee'!Y236&gt;0,"✔","-")</f>
        <v>-</v>
      </c>
      <c r="P234" s="444" t="str">
        <f>IF('Design Fee'!Z236&gt;0,"✔","-")</f>
        <v>✔</v>
      </c>
      <c r="Q234" s="491" t="str">
        <f>IF('Design Fee'!AA236&gt;0,"✔","-")</f>
        <v>-</v>
      </c>
      <c r="R234" s="444" t="str">
        <f>IF('Design Fee'!AB236&gt;0,"✔","-")</f>
        <v>✔</v>
      </c>
      <c r="S234" s="444" t="str">
        <f>IF('Design Fee'!AC236&gt;0,"✔","-")</f>
        <v>-</v>
      </c>
      <c r="T234" s="444" t="str">
        <f>IF('Design Fee'!AD236&gt;0,"✔","-")</f>
        <v>-</v>
      </c>
      <c r="U234" s="467"/>
      <c r="V234" s="444" t="str">
        <f>IF('Design Fee'!AF236&gt;0,"✔","-")</f>
        <v>-</v>
      </c>
      <c r="W234" s="491" t="str">
        <f>IF('Design Fee'!AG236&gt;0,"✔","-")</f>
        <v>-</v>
      </c>
      <c r="X234" s="444" t="str">
        <f>IF('Design Fee'!AH236&gt;0,"✔","-")</f>
        <v>-</v>
      </c>
      <c r="Y234" s="444" t="str">
        <f>IF('Design Fee'!AI236&gt;0,"✔","-")</f>
        <v>-</v>
      </c>
      <c r="Z234" s="444" t="str">
        <f>IF('Design Fee'!AJ236&gt;0,"✔","-")</f>
        <v>-</v>
      </c>
      <c r="AA234" s="467"/>
      <c r="AB234" s="441"/>
      <c r="AC234" s="490"/>
      <c r="AD234" s="443" t="str">
        <f>IF('Design Fee'!BG236&gt;0,"✔","-")</f>
        <v>✔</v>
      </c>
      <c r="AE234" s="443" t="str">
        <f>IF('Design Fee'!BH236&gt;0,"✔","-")</f>
        <v>-</v>
      </c>
      <c r="AF234" s="444" t="str">
        <f>IF('Design Fee'!BI236&gt;0,"✔","-")</f>
        <v>-</v>
      </c>
      <c r="AG234" s="444" t="str">
        <f>IF('Design Fee'!BJ236&gt;0,"✔","-")</f>
        <v>✔</v>
      </c>
      <c r="AH234" s="444" t="str">
        <f>IF('Design Fee'!BK236&gt;0,"✔","-")</f>
        <v>-</v>
      </c>
      <c r="AI234" s="444" t="str">
        <f>IF('Design Fee'!BL236&gt;0,"✔","-")</f>
        <v>✔</v>
      </c>
      <c r="AJ234" s="444" t="str">
        <f>IF('Design Fee'!BM236&gt;0,"✔","-")</f>
        <v>-</v>
      </c>
      <c r="AK234" s="444" t="str">
        <f>IF('Design Fee'!BN236&gt;0,"✔","-")</f>
        <v>-</v>
      </c>
      <c r="AL234" s="490"/>
      <c r="AM234" s="444" t="str">
        <f>IF('Design Fee'!BO236&gt;0,"✔","-")</f>
        <v>-</v>
      </c>
      <c r="AN234" s="444" t="str">
        <f>IF('Design Fee'!BP236&gt;0,"✔","-")</f>
        <v>-</v>
      </c>
      <c r="AO234" s="444" t="str">
        <f>IF('Design Fee'!BQ236&gt;0,"✔","-")</f>
        <v>-</v>
      </c>
      <c r="AP234" s="444" t="str">
        <f>IF('Design Fee'!BR236&gt;0,"✔","-")</f>
        <v>-</v>
      </c>
      <c r="AQ234" s="444" t="str">
        <f>IF('Design Fee'!BS236&gt;0,"✔","-")</f>
        <v>-</v>
      </c>
      <c r="AR234" s="490"/>
      <c r="AS234" s="441"/>
      <c r="AT234" s="490"/>
      <c r="AU234" s="443" t="str">
        <f>IF('Design Fee'!CQ236&gt;0,"✔","-")</f>
        <v>✔</v>
      </c>
      <c r="AV234" s="443" t="str">
        <f>IF('Design Fee'!CR236&gt;0,"✔","-")</f>
        <v>-</v>
      </c>
      <c r="AW234" s="444" t="str">
        <f>IF('Design Fee'!CS236&gt;0,"✔","-")</f>
        <v>-</v>
      </c>
      <c r="AX234" s="444" t="str">
        <f>IF('Design Fee'!CT236&gt;0,"✔","-")</f>
        <v>✔</v>
      </c>
      <c r="AY234" s="491" t="str">
        <f>IF('Design Fee'!CU236&gt;0,"✔","-")</f>
        <v>-</v>
      </c>
      <c r="AZ234" s="444" t="str">
        <f>IF('Design Fee'!CV236&gt;0,"✔","-")</f>
        <v>✔</v>
      </c>
      <c r="BA234" s="444" t="str">
        <f>IF('Design Fee'!CW236&gt;0,"✔","-")</f>
        <v>-</v>
      </c>
      <c r="BB234" s="444" t="str">
        <f>IF('Design Fee'!CX236&gt;0,"✔","-")</f>
        <v>-</v>
      </c>
      <c r="BC234" s="490"/>
      <c r="BD234" s="444" t="str">
        <f>IF('Design Fee'!CZ236&gt;0,"✔","-")</f>
        <v>-</v>
      </c>
      <c r="BE234" s="491" t="str">
        <f>IF('Design Fee'!DA236&gt;0,"✔","-")</f>
        <v>-</v>
      </c>
      <c r="BF234" s="444" t="str">
        <f>IF('Design Fee'!DB236&gt;0,"✔","-")</f>
        <v>-</v>
      </c>
      <c r="BG234" s="444" t="str">
        <f>IF('Design Fee'!DC236&gt;0,"✔","-")</f>
        <v>-</v>
      </c>
      <c r="BH234" s="444" t="str">
        <f>IF('Design Fee'!DD236&gt;0,"✔","-")</f>
        <v>-</v>
      </c>
      <c r="BI234" s="490"/>
      <c r="BJ234" s="441"/>
      <c r="BK234" s="490"/>
      <c r="BL234" s="443" t="str">
        <f>IF('Design Fee'!EA236&gt;0,"✔","-")</f>
        <v>✔</v>
      </c>
      <c r="BM234" s="443" t="str">
        <f>IF('Design Fee'!EB236&gt;0,"✔","-")</f>
        <v>-</v>
      </c>
      <c r="BN234" s="444" t="str">
        <f>IF('Design Fee'!EC236&gt;0,"✔","-")</f>
        <v>-</v>
      </c>
      <c r="BO234" s="444" t="str">
        <f>IF('Design Fee'!ED236&gt;0,"✔","-")</f>
        <v>✔</v>
      </c>
      <c r="BP234" s="491" t="str">
        <f>IF('Design Fee'!EE236&gt;0,"✔","-")</f>
        <v>-</v>
      </c>
      <c r="BQ234" s="444" t="str">
        <f>IF('Design Fee'!EF236&gt;0,"✔","-")</f>
        <v>✔</v>
      </c>
      <c r="BR234" s="444" t="str">
        <f>IF('Design Fee'!EG236&gt;0,"✔","-")</f>
        <v>-</v>
      </c>
      <c r="BS234" s="444" t="str">
        <f>IF('Design Fee'!EH236&gt;0,"✔","-")</f>
        <v>-</v>
      </c>
      <c r="BT234" s="385"/>
      <c r="BU234" s="444" t="str">
        <f>IF('Design Fee'!EJ236&gt;0,"✔","-")</f>
        <v>-</v>
      </c>
      <c r="BV234" s="491" t="str">
        <f>IF('Design Fee'!EK236&gt;0,"✔","-")</f>
        <v>-</v>
      </c>
      <c r="BW234" s="444" t="str">
        <f>IF('Design Fee'!EL236&gt;0,"✔","-")</f>
        <v>-</v>
      </c>
      <c r="BX234" s="444" t="str">
        <f>IF('Design Fee'!EM236&gt;0,"✔","-")</f>
        <v>-</v>
      </c>
      <c r="BY234" s="444" t="str">
        <f>IF('Design Fee'!EN236&gt;0,"✔","-")</f>
        <v>-</v>
      </c>
      <c r="BZ234" s="385"/>
    </row>
    <row r="235" spans="1:78" ht="3" customHeight="1">
      <c r="A235" s="383"/>
      <c r="B235" s="463"/>
      <c r="C235" s="463"/>
      <c r="D235" s="385"/>
      <c r="E235" s="385"/>
      <c r="F235" s="408"/>
      <c r="G235" s="421"/>
      <c r="H235" s="421"/>
      <c r="I235" s="421"/>
      <c r="J235" s="467"/>
      <c r="K235" s="441"/>
      <c r="L235" s="490"/>
      <c r="M235" s="443"/>
      <c r="N235" s="443"/>
      <c r="O235" s="444"/>
      <c r="P235" s="444"/>
      <c r="Q235" s="491"/>
      <c r="R235" s="444"/>
      <c r="S235" s="444"/>
      <c r="T235" s="444"/>
      <c r="U235" s="467"/>
      <c r="V235" s="444"/>
      <c r="W235" s="491"/>
      <c r="X235" s="444"/>
      <c r="Y235" s="444"/>
      <c r="Z235" s="444"/>
      <c r="AA235" s="467"/>
      <c r="AB235" s="441"/>
      <c r="AC235" s="490"/>
      <c r="AD235" s="443"/>
      <c r="AE235" s="443"/>
      <c r="AF235" s="421"/>
      <c r="AG235" s="421"/>
      <c r="AH235" s="421"/>
      <c r="AI235" s="421"/>
      <c r="AJ235" s="421"/>
      <c r="AK235" s="421"/>
      <c r="AL235" s="421"/>
      <c r="AM235" s="421"/>
      <c r="AN235" s="421"/>
      <c r="AO235" s="421"/>
      <c r="AP235" s="421"/>
      <c r="AQ235" s="421"/>
      <c r="AR235" s="421"/>
      <c r="AS235" s="441"/>
      <c r="AT235" s="421"/>
      <c r="AU235" s="443"/>
      <c r="AV235" s="443"/>
      <c r="AW235" s="421"/>
      <c r="AX235" s="421"/>
      <c r="AY235" s="421"/>
      <c r="AZ235" s="421"/>
      <c r="BA235" s="421"/>
      <c r="BB235" s="421"/>
      <c r="BC235" s="421"/>
      <c r="BD235" s="421"/>
      <c r="BE235" s="421"/>
      <c r="BF235" s="421"/>
      <c r="BG235" s="421"/>
      <c r="BH235" s="421"/>
      <c r="BI235" s="421"/>
      <c r="BJ235" s="441"/>
      <c r="BK235" s="421"/>
      <c r="BL235" s="443"/>
      <c r="BM235" s="443"/>
      <c r="BN235" s="421"/>
      <c r="BO235" s="421"/>
      <c r="BP235" s="421"/>
      <c r="BQ235" s="421"/>
      <c r="BR235" s="421"/>
      <c r="BS235" s="421"/>
      <c r="BT235" s="385"/>
      <c r="BU235" s="421"/>
      <c r="BV235" s="421"/>
      <c r="BW235" s="421"/>
      <c r="BX235" s="421"/>
      <c r="BY235" s="421"/>
      <c r="BZ235" s="385"/>
    </row>
    <row r="236" spans="1:78" ht="18" hidden="1">
      <c r="A236" s="383"/>
      <c r="B236" s="383"/>
      <c r="C236" s="797" t="s">
        <v>223</v>
      </c>
      <c r="D236" s="797"/>
      <c r="E236" s="406"/>
      <c r="F236" s="426"/>
      <c r="G236" s="426"/>
      <c r="H236" s="426"/>
      <c r="I236" s="426"/>
      <c r="J236" s="427"/>
      <c r="K236" s="424"/>
      <c r="L236" s="425"/>
      <c r="M236" s="426"/>
      <c r="N236" s="426"/>
      <c r="O236" s="426"/>
      <c r="P236" s="426"/>
      <c r="Q236" s="489"/>
      <c r="R236" s="489"/>
      <c r="S236" s="489"/>
      <c r="T236" s="489"/>
      <c r="U236" s="427"/>
      <c r="V236" s="426"/>
      <c r="W236" s="489"/>
      <c r="X236" s="489"/>
      <c r="Y236" s="489"/>
      <c r="Z236" s="489"/>
      <c r="AA236" s="427"/>
      <c r="AB236" s="424"/>
      <c r="AC236" s="425"/>
      <c r="AD236" s="426"/>
      <c r="AE236" s="426"/>
      <c r="AF236" s="426"/>
      <c r="AG236" s="426"/>
      <c r="AH236" s="489"/>
      <c r="AI236" s="489"/>
      <c r="AJ236" s="489"/>
      <c r="AK236" s="489"/>
      <c r="AL236" s="425"/>
      <c r="AM236" s="426"/>
      <c r="AN236" s="489"/>
      <c r="AO236" s="489"/>
      <c r="AP236" s="489"/>
      <c r="AQ236" s="489"/>
      <c r="AR236" s="425"/>
      <c r="AS236" s="424"/>
      <c r="AT236" s="425"/>
      <c r="AU236" s="426"/>
      <c r="AV236" s="426"/>
      <c r="AW236" s="426"/>
      <c r="AX236" s="426"/>
      <c r="AY236" s="489"/>
      <c r="AZ236" s="489"/>
      <c r="BA236" s="489"/>
      <c r="BB236" s="489"/>
      <c r="BC236" s="425"/>
      <c r="BD236" s="426"/>
      <c r="BE236" s="489"/>
      <c r="BF236" s="489"/>
      <c r="BG236" s="489"/>
      <c r="BH236" s="489"/>
      <c r="BI236" s="425"/>
      <c r="BJ236" s="424"/>
      <c r="BK236" s="425"/>
      <c r="BL236" s="426"/>
      <c r="BM236" s="426"/>
      <c r="BN236" s="426" t="str">
        <f>IF('Design Fee'!EC238&gt;0,"✔","-")</f>
        <v>-</v>
      </c>
      <c r="BO236" s="426" t="str">
        <f>IF('Design Fee'!ED238&gt;0,"✔","-")</f>
        <v>-</v>
      </c>
      <c r="BP236" s="489" t="str">
        <f>IF('Design Fee'!EE238&gt;0,"✔","-")</f>
        <v>-</v>
      </c>
      <c r="BQ236" s="489" t="str">
        <f>IF('Design Fee'!EF238&gt;0,"✔","-")</f>
        <v>-</v>
      </c>
      <c r="BR236" s="489" t="str">
        <f>IF('Design Fee'!EG238&gt;0,"✔","-")</f>
        <v>-</v>
      </c>
      <c r="BS236" s="489" t="str">
        <f>IF('Design Fee'!EH238&gt;0,"✔","-")</f>
        <v>-</v>
      </c>
      <c r="BT236" s="406"/>
      <c r="BU236" s="426" t="str">
        <f>IF('Design Fee'!EJ238&gt;0,"✔","-")</f>
        <v>-</v>
      </c>
      <c r="BV236" s="489" t="str">
        <f>IF('Design Fee'!EK238&gt;0,"✔","-")</f>
        <v>-</v>
      </c>
      <c r="BW236" s="489" t="str">
        <f>IF('Design Fee'!EL238&gt;0,"✔","-")</f>
        <v>-</v>
      </c>
      <c r="BX236" s="489" t="str">
        <f>IF('Design Fee'!EM238&gt;0,"✔","-")</f>
        <v>-</v>
      </c>
      <c r="BY236" s="489" t="str">
        <f>IF('Design Fee'!EN238&gt;0,"✔","-")</f>
        <v>-</v>
      </c>
      <c r="BZ236" s="406"/>
    </row>
    <row r="237" spans="1:78" ht="12.75" outlineLevel="1">
      <c r="A237" s="383"/>
      <c r="B237" s="432">
        <v>7</v>
      </c>
      <c r="C237" s="459">
        <v>4</v>
      </c>
      <c r="D237" s="460" t="s">
        <v>224</v>
      </c>
      <c r="E237" s="434"/>
      <c r="F237" s="461"/>
      <c r="G237" s="461"/>
      <c r="H237" s="461"/>
      <c r="I237" s="461"/>
      <c r="J237" s="438">
        <v>0</v>
      </c>
      <c r="K237" s="435"/>
      <c r="L237" s="435">
        <v>0</v>
      </c>
      <c r="M237" s="461">
        <f>COUNT(M238:M247)</f>
        <v>0</v>
      </c>
      <c r="N237" s="461">
        <f>COUNT(N238:N247)</f>
        <v>0</v>
      </c>
      <c r="O237" s="461">
        <f>COUNT(O238:O247)</f>
        <v>0</v>
      </c>
      <c r="P237" s="461">
        <f t="shared" ref="P237:Z237" si="663">COUNT(P238:P247)</f>
        <v>0</v>
      </c>
      <c r="Q237" s="461">
        <f t="shared" si="663"/>
        <v>0</v>
      </c>
      <c r="R237" s="461">
        <f t="shared" si="663"/>
        <v>0</v>
      </c>
      <c r="S237" s="461">
        <f t="shared" si="663"/>
        <v>0</v>
      </c>
      <c r="T237" s="461">
        <f t="shared" si="663"/>
        <v>0</v>
      </c>
      <c r="U237" s="438">
        <v>0</v>
      </c>
      <c r="V237" s="461">
        <f t="shared" si="663"/>
        <v>0</v>
      </c>
      <c r="W237" s="461">
        <f t="shared" si="663"/>
        <v>0</v>
      </c>
      <c r="X237" s="461">
        <f t="shared" si="663"/>
        <v>0</v>
      </c>
      <c r="Y237" s="461">
        <f t="shared" si="663"/>
        <v>0</v>
      </c>
      <c r="Z237" s="461">
        <f t="shared" si="663"/>
        <v>0</v>
      </c>
      <c r="AA237" s="438">
        <v>0</v>
      </c>
      <c r="AB237" s="435"/>
      <c r="AC237" s="435">
        <v>0</v>
      </c>
      <c r="AD237" s="461" t="str">
        <f>IF('Design Fee'!BG240&gt;0,"✔","-")</f>
        <v>-</v>
      </c>
      <c r="AE237" s="461" t="str">
        <f>IF('Design Fee'!BH240&gt;0,"✔","-")</f>
        <v>-</v>
      </c>
      <c r="AF237" s="461" t="str">
        <f>IF('Design Fee'!BI240&gt;0,"✔","-")</f>
        <v>-</v>
      </c>
      <c r="AG237" s="461" t="str">
        <f>IF('Design Fee'!BJ240&gt;0,"✔","-")</f>
        <v>-</v>
      </c>
      <c r="AH237" s="461" t="str">
        <f>IF('Design Fee'!BK240&gt;0,"✔","-")</f>
        <v>-</v>
      </c>
      <c r="AI237" s="461" t="str">
        <f>IF('Design Fee'!BL240&gt;0,"✔","-")</f>
        <v>-</v>
      </c>
      <c r="AJ237" s="461" t="str">
        <f>IF('Design Fee'!BM240&gt;0,"✔","-")</f>
        <v>-</v>
      </c>
      <c r="AK237" s="461" t="str">
        <f>IF('Design Fee'!BN240&gt;0,"✔","-")</f>
        <v>-</v>
      </c>
      <c r="AL237" s="435">
        <v>0</v>
      </c>
      <c r="AM237" s="461" t="str">
        <f>IF('Design Fee'!BP240&gt;0,"✔","-")</f>
        <v>-</v>
      </c>
      <c r="AN237" s="461" t="str">
        <f>IF('Design Fee'!BQ240&gt;0,"✔","-")</f>
        <v>-</v>
      </c>
      <c r="AO237" s="461" t="str">
        <f>IF('Design Fee'!BR240&gt;0,"✔","-")</f>
        <v>-</v>
      </c>
      <c r="AP237" s="461" t="str">
        <f>IF('Design Fee'!BS240&gt;0,"✔","-")</f>
        <v>-</v>
      </c>
      <c r="AQ237" s="461" t="str">
        <f>IF('Design Fee'!BT240&gt;0,"✔","-")</f>
        <v>-</v>
      </c>
      <c r="AR237" s="435">
        <v>0</v>
      </c>
      <c r="AS237" s="435"/>
      <c r="AT237" s="435">
        <v>0</v>
      </c>
      <c r="AU237" s="461" t="str">
        <f>IF('Design Fee'!CQ240&gt;0,"✔","-")</f>
        <v>-</v>
      </c>
      <c r="AV237" s="461" t="str">
        <f>IF('Design Fee'!CR240&gt;0,"✔","-")</f>
        <v>-</v>
      </c>
      <c r="AW237" s="461" t="str">
        <f>IF('Design Fee'!CS240&gt;0,"✔","-")</f>
        <v>-</v>
      </c>
      <c r="AX237" s="461" t="str">
        <f>IF('Design Fee'!CT240&gt;0,"✔","-")</f>
        <v>-</v>
      </c>
      <c r="AY237" s="461" t="str">
        <f>IF('Design Fee'!CU240&gt;0,"✔","-")</f>
        <v>-</v>
      </c>
      <c r="AZ237" s="461" t="str">
        <f>IF('Design Fee'!CV240&gt;0,"✔","-")</f>
        <v>-</v>
      </c>
      <c r="BA237" s="461" t="str">
        <f>IF('Design Fee'!CW240&gt;0,"✔","-")</f>
        <v>-</v>
      </c>
      <c r="BB237" s="461" t="str">
        <f>IF('Design Fee'!CX240&gt;0,"✔","-")</f>
        <v>-</v>
      </c>
      <c r="BC237" s="435">
        <v>0</v>
      </c>
      <c r="BD237" s="461" t="str">
        <f>IF('Design Fee'!CZ240&gt;0,"✔","-")</f>
        <v>-</v>
      </c>
      <c r="BE237" s="461" t="str">
        <f>IF('Design Fee'!DA240&gt;0,"✔","-")</f>
        <v>-</v>
      </c>
      <c r="BF237" s="461" t="str">
        <f>IF('Design Fee'!DB240&gt;0,"✔","-")</f>
        <v>-</v>
      </c>
      <c r="BG237" s="461" t="str">
        <f>IF('Design Fee'!DC240&gt;0,"✔","-")</f>
        <v>-</v>
      </c>
      <c r="BH237" s="461" t="str">
        <f>IF('Design Fee'!DD240&gt;0,"✔","-")</f>
        <v>-</v>
      </c>
      <c r="BI237" s="435">
        <v>0</v>
      </c>
      <c r="BJ237" s="435"/>
      <c r="BK237" s="435">
        <v>0</v>
      </c>
      <c r="BL237" s="461" t="str">
        <f>IF('Design Fee'!EA240&gt;0,"✔","-")</f>
        <v>-</v>
      </c>
      <c r="BM237" s="461" t="str">
        <f>IF('Design Fee'!EB240&gt;0,"✔","-")</f>
        <v>-</v>
      </c>
      <c r="BN237" s="461" t="str">
        <f>IF('Design Fee'!EC240&gt;0,"✔","-")</f>
        <v>-</v>
      </c>
      <c r="BO237" s="461" t="str">
        <f>IF('Design Fee'!ED240&gt;0,"✔","-")</f>
        <v>-</v>
      </c>
      <c r="BP237" s="461" t="str">
        <f>IF('Design Fee'!EE240&gt;0,"✔","-")</f>
        <v>-</v>
      </c>
      <c r="BQ237" s="461" t="str">
        <f>IF('Design Fee'!EF240&gt;0,"✔","-")</f>
        <v>-</v>
      </c>
      <c r="BR237" s="461" t="str">
        <f>IF('Design Fee'!EG240&gt;0,"✔","-")</f>
        <v>-</v>
      </c>
      <c r="BS237" s="461" t="str">
        <f>IF('Design Fee'!EH240&gt;0,"✔","-")</f>
        <v>-</v>
      </c>
      <c r="BT237" s="383"/>
      <c r="BU237" s="461" t="str">
        <f>IF('Design Fee'!EJ240&gt;0,"✔","-")</f>
        <v>-</v>
      </c>
      <c r="BV237" s="461" t="str">
        <f>IF('Design Fee'!EK240&gt;0,"✔","-")</f>
        <v>-</v>
      </c>
      <c r="BW237" s="461" t="str">
        <f>IF('Design Fee'!EL240&gt;0,"✔","-")</f>
        <v>-</v>
      </c>
      <c r="BX237" s="461" t="str">
        <f>IF('Design Fee'!EM240&gt;0,"✔","-")</f>
        <v>-</v>
      </c>
      <c r="BY237" s="461" t="str">
        <f>IF('Design Fee'!EN240&gt;0,"✔","-")</f>
        <v>-</v>
      </c>
      <c r="BZ237" s="383"/>
    </row>
    <row r="238" spans="1:78" ht="12.75" outlineLevel="2">
      <c r="A238" s="383"/>
      <c r="B238" s="463" t="s">
        <v>96</v>
      </c>
      <c r="C238" s="464">
        <v>1</v>
      </c>
      <c r="D238" s="465" t="s">
        <v>52</v>
      </c>
      <c r="E238" s="383"/>
      <c r="F238" s="443"/>
      <c r="G238" s="444"/>
      <c r="H238" s="444"/>
      <c r="I238" s="444"/>
      <c r="J238" s="430">
        <v>0</v>
      </c>
      <c r="K238" s="441"/>
      <c r="L238" s="442">
        <v>0</v>
      </c>
      <c r="M238" s="443" t="str">
        <f>IF('Design Fee'!W241&gt;0,"✔","-")</f>
        <v>-</v>
      </c>
      <c r="N238" s="443" t="str">
        <f>IF('Design Fee'!X241&gt;0,"✔","-")</f>
        <v>-</v>
      </c>
      <c r="O238" s="444" t="str">
        <f>IF('Design Fee'!Y241&gt;0,"✔","-")</f>
        <v>-</v>
      </c>
      <c r="P238" s="444" t="str">
        <f>IF('Design Fee'!Z241&gt;0,"✔","-")</f>
        <v>-</v>
      </c>
      <c r="Q238" s="444" t="str">
        <f>IF('Design Fee'!AA241&gt;0,"✔","-")</f>
        <v>-</v>
      </c>
      <c r="R238" s="444" t="str">
        <f>IF('Design Fee'!AB241&gt;0,"✔","-")</f>
        <v>-</v>
      </c>
      <c r="S238" s="444" t="str">
        <f>IF('Design Fee'!AC241&gt;0,"✔","-")</f>
        <v>-</v>
      </c>
      <c r="T238" s="466" t="str">
        <f>IF('Design Fee'!AD241&gt;0,"✔","-")</f>
        <v>-</v>
      </c>
      <c r="U238" s="430">
        <v>0</v>
      </c>
      <c r="V238" s="444" t="str">
        <f>IF('Design Fee'!AF241&gt;0,"✔","-")</f>
        <v>-</v>
      </c>
      <c r="W238" s="444" t="str">
        <f>IF('Design Fee'!AG241&gt;0,"✔","-")</f>
        <v>-</v>
      </c>
      <c r="X238" s="444" t="str">
        <f>IF('Design Fee'!AH241&gt;0,"✔","-")</f>
        <v>-</v>
      </c>
      <c r="Y238" s="444" t="str">
        <f>IF('Design Fee'!AI241&gt;0,"✔","-")</f>
        <v>-</v>
      </c>
      <c r="Z238" s="444" t="str">
        <f>IF('Design Fee'!AJ241&gt;0,"✔","-")</f>
        <v>-</v>
      </c>
      <c r="AA238" s="430">
        <v>0</v>
      </c>
      <c r="AB238" s="441"/>
      <c r="AC238" s="442">
        <v>0</v>
      </c>
      <c r="AD238" s="443" t="str">
        <f>IF('Design Fee'!BG241&gt;0,"✔","-")</f>
        <v>-</v>
      </c>
      <c r="AE238" s="443" t="str">
        <f>IF('Design Fee'!BH241&gt;0,"✔","-")</f>
        <v>-</v>
      </c>
      <c r="AF238" s="444" t="str">
        <f>IF('Design Fee'!BI241&gt;0,"✔","-")</f>
        <v>-</v>
      </c>
      <c r="AG238" s="444" t="str">
        <f>IF('Design Fee'!BJ241&gt;0,"✔","-")</f>
        <v>-</v>
      </c>
      <c r="AH238" s="444" t="str">
        <f>IF('Design Fee'!BK241&gt;0,"✔","-")</f>
        <v>-</v>
      </c>
      <c r="AI238" s="444" t="str">
        <f>IF('Design Fee'!BL241&gt;0,"✔","-")</f>
        <v>-</v>
      </c>
      <c r="AJ238" s="444" t="str">
        <f>IF('Design Fee'!BM241&gt;0,"✔","-")</f>
        <v>-</v>
      </c>
      <c r="AK238" s="466" t="str">
        <f>IF('Design Fee'!BN241&gt;0,"✔","-")</f>
        <v>-</v>
      </c>
      <c r="AL238" s="445">
        <v>0</v>
      </c>
      <c r="AM238" s="444" t="str">
        <f>IF('Design Fee'!BP241&gt;0,"✔","-")</f>
        <v>-</v>
      </c>
      <c r="AN238" s="444" t="str">
        <f>IF('Design Fee'!BQ241&gt;0,"✔","-")</f>
        <v>-</v>
      </c>
      <c r="AO238" s="444" t="str">
        <f>IF('Design Fee'!BR241&gt;0,"✔","-")</f>
        <v>-</v>
      </c>
      <c r="AP238" s="444" t="str">
        <f>IF('Design Fee'!BS241&gt;0,"✔","-")</f>
        <v>-</v>
      </c>
      <c r="AQ238" s="444" t="str">
        <f>IF('Design Fee'!BT241&gt;0,"✔","-")</f>
        <v>-</v>
      </c>
      <c r="AR238" s="445">
        <v>0</v>
      </c>
      <c r="AS238" s="441"/>
      <c r="AT238" s="442">
        <v>0</v>
      </c>
      <c r="AU238" s="443" t="str">
        <f>IF('Design Fee'!CQ241&gt;0,"✔","-")</f>
        <v>-</v>
      </c>
      <c r="AV238" s="443" t="str">
        <f>IF('Design Fee'!CR241&gt;0,"✔","-")</f>
        <v>-</v>
      </c>
      <c r="AW238" s="444" t="str">
        <f>IF('Design Fee'!CS241&gt;0,"✔","-")</f>
        <v>-</v>
      </c>
      <c r="AX238" s="444" t="str">
        <f>IF('Design Fee'!CT241&gt;0,"✔","-")</f>
        <v>-</v>
      </c>
      <c r="AY238" s="444" t="str">
        <f>IF('Design Fee'!CU241&gt;0,"✔","-")</f>
        <v>-</v>
      </c>
      <c r="AZ238" s="444" t="str">
        <f>IF('Design Fee'!CV241&gt;0,"✔","-")</f>
        <v>-</v>
      </c>
      <c r="BA238" s="444" t="str">
        <f>IF('Design Fee'!CW241&gt;0,"✔","-")</f>
        <v>-</v>
      </c>
      <c r="BB238" s="466" t="str">
        <f>IF('Design Fee'!CX241&gt;0,"✔","-")</f>
        <v>-</v>
      </c>
      <c r="BC238" s="445">
        <v>0</v>
      </c>
      <c r="BD238" s="444" t="str">
        <f>IF('Design Fee'!CZ241&gt;0,"✔","-")</f>
        <v>-</v>
      </c>
      <c r="BE238" s="444" t="str">
        <f>IF('Design Fee'!DA241&gt;0,"✔","-")</f>
        <v>-</v>
      </c>
      <c r="BF238" s="444" t="str">
        <f>IF('Design Fee'!DB241&gt;0,"✔","-")</f>
        <v>-</v>
      </c>
      <c r="BG238" s="444" t="str">
        <f>IF('Design Fee'!DC241&gt;0,"✔","-")</f>
        <v>-</v>
      </c>
      <c r="BH238" s="444" t="str">
        <f>IF('Design Fee'!DD241&gt;0,"✔","-")</f>
        <v>-</v>
      </c>
      <c r="BI238" s="445">
        <v>0</v>
      </c>
      <c r="BJ238" s="441"/>
      <c r="BK238" s="442">
        <v>0</v>
      </c>
      <c r="BL238" s="443" t="str">
        <f>IF('Design Fee'!EA241&gt;0,"✔","-")</f>
        <v>-</v>
      </c>
      <c r="BM238" s="443" t="str">
        <f>IF('Design Fee'!EB241&gt;0,"✔","-")</f>
        <v>-</v>
      </c>
      <c r="BN238" s="444" t="str">
        <f>IF('Design Fee'!EC241&gt;0,"✔","-")</f>
        <v>-</v>
      </c>
      <c r="BO238" s="444" t="str">
        <f>IF('Design Fee'!ED241&gt;0,"✔","-")</f>
        <v>-</v>
      </c>
      <c r="BP238" s="444" t="str">
        <f>IF('Design Fee'!EE241&gt;0,"✔","-")</f>
        <v>-</v>
      </c>
      <c r="BQ238" s="444" t="str">
        <f>IF('Design Fee'!EF241&gt;0,"✔","-")</f>
        <v>-</v>
      </c>
      <c r="BR238" s="444" t="str">
        <f>IF('Design Fee'!EG241&gt;0,"✔","-")</f>
        <v>-</v>
      </c>
      <c r="BS238" s="466" t="str">
        <f>IF('Design Fee'!EH241&gt;0,"✔","-")</f>
        <v>-</v>
      </c>
      <c r="BT238" s="383"/>
      <c r="BU238" s="444" t="str">
        <f>IF('Design Fee'!EJ241&gt;0,"✔","-")</f>
        <v>-</v>
      </c>
      <c r="BV238" s="444" t="str">
        <f>IF('Design Fee'!EK241&gt;0,"✔","-")</f>
        <v>-</v>
      </c>
      <c r="BW238" s="444" t="str">
        <f>IF('Design Fee'!EL241&gt;0,"✔","-")</f>
        <v>-</v>
      </c>
      <c r="BX238" s="444" t="str">
        <f>IF('Design Fee'!EM241&gt;0,"✔","-")</f>
        <v>-</v>
      </c>
      <c r="BY238" s="444" t="str">
        <f>IF('Design Fee'!EN241&gt;0,"✔","-")</f>
        <v>-</v>
      </c>
      <c r="BZ238" s="383"/>
    </row>
    <row r="239" spans="1:78" ht="12.75" outlineLevel="2">
      <c r="A239" s="383"/>
      <c r="B239" s="463" t="s">
        <v>97</v>
      </c>
      <c r="C239" s="464">
        <v>2</v>
      </c>
      <c r="D239" s="465" t="s">
        <v>54</v>
      </c>
      <c r="E239" s="383"/>
      <c r="F239" s="443"/>
      <c r="G239" s="444"/>
      <c r="H239" s="444"/>
      <c r="I239" s="444"/>
      <c r="J239" s="467">
        <v>0</v>
      </c>
      <c r="K239" s="441"/>
      <c r="L239" s="442">
        <v>0</v>
      </c>
      <c r="M239" s="443" t="str">
        <f>IF('Design Fee'!W242&gt;0,"✔","-")</f>
        <v>-</v>
      </c>
      <c r="N239" s="443" t="str">
        <f>IF('Design Fee'!X242&gt;0,"✔","-")</f>
        <v>-</v>
      </c>
      <c r="O239" s="444" t="str">
        <f>IF('Design Fee'!Y242&gt;0,"✔","-")</f>
        <v>-</v>
      </c>
      <c r="P239" s="444" t="str">
        <f>IF('Design Fee'!Z242&gt;0,"✔","-")</f>
        <v>-</v>
      </c>
      <c r="Q239" s="444" t="str">
        <f>IF('Design Fee'!AA242&gt;0,"✔","-")</f>
        <v>-</v>
      </c>
      <c r="R239" s="444" t="str">
        <f>IF('Design Fee'!AB242&gt;0,"✔","-")</f>
        <v>-</v>
      </c>
      <c r="S239" s="444" t="str">
        <f>IF('Design Fee'!AC242&gt;0,"✔","-")</f>
        <v>-</v>
      </c>
      <c r="T239" s="466" t="str">
        <f>IF('Design Fee'!AD242&gt;0,"✔","-")</f>
        <v>-</v>
      </c>
      <c r="U239" s="467">
        <v>0</v>
      </c>
      <c r="V239" s="444" t="str">
        <f>IF('Design Fee'!AF242&gt;0,"✔","-")</f>
        <v>-</v>
      </c>
      <c r="W239" s="444" t="str">
        <f>IF('Design Fee'!AG242&gt;0,"✔","-")</f>
        <v>-</v>
      </c>
      <c r="X239" s="444" t="str">
        <f>IF('Design Fee'!AH242&gt;0,"✔","-")</f>
        <v>-</v>
      </c>
      <c r="Y239" s="444" t="str">
        <f>IF('Design Fee'!AI242&gt;0,"✔","-")</f>
        <v>-</v>
      </c>
      <c r="Z239" s="444" t="str">
        <f>IF('Design Fee'!AJ242&gt;0,"✔","-")</f>
        <v>-</v>
      </c>
      <c r="AA239" s="467">
        <v>0</v>
      </c>
      <c r="AB239" s="441"/>
      <c r="AC239" s="442">
        <v>0</v>
      </c>
      <c r="AD239" s="443" t="str">
        <f>IF('Design Fee'!BG242&gt;0,"✔","-")</f>
        <v>-</v>
      </c>
      <c r="AE239" s="443" t="str">
        <f>IF('Design Fee'!BH242&gt;0,"✔","-")</f>
        <v>-</v>
      </c>
      <c r="AF239" s="444" t="str">
        <f>IF('Design Fee'!BI242&gt;0,"✔","-")</f>
        <v>-</v>
      </c>
      <c r="AG239" s="444" t="str">
        <f>IF('Design Fee'!BJ242&gt;0,"✔","-")</f>
        <v>-</v>
      </c>
      <c r="AH239" s="444" t="str">
        <f>IF('Design Fee'!BK242&gt;0,"✔","-")</f>
        <v>-</v>
      </c>
      <c r="AI239" s="444" t="str">
        <f>IF('Design Fee'!BL242&gt;0,"✔","-")</f>
        <v>-</v>
      </c>
      <c r="AJ239" s="444" t="str">
        <f>IF('Design Fee'!BM242&gt;0,"✔","-")</f>
        <v>-</v>
      </c>
      <c r="AK239" s="466" t="str">
        <f>IF('Design Fee'!BN242&gt;0,"✔","-")</f>
        <v>-</v>
      </c>
      <c r="AL239" s="445">
        <v>0</v>
      </c>
      <c r="AM239" s="444" t="str">
        <f>IF('Design Fee'!BP242&gt;0,"✔","-")</f>
        <v>-</v>
      </c>
      <c r="AN239" s="444" t="str">
        <f>IF('Design Fee'!BQ242&gt;0,"✔","-")</f>
        <v>-</v>
      </c>
      <c r="AO239" s="444" t="str">
        <f>IF('Design Fee'!BR242&gt;0,"✔","-")</f>
        <v>-</v>
      </c>
      <c r="AP239" s="444" t="str">
        <f>IF('Design Fee'!BS242&gt;0,"✔","-")</f>
        <v>-</v>
      </c>
      <c r="AQ239" s="444" t="str">
        <f>IF('Design Fee'!BT242&gt;0,"✔","-")</f>
        <v>-</v>
      </c>
      <c r="AR239" s="445">
        <v>0</v>
      </c>
      <c r="AS239" s="441"/>
      <c r="AT239" s="442">
        <v>0</v>
      </c>
      <c r="AU239" s="443" t="str">
        <f>IF('Design Fee'!CQ242&gt;0,"✔","-")</f>
        <v>-</v>
      </c>
      <c r="AV239" s="443" t="str">
        <f>IF('Design Fee'!CR242&gt;0,"✔","-")</f>
        <v>-</v>
      </c>
      <c r="AW239" s="444" t="str">
        <f>IF('Design Fee'!CS242&gt;0,"✔","-")</f>
        <v>-</v>
      </c>
      <c r="AX239" s="444" t="str">
        <f>IF('Design Fee'!CT242&gt;0,"✔","-")</f>
        <v>-</v>
      </c>
      <c r="AY239" s="444" t="str">
        <f>IF('Design Fee'!CU242&gt;0,"✔","-")</f>
        <v>-</v>
      </c>
      <c r="AZ239" s="444" t="str">
        <f>IF('Design Fee'!CV242&gt;0,"✔","-")</f>
        <v>-</v>
      </c>
      <c r="BA239" s="444" t="str">
        <f>IF('Design Fee'!CW242&gt;0,"✔","-")</f>
        <v>-</v>
      </c>
      <c r="BB239" s="466" t="str">
        <f>IF('Design Fee'!CX242&gt;0,"✔","-")</f>
        <v>-</v>
      </c>
      <c r="BC239" s="445">
        <v>0</v>
      </c>
      <c r="BD239" s="444" t="str">
        <f>IF('Design Fee'!CZ242&gt;0,"✔","-")</f>
        <v>-</v>
      </c>
      <c r="BE239" s="444" t="str">
        <f>IF('Design Fee'!DA242&gt;0,"✔","-")</f>
        <v>-</v>
      </c>
      <c r="BF239" s="444" t="str">
        <f>IF('Design Fee'!DB242&gt;0,"✔","-")</f>
        <v>-</v>
      </c>
      <c r="BG239" s="444" t="str">
        <f>IF('Design Fee'!DC242&gt;0,"✔","-")</f>
        <v>-</v>
      </c>
      <c r="BH239" s="444" t="str">
        <f>IF('Design Fee'!DD242&gt;0,"✔","-")</f>
        <v>-</v>
      </c>
      <c r="BI239" s="445">
        <v>0</v>
      </c>
      <c r="BJ239" s="441"/>
      <c r="BK239" s="442">
        <v>0</v>
      </c>
      <c r="BL239" s="443" t="str">
        <f>IF('Design Fee'!EA242&gt;0,"✔","-")</f>
        <v>-</v>
      </c>
      <c r="BM239" s="443" t="str">
        <f>IF('Design Fee'!EB242&gt;0,"✔","-")</f>
        <v>-</v>
      </c>
      <c r="BN239" s="444" t="str">
        <f>IF('Design Fee'!EC242&gt;0,"✔","-")</f>
        <v>-</v>
      </c>
      <c r="BO239" s="444" t="str">
        <f>IF('Design Fee'!ED242&gt;0,"✔","-")</f>
        <v>-</v>
      </c>
      <c r="BP239" s="444" t="str">
        <f>IF('Design Fee'!EE242&gt;0,"✔","-")</f>
        <v>-</v>
      </c>
      <c r="BQ239" s="444" t="str">
        <f>IF('Design Fee'!EF242&gt;0,"✔","-")</f>
        <v>-</v>
      </c>
      <c r="BR239" s="444" t="str">
        <f>IF('Design Fee'!EG242&gt;0,"✔","-")</f>
        <v>-</v>
      </c>
      <c r="BS239" s="466" t="str">
        <f>IF('Design Fee'!EH242&gt;0,"✔","-")</f>
        <v>-</v>
      </c>
      <c r="BT239" s="383"/>
      <c r="BU239" s="444" t="str">
        <f>IF('Design Fee'!EJ242&gt;0,"✔","-")</f>
        <v>-</v>
      </c>
      <c r="BV239" s="444" t="str">
        <f>IF('Design Fee'!EK242&gt;0,"✔","-")</f>
        <v>-</v>
      </c>
      <c r="BW239" s="444" t="str">
        <f>IF('Design Fee'!EL242&gt;0,"✔","-")</f>
        <v>-</v>
      </c>
      <c r="BX239" s="444" t="str">
        <f>IF('Design Fee'!EM242&gt;0,"✔","-")</f>
        <v>-</v>
      </c>
      <c r="BY239" s="444" t="str">
        <f>IF('Design Fee'!EN242&gt;0,"✔","-")</f>
        <v>-</v>
      </c>
      <c r="BZ239" s="383"/>
    </row>
    <row r="240" spans="1:78" ht="12.75" outlineLevel="2">
      <c r="B240" s="463" t="s">
        <v>98</v>
      </c>
      <c r="C240" s="464">
        <v>3</v>
      </c>
      <c r="D240" s="465" t="s">
        <v>56</v>
      </c>
      <c r="E240" s="383"/>
      <c r="F240" s="443"/>
      <c r="G240" s="444"/>
      <c r="H240" s="444"/>
      <c r="I240" s="444"/>
      <c r="J240" s="467">
        <v>0</v>
      </c>
      <c r="K240" s="441"/>
      <c r="L240" s="442">
        <v>0</v>
      </c>
      <c r="M240" s="443" t="str">
        <f>IF('Design Fee'!W243&gt;0,"✔","-")</f>
        <v>-</v>
      </c>
      <c r="N240" s="443" t="str">
        <f>IF('Design Fee'!X243&gt;0,"✔","-")</f>
        <v>-</v>
      </c>
      <c r="O240" s="444" t="str">
        <f>IF('Design Fee'!Y243&gt;0,"✔","-")</f>
        <v>-</v>
      </c>
      <c r="P240" s="444" t="str">
        <f>IF('Design Fee'!Z243&gt;0,"✔","-")</f>
        <v>-</v>
      </c>
      <c r="Q240" s="444" t="str">
        <f>IF('Design Fee'!AA243&gt;0,"✔","-")</f>
        <v>-</v>
      </c>
      <c r="R240" s="444" t="str">
        <f>IF('Design Fee'!AB243&gt;0,"✔","-")</f>
        <v>-</v>
      </c>
      <c r="S240" s="444" t="str">
        <f>IF('Design Fee'!AC243&gt;0,"✔","-")</f>
        <v>-</v>
      </c>
      <c r="T240" s="466" t="str">
        <f>IF('Design Fee'!AD243&gt;0,"✔","-")</f>
        <v>-</v>
      </c>
      <c r="U240" s="467">
        <v>0</v>
      </c>
      <c r="V240" s="444" t="str">
        <f>IF('Design Fee'!AF243&gt;0,"✔","-")</f>
        <v>-</v>
      </c>
      <c r="W240" s="444" t="str">
        <f>IF('Design Fee'!AG243&gt;0,"✔","-")</f>
        <v>-</v>
      </c>
      <c r="X240" s="444" t="str">
        <f>IF('Design Fee'!AH243&gt;0,"✔","-")</f>
        <v>-</v>
      </c>
      <c r="Y240" s="444" t="str">
        <f>IF('Design Fee'!AI243&gt;0,"✔","-")</f>
        <v>-</v>
      </c>
      <c r="Z240" s="444" t="str">
        <f>IF('Design Fee'!AJ243&gt;0,"✔","-")</f>
        <v>-</v>
      </c>
      <c r="AA240" s="467">
        <v>0</v>
      </c>
      <c r="AB240" s="441"/>
      <c r="AC240" s="442">
        <v>0</v>
      </c>
      <c r="AD240" s="443" t="str">
        <f>IF('Design Fee'!BG243&gt;0,"✔","-")</f>
        <v>-</v>
      </c>
      <c r="AE240" s="443" t="str">
        <f>IF('Design Fee'!BH243&gt;0,"✔","-")</f>
        <v>-</v>
      </c>
      <c r="AF240" s="444" t="str">
        <f>IF('Design Fee'!BI243&gt;0,"✔","-")</f>
        <v>-</v>
      </c>
      <c r="AG240" s="444" t="str">
        <f>IF('Design Fee'!BJ243&gt;0,"✔","-")</f>
        <v>-</v>
      </c>
      <c r="AH240" s="444" t="str">
        <f>IF('Design Fee'!BK243&gt;0,"✔","-")</f>
        <v>-</v>
      </c>
      <c r="AI240" s="444" t="str">
        <f>IF('Design Fee'!BL243&gt;0,"✔","-")</f>
        <v>-</v>
      </c>
      <c r="AJ240" s="444" t="str">
        <f>IF('Design Fee'!BM243&gt;0,"✔","-")</f>
        <v>-</v>
      </c>
      <c r="AK240" s="466" t="str">
        <f>IF('Design Fee'!BN243&gt;0,"✔","-")</f>
        <v>-</v>
      </c>
      <c r="AL240" s="445">
        <v>0</v>
      </c>
      <c r="AM240" s="444" t="str">
        <f>IF('Design Fee'!BP243&gt;0,"✔","-")</f>
        <v>-</v>
      </c>
      <c r="AN240" s="444" t="str">
        <f>IF('Design Fee'!BQ243&gt;0,"✔","-")</f>
        <v>-</v>
      </c>
      <c r="AO240" s="444" t="str">
        <f>IF('Design Fee'!BR243&gt;0,"✔","-")</f>
        <v>-</v>
      </c>
      <c r="AP240" s="444" t="str">
        <f>IF('Design Fee'!BS243&gt;0,"✔","-")</f>
        <v>-</v>
      </c>
      <c r="AQ240" s="444" t="str">
        <f>IF('Design Fee'!BT243&gt;0,"✔","-")</f>
        <v>-</v>
      </c>
      <c r="AR240" s="445">
        <v>0</v>
      </c>
      <c r="AS240" s="441"/>
      <c r="AT240" s="442">
        <v>0</v>
      </c>
      <c r="AU240" s="443" t="str">
        <f>IF('Design Fee'!CQ243&gt;0,"✔","-")</f>
        <v>-</v>
      </c>
      <c r="AV240" s="443" t="str">
        <f>IF('Design Fee'!CR243&gt;0,"✔","-")</f>
        <v>-</v>
      </c>
      <c r="AW240" s="444" t="str">
        <f>IF('Design Fee'!CS243&gt;0,"✔","-")</f>
        <v>-</v>
      </c>
      <c r="AX240" s="444" t="str">
        <f>IF('Design Fee'!CT243&gt;0,"✔","-")</f>
        <v>-</v>
      </c>
      <c r="AY240" s="444" t="str">
        <f>IF('Design Fee'!CU243&gt;0,"✔","-")</f>
        <v>-</v>
      </c>
      <c r="AZ240" s="444" t="str">
        <f>IF('Design Fee'!CV243&gt;0,"✔","-")</f>
        <v>-</v>
      </c>
      <c r="BA240" s="444" t="str">
        <f>IF('Design Fee'!CW243&gt;0,"✔","-")</f>
        <v>-</v>
      </c>
      <c r="BB240" s="466" t="str">
        <f>IF('Design Fee'!CX243&gt;0,"✔","-")</f>
        <v>-</v>
      </c>
      <c r="BC240" s="445">
        <v>0</v>
      </c>
      <c r="BD240" s="444" t="str">
        <f>IF('Design Fee'!CZ243&gt;0,"✔","-")</f>
        <v>-</v>
      </c>
      <c r="BE240" s="444" t="str">
        <f>IF('Design Fee'!DA243&gt;0,"✔","-")</f>
        <v>-</v>
      </c>
      <c r="BF240" s="444" t="str">
        <f>IF('Design Fee'!DB243&gt;0,"✔","-")</f>
        <v>-</v>
      </c>
      <c r="BG240" s="444" t="str">
        <f>IF('Design Fee'!DC243&gt;0,"✔","-")</f>
        <v>-</v>
      </c>
      <c r="BH240" s="444" t="str">
        <f>IF('Design Fee'!DD243&gt;0,"✔","-")</f>
        <v>-</v>
      </c>
      <c r="BI240" s="445">
        <v>0</v>
      </c>
      <c r="BJ240" s="441"/>
      <c r="BK240" s="442">
        <v>0</v>
      </c>
      <c r="BL240" s="443" t="str">
        <f>IF('Design Fee'!EA243&gt;0,"✔","-")</f>
        <v>-</v>
      </c>
      <c r="BM240" s="443" t="str">
        <f>IF('Design Fee'!EB243&gt;0,"✔","-")</f>
        <v>-</v>
      </c>
      <c r="BN240" s="444" t="str">
        <f>IF('Design Fee'!EC243&gt;0,"✔","-")</f>
        <v>-</v>
      </c>
      <c r="BO240" s="444" t="str">
        <f>IF('Design Fee'!ED243&gt;0,"✔","-")</f>
        <v>-</v>
      </c>
      <c r="BP240" s="444" t="str">
        <f>IF('Design Fee'!EE243&gt;0,"✔","-")</f>
        <v>-</v>
      </c>
      <c r="BQ240" s="444" t="str">
        <f>IF('Design Fee'!EF243&gt;0,"✔","-")</f>
        <v>-</v>
      </c>
      <c r="BR240" s="444" t="str">
        <f>IF('Design Fee'!EG243&gt;0,"✔","-")</f>
        <v>-</v>
      </c>
      <c r="BS240" s="466" t="str">
        <f>IF('Design Fee'!EH243&gt;0,"✔","-")</f>
        <v>-</v>
      </c>
      <c r="BT240" s="383"/>
      <c r="BU240" s="444" t="str">
        <f>IF('Design Fee'!EJ243&gt;0,"✔","-")</f>
        <v>-</v>
      </c>
      <c r="BV240" s="444" t="str">
        <f>IF('Design Fee'!EK243&gt;0,"✔","-")</f>
        <v>-</v>
      </c>
      <c r="BW240" s="444" t="str">
        <f>IF('Design Fee'!EL243&gt;0,"✔","-")</f>
        <v>-</v>
      </c>
      <c r="BX240" s="444" t="str">
        <f>IF('Design Fee'!EM243&gt;0,"✔","-")</f>
        <v>-</v>
      </c>
      <c r="BY240" s="444" t="str">
        <f>IF('Design Fee'!EN243&gt;0,"✔","-")</f>
        <v>-</v>
      </c>
      <c r="BZ240" s="383"/>
    </row>
    <row r="241" spans="2:78" ht="12.75" outlineLevel="2">
      <c r="B241" s="463" t="s">
        <v>99</v>
      </c>
      <c r="C241" s="464">
        <v>4</v>
      </c>
      <c r="D241" s="465" t="s">
        <v>58</v>
      </c>
      <c r="E241" s="383"/>
      <c r="F241" s="443"/>
      <c r="G241" s="444"/>
      <c r="H241" s="444"/>
      <c r="I241" s="444"/>
      <c r="J241" s="467"/>
      <c r="K241" s="441"/>
      <c r="L241" s="442">
        <v>0</v>
      </c>
      <c r="M241" s="443" t="str">
        <f>IF('Design Fee'!W244&gt;0,"✔","-")</f>
        <v>-</v>
      </c>
      <c r="N241" s="443" t="str">
        <f>IF('Design Fee'!X244&gt;0,"✔","-")</f>
        <v>-</v>
      </c>
      <c r="O241" s="444" t="str">
        <f>IF('Design Fee'!Y244&gt;0,"✔","-")</f>
        <v>-</v>
      </c>
      <c r="P241" s="444" t="str">
        <f>IF('Design Fee'!Z244&gt;0,"✔","-")</f>
        <v>-</v>
      </c>
      <c r="Q241" s="444" t="str">
        <f>IF('Design Fee'!AA244&gt;0,"✔","-")</f>
        <v>-</v>
      </c>
      <c r="R241" s="444" t="str">
        <f>IF('Design Fee'!AB244&gt;0,"✔","-")</f>
        <v>-</v>
      </c>
      <c r="S241" s="444" t="str">
        <f>IF('Design Fee'!AC244&gt;0,"✔","-")</f>
        <v>-</v>
      </c>
      <c r="T241" s="466" t="str">
        <f>IF('Design Fee'!AD244&gt;0,"✔","-")</f>
        <v>-</v>
      </c>
      <c r="U241" s="467"/>
      <c r="V241" s="444" t="str">
        <f>IF('Design Fee'!AF244&gt;0,"✔","-")</f>
        <v>-</v>
      </c>
      <c r="W241" s="444" t="str">
        <f>IF('Design Fee'!AG244&gt;0,"✔","-")</f>
        <v>-</v>
      </c>
      <c r="X241" s="444" t="str">
        <f>IF('Design Fee'!AH244&gt;0,"✔","-")</f>
        <v>-</v>
      </c>
      <c r="Y241" s="444" t="str">
        <f>IF('Design Fee'!AI244&gt;0,"✔","-")</f>
        <v>-</v>
      </c>
      <c r="Z241" s="444" t="str">
        <f>IF('Design Fee'!AJ244&gt;0,"✔","-")</f>
        <v>-</v>
      </c>
      <c r="AA241" s="467"/>
      <c r="AB241" s="441"/>
      <c r="AC241" s="442"/>
      <c r="AD241" s="443" t="str">
        <f>IF('Design Fee'!BG244&gt;0,"✔","-")</f>
        <v>-</v>
      </c>
      <c r="AE241" s="443" t="str">
        <f>IF('Design Fee'!BH244&gt;0,"✔","-")</f>
        <v>-</v>
      </c>
      <c r="AF241" s="444" t="str">
        <f>IF('Design Fee'!BI244&gt;0,"✔","-")</f>
        <v>-</v>
      </c>
      <c r="AG241" s="444" t="str">
        <f>IF('Design Fee'!BJ244&gt;0,"✔","-")</f>
        <v>-</v>
      </c>
      <c r="AH241" s="444" t="str">
        <f>IF('Design Fee'!BK244&gt;0,"✔","-")</f>
        <v>-</v>
      </c>
      <c r="AI241" s="444" t="str">
        <f>IF('Design Fee'!BL244&gt;0,"✔","-")</f>
        <v>-</v>
      </c>
      <c r="AJ241" s="444" t="str">
        <f>IF('Design Fee'!BM244&gt;0,"✔","-")</f>
        <v>-</v>
      </c>
      <c r="AK241" s="466" t="str">
        <f>IF('Design Fee'!BN244&gt;0,"✔","-")</f>
        <v>-</v>
      </c>
      <c r="AL241" s="445"/>
      <c r="AM241" s="444" t="str">
        <f>IF('Design Fee'!BP244&gt;0,"✔","-")</f>
        <v>-</v>
      </c>
      <c r="AN241" s="444" t="str">
        <f>IF('Design Fee'!BQ244&gt;0,"✔","-")</f>
        <v>-</v>
      </c>
      <c r="AO241" s="444" t="str">
        <f>IF('Design Fee'!BR244&gt;0,"✔","-")</f>
        <v>-</v>
      </c>
      <c r="AP241" s="444" t="str">
        <f>IF('Design Fee'!BS244&gt;0,"✔","-")</f>
        <v>-</v>
      </c>
      <c r="AQ241" s="444" t="str">
        <f>IF('Design Fee'!BT244&gt;0,"✔","-")</f>
        <v>-</v>
      </c>
      <c r="AR241" s="445"/>
      <c r="AS241" s="441"/>
      <c r="AT241" s="442"/>
      <c r="AU241" s="443" t="str">
        <f>IF('Design Fee'!CQ244&gt;0,"✔","-")</f>
        <v>-</v>
      </c>
      <c r="AV241" s="443" t="str">
        <f>IF('Design Fee'!CR244&gt;0,"✔","-")</f>
        <v>-</v>
      </c>
      <c r="AW241" s="444" t="str">
        <f>IF('Design Fee'!CS244&gt;0,"✔","-")</f>
        <v>-</v>
      </c>
      <c r="AX241" s="444" t="str">
        <f>IF('Design Fee'!CT244&gt;0,"✔","-")</f>
        <v>-</v>
      </c>
      <c r="AY241" s="444" t="str">
        <f>IF('Design Fee'!CU244&gt;0,"✔","-")</f>
        <v>-</v>
      </c>
      <c r="AZ241" s="444" t="str">
        <f>IF('Design Fee'!CV244&gt;0,"✔","-")</f>
        <v>-</v>
      </c>
      <c r="BA241" s="444" t="str">
        <f>IF('Design Fee'!CW244&gt;0,"✔","-")</f>
        <v>-</v>
      </c>
      <c r="BB241" s="466" t="str">
        <f>IF('Design Fee'!CX244&gt;0,"✔","-")</f>
        <v>-</v>
      </c>
      <c r="BC241" s="445"/>
      <c r="BD241" s="444" t="str">
        <f>IF('Design Fee'!CZ244&gt;0,"✔","-")</f>
        <v>-</v>
      </c>
      <c r="BE241" s="444" t="str">
        <f>IF('Design Fee'!DA244&gt;0,"✔","-")</f>
        <v>-</v>
      </c>
      <c r="BF241" s="444" t="str">
        <f>IF('Design Fee'!DB244&gt;0,"✔","-")</f>
        <v>-</v>
      </c>
      <c r="BG241" s="444" t="str">
        <f>IF('Design Fee'!DC244&gt;0,"✔","-")</f>
        <v>-</v>
      </c>
      <c r="BH241" s="444" t="str">
        <f>IF('Design Fee'!DD244&gt;0,"✔","-")</f>
        <v>-</v>
      </c>
      <c r="BI241" s="445"/>
      <c r="BJ241" s="441"/>
      <c r="BK241" s="442"/>
      <c r="BL241" s="443" t="str">
        <f>IF('Design Fee'!EA244&gt;0,"✔","-")</f>
        <v>-</v>
      </c>
      <c r="BM241" s="443" t="str">
        <f>IF('Design Fee'!EB244&gt;0,"✔","-")</f>
        <v>-</v>
      </c>
      <c r="BN241" s="444" t="str">
        <f>IF('Design Fee'!EC244&gt;0,"✔","-")</f>
        <v>-</v>
      </c>
      <c r="BO241" s="444" t="str">
        <f>IF('Design Fee'!ED244&gt;0,"✔","-")</f>
        <v>-</v>
      </c>
      <c r="BP241" s="444" t="str">
        <f>IF('Design Fee'!EE244&gt;0,"✔","-")</f>
        <v>-</v>
      </c>
      <c r="BQ241" s="444" t="str">
        <f>IF('Design Fee'!EF244&gt;0,"✔","-")</f>
        <v>-</v>
      </c>
      <c r="BR241" s="444" t="str">
        <f>IF('Design Fee'!EG244&gt;0,"✔","-")</f>
        <v>-</v>
      </c>
      <c r="BS241" s="466" t="str">
        <f>IF('Design Fee'!EH244&gt;0,"✔","-")</f>
        <v>-</v>
      </c>
      <c r="BT241" s="383"/>
      <c r="BU241" s="444" t="str">
        <f>IF('Design Fee'!EJ244&gt;0,"✔","-")</f>
        <v>-</v>
      </c>
      <c r="BV241" s="444" t="str">
        <f>IF('Design Fee'!EK244&gt;0,"✔","-")</f>
        <v>-</v>
      </c>
      <c r="BW241" s="444" t="str">
        <f>IF('Design Fee'!EL244&gt;0,"✔","-")</f>
        <v>-</v>
      </c>
      <c r="BX241" s="444" t="str">
        <f>IF('Design Fee'!EM244&gt;0,"✔","-")</f>
        <v>-</v>
      </c>
      <c r="BY241" s="444" t="str">
        <f>IF('Design Fee'!EN244&gt;0,"✔","-")</f>
        <v>-</v>
      </c>
      <c r="BZ241" s="383"/>
    </row>
    <row r="242" spans="2:78" ht="12.75" outlineLevel="2">
      <c r="B242" s="463" t="s">
        <v>100</v>
      </c>
      <c r="C242" s="464">
        <v>5</v>
      </c>
      <c r="D242" s="470" t="s">
        <v>60</v>
      </c>
      <c r="E242" s="383"/>
      <c r="F242" s="443"/>
      <c r="G242" s="444"/>
      <c r="H242" s="444"/>
      <c r="I242" s="444"/>
      <c r="J242" s="430"/>
      <c r="K242" s="441"/>
      <c r="L242" s="442">
        <v>0</v>
      </c>
      <c r="M242" s="443" t="str">
        <f>IF('Design Fee'!W245&gt;0,"✔","-")</f>
        <v>-</v>
      </c>
      <c r="N242" s="443" t="str">
        <f>IF('Design Fee'!X245&gt;0,"✔","-")</f>
        <v>-</v>
      </c>
      <c r="O242" s="444" t="str">
        <f>IF('Design Fee'!Y245&gt;0,"✔","-")</f>
        <v>-</v>
      </c>
      <c r="P242" s="444" t="str">
        <f>IF('Design Fee'!Z245&gt;0,"✔","-")</f>
        <v>-</v>
      </c>
      <c r="Q242" s="444" t="str">
        <f>IF('Design Fee'!AA245&gt;0,"✔","-")</f>
        <v>-</v>
      </c>
      <c r="R242" s="444" t="str">
        <f>IF('Design Fee'!AB245&gt;0,"✔","-")</f>
        <v>-</v>
      </c>
      <c r="S242" s="444" t="str">
        <f>IF('Design Fee'!AC245&gt;0,"✔","-")</f>
        <v>-</v>
      </c>
      <c r="T242" s="466" t="str">
        <f>IF('Design Fee'!AD245&gt;0,"✔","-")</f>
        <v>-</v>
      </c>
      <c r="U242" s="430"/>
      <c r="V242" s="444" t="str">
        <f>IF('Design Fee'!AF245&gt;0,"✔","-")</f>
        <v>-</v>
      </c>
      <c r="W242" s="444" t="str">
        <f>IF('Design Fee'!AG245&gt;0,"✔","-")</f>
        <v>-</v>
      </c>
      <c r="X242" s="444" t="str">
        <f>IF('Design Fee'!AH245&gt;0,"✔","-")</f>
        <v>-</v>
      </c>
      <c r="Y242" s="444" t="str">
        <f>IF('Design Fee'!AI245&gt;0,"✔","-")</f>
        <v>-</v>
      </c>
      <c r="Z242" s="444" t="str">
        <f>IF('Design Fee'!AJ245&gt;0,"✔","-")</f>
        <v>-</v>
      </c>
      <c r="AA242" s="430"/>
      <c r="AB242" s="441"/>
      <c r="AC242" s="442"/>
      <c r="AD242" s="443" t="str">
        <f>IF('Design Fee'!BG245&gt;0,"✔","-")</f>
        <v>-</v>
      </c>
      <c r="AE242" s="443" t="str">
        <f>IF('Design Fee'!BH245&gt;0,"✔","-")</f>
        <v>-</v>
      </c>
      <c r="AF242" s="444" t="str">
        <f>IF('Design Fee'!BI245&gt;0,"✔","-")</f>
        <v>-</v>
      </c>
      <c r="AG242" s="444" t="str">
        <f>IF('Design Fee'!BJ245&gt;0,"✔","-")</f>
        <v>-</v>
      </c>
      <c r="AH242" s="444" t="str">
        <f>IF('Design Fee'!BK245&gt;0,"✔","-")</f>
        <v>-</v>
      </c>
      <c r="AI242" s="444" t="str">
        <f>IF('Design Fee'!BL245&gt;0,"✔","-")</f>
        <v>-</v>
      </c>
      <c r="AJ242" s="444" t="str">
        <f>IF('Design Fee'!BM245&gt;0,"✔","-")</f>
        <v>-</v>
      </c>
      <c r="AK242" s="466" t="str">
        <f>IF('Design Fee'!BN245&gt;0,"✔","-")</f>
        <v>-</v>
      </c>
      <c r="AL242" s="445"/>
      <c r="AM242" s="444" t="str">
        <f>IF('Design Fee'!BP245&gt;0,"✔","-")</f>
        <v>-</v>
      </c>
      <c r="AN242" s="444" t="str">
        <f>IF('Design Fee'!BQ245&gt;0,"✔","-")</f>
        <v>-</v>
      </c>
      <c r="AO242" s="444" t="str">
        <f>IF('Design Fee'!BR245&gt;0,"✔","-")</f>
        <v>-</v>
      </c>
      <c r="AP242" s="444" t="str">
        <f>IF('Design Fee'!BS245&gt;0,"✔","-")</f>
        <v>-</v>
      </c>
      <c r="AQ242" s="444" t="str">
        <f>IF('Design Fee'!BT245&gt;0,"✔","-")</f>
        <v>-</v>
      </c>
      <c r="AR242" s="445"/>
      <c r="AS242" s="441"/>
      <c r="AT242" s="442"/>
      <c r="AU242" s="443" t="str">
        <f>IF('Design Fee'!CQ245&gt;0,"✔","-")</f>
        <v>-</v>
      </c>
      <c r="AV242" s="443" t="str">
        <f>IF('Design Fee'!CR245&gt;0,"✔","-")</f>
        <v>-</v>
      </c>
      <c r="AW242" s="444" t="str">
        <f>IF('Design Fee'!CS245&gt;0,"✔","-")</f>
        <v>-</v>
      </c>
      <c r="AX242" s="444" t="str">
        <f>IF('Design Fee'!CT245&gt;0,"✔","-")</f>
        <v>-</v>
      </c>
      <c r="AY242" s="444" t="str">
        <f>IF('Design Fee'!CU245&gt;0,"✔","-")</f>
        <v>-</v>
      </c>
      <c r="AZ242" s="444" t="str">
        <f>IF('Design Fee'!CV245&gt;0,"✔","-")</f>
        <v>-</v>
      </c>
      <c r="BA242" s="444" t="str">
        <f>IF('Design Fee'!CW245&gt;0,"✔","-")</f>
        <v>-</v>
      </c>
      <c r="BB242" s="466" t="str">
        <f>IF('Design Fee'!CX245&gt;0,"✔","-")</f>
        <v>-</v>
      </c>
      <c r="BC242" s="445"/>
      <c r="BD242" s="444" t="str">
        <f>IF('Design Fee'!CZ245&gt;0,"✔","-")</f>
        <v>-</v>
      </c>
      <c r="BE242" s="444" t="str">
        <f>IF('Design Fee'!DA245&gt;0,"✔","-")</f>
        <v>-</v>
      </c>
      <c r="BF242" s="444" t="str">
        <f>IF('Design Fee'!DB245&gt;0,"✔","-")</f>
        <v>-</v>
      </c>
      <c r="BG242" s="444" t="str">
        <f>IF('Design Fee'!DC245&gt;0,"✔","-")</f>
        <v>-</v>
      </c>
      <c r="BH242" s="444" t="str">
        <f>IF('Design Fee'!DD245&gt;0,"✔","-")</f>
        <v>-</v>
      </c>
      <c r="BI242" s="445"/>
      <c r="BJ242" s="441"/>
      <c r="BK242" s="442"/>
      <c r="BL242" s="443" t="str">
        <f>IF('Design Fee'!EA245&gt;0,"✔","-")</f>
        <v>-</v>
      </c>
      <c r="BM242" s="443" t="str">
        <f>IF('Design Fee'!EB245&gt;0,"✔","-")</f>
        <v>-</v>
      </c>
      <c r="BN242" s="444" t="str">
        <f>IF('Design Fee'!EC245&gt;0,"✔","-")</f>
        <v>-</v>
      </c>
      <c r="BO242" s="444" t="str">
        <f>IF('Design Fee'!ED245&gt;0,"✔","-")</f>
        <v>-</v>
      </c>
      <c r="BP242" s="444" t="str">
        <f>IF('Design Fee'!EE245&gt;0,"✔","-")</f>
        <v>-</v>
      </c>
      <c r="BQ242" s="444" t="str">
        <f>IF('Design Fee'!EF245&gt;0,"✔","-")</f>
        <v>-</v>
      </c>
      <c r="BR242" s="444" t="str">
        <f>IF('Design Fee'!EG245&gt;0,"✔","-")</f>
        <v>-</v>
      </c>
      <c r="BS242" s="466" t="str">
        <f>IF('Design Fee'!EH245&gt;0,"✔","-")</f>
        <v>-</v>
      </c>
      <c r="BT242" s="383"/>
      <c r="BU242" s="444" t="str">
        <f>IF('Design Fee'!EJ245&gt;0,"✔","-")</f>
        <v>-</v>
      </c>
      <c r="BV242" s="444" t="str">
        <f>IF('Design Fee'!EK245&gt;0,"✔","-")</f>
        <v>-</v>
      </c>
      <c r="BW242" s="444" t="str">
        <f>IF('Design Fee'!EL245&gt;0,"✔","-")</f>
        <v>-</v>
      </c>
      <c r="BX242" s="444" t="str">
        <f>IF('Design Fee'!EM245&gt;0,"✔","-")</f>
        <v>-</v>
      </c>
      <c r="BY242" s="444" t="str">
        <f>IF('Design Fee'!EN245&gt;0,"✔","-")</f>
        <v>-</v>
      </c>
      <c r="BZ242" s="383"/>
    </row>
    <row r="243" spans="2:78" s="95" customFormat="1" ht="12.75" outlineLevel="2">
      <c r="B243" s="463" t="s">
        <v>101</v>
      </c>
      <c r="C243" s="469">
        <v>6</v>
      </c>
      <c r="D243" s="470" t="s">
        <v>62</v>
      </c>
      <c r="E243" s="468"/>
      <c r="F243" s="473"/>
      <c r="G243" s="466"/>
      <c r="H243" s="466"/>
      <c r="I243" s="466"/>
      <c r="J243" s="475"/>
      <c r="K243" s="471"/>
      <c r="L243" s="472">
        <v>0</v>
      </c>
      <c r="M243" s="473" t="str">
        <f>IF('Design Fee'!W246&gt;0,"✔","-")</f>
        <v>-</v>
      </c>
      <c r="N243" s="473" t="str">
        <f>IF('Design Fee'!X246&gt;0,"✔","-")</f>
        <v>-</v>
      </c>
      <c r="O243" s="466" t="str">
        <f>IF('Design Fee'!Y246&gt;0,"✔","-")</f>
        <v>-</v>
      </c>
      <c r="P243" s="466" t="str">
        <f>IF('Design Fee'!Z246&gt;0,"✔","-")</f>
        <v>-</v>
      </c>
      <c r="Q243" s="466" t="str">
        <f>IF('Design Fee'!AA246&gt;0,"✔","-")</f>
        <v>-</v>
      </c>
      <c r="R243" s="466" t="str">
        <f>IF('Design Fee'!AB246&gt;0,"✔","-")</f>
        <v>-</v>
      </c>
      <c r="S243" s="466" t="str">
        <f>IF('Design Fee'!AC246&gt;0,"✔","-")</f>
        <v>-</v>
      </c>
      <c r="T243" s="466" t="str">
        <f>IF('Design Fee'!AD246&gt;0,"✔","-")</f>
        <v>-</v>
      </c>
      <c r="U243" s="475"/>
      <c r="V243" s="444" t="str">
        <f>IF('Design Fee'!AF246&gt;0,"✔","-")</f>
        <v>-</v>
      </c>
      <c r="W243" s="444" t="str">
        <f>IF('Design Fee'!AG246&gt;0,"✔","-")</f>
        <v>-</v>
      </c>
      <c r="X243" s="444" t="str">
        <f>IF('Design Fee'!AH246&gt;0,"✔","-")</f>
        <v>-</v>
      </c>
      <c r="Y243" s="444" t="str">
        <f>IF('Design Fee'!AI246&gt;0,"✔","-")</f>
        <v>-</v>
      </c>
      <c r="Z243" s="444" t="str">
        <f>IF('Design Fee'!AJ246&gt;0,"✔","-")</f>
        <v>-</v>
      </c>
      <c r="AA243" s="475"/>
      <c r="AB243" s="471"/>
      <c r="AC243" s="472"/>
      <c r="AD243" s="473" t="str">
        <f>IF('Design Fee'!BG246&gt;0,"✔","-")</f>
        <v>-</v>
      </c>
      <c r="AE243" s="473" t="str">
        <f>IF('Design Fee'!BH246&gt;0,"✔","-")</f>
        <v>-</v>
      </c>
      <c r="AF243" s="466" t="str">
        <f>IF('Design Fee'!BI246&gt;0,"✔","-")</f>
        <v>-</v>
      </c>
      <c r="AG243" s="466" t="str">
        <f>IF('Design Fee'!BJ246&gt;0,"✔","-")</f>
        <v>-</v>
      </c>
      <c r="AH243" s="466" t="str">
        <f>IF('Design Fee'!BK246&gt;0,"✔","-")</f>
        <v>-</v>
      </c>
      <c r="AI243" s="466" t="str">
        <f>IF('Design Fee'!BL246&gt;0,"✔","-")</f>
        <v>-</v>
      </c>
      <c r="AJ243" s="466" t="str">
        <f>IF('Design Fee'!BM246&gt;0,"✔","-")</f>
        <v>-</v>
      </c>
      <c r="AK243" s="466" t="str">
        <f>IF('Design Fee'!BN246&gt;0,"✔","-")</f>
        <v>-</v>
      </c>
      <c r="AL243" s="476"/>
      <c r="AM243" s="444" t="str">
        <f>IF('Design Fee'!BP246&gt;0,"✔","-")</f>
        <v>-</v>
      </c>
      <c r="AN243" s="444" t="str">
        <f>IF('Design Fee'!BQ246&gt;0,"✔","-")</f>
        <v>-</v>
      </c>
      <c r="AO243" s="444" t="str">
        <f>IF('Design Fee'!BR246&gt;0,"✔","-")</f>
        <v>-</v>
      </c>
      <c r="AP243" s="444" t="str">
        <f>IF('Design Fee'!BS246&gt;0,"✔","-")</f>
        <v>-</v>
      </c>
      <c r="AQ243" s="444" t="str">
        <f>IF('Design Fee'!BT246&gt;0,"✔","-")</f>
        <v>-</v>
      </c>
      <c r="AR243" s="476"/>
      <c r="AS243" s="471"/>
      <c r="AT243" s="472"/>
      <c r="AU243" s="473" t="str">
        <f>IF('Design Fee'!CQ246&gt;0,"✔","-")</f>
        <v>-</v>
      </c>
      <c r="AV243" s="473" t="str">
        <f>IF('Design Fee'!CR246&gt;0,"✔","-")</f>
        <v>-</v>
      </c>
      <c r="AW243" s="466" t="str">
        <f>IF('Design Fee'!CS246&gt;0,"✔","-")</f>
        <v>-</v>
      </c>
      <c r="AX243" s="466" t="str">
        <f>IF('Design Fee'!CT246&gt;0,"✔","-")</f>
        <v>-</v>
      </c>
      <c r="AY243" s="466" t="str">
        <f>IF('Design Fee'!CU246&gt;0,"✔","-")</f>
        <v>-</v>
      </c>
      <c r="AZ243" s="466" t="str">
        <f>IF('Design Fee'!CV246&gt;0,"✔","-")</f>
        <v>-</v>
      </c>
      <c r="BA243" s="466" t="str">
        <f>IF('Design Fee'!CW246&gt;0,"✔","-")</f>
        <v>-</v>
      </c>
      <c r="BB243" s="466" t="str">
        <f>IF('Design Fee'!CX246&gt;0,"✔","-")</f>
        <v>-</v>
      </c>
      <c r="BC243" s="476"/>
      <c r="BD243" s="444" t="str">
        <f>IF('Design Fee'!CZ246&gt;0,"✔","-")</f>
        <v>-</v>
      </c>
      <c r="BE243" s="444" t="str">
        <f>IF('Design Fee'!DA246&gt;0,"✔","-")</f>
        <v>-</v>
      </c>
      <c r="BF243" s="444" t="str">
        <f>IF('Design Fee'!DB246&gt;0,"✔","-")</f>
        <v>-</v>
      </c>
      <c r="BG243" s="444" t="str">
        <f>IF('Design Fee'!DC246&gt;0,"✔","-")</f>
        <v>-</v>
      </c>
      <c r="BH243" s="444" t="str">
        <f>IF('Design Fee'!DD246&gt;0,"✔","-")</f>
        <v>-</v>
      </c>
      <c r="BI243" s="476"/>
      <c r="BJ243" s="471"/>
      <c r="BK243" s="472"/>
      <c r="BL243" s="473" t="str">
        <f>IF('Design Fee'!EA246&gt;0,"✔","-")</f>
        <v>-</v>
      </c>
      <c r="BM243" s="473" t="str">
        <f>IF('Design Fee'!EB246&gt;0,"✔","-")</f>
        <v>-</v>
      </c>
      <c r="BN243" s="466" t="str">
        <f>IF('Design Fee'!EC246&gt;0,"✔","-")</f>
        <v>-</v>
      </c>
      <c r="BO243" s="466" t="str">
        <f>IF('Design Fee'!ED246&gt;0,"✔","-")</f>
        <v>-</v>
      </c>
      <c r="BP243" s="466" t="str">
        <f>IF('Design Fee'!EE246&gt;0,"✔","-")</f>
        <v>-</v>
      </c>
      <c r="BQ243" s="466" t="str">
        <f>IF('Design Fee'!EF246&gt;0,"✔","-")</f>
        <v>-</v>
      </c>
      <c r="BR243" s="466" t="str">
        <f>IF('Design Fee'!EG246&gt;0,"✔","-")</f>
        <v>-</v>
      </c>
      <c r="BS243" s="466" t="str">
        <f>IF('Design Fee'!EH246&gt;0,"✔","-")</f>
        <v>-</v>
      </c>
      <c r="BT243" s="468"/>
      <c r="BU243" s="444" t="str">
        <f>IF('Design Fee'!EJ246&gt;0,"✔","-")</f>
        <v>-</v>
      </c>
      <c r="BV243" s="444" t="str">
        <f>IF('Design Fee'!EK246&gt;0,"✔","-")</f>
        <v>-</v>
      </c>
      <c r="BW243" s="444" t="str">
        <f>IF('Design Fee'!EL246&gt;0,"✔","-")</f>
        <v>-</v>
      </c>
      <c r="BX243" s="444" t="str">
        <f>IF('Design Fee'!EM246&gt;0,"✔","-")</f>
        <v>-</v>
      </c>
      <c r="BY243" s="444" t="str">
        <f>IF('Design Fee'!EN246&gt;0,"✔","-")</f>
        <v>-</v>
      </c>
      <c r="BZ243" s="468"/>
    </row>
    <row r="244" spans="2:78" ht="12.75" outlineLevel="2">
      <c r="B244" s="463" t="s">
        <v>102</v>
      </c>
      <c r="C244" s="464">
        <v>7</v>
      </c>
      <c r="D244" s="465" t="s">
        <v>64</v>
      </c>
      <c r="E244" s="383"/>
      <c r="F244" s="443"/>
      <c r="G244" s="444"/>
      <c r="H244" s="444"/>
      <c r="I244" s="444"/>
      <c r="J244" s="430"/>
      <c r="K244" s="441"/>
      <c r="L244" s="442">
        <v>0</v>
      </c>
      <c r="M244" s="443" t="str">
        <f>IF('Design Fee'!W247&gt;0,"✔","-")</f>
        <v>-</v>
      </c>
      <c r="N244" s="443" t="str">
        <f>IF('Design Fee'!X247&gt;0,"✔","-")</f>
        <v>-</v>
      </c>
      <c r="O244" s="444" t="str">
        <f>IF('Design Fee'!Y247&gt;0,"✔","-")</f>
        <v>-</v>
      </c>
      <c r="P244" s="444" t="str">
        <f>IF('Design Fee'!Z247&gt;0,"✔","-")</f>
        <v>-</v>
      </c>
      <c r="Q244" s="444" t="str">
        <f>IF('Design Fee'!AA247&gt;0,"✔","-")</f>
        <v>-</v>
      </c>
      <c r="R244" s="444" t="str">
        <f>IF('Design Fee'!AB247&gt;0,"✔","-")</f>
        <v>-</v>
      </c>
      <c r="S244" s="444" t="str">
        <f>IF('Design Fee'!AC247&gt;0,"✔","-")</f>
        <v>-</v>
      </c>
      <c r="T244" s="466" t="str">
        <f>IF('Design Fee'!AD247&gt;0,"✔","-")</f>
        <v>-</v>
      </c>
      <c r="U244" s="430"/>
      <c r="V244" s="444" t="str">
        <f>IF('Design Fee'!AF247&gt;0,"✔","-")</f>
        <v>-</v>
      </c>
      <c r="W244" s="444" t="str">
        <f>IF('Design Fee'!AG247&gt;0,"✔","-")</f>
        <v>-</v>
      </c>
      <c r="X244" s="444" t="str">
        <f>IF('Design Fee'!AH247&gt;0,"✔","-")</f>
        <v>-</v>
      </c>
      <c r="Y244" s="444" t="str">
        <f>IF('Design Fee'!AI247&gt;0,"✔","-")</f>
        <v>-</v>
      </c>
      <c r="Z244" s="444" t="str">
        <f>IF('Design Fee'!AJ247&gt;0,"✔","-")</f>
        <v>-</v>
      </c>
      <c r="AA244" s="430"/>
      <c r="AB244" s="441"/>
      <c r="AC244" s="442"/>
      <c r="AD244" s="443" t="str">
        <f>IF('Design Fee'!BG247&gt;0,"✔","-")</f>
        <v>-</v>
      </c>
      <c r="AE244" s="443" t="str">
        <f>IF('Design Fee'!BH247&gt;0,"✔","-")</f>
        <v>-</v>
      </c>
      <c r="AF244" s="444" t="str">
        <f>IF('Design Fee'!BI247&gt;0,"✔","-")</f>
        <v>-</v>
      </c>
      <c r="AG244" s="444" t="str">
        <f>IF('Design Fee'!BJ247&gt;0,"✔","-")</f>
        <v>-</v>
      </c>
      <c r="AH244" s="444" t="str">
        <f>IF('Design Fee'!BK247&gt;0,"✔","-")</f>
        <v>-</v>
      </c>
      <c r="AI244" s="444" t="str">
        <f>IF('Design Fee'!BL247&gt;0,"✔","-")</f>
        <v>-</v>
      </c>
      <c r="AJ244" s="444" t="str">
        <f>IF('Design Fee'!BM247&gt;0,"✔","-")</f>
        <v>-</v>
      </c>
      <c r="AK244" s="466" t="str">
        <f>IF('Design Fee'!BN247&gt;0,"✔","-")</f>
        <v>-</v>
      </c>
      <c r="AL244" s="445"/>
      <c r="AM244" s="444" t="str">
        <f>IF('Design Fee'!BP247&gt;0,"✔","-")</f>
        <v>-</v>
      </c>
      <c r="AN244" s="444" t="str">
        <f>IF('Design Fee'!BQ247&gt;0,"✔","-")</f>
        <v>-</v>
      </c>
      <c r="AO244" s="444" t="str">
        <f>IF('Design Fee'!BR247&gt;0,"✔","-")</f>
        <v>-</v>
      </c>
      <c r="AP244" s="444" t="str">
        <f>IF('Design Fee'!BS247&gt;0,"✔","-")</f>
        <v>-</v>
      </c>
      <c r="AQ244" s="444" t="str">
        <f>IF('Design Fee'!BT247&gt;0,"✔","-")</f>
        <v>-</v>
      </c>
      <c r="AR244" s="445"/>
      <c r="AS244" s="441"/>
      <c r="AT244" s="442"/>
      <c r="AU244" s="443" t="str">
        <f>IF('Design Fee'!CQ247&gt;0,"✔","-")</f>
        <v>-</v>
      </c>
      <c r="AV244" s="443" t="str">
        <f>IF('Design Fee'!CR247&gt;0,"✔","-")</f>
        <v>-</v>
      </c>
      <c r="AW244" s="444" t="str">
        <f>IF('Design Fee'!CS247&gt;0,"✔","-")</f>
        <v>-</v>
      </c>
      <c r="AX244" s="444" t="str">
        <f>IF('Design Fee'!CT247&gt;0,"✔","-")</f>
        <v>-</v>
      </c>
      <c r="AY244" s="444" t="str">
        <f>IF('Design Fee'!CU247&gt;0,"✔","-")</f>
        <v>-</v>
      </c>
      <c r="AZ244" s="444" t="str">
        <f>IF('Design Fee'!CV247&gt;0,"✔","-")</f>
        <v>-</v>
      </c>
      <c r="BA244" s="444" t="str">
        <f>IF('Design Fee'!CW247&gt;0,"✔","-")</f>
        <v>-</v>
      </c>
      <c r="BB244" s="466" t="str">
        <f>IF('Design Fee'!CX247&gt;0,"✔","-")</f>
        <v>-</v>
      </c>
      <c r="BC244" s="445"/>
      <c r="BD244" s="444" t="str">
        <f>IF('Design Fee'!CZ247&gt;0,"✔","-")</f>
        <v>-</v>
      </c>
      <c r="BE244" s="444" t="str">
        <f>IF('Design Fee'!DA247&gt;0,"✔","-")</f>
        <v>-</v>
      </c>
      <c r="BF244" s="444" t="str">
        <f>IF('Design Fee'!DB247&gt;0,"✔","-")</f>
        <v>-</v>
      </c>
      <c r="BG244" s="444" t="str">
        <f>IF('Design Fee'!DC247&gt;0,"✔","-")</f>
        <v>-</v>
      </c>
      <c r="BH244" s="444" t="str">
        <f>IF('Design Fee'!DD247&gt;0,"✔","-")</f>
        <v>-</v>
      </c>
      <c r="BI244" s="445"/>
      <c r="BJ244" s="441"/>
      <c r="BK244" s="442"/>
      <c r="BL244" s="443" t="str">
        <f>IF('Design Fee'!EA247&gt;0,"✔","-")</f>
        <v>-</v>
      </c>
      <c r="BM244" s="443" t="str">
        <f>IF('Design Fee'!EB247&gt;0,"✔","-")</f>
        <v>-</v>
      </c>
      <c r="BN244" s="444" t="str">
        <f>IF('Design Fee'!EC247&gt;0,"✔","-")</f>
        <v>-</v>
      </c>
      <c r="BO244" s="444" t="str">
        <f>IF('Design Fee'!ED247&gt;0,"✔","-")</f>
        <v>-</v>
      </c>
      <c r="BP244" s="444" t="str">
        <f>IF('Design Fee'!EE247&gt;0,"✔","-")</f>
        <v>-</v>
      </c>
      <c r="BQ244" s="444" t="str">
        <f>IF('Design Fee'!EF247&gt;0,"✔","-")</f>
        <v>-</v>
      </c>
      <c r="BR244" s="444" t="str">
        <f>IF('Design Fee'!EG247&gt;0,"✔","-")</f>
        <v>-</v>
      </c>
      <c r="BS244" s="466" t="str">
        <f>IF('Design Fee'!EH247&gt;0,"✔","-")</f>
        <v>-</v>
      </c>
      <c r="BT244" s="383"/>
      <c r="BU244" s="444" t="str">
        <f>IF('Design Fee'!EJ247&gt;0,"✔","-")</f>
        <v>-</v>
      </c>
      <c r="BV244" s="444" t="str">
        <f>IF('Design Fee'!EK247&gt;0,"✔","-")</f>
        <v>-</v>
      </c>
      <c r="BW244" s="444" t="str">
        <f>IF('Design Fee'!EL247&gt;0,"✔","-")</f>
        <v>-</v>
      </c>
      <c r="BX244" s="444" t="str">
        <f>IF('Design Fee'!EM247&gt;0,"✔","-")</f>
        <v>-</v>
      </c>
      <c r="BY244" s="444" t="str">
        <f>IF('Design Fee'!EN247&gt;0,"✔","-")</f>
        <v>-</v>
      </c>
      <c r="BZ244" s="383"/>
    </row>
    <row r="245" spans="2:78" ht="12.75" outlineLevel="2">
      <c r="B245" s="463" t="s">
        <v>103</v>
      </c>
      <c r="C245" s="464">
        <v>8</v>
      </c>
      <c r="D245" s="465" t="s">
        <v>67</v>
      </c>
      <c r="E245" s="383"/>
      <c r="F245" s="443"/>
      <c r="G245" s="444"/>
      <c r="H245" s="444"/>
      <c r="I245" s="444"/>
      <c r="J245" s="430"/>
      <c r="K245" s="441"/>
      <c r="L245" s="442">
        <v>0</v>
      </c>
      <c r="M245" s="443" t="str">
        <f>IF('Design Fee'!W248&gt;0,"✔","-")</f>
        <v>-</v>
      </c>
      <c r="N245" s="443" t="str">
        <f>IF('Design Fee'!X248&gt;0,"✔","-")</f>
        <v>-</v>
      </c>
      <c r="O245" s="444" t="str">
        <f>IF('Design Fee'!Y248&gt;0,"✔","-")</f>
        <v>-</v>
      </c>
      <c r="P245" s="444" t="str">
        <f>IF('Design Fee'!Z248&gt;0,"✔","-")</f>
        <v>-</v>
      </c>
      <c r="Q245" s="444" t="str">
        <f>IF('Design Fee'!AA248&gt;0,"✔","-")</f>
        <v>-</v>
      </c>
      <c r="R245" s="444" t="str">
        <f>IF('Design Fee'!AB248&gt;0,"✔","-")</f>
        <v>-</v>
      </c>
      <c r="S245" s="444" t="str">
        <f>IF('Design Fee'!AC248&gt;0,"✔","-")</f>
        <v>-</v>
      </c>
      <c r="T245" s="466" t="str">
        <f>IF('Design Fee'!AD248&gt;0,"✔","-")</f>
        <v>-</v>
      </c>
      <c r="U245" s="430"/>
      <c r="V245" s="444" t="str">
        <f>IF('Design Fee'!AF248&gt;0,"✔","-")</f>
        <v>-</v>
      </c>
      <c r="W245" s="444" t="str">
        <f>IF('Design Fee'!AG248&gt;0,"✔","-")</f>
        <v>-</v>
      </c>
      <c r="X245" s="444" t="str">
        <f>IF('Design Fee'!AH248&gt;0,"✔","-")</f>
        <v>-</v>
      </c>
      <c r="Y245" s="444" t="str">
        <f>IF('Design Fee'!AI248&gt;0,"✔","-")</f>
        <v>-</v>
      </c>
      <c r="Z245" s="444" t="str">
        <f>IF('Design Fee'!AJ248&gt;0,"✔","-")</f>
        <v>-</v>
      </c>
      <c r="AA245" s="430"/>
      <c r="AB245" s="441"/>
      <c r="AC245" s="442"/>
      <c r="AD245" s="443" t="str">
        <f>IF('Design Fee'!BG248&gt;0,"✔","-")</f>
        <v>-</v>
      </c>
      <c r="AE245" s="443" t="str">
        <f>IF('Design Fee'!BH248&gt;0,"✔","-")</f>
        <v>-</v>
      </c>
      <c r="AF245" s="444" t="str">
        <f>IF('Design Fee'!BI248&gt;0,"✔","-")</f>
        <v>-</v>
      </c>
      <c r="AG245" s="444" t="str">
        <f>IF('Design Fee'!BJ248&gt;0,"✔","-")</f>
        <v>-</v>
      </c>
      <c r="AH245" s="444" t="str">
        <f>IF('Design Fee'!BK248&gt;0,"✔","-")</f>
        <v>-</v>
      </c>
      <c r="AI245" s="444" t="str">
        <f>IF('Design Fee'!BL248&gt;0,"✔","-")</f>
        <v>-</v>
      </c>
      <c r="AJ245" s="444" t="str">
        <f>IF('Design Fee'!BM248&gt;0,"✔","-")</f>
        <v>-</v>
      </c>
      <c r="AK245" s="466" t="str">
        <f>IF('Design Fee'!BN248&gt;0,"✔","-")</f>
        <v>-</v>
      </c>
      <c r="AL245" s="445"/>
      <c r="AM245" s="444" t="str">
        <f>IF('Design Fee'!BP248&gt;0,"✔","-")</f>
        <v>-</v>
      </c>
      <c r="AN245" s="444" t="str">
        <f>IF('Design Fee'!BQ248&gt;0,"✔","-")</f>
        <v>-</v>
      </c>
      <c r="AO245" s="444" t="str">
        <f>IF('Design Fee'!BR248&gt;0,"✔","-")</f>
        <v>-</v>
      </c>
      <c r="AP245" s="444" t="str">
        <f>IF('Design Fee'!BS248&gt;0,"✔","-")</f>
        <v>-</v>
      </c>
      <c r="AQ245" s="444" t="str">
        <f>IF('Design Fee'!BT248&gt;0,"✔","-")</f>
        <v>-</v>
      </c>
      <c r="AR245" s="445"/>
      <c r="AS245" s="441"/>
      <c r="AT245" s="442"/>
      <c r="AU245" s="443" t="str">
        <f>IF('Design Fee'!CQ248&gt;0,"✔","-")</f>
        <v>-</v>
      </c>
      <c r="AV245" s="443" t="str">
        <f>IF('Design Fee'!CR248&gt;0,"✔","-")</f>
        <v>-</v>
      </c>
      <c r="AW245" s="444" t="str">
        <f>IF('Design Fee'!CS248&gt;0,"✔","-")</f>
        <v>-</v>
      </c>
      <c r="AX245" s="444" t="str">
        <f>IF('Design Fee'!CT248&gt;0,"✔","-")</f>
        <v>-</v>
      </c>
      <c r="AY245" s="444" t="str">
        <f>IF('Design Fee'!CU248&gt;0,"✔","-")</f>
        <v>-</v>
      </c>
      <c r="AZ245" s="444" t="str">
        <f>IF('Design Fee'!CV248&gt;0,"✔","-")</f>
        <v>-</v>
      </c>
      <c r="BA245" s="444" t="str">
        <f>IF('Design Fee'!CW248&gt;0,"✔","-")</f>
        <v>-</v>
      </c>
      <c r="BB245" s="466" t="str">
        <f>IF('Design Fee'!CX248&gt;0,"✔","-")</f>
        <v>-</v>
      </c>
      <c r="BC245" s="445"/>
      <c r="BD245" s="444" t="str">
        <f>IF('Design Fee'!CZ248&gt;0,"✔","-")</f>
        <v>-</v>
      </c>
      <c r="BE245" s="444" t="str">
        <f>IF('Design Fee'!DA248&gt;0,"✔","-")</f>
        <v>-</v>
      </c>
      <c r="BF245" s="444" t="str">
        <f>IF('Design Fee'!DB248&gt;0,"✔","-")</f>
        <v>-</v>
      </c>
      <c r="BG245" s="444" t="str">
        <f>IF('Design Fee'!DC248&gt;0,"✔","-")</f>
        <v>-</v>
      </c>
      <c r="BH245" s="444" t="str">
        <f>IF('Design Fee'!DD248&gt;0,"✔","-")</f>
        <v>-</v>
      </c>
      <c r="BI245" s="445"/>
      <c r="BJ245" s="441"/>
      <c r="BK245" s="442"/>
      <c r="BL245" s="443" t="str">
        <f>IF('Design Fee'!EA248&gt;0,"✔","-")</f>
        <v>-</v>
      </c>
      <c r="BM245" s="443" t="str">
        <f>IF('Design Fee'!EB248&gt;0,"✔","-")</f>
        <v>-</v>
      </c>
      <c r="BN245" s="444" t="str">
        <f>IF('Design Fee'!EC248&gt;0,"✔","-")</f>
        <v>-</v>
      </c>
      <c r="BO245" s="444" t="str">
        <f>IF('Design Fee'!ED248&gt;0,"✔","-")</f>
        <v>-</v>
      </c>
      <c r="BP245" s="444" t="str">
        <f>IF('Design Fee'!EE248&gt;0,"✔","-")</f>
        <v>-</v>
      </c>
      <c r="BQ245" s="444" t="str">
        <f>IF('Design Fee'!EF248&gt;0,"✔","-")</f>
        <v>-</v>
      </c>
      <c r="BR245" s="444" t="str">
        <f>IF('Design Fee'!EG248&gt;0,"✔","-")</f>
        <v>-</v>
      </c>
      <c r="BS245" s="466" t="str">
        <f>IF('Design Fee'!EH248&gt;0,"✔","-")</f>
        <v>-</v>
      </c>
      <c r="BT245" s="383"/>
      <c r="BU245" s="444" t="str">
        <f>IF('Design Fee'!EJ248&gt;0,"✔","-")</f>
        <v>-</v>
      </c>
      <c r="BV245" s="444" t="str">
        <f>IF('Design Fee'!EK248&gt;0,"✔","-")</f>
        <v>-</v>
      </c>
      <c r="BW245" s="444" t="str">
        <f>IF('Design Fee'!EL248&gt;0,"✔","-")</f>
        <v>-</v>
      </c>
      <c r="BX245" s="444" t="str">
        <f>IF('Design Fee'!EM248&gt;0,"✔","-")</f>
        <v>-</v>
      </c>
      <c r="BY245" s="444" t="str">
        <f>IF('Design Fee'!EN248&gt;0,"✔","-")</f>
        <v>-</v>
      </c>
      <c r="BZ245" s="383"/>
    </row>
    <row r="246" spans="2:78" ht="12.75" outlineLevel="2">
      <c r="B246" s="463" t="s">
        <v>104</v>
      </c>
      <c r="C246" s="464">
        <v>9</v>
      </c>
      <c r="D246" s="465" t="s">
        <v>69</v>
      </c>
      <c r="E246" s="383"/>
      <c r="F246" s="443"/>
      <c r="G246" s="444"/>
      <c r="H246" s="444"/>
      <c r="I246" s="444"/>
      <c r="J246" s="430"/>
      <c r="K246" s="441"/>
      <c r="L246" s="442">
        <v>0</v>
      </c>
      <c r="M246" s="443" t="str">
        <f>IF('Design Fee'!W249&gt;0,"✔","-")</f>
        <v>-</v>
      </c>
      <c r="N246" s="443" t="str">
        <f>IF('Design Fee'!X249&gt;0,"✔","-")</f>
        <v>-</v>
      </c>
      <c r="O246" s="444" t="str">
        <f>IF('Design Fee'!Y249&gt;0,"✔","-")</f>
        <v>-</v>
      </c>
      <c r="P246" s="444" t="str">
        <f>IF('Design Fee'!Z249&gt;0,"✔","-")</f>
        <v>-</v>
      </c>
      <c r="Q246" s="444" t="str">
        <f>IF('Design Fee'!AA249&gt;0,"✔","-")</f>
        <v>-</v>
      </c>
      <c r="R246" s="444" t="str">
        <f>IF('Design Fee'!AB249&gt;0,"✔","-")</f>
        <v>-</v>
      </c>
      <c r="S246" s="444" t="str">
        <f>IF('Design Fee'!AC249&gt;0,"✔","-")</f>
        <v>-</v>
      </c>
      <c r="T246" s="466" t="str">
        <f>IF('Design Fee'!AD249&gt;0,"✔","-")</f>
        <v>-</v>
      </c>
      <c r="U246" s="430"/>
      <c r="V246" s="444" t="str">
        <f>IF('Design Fee'!AF249&gt;0,"✔","-")</f>
        <v>-</v>
      </c>
      <c r="W246" s="444" t="str">
        <f>IF('Design Fee'!AG249&gt;0,"✔","-")</f>
        <v>-</v>
      </c>
      <c r="X246" s="444" t="str">
        <f>IF('Design Fee'!AH249&gt;0,"✔","-")</f>
        <v>-</v>
      </c>
      <c r="Y246" s="444" t="str">
        <f>IF('Design Fee'!AI249&gt;0,"✔","-")</f>
        <v>-</v>
      </c>
      <c r="Z246" s="444" t="str">
        <f>IF('Design Fee'!AJ249&gt;0,"✔","-")</f>
        <v>-</v>
      </c>
      <c r="AA246" s="430"/>
      <c r="AB246" s="441"/>
      <c r="AC246" s="442"/>
      <c r="AD246" s="443" t="str">
        <f>IF('Design Fee'!BG249&gt;0,"✔","-")</f>
        <v>-</v>
      </c>
      <c r="AE246" s="443" t="str">
        <f>IF('Design Fee'!BH249&gt;0,"✔","-")</f>
        <v>-</v>
      </c>
      <c r="AF246" s="444" t="str">
        <f>IF('Design Fee'!BI249&gt;0,"✔","-")</f>
        <v>-</v>
      </c>
      <c r="AG246" s="444" t="str">
        <f>IF('Design Fee'!BJ249&gt;0,"✔","-")</f>
        <v>-</v>
      </c>
      <c r="AH246" s="444" t="str">
        <f>IF('Design Fee'!BK249&gt;0,"✔","-")</f>
        <v>-</v>
      </c>
      <c r="AI246" s="444" t="str">
        <f>IF('Design Fee'!BL249&gt;0,"✔","-")</f>
        <v>-</v>
      </c>
      <c r="AJ246" s="444" t="str">
        <f>IF('Design Fee'!BM249&gt;0,"✔","-")</f>
        <v>-</v>
      </c>
      <c r="AK246" s="466" t="str">
        <f>IF('Design Fee'!BN249&gt;0,"✔","-")</f>
        <v>-</v>
      </c>
      <c r="AL246" s="445"/>
      <c r="AM246" s="444" t="str">
        <f>IF('Design Fee'!BP249&gt;0,"✔","-")</f>
        <v>-</v>
      </c>
      <c r="AN246" s="444" t="str">
        <f>IF('Design Fee'!BQ249&gt;0,"✔","-")</f>
        <v>-</v>
      </c>
      <c r="AO246" s="444" t="str">
        <f>IF('Design Fee'!BR249&gt;0,"✔","-")</f>
        <v>-</v>
      </c>
      <c r="AP246" s="444" t="str">
        <f>IF('Design Fee'!BS249&gt;0,"✔","-")</f>
        <v>-</v>
      </c>
      <c r="AQ246" s="444" t="str">
        <f>IF('Design Fee'!BT249&gt;0,"✔","-")</f>
        <v>-</v>
      </c>
      <c r="AR246" s="445"/>
      <c r="AS246" s="441"/>
      <c r="AT246" s="442"/>
      <c r="AU246" s="443" t="str">
        <f>IF('Design Fee'!CQ249&gt;0,"✔","-")</f>
        <v>-</v>
      </c>
      <c r="AV246" s="443" t="str">
        <f>IF('Design Fee'!CR249&gt;0,"✔","-")</f>
        <v>-</v>
      </c>
      <c r="AW246" s="444" t="str">
        <f>IF('Design Fee'!CS249&gt;0,"✔","-")</f>
        <v>-</v>
      </c>
      <c r="AX246" s="444" t="str">
        <f>IF('Design Fee'!CT249&gt;0,"✔","-")</f>
        <v>-</v>
      </c>
      <c r="AY246" s="444" t="str">
        <f>IF('Design Fee'!CU249&gt;0,"✔","-")</f>
        <v>-</v>
      </c>
      <c r="AZ246" s="444" t="str">
        <f>IF('Design Fee'!CV249&gt;0,"✔","-")</f>
        <v>-</v>
      </c>
      <c r="BA246" s="444" t="str">
        <f>IF('Design Fee'!CW249&gt;0,"✔","-")</f>
        <v>-</v>
      </c>
      <c r="BB246" s="466" t="str">
        <f>IF('Design Fee'!CX249&gt;0,"✔","-")</f>
        <v>-</v>
      </c>
      <c r="BC246" s="445"/>
      <c r="BD246" s="444" t="str">
        <f>IF('Design Fee'!CZ249&gt;0,"✔","-")</f>
        <v>-</v>
      </c>
      <c r="BE246" s="444" t="str">
        <f>IF('Design Fee'!DA249&gt;0,"✔","-")</f>
        <v>-</v>
      </c>
      <c r="BF246" s="444" t="str">
        <f>IF('Design Fee'!DB249&gt;0,"✔","-")</f>
        <v>-</v>
      </c>
      <c r="BG246" s="444" t="str">
        <f>IF('Design Fee'!DC249&gt;0,"✔","-")</f>
        <v>-</v>
      </c>
      <c r="BH246" s="444" t="str">
        <f>IF('Design Fee'!DD249&gt;0,"✔","-")</f>
        <v>-</v>
      </c>
      <c r="BI246" s="445"/>
      <c r="BJ246" s="441"/>
      <c r="BK246" s="442"/>
      <c r="BL246" s="443" t="str">
        <f>IF('Design Fee'!EA249&gt;0,"✔","-")</f>
        <v>-</v>
      </c>
      <c r="BM246" s="443" t="str">
        <f>IF('Design Fee'!EB249&gt;0,"✔","-")</f>
        <v>-</v>
      </c>
      <c r="BN246" s="444" t="str">
        <f>IF('Design Fee'!EC249&gt;0,"✔","-")</f>
        <v>-</v>
      </c>
      <c r="BO246" s="444" t="str">
        <f>IF('Design Fee'!ED249&gt;0,"✔","-")</f>
        <v>-</v>
      </c>
      <c r="BP246" s="444" t="str">
        <f>IF('Design Fee'!EE249&gt;0,"✔","-")</f>
        <v>-</v>
      </c>
      <c r="BQ246" s="444" t="str">
        <f>IF('Design Fee'!EF249&gt;0,"✔","-")</f>
        <v>-</v>
      </c>
      <c r="BR246" s="444" t="str">
        <f>IF('Design Fee'!EG249&gt;0,"✔","-")</f>
        <v>-</v>
      </c>
      <c r="BS246" s="466" t="str">
        <f>IF('Design Fee'!EH249&gt;0,"✔","-")</f>
        <v>-</v>
      </c>
      <c r="BT246" s="383"/>
      <c r="BU246" s="444" t="str">
        <f>IF('Design Fee'!EJ249&gt;0,"✔","-")</f>
        <v>-</v>
      </c>
      <c r="BV246" s="444" t="str">
        <f>IF('Design Fee'!EK249&gt;0,"✔","-")</f>
        <v>-</v>
      </c>
      <c r="BW246" s="444" t="str">
        <f>IF('Design Fee'!EL249&gt;0,"✔","-")</f>
        <v>-</v>
      </c>
      <c r="BX246" s="444" t="str">
        <f>IF('Design Fee'!EM249&gt;0,"✔","-")</f>
        <v>-</v>
      </c>
      <c r="BY246" s="444" t="str">
        <f>IF('Design Fee'!EN249&gt;0,"✔","-")</f>
        <v>-</v>
      </c>
      <c r="BZ246" s="383"/>
    </row>
    <row r="247" spans="2:78" ht="12.75" outlineLevel="2">
      <c r="B247" s="463" t="s">
        <v>105</v>
      </c>
      <c r="C247" s="464">
        <v>10</v>
      </c>
      <c r="D247" s="465" t="s">
        <v>71</v>
      </c>
      <c r="E247" s="383"/>
      <c r="F247" s="443"/>
      <c r="G247" s="444"/>
      <c r="H247" s="444"/>
      <c r="I247" s="444"/>
      <c r="J247" s="430"/>
      <c r="K247" s="441"/>
      <c r="L247" s="442">
        <v>0</v>
      </c>
      <c r="M247" s="443" t="str">
        <f>IF('Design Fee'!W250&gt;0,"✔","-")</f>
        <v>-</v>
      </c>
      <c r="N247" s="443" t="str">
        <f>IF('Design Fee'!X250&gt;0,"✔","-")</f>
        <v>-</v>
      </c>
      <c r="O247" s="444" t="str">
        <f>IF('Design Fee'!Y250&gt;0,"✔","-")</f>
        <v>-</v>
      </c>
      <c r="P247" s="444" t="str">
        <f>IF('Design Fee'!Z250&gt;0,"✔","-")</f>
        <v>-</v>
      </c>
      <c r="Q247" s="444" t="str">
        <f>IF('Design Fee'!AA250&gt;0,"✔","-")</f>
        <v>-</v>
      </c>
      <c r="R247" s="444" t="str">
        <f>IF('Design Fee'!AB250&gt;0,"✔","-")</f>
        <v>-</v>
      </c>
      <c r="S247" s="444" t="str">
        <f>IF('Design Fee'!AC250&gt;0,"✔","-")</f>
        <v>-</v>
      </c>
      <c r="T247" s="466" t="str">
        <f>IF('Design Fee'!AD250&gt;0,"✔","-")</f>
        <v>-</v>
      </c>
      <c r="U247" s="430"/>
      <c r="V247" s="444" t="str">
        <f>IF('Design Fee'!AF250&gt;0,"✔","-")</f>
        <v>-</v>
      </c>
      <c r="W247" s="444" t="str">
        <f>IF('Design Fee'!AG250&gt;0,"✔","-")</f>
        <v>-</v>
      </c>
      <c r="X247" s="444" t="str">
        <f>IF('Design Fee'!AH250&gt;0,"✔","-")</f>
        <v>-</v>
      </c>
      <c r="Y247" s="444" t="str">
        <f>IF('Design Fee'!AI250&gt;0,"✔","-")</f>
        <v>-</v>
      </c>
      <c r="Z247" s="444" t="str">
        <f>IF('Design Fee'!AJ250&gt;0,"✔","-")</f>
        <v>-</v>
      </c>
      <c r="AA247" s="430"/>
      <c r="AB247" s="441"/>
      <c r="AC247" s="442"/>
      <c r="AD247" s="443" t="str">
        <f>IF('Design Fee'!BG250&gt;0,"✔","-")</f>
        <v>-</v>
      </c>
      <c r="AE247" s="443" t="str">
        <f>IF('Design Fee'!BH250&gt;0,"✔","-")</f>
        <v>-</v>
      </c>
      <c r="AF247" s="444" t="str">
        <f>IF('Design Fee'!BI250&gt;0,"✔","-")</f>
        <v>-</v>
      </c>
      <c r="AG247" s="444" t="str">
        <f>IF('Design Fee'!BJ250&gt;0,"✔","-")</f>
        <v>-</v>
      </c>
      <c r="AH247" s="444" t="str">
        <f>IF('Design Fee'!BK250&gt;0,"✔","-")</f>
        <v>-</v>
      </c>
      <c r="AI247" s="444" t="str">
        <f>IF('Design Fee'!BL250&gt;0,"✔","-")</f>
        <v>-</v>
      </c>
      <c r="AJ247" s="444" t="str">
        <f>IF('Design Fee'!BM250&gt;0,"✔","-")</f>
        <v>-</v>
      </c>
      <c r="AK247" s="466" t="str">
        <f>IF('Design Fee'!BN250&gt;0,"✔","-")</f>
        <v>-</v>
      </c>
      <c r="AL247" s="445"/>
      <c r="AM247" s="444" t="str">
        <f>IF('Design Fee'!BP250&gt;0,"✔","-")</f>
        <v>-</v>
      </c>
      <c r="AN247" s="444" t="str">
        <f>IF('Design Fee'!BQ250&gt;0,"✔","-")</f>
        <v>-</v>
      </c>
      <c r="AO247" s="444" t="str">
        <f>IF('Design Fee'!BR250&gt;0,"✔","-")</f>
        <v>-</v>
      </c>
      <c r="AP247" s="444" t="str">
        <f>IF('Design Fee'!BS250&gt;0,"✔","-")</f>
        <v>-</v>
      </c>
      <c r="AQ247" s="444" t="str">
        <f>IF('Design Fee'!BT250&gt;0,"✔","-")</f>
        <v>-</v>
      </c>
      <c r="AR247" s="445"/>
      <c r="AS247" s="441"/>
      <c r="AT247" s="442"/>
      <c r="AU247" s="443" t="str">
        <f>IF('Design Fee'!CQ250&gt;0,"✔","-")</f>
        <v>-</v>
      </c>
      <c r="AV247" s="443" t="str">
        <f>IF('Design Fee'!CR250&gt;0,"✔","-")</f>
        <v>-</v>
      </c>
      <c r="AW247" s="444" t="str">
        <f>IF('Design Fee'!CS250&gt;0,"✔","-")</f>
        <v>-</v>
      </c>
      <c r="AX247" s="444" t="str">
        <f>IF('Design Fee'!CT250&gt;0,"✔","-")</f>
        <v>-</v>
      </c>
      <c r="AY247" s="444" t="str">
        <f>IF('Design Fee'!CU250&gt;0,"✔","-")</f>
        <v>-</v>
      </c>
      <c r="AZ247" s="444" t="str">
        <f>IF('Design Fee'!CV250&gt;0,"✔","-")</f>
        <v>-</v>
      </c>
      <c r="BA247" s="444" t="str">
        <f>IF('Design Fee'!CW250&gt;0,"✔","-")</f>
        <v>-</v>
      </c>
      <c r="BB247" s="466" t="str">
        <f>IF('Design Fee'!CX250&gt;0,"✔","-")</f>
        <v>-</v>
      </c>
      <c r="BC247" s="445"/>
      <c r="BD247" s="444" t="str">
        <f>IF('Design Fee'!CZ250&gt;0,"✔","-")</f>
        <v>-</v>
      </c>
      <c r="BE247" s="444" t="str">
        <f>IF('Design Fee'!DA250&gt;0,"✔","-")</f>
        <v>-</v>
      </c>
      <c r="BF247" s="444" t="str">
        <f>IF('Design Fee'!DB250&gt;0,"✔","-")</f>
        <v>-</v>
      </c>
      <c r="BG247" s="444" t="str">
        <f>IF('Design Fee'!DC250&gt;0,"✔","-")</f>
        <v>-</v>
      </c>
      <c r="BH247" s="444" t="str">
        <f>IF('Design Fee'!DD250&gt;0,"✔","-")</f>
        <v>-</v>
      </c>
      <c r="BI247" s="445"/>
      <c r="BJ247" s="441"/>
      <c r="BK247" s="442"/>
      <c r="BL247" s="443" t="str">
        <f>IF('Design Fee'!EA250&gt;0,"✔","-")</f>
        <v>-</v>
      </c>
      <c r="BM247" s="443" t="str">
        <f>IF('Design Fee'!EB250&gt;0,"✔","-")</f>
        <v>-</v>
      </c>
      <c r="BN247" s="444" t="str">
        <f>IF('Design Fee'!EC250&gt;0,"✔","-")</f>
        <v>-</v>
      </c>
      <c r="BO247" s="444" t="str">
        <f>IF('Design Fee'!ED250&gt;0,"✔","-")</f>
        <v>-</v>
      </c>
      <c r="BP247" s="444" t="str">
        <f>IF('Design Fee'!EE250&gt;0,"✔","-")</f>
        <v>-</v>
      </c>
      <c r="BQ247" s="444" t="str">
        <f>IF('Design Fee'!EF250&gt;0,"✔","-")</f>
        <v>-</v>
      </c>
      <c r="BR247" s="444" t="str">
        <f>IF('Design Fee'!EG250&gt;0,"✔","-")</f>
        <v>-</v>
      </c>
      <c r="BS247" s="466" t="str">
        <f>IF('Design Fee'!EH250&gt;0,"✔","-")</f>
        <v>-</v>
      </c>
      <c r="BT247" s="383"/>
      <c r="BU247" s="444" t="str">
        <f>IF('Design Fee'!EJ250&gt;0,"✔","-")</f>
        <v>-</v>
      </c>
      <c r="BV247" s="444" t="str">
        <f>IF('Design Fee'!EK250&gt;0,"✔","-")</f>
        <v>-</v>
      </c>
      <c r="BW247" s="444" t="str">
        <f>IF('Design Fee'!EL250&gt;0,"✔","-")</f>
        <v>-</v>
      </c>
      <c r="BX247" s="444" t="str">
        <f>IF('Design Fee'!EM250&gt;0,"✔","-")</f>
        <v>-</v>
      </c>
      <c r="BY247" s="444" t="str">
        <f>IF('Design Fee'!EN250&gt;0,"✔","-")</f>
        <v>-</v>
      </c>
      <c r="BZ247" s="383"/>
    </row>
    <row r="248" spans="2:78" ht="3" customHeight="1"/>
  </sheetData>
  <sheetProtection formatColumns="0" formatRows="0"/>
  <mergeCells count="5">
    <mergeCell ref="C2:D2"/>
    <mergeCell ref="C7:D7"/>
    <mergeCell ref="C47:D47"/>
    <mergeCell ref="C231:D231"/>
    <mergeCell ref="C236:D236"/>
  </mergeCells>
  <phoneticPr fontId="37" type="noConversion"/>
  <conditionalFormatting sqref="V238:Z247 O233 Q233:R233 T233 V143:Z195 V219:Z223 V207:Z217 V202:Z205 V197:Z200 V131:Z141 V120:Z129 V108:Z118 V97:Z106 V85:Z95 V74:Z83 V62:Z72 V50:Z60 V225:Z236 V48:Z48 V4:Z46 M4:T46 M238:T247 M48:T48 M50:T60 M62:T72 M74:T83 M85:T95 M97:T106 M108:T118 M120:T129 M131:T141 M197:T200 M202:T205 M207:T217 M219:T223 M225:T232 M234:T236 M143:T195">
    <cfRule type="iconSet" priority="383">
      <iconSet iconSet="3Symbols2" showValue="0">
        <cfvo type="percent" val="0"/>
        <cfvo type="num" val="0"/>
        <cfvo type="num" val="1"/>
      </iconSet>
    </cfRule>
  </conditionalFormatting>
  <conditionalFormatting sqref="AF238:AK247 AF50:AK59 AF4:AK7 AF62:AK71 AF74:AK82 AF85:AK94 AF97:AK105 AF108:AK117 AF120:AK128 AF131:AK140 AF143:AK194 AF197:AK199 AF202:AK204 AF219:AK222 AF225:AK229 AF9:AK13 AF15:AK19 AF21:AK26 AF28:AK35 AF37:AK45 AF231:AK231 AF236:AK236 AF234:AK234 AF207:AK216 AM207:AQ216 AM234:AQ234 AM236:AQ236 AM231:AQ231 AM37:AQ45 AM28:AQ35 AM21:AQ26 AM15:AQ19 AM9:AQ13 AM238:AQ247 AM225:AQ229 AM219:AQ222 AM202:AQ204 AM197:AQ199 AM143:AQ194 AM131:AQ140 AM120:AQ128 AM108:AQ117 AM97:AQ105 AM85:AQ94 AM74:AQ82 AM62:AQ71 AM4:AQ7 AM50:AQ59">
    <cfRule type="iconSet" priority="382">
      <iconSet iconSet="3Symbols2" showValue="0">
        <cfvo type="percent" val="0"/>
        <cfvo type="num" val="0"/>
        <cfvo type="num" val="1"/>
      </iconSet>
    </cfRule>
  </conditionalFormatting>
  <conditionalFormatting sqref="BD238:BH247 AW50:BB59 AW4:BB7 AW62:BB71 AW74:BB82 AW85:BB94 AW97:BB105 AW108:BB117 AW120:BB128 AW131:BB140 AW143:BB194 AW197:BB199 AW202:BB204 AW219:BB222 AW225:BB229 AW9:BB13 AW15:BB19 AW21:BB26 AW28:BB35 AW37:BB45 AW231:BB231 AW234:BB234 AW236:BB236 AW207:BB216 BD207:BH216 BD236:BH236 BD234:BH234 BD231:BH231 BD37:BH45 BD28:BH35 BD21:BH26 BD15:BH19 BD9:BH13 BD225:BH229 BD219:BH222 BD202:BH204 BD197:BH199 BD143:BH194 BD131:BH140 BD120:BH128 BD108:BH117 BD97:BH105 BD85:BH94 BD74:BH82 BD62:BH71 BD4:BH7 BD50:BH59 AW238:BB247">
    <cfRule type="iconSet" priority="381">
      <iconSet iconSet="3Symbols2" showValue="0">
        <cfvo type="percent" val="0"/>
        <cfvo type="num" val="0"/>
        <cfvo type="num" val="1"/>
      </iconSet>
    </cfRule>
  </conditionalFormatting>
  <conditionalFormatting sqref="BN238:BS247 BN50:BS59 BN4:BS7 BN62:BS71 BN74:BS82 BN85:BS94 BN97:BS105 BN108:BS117 BN120:BS128 BN131:BS140 BN143:BS194 BN197:BS199 BN202:BS204 BN219:BS222 BN225:BS229 BN9:BS13 BN15:BS19 BN21:BS26 BN28:BS35 BN37:BS45 BN231:BS231 BN234:BS234 BN236:BS236 BN207:BS216 BU207:BY216 BU236:BY236 BU234:BY234 BU231:BY231 BU37:BY45 BU28:BY35 BU21:BY26 BU15:BY19 BU9:BY13 BU238:BY247 BU225:BY229 BU219:BY222 BU202:BY204 BU197:BY199 BU143:BY194 BU131:BY140 BU120:BY128 BU108:BY117 BU97:BY105 BU85:BY94 BU74:BY82 BU62:BY71 BU4:BY7 BU50:BY59">
    <cfRule type="iconSet" priority="380">
      <iconSet iconSet="3Symbols2" showValue="0">
        <cfvo type="percent" val="0"/>
        <cfvo type="num" val="0"/>
        <cfvo type="num" val="1"/>
      </iconSet>
    </cfRule>
  </conditionalFormatting>
  <conditionalFormatting sqref="K9">
    <cfRule type="iconSet" priority="377">
      <iconSet iconSet="3Symbols2" showValue="0">
        <cfvo type="percent" val="0"/>
        <cfvo type="num" val="0"/>
        <cfvo type="num" val="1"/>
      </iconSet>
    </cfRule>
  </conditionalFormatting>
  <conditionalFormatting sqref="K15">
    <cfRule type="iconSet" priority="376">
      <iconSet iconSet="3Symbols2" showValue="0">
        <cfvo type="percent" val="0"/>
        <cfvo type="num" val="0"/>
        <cfvo type="num" val="1"/>
      </iconSet>
    </cfRule>
  </conditionalFormatting>
  <conditionalFormatting sqref="K21">
    <cfRule type="iconSet" priority="375">
      <iconSet iconSet="3Symbols2" showValue="0">
        <cfvo type="percent" val="0"/>
        <cfvo type="num" val="0"/>
        <cfvo type="num" val="1"/>
      </iconSet>
    </cfRule>
  </conditionalFormatting>
  <conditionalFormatting sqref="K28">
    <cfRule type="iconSet" priority="374">
      <iconSet iconSet="3Symbols2" showValue="0">
        <cfvo type="percent" val="0"/>
        <cfvo type="num" val="0"/>
        <cfvo type="num" val="1"/>
      </iconSet>
    </cfRule>
  </conditionalFormatting>
  <conditionalFormatting sqref="K37">
    <cfRule type="iconSet" priority="373">
      <iconSet iconSet="3Symbols2" showValue="0">
        <cfvo type="percent" val="0"/>
        <cfvo type="num" val="0"/>
        <cfvo type="num" val="1"/>
      </iconSet>
    </cfRule>
  </conditionalFormatting>
  <conditionalFormatting sqref="AB9">
    <cfRule type="iconSet" priority="372">
      <iconSet iconSet="3Symbols2" showValue="0">
        <cfvo type="percent" val="0"/>
        <cfvo type="num" val="0"/>
        <cfvo type="num" val="1"/>
      </iconSet>
    </cfRule>
  </conditionalFormatting>
  <conditionalFormatting sqref="AB15">
    <cfRule type="iconSet" priority="371">
      <iconSet iconSet="3Symbols2" showValue="0">
        <cfvo type="percent" val="0"/>
        <cfvo type="num" val="0"/>
        <cfvo type="num" val="1"/>
      </iconSet>
    </cfRule>
  </conditionalFormatting>
  <conditionalFormatting sqref="AB21">
    <cfRule type="iconSet" priority="370">
      <iconSet iconSet="3Symbols2" showValue="0">
        <cfvo type="percent" val="0"/>
        <cfvo type="num" val="0"/>
        <cfvo type="num" val="1"/>
      </iconSet>
    </cfRule>
  </conditionalFormatting>
  <conditionalFormatting sqref="AB28">
    <cfRule type="iconSet" priority="369">
      <iconSet iconSet="3Symbols2" showValue="0">
        <cfvo type="percent" val="0"/>
        <cfvo type="num" val="0"/>
        <cfvo type="num" val="1"/>
      </iconSet>
    </cfRule>
  </conditionalFormatting>
  <conditionalFormatting sqref="AB37">
    <cfRule type="iconSet" priority="368">
      <iconSet iconSet="3Symbols2" showValue="0">
        <cfvo type="percent" val="0"/>
        <cfvo type="num" val="0"/>
        <cfvo type="num" val="1"/>
      </iconSet>
    </cfRule>
  </conditionalFormatting>
  <conditionalFormatting sqref="AS9">
    <cfRule type="iconSet" priority="367">
      <iconSet iconSet="3Symbols2" showValue="0">
        <cfvo type="percent" val="0"/>
        <cfvo type="num" val="0"/>
        <cfvo type="num" val="1"/>
      </iconSet>
    </cfRule>
  </conditionalFormatting>
  <conditionalFormatting sqref="AS15">
    <cfRule type="iconSet" priority="366">
      <iconSet iconSet="3Symbols2" showValue="0">
        <cfvo type="percent" val="0"/>
        <cfvo type="num" val="0"/>
        <cfvo type="num" val="1"/>
      </iconSet>
    </cfRule>
  </conditionalFormatting>
  <conditionalFormatting sqref="AS21">
    <cfRule type="iconSet" priority="365">
      <iconSet iconSet="3Symbols2" showValue="0">
        <cfvo type="percent" val="0"/>
        <cfvo type="num" val="0"/>
        <cfvo type="num" val="1"/>
      </iconSet>
    </cfRule>
  </conditionalFormatting>
  <conditionalFormatting sqref="AS28">
    <cfRule type="iconSet" priority="364">
      <iconSet iconSet="3Symbols2" showValue="0">
        <cfvo type="percent" val="0"/>
        <cfvo type="num" val="0"/>
        <cfvo type="num" val="1"/>
      </iconSet>
    </cfRule>
  </conditionalFormatting>
  <conditionalFormatting sqref="AS37">
    <cfRule type="iconSet" priority="363">
      <iconSet iconSet="3Symbols2" showValue="0">
        <cfvo type="percent" val="0"/>
        <cfvo type="num" val="0"/>
        <cfvo type="num" val="1"/>
      </iconSet>
    </cfRule>
  </conditionalFormatting>
  <conditionalFormatting sqref="BJ9">
    <cfRule type="iconSet" priority="362">
      <iconSet iconSet="3Symbols2" showValue="0">
        <cfvo type="percent" val="0"/>
        <cfvo type="num" val="0"/>
        <cfvo type="num" val="1"/>
      </iconSet>
    </cfRule>
  </conditionalFormatting>
  <conditionalFormatting sqref="BJ15">
    <cfRule type="iconSet" priority="361">
      <iconSet iconSet="3Symbols2" showValue="0">
        <cfvo type="percent" val="0"/>
        <cfvo type="num" val="0"/>
        <cfvo type="num" val="1"/>
      </iconSet>
    </cfRule>
  </conditionalFormatting>
  <conditionalFormatting sqref="BJ21">
    <cfRule type="iconSet" priority="360">
      <iconSet iconSet="3Symbols2" showValue="0">
        <cfvo type="percent" val="0"/>
        <cfvo type="num" val="0"/>
        <cfvo type="num" val="1"/>
      </iconSet>
    </cfRule>
  </conditionalFormatting>
  <conditionalFormatting sqref="BJ28">
    <cfRule type="iconSet" priority="359">
      <iconSet iconSet="3Symbols2" showValue="0">
        <cfvo type="percent" val="0"/>
        <cfvo type="num" val="0"/>
        <cfvo type="num" val="1"/>
      </iconSet>
    </cfRule>
  </conditionalFormatting>
  <conditionalFormatting sqref="BJ37">
    <cfRule type="iconSet" priority="358">
      <iconSet iconSet="3Symbols2" showValue="0">
        <cfvo type="percent" val="0"/>
        <cfvo type="num" val="0"/>
        <cfvo type="num" val="1"/>
      </iconSet>
    </cfRule>
  </conditionalFormatting>
  <conditionalFormatting sqref="AD238:AE247 AD4:AE46 AD48:AE48 AD50:AE60 AD62:AE72 AD74:AE83 AD85:AE95 AD97:AE106 AD108:AE118 AD120:AE129 AD131:AE141 AD197:AE200 AD202:AE205 AD207:AE217 AD219:AE223 AD225:AE232 AD234:AE236 AD143:AE195">
    <cfRule type="iconSet" priority="210">
      <iconSet iconSet="3Symbols2" showValue="0">
        <cfvo type="percent" val="0"/>
        <cfvo type="num" val="0"/>
        <cfvo type="num" val="1"/>
      </iconSet>
    </cfRule>
  </conditionalFormatting>
  <conditionalFormatting sqref="AU238:AV247 AU4:AV46 AU48:AV48 AU50:AV60 AU62:AV72 AU74:AV83 AU85:AV95 AU97:AV106 AU108:AV118 AU120:AV129 AU131:AV141 AU197:AV200 AU202:AV205 AU207:AV217 AU219:AV223 AU225:AV232 AU234:AV236 AU143:AV195">
    <cfRule type="iconSet" priority="140">
      <iconSet iconSet="3Symbols2" showValue="0">
        <cfvo type="percent" val="0"/>
        <cfvo type="num" val="0"/>
        <cfvo type="num" val="1"/>
      </iconSet>
    </cfRule>
  </conditionalFormatting>
  <conditionalFormatting sqref="BL238:BM247 BL4:BM46 BL48:BM48 BL50:BM60 BL62:BM72 BL74:BM83 BL85:BM95 BL97:BM106 BL108:BM118 BL120:BM129 BL131:BM141 BL197:BM200 BL202:BM205 BL207:BM217 BL219:BM223 BL225:BM232 BL234:BM236 BL143:BM195">
    <cfRule type="iconSet" priority="70">
      <iconSet iconSet="3Symbols2" showValue="0">
        <cfvo type="percent" val="0"/>
        <cfvo type="num" val="0"/>
        <cfvo type="num" val="1"/>
      </iconSet>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53" priority="104519">
      <formula>AND(O50="-",V50="-",M50="-")</formula>
    </cfRule>
  </conditionalFormatting>
  <conditionalFormatting sqref="M50:N59 M62:N71 M74:N82 M85:N94 M97:N105 M108:N117 M120:N128 M131:N140 M197:N199 M202:N204 M207:N216 M219:N222 M225:N229 M234:N234 M143:N150 M152:N154 M156:N158 M160:N162 M164:N166 M168:N170 M172:N174 M176:N178 M180:N182 M184:N186 M188:N190 M192:N194 AD50:AE59 AD62:AE71 AD74:AE82 AD85:AE94 AD97:AE105 AD108:AE117 AD120:AE128 AD131:AE140 AD197:AE199 AD202:AE204 AD207:AE216 AD219:AE222 AD225:AE229 AD234:AE234 AD143:AE150 AD152:AE154 AD156:AE158 AD160:AE162 AD164:AE166 AD168:AE170 AD172:AE174 AD176:AE178 AD180:AE182 AD184:AE186 AD188:AE190 AD192:AE194 AU50:AV59 AU62:AV71 AU74:AV82 AU85:AV94 AU97:AV105 AU108:AV117 AU120:AV128 AU131:AV140 AU197:AV199 AU202:AV204 AU207:AV216 AU219:AV222 AU225:AV229 AU234:AV234 AU143:AV150 AU152:AV154 AU156:AV158 AU160:AV162 AU164:AV166 AU168:AV170 AU172:AV174 AU176:AV178 AU180:AV182 AU184:AV186 AU188:AV190 AU192:AV194 BL50:BM59 BL62:BM71 BL74:BM82 BL85:BM94 BL97:BM105 BL108:BM117 BL120:BM128 BL131:BM140 BL197:BM199 BL202:BM204 BL207:BM216 BL219:BM222 BL225:BM229 BL234:BM234 BL143:BM150 BL152:BM154 BL156:BM158 BL160:BM162 BL164:BM166 BL168:BM170 BL172:BM174 BL176:BM178 BL180:BM182 BL184:BM186 BL188:BM190 BL192:BM194">
    <cfRule type="expression" dxfId="152" priority="104545">
      <formula>OR(O50=2,V50=2)</formula>
    </cfRule>
  </conditionalFormatting>
  <conditionalFormatting sqref="AT46 AT48 AT60 AT72 AT83 AT95 AT106 AT118 AT129 AT141 AT195 AT200 AT205 AT217 AT223 AT230 AT232 AT235 BK235 BK232 BK230 BK223 BK217 BK205 BK200 BK195 BK141 BK129 BK118 BK106 BK95 BK83 BK72 BK60 BK48 BK46 AT14 AT20 AT27 AT36 BK36 BK27 BK20 BK14 BN8:BS8 BN14:BS14 BN20:BS20 BN27:BS27 BN36:BS36 BN46:BS46 BN48:BS48 BN60:BS60 BN72:BS72 BN83:BS83 BN95:BS95 BN106:BS106 BN118:BS118 BN129:BS129 BN141:BS141 BN195:BS195 BN200:BS200 BN205:BS205 BN217:BS217 BN223:BS223 BN230:BS230 BN232:BS232 BN235:BS235 AF235:AR235 AF232:AR232 AF230:AR230 AF223:AR223 AF217:AR217 AF205:AR205 AF200:AR200 AF195:AR195 AF141:AR141 AF129:AR129 AF118:AR118 AF106:AR106 AF95:AR95 AF83:AR83 AF72:AR72 AF60:AR60 AF48:AR48 AF46:AR46 AF36:AR36 AF27:AR27 AF20:AR20 AF14:AR14 AF8:AT8 AW36:BI36 AW27:BI27 AW20:BI20 AW14:BI14 AW235:BI235 AW232:BI232 AW230:BI230 AW223:BI223 AW217:BI217 AW205:BI205 AW200:BI200 AW195:BI195 AW141:BI141 AW129:BI129 AW118:BI118 AW106:BI106 AW95:BI95 AW83:BI83 AW72:BI72 AW60:BI60 AW48:BI48 AW46:BI46 AW8:BK8 BU235:BY235 BU232:BY232 BU230:BY230 BU223:BY223 BU217:BY217 BU205:BY205 BU200:BY200 BU195:BY195 BU141:BY141 BU129:BY129 BU118:BY118 BU106:BY106 BU95:BY95 BU83:BY83 BU72:BY72 BU60:BY60 BU48:BY48 BU46:BY46 BU36:BY36 BU27:BY27 BU20:BY20 BU14:BY14 BU8:BY8">
    <cfRule type="iconSet" priority="109527">
      <iconSet iconSet="3Symbols2" showValue="0">
        <cfvo type="percent" val="0"/>
        <cfvo type="num" val="0"/>
        <cfvo type="num" val="1"/>
      </iconSet>
    </cfRule>
  </conditionalFormatting>
  <printOptions horizontalCentered="1"/>
  <pageMargins left="0.23622047244094491" right="0.23622047244094491" top="0.27559055118110237" bottom="0.19685039370078741" header="0" footer="0"/>
  <pageSetup paperSize="8"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filterMode="1">
    <outlinePr summaryBelow="0" summaryRight="0"/>
  </sheetPr>
  <dimension ref="A2:FG270"/>
  <sheetViews>
    <sheetView zoomScale="85" zoomScaleNormal="85" zoomScaleSheetLayoutView="115" workbookViewId="0">
      <pane xSplit="5" ySplit="8" topLeftCell="F49" activePane="bottomRight" state="frozen"/>
      <selection pane="topRight" activeCell="F1" sqref="F1"/>
      <selection pane="bottomLeft" activeCell="A9" sqref="A9"/>
      <selection pane="bottomRight" activeCell="EM258" sqref="EM258"/>
    </sheetView>
  </sheetViews>
  <sheetFormatPr defaultColWidth="11.42578125" defaultRowHeight="11.85" customHeight="1" outlineLevelRow="3" outlineLevelCol="2"/>
  <cols>
    <col min="1" max="1" width="0.5703125" style="59" customWidth="1"/>
    <col min="2" max="2" width="8.28515625" style="110" bestFit="1" customWidth="1"/>
    <col min="3" max="3" width="6.7109375" style="110" bestFit="1" customWidth="1"/>
    <col min="4" max="4" width="67.28515625" style="86" bestFit="1" customWidth="1"/>
    <col min="5" max="5" width="0.42578125" style="59" customWidth="1"/>
    <col min="6" max="6" width="10.5703125" style="113" hidden="1" customWidth="1" collapsed="1"/>
    <col min="7" max="7" width="12.5703125" style="113" hidden="1" customWidth="1" outlineLevel="1"/>
    <col min="8" max="8" width="12.42578125" style="114" hidden="1" customWidth="1" outlineLevel="1"/>
    <col min="9" max="9" width="12.5703125" style="114" hidden="1" customWidth="1" outlineLevel="1"/>
    <col min="10" max="10" width="9" style="114" hidden="1" customWidth="1" outlineLevel="2"/>
    <col min="11" max="11" width="9.5703125" style="114" hidden="1" customWidth="1" outlineLevel="2"/>
    <col min="12" max="12" width="8.28515625" style="114" hidden="1" customWidth="1" outlineLevel="2"/>
    <col min="13" max="13" width="7.5703125" style="114" hidden="1" customWidth="1" outlineLevel="2"/>
    <col min="14" max="14" width="0.5703125" style="114" hidden="1" customWidth="1" outlineLevel="1"/>
    <col min="15" max="15" width="15.28515625" style="114" hidden="1" customWidth="1" outlineLevel="1"/>
    <col min="16" max="16" width="9.28515625" style="114" hidden="1" customWidth="1" outlineLevel="2"/>
    <col min="17" max="17" width="9.140625" style="114" hidden="1" customWidth="1" outlineLevel="2"/>
    <col min="18" max="19" width="7.5703125" style="114" hidden="1" customWidth="1" outlineLevel="2"/>
    <col min="20" max="20" width="0.42578125" style="59" hidden="1" customWidth="1"/>
    <col min="21" max="21" width="7.5703125" style="111" hidden="1" customWidth="1"/>
    <col min="22" max="22" width="0.5703125" style="112" hidden="1" customWidth="1"/>
    <col min="23" max="23" width="10.5703125" style="113" hidden="1" customWidth="1" collapsed="1"/>
    <col min="24" max="24" width="11" style="113" hidden="1" customWidth="1" outlineLevel="1"/>
    <col min="25" max="25" width="12.42578125" style="114" hidden="1" customWidth="1" outlineLevel="1" collapsed="1"/>
    <col min="26" max="26" width="12.5703125" style="114" hidden="1" customWidth="1" outlineLevel="1"/>
    <col min="27" max="27" width="9" style="114" hidden="1" customWidth="1" outlineLevel="2"/>
    <col min="28" max="28" width="9.5703125" style="114" hidden="1" customWidth="1" outlineLevel="2"/>
    <col min="29" max="29" width="8.28515625" style="114" hidden="1" customWidth="1" outlineLevel="2"/>
    <col min="30" max="30" width="6.42578125" style="114" hidden="1" customWidth="1" outlineLevel="2"/>
    <col min="31" max="31" width="0.5703125" style="114" hidden="1" customWidth="1" outlineLevel="1"/>
    <col min="32" max="32" width="15.28515625" style="114" hidden="1" customWidth="1" outlineLevel="1"/>
    <col min="33" max="33" width="9.28515625" style="114" hidden="1" customWidth="1" outlineLevel="2"/>
    <col min="34" max="34" width="8.42578125" style="114" hidden="1" customWidth="1" outlineLevel="2"/>
    <col min="35" max="36" width="7.5703125" style="114" hidden="1" customWidth="1" outlineLevel="2"/>
    <col min="37" max="37" width="0.5703125" style="114" hidden="1" customWidth="1" outlineLevel="1"/>
    <col min="38" max="40" width="13" style="114" hidden="1" customWidth="1" outlineLevel="1"/>
    <col min="41" max="41" width="0.5703125" style="115" hidden="1" customWidth="1" outlineLevel="1"/>
    <col min="42" max="42" width="12.7109375" style="116" hidden="1" customWidth="1" outlineLevel="1"/>
    <col min="43" max="43" width="11.42578125" style="116" hidden="1" customWidth="1" outlineLevel="1"/>
    <col min="44" max="44" width="13.5703125" style="116" hidden="1" customWidth="1" outlineLevel="1"/>
    <col min="45" max="45" width="10.28515625" style="116" hidden="1" customWidth="1" outlineLevel="1"/>
    <col min="46" max="46" width="11" style="116" hidden="1" customWidth="1" outlineLevel="1"/>
    <col min="47" max="47" width="10.5703125" style="116" hidden="1" customWidth="1" outlineLevel="1"/>
    <col min="48" max="48" width="6.42578125" style="116" hidden="1" customWidth="1" outlineLevel="1"/>
    <col min="49" max="49" width="0.5703125" style="116" hidden="1" customWidth="1" outlineLevel="1"/>
    <col min="50" max="50" width="11" style="116" hidden="1" customWidth="1" outlineLevel="1"/>
    <col min="51" max="51" width="9" style="116" hidden="1" customWidth="1" outlineLevel="1"/>
    <col min="52" max="52" width="9.7109375" style="116" hidden="1" customWidth="1" outlineLevel="1"/>
    <col min="53" max="53" width="8.7109375" style="116" hidden="1" customWidth="1" outlineLevel="1"/>
    <col min="54" max="54" width="8.5703125" style="116" hidden="1" customWidth="1" outlineLevel="1"/>
    <col min="55" max="55" width="0.5703125" style="116" hidden="1" customWidth="1"/>
    <col min="56" max="56" width="0.5703125" style="116" customWidth="1"/>
    <col min="57" max="57" width="8.28515625" style="117" hidden="1" customWidth="1"/>
    <col min="58" max="58" width="0.5703125" style="112" hidden="1" customWidth="1"/>
    <col min="59" max="59" width="9.5703125" style="118" hidden="1" customWidth="1" collapsed="1"/>
    <col min="60" max="60" width="14.5703125" style="118" hidden="1" customWidth="1" outlineLevel="1"/>
    <col min="61" max="61" width="12.42578125" style="114" hidden="1" customWidth="1" outlineLevel="1" collapsed="1"/>
    <col min="62" max="62" width="14.5703125" style="114" hidden="1" customWidth="1" outlineLevel="1"/>
    <col min="63" max="63" width="9.5703125" style="114" hidden="1" customWidth="1" outlineLevel="1"/>
    <col min="64" max="64" width="8" style="114" hidden="1" customWidth="1" outlineLevel="1"/>
    <col min="65" max="65" width="6.7109375" style="114" hidden="1" customWidth="1" outlineLevel="1"/>
    <col min="66" max="66" width="12.5703125" style="114" hidden="1" customWidth="1" outlineLevel="1"/>
    <col min="67" max="67" width="0.5703125" style="114" hidden="1" customWidth="1" outlineLevel="1"/>
    <col min="68" max="68" width="14.5703125" style="114" hidden="1" customWidth="1" outlineLevel="1"/>
    <col min="69" max="72" width="8.5703125" style="114" hidden="1" customWidth="1" outlineLevel="1"/>
    <col min="73" max="73" width="0.5703125" style="114" hidden="1" customWidth="1" outlineLevel="1"/>
    <col min="74" max="76" width="11.28515625" style="114" hidden="1" customWidth="1" outlineLevel="1"/>
    <col min="77" max="77" width="0.5703125" style="115" hidden="1" customWidth="1" outlineLevel="1"/>
    <col min="78" max="78" width="12.5703125" style="116" hidden="1" customWidth="1" outlineLevel="1"/>
    <col min="79" max="79" width="16.42578125" style="116" hidden="1" customWidth="1" outlineLevel="1"/>
    <col min="80" max="80" width="14" style="119" hidden="1" customWidth="1" outlineLevel="1"/>
    <col min="81" max="82" width="9.5703125" style="114" hidden="1" customWidth="1" outlineLevel="1"/>
    <col min="83" max="84" width="7.28515625" style="114" hidden="1" customWidth="1" outlineLevel="1"/>
    <col min="85" max="85" width="0.5703125" style="114" hidden="1" customWidth="1" outlineLevel="1"/>
    <col min="86" max="86" width="14" style="119" hidden="1" customWidth="1" outlineLevel="1"/>
    <col min="87" max="87" width="8.7109375" style="114" hidden="1" customWidth="1" outlineLevel="1"/>
    <col min="88" max="88" width="7.42578125" style="114" hidden="1" customWidth="1" outlineLevel="1"/>
    <col min="89" max="90" width="6.42578125" style="114" hidden="1" customWidth="1" outlineLevel="1"/>
    <col min="91" max="91" width="0.5703125" style="112" hidden="1" customWidth="1"/>
    <col min="92" max="92" width="0.5703125" style="112" customWidth="1"/>
    <col min="93" max="93" width="7.5703125" style="117" hidden="1" customWidth="1"/>
    <col min="94" max="94" width="0.5703125" style="112" hidden="1" customWidth="1"/>
    <col min="95" max="95" width="9.5703125" style="118" hidden="1" customWidth="1" collapsed="1"/>
    <col min="96" max="96" width="11" style="118" hidden="1" customWidth="1" outlineLevel="1"/>
    <col min="97" max="97" width="12.42578125" style="114" hidden="1" customWidth="1" outlineLevel="1" collapsed="1"/>
    <col min="98" max="98" width="12" style="114" hidden="1" customWidth="1" outlineLevel="1"/>
    <col min="99" max="99" width="8.7109375" style="114" hidden="1" customWidth="1" outlineLevel="1"/>
    <col min="100" max="102" width="8.5703125" style="114" hidden="1" customWidth="1" outlineLevel="1"/>
    <col min="103" max="103" width="0.5703125" style="114" hidden="1" customWidth="1" outlineLevel="1"/>
    <col min="104" max="104" width="18.42578125" style="114" hidden="1" customWidth="1" outlineLevel="1"/>
    <col min="105" max="108" width="7.28515625" style="114" hidden="1" customWidth="1" outlineLevel="1"/>
    <col min="109" max="109" width="0.5703125" style="114" hidden="1" customWidth="1" outlineLevel="1"/>
    <col min="110" max="112" width="11.5703125" style="114" hidden="1" customWidth="1" outlineLevel="1"/>
    <col min="113" max="113" width="0.5703125" style="115" hidden="1" customWidth="1" outlineLevel="1"/>
    <col min="114" max="114" width="12.7109375" style="116" hidden="1" customWidth="1" outlineLevel="1"/>
    <col min="115" max="116" width="11.5703125" style="116" hidden="1" customWidth="1" outlineLevel="1"/>
    <col min="117" max="117" width="10.28515625" style="114" hidden="1" customWidth="1" outlineLevel="1"/>
    <col min="118" max="118" width="10" style="114" hidden="1" customWidth="1" outlineLevel="1"/>
    <col min="119" max="119" width="9.5703125" style="114" hidden="1" customWidth="1" outlineLevel="1"/>
    <col min="120" max="120" width="8.5703125" style="114" hidden="1" customWidth="1" outlineLevel="1"/>
    <col min="121" max="121" width="0.5703125" style="114" hidden="1" customWidth="1" outlineLevel="1"/>
    <col min="122" max="122" width="16.5703125" style="116" hidden="1" customWidth="1" outlineLevel="1"/>
    <col min="123" max="124" width="9" style="114" hidden="1" customWidth="1" outlineLevel="1"/>
    <col min="125" max="125" width="9.5703125" style="114" hidden="1" customWidth="1" outlineLevel="1"/>
    <col min="126" max="126" width="8.5703125" style="114" hidden="1" customWidth="1" outlineLevel="1"/>
    <col min="127" max="127" width="0.5703125" style="112" hidden="1" customWidth="1"/>
    <col min="128" max="128" width="0.5703125" style="112" customWidth="1"/>
    <col min="129" max="129" width="7.5703125" style="111" customWidth="1"/>
    <col min="130" max="130" width="0.5703125" style="112" customWidth="1"/>
    <col min="131" max="131" width="9.5703125" style="118" customWidth="1"/>
    <col min="132" max="132" width="11.7109375" style="118" customWidth="1" outlineLevel="1"/>
    <col min="133" max="133" width="12.42578125" style="114" customWidth="1" outlineLevel="1" collapsed="1"/>
    <col min="134" max="134" width="17.42578125" style="114" customWidth="1" outlineLevel="1"/>
    <col min="135" max="138" width="10.42578125" style="114" customWidth="1" outlineLevel="1"/>
    <col min="139" max="139" width="0.5703125" style="114" customWidth="1" outlineLevel="1"/>
    <col min="140" max="140" width="17.42578125" style="114" customWidth="1" outlineLevel="1"/>
    <col min="141" max="144" width="10.42578125" style="114" customWidth="1" outlineLevel="1"/>
    <col min="145" max="145" width="0.5703125" style="114" customWidth="1" outlineLevel="1"/>
    <col min="146" max="148" width="11.42578125" style="114" customWidth="1" outlineLevel="1"/>
    <col min="149" max="149" width="0.42578125" style="115" customWidth="1" outlineLevel="1"/>
    <col min="150" max="150" width="10.5703125" style="116" customWidth="1" outlineLevel="1"/>
    <col min="151" max="151" width="16" style="116" customWidth="1" outlineLevel="1"/>
    <col min="152" max="152" width="15.5703125" style="116" customWidth="1" outlineLevel="1"/>
    <col min="153" max="155" width="9.5703125" style="114" customWidth="1" outlineLevel="1"/>
    <col min="156" max="156" width="7.28515625" style="114" customWidth="1" outlineLevel="1"/>
    <col min="157" max="157" width="0.5703125" style="114" customWidth="1" outlineLevel="1"/>
    <col min="158" max="158" width="9.5703125" style="116" customWidth="1" outlineLevel="1"/>
    <col min="159" max="159" width="9.28515625" style="114" customWidth="1" outlineLevel="1"/>
    <col min="160" max="160" width="8.7109375" style="114" customWidth="1" outlineLevel="1"/>
    <col min="161" max="161" width="7.28515625" style="114" customWidth="1" outlineLevel="1"/>
    <col min="162" max="162" width="8.7109375" style="114" customWidth="1" outlineLevel="1"/>
    <col min="163" max="163" width="0.5703125" style="59" customWidth="1"/>
    <col min="164" max="164" width="11.42578125" style="59" customWidth="1"/>
    <col min="165" max="16384" width="11.42578125" style="59"/>
  </cols>
  <sheetData>
    <row r="2" spans="1:163" s="60" customFormat="1" ht="37.5" customHeight="1">
      <c r="A2" s="556"/>
      <c r="B2" s="557"/>
      <c r="C2" s="780" t="s">
        <v>225</v>
      </c>
      <c r="D2" s="781"/>
      <c r="E2" s="492"/>
      <c r="F2" s="657" t="s">
        <v>226</v>
      </c>
      <c r="G2" s="658" t="s">
        <v>227</v>
      </c>
      <c r="H2" s="659" t="s">
        <v>4</v>
      </c>
      <c r="I2" s="596" t="s">
        <v>228</v>
      </c>
      <c r="J2" s="496" t="s">
        <v>7</v>
      </c>
      <c r="K2" s="496" t="s">
        <v>8</v>
      </c>
      <c r="L2" s="496" t="s">
        <v>9</v>
      </c>
      <c r="M2" s="496" t="s">
        <v>10</v>
      </c>
      <c r="N2" s="497"/>
      <c r="O2" s="597" t="s">
        <v>229</v>
      </c>
      <c r="P2" s="496" t="s">
        <v>7</v>
      </c>
      <c r="Q2" s="496" t="s">
        <v>8</v>
      </c>
      <c r="R2" s="496" t="s">
        <v>9</v>
      </c>
      <c r="S2" s="496" t="s">
        <v>10</v>
      </c>
      <c r="T2" s="492"/>
      <c r="U2" s="784" t="s">
        <v>5</v>
      </c>
      <c r="V2" s="493"/>
      <c r="W2" s="494" t="s">
        <v>230</v>
      </c>
      <c r="X2" s="495" t="s">
        <v>231</v>
      </c>
      <c r="Y2" s="495" t="s">
        <v>232</v>
      </c>
      <c r="Z2" s="596" t="s">
        <v>228</v>
      </c>
      <c r="AA2" s="496" t="s">
        <v>7</v>
      </c>
      <c r="AB2" s="496" t="s">
        <v>8</v>
      </c>
      <c r="AC2" s="496" t="s">
        <v>9</v>
      </c>
      <c r="AD2" s="496" t="s">
        <v>10</v>
      </c>
      <c r="AE2" s="497"/>
      <c r="AF2" s="597" t="s">
        <v>229</v>
      </c>
      <c r="AG2" s="496" t="s">
        <v>7</v>
      </c>
      <c r="AH2" s="496" t="s">
        <v>8</v>
      </c>
      <c r="AI2" s="496" t="s">
        <v>9</v>
      </c>
      <c r="AJ2" s="496" t="s">
        <v>10</v>
      </c>
      <c r="AK2" s="498"/>
      <c r="AL2" s="520" t="s">
        <v>233</v>
      </c>
      <c r="AM2" s="499" t="s">
        <v>234</v>
      </c>
      <c r="AN2" s="520" t="s">
        <v>235</v>
      </c>
      <c r="AO2" s="498"/>
      <c r="AP2" s="499" t="s">
        <v>226</v>
      </c>
      <c r="AQ2" s="520" t="s">
        <v>236</v>
      </c>
      <c r="AR2" s="499" t="s">
        <v>237</v>
      </c>
      <c r="AS2" s="494" t="s">
        <v>7</v>
      </c>
      <c r="AT2" s="494" t="s">
        <v>8</v>
      </c>
      <c r="AU2" s="494" t="s">
        <v>9</v>
      </c>
      <c r="AV2" s="494" t="s">
        <v>10</v>
      </c>
      <c r="AW2" s="500"/>
      <c r="AX2" s="520" t="s">
        <v>238</v>
      </c>
      <c r="AY2" s="494" t="s">
        <v>7</v>
      </c>
      <c r="AZ2" s="494" t="s">
        <v>8</v>
      </c>
      <c r="BA2" s="494" t="s">
        <v>9</v>
      </c>
      <c r="BB2" s="494" t="s">
        <v>10</v>
      </c>
      <c r="BC2" s="498"/>
      <c r="BD2" s="501"/>
      <c r="BE2" s="784" t="s">
        <v>12</v>
      </c>
      <c r="BF2" s="498"/>
      <c r="BG2" s="494" t="s">
        <v>230</v>
      </c>
      <c r="BH2" s="495" t="s">
        <v>231</v>
      </c>
      <c r="BI2" s="495" t="s">
        <v>232</v>
      </c>
      <c r="BJ2" s="596" t="s">
        <v>239</v>
      </c>
      <c r="BK2" s="496" t="s">
        <v>7</v>
      </c>
      <c r="BL2" s="496" t="s">
        <v>8</v>
      </c>
      <c r="BM2" s="496" t="s">
        <v>9</v>
      </c>
      <c r="BN2" s="496" t="s">
        <v>10</v>
      </c>
      <c r="BO2" s="497"/>
      <c r="BP2" s="597" t="s">
        <v>240</v>
      </c>
      <c r="BQ2" s="496" t="s">
        <v>7</v>
      </c>
      <c r="BR2" s="496" t="s">
        <v>8</v>
      </c>
      <c r="BS2" s="496" t="s">
        <v>9</v>
      </c>
      <c r="BT2" s="496" t="s">
        <v>10</v>
      </c>
      <c r="BU2" s="498"/>
      <c r="BV2" s="520" t="s">
        <v>233</v>
      </c>
      <c r="BW2" s="499" t="s">
        <v>234</v>
      </c>
      <c r="BX2" s="520" t="s">
        <v>241</v>
      </c>
      <c r="BY2" s="498"/>
      <c r="BZ2" s="499" t="s">
        <v>226</v>
      </c>
      <c r="CA2" s="520" t="s">
        <v>236</v>
      </c>
      <c r="CB2" s="499" t="s">
        <v>237</v>
      </c>
      <c r="CC2" s="494" t="s">
        <v>7</v>
      </c>
      <c r="CD2" s="494" t="s">
        <v>8</v>
      </c>
      <c r="CE2" s="494" t="s">
        <v>9</v>
      </c>
      <c r="CF2" s="494" t="s">
        <v>10</v>
      </c>
      <c r="CG2" s="500"/>
      <c r="CH2" s="520" t="s">
        <v>238</v>
      </c>
      <c r="CI2" s="494" t="s">
        <v>7</v>
      </c>
      <c r="CJ2" s="494" t="s">
        <v>8</v>
      </c>
      <c r="CK2" s="494" t="s">
        <v>9</v>
      </c>
      <c r="CL2" s="494" t="s">
        <v>10</v>
      </c>
      <c r="CM2" s="498"/>
      <c r="CN2" s="501"/>
      <c r="CO2" s="784" t="s">
        <v>17</v>
      </c>
      <c r="CP2" s="498"/>
      <c r="CQ2" s="494" t="s">
        <v>230</v>
      </c>
      <c r="CR2" s="495" t="s">
        <v>231</v>
      </c>
      <c r="CS2" s="495" t="s">
        <v>232</v>
      </c>
      <c r="CT2" s="596" t="s">
        <v>239</v>
      </c>
      <c r="CU2" s="496" t="s">
        <v>7</v>
      </c>
      <c r="CV2" s="496" t="s">
        <v>8</v>
      </c>
      <c r="CW2" s="496" t="s">
        <v>9</v>
      </c>
      <c r="CX2" s="496" t="s">
        <v>10</v>
      </c>
      <c r="CY2" s="497"/>
      <c r="CZ2" s="597" t="s">
        <v>240</v>
      </c>
      <c r="DA2" s="496" t="s">
        <v>7</v>
      </c>
      <c r="DB2" s="496" t="s">
        <v>8</v>
      </c>
      <c r="DC2" s="496" t="s">
        <v>9</v>
      </c>
      <c r="DD2" s="496" t="s">
        <v>10</v>
      </c>
      <c r="DE2" s="498"/>
      <c r="DF2" s="520" t="s">
        <v>233</v>
      </c>
      <c r="DG2" s="499" t="s">
        <v>234</v>
      </c>
      <c r="DH2" s="520" t="s">
        <v>241</v>
      </c>
      <c r="DI2" s="498"/>
      <c r="DJ2" s="499" t="s">
        <v>226</v>
      </c>
      <c r="DK2" s="520" t="s">
        <v>236</v>
      </c>
      <c r="DL2" s="499" t="s">
        <v>242</v>
      </c>
      <c r="DM2" s="494" t="s">
        <v>7</v>
      </c>
      <c r="DN2" s="494" t="s">
        <v>8</v>
      </c>
      <c r="DO2" s="494" t="s">
        <v>9</v>
      </c>
      <c r="DP2" s="494" t="s">
        <v>10</v>
      </c>
      <c r="DQ2" s="500"/>
      <c r="DR2" s="520" t="s">
        <v>243</v>
      </c>
      <c r="DS2" s="494" t="s">
        <v>7</v>
      </c>
      <c r="DT2" s="494" t="s">
        <v>8</v>
      </c>
      <c r="DU2" s="494" t="s">
        <v>9</v>
      </c>
      <c r="DV2" s="494" t="s">
        <v>10</v>
      </c>
      <c r="DW2" s="498"/>
      <c r="DX2" s="501"/>
      <c r="DY2" s="784" t="s">
        <v>19</v>
      </c>
      <c r="DZ2" s="498"/>
      <c r="EA2" s="494" t="s">
        <v>230</v>
      </c>
      <c r="EB2" s="495" t="s">
        <v>231</v>
      </c>
      <c r="EC2" s="495" t="s">
        <v>232</v>
      </c>
      <c r="ED2" s="596" t="s">
        <v>244</v>
      </c>
      <c r="EE2" s="496" t="s">
        <v>7</v>
      </c>
      <c r="EF2" s="496" t="s">
        <v>8</v>
      </c>
      <c r="EG2" s="496" t="s">
        <v>9</v>
      </c>
      <c r="EH2" s="496" t="s">
        <v>10</v>
      </c>
      <c r="EI2" s="497"/>
      <c r="EJ2" s="597" t="s">
        <v>245</v>
      </c>
      <c r="EK2" s="496" t="s">
        <v>7</v>
      </c>
      <c r="EL2" s="496" t="s">
        <v>8</v>
      </c>
      <c r="EM2" s="496" t="s">
        <v>9</v>
      </c>
      <c r="EN2" s="496" t="s">
        <v>10</v>
      </c>
      <c r="EO2" s="498"/>
      <c r="EP2" s="520" t="s">
        <v>233</v>
      </c>
      <c r="EQ2" s="499" t="s">
        <v>234</v>
      </c>
      <c r="ER2" s="520" t="s">
        <v>246</v>
      </c>
      <c r="ES2" s="498"/>
      <c r="ET2" s="499" t="s">
        <v>226</v>
      </c>
      <c r="EU2" s="520" t="s">
        <v>247</v>
      </c>
      <c r="EV2" s="499" t="s">
        <v>242</v>
      </c>
      <c r="EW2" s="494" t="s">
        <v>7</v>
      </c>
      <c r="EX2" s="494" t="s">
        <v>8</v>
      </c>
      <c r="EY2" s="494" t="s">
        <v>9</v>
      </c>
      <c r="EZ2" s="494" t="s">
        <v>10</v>
      </c>
      <c r="FA2" s="500"/>
      <c r="FB2" s="520" t="s">
        <v>243</v>
      </c>
      <c r="FC2" s="494" t="s">
        <v>7</v>
      </c>
      <c r="FD2" s="494" t="s">
        <v>8</v>
      </c>
      <c r="FE2" s="494" t="s">
        <v>9</v>
      </c>
      <c r="FF2" s="494" t="s">
        <v>10</v>
      </c>
      <c r="FG2" s="498"/>
    </row>
    <row r="3" spans="1:163" s="60" customFormat="1" ht="3" hidden="1" customHeight="1">
      <c r="A3" s="556"/>
      <c r="B3" s="557"/>
      <c r="C3" s="782"/>
      <c r="D3" s="783"/>
      <c r="E3" s="502"/>
      <c r="F3" s="504"/>
      <c r="G3" s="505"/>
      <c r="H3" s="505"/>
      <c r="I3" s="506"/>
      <c r="J3" s="507"/>
      <c r="K3" s="507"/>
      <c r="L3" s="507"/>
      <c r="M3" s="507"/>
      <c r="N3" s="508"/>
      <c r="O3" s="506"/>
      <c r="P3" s="507"/>
      <c r="Q3" s="507"/>
      <c r="R3" s="507"/>
      <c r="S3" s="507"/>
      <c r="T3" s="502"/>
      <c r="U3" s="785"/>
      <c r="V3" s="503"/>
      <c r="W3" s="504"/>
      <c r="X3" s="505"/>
      <c r="Y3" s="505"/>
      <c r="Z3" s="506"/>
      <c r="AA3" s="507"/>
      <c r="AB3" s="507"/>
      <c r="AC3" s="507"/>
      <c r="AD3" s="507"/>
      <c r="AE3" s="508"/>
      <c r="AF3" s="506"/>
      <c r="AG3" s="507"/>
      <c r="AH3" s="507"/>
      <c r="AI3" s="507"/>
      <c r="AJ3" s="507"/>
      <c r="AK3" s="509"/>
      <c r="AL3" s="510"/>
      <c r="AM3" s="510"/>
      <c r="AN3" s="510"/>
      <c r="AO3" s="509"/>
      <c r="AP3" s="511"/>
      <c r="AQ3" s="510"/>
      <c r="AR3" s="510"/>
      <c r="AS3" s="504"/>
      <c r="AT3" s="504"/>
      <c r="AU3" s="504"/>
      <c r="AV3" s="504"/>
      <c r="AW3" s="512"/>
      <c r="AX3" s="510"/>
      <c r="AY3" s="504"/>
      <c r="AZ3" s="504"/>
      <c r="BA3" s="504"/>
      <c r="BB3" s="504"/>
      <c r="BC3" s="509"/>
      <c r="BD3" s="509"/>
      <c r="BE3" s="785"/>
      <c r="BF3" s="509"/>
      <c r="BG3" s="504"/>
      <c r="BH3" s="505"/>
      <c r="BI3" s="505"/>
      <c r="BJ3" s="506"/>
      <c r="BK3" s="507"/>
      <c r="BL3" s="507"/>
      <c r="BM3" s="507"/>
      <c r="BN3" s="507"/>
      <c r="BO3" s="508"/>
      <c r="BP3" s="506"/>
      <c r="BQ3" s="507"/>
      <c r="BR3" s="507"/>
      <c r="BS3" s="507"/>
      <c r="BT3" s="507"/>
      <c r="BU3" s="509"/>
      <c r="BV3" s="510"/>
      <c r="BW3" s="510"/>
      <c r="BX3" s="510"/>
      <c r="BY3" s="509"/>
      <c r="BZ3" s="511"/>
      <c r="CA3" s="510"/>
      <c r="CB3" s="510"/>
      <c r="CC3" s="504"/>
      <c r="CD3" s="504"/>
      <c r="CE3" s="504"/>
      <c r="CF3" s="504"/>
      <c r="CG3" s="512"/>
      <c r="CH3" s="510"/>
      <c r="CI3" s="504"/>
      <c r="CJ3" s="504"/>
      <c r="CK3" s="504"/>
      <c r="CL3" s="504"/>
      <c r="CM3" s="509"/>
      <c r="CN3" s="509"/>
      <c r="CO3" s="785"/>
      <c r="CP3" s="509"/>
      <c r="CQ3" s="504"/>
      <c r="CR3" s="505"/>
      <c r="CS3" s="505"/>
      <c r="CT3" s="506"/>
      <c r="CU3" s="507"/>
      <c r="CV3" s="507"/>
      <c r="CW3" s="507"/>
      <c r="CX3" s="507"/>
      <c r="CY3" s="508"/>
      <c r="CZ3" s="506"/>
      <c r="DA3" s="507"/>
      <c r="DB3" s="507"/>
      <c r="DC3" s="507"/>
      <c r="DD3" s="507"/>
      <c r="DE3" s="509"/>
      <c r="DF3" s="510"/>
      <c r="DG3" s="510"/>
      <c r="DH3" s="510"/>
      <c r="DI3" s="509"/>
      <c r="DJ3" s="511"/>
      <c r="DK3" s="510"/>
      <c r="DL3" s="510"/>
      <c r="DM3" s="504"/>
      <c r="DN3" s="504"/>
      <c r="DO3" s="504"/>
      <c r="DP3" s="504"/>
      <c r="DQ3" s="512"/>
      <c r="DR3" s="510"/>
      <c r="DS3" s="504"/>
      <c r="DT3" s="504"/>
      <c r="DU3" s="504"/>
      <c r="DV3" s="504"/>
      <c r="DW3" s="509"/>
      <c r="DX3" s="509"/>
      <c r="DY3" s="785"/>
      <c r="DZ3" s="509"/>
      <c r="EA3" s="504"/>
      <c r="EB3" s="505"/>
      <c r="EC3" s="505"/>
      <c r="ED3" s="506"/>
      <c r="EE3" s="507"/>
      <c r="EF3" s="507"/>
      <c r="EG3" s="507"/>
      <c r="EH3" s="507"/>
      <c r="EI3" s="508"/>
      <c r="EJ3" s="506"/>
      <c r="EK3" s="507"/>
      <c r="EL3" s="507"/>
      <c r="EM3" s="507"/>
      <c r="EN3" s="507"/>
      <c r="EO3" s="509"/>
      <c r="EP3" s="510"/>
      <c r="EQ3" s="510"/>
      <c r="ER3" s="510"/>
      <c r="ES3" s="509"/>
      <c r="ET3" s="511"/>
      <c r="EU3" s="510"/>
      <c r="EV3" s="510"/>
      <c r="EW3" s="504"/>
      <c r="EX3" s="504"/>
      <c r="EY3" s="504"/>
      <c r="EZ3" s="504"/>
      <c r="FA3" s="512"/>
      <c r="FB3" s="510"/>
      <c r="FC3" s="504"/>
      <c r="FD3" s="504"/>
      <c r="FE3" s="504"/>
      <c r="FF3" s="504"/>
      <c r="FG3" s="509"/>
    </row>
    <row r="4" spans="1:163" s="650" customFormat="1" ht="15">
      <c r="A4" s="556"/>
      <c r="B4" s="557"/>
      <c r="C4" s="789" t="s">
        <v>248</v>
      </c>
      <c r="D4" s="790"/>
      <c r="E4" s="556"/>
      <c r="F4" s="572">
        <f>W4+BG4+CQ4+EA4</f>
        <v>293</v>
      </c>
      <c r="G4" s="572">
        <f t="shared" ref="G4" si="0">X4+BH4+CR4+EB4</f>
        <v>266</v>
      </c>
      <c r="H4" s="572">
        <f t="shared" ref="H4" si="1">Y4+BI4+CS4+EC4</f>
        <v>223</v>
      </c>
      <c r="I4" s="572">
        <f t="shared" ref="I4" si="2">Z4+BJ4+CT4+ED4</f>
        <v>70</v>
      </c>
      <c r="J4" s="572">
        <f t="shared" ref="J4" si="3">AA4+BK4+CU4+EE4</f>
        <v>64</v>
      </c>
      <c r="K4" s="572">
        <f t="shared" ref="K4" si="4">AB4+BL4+CV4+EF4</f>
        <v>5</v>
      </c>
      <c r="L4" s="572">
        <f t="shared" ref="L4" si="5">AC4+BM4+CW4+EG4</f>
        <v>0</v>
      </c>
      <c r="M4" s="572">
        <f t="shared" ref="M4" si="6">AD4+BN4+CX4+EH4</f>
        <v>1</v>
      </c>
      <c r="N4" s="559">
        <f t="shared" ref="N4" si="7">COUNTIF(N64:N73,"&gt;0")+COUNTIF(N76:N84,"&gt;0")+COUNTIF(N87:N96,"&gt;0")+COUNTIF(N52:N61,"&gt;0")+COUNTIF(N99:N107,"&gt;0")+COUNTIF(N110:N119,"&gt;0")+COUNTIF(N122:N130,"&gt;0")+COUNTIF(N133:N142,"&gt;0")+COUNTIF(N145:N148,"&gt;0")+COUNTIF(N151:N152,"&gt;0")+COUNTIF(N159:N160,"&gt;0")+COUNTIF(N163:N164,"&gt;0")+COUNTIF(N167:N168,"&gt;0")+COUNTIF(N171:N172,"&gt;0")+COUNTIF(N175:N176,"&gt;0")+COUNTIF(N183:N184,"&gt;0")+COUNTIF(N155:N156,"&gt;0")+COUNTIF(N187:N188,"&gt;0")+COUNTIF(N204:N206,"&gt;0")+COUNTIF(N179:N180,"&gt;0")+COUNTIF(N209:N218,"&gt;0")+COUNTIF(N221:N224,"&gt;0")+COUNTIF(N227:N231,"&gt;0")+COUNTIF(N199:N201,"&gt;0")+COUNTIF(N236,"&gt;0")+COUNTIF(N11,"&gt;0")+COUNTIF(N17,"&gt;0")+COUNTIF(N23,"&gt;0")+COUNTIF(N30,"&gt;0")+COUNTIF(N39,"&gt;0")+COUNTIF(N191:N192,"&gt;0")+COUNTIF(N195:N196,"&gt;0")</f>
        <v>0</v>
      </c>
      <c r="O4" s="572">
        <f t="shared" ref="O4" si="8">AF4+BP4+CZ4+EJ4</f>
        <v>43</v>
      </c>
      <c r="P4" s="572">
        <f t="shared" ref="P4" si="9">AG4+BQ4+DA4+EK4</f>
        <v>11</v>
      </c>
      <c r="Q4" s="572">
        <f>AH4+BR4+DB4+EL4</f>
        <v>17</v>
      </c>
      <c r="R4" s="572">
        <f t="shared" ref="R4" si="10">AI4+BS4+DC4+EM4</f>
        <v>6</v>
      </c>
      <c r="S4" s="572">
        <f t="shared" ref="S4" si="11">AJ4+BT4+DD4+EN4</f>
        <v>9</v>
      </c>
      <c r="T4" s="556"/>
      <c r="U4" s="785"/>
      <c r="V4" s="556"/>
      <c r="W4" s="572">
        <f t="shared" ref="W4:AO4" si="12">COUNTIF(W64:W73,"&gt;0")+COUNTIF(W76:W84,"&gt;0")+COUNTIF(W87:W96,"&gt;0")+COUNTIF(W52:W61,"&gt;0")+COUNTIF(W99:W107,"&gt;0")+COUNTIF(W110:W119,"&gt;0")+COUNTIF(W122:W130,"&gt;0")+COUNTIF(W133:W142,"&gt;0")+COUNTIF(W145:W148,"&gt;0")+COUNTIF(W151:W152,"&gt;0")+COUNTIF(W159:W160,"&gt;0")+COUNTIF(W163:W164,"&gt;0")+COUNTIF(W167:W168,"&gt;0")+COUNTIF(W171:W172,"&gt;0")+COUNTIF(W175:W176,"&gt;0")+COUNTIF(W183:W184,"&gt;0")+COUNTIF(W155:W156,"&gt;0")+COUNTIF(W187:W188,"&gt;0")+COUNTIF(W204:W206,"&gt;0")+COUNTIF(W179:W180,"&gt;0")+COUNTIF(W209:W218,"&gt;0")+COUNTIF(W221:W224,"&gt;0")+COUNTIF(W227:W231,"&gt;0")+COUNTIF(W199:W201,"&gt;0")+COUNTIF(W236,"&gt;0")+COUNTIF(W11,"&gt;0")+COUNTIF(W17,"&gt;0")+COUNTIF(W23,"&gt;0")+COUNTIF(W30,"&gt;0")+COUNTIF(W39,"&gt;0")+COUNTIF(W191:W192,"&gt;0")+COUNTIF(W195:W196,"&gt;0")</f>
        <v>107</v>
      </c>
      <c r="X4" s="572">
        <f t="shared" si="12"/>
        <v>96</v>
      </c>
      <c r="Y4" s="572">
        <f t="shared" si="12"/>
        <v>78</v>
      </c>
      <c r="Z4" s="572">
        <f t="shared" si="12"/>
        <v>29</v>
      </c>
      <c r="AA4" s="572">
        <f t="shared" si="12"/>
        <v>27</v>
      </c>
      <c r="AB4" s="572">
        <f t="shared" si="12"/>
        <v>2</v>
      </c>
      <c r="AC4" s="572">
        <f t="shared" si="12"/>
        <v>0</v>
      </c>
      <c r="AD4" s="572">
        <f t="shared" si="12"/>
        <v>0</v>
      </c>
      <c r="AE4" s="559">
        <f t="shared" si="12"/>
        <v>0</v>
      </c>
      <c r="AF4" s="572">
        <f t="shared" si="12"/>
        <v>18</v>
      </c>
      <c r="AG4" s="572">
        <f t="shared" si="12"/>
        <v>11</v>
      </c>
      <c r="AH4" s="572">
        <f t="shared" si="12"/>
        <v>5</v>
      </c>
      <c r="AI4" s="572">
        <f t="shared" si="12"/>
        <v>2</v>
      </c>
      <c r="AJ4" s="572">
        <f t="shared" si="12"/>
        <v>0</v>
      </c>
      <c r="AK4" s="560">
        <f t="shared" si="12"/>
        <v>0</v>
      </c>
      <c r="AL4" s="791">
        <f t="shared" si="12"/>
        <v>85</v>
      </c>
      <c r="AM4" s="792">
        <f t="shared" si="12"/>
        <v>28</v>
      </c>
      <c r="AN4" s="793">
        <f t="shared" si="12"/>
        <v>21</v>
      </c>
      <c r="AO4" s="560">
        <f t="shared" si="12"/>
        <v>0</v>
      </c>
      <c r="AP4" s="558"/>
      <c r="AQ4" s="558"/>
      <c r="AR4" s="558"/>
      <c r="AS4" s="558"/>
      <c r="AT4" s="558"/>
      <c r="AU4" s="558"/>
      <c r="AV4" s="558"/>
      <c r="AW4" s="561"/>
      <c r="AX4" s="558"/>
      <c r="AY4" s="558"/>
      <c r="AZ4" s="558"/>
      <c r="BA4" s="558"/>
      <c r="BB4" s="558"/>
      <c r="BC4" s="560">
        <f>COUNTIF(BC64:BC73,"&gt;0")+COUNTIF(BC76:BC84,"&gt;0")+COUNTIF(BC87:BC96,"&gt;0")+COUNTIF(BC52:BC61,"&gt;0")+COUNTIF(BC99:BC107,"&gt;0")+COUNTIF(BC110:BC119,"&gt;0")+COUNTIF(BC122:BC130,"&gt;0")+COUNTIF(BC133:BC142,"&gt;0")+COUNTIF(BC145:BC148,"&gt;0")+COUNTIF(BC151:BC152,"&gt;0")+COUNTIF(BC159:BC160,"&gt;0")+COUNTIF(BC163:BC164,"&gt;0")+COUNTIF(BC167:BC168,"&gt;0")+COUNTIF(BC171:BC172,"&gt;0")+COUNTIF(BC175:BC176,"&gt;0")+COUNTIF(BC183:BC184,"&gt;0")+COUNTIF(BC155:BC156,"&gt;0")+COUNTIF(BC187:BC188,"&gt;0")+COUNTIF(BC204:BC206,"&gt;0")+COUNTIF(BC179:BC180,"&gt;0")+COUNTIF(BC209:BC218,"&gt;0")+COUNTIF(BC221:BC224,"&gt;0")+COUNTIF(BC227:BC231,"&gt;0")+COUNTIF(BC199:BC201,"&gt;0")+COUNTIF(BC236,"&gt;0")+COUNTIF(BC11,"&gt;0")+COUNTIF(BC17,"&gt;0")+COUNTIF(BC23,"&gt;0")+COUNTIF(BC30,"&gt;0")+COUNTIF(BC39,"&gt;0")+COUNTIF(BC191:BC192,"&gt;0")+COUNTIF(BC195:BC196,"&gt;0")</f>
        <v>0</v>
      </c>
      <c r="BD4" s="562"/>
      <c r="BE4" s="785"/>
      <c r="BF4" s="560"/>
      <c r="BG4" s="572">
        <f t="shared" ref="BG4:BY4" si="13">COUNTIF(BG64:BG73,"&gt;0")+COUNTIF(BG76:BG84,"&gt;0")+COUNTIF(BG87:BG96,"&gt;0")+COUNTIF(BG52:BG61,"&gt;0")+COUNTIF(BG99:BG107,"&gt;0")+COUNTIF(BG110:BG119,"&gt;0")+COUNTIF(BG122:BG130,"&gt;0")+COUNTIF(BG133:BG142,"&gt;0")+COUNTIF(BG145:BG148,"&gt;0")+COUNTIF(BG151:BG152,"&gt;0")+COUNTIF(BG159:BG160,"&gt;0")+COUNTIF(BG163:BG164,"&gt;0")+COUNTIF(BG167:BG168,"&gt;0")+COUNTIF(BG171:BG172,"&gt;0")+COUNTIF(BG175:BG176,"&gt;0")+COUNTIF(BG183:BG184,"&gt;0")+COUNTIF(BG155:BG156,"&gt;0")+COUNTIF(BG187:BG188,"&gt;0")+COUNTIF(BG204:BG206,"&gt;0")+COUNTIF(BG179:BG180,"&gt;0")+COUNTIF(BG209:BG218,"&gt;0")+COUNTIF(BG221:BG224,"&gt;0")+COUNTIF(BG227:BG231,"&gt;0")+COUNTIF(BG199:BG201,"&gt;0")+COUNTIF(BG236,"&gt;0")+COUNTIF(BG11,"&gt;0")+COUNTIF(BG17,"&gt;0")+COUNTIF(BG23,"&gt;0")+COUNTIF(BG30,"&gt;0")+COUNTIF(BG39,"&gt;0")+COUNTIF(BG191:BG192,"&gt;0")+COUNTIF(BG195:BG196,"&gt;0")</f>
        <v>92</v>
      </c>
      <c r="BH4" s="572">
        <f t="shared" si="13"/>
        <v>87</v>
      </c>
      <c r="BI4" s="572">
        <f t="shared" si="13"/>
        <v>86</v>
      </c>
      <c r="BJ4" s="572">
        <f t="shared" si="13"/>
        <v>6</v>
      </c>
      <c r="BK4" s="572">
        <f t="shared" si="13"/>
        <v>5</v>
      </c>
      <c r="BL4" s="572">
        <f t="shared" si="13"/>
        <v>1</v>
      </c>
      <c r="BM4" s="572">
        <f t="shared" si="13"/>
        <v>0</v>
      </c>
      <c r="BN4" s="572">
        <f t="shared" si="13"/>
        <v>0</v>
      </c>
      <c r="BO4" s="559">
        <f t="shared" si="13"/>
        <v>0</v>
      </c>
      <c r="BP4" s="572">
        <f t="shared" si="13"/>
        <v>1</v>
      </c>
      <c r="BQ4" s="572">
        <f t="shared" si="13"/>
        <v>0</v>
      </c>
      <c r="BR4" s="572">
        <f t="shared" si="13"/>
        <v>0</v>
      </c>
      <c r="BS4" s="572">
        <f t="shared" si="13"/>
        <v>1</v>
      </c>
      <c r="BT4" s="572">
        <f t="shared" si="13"/>
        <v>0</v>
      </c>
      <c r="BU4" s="560">
        <f t="shared" si="13"/>
        <v>0</v>
      </c>
      <c r="BV4" s="791">
        <f t="shared" si="13"/>
        <v>86</v>
      </c>
      <c r="BW4" s="792">
        <f t="shared" si="13"/>
        <v>5</v>
      </c>
      <c r="BX4" s="793">
        <f t="shared" si="13"/>
        <v>3</v>
      </c>
      <c r="BY4" s="560">
        <f t="shared" si="13"/>
        <v>0</v>
      </c>
      <c r="BZ4" s="558"/>
      <c r="CA4" s="558"/>
      <c r="CB4" s="558"/>
      <c r="CC4" s="558"/>
      <c r="CD4" s="558"/>
      <c r="CE4" s="558"/>
      <c r="CF4" s="558"/>
      <c r="CG4" s="561"/>
      <c r="CH4" s="558"/>
      <c r="CI4" s="558"/>
      <c r="CJ4" s="558"/>
      <c r="CK4" s="558"/>
      <c r="CL4" s="558"/>
      <c r="CM4" s="560">
        <f>COUNTIF(CM64:CM73,"&gt;0")+COUNTIF(CM76:CM84,"&gt;0")+COUNTIF(CM87:CM96,"&gt;0")+COUNTIF(CM52:CM61,"&gt;0")+COUNTIF(CM99:CM107,"&gt;0")+COUNTIF(CM110:CM119,"&gt;0")+COUNTIF(CM122:CM130,"&gt;0")+COUNTIF(CM133:CM142,"&gt;0")+COUNTIF(CM145:CM148,"&gt;0")+COUNTIF(CM151:CM152,"&gt;0")+COUNTIF(CM159:CM160,"&gt;0")+COUNTIF(CM163:CM164,"&gt;0")+COUNTIF(CM167:CM168,"&gt;0")+COUNTIF(CM171:CM172,"&gt;0")+COUNTIF(CM175:CM176,"&gt;0")+COUNTIF(CM183:CM184,"&gt;0")+COUNTIF(CM155:CM156,"&gt;0")+COUNTIF(CM187:CM188,"&gt;0")+COUNTIF(CM204:CM206,"&gt;0")+COUNTIF(CM179:CM180,"&gt;0")+COUNTIF(CM209:CM218,"&gt;0")+COUNTIF(CM221:CM224,"&gt;0")+COUNTIF(CM227:CM231,"&gt;0")+COUNTIF(CM199:CM201,"&gt;0")+COUNTIF(CM236,"&gt;0")+COUNTIF(CM11,"&gt;0")+COUNTIF(CM17,"&gt;0")+COUNTIF(CM23,"&gt;0")+COUNTIF(CM30,"&gt;0")+COUNTIF(CM39,"&gt;0")+COUNTIF(CM191:CM192,"&gt;0")+COUNTIF(CM195:CM196,"&gt;0")</f>
        <v>0</v>
      </c>
      <c r="CN4" s="562"/>
      <c r="CO4" s="785"/>
      <c r="CP4" s="560"/>
      <c r="CQ4" s="572">
        <f t="shared" ref="CQ4:DW4" si="14">COUNTIF(CQ64:CQ73,"&gt;0")+COUNTIF(CQ76:CQ84,"&gt;0")+COUNTIF(CQ87:CQ96,"&gt;0")+COUNTIF(CQ52:CQ61,"&gt;0")+COUNTIF(CQ99:CQ107,"&gt;0")+COUNTIF(CQ110:CQ119,"&gt;0")+COUNTIF(CQ122:CQ130,"&gt;0")+COUNTIF(CQ133:CQ142,"&gt;0")+COUNTIF(CQ145:CQ148,"&gt;0")+COUNTIF(CQ151:CQ152,"&gt;0")+COUNTIF(CQ159:CQ160,"&gt;0")+COUNTIF(CQ163:CQ164,"&gt;0")+COUNTIF(CQ167:CQ168,"&gt;0")+COUNTIF(CQ171:CQ172,"&gt;0")+COUNTIF(CQ175:CQ176,"&gt;0")+COUNTIF(CQ183:CQ184,"&gt;0")+COUNTIF(CQ155:CQ156,"&gt;0")+COUNTIF(CQ187:CQ188,"&gt;0")+COUNTIF(CQ204:CQ206,"&gt;0")+COUNTIF(CQ179:CQ180,"&gt;0")+COUNTIF(CQ209:CQ218,"&gt;0")+COUNTIF(CQ221:CQ224,"&gt;0")+COUNTIF(CQ227:CQ231,"&gt;0")+COUNTIF(CQ199:CQ201,"&gt;0")+COUNTIF(CQ236,"&gt;0")+COUNTIF(CQ11,"&gt;0")+COUNTIF(CQ17,"&gt;0")+COUNTIF(CQ23,"&gt;0")+COUNTIF(CQ30,"&gt;0")+COUNTIF(CQ39,"&gt;0")+COUNTIF(CQ191:CQ192,"&gt;0")+COUNTIF(CQ195:CQ196,"&gt;0")</f>
        <v>66</v>
      </c>
      <c r="CR4" s="572">
        <f t="shared" si="14"/>
        <v>57</v>
      </c>
      <c r="CS4" s="572">
        <f t="shared" si="14"/>
        <v>45</v>
      </c>
      <c r="CT4" s="572">
        <f t="shared" si="14"/>
        <v>21</v>
      </c>
      <c r="CU4" s="572">
        <f t="shared" si="14"/>
        <v>19</v>
      </c>
      <c r="CV4" s="572">
        <f t="shared" si="14"/>
        <v>1</v>
      </c>
      <c r="CW4" s="572">
        <f t="shared" si="14"/>
        <v>0</v>
      </c>
      <c r="CX4" s="572">
        <f t="shared" si="14"/>
        <v>1</v>
      </c>
      <c r="CY4" s="559">
        <f t="shared" si="14"/>
        <v>0</v>
      </c>
      <c r="CZ4" s="572">
        <f t="shared" si="14"/>
        <v>12</v>
      </c>
      <c r="DA4" s="572">
        <f t="shared" si="14"/>
        <v>0</v>
      </c>
      <c r="DB4" s="572">
        <f t="shared" si="14"/>
        <v>6</v>
      </c>
      <c r="DC4" s="572">
        <f t="shared" si="14"/>
        <v>3</v>
      </c>
      <c r="DD4" s="572">
        <f t="shared" si="14"/>
        <v>3</v>
      </c>
      <c r="DE4" s="560">
        <f t="shared" si="14"/>
        <v>0</v>
      </c>
      <c r="DF4" s="791">
        <f t="shared" si="14"/>
        <v>59</v>
      </c>
      <c r="DG4" s="792">
        <f t="shared" si="14"/>
        <v>20</v>
      </c>
      <c r="DH4" s="793">
        <f t="shared" si="14"/>
        <v>14</v>
      </c>
      <c r="DI4" s="560">
        <f t="shared" si="14"/>
        <v>0</v>
      </c>
      <c r="DJ4" s="558">
        <f t="shared" si="14"/>
        <v>70</v>
      </c>
      <c r="DK4" s="558">
        <f t="shared" si="14"/>
        <v>59</v>
      </c>
      <c r="DL4" s="558">
        <f t="shared" si="14"/>
        <v>20</v>
      </c>
      <c r="DM4" s="558">
        <f t="shared" si="14"/>
        <v>20</v>
      </c>
      <c r="DN4" s="558">
        <f t="shared" si="14"/>
        <v>0</v>
      </c>
      <c r="DO4" s="558">
        <f t="shared" si="14"/>
        <v>0</v>
      </c>
      <c r="DP4" s="558">
        <f t="shared" si="14"/>
        <v>1</v>
      </c>
      <c r="DQ4" s="561">
        <f t="shared" si="14"/>
        <v>0</v>
      </c>
      <c r="DR4" s="558">
        <f t="shared" si="14"/>
        <v>14</v>
      </c>
      <c r="DS4" s="558">
        <f t="shared" si="14"/>
        <v>1</v>
      </c>
      <c r="DT4" s="558">
        <f t="shared" si="14"/>
        <v>7</v>
      </c>
      <c r="DU4" s="558">
        <f t="shared" si="14"/>
        <v>4</v>
      </c>
      <c r="DV4" s="558">
        <f t="shared" si="14"/>
        <v>3</v>
      </c>
      <c r="DW4" s="560">
        <f t="shared" si="14"/>
        <v>0</v>
      </c>
      <c r="DX4" s="562"/>
      <c r="DY4" s="785"/>
      <c r="DZ4" s="558"/>
      <c r="EA4" s="572">
        <f t="shared" ref="EA4:FG4" si="15">COUNTIF(EA64:EA73,"&gt;0")+COUNTIF(EA76:EA84,"&gt;0")+COUNTIF(EA87:EA96,"&gt;0")+COUNTIF(EA52:EA61,"&gt;0")+COUNTIF(EA99:EA107,"&gt;0")+COUNTIF(EA110:EA119,"&gt;0")+COUNTIF(EA122:EA130,"&gt;0")+COUNTIF(EA133:EA142,"&gt;0")+COUNTIF(EA145:EA148,"&gt;0")+COUNTIF(EA151:EA152,"&gt;0")+COUNTIF(EA159:EA160,"&gt;0")+COUNTIF(EA163:EA164,"&gt;0")+COUNTIF(EA167:EA168,"&gt;0")+COUNTIF(EA171:EA172,"&gt;0")+COUNTIF(EA175:EA176,"&gt;0")+COUNTIF(EA183:EA184,"&gt;0")+COUNTIF(EA155:EA156,"&gt;0")+COUNTIF(EA187:EA188,"&gt;0")+COUNTIF(EA204:EA206,"&gt;0")+COUNTIF(EA179:EA180,"&gt;0")+COUNTIF(EA209:EA218,"&gt;0")+COUNTIF(EA221:EA224,"&gt;0")+COUNTIF(EA227:EA231,"&gt;0")+COUNTIF(EA199:EA201,"&gt;0")+COUNTIF(EA236,"&gt;0")+COUNTIF(EA11,"&gt;0")+COUNTIF(EA17,"&gt;0")+COUNTIF(EA23,"&gt;0")+COUNTIF(EA30,"&gt;0")+COUNTIF(EA39,"&gt;0")+COUNTIF(EA191:EA192,"&gt;0")+COUNTIF(EA195:EA196,"&gt;0")</f>
        <v>28</v>
      </c>
      <c r="EB4" s="572">
        <f t="shared" si="15"/>
        <v>26</v>
      </c>
      <c r="EC4" s="572">
        <f t="shared" si="15"/>
        <v>14</v>
      </c>
      <c r="ED4" s="572">
        <f t="shared" si="15"/>
        <v>14</v>
      </c>
      <c r="EE4" s="572">
        <f t="shared" si="15"/>
        <v>13</v>
      </c>
      <c r="EF4" s="572">
        <f t="shared" si="15"/>
        <v>1</v>
      </c>
      <c r="EG4" s="572">
        <f t="shared" si="15"/>
        <v>0</v>
      </c>
      <c r="EH4" s="572">
        <f t="shared" si="15"/>
        <v>0</v>
      </c>
      <c r="EI4" s="559">
        <f t="shared" si="15"/>
        <v>0</v>
      </c>
      <c r="EJ4" s="572">
        <f t="shared" si="15"/>
        <v>12</v>
      </c>
      <c r="EK4" s="572">
        <f t="shared" si="15"/>
        <v>0</v>
      </c>
      <c r="EL4" s="572">
        <f t="shared" si="15"/>
        <v>6</v>
      </c>
      <c r="EM4" s="572">
        <f t="shared" si="15"/>
        <v>0</v>
      </c>
      <c r="EN4" s="572">
        <f t="shared" si="15"/>
        <v>6</v>
      </c>
      <c r="EO4" s="560">
        <f t="shared" si="15"/>
        <v>0</v>
      </c>
      <c r="EP4" s="791">
        <f t="shared" si="15"/>
        <v>14</v>
      </c>
      <c r="EQ4" s="792">
        <f t="shared" si="15"/>
        <v>13</v>
      </c>
      <c r="ER4" s="793">
        <f t="shared" si="15"/>
        <v>13</v>
      </c>
      <c r="ES4" s="560">
        <f t="shared" si="15"/>
        <v>0</v>
      </c>
      <c r="ET4" s="558">
        <f t="shared" si="15"/>
        <v>25</v>
      </c>
      <c r="EU4" s="558">
        <f t="shared" si="15"/>
        <v>14</v>
      </c>
      <c r="EV4" s="558">
        <f t="shared" si="15"/>
        <v>13</v>
      </c>
      <c r="EW4" s="558">
        <f t="shared" si="15"/>
        <v>13</v>
      </c>
      <c r="EX4" s="558">
        <f t="shared" si="15"/>
        <v>0</v>
      </c>
      <c r="EY4" s="558">
        <f t="shared" si="15"/>
        <v>0</v>
      </c>
      <c r="EZ4" s="558">
        <f t="shared" si="15"/>
        <v>0</v>
      </c>
      <c r="FA4" s="561">
        <f t="shared" si="15"/>
        <v>0</v>
      </c>
      <c r="FB4" s="558">
        <f t="shared" si="15"/>
        <v>13</v>
      </c>
      <c r="FC4" s="558">
        <f t="shared" si="15"/>
        <v>2</v>
      </c>
      <c r="FD4" s="558">
        <f t="shared" si="15"/>
        <v>7</v>
      </c>
      <c r="FE4" s="558">
        <f t="shared" si="15"/>
        <v>0</v>
      </c>
      <c r="FF4" s="558">
        <f t="shared" si="15"/>
        <v>7</v>
      </c>
      <c r="FG4" s="560">
        <f t="shared" si="15"/>
        <v>0</v>
      </c>
    </row>
    <row r="5" spans="1:163" s="651" customFormat="1" ht="23.25" customHeight="1">
      <c r="A5" s="556"/>
      <c r="B5" s="557"/>
      <c r="C5" s="789" t="s">
        <v>249</v>
      </c>
      <c r="D5" s="790"/>
      <c r="E5" s="563"/>
      <c r="F5" s="613">
        <f>W5+BG5+CQ5+EA5</f>
        <v>77.216342254613593</v>
      </c>
      <c r="G5" s="613">
        <f t="shared" ref="G5:M5" si="16">X5+BH5+CR5+EB5</f>
        <v>65.880583441692693</v>
      </c>
      <c r="H5" s="613">
        <f t="shared" si="16"/>
        <v>58.328183868353264</v>
      </c>
      <c r="I5" s="613">
        <f t="shared" si="16"/>
        <v>18.672875323760312</v>
      </c>
      <c r="J5" s="613">
        <f t="shared" si="16"/>
        <v>14.331883211029636</v>
      </c>
      <c r="K5" s="613">
        <f t="shared" si="16"/>
        <v>3.9835411127306792</v>
      </c>
      <c r="L5" s="613">
        <f t="shared" si="16"/>
        <v>0</v>
      </c>
      <c r="M5" s="613">
        <f t="shared" si="16"/>
        <v>0.35745100000000002</v>
      </c>
      <c r="N5" s="565"/>
      <c r="O5" s="613">
        <f>AF5+BP5+CZ5+EJ5</f>
        <v>7.5523995733394313</v>
      </c>
      <c r="P5" s="613">
        <f t="shared" ref="P5:S5" si="17">AG5+BQ5+DA5+EK5</f>
        <v>1.6914242500000003</v>
      </c>
      <c r="Q5" s="613">
        <f t="shared" si="17"/>
        <v>3.9226380788218118</v>
      </c>
      <c r="R5" s="613">
        <f t="shared" si="17"/>
        <v>1.4004607647058824</v>
      </c>
      <c r="S5" s="613">
        <f t="shared" si="17"/>
        <v>0.53787647981173736</v>
      </c>
      <c r="T5" s="563"/>
      <c r="U5" s="786"/>
      <c r="V5" s="563"/>
      <c r="W5" s="613">
        <f t="shared" ref="W5:AJ5" si="18">W9+W49+W233</f>
        <v>57.594310000000007</v>
      </c>
      <c r="X5" s="613">
        <f t="shared" ref="X5:X68" si="19">Y5+AF5</f>
        <v>48.96626976449275</v>
      </c>
      <c r="Y5" s="613">
        <f t="shared" si="18"/>
        <v>42.636079768115941</v>
      </c>
      <c r="Z5" s="613">
        <f t="shared" si="18"/>
        <v>14.958230231884059</v>
      </c>
      <c r="AA5" s="613">
        <f t="shared" si="18"/>
        <v>11.955790731884059</v>
      </c>
      <c r="AB5" s="613">
        <f t="shared" si="18"/>
        <v>3.0024394999999999</v>
      </c>
      <c r="AC5" s="613">
        <f t="shared" si="18"/>
        <v>0</v>
      </c>
      <c r="AD5" s="613">
        <f t="shared" si="18"/>
        <v>0</v>
      </c>
      <c r="AE5" s="565"/>
      <c r="AF5" s="613">
        <f t="shared" si="18"/>
        <v>6.330189996376812</v>
      </c>
      <c r="AG5" s="613">
        <f t="shared" si="18"/>
        <v>1.6914242500000003</v>
      </c>
      <c r="AH5" s="613">
        <f t="shared" si="18"/>
        <v>3.3339667463768117</v>
      </c>
      <c r="AI5" s="613">
        <f t="shared" si="18"/>
        <v>1.304799</v>
      </c>
      <c r="AJ5" s="613">
        <f t="shared" si="18"/>
        <v>0</v>
      </c>
      <c r="AK5" s="566"/>
      <c r="AL5" s="567"/>
      <c r="AM5" s="567"/>
      <c r="AN5" s="568"/>
      <c r="AO5" s="566"/>
      <c r="AP5" s="564"/>
      <c r="AQ5" s="564"/>
      <c r="AR5" s="613">
        <f t="shared" ref="AR5:BB5" si="20">AR9+AR49+AR233</f>
        <v>619</v>
      </c>
      <c r="AS5" s="613">
        <f t="shared" si="20"/>
        <v>614</v>
      </c>
      <c r="AT5" s="613">
        <f t="shared" si="20"/>
        <v>5</v>
      </c>
      <c r="AU5" s="613">
        <f t="shared" si="20"/>
        <v>0</v>
      </c>
      <c r="AV5" s="613">
        <f t="shared" si="20"/>
        <v>0</v>
      </c>
      <c r="AW5" s="569"/>
      <c r="AX5" s="613">
        <f t="shared" si="20"/>
        <v>306</v>
      </c>
      <c r="AY5" s="613">
        <f t="shared" si="20"/>
        <v>81</v>
      </c>
      <c r="AZ5" s="613">
        <f t="shared" si="20"/>
        <v>150</v>
      </c>
      <c r="BA5" s="613">
        <f t="shared" si="20"/>
        <v>75</v>
      </c>
      <c r="BB5" s="613">
        <f t="shared" si="20"/>
        <v>0</v>
      </c>
      <c r="BC5" s="566"/>
      <c r="BD5" s="566"/>
      <c r="BE5" s="786"/>
      <c r="BF5" s="566"/>
      <c r="BG5" s="613">
        <f t="shared" ref="BG5:BT5" si="21">BG9+BG49+BG233</f>
        <v>13.476580894987778</v>
      </c>
      <c r="BH5" s="613">
        <f t="shared" ref="BH5:BH68" si="22">BI5+BP5</f>
        <v>12.125868801377464</v>
      </c>
      <c r="BI5" s="613">
        <f t="shared" si="21"/>
        <v>12.043589389612759</v>
      </c>
      <c r="BJ5" s="613">
        <f t="shared" si="21"/>
        <v>1.2177084428750198</v>
      </c>
      <c r="BK5" s="613">
        <f t="shared" si="21"/>
        <v>0.54387939812563069</v>
      </c>
      <c r="BL5" s="613">
        <f t="shared" si="21"/>
        <v>0.67382904474938898</v>
      </c>
      <c r="BM5" s="613">
        <f t="shared" si="21"/>
        <v>0</v>
      </c>
      <c r="BN5" s="613">
        <f t="shared" si="21"/>
        <v>0</v>
      </c>
      <c r="BO5" s="565"/>
      <c r="BP5" s="613">
        <f t="shared" si="21"/>
        <v>8.2279411764705879E-2</v>
      </c>
      <c r="BQ5" s="613">
        <f t="shared" si="21"/>
        <v>0</v>
      </c>
      <c r="BR5" s="613">
        <f t="shared" si="21"/>
        <v>0</v>
      </c>
      <c r="BS5" s="613">
        <f t="shared" si="21"/>
        <v>8.2279411764705879E-2</v>
      </c>
      <c r="BT5" s="613">
        <f t="shared" si="21"/>
        <v>0</v>
      </c>
      <c r="BU5" s="566"/>
      <c r="BV5" s="570"/>
      <c r="BW5" s="570"/>
      <c r="BX5" s="570"/>
      <c r="BY5" s="566"/>
      <c r="BZ5" s="570"/>
      <c r="CA5" s="564"/>
      <c r="CB5" s="613">
        <f t="shared" ref="CB5:CL5" si="23">CB9+CB49+CB233</f>
        <v>46</v>
      </c>
      <c r="CC5" s="613">
        <f t="shared" si="23"/>
        <v>46</v>
      </c>
      <c r="CD5" s="613">
        <f t="shared" si="23"/>
        <v>0</v>
      </c>
      <c r="CE5" s="613">
        <f t="shared" si="23"/>
        <v>0</v>
      </c>
      <c r="CF5" s="613">
        <f t="shared" si="23"/>
        <v>0</v>
      </c>
      <c r="CG5" s="569"/>
      <c r="CH5" s="613">
        <f t="shared" si="23"/>
        <v>24</v>
      </c>
      <c r="CI5" s="613">
        <f t="shared" si="23"/>
        <v>11</v>
      </c>
      <c r="CJ5" s="613">
        <f t="shared" si="23"/>
        <v>5</v>
      </c>
      <c r="CK5" s="613">
        <f t="shared" si="23"/>
        <v>8</v>
      </c>
      <c r="CL5" s="613">
        <f t="shared" si="23"/>
        <v>0</v>
      </c>
      <c r="CM5" s="566"/>
      <c r="CN5" s="566"/>
      <c r="CO5" s="786"/>
      <c r="CP5" s="566"/>
      <c r="CQ5" s="613">
        <f t="shared" ref="CQ5:DD5" si="24">CQ9+CQ49+CQ233</f>
        <v>4.8108652606258024</v>
      </c>
      <c r="CR5" s="613">
        <f t="shared" ref="CR5:CR68" si="25">CS5+CZ5</f>
        <v>3.5622520817724812</v>
      </c>
      <c r="CS5" s="613">
        <f t="shared" si="24"/>
        <v>2.889157521009273</v>
      </c>
      <c r="CT5" s="613">
        <f t="shared" si="24"/>
        <v>1.9217077396165299</v>
      </c>
      <c r="CU5" s="613">
        <f t="shared" si="24"/>
        <v>1.3237134765852396</v>
      </c>
      <c r="CV5" s="613">
        <f t="shared" si="24"/>
        <v>0.24054326303129014</v>
      </c>
      <c r="CW5" s="613">
        <f t="shared" si="24"/>
        <v>0</v>
      </c>
      <c r="CX5" s="613">
        <f t="shared" si="24"/>
        <v>0.35745100000000002</v>
      </c>
      <c r="CY5" s="565"/>
      <c r="CZ5" s="613">
        <f t="shared" si="24"/>
        <v>0.67309456076320795</v>
      </c>
      <c r="DA5" s="613">
        <f t="shared" si="24"/>
        <v>0</v>
      </c>
      <c r="DB5" s="613">
        <f t="shared" si="24"/>
        <v>0.17945309200000001</v>
      </c>
      <c r="DC5" s="613">
        <f t="shared" si="24"/>
        <v>1.338235294117647E-2</v>
      </c>
      <c r="DD5" s="613">
        <f t="shared" si="24"/>
        <v>0.48025911582203151</v>
      </c>
      <c r="DE5" s="566"/>
      <c r="DF5" s="570"/>
      <c r="DG5" s="570"/>
      <c r="DH5" s="570"/>
      <c r="DI5" s="566"/>
      <c r="DJ5" s="564"/>
      <c r="DK5" s="564"/>
      <c r="DL5" s="613">
        <f t="shared" ref="DL5:DV5" si="26">DL9+DL49+DL233</f>
        <v>199</v>
      </c>
      <c r="DM5" s="613">
        <f t="shared" si="26"/>
        <v>197</v>
      </c>
      <c r="DN5" s="613">
        <f t="shared" si="26"/>
        <v>0</v>
      </c>
      <c r="DO5" s="613">
        <f t="shared" si="26"/>
        <v>0</v>
      </c>
      <c r="DP5" s="613">
        <f t="shared" si="26"/>
        <v>2</v>
      </c>
      <c r="DQ5" s="569"/>
      <c r="DR5" s="613">
        <f t="shared" si="26"/>
        <v>125</v>
      </c>
      <c r="DS5" s="613">
        <f t="shared" si="26"/>
        <v>1</v>
      </c>
      <c r="DT5" s="613">
        <f t="shared" si="26"/>
        <v>17</v>
      </c>
      <c r="DU5" s="613">
        <f t="shared" si="26"/>
        <v>12</v>
      </c>
      <c r="DV5" s="613">
        <f t="shared" si="26"/>
        <v>95</v>
      </c>
      <c r="DW5" s="566"/>
      <c r="DX5" s="566"/>
      <c r="DY5" s="786"/>
      <c r="DZ5" s="566"/>
      <c r="EA5" s="613">
        <f t="shared" ref="EA5:EN5" si="27">EA9+EA49+EA233</f>
        <v>1.334586099</v>
      </c>
      <c r="EB5" s="613">
        <f t="shared" ref="EB5:EB68" si="28">EC5+EJ5</f>
        <v>1.2261927940500001</v>
      </c>
      <c r="EC5" s="613">
        <f t="shared" si="27"/>
        <v>0.75935718961529419</v>
      </c>
      <c r="ED5" s="613">
        <f t="shared" si="27"/>
        <v>0.57522890938470583</v>
      </c>
      <c r="EE5" s="613">
        <f t="shared" si="27"/>
        <v>0.50849960443470588</v>
      </c>
      <c r="EF5" s="613">
        <f t="shared" si="27"/>
        <v>6.6729304949999999E-2</v>
      </c>
      <c r="EG5" s="613">
        <f t="shared" si="27"/>
        <v>0</v>
      </c>
      <c r="EH5" s="613">
        <f t="shared" si="27"/>
        <v>0</v>
      </c>
      <c r="EI5" s="565"/>
      <c r="EJ5" s="613">
        <f t="shared" si="27"/>
        <v>0.4668356044347059</v>
      </c>
      <c r="EK5" s="613">
        <f t="shared" si="27"/>
        <v>0</v>
      </c>
      <c r="EL5" s="613">
        <f t="shared" si="27"/>
        <v>0.40921824044499999</v>
      </c>
      <c r="EM5" s="613">
        <f t="shared" si="27"/>
        <v>0</v>
      </c>
      <c r="EN5" s="613">
        <f t="shared" si="27"/>
        <v>5.7617363989705898E-2</v>
      </c>
      <c r="EO5" s="566"/>
      <c r="EP5" s="570"/>
      <c r="EQ5" s="570"/>
      <c r="ER5" s="570"/>
      <c r="ES5" s="566"/>
      <c r="ET5" s="564"/>
      <c r="EU5" s="564"/>
      <c r="EV5" s="613">
        <f t="shared" ref="EV5:FF5" si="29">EV9+EV49+EV233</f>
        <v>156</v>
      </c>
      <c r="EW5" s="613">
        <f t="shared" si="29"/>
        <v>156</v>
      </c>
      <c r="EX5" s="613">
        <f t="shared" si="29"/>
        <v>0</v>
      </c>
      <c r="EY5" s="613">
        <f t="shared" si="29"/>
        <v>0</v>
      </c>
      <c r="EZ5" s="613">
        <f t="shared" si="29"/>
        <v>0</v>
      </c>
      <c r="FA5" s="569"/>
      <c r="FB5" s="613">
        <f t="shared" si="29"/>
        <v>86</v>
      </c>
      <c r="FC5" s="613">
        <f t="shared" si="29"/>
        <v>11</v>
      </c>
      <c r="FD5" s="613">
        <f t="shared" si="29"/>
        <v>45</v>
      </c>
      <c r="FE5" s="613">
        <f t="shared" si="29"/>
        <v>0</v>
      </c>
      <c r="FF5" s="613">
        <f t="shared" si="29"/>
        <v>30</v>
      </c>
      <c r="FG5" s="566"/>
    </row>
    <row r="6" spans="1:163" ht="3" hidden="1" customHeight="1">
      <c r="A6" s="48"/>
      <c r="B6" s="49"/>
      <c r="C6" s="49"/>
      <c r="D6" s="61"/>
      <c r="E6" s="62"/>
      <c r="F6" s="322"/>
      <c r="G6" s="630"/>
      <c r="H6" s="323"/>
      <c r="I6" s="323"/>
      <c r="J6" s="323"/>
      <c r="K6" s="323"/>
      <c r="L6" s="323"/>
      <c r="M6" s="135"/>
      <c r="N6" s="135"/>
      <c r="O6" s="323"/>
      <c r="P6" s="323"/>
      <c r="Q6" s="323"/>
      <c r="R6" s="323"/>
      <c r="S6" s="135"/>
      <c r="T6" s="62"/>
      <c r="U6" s="51"/>
      <c r="V6" s="63"/>
      <c r="W6" s="322"/>
      <c r="X6" s="630"/>
      <c r="Y6" s="630"/>
      <c r="Z6" s="630"/>
      <c r="AA6" s="630"/>
      <c r="AB6" s="630"/>
      <c r="AC6" s="630"/>
      <c r="AD6" s="630"/>
      <c r="AE6" s="630"/>
      <c r="AF6" s="630"/>
      <c r="AG6" s="630"/>
      <c r="AH6" s="630"/>
      <c r="AI6" s="630"/>
      <c r="AJ6" s="630"/>
      <c r="AK6" s="630"/>
      <c r="AL6" s="630"/>
      <c r="AM6" s="630"/>
      <c r="AN6" s="630"/>
      <c r="AO6" s="630"/>
      <c r="AP6" s="630"/>
      <c r="AQ6" s="630"/>
      <c r="AR6" s="630"/>
      <c r="AS6" s="630"/>
      <c r="AT6" s="630"/>
      <c r="AU6" s="630"/>
      <c r="AV6" s="630"/>
      <c r="AW6" s="630"/>
      <c r="AX6" s="630"/>
      <c r="AY6" s="630"/>
      <c r="AZ6" s="630"/>
      <c r="BA6" s="630"/>
      <c r="BB6" s="630"/>
      <c r="BC6" s="630"/>
      <c r="BD6" s="630"/>
      <c r="BE6" s="630"/>
      <c r="BF6" s="630"/>
      <c r="BG6" s="630"/>
      <c r="BH6" s="630"/>
      <c r="BI6" s="630"/>
      <c r="BJ6" s="630"/>
      <c r="BK6" s="630"/>
      <c r="BL6" s="630"/>
      <c r="BM6" s="630"/>
      <c r="BN6" s="630"/>
      <c r="BO6" s="630"/>
      <c r="BP6" s="630"/>
      <c r="BQ6" s="630"/>
      <c r="BR6" s="630"/>
      <c r="BS6" s="630"/>
      <c r="BT6" s="630"/>
      <c r="BU6" s="630"/>
      <c r="BV6" s="630"/>
      <c r="BW6" s="630"/>
      <c r="BX6" s="630"/>
      <c r="BY6" s="630"/>
      <c r="BZ6" s="630"/>
      <c r="CA6" s="630"/>
      <c r="CB6" s="630"/>
      <c r="CC6" s="630"/>
      <c r="CD6" s="630"/>
      <c r="CE6" s="630"/>
      <c r="CF6" s="630"/>
      <c r="CG6" s="630"/>
      <c r="CH6" s="630"/>
      <c r="CI6" s="630"/>
      <c r="CJ6" s="630"/>
      <c r="CK6" s="630"/>
      <c r="CL6" s="630"/>
      <c r="CM6" s="630"/>
      <c r="CN6" s="630"/>
      <c r="CO6" s="630"/>
      <c r="CP6" s="630"/>
      <c r="CQ6" s="630"/>
      <c r="CR6" s="630"/>
      <c r="CS6" s="630"/>
      <c r="CT6" s="630"/>
      <c r="CU6" s="630"/>
      <c r="CV6" s="630"/>
      <c r="CW6" s="630"/>
      <c r="CX6" s="630"/>
      <c r="CY6" s="630"/>
      <c r="CZ6" s="630"/>
      <c r="DA6" s="630"/>
      <c r="DB6" s="630"/>
      <c r="DC6" s="630"/>
      <c r="DD6" s="630"/>
      <c r="DE6" s="630"/>
      <c r="DF6" s="630"/>
      <c r="DG6" s="630"/>
      <c r="DH6" s="630"/>
      <c r="DI6" s="630"/>
      <c r="DJ6" s="630"/>
      <c r="DK6" s="630"/>
      <c r="DL6" s="630"/>
      <c r="DM6" s="630"/>
      <c r="DN6" s="630"/>
      <c r="DO6" s="630"/>
      <c r="DP6" s="630"/>
      <c r="DQ6" s="630"/>
      <c r="DR6" s="630"/>
      <c r="DS6" s="630"/>
      <c r="DT6" s="630"/>
      <c r="DU6" s="630"/>
      <c r="DV6" s="630"/>
      <c r="DW6" s="630"/>
      <c r="DX6" s="630"/>
      <c r="DY6" s="630"/>
      <c r="DZ6" s="630"/>
      <c r="EA6" s="630"/>
      <c r="EB6" s="630"/>
      <c r="EC6" s="630"/>
      <c r="ED6" s="630"/>
      <c r="EE6" s="630"/>
      <c r="EF6" s="630"/>
      <c r="EG6" s="630"/>
      <c r="EH6" s="630"/>
      <c r="EI6" s="630"/>
      <c r="EJ6" s="630"/>
      <c r="EK6" s="630"/>
      <c r="EL6" s="630"/>
      <c r="EM6" s="630"/>
      <c r="EN6" s="630"/>
      <c r="EO6" s="630"/>
      <c r="EP6" s="630"/>
      <c r="EQ6" s="630"/>
      <c r="ER6" s="630"/>
      <c r="ES6" s="630"/>
      <c r="ET6" s="630"/>
      <c r="EU6" s="630"/>
      <c r="EV6" s="630"/>
      <c r="EW6" s="630"/>
      <c r="EX6" s="630"/>
      <c r="EY6" s="630"/>
      <c r="EZ6" s="630"/>
      <c r="FA6" s="630"/>
      <c r="FB6" s="630"/>
      <c r="FC6" s="630"/>
      <c r="FD6" s="630"/>
      <c r="FE6" s="630"/>
      <c r="FF6" s="630"/>
      <c r="FG6" s="630"/>
    </row>
    <row r="7" spans="1:163" ht="3" hidden="1" customHeight="1">
      <c r="A7" s="48"/>
      <c r="B7" s="65"/>
      <c r="C7" s="65"/>
      <c r="D7" s="66"/>
      <c r="E7" s="67"/>
      <c r="F7" s="324"/>
      <c r="G7" s="617"/>
      <c r="H7" s="325"/>
      <c r="I7" s="325"/>
      <c r="J7" s="325"/>
      <c r="K7" s="325"/>
      <c r="L7" s="325"/>
      <c r="M7" s="69"/>
      <c r="N7" s="69"/>
      <c r="O7" s="325"/>
      <c r="P7" s="325"/>
      <c r="Q7" s="325"/>
      <c r="R7" s="325"/>
      <c r="S7" s="69"/>
      <c r="T7" s="67"/>
      <c r="U7" s="68"/>
      <c r="V7" s="68"/>
      <c r="W7" s="324"/>
      <c r="X7" s="617"/>
      <c r="Y7" s="617"/>
      <c r="Z7" s="617"/>
      <c r="AA7" s="617"/>
      <c r="AB7" s="617"/>
      <c r="AC7" s="617"/>
      <c r="AD7" s="617"/>
      <c r="AE7" s="617"/>
      <c r="AF7" s="617"/>
      <c r="AG7" s="617"/>
      <c r="AH7" s="617"/>
      <c r="AI7" s="617"/>
      <c r="AJ7" s="617"/>
      <c r="AK7" s="617"/>
      <c r="AL7" s="617"/>
      <c r="AM7" s="617"/>
      <c r="AN7" s="617"/>
      <c r="AO7" s="617"/>
      <c r="AP7" s="617"/>
      <c r="AQ7" s="617"/>
      <c r="AR7" s="617"/>
      <c r="AS7" s="617"/>
      <c r="AT7" s="617"/>
      <c r="AU7" s="617"/>
      <c r="AV7" s="617"/>
      <c r="AW7" s="617"/>
      <c r="AX7" s="617"/>
      <c r="AY7" s="617"/>
      <c r="AZ7" s="617"/>
      <c r="BA7" s="617"/>
      <c r="BB7" s="617"/>
      <c r="BC7" s="617"/>
      <c r="BD7" s="617"/>
      <c r="BE7" s="617"/>
      <c r="BF7" s="617"/>
      <c r="BG7" s="617"/>
      <c r="BH7" s="617"/>
      <c r="BI7" s="617"/>
      <c r="BJ7" s="617"/>
      <c r="BK7" s="617"/>
      <c r="BL7" s="617"/>
      <c r="BM7" s="617"/>
      <c r="BN7" s="617"/>
      <c r="BO7" s="617"/>
      <c r="BP7" s="617"/>
      <c r="BQ7" s="617"/>
      <c r="BR7" s="617"/>
      <c r="BS7" s="617"/>
      <c r="BT7" s="617"/>
      <c r="BU7" s="617"/>
      <c r="BV7" s="617"/>
      <c r="BW7" s="617"/>
      <c r="BX7" s="617"/>
      <c r="BY7" s="617"/>
      <c r="BZ7" s="617"/>
      <c r="CA7" s="617"/>
      <c r="CB7" s="617"/>
      <c r="CC7" s="617"/>
      <c r="CD7" s="617"/>
      <c r="CE7" s="617"/>
      <c r="CF7" s="617"/>
      <c r="CG7" s="617"/>
      <c r="CH7" s="617"/>
      <c r="CI7" s="617"/>
      <c r="CJ7" s="617"/>
      <c r="CK7" s="617"/>
      <c r="CL7" s="617"/>
      <c r="CM7" s="617"/>
      <c r="CN7" s="617"/>
      <c r="CO7" s="617"/>
      <c r="CP7" s="617"/>
      <c r="CQ7" s="617"/>
      <c r="CR7" s="617"/>
      <c r="CS7" s="617"/>
      <c r="CT7" s="617"/>
      <c r="CU7" s="617"/>
      <c r="CV7" s="617"/>
      <c r="CW7" s="617"/>
      <c r="CX7" s="617"/>
      <c r="CY7" s="617"/>
      <c r="CZ7" s="617"/>
      <c r="DA7" s="617"/>
      <c r="DB7" s="617"/>
      <c r="DC7" s="617"/>
      <c r="DD7" s="617"/>
      <c r="DE7" s="617"/>
      <c r="DF7" s="617"/>
      <c r="DG7" s="617"/>
      <c r="DH7" s="617"/>
      <c r="DI7" s="617"/>
      <c r="DJ7" s="617"/>
      <c r="DK7" s="617"/>
      <c r="DL7" s="617"/>
      <c r="DM7" s="617"/>
      <c r="DN7" s="617"/>
      <c r="DO7" s="617"/>
      <c r="DP7" s="617"/>
      <c r="DQ7" s="617"/>
      <c r="DR7" s="617"/>
      <c r="DS7" s="617"/>
      <c r="DT7" s="617"/>
      <c r="DU7" s="617"/>
      <c r="DV7" s="617"/>
      <c r="DW7" s="617"/>
      <c r="DX7" s="617"/>
      <c r="DY7" s="617"/>
      <c r="DZ7" s="617"/>
      <c r="EA7" s="617"/>
      <c r="EB7" s="617"/>
      <c r="EC7" s="617"/>
      <c r="ED7" s="617"/>
      <c r="EE7" s="617"/>
      <c r="EF7" s="617"/>
      <c r="EG7" s="617"/>
      <c r="EH7" s="617"/>
      <c r="EI7" s="617"/>
      <c r="EJ7" s="617"/>
      <c r="EK7" s="617"/>
      <c r="EL7" s="617"/>
      <c r="EM7" s="617"/>
      <c r="EN7" s="617"/>
      <c r="EO7" s="617"/>
      <c r="EP7" s="617"/>
      <c r="EQ7" s="617"/>
      <c r="ER7" s="617"/>
      <c r="ES7" s="617"/>
      <c r="ET7" s="617"/>
      <c r="EU7" s="617"/>
      <c r="EV7" s="617"/>
      <c r="EW7" s="617"/>
      <c r="EX7" s="617"/>
      <c r="EY7" s="617"/>
      <c r="EZ7" s="617"/>
      <c r="FA7" s="617"/>
      <c r="FB7" s="617"/>
      <c r="FC7" s="617"/>
      <c r="FD7" s="617"/>
      <c r="FE7" s="617"/>
      <c r="FF7" s="617"/>
      <c r="FG7" s="617"/>
    </row>
    <row r="8" spans="1:163" ht="3" hidden="1" customHeight="1">
      <c r="A8" s="48"/>
      <c r="B8" s="49"/>
      <c r="C8" s="49"/>
      <c r="D8" s="61"/>
      <c r="E8" s="62"/>
      <c r="F8" s="322"/>
      <c r="G8" s="630"/>
      <c r="H8" s="283"/>
      <c r="I8" s="283"/>
      <c r="J8" s="283"/>
      <c r="K8" s="283"/>
      <c r="L8" s="283"/>
      <c r="M8" s="70"/>
      <c r="N8" s="70"/>
      <c r="O8" s="283"/>
      <c r="P8" s="283"/>
      <c r="Q8" s="283"/>
      <c r="R8" s="283"/>
      <c r="S8" s="70"/>
      <c r="T8" s="62"/>
      <c r="U8" s="326"/>
      <c r="V8" s="63"/>
      <c r="W8" s="322"/>
      <c r="X8" s="630"/>
      <c r="Y8" s="630"/>
      <c r="Z8" s="630"/>
      <c r="AA8" s="630"/>
      <c r="AB8" s="630"/>
      <c r="AC8" s="630"/>
      <c r="AD8" s="630"/>
      <c r="AE8" s="630"/>
      <c r="AF8" s="630"/>
      <c r="AG8" s="630"/>
      <c r="AH8" s="630"/>
      <c r="AI8" s="630"/>
      <c r="AJ8" s="630"/>
      <c r="AK8" s="630"/>
      <c r="AL8" s="630"/>
      <c r="AM8" s="630"/>
      <c r="AN8" s="630"/>
      <c r="AO8" s="630"/>
      <c r="AP8" s="630"/>
      <c r="AQ8" s="630"/>
      <c r="AR8" s="630"/>
      <c r="AS8" s="630"/>
      <c r="AT8" s="630"/>
      <c r="AU8" s="630"/>
      <c r="AV8" s="630"/>
      <c r="AW8" s="630"/>
      <c r="AX8" s="630"/>
      <c r="AY8" s="630"/>
      <c r="AZ8" s="630"/>
      <c r="BA8" s="630"/>
      <c r="BB8" s="630"/>
      <c r="BC8" s="630"/>
      <c r="BD8" s="630"/>
      <c r="BE8" s="630"/>
      <c r="BF8" s="630"/>
      <c r="BG8" s="630"/>
      <c r="BH8" s="630"/>
      <c r="BI8" s="630"/>
      <c r="BJ8" s="630"/>
      <c r="BK8" s="630"/>
      <c r="BL8" s="630"/>
      <c r="BM8" s="630"/>
      <c r="BN8" s="630"/>
      <c r="BO8" s="630"/>
      <c r="BP8" s="630"/>
      <c r="BQ8" s="630"/>
      <c r="BR8" s="630"/>
      <c r="BS8" s="630"/>
      <c r="BT8" s="630"/>
      <c r="BU8" s="630"/>
      <c r="BV8" s="630"/>
      <c r="BW8" s="630"/>
      <c r="BX8" s="630"/>
      <c r="BY8" s="630"/>
      <c r="BZ8" s="630"/>
      <c r="CA8" s="630"/>
      <c r="CB8" s="630"/>
      <c r="CC8" s="630"/>
      <c r="CD8" s="630"/>
      <c r="CE8" s="630"/>
      <c r="CF8" s="630"/>
      <c r="CG8" s="630"/>
      <c r="CH8" s="630"/>
      <c r="CI8" s="630"/>
      <c r="CJ8" s="630"/>
      <c r="CK8" s="630"/>
      <c r="CL8" s="630"/>
      <c r="CM8" s="630"/>
      <c r="CN8" s="630"/>
      <c r="CO8" s="630"/>
      <c r="CP8" s="630"/>
      <c r="CQ8" s="630"/>
      <c r="CR8" s="630"/>
      <c r="CS8" s="630"/>
      <c r="CT8" s="630"/>
      <c r="CU8" s="630"/>
      <c r="CV8" s="630"/>
      <c r="CW8" s="630"/>
      <c r="CX8" s="630"/>
      <c r="CY8" s="630"/>
      <c r="CZ8" s="630"/>
      <c r="DA8" s="630"/>
      <c r="DB8" s="630"/>
      <c r="DC8" s="630"/>
      <c r="DD8" s="630"/>
      <c r="DE8" s="630"/>
      <c r="DF8" s="630"/>
      <c r="DG8" s="630"/>
      <c r="DH8" s="630"/>
      <c r="DI8" s="630"/>
      <c r="DJ8" s="630"/>
      <c r="DK8" s="630"/>
      <c r="DL8" s="630"/>
      <c r="DM8" s="630"/>
      <c r="DN8" s="630"/>
      <c r="DO8" s="630"/>
      <c r="DP8" s="630"/>
      <c r="DQ8" s="630"/>
      <c r="DR8" s="630"/>
      <c r="DS8" s="630"/>
      <c r="DT8" s="630"/>
      <c r="DU8" s="630"/>
      <c r="DV8" s="630"/>
      <c r="DW8" s="630"/>
      <c r="DX8" s="630"/>
      <c r="DY8" s="630"/>
      <c r="DZ8" s="630"/>
      <c r="EA8" s="630"/>
      <c r="EB8" s="630"/>
      <c r="EC8" s="630"/>
      <c r="ED8" s="630"/>
      <c r="EE8" s="630"/>
      <c r="EF8" s="630"/>
      <c r="EG8" s="630"/>
      <c r="EH8" s="630"/>
      <c r="EI8" s="630"/>
      <c r="EJ8" s="630"/>
      <c r="EK8" s="630"/>
      <c r="EL8" s="630"/>
      <c r="EM8" s="630"/>
      <c r="EN8" s="630"/>
      <c r="EO8" s="630"/>
      <c r="EP8" s="630"/>
      <c r="EQ8" s="630"/>
      <c r="ER8" s="630"/>
      <c r="ES8" s="630"/>
      <c r="ET8" s="630"/>
      <c r="EU8" s="630"/>
      <c r="EV8" s="630"/>
      <c r="EW8" s="630"/>
      <c r="EX8" s="630"/>
      <c r="EY8" s="630"/>
      <c r="EZ8" s="630"/>
      <c r="FA8" s="630"/>
      <c r="FB8" s="630"/>
      <c r="FC8" s="630"/>
      <c r="FD8" s="630"/>
      <c r="FE8" s="630"/>
      <c r="FF8" s="630"/>
      <c r="FG8" s="630"/>
    </row>
    <row r="9" spans="1:163" ht="18" hidden="1" collapsed="1">
      <c r="A9" s="48"/>
      <c r="B9" s="48"/>
      <c r="C9" s="787" t="s">
        <v>20</v>
      </c>
      <c r="D9" s="787"/>
      <c r="E9" s="62"/>
      <c r="F9" s="606"/>
      <c r="G9" s="606"/>
      <c r="H9" s="606"/>
      <c r="I9" s="606"/>
      <c r="J9" s="142"/>
      <c r="K9" s="142"/>
      <c r="L9" s="142"/>
      <c r="M9" s="142"/>
      <c r="N9" s="142"/>
      <c r="O9" s="606"/>
      <c r="P9" s="142"/>
      <c r="Q9" s="142"/>
      <c r="R9" s="142"/>
      <c r="S9" s="142"/>
      <c r="T9" s="62"/>
      <c r="U9" s="129"/>
      <c r="V9" s="130"/>
      <c r="W9" s="606">
        <f>W11+W17+W30+W39+W23</f>
        <v>25.9174395</v>
      </c>
      <c r="X9" s="606">
        <f t="shared" si="19"/>
        <v>25.9174395</v>
      </c>
      <c r="Y9" s="606">
        <f>Y11+Y17+Y30+Y39+Y23</f>
        <v>25.9174395</v>
      </c>
      <c r="Z9" s="606">
        <f>Z11+Z17+Z30+Z39+Z23</f>
        <v>0</v>
      </c>
      <c r="AA9" s="142"/>
      <c r="AB9" s="142"/>
      <c r="AC9" s="142"/>
      <c r="AD9" s="142"/>
      <c r="AE9" s="142"/>
      <c r="AF9" s="606">
        <f>AF11+AF17+AF30+AF39+AF23</f>
        <v>0</v>
      </c>
      <c r="AG9" s="142"/>
      <c r="AH9" s="142"/>
      <c r="AI9" s="142"/>
      <c r="AJ9" s="142"/>
      <c r="AK9" s="142"/>
      <c r="AL9" s="147"/>
      <c r="AM9" s="147"/>
      <c r="AN9" s="147"/>
      <c r="AO9" s="147"/>
      <c r="AP9" s="143"/>
      <c r="AQ9" s="143"/>
      <c r="AR9" s="143"/>
      <c r="AS9" s="143"/>
      <c r="AT9" s="143"/>
      <c r="AU9" s="143"/>
      <c r="AV9" s="143"/>
      <c r="AW9" s="143"/>
      <c r="AX9" s="143"/>
      <c r="AY9" s="143"/>
      <c r="AZ9" s="143"/>
      <c r="BA9" s="143"/>
      <c r="BB9" s="143"/>
      <c r="BC9" s="143"/>
      <c r="BD9" s="143"/>
      <c r="BE9" s="144"/>
      <c r="BF9" s="130"/>
      <c r="BG9" s="606">
        <f>BG11+BG17+BG30+BG39+BG23</f>
        <v>5.3906323579951119</v>
      </c>
      <c r="BH9" s="606">
        <f t="shared" si="22"/>
        <v>5.3906323579951119</v>
      </c>
      <c r="BI9" s="606">
        <f>BI11+BI17+BI30+BI39+BI23</f>
        <v>5.3906323579951119</v>
      </c>
      <c r="BJ9" s="606">
        <f>BJ11+BJ17+BJ30+BJ39+BJ23</f>
        <v>0</v>
      </c>
      <c r="BK9" s="142"/>
      <c r="BL9" s="142"/>
      <c r="BM9" s="142"/>
      <c r="BN9" s="142"/>
      <c r="BO9" s="142"/>
      <c r="BP9" s="606">
        <f>BP11+BP17+BP30+BP39+BP23</f>
        <v>0</v>
      </c>
      <c r="BQ9" s="142"/>
      <c r="BR9" s="142"/>
      <c r="BS9" s="142"/>
      <c r="BT9" s="142"/>
      <c r="BU9" s="142"/>
      <c r="BV9" s="522"/>
      <c r="BW9" s="522"/>
      <c r="BX9" s="522"/>
      <c r="BY9" s="147"/>
      <c r="BZ9" s="529"/>
      <c r="CA9" s="529"/>
      <c r="CB9" s="530"/>
      <c r="CC9" s="531"/>
      <c r="CD9" s="531"/>
      <c r="CE9" s="531"/>
      <c r="CF9" s="531"/>
      <c r="CG9" s="531"/>
      <c r="CH9" s="530"/>
      <c r="CI9" s="531"/>
      <c r="CJ9" s="531"/>
      <c r="CK9" s="531"/>
      <c r="CL9" s="531"/>
      <c r="CM9" s="130"/>
      <c r="CN9" s="130"/>
      <c r="CO9" s="144"/>
      <c r="CP9" s="130"/>
      <c r="CQ9" s="606">
        <f>CQ11+CQ17+CQ30+CQ39+CQ23</f>
        <v>1.4432595781877409</v>
      </c>
      <c r="CR9" s="606">
        <f t="shared" si="25"/>
        <v>1.4432595781877409</v>
      </c>
      <c r="CS9" s="606">
        <f>CS11+CS17+CS30+CS39+CS23</f>
        <v>1.4432595781877409</v>
      </c>
      <c r="CT9" s="606">
        <f>CT11+CT17+CT30+CT39+CT23</f>
        <v>0</v>
      </c>
      <c r="CU9" s="142"/>
      <c r="CV9" s="142"/>
      <c r="CW9" s="142"/>
      <c r="CX9" s="142"/>
      <c r="CY9" s="142"/>
      <c r="CZ9" s="606">
        <f>CZ11+CZ17+CZ30+CZ39+CZ23</f>
        <v>0</v>
      </c>
      <c r="DA9" s="142"/>
      <c r="DB9" s="142"/>
      <c r="DC9" s="142"/>
      <c r="DD9" s="142"/>
      <c r="DE9" s="142"/>
      <c r="DF9" s="636"/>
      <c r="DG9" s="636"/>
      <c r="DH9" s="636"/>
      <c r="DI9" s="147"/>
      <c r="DJ9" s="143"/>
      <c r="DK9" s="143"/>
      <c r="DL9" s="143"/>
      <c r="DM9" s="142"/>
      <c r="DN9" s="142"/>
      <c r="DO9" s="142"/>
      <c r="DP9" s="142"/>
      <c r="DQ9" s="142"/>
      <c r="DR9" s="143"/>
      <c r="DS9" s="142"/>
      <c r="DT9" s="142"/>
      <c r="DU9" s="142"/>
      <c r="DV9" s="142"/>
      <c r="DW9" s="130"/>
      <c r="DX9" s="130"/>
      <c r="DY9" s="129"/>
      <c r="DZ9" s="130"/>
      <c r="EA9" s="606">
        <f>EA11+EA17+EA30+EA39+EA23</f>
        <v>0.53383443959999999</v>
      </c>
      <c r="EB9" s="606">
        <f t="shared" si="28"/>
        <v>0.53383443959999999</v>
      </c>
      <c r="EC9" s="606">
        <f>EC11+EC17+EC30+EC39+EC23</f>
        <v>0.53383443959999999</v>
      </c>
      <c r="ED9" s="606">
        <f>ED11+ED17+ED30+ED39+ED23</f>
        <v>0</v>
      </c>
      <c r="EE9" s="122"/>
      <c r="EF9" s="122"/>
      <c r="EG9" s="122"/>
      <c r="EH9" s="122"/>
      <c r="EI9" s="122"/>
      <c r="EJ9" s="606">
        <f>EJ11+EJ17+EJ30+EJ39+EJ23</f>
        <v>0</v>
      </c>
      <c r="EK9" s="122"/>
      <c r="EL9" s="122"/>
      <c r="EM9" s="122"/>
      <c r="EN9" s="122"/>
      <c r="EO9" s="122"/>
      <c r="EP9" s="638"/>
      <c r="EQ9" s="638"/>
      <c r="ER9" s="638"/>
      <c r="ES9" s="122"/>
      <c r="ET9" s="122"/>
      <c r="EU9" s="122"/>
      <c r="EV9" s="122"/>
      <c r="EW9" s="122"/>
      <c r="EX9" s="122"/>
      <c r="EY9" s="122"/>
      <c r="EZ9" s="122"/>
      <c r="FA9" s="122"/>
      <c r="FB9" s="122"/>
      <c r="FC9" s="122"/>
      <c r="FD9" s="122"/>
      <c r="FE9" s="122"/>
      <c r="FF9" s="122"/>
      <c r="FG9" s="122"/>
    </row>
    <row r="10" spans="1:163" ht="3" hidden="1" customHeight="1" outlineLevel="1">
      <c r="A10" s="48"/>
      <c r="B10" s="49"/>
      <c r="C10" s="49"/>
      <c r="D10" s="62"/>
      <c r="E10" s="62"/>
      <c r="F10" s="322"/>
      <c r="G10" s="630"/>
      <c r="H10" s="283"/>
      <c r="I10" s="283"/>
      <c r="J10" s="283"/>
      <c r="K10" s="283"/>
      <c r="L10" s="283"/>
      <c r="M10" s="283"/>
      <c r="N10" s="283"/>
      <c r="O10" s="283"/>
      <c r="P10" s="283"/>
      <c r="Q10" s="283"/>
      <c r="R10" s="283"/>
      <c r="S10" s="283"/>
      <c r="T10" s="62"/>
      <c r="U10" s="326"/>
      <c r="V10" s="121"/>
      <c r="W10" s="322"/>
      <c r="X10" s="630">
        <f t="shared" si="19"/>
        <v>0</v>
      </c>
      <c r="Y10" s="283"/>
      <c r="Z10" s="283"/>
      <c r="AA10" s="283"/>
      <c r="AB10" s="283"/>
      <c r="AC10" s="283"/>
      <c r="AD10" s="283"/>
      <c r="AE10" s="283"/>
      <c r="AF10" s="283"/>
      <c r="AG10" s="283"/>
      <c r="AH10" s="283"/>
      <c r="AI10" s="283"/>
      <c r="AJ10" s="283"/>
      <c r="AK10" s="283"/>
      <c r="AL10" s="327"/>
      <c r="AM10" s="327"/>
      <c r="AN10" s="327"/>
      <c r="AO10" s="327"/>
      <c r="AP10" s="328"/>
      <c r="AQ10" s="328"/>
      <c r="AR10" s="328"/>
      <c r="AS10" s="328"/>
      <c r="AT10" s="328"/>
      <c r="AU10" s="328"/>
      <c r="AV10" s="328"/>
      <c r="AW10" s="328"/>
      <c r="AX10" s="328"/>
      <c r="AY10" s="328"/>
      <c r="AZ10" s="328"/>
      <c r="BA10" s="328"/>
      <c r="BB10" s="328"/>
      <c r="BC10" s="328"/>
      <c r="BD10" s="328"/>
      <c r="BE10" s="329"/>
      <c r="BF10" s="330"/>
      <c r="BG10" s="331"/>
      <c r="BH10" s="606">
        <f t="shared" si="22"/>
        <v>0</v>
      </c>
      <c r="BI10" s="283"/>
      <c r="BJ10" s="283"/>
      <c r="BK10" s="283"/>
      <c r="BL10" s="283"/>
      <c r="BM10" s="283"/>
      <c r="BN10" s="283"/>
      <c r="BO10" s="283"/>
      <c r="BP10" s="283"/>
      <c r="BQ10" s="283"/>
      <c r="BR10" s="283"/>
      <c r="BS10" s="283"/>
      <c r="BT10" s="283"/>
      <c r="BU10" s="283"/>
      <c r="BV10" s="523"/>
      <c r="BW10" s="523"/>
      <c r="BX10" s="523"/>
      <c r="BY10" s="327"/>
      <c r="BZ10" s="532"/>
      <c r="CA10" s="532"/>
      <c r="CB10" s="532"/>
      <c r="CC10" s="533"/>
      <c r="CD10" s="533"/>
      <c r="CE10" s="533"/>
      <c r="CF10" s="533"/>
      <c r="CG10" s="533"/>
      <c r="CH10" s="532"/>
      <c r="CI10" s="533"/>
      <c r="CJ10" s="533"/>
      <c r="CK10" s="533"/>
      <c r="CL10" s="533"/>
      <c r="CM10" s="330"/>
      <c r="CN10" s="330"/>
      <c r="CO10" s="329"/>
      <c r="CP10" s="330"/>
      <c r="CQ10" s="331"/>
      <c r="CR10" s="606">
        <f t="shared" si="25"/>
        <v>0</v>
      </c>
      <c r="CS10" s="283"/>
      <c r="CT10" s="283"/>
      <c r="CU10" s="283"/>
      <c r="CV10" s="283"/>
      <c r="CW10" s="283"/>
      <c r="CX10" s="283"/>
      <c r="CY10" s="283"/>
      <c r="CZ10" s="283"/>
      <c r="DA10" s="283"/>
      <c r="DB10" s="283"/>
      <c r="DC10" s="283"/>
      <c r="DD10" s="283"/>
      <c r="DE10" s="283"/>
      <c r="DF10" s="604"/>
      <c r="DG10" s="604"/>
      <c r="DH10" s="604"/>
      <c r="DI10" s="327"/>
      <c r="DJ10" s="328"/>
      <c r="DK10" s="328"/>
      <c r="DL10" s="328"/>
      <c r="DM10" s="283"/>
      <c r="DN10" s="283"/>
      <c r="DO10" s="283"/>
      <c r="DP10" s="283"/>
      <c r="DQ10" s="283"/>
      <c r="DR10" s="328"/>
      <c r="DS10" s="283"/>
      <c r="DT10" s="283"/>
      <c r="DU10" s="283"/>
      <c r="DV10" s="283"/>
      <c r="DW10" s="330"/>
      <c r="DX10" s="330"/>
      <c r="DY10" s="326"/>
      <c r="DZ10" s="330"/>
      <c r="EA10" s="331"/>
      <c r="EB10" s="606">
        <f t="shared" si="28"/>
        <v>0</v>
      </c>
      <c r="EC10" s="70"/>
      <c r="ED10" s="70"/>
      <c r="EE10" s="70"/>
      <c r="EF10" s="70"/>
      <c r="EG10" s="70"/>
      <c r="EH10" s="70"/>
      <c r="EI10" s="70"/>
      <c r="EJ10" s="70"/>
      <c r="EK10" s="70"/>
      <c r="EL10" s="70"/>
      <c r="EM10" s="70"/>
      <c r="EN10" s="70"/>
      <c r="EO10" s="70"/>
      <c r="EP10" s="639"/>
      <c r="EQ10" s="639"/>
      <c r="ER10" s="639"/>
      <c r="ES10" s="64"/>
      <c r="ET10" s="71"/>
      <c r="EU10" s="71"/>
      <c r="EV10" s="71"/>
      <c r="EW10" s="70"/>
      <c r="EX10" s="70"/>
      <c r="EY10" s="70"/>
      <c r="EZ10" s="70"/>
      <c r="FA10" s="70"/>
      <c r="FB10" s="71"/>
      <c r="FC10" s="70"/>
      <c r="FD10" s="70"/>
      <c r="FE10" s="70"/>
      <c r="FF10" s="70"/>
      <c r="FG10" s="62"/>
    </row>
    <row r="11" spans="1:163" ht="14.25" hidden="1" outlineLevel="1">
      <c r="A11" s="48"/>
      <c r="B11" s="73"/>
      <c r="C11" s="73">
        <v>1</v>
      </c>
      <c r="D11" s="137" t="s">
        <v>21</v>
      </c>
      <c r="E11" s="74"/>
      <c r="F11" s="614">
        <f>W11+BG11+CQ11+EA11</f>
        <v>5.7594310000000002</v>
      </c>
      <c r="G11" s="614">
        <f>X11+BH11+CR11+EB11</f>
        <v>5.7594310000000002</v>
      </c>
      <c r="H11" s="612">
        <f>F11-G11</f>
        <v>0</v>
      </c>
      <c r="I11" s="614">
        <f t="shared" ref="I11:M11" si="30">Z11+BJ11+CT11+ED11</f>
        <v>0</v>
      </c>
      <c r="J11" s="614">
        <f t="shared" si="30"/>
        <v>0</v>
      </c>
      <c r="K11" s="614">
        <f t="shared" si="30"/>
        <v>0</v>
      </c>
      <c r="L11" s="614">
        <f t="shared" si="30"/>
        <v>0</v>
      </c>
      <c r="M11" s="614">
        <f t="shared" si="30"/>
        <v>0</v>
      </c>
      <c r="N11" s="281"/>
      <c r="O11" s="614">
        <f t="shared" ref="O11:S11" si="31">AF11+BP11+CZ11+EJ11</f>
        <v>0</v>
      </c>
      <c r="P11" s="614">
        <f t="shared" si="31"/>
        <v>0</v>
      </c>
      <c r="Q11" s="614">
        <f t="shared" si="31"/>
        <v>0</v>
      </c>
      <c r="R11" s="614">
        <f t="shared" si="31"/>
        <v>0</v>
      </c>
      <c r="S11" s="614">
        <f t="shared" si="31"/>
        <v>0</v>
      </c>
      <c r="T11" s="74"/>
      <c r="U11" s="332">
        <v>0.1</v>
      </c>
      <c r="V11" s="332"/>
      <c r="W11" s="614">
        <f>U11*(5%*'BOQ COST'!$E$4)*1</f>
        <v>5.7594310000000002</v>
      </c>
      <c r="X11" s="614">
        <f t="shared" si="19"/>
        <v>5.7594310000000002</v>
      </c>
      <c r="Y11" s="612">
        <f>W11</f>
        <v>5.7594310000000002</v>
      </c>
      <c r="Z11" s="612">
        <f>SUM(Z12:Z15)</f>
        <v>0</v>
      </c>
      <c r="AA11" s="281"/>
      <c r="AB11" s="281"/>
      <c r="AC11" s="281"/>
      <c r="AD11" s="281"/>
      <c r="AE11" s="281"/>
      <c r="AF11" s="612">
        <f>SUM(AF12:AF15)</f>
        <v>0</v>
      </c>
      <c r="AG11" s="281"/>
      <c r="AH11" s="281"/>
      <c r="AI11" s="281"/>
      <c r="AJ11" s="281"/>
      <c r="AK11" s="281"/>
      <c r="AL11" s="333"/>
      <c r="AM11" s="333"/>
      <c r="AN11" s="333"/>
      <c r="AO11" s="334"/>
      <c r="AP11" s="335"/>
      <c r="AQ11" s="336"/>
      <c r="AR11" s="612">
        <f t="shared" ref="AR11:AR69" si="32">SUM(AS11:AV11)</f>
        <v>0</v>
      </c>
      <c r="AS11" s="336"/>
      <c r="AT11" s="336"/>
      <c r="AU11" s="336"/>
      <c r="AV11" s="336"/>
      <c r="AW11" s="336"/>
      <c r="AX11" s="612">
        <f t="shared" ref="AX11:AX47" si="33">SUM(AY11:BB11)</f>
        <v>0</v>
      </c>
      <c r="AY11" s="336"/>
      <c r="AZ11" s="336"/>
      <c r="BA11" s="336"/>
      <c r="BB11" s="336"/>
      <c r="BC11" s="336"/>
      <c r="BD11" s="336"/>
      <c r="BE11" s="332">
        <v>0</v>
      </c>
      <c r="BF11" s="332"/>
      <c r="BG11" s="612">
        <f>BE11*(3%*'BOQ COST'!$F$4)*1</f>
        <v>0</v>
      </c>
      <c r="BH11" s="614">
        <f t="shared" si="22"/>
        <v>0</v>
      </c>
      <c r="BI11" s="612">
        <f>SUM(BI12:BI15)</f>
        <v>0</v>
      </c>
      <c r="BJ11" s="612">
        <f>SUM(BJ12:BJ15)</f>
        <v>0</v>
      </c>
      <c r="BK11" s="281"/>
      <c r="BL11" s="281"/>
      <c r="BM11" s="281"/>
      <c r="BN11" s="281"/>
      <c r="BO11" s="281"/>
      <c r="BP11" s="612">
        <f>SUM(BP12:BP15)</f>
        <v>0</v>
      </c>
      <c r="BQ11" s="281"/>
      <c r="BR11" s="281"/>
      <c r="BS11" s="281"/>
      <c r="BT11" s="281"/>
      <c r="BU11" s="281"/>
      <c r="BV11" s="524"/>
      <c r="BW11" s="524"/>
      <c r="BX11" s="524"/>
      <c r="BY11" s="334"/>
      <c r="BZ11" s="534"/>
      <c r="CA11" s="535"/>
      <c r="CB11" s="535"/>
      <c r="CC11" s="535"/>
      <c r="CD11" s="535"/>
      <c r="CE11" s="535"/>
      <c r="CF11" s="535"/>
      <c r="CG11" s="535"/>
      <c r="CH11" s="535"/>
      <c r="CI11" s="535"/>
      <c r="CJ11" s="535"/>
      <c r="CK11" s="535"/>
      <c r="CL11" s="535"/>
      <c r="CM11" s="332"/>
      <c r="CN11" s="332"/>
      <c r="CO11" s="332">
        <v>0</v>
      </c>
      <c r="CP11" s="332"/>
      <c r="CQ11" s="337">
        <v>0</v>
      </c>
      <c r="CR11" s="614">
        <f t="shared" si="25"/>
        <v>0</v>
      </c>
      <c r="CS11" s="612">
        <f>SUM(CS12:CS15)</f>
        <v>0</v>
      </c>
      <c r="CT11" s="612">
        <f>SUM(CT12:CT15)</f>
        <v>0</v>
      </c>
      <c r="CU11" s="281"/>
      <c r="CV11" s="281"/>
      <c r="CW11" s="281"/>
      <c r="CX11" s="281"/>
      <c r="CY11" s="281"/>
      <c r="CZ11" s="612">
        <f>SUM(CZ12:CZ15)</f>
        <v>0</v>
      </c>
      <c r="DA11" s="281"/>
      <c r="DB11" s="281"/>
      <c r="DC11" s="281"/>
      <c r="DD11" s="281"/>
      <c r="DE11" s="281"/>
      <c r="DF11" s="605"/>
      <c r="DG11" s="605"/>
      <c r="DH11" s="605"/>
      <c r="DI11" s="334"/>
      <c r="DJ11" s="335"/>
      <c r="DK11" s="336"/>
      <c r="DL11" s="336"/>
      <c r="DM11" s="281"/>
      <c r="DN11" s="281"/>
      <c r="DO11" s="281"/>
      <c r="DP11" s="281"/>
      <c r="DQ11" s="281"/>
      <c r="DR11" s="336"/>
      <c r="DS11" s="281"/>
      <c r="DT11" s="281"/>
      <c r="DU11" s="281"/>
      <c r="DV11" s="281"/>
      <c r="DW11" s="332"/>
      <c r="DX11" s="332"/>
      <c r="DY11" s="332">
        <v>0</v>
      </c>
      <c r="DZ11" s="332"/>
      <c r="EA11" s="337">
        <v>0</v>
      </c>
      <c r="EB11" s="614">
        <f t="shared" si="28"/>
        <v>0</v>
      </c>
      <c r="EC11" s="79">
        <v>0</v>
      </c>
      <c r="ED11" s="79">
        <v>0</v>
      </c>
      <c r="EE11" s="75"/>
      <c r="EF11" s="75"/>
      <c r="EG11" s="75"/>
      <c r="EH11" s="75"/>
      <c r="EI11" s="75"/>
      <c r="EJ11" s="79">
        <v>0</v>
      </c>
      <c r="EK11" s="75"/>
      <c r="EL11" s="75"/>
      <c r="EM11" s="75"/>
      <c r="EN11" s="75"/>
      <c r="EO11" s="75"/>
      <c r="EP11" s="640"/>
      <c r="EQ11" s="640"/>
      <c r="ER11" s="640"/>
      <c r="ES11" s="76"/>
      <c r="ET11" s="78"/>
      <c r="EU11" s="78"/>
      <c r="EV11" s="78"/>
      <c r="EW11" s="75"/>
      <c r="EX11" s="75"/>
      <c r="EY11" s="75"/>
      <c r="EZ11" s="75"/>
      <c r="FA11" s="75"/>
      <c r="FB11" s="78"/>
      <c r="FC11" s="75"/>
      <c r="FD11" s="75"/>
      <c r="FE11" s="75"/>
      <c r="FF11" s="75"/>
      <c r="FG11" s="48"/>
    </row>
    <row r="12" spans="1:163" ht="13.35" hidden="1" customHeight="1" outlineLevel="2">
      <c r="A12" s="48"/>
      <c r="B12" s="80">
        <v>1</v>
      </c>
      <c r="C12" s="80">
        <v>1</v>
      </c>
      <c r="D12" s="138" t="s">
        <v>22</v>
      </c>
      <c r="E12" s="48"/>
      <c r="F12" s="338"/>
      <c r="G12" s="619"/>
      <c r="H12" s="339"/>
      <c r="I12" s="339"/>
      <c r="J12" s="339"/>
      <c r="K12" s="339"/>
      <c r="L12" s="339"/>
      <c r="M12" s="339"/>
      <c r="N12" s="339"/>
      <c r="O12" s="339"/>
      <c r="P12" s="339"/>
      <c r="Q12" s="339"/>
      <c r="R12" s="339"/>
      <c r="S12" s="339"/>
      <c r="T12" s="48"/>
      <c r="U12" s="123"/>
      <c r="V12" s="131"/>
      <c r="W12" s="338"/>
      <c r="X12" s="619">
        <f t="shared" si="19"/>
        <v>0</v>
      </c>
      <c r="Y12" s="339"/>
      <c r="Z12" s="339"/>
      <c r="AA12" s="339"/>
      <c r="AB12" s="339"/>
      <c r="AC12" s="339"/>
      <c r="AD12" s="339"/>
      <c r="AE12" s="339"/>
      <c r="AF12" s="339"/>
      <c r="AG12" s="339"/>
      <c r="AH12" s="339"/>
      <c r="AI12" s="339"/>
      <c r="AJ12" s="339"/>
      <c r="AK12" s="339"/>
      <c r="AL12" s="340"/>
      <c r="AM12" s="340"/>
      <c r="AN12" s="340"/>
      <c r="AO12" s="341"/>
      <c r="AP12" s="328"/>
      <c r="AQ12" s="328"/>
      <c r="AR12" s="616">
        <f t="shared" si="32"/>
        <v>0</v>
      </c>
      <c r="AS12" s="328"/>
      <c r="AT12" s="328"/>
      <c r="AU12" s="328"/>
      <c r="AV12" s="328"/>
      <c r="AW12" s="328"/>
      <c r="AX12" s="616">
        <f t="shared" si="33"/>
        <v>0</v>
      </c>
      <c r="AY12" s="328"/>
      <c r="AZ12" s="328"/>
      <c r="BA12" s="328"/>
      <c r="BB12" s="328"/>
      <c r="BC12" s="328"/>
      <c r="BD12" s="328"/>
      <c r="BE12" s="342"/>
      <c r="BF12" s="343"/>
      <c r="BG12" s="344"/>
      <c r="BH12" s="618">
        <f t="shared" si="22"/>
        <v>0</v>
      </c>
      <c r="BI12" s="339"/>
      <c r="BJ12" s="339"/>
      <c r="BK12" s="339"/>
      <c r="BL12" s="339"/>
      <c r="BM12" s="339"/>
      <c r="BN12" s="339"/>
      <c r="BO12" s="339"/>
      <c r="BP12" s="339"/>
      <c r="BQ12" s="339"/>
      <c r="BR12" s="339"/>
      <c r="BS12" s="339"/>
      <c r="BT12" s="339"/>
      <c r="BU12" s="339"/>
      <c r="BV12" s="525"/>
      <c r="BW12" s="525"/>
      <c r="BX12" s="525"/>
      <c r="BY12" s="341"/>
      <c r="BZ12" s="532"/>
      <c r="CA12" s="532"/>
      <c r="CB12" s="532"/>
      <c r="CC12" s="536"/>
      <c r="CD12" s="536"/>
      <c r="CE12" s="536"/>
      <c r="CF12" s="536"/>
      <c r="CG12" s="536"/>
      <c r="CH12" s="532"/>
      <c r="CI12" s="536"/>
      <c r="CJ12" s="536"/>
      <c r="CK12" s="536"/>
      <c r="CL12" s="536"/>
      <c r="CM12" s="343"/>
      <c r="CN12" s="343"/>
      <c r="CO12" s="342"/>
      <c r="CP12" s="343"/>
      <c r="CQ12" s="344"/>
      <c r="CR12" s="618">
        <f t="shared" si="25"/>
        <v>0</v>
      </c>
      <c r="CS12" s="339"/>
      <c r="CT12" s="339"/>
      <c r="CU12" s="339"/>
      <c r="CV12" s="339"/>
      <c r="CW12" s="339"/>
      <c r="CX12" s="339"/>
      <c r="CY12" s="339"/>
      <c r="CZ12" s="339"/>
      <c r="DA12" s="339"/>
      <c r="DB12" s="339"/>
      <c r="DC12" s="339"/>
      <c r="DD12" s="339"/>
      <c r="DE12" s="339"/>
      <c r="DF12" s="603"/>
      <c r="DG12" s="603"/>
      <c r="DH12" s="603"/>
      <c r="DI12" s="341"/>
      <c r="DJ12" s="328"/>
      <c r="DK12" s="328"/>
      <c r="DL12" s="328"/>
      <c r="DM12" s="339"/>
      <c r="DN12" s="339"/>
      <c r="DO12" s="339"/>
      <c r="DP12" s="339"/>
      <c r="DQ12" s="339"/>
      <c r="DR12" s="328"/>
      <c r="DS12" s="339"/>
      <c r="DT12" s="339"/>
      <c r="DU12" s="339"/>
      <c r="DV12" s="339"/>
      <c r="DW12" s="343"/>
      <c r="DX12" s="343"/>
      <c r="DY12" s="342"/>
      <c r="DZ12" s="343"/>
      <c r="EA12" s="344"/>
      <c r="EB12" s="618">
        <f t="shared" si="28"/>
        <v>0</v>
      </c>
      <c r="EC12" s="615">
        <f>IFERROR(IF(EP12=100%,EA12,0),0)</f>
        <v>0</v>
      </c>
      <c r="ED12" s="615">
        <f>IFERROR(IF(AND((EP12+EQ12)=100%,EP12&lt;1),EA12,0),0)</f>
        <v>0</v>
      </c>
      <c r="EE12" s="81"/>
      <c r="EF12" s="81"/>
      <c r="EG12" s="81"/>
      <c r="EH12" s="81"/>
      <c r="EI12" s="81"/>
      <c r="EJ12" s="615">
        <f>IFERROR(IF(AND((EU12+EV12)=100%,EU12&lt;1),EG12,0),0)</f>
        <v>0</v>
      </c>
      <c r="EK12" s="81"/>
      <c r="EL12" s="81"/>
      <c r="EM12" s="81"/>
      <c r="EN12" s="81"/>
      <c r="EO12" s="81"/>
      <c r="EP12" s="103"/>
      <c r="EQ12" s="103"/>
      <c r="ER12" s="103"/>
      <c r="ES12" s="82"/>
      <c r="ET12" s="71"/>
      <c r="EU12" s="71"/>
      <c r="EV12" s="71"/>
      <c r="EW12" s="81"/>
      <c r="EX12" s="81"/>
      <c r="EY12" s="81"/>
      <c r="EZ12" s="81"/>
      <c r="FA12" s="81"/>
      <c r="FB12" s="71"/>
      <c r="FC12" s="81"/>
      <c r="FD12" s="81"/>
      <c r="FE12" s="81"/>
      <c r="FF12" s="81"/>
      <c r="FG12" s="48"/>
    </row>
    <row r="13" spans="1:163" ht="15" hidden="1" customHeight="1" outlineLevel="2">
      <c r="A13" s="48"/>
      <c r="B13" s="80">
        <v>2</v>
      </c>
      <c r="C13" s="80">
        <v>2</v>
      </c>
      <c r="D13" s="139" t="s">
        <v>23</v>
      </c>
      <c r="E13" s="48"/>
      <c r="F13" s="338"/>
      <c r="G13" s="619"/>
      <c r="H13" s="339"/>
      <c r="I13" s="339"/>
      <c r="J13" s="339"/>
      <c r="K13" s="339"/>
      <c r="L13" s="339"/>
      <c r="M13" s="339"/>
      <c r="N13" s="339"/>
      <c r="O13" s="339"/>
      <c r="P13" s="339"/>
      <c r="Q13" s="339"/>
      <c r="R13" s="339"/>
      <c r="S13" s="339"/>
      <c r="T13" s="48"/>
      <c r="U13" s="123"/>
      <c r="V13" s="131"/>
      <c r="W13" s="338"/>
      <c r="X13" s="619">
        <f t="shared" si="19"/>
        <v>0</v>
      </c>
      <c r="Y13" s="339"/>
      <c r="Z13" s="339"/>
      <c r="AA13" s="339"/>
      <c r="AB13" s="339"/>
      <c r="AC13" s="339"/>
      <c r="AD13" s="339"/>
      <c r="AE13" s="339"/>
      <c r="AF13" s="339"/>
      <c r="AG13" s="339"/>
      <c r="AH13" s="339"/>
      <c r="AI13" s="339"/>
      <c r="AJ13" s="339"/>
      <c r="AK13" s="339"/>
      <c r="AL13" s="340"/>
      <c r="AM13" s="340"/>
      <c r="AN13" s="340"/>
      <c r="AO13" s="341"/>
      <c r="AP13" s="328"/>
      <c r="AQ13" s="328"/>
      <c r="AR13" s="616">
        <f t="shared" si="32"/>
        <v>0</v>
      </c>
      <c r="AS13" s="328"/>
      <c r="AT13" s="328"/>
      <c r="AU13" s="328"/>
      <c r="AV13" s="328"/>
      <c r="AW13" s="328"/>
      <c r="AX13" s="616">
        <f t="shared" si="33"/>
        <v>0</v>
      </c>
      <c r="AY13" s="328"/>
      <c r="AZ13" s="328"/>
      <c r="BA13" s="328"/>
      <c r="BB13" s="328"/>
      <c r="BC13" s="328"/>
      <c r="BD13" s="328"/>
      <c r="BE13" s="342"/>
      <c r="BF13" s="343"/>
      <c r="BG13" s="344"/>
      <c r="BH13" s="618">
        <f t="shared" si="22"/>
        <v>0</v>
      </c>
      <c r="BI13" s="339"/>
      <c r="BJ13" s="339"/>
      <c r="BK13" s="339"/>
      <c r="BL13" s="339"/>
      <c r="BM13" s="339"/>
      <c r="BN13" s="339"/>
      <c r="BO13" s="339"/>
      <c r="BP13" s="339"/>
      <c r="BQ13" s="339"/>
      <c r="BR13" s="339"/>
      <c r="BS13" s="339"/>
      <c r="BT13" s="339"/>
      <c r="BU13" s="339"/>
      <c r="BV13" s="525"/>
      <c r="BW13" s="525"/>
      <c r="BX13" s="525"/>
      <c r="BY13" s="341"/>
      <c r="BZ13" s="532"/>
      <c r="CA13" s="532"/>
      <c r="CB13" s="532"/>
      <c r="CC13" s="536"/>
      <c r="CD13" s="536"/>
      <c r="CE13" s="536"/>
      <c r="CF13" s="536"/>
      <c r="CG13" s="536"/>
      <c r="CH13" s="532"/>
      <c r="CI13" s="536"/>
      <c r="CJ13" s="536"/>
      <c r="CK13" s="536"/>
      <c r="CL13" s="536"/>
      <c r="CM13" s="343"/>
      <c r="CN13" s="343"/>
      <c r="CO13" s="342"/>
      <c r="CP13" s="343"/>
      <c r="CQ13" s="344"/>
      <c r="CR13" s="618">
        <f t="shared" si="25"/>
        <v>0</v>
      </c>
      <c r="CS13" s="339"/>
      <c r="CT13" s="339"/>
      <c r="CU13" s="339"/>
      <c r="CV13" s="339"/>
      <c r="CW13" s="339"/>
      <c r="CX13" s="339"/>
      <c r="CY13" s="339"/>
      <c r="CZ13" s="339"/>
      <c r="DA13" s="339"/>
      <c r="DB13" s="339"/>
      <c r="DC13" s="339"/>
      <c r="DD13" s="339"/>
      <c r="DE13" s="339"/>
      <c r="DF13" s="603"/>
      <c r="DG13" s="603"/>
      <c r="DH13" s="603"/>
      <c r="DI13" s="341"/>
      <c r="DJ13" s="328"/>
      <c r="DK13" s="328"/>
      <c r="DL13" s="328"/>
      <c r="DM13" s="339"/>
      <c r="DN13" s="339"/>
      <c r="DO13" s="339"/>
      <c r="DP13" s="339"/>
      <c r="DQ13" s="339"/>
      <c r="DR13" s="328"/>
      <c r="DS13" s="339"/>
      <c r="DT13" s="339"/>
      <c r="DU13" s="339"/>
      <c r="DV13" s="339"/>
      <c r="DW13" s="343"/>
      <c r="DX13" s="343"/>
      <c r="DY13" s="342"/>
      <c r="DZ13" s="343"/>
      <c r="EA13" s="344"/>
      <c r="EB13" s="618">
        <f t="shared" si="28"/>
        <v>0</v>
      </c>
      <c r="EC13" s="615">
        <f>IFERROR(IF(EP13=100%,EA13,0),0)</f>
        <v>0</v>
      </c>
      <c r="ED13" s="615">
        <f>IFERROR(IF(AND((EP13+EQ13)=100%,EP13&lt;1),EA13,0),0)</f>
        <v>0</v>
      </c>
      <c r="EE13" s="81"/>
      <c r="EF13" s="81"/>
      <c r="EG13" s="81"/>
      <c r="EH13" s="81"/>
      <c r="EI13" s="81"/>
      <c r="EJ13" s="615">
        <f>IFERROR(IF(AND((EU13+EV13)=100%,EU13&lt;1),EG13,0),0)</f>
        <v>0</v>
      </c>
      <c r="EK13" s="81"/>
      <c r="EL13" s="81"/>
      <c r="EM13" s="81"/>
      <c r="EN13" s="81"/>
      <c r="EO13" s="81"/>
      <c r="EP13" s="103"/>
      <c r="EQ13" s="103"/>
      <c r="ER13" s="103"/>
      <c r="ES13" s="82"/>
      <c r="ET13" s="71"/>
      <c r="EU13" s="71"/>
      <c r="EV13" s="71"/>
      <c r="EW13" s="81"/>
      <c r="EX13" s="81"/>
      <c r="EY13" s="81"/>
      <c r="EZ13" s="81"/>
      <c r="FA13" s="81"/>
      <c r="FB13" s="71"/>
      <c r="FC13" s="81"/>
      <c r="FD13" s="81"/>
      <c r="FE13" s="81"/>
      <c r="FF13" s="81"/>
      <c r="FG13" s="48"/>
    </row>
    <row r="14" spans="1:163" ht="13.35" hidden="1" customHeight="1" outlineLevel="2">
      <c r="A14" s="48"/>
      <c r="B14" s="80">
        <v>3</v>
      </c>
      <c r="C14" s="80">
        <v>3</v>
      </c>
      <c r="D14" s="138" t="s">
        <v>24</v>
      </c>
      <c r="E14" s="48"/>
      <c r="F14" s="338"/>
      <c r="G14" s="619"/>
      <c r="H14" s="339"/>
      <c r="I14" s="339"/>
      <c r="J14" s="339"/>
      <c r="K14" s="339"/>
      <c r="L14" s="339"/>
      <c r="M14" s="339"/>
      <c r="N14" s="339"/>
      <c r="O14" s="339"/>
      <c r="P14" s="339"/>
      <c r="Q14" s="339"/>
      <c r="R14" s="339"/>
      <c r="S14" s="339"/>
      <c r="T14" s="48"/>
      <c r="U14" s="123"/>
      <c r="V14" s="131"/>
      <c r="W14" s="338"/>
      <c r="X14" s="619">
        <f t="shared" si="19"/>
        <v>0</v>
      </c>
      <c r="Y14" s="339"/>
      <c r="Z14" s="339"/>
      <c r="AA14" s="339"/>
      <c r="AB14" s="339"/>
      <c r="AC14" s="339"/>
      <c r="AD14" s="339"/>
      <c r="AE14" s="339"/>
      <c r="AF14" s="339"/>
      <c r="AG14" s="339"/>
      <c r="AH14" s="339"/>
      <c r="AI14" s="339"/>
      <c r="AJ14" s="339"/>
      <c r="AK14" s="339"/>
      <c r="AL14" s="340"/>
      <c r="AM14" s="340"/>
      <c r="AN14" s="340"/>
      <c r="AO14" s="341"/>
      <c r="AP14" s="328"/>
      <c r="AQ14" s="328"/>
      <c r="AR14" s="616">
        <f t="shared" si="32"/>
        <v>0</v>
      </c>
      <c r="AS14" s="328"/>
      <c r="AT14" s="328"/>
      <c r="AU14" s="328"/>
      <c r="AV14" s="328"/>
      <c r="AW14" s="328"/>
      <c r="AX14" s="616">
        <f t="shared" si="33"/>
        <v>0</v>
      </c>
      <c r="AY14" s="328"/>
      <c r="AZ14" s="328"/>
      <c r="BA14" s="328"/>
      <c r="BB14" s="328"/>
      <c r="BC14" s="328"/>
      <c r="BD14" s="328"/>
      <c r="BE14" s="342"/>
      <c r="BF14" s="343"/>
      <c r="BG14" s="344"/>
      <c r="BH14" s="618">
        <f t="shared" si="22"/>
        <v>0</v>
      </c>
      <c r="BI14" s="339"/>
      <c r="BJ14" s="339"/>
      <c r="BK14" s="339"/>
      <c r="BL14" s="339"/>
      <c r="BM14" s="339"/>
      <c r="BN14" s="339"/>
      <c r="BO14" s="339"/>
      <c r="BP14" s="339"/>
      <c r="BQ14" s="339"/>
      <c r="BR14" s="339"/>
      <c r="BS14" s="339"/>
      <c r="BT14" s="339"/>
      <c r="BU14" s="339"/>
      <c r="BV14" s="525"/>
      <c r="BW14" s="525"/>
      <c r="BX14" s="525"/>
      <c r="BY14" s="341"/>
      <c r="BZ14" s="532"/>
      <c r="CA14" s="532"/>
      <c r="CB14" s="532"/>
      <c r="CC14" s="536"/>
      <c r="CD14" s="536"/>
      <c r="CE14" s="536"/>
      <c r="CF14" s="536"/>
      <c r="CG14" s="536"/>
      <c r="CH14" s="532"/>
      <c r="CI14" s="536"/>
      <c r="CJ14" s="536"/>
      <c r="CK14" s="536"/>
      <c r="CL14" s="536"/>
      <c r="CM14" s="343"/>
      <c r="CN14" s="343"/>
      <c r="CO14" s="342"/>
      <c r="CP14" s="343"/>
      <c r="CQ14" s="344"/>
      <c r="CR14" s="618">
        <f t="shared" si="25"/>
        <v>0</v>
      </c>
      <c r="CS14" s="339"/>
      <c r="CT14" s="339"/>
      <c r="CU14" s="339"/>
      <c r="CV14" s="339"/>
      <c r="CW14" s="339"/>
      <c r="CX14" s="339"/>
      <c r="CY14" s="339"/>
      <c r="CZ14" s="339"/>
      <c r="DA14" s="339"/>
      <c r="DB14" s="339"/>
      <c r="DC14" s="339"/>
      <c r="DD14" s="339"/>
      <c r="DE14" s="339"/>
      <c r="DF14" s="603"/>
      <c r="DG14" s="603"/>
      <c r="DH14" s="603"/>
      <c r="DI14" s="341"/>
      <c r="DJ14" s="328"/>
      <c r="DK14" s="328"/>
      <c r="DL14" s="328"/>
      <c r="DM14" s="339"/>
      <c r="DN14" s="339"/>
      <c r="DO14" s="339"/>
      <c r="DP14" s="339"/>
      <c r="DQ14" s="339"/>
      <c r="DR14" s="328"/>
      <c r="DS14" s="339"/>
      <c r="DT14" s="339"/>
      <c r="DU14" s="339"/>
      <c r="DV14" s="339"/>
      <c r="DW14" s="343"/>
      <c r="DX14" s="343"/>
      <c r="DY14" s="342"/>
      <c r="DZ14" s="343"/>
      <c r="EA14" s="344"/>
      <c r="EB14" s="618">
        <f t="shared" si="28"/>
        <v>0</v>
      </c>
      <c r="EC14" s="615">
        <f>IFERROR(IF(EP14=100%,EA14,0),0)</f>
        <v>0</v>
      </c>
      <c r="ED14" s="615">
        <f>IFERROR(IF(AND((EP14+EQ14)=100%,EP14&lt;1),EA14,0),0)</f>
        <v>0</v>
      </c>
      <c r="EE14" s="81"/>
      <c r="EF14" s="81"/>
      <c r="EG14" s="81"/>
      <c r="EH14" s="81"/>
      <c r="EI14" s="81"/>
      <c r="EJ14" s="615">
        <f>IFERROR(IF(AND((EU14+EV14)=100%,EU14&lt;1),EG14,0),0)</f>
        <v>0</v>
      </c>
      <c r="EK14" s="81"/>
      <c r="EL14" s="81"/>
      <c r="EM14" s="81"/>
      <c r="EN14" s="81"/>
      <c r="EO14" s="81"/>
      <c r="EP14" s="103"/>
      <c r="EQ14" s="103"/>
      <c r="ER14" s="103"/>
      <c r="ES14" s="82"/>
      <c r="ET14" s="71"/>
      <c r="EU14" s="71"/>
      <c r="EV14" s="71"/>
      <c r="EW14" s="81"/>
      <c r="EX14" s="81"/>
      <c r="EY14" s="81"/>
      <c r="EZ14" s="81"/>
      <c r="FA14" s="81"/>
      <c r="FB14" s="71"/>
      <c r="FC14" s="81"/>
      <c r="FD14" s="81"/>
      <c r="FE14" s="81"/>
      <c r="FF14" s="81"/>
      <c r="FG14" s="48"/>
    </row>
    <row r="15" spans="1:163" ht="13.35" hidden="1" customHeight="1" outlineLevel="2">
      <c r="A15" s="48"/>
      <c r="B15" s="80">
        <v>4</v>
      </c>
      <c r="C15" s="80">
        <v>4</v>
      </c>
      <c r="D15" s="138" t="s">
        <v>25</v>
      </c>
      <c r="E15" s="48"/>
      <c r="F15" s="338"/>
      <c r="G15" s="619"/>
      <c r="H15" s="339"/>
      <c r="I15" s="339"/>
      <c r="J15" s="339"/>
      <c r="K15" s="339"/>
      <c r="L15" s="339"/>
      <c r="M15" s="339"/>
      <c r="N15" s="339"/>
      <c r="O15" s="339"/>
      <c r="P15" s="339"/>
      <c r="Q15" s="339"/>
      <c r="R15" s="339"/>
      <c r="S15" s="339"/>
      <c r="T15" s="48"/>
      <c r="U15" s="123"/>
      <c r="V15" s="131"/>
      <c r="W15" s="338"/>
      <c r="X15" s="619">
        <f t="shared" si="19"/>
        <v>0</v>
      </c>
      <c r="Y15" s="339"/>
      <c r="Z15" s="339"/>
      <c r="AA15" s="339"/>
      <c r="AB15" s="339"/>
      <c r="AC15" s="339"/>
      <c r="AD15" s="339"/>
      <c r="AE15" s="339"/>
      <c r="AF15" s="339"/>
      <c r="AG15" s="339"/>
      <c r="AH15" s="339"/>
      <c r="AI15" s="339"/>
      <c r="AJ15" s="339"/>
      <c r="AK15" s="339"/>
      <c r="AL15" s="340"/>
      <c r="AM15" s="340"/>
      <c r="AN15" s="340"/>
      <c r="AO15" s="345"/>
      <c r="AP15" s="328"/>
      <c r="AQ15" s="328"/>
      <c r="AR15" s="616">
        <f t="shared" si="32"/>
        <v>0</v>
      </c>
      <c r="AS15" s="328"/>
      <c r="AT15" s="328"/>
      <c r="AU15" s="328"/>
      <c r="AV15" s="328"/>
      <c r="AW15" s="328"/>
      <c r="AX15" s="616">
        <f t="shared" si="33"/>
        <v>0</v>
      </c>
      <c r="AY15" s="328"/>
      <c r="AZ15" s="328"/>
      <c r="BA15" s="328"/>
      <c r="BB15" s="328"/>
      <c r="BC15" s="328"/>
      <c r="BD15" s="328"/>
      <c r="BE15" s="342"/>
      <c r="BF15" s="343"/>
      <c r="BG15" s="331"/>
      <c r="BH15" s="618">
        <f t="shared" si="22"/>
        <v>0</v>
      </c>
      <c r="BI15" s="339"/>
      <c r="BJ15" s="339"/>
      <c r="BK15" s="339"/>
      <c r="BL15" s="339"/>
      <c r="BM15" s="339"/>
      <c r="BN15" s="339"/>
      <c r="BO15" s="339"/>
      <c r="BP15" s="339"/>
      <c r="BQ15" s="339"/>
      <c r="BR15" s="339"/>
      <c r="BS15" s="339"/>
      <c r="BT15" s="339"/>
      <c r="BU15" s="339"/>
      <c r="BV15" s="525"/>
      <c r="BW15" s="525"/>
      <c r="BX15" s="525"/>
      <c r="BY15" s="345"/>
      <c r="BZ15" s="532"/>
      <c r="CA15" s="532"/>
      <c r="CB15" s="532"/>
      <c r="CC15" s="536"/>
      <c r="CD15" s="536"/>
      <c r="CE15" s="536"/>
      <c r="CF15" s="536"/>
      <c r="CG15" s="536"/>
      <c r="CH15" s="532"/>
      <c r="CI15" s="536"/>
      <c r="CJ15" s="536"/>
      <c r="CK15" s="536"/>
      <c r="CL15" s="536"/>
      <c r="CM15" s="343"/>
      <c r="CN15" s="343"/>
      <c r="CO15" s="342"/>
      <c r="CP15" s="343"/>
      <c r="CQ15" s="331"/>
      <c r="CR15" s="618">
        <f t="shared" si="25"/>
        <v>0</v>
      </c>
      <c r="CS15" s="339"/>
      <c r="CT15" s="339"/>
      <c r="CU15" s="339"/>
      <c r="CV15" s="339"/>
      <c r="CW15" s="339"/>
      <c r="CX15" s="339"/>
      <c r="CY15" s="339"/>
      <c r="CZ15" s="339"/>
      <c r="DA15" s="339"/>
      <c r="DB15" s="339"/>
      <c r="DC15" s="339"/>
      <c r="DD15" s="339"/>
      <c r="DE15" s="339"/>
      <c r="DF15" s="603"/>
      <c r="DG15" s="603"/>
      <c r="DH15" s="603"/>
      <c r="DI15" s="345"/>
      <c r="DJ15" s="328"/>
      <c r="DK15" s="328"/>
      <c r="DL15" s="328"/>
      <c r="DM15" s="339"/>
      <c r="DN15" s="339"/>
      <c r="DO15" s="339"/>
      <c r="DP15" s="339"/>
      <c r="DQ15" s="339"/>
      <c r="DR15" s="328"/>
      <c r="DS15" s="339"/>
      <c r="DT15" s="339"/>
      <c r="DU15" s="339"/>
      <c r="DV15" s="339"/>
      <c r="DW15" s="343"/>
      <c r="DX15" s="343"/>
      <c r="DY15" s="342"/>
      <c r="DZ15" s="343"/>
      <c r="EA15" s="331"/>
      <c r="EB15" s="618">
        <f t="shared" si="28"/>
        <v>0</v>
      </c>
      <c r="EC15" s="615">
        <f>IFERROR(IF(EP15=100%,EA15,0),0)</f>
        <v>0</v>
      </c>
      <c r="ED15" s="615">
        <f>IFERROR(IF(AND((EP15+EQ15)=100%,EP15&lt;1),EA15,0),0)</f>
        <v>0</v>
      </c>
      <c r="EE15" s="81"/>
      <c r="EF15" s="81"/>
      <c r="EG15" s="81"/>
      <c r="EH15" s="81"/>
      <c r="EI15" s="81"/>
      <c r="EJ15" s="615">
        <f>IFERROR(IF(AND((EU15+EV15)=100%,EU15&lt;1),EG15,0),0)</f>
        <v>0</v>
      </c>
      <c r="EK15" s="81"/>
      <c r="EL15" s="81"/>
      <c r="EM15" s="81"/>
      <c r="EN15" s="81"/>
      <c r="EO15" s="81"/>
      <c r="EP15" s="103"/>
      <c r="EQ15" s="103"/>
      <c r="ER15" s="103"/>
      <c r="ES15" s="55"/>
      <c r="ET15" s="71"/>
      <c r="EU15" s="71"/>
      <c r="EV15" s="71"/>
      <c r="EW15" s="81"/>
      <c r="EX15" s="81"/>
      <c r="EY15" s="81"/>
      <c r="EZ15" s="81"/>
      <c r="FA15" s="81"/>
      <c r="FB15" s="71"/>
      <c r="FC15" s="81"/>
      <c r="FD15" s="81"/>
      <c r="FE15" s="81"/>
      <c r="FF15" s="81"/>
      <c r="FG15" s="48"/>
    </row>
    <row r="16" spans="1:163" ht="3" hidden="1" customHeight="1" outlineLevel="1">
      <c r="A16" s="48"/>
      <c r="B16" s="49"/>
      <c r="C16" s="49"/>
      <c r="D16" s="48"/>
      <c r="E16" s="48"/>
      <c r="F16" s="322"/>
      <c r="G16" s="630"/>
      <c r="H16" s="283"/>
      <c r="I16" s="283"/>
      <c r="J16" s="283"/>
      <c r="K16" s="283"/>
      <c r="L16" s="283"/>
      <c r="M16" s="283"/>
      <c r="N16" s="283"/>
      <c r="O16" s="283"/>
      <c r="P16" s="283"/>
      <c r="Q16" s="283"/>
      <c r="R16" s="283"/>
      <c r="S16" s="283"/>
      <c r="T16" s="48"/>
      <c r="U16" s="123"/>
      <c r="V16" s="131"/>
      <c r="W16" s="322"/>
      <c r="X16" s="630">
        <f t="shared" si="19"/>
        <v>0</v>
      </c>
      <c r="Y16" s="283"/>
      <c r="Z16" s="283"/>
      <c r="AA16" s="283"/>
      <c r="AB16" s="283"/>
      <c r="AC16" s="283"/>
      <c r="AD16" s="283"/>
      <c r="AE16" s="283"/>
      <c r="AF16" s="283"/>
      <c r="AG16" s="283"/>
      <c r="AH16" s="283"/>
      <c r="AI16" s="283"/>
      <c r="AJ16" s="283"/>
      <c r="AK16" s="283"/>
      <c r="AL16" s="346"/>
      <c r="AM16" s="346"/>
      <c r="AN16" s="346"/>
      <c r="AO16" s="347"/>
      <c r="AP16" s="328"/>
      <c r="AQ16" s="328"/>
      <c r="AR16" s="616">
        <f t="shared" si="32"/>
        <v>0</v>
      </c>
      <c r="AS16" s="328"/>
      <c r="AT16" s="328"/>
      <c r="AU16" s="328"/>
      <c r="AV16" s="328"/>
      <c r="AW16" s="328"/>
      <c r="AX16" s="513"/>
      <c r="AY16" s="328"/>
      <c r="AZ16" s="328"/>
      <c r="BA16" s="328"/>
      <c r="BB16" s="328"/>
      <c r="BC16" s="328"/>
      <c r="BD16" s="328"/>
      <c r="BE16" s="342"/>
      <c r="BF16" s="343"/>
      <c r="BG16" s="331"/>
      <c r="BH16" s="515"/>
      <c r="BI16" s="283"/>
      <c r="BJ16" s="283"/>
      <c r="BK16" s="283"/>
      <c r="BL16" s="283"/>
      <c r="BM16" s="283"/>
      <c r="BN16" s="283"/>
      <c r="BO16" s="283"/>
      <c r="BP16" s="283"/>
      <c r="BQ16" s="283"/>
      <c r="BR16" s="283"/>
      <c r="BS16" s="283"/>
      <c r="BT16" s="283"/>
      <c r="BU16" s="283"/>
      <c r="BV16" s="525"/>
      <c r="BW16" s="525"/>
      <c r="BX16" s="525"/>
      <c r="BY16" s="347"/>
      <c r="BZ16" s="532"/>
      <c r="CA16" s="532"/>
      <c r="CB16" s="532"/>
      <c r="CC16" s="533"/>
      <c r="CD16" s="533"/>
      <c r="CE16" s="533"/>
      <c r="CF16" s="533"/>
      <c r="CG16" s="533"/>
      <c r="CH16" s="532"/>
      <c r="CI16" s="533"/>
      <c r="CJ16" s="533"/>
      <c r="CK16" s="533"/>
      <c r="CL16" s="533"/>
      <c r="CM16" s="343"/>
      <c r="CN16" s="343"/>
      <c r="CO16" s="342"/>
      <c r="CP16" s="343"/>
      <c r="CQ16" s="331"/>
      <c r="CR16" s="606">
        <f t="shared" si="25"/>
        <v>0</v>
      </c>
      <c r="CS16" s="283"/>
      <c r="CT16" s="283"/>
      <c r="CU16" s="283"/>
      <c r="CV16" s="283"/>
      <c r="CW16" s="283"/>
      <c r="CX16" s="283"/>
      <c r="CY16" s="283"/>
      <c r="CZ16" s="283"/>
      <c r="DA16" s="283"/>
      <c r="DB16" s="283"/>
      <c r="DC16" s="283"/>
      <c r="DD16" s="283"/>
      <c r="DE16" s="283"/>
      <c r="DF16" s="603"/>
      <c r="DG16" s="603"/>
      <c r="DH16" s="603"/>
      <c r="DI16" s="347"/>
      <c r="DJ16" s="328"/>
      <c r="DK16" s="328"/>
      <c r="DL16" s="328"/>
      <c r="DM16" s="283"/>
      <c r="DN16" s="283"/>
      <c r="DO16" s="283"/>
      <c r="DP16" s="283"/>
      <c r="DQ16" s="283"/>
      <c r="DR16" s="328"/>
      <c r="DS16" s="283"/>
      <c r="DT16" s="283"/>
      <c r="DU16" s="283"/>
      <c r="DV16" s="283"/>
      <c r="DW16" s="343"/>
      <c r="DX16" s="343"/>
      <c r="DY16" s="326"/>
      <c r="DZ16" s="343"/>
      <c r="EA16" s="331"/>
      <c r="EB16" s="606">
        <f t="shared" si="28"/>
        <v>0</v>
      </c>
      <c r="EC16" s="70"/>
      <c r="ED16" s="70"/>
      <c r="EE16" s="70"/>
      <c r="EF16" s="70"/>
      <c r="EG16" s="70"/>
      <c r="EH16" s="70"/>
      <c r="EI16" s="70"/>
      <c r="EJ16" s="70"/>
      <c r="EK16" s="70"/>
      <c r="EL16" s="70"/>
      <c r="EM16" s="70"/>
      <c r="EN16" s="70"/>
      <c r="EO16" s="70"/>
      <c r="EP16" s="103"/>
      <c r="EQ16" s="103"/>
      <c r="ER16" s="103"/>
      <c r="ES16" s="83"/>
      <c r="ET16" s="71"/>
      <c r="EU16" s="71"/>
      <c r="EV16" s="71"/>
      <c r="EW16" s="70"/>
      <c r="EX16" s="70"/>
      <c r="EY16" s="70"/>
      <c r="EZ16" s="70"/>
      <c r="FA16" s="70"/>
      <c r="FB16" s="71"/>
      <c r="FC16" s="70"/>
      <c r="FD16" s="70"/>
      <c r="FE16" s="70"/>
      <c r="FF16" s="70"/>
      <c r="FG16" s="48"/>
    </row>
    <row r="17" spans="1:163" ht="14.25" hidden="1" outlineLevel="1">
      <c r="A17" s="48"/>
      <c r="B17" s="73"/>
      <c r="C17" s="73">
        <v>2</v>
      </c>
      <c r="D17" s="137" t="s">
        <v>26</v>
      </c>
      <c r="E17" s="74"/>
      <c r="F17" s="614">
        <f>W17+BG17+CQ17+EA17</f>
        <v>9.1360216199101352</v>
      </c>
      <c r="G17" s="614">
        <f>X17+BH17+CR17+EB17</f>
        <v>9.1360216199101352</v>
      </c>
      <c r="H17" s="612">
        <f>F17-G17</f>
        <v>0</v>
      </c>
      <c r="I17" s="614">
        <f t="shared" ref="I17" si="34">Z17+BJ17+CT17+ED17</f>
        <v>0</v>
      </c>
      <c r="J17" s="614">
        <f t="shared" ref="J17" si="35">AA17+BK17+CU17+EE17</f>
        <v>0</v>
      </c>
      <c r="K17" s="614">
        <f t="shared" ref="K17" si="36">AB17+BL17+CV17+EF17</f>
        <v>0</v>
      </c>
      <c r="L17" s="614">
        <f t="shared" ref="L17" si="37">AC17+BM17+CW17+EG17</f>
        <v>0</v>
      </c>
      <c r="M17" s="614">
        <f t="shared" ref="M17" si="38">AD17+BN17+CX17+EH17</f>
        <v>0</v>
      </c>
      <c r="N17" s="281"/>
      <c r="O17" s="614">
        <f t="shared" ref="O17" si="39">AF17+BP17+CZ17+EJ17</f>
        <v>0</v>
      </c>
      <c r="P17" s="614">
        <f t="shared" ref="P17" si="40">AG17+BQ17+DA17+EK17</f>
        <v>0</v>
      </c>
      <c r="Q17" s="614">
        <f t="shared" ref="Q17" si="41">AH17+BR17+DB17+EL17</f>
        <v>0</v>
      </c>
      <c r="R17" s="614">
        <f t="shared" ref="R17" si="42">AI17+BS17+DC17+EM17</f>
        <v>0</v>
      </c>
      <c r="S17" s="614">
        <f t="shared" ref="S17" si="43">AJ17+BT17+DD17+EN17</f>
        <v>0</v>
      </c>
      <c r="T17" s="74"/>
      <c r="U17" s="332">
        <v>0.1</v>
      </c>
      <c r="V17" s="332"/>
      <c r="W17" s="614">
        <f>U17*(5%*'BOQ COST'!$E$4)*1</f>
        <v>5.7594310000000002</v>
      </c>
      <c r="X17" s="614">
        <f t="shared" si="19"/>
        <v>5.7594310000000002</v>
      </c>
      <c r="Y17" s="614">
        <f>W17</f>
        <v>5.7594310000000002</v>
      </c>
      <c r="Z17" s="612">
        <f>SUM(Z24:Z26)</f>
        <v>0</v>
      </c>
      <c r="AA17" s="281"/>
      <c r="AB17" s="281"/>
      <c r="AC17" s="281"/>
      <c r="AD17" s="281"/>
      <c r="AE17" s="281"/>
      <c r="AF17" s="612">
        <f>SUM(AF24:AF26)</f>
        <v>0</v>
      </c>
      <c r="AG17" s="281"/>
      <c r="AH17" s="281"/>
      <c r="AI17" s="281"/>
      <c r="AJ17" s="281"/>
      <c r="AK17" s="281"/>
      <c r="AL17" s="333"/>
      <c r="AM17" s="333"/>
      <c r="AN17" s="333"/>
      <c r="AO17" s="334"/>
      <c r="AP17" s="335"/>
      <c r="AQ17" s="336"/>
      <c r="AR17" s="612">
        <f t="shared" si="32"/>
        <v>0</v>
      </c>
      <c r="AS17" s="336"/>
      <c r="AT17" s="336"/>
      <c r="AU17" s="336"/>
      <c r="AV17" s="336"/>
      <c r="AW17" s="336"/>
      <c r="AX17" s="612">
        <f t="shared" si="33"/>
        <v>0</v>
      </c>
      <c r="AY17" s="336"/>
      <c r="AZ17" s="336"/>
      <c r="BA17" s="336"/>
      <c r="BB17" s="336"/>
      <c r="BC17" s="336"/>
      <c r="BD17" s="336"/>
      <c r="BE17" s="332">
        <v>0.2</v>
      </c>
      <c r="BF17" s="332"/>
      <c r="BG17" s="612">
        <f>BE17*(3%*'BOQ COST'!$F$4)*1</f>
        <v>2.6953161789975559</v>
      </c>
      <c r="BH17" s="614">
        <f t="shared" si="22"/>
        <v>2.6953161789975559</v>
      </c>
      <c r="BI17" s="612">
        <f>BG17</f>
        <v>2.6953161789975559</v>
      </c>
      <c r="BJ17" s="612">
        <f>SUM(BJ24:BJ26)</f>
        <v>0</v>
      </c>
      <c r="BK17" s="281"/>
      <c r="BL17" s="281"/>
      <c r="BM17" s="281"/>
      <c r="BN17" s="281"/>
      <c r="BO17" s="281"/>
      <c r="BP17" s="612">
        <f>SUM(BP24:BP26)</f>
        <v>0</v>
      </c>
      <c r="BQ17" s="281"/>
      <c r="BR17" s="281"/>
      <c r="BS17" s="281"/>
      <c r="BT17" s="281"/>
      <c r="BU17" s="281"/>
      <c r="BV17" s="524"/>
      <c r="BW17" s="524"/>
      <c r="BX17" s="524"/>
      <c r="BY17" s="334"/>
      <c r="BZ17" s="534"/>
      <c r="CA17" s="535"/>
      <c r="CB17" s="535"/>
      <c r="CC17" s="535"/>
      <c r="CD17" s="535"/>
      <c r="CE17" s="535"/>
      <c r="CF17" s="535"/>
      <c r="CG17" s="535"/>
      <c r="CH17" s="535"/>
      <c r="CI17" s="535"/>
      <c r="CJ17" s="535"/>
      <c r="CK17" s="535"/>
      <c r="CL17" s="535"/>
      <c r="CM17" s="332"/>
      <c r="CN17" s="332"/>
      <c r="CO17" s="332">
        <v>0.1</v>
      </c>
      <c r="CP17" s="332"/>
      <c r="CQ17" s="612">
        <f>CO17*(2%*'BOQ COST'!$G$4)*1</f>
        <v>0.48108652606258029</v>
      </c>
      <c r="CR17" s="614">
        <f t="shared" si="25"/>
        <v>0.48108652606258029</v>
      </c>
      <c r="CS17" s="612">
        <f>CQ17</f>
        <v>0.48108652606258029</v>
      </c>
      <c r="CT17" s="612">
        <f>SUM(CT24:CT26)</f>
        <v>0</v>
      </c>
      <c r="CU17" s="281"/>
      <c r="CV17" s="281"/>
      <c r="CW17" s="281"/>
      <c r="CX17" s="281"/>
      <c r="CY17" s="281"/>
      <c r="CZ17" s="612">
        <f>SUM(CZ24:CZ26)</f>
        <v>0</v>
      </c>
      <c r="DA17" s="281"/>
      <c r="DB17" s="281"/>
      <c r="DC17" s="281"/>
      <c r="DD17" s="281"/>
      <c r="DE17" s="281"/>
      <c r="DF17" s="605"/>
      <c r="DG17" s="605"/>
      <c r="DH17" s="605"/>
      <c r="DI17" s="334"/>
      <c r="DJ17" s="335"/>
      <c r="DK17" s="336"/>
      <c r="DL17" s="336"/>
      <c r="DM17" s="281"/>
      <c r="DN17" s="281"/>
      <c r="DO17" s="281"/>
      <c r="DP17" s="281"/>
      <c r="DQ17" s="281"/>
      <c r="DR17" s="336"/>
      <c r="DS17" s="281"/>
      <c r="DT17" s="281"/>
      <c r="DU17" s="281"/>
      <c r="DV17" s="281"/>
      <c r="DW17" s="332"/>
      <c r="DX17" s="332"/>
      <c r="DY17" s="332">
        <v>0.15</v>
      </c>
      <c r="DZ17" s="332"/>
      <c r="EA17" s="612">
        <f>DY17*(7%*'BOQ COST'!$H$4)*1</f>
        <v>0.20018791485000001</v>
      </c>
      <c r="EB17" s="614">
        <f t="shared" si="28"/>
        <v>0.20018791485000001</v>
      </c>
      <c r="EC17" s="612">
        <f>EA17</f>
        <v>0.20018791485000001</v>
      </c>
      <c r="ED17" s="612">
        <f>SUM(ED24:ED26)</f>
        <v>0</v>
      </c>
      <c r="EE17" s="75"/>
      <c r="EF17" s="75"/>
      <c r="EG17" s="75"/>
      <c r="EH17" s="75"/>
      <c r="EI17" s="75"/>
      <c r="EJ17" s="612">
        <f>SUM(EJ24:EJ26)</f>
        <v>0</v>
      </c>
      <c r="EK17" s="75"/>
      <c r="EL17" s="75"/>
      <c r="EM17" s="75"/>
      <c r="EN17" s="75"/>
      <c r="EO17" s="75"/>
      <c r="EP17" s="640"/>
      <c r="EQ17" s="640"/>
      <c r="ER17" s="640"/>
      <c r="ES17" s="84"/>
      <c r="ET17" s="78"/>
      <c r="EU17" s="78"/>
      <c r="EV17" s="78"/>
      <c r="EW17" s="75"/>
      <c r="EX17" s="75"/>
      <c r="EY17" s="75"/>
      <c r="EZ17" s="75"/>
      <c r="FA17" s="75"/>
      <c r="FB17" s="78"/>
      <c r="FC17" s="75"/>
      <c r="FD17" s="75"/>
      <c r="FE17" s="75"/>
      <c r="FF17" s="75"/>
      <c r="FG17" s="48"/>
    </row>
    <row r="18" spans="1:163" ht="13.35" hidden="1" customHeight="1" outlineLevel="2">
      <c r="A18" s="48"/>
      <c r="B18" s="80">
        <v>1</v>
      </c>
      <c r="C18" s="80">
        <v>1</v>
      </c>
      <c r="D18" s="140" t="s">
        <v>27</v>
      </c>
      <c r="E18" s="126"/>
      <c r="F18" s="338"/>
      <c r="G18" s="619"/>
      <c r="H18" s="339"/>
      <c r="I18" s="339"/>
      <c r="J18" s="339"/>
      <c r="K18" s="339"/>
      <c r="L18" s="339"/>
      <c r="M18" s="339"/>
      <c r="N18" s="339"/>
      <c r="O18" s="339"/>
      <c r="P18" s="339"/>
      <c r="Q18" s="339"/>
      <c r="R18" s="339"/>
      <c r="S18" s="339"/>
      <c r="T18" s="126"/>
      <c r="U18" s="124"/>
      <c r="V18" s="132"/>
      <c r="W18" s="338"/>
      <c r="X18" s="619">
        <f t="shared" si="19"/>
        <v>0</v>
      </c>
      <c r="Y18" s="339"/>
      <c r="Z18" s="339"/>
      <c r="AA18" s="339"/>
      <c r="AB18" s="339"/>
      <c r="AC18" s="339"/>
      <c r="AD18" s="339"/>
      <c r="AE18" s="339"/>
      <c r="AF18" s="339"/>
      <c r="AG18" s="339"/>
      <c r="AH18" s="339"/>
      <c r="AI18" s="339"/>
      <c r="AJ18" s="339"/>
      <c r="AK18" s="339"/>
      <c r="AL18" s="340"/>
      <c r="AM18" s="340"/>
      <c r="AN18" s="340"/>
      <c r="AO18" s="341"/>
      <c r="AP18" s="328"/>
      <c r="AQ18" s="328"/>
      <c r="AR18" s="616">
        <f t="shared" si="32"/>
        <v>0</v>
      </c>
      <c r="AS18" s="328"/>
      <c r="AT18" s="328"/>
      <c r="AU18" s="328"/>
      <c r="AV18" s="328"/>
      <c r="AW18" s="328"/>
      <c r="AX18" s="616">
        <f t="shared" si="33"/>
        <v>0</v>
      </c>
      <c r="AY18" s="328"/>
      <c r="AZ18" s="328"/>
      <c r="BA18" s="328"/>
      <c r="BB18" s="328"/>
      <c r="BC18" s="328"/>
      <c r="BD18" s="328"/>
      <c r="BE18" s="326"/>
      <c r="BF18" s="136"/>
      <c r="BG18" s="344"/>
      <c r="BH18" s="618">
        <f t="shared" si="22"/>
        <v>0</v>
      </c>
      <c r="BI18" s="339"/>
      <c r="BJ18" s="339"/>
      <c r="BK18" s="339"/>
      <c r="BL18" s="339"/>
      <c r="BM18" s="339"/>
      <c r="BN18" s="339"/>
      <c r="BO18" s="339"/>
      <c r="BP18" s="339"/>
      <c r="BQ18" s="339"/>
      <c r="BR18" s="339"/>
      <c r="BS18" s="339"/>
      <c r="BT18" s="339"/>
      <c r="BU18" s="339"/>
      <c r="BV18" s="525"/>
      <c r="BW18" s="525"/>
      <c r="BX18" s="525"/>
      <c r="BY18" s="341"/>
      <c r="BZ18" s="532"/>
      <c r="CA18" s="532"/>
      <c r="CB18" s="532"/>
      <c r="CC18" s="536"/>
      <c r="CD18" s="536"/>
      <c r="CE18" s="536"/>
      <c r="CF18" s="536"/>
      <c r="CG18" s="536"/>
      <c r="CH18" s="532"/>
      <c r="CI18" s="536"/>
      <c r="CJ18" s="536"/>
      <c r="CK18" s="536"/>
      <c r="CL18" s="536"/>
      <c r="CM18" s="136"/>
      <c r="CN18" s="136"/>
      <c r="CO18" s="342"/>
      <c r="CP18" s="136"/>
      <c r="CQ18" s="344"/>
      <c r="CR18" s="618">
        <f t="shared" si="25"/>
        <v>0</v>
      </c>
      <c r="CS18" s="339"/>
      <c r="CT18" s="339"/>
      <c r="CU18" s="339"/>
      <c r="CV18" s="339"/>
      <c r="CW18" s="339"/>
      <c r="CX18" s="339"/>
      <c r="CY18" s="339"/>
      <c r="CZ18" s="339"/>
      <c r="DA18" s="339"/>
      <c r="DB18" s="339"/>
      <c r="DC18" s="339"/>
      <c r="DD18" s="339"/>
      <c r="DE18" s="339"/>
      <c r="DF18" s="603"/>
      <c r="DG18" s="603"/>
      <c r="DH18" s="603"/>
      <c r="DI18" s="341"/>
      <c r="DJ18" s="328"/>
      <c r="DK18" s="328"/>
      <c r="DL18" s="328"/>
      <c r="DM18" s="339"/>
      <c r="DN18" s="339"/>
      <c r="DO18" s="339"/>
      <c r="DP18" s="339"/>
      <c r="DQ18" s="339"/>
      <c r="DR18" s="328"/>
      <c r="DS18" s="339"/>
      <c r="DT18" s="339"/>
      <c r="DU18" s="339"/>
      <c r="DV18" s="339"/>
      <c r="DW18" s="136"/>
      <c r="DX18" s="136"/>
      <c r="DY18" s="342"/>
      <c r="DZ18" s="136"/>
      <c r="EA18" s="344"/>
      <c r="EB18" s="618">
        <f t="shared" si="28"/>
        <v>0</v>
      </c>
      <c r="EC18" s="615">
        <f>IFERROR(IF(EP18=100%,EA18,0),0)</f>
        <v>0</v>
      </c>
      <c r="ED18" s="615">
        <f>IFERROR(IF(AND((EP18+EQ18)=100%,EP18&lt;1),EA18,0),0)</f>
        <v>0</v>
      </c>
      <c r="EE18" s="81"/>
      <c r="EF18" s="81"/>
      <c r="EG18" s="81"/>
      <c r="EH18" s="81"/>
      <c r="EI18" s="81"/>
      <c r="EJ18" s="615">
        <f>IFERROR(IF(AND((EU18+EV18)=100%,EU18&lt;1),EG18,0),0)</f>
        <v>0</v>
      </c>
      <c r="EK18" s="81"/>
      <c r="EL18" s="81"/>
      <c r="EM18" s="81"/>
      <c r="EN18" s="81"/>
      <c r="EO18" s="81"/>
      <c r="EP18" s="103"/>
      <c r="EQ18" s="103"/>
      <c r="ER18" s="103"/>
      <c r="ES18" s="82"/>
      <c r="ET18" s="71"/>
      <c r="EU18" s="71"/>
      <c r="EV18" s="71"/>
      <c r="EW18" s="81"/>
      <c r="EX18" s="81"/>
      <c r="EY18" s="81"/>
      <c r="EZ18" s="81"/>
      <c r="FA18" s="81"/>
      <c r="FB18" s="71"/>
      <c r="FC18" s="81"/>
      <c r="FD18" s="81"/>
      <c r="FE18" s="81"/>
      <c r="FF18" s="81"/>
      <c r="FG18" s="126"/>
    </row>
    <row r="19" spans="1:163" ht="13.35" hidden="1" customHeight="1" outlineLevel="2">
      <c r="A19" s="48"/>
      <c r="B19" s="80">
        <v>2</v>
      </c>
      <c r="C19" s="80">
        <v>2</v>
      </c>
      <c r="D19" s="140" t="s">
        <v>28</v>
      </c>
      <c r="E19" s="126"/>
      <c r="F19" s="338"/>
      <c r="G19" s="619"/>
      <c r="H19" s="339"/>
      <c r="I19" s="339"/>
      <c r="J19" s="339"/>
      <c r="K19" s="339"/>
      <c r="L19" s="339"/>
      <c r="M19" s="339"/>
      <c r="N19" s="339"/>
      <c r="O19" s="339"/>
      <c r="P19" s="339"/>
      <c r="Q19" s="339"/>
      <c r="R19" s="339"/>
      <c r="S19" s="339"/>
      <c r="T19" s="126"/>
      <c r="U19" s="124"/>
      <c r="V19" s="132"/>
      <c r="W19" s="338"/>
      <c r="X19" s="619">
        <f t="shared" si="19"/>
        <v>0</v>
      </c>
      <c r="Y19" s="339"/>
      <c r="Z19" s="339"/>
      <c r="AA19" s="339"/>
      <c r="AB19" s="339"/>
      <c r="AC19" s="339"/>
      <c r="AD19" s="339"/>
      <c r="AE19" s="339"/>
      <c r="AF19" s="339"/>
      <c r="AG19" s="339"/>
      <c r="AH19" s="339"/>
      <c r="AI19" s="339"/>
      <c r="AJ19" s="339"/>
      <c r="AK19" s="339"/>
      <c r="AL19" s="340"/>
      <c r="AM19" s="340"/>
      <c r="AN19" s="340"/>
      <c r="AO19" s="341"/>
      <c r="AP19" s="328"/>
      <c r="AQ19" s="328"/>
      <c r="AR19" s="616">
        <f t="shared" si="32"/>
        <v>0</v>
      </c>
      <c r="AS19" s="328"/>
      <c r="AT19" s="328"/>
      <c r="AU19" s="328"/>
      <c r="AV19" s="328"/>
      <c r="AW19" s="328"/>
      <c r="AX19" s="616">
        <f t="shared" si="33"/>
        <v>0</v>
      </c>
      <c r="AY19" s="328"/>
      <c r="AZ19" s="328"/>
      <c r="BA19" s="328"/>
      <c r="BB19" s="328"/>
      <c r="BC19" s="328"/>
      <c r="BD19" s="328"/>
      <c r="BE19" s="326"/>
      <c r="BF19" s="136"/>
      <c r="BG19" s="344"/>
      <c r="BH19" s="618">
        <f t="shared" si="22"/>
        <v>0</v>
      </c>
      <c r="BI19" s="339"/>
      <c r="BJ19" s="339"/>
      <c r="BK19" s="339"/>
      <c r="BL19" s="339"/>
      <c r="BM19" s="339"/>
      <c r="BN19" s="339"/>
      <c r="BO19" s="339"/>
      <c r="BP19" s="339"/>
      <c r="BQ19" s="339"/>
      <c r="BR19" s="339"/>
      <c r="BS19" s="339"/>
      <c r="BT19" s="339"/>
      <c r="BU19" s="339"/>
      <c r="BV19" s="525"/>
      <c r="BW19" s="525"/>
      <c r="BX19" s="525"/>
      <c r="BY19" s="341"/>
      <c r="BZ19" s="532"/>
      <c r="CA19" s="532"/>
      <c r="CB19" s="532"/>
      <c r="CC19" s="536"/>
      <c r="CD19" s="536"/>
      <c r="CE19" s="536"/>
      <c r="CF19" s="536"/>
      <c r="CG19" s="536"/>
      <c r="CH19" s="532"/>
      <c r="CI19" s="536"/>
      <c r="CJ19" s="536"/>
      <c r="CK19" s="536"/>
      <c r="CL19" s="536"/>
      <c r="CM19" s="136"/>
      <c r="CN19" s="136"/>
      <c r="CO19" s="342"/>
      <c r="CP19" s="136"/>
      <c r="CQ19" s="344"/>
      <c r="CR19" s="618">
        <f t="shared" si="25"/>
        <v>0</v>
      </c>
      <c r="CS19" s="339"/>
      <c r="CT19" s="339"/>
      <c r="CU19" s="339"/>
      <c r="CV19" s="339"/>
      <c r="CW19" s="339"/>
      <c r="CX19" s="339"/>
      <c r="CY19" s="339"/>
      <c r="CZ19" s="339"/>
      <c r="DA19" s="339"/>
      <c r="DB19" s="339"/>
      <c r="DC19" s="339"/>
      <c r="DD19" s="339"/>
      <c r="DE19" s="339"/>
      <c r="DF19" s="603"/>
      <c r="DG19" s="603"/>
      <c r="DH19" s="603"/>
      <c r="DI19" s="341"/>
      <c r="DJ19" s="328"/>
      <c r="DK19" s="328"/>
      <c r="DL19" s="328"/>
      <c r="DM19" s="339"/>
      <c r="DN19" s="339"/>
      <c r="DO19" s="339"/>
      <c r="DP19" s="339"/>
      <c r="DQ19" s="339"/>
      <c r="DR19" s="328"/>
      <c r="DS19" s="339"/>
      <c r="DT19" s="339"/>
      <c r="DU19" s="339"/>
      <c r="DV19" s="339"/>
      <c r="DW19" s="136"/>
      <c r="DX19" s="136"/>
      <c r="DY19" s="342"/>
      <c r="DZ19" s="136"/>
      <c r="EA19" s="344"/>
      <c r="EB19" s="618">
        <f t="shared" si="28"/>
        <v>0</v>
      </c>
      <c r="EC19" s="615">
        <f>IFERROR(IF(EP19=100%,EA19,0),0)</f>
        <v>0</v>
      </c>
      <c r="ED19" s="615">
        <f>IFERROR(IF(AND((EP19+EQ19)=100%,EP19&lt;1),EA19,0),0)</f>
        <v>0</v>
      </c>
      <c r="EE19" s="81"/>
      <c r="EF19" s="81"/>
      <c r="EG19" s="81"/>
      <c r="EH19" s="81"/>
      <c r="EI19" s="81"/>
      <c r="EJ19" s="615">
        <f>IFERROR(IF(AND((EU19+EV19)=100%,EU19&lt;1),EG19,0),0)</f>
        <v>0</v>
      </c>
      <c r="EK19" s="81"/>
      <c r="EL19" s="81"/>
      <c r="EM19" s="81"/>
      <c r="EN19" s="81"/>
      <c r="EO19" s="81"/>
      <c r="EP19" s="103"/>
      <c r="EQ19" s="103"/>
      <c r="ER19" s="103"/>
      <c r="ES19" s="82"/>
      <c r="ET19" s="71"/>
      <c r="EU19" s="71"/>
      <c r="EV19" s="71"/>
      <c r="EW19" s="81"/>
      <c r="EX19" s="81"/>
      <c r="EY19" s="81"/>
      <c r="EZ19" s="81"/>
      <c r="FA19" s="81"/>
      <c r="FB19" s="71"/>
      <c r="FC19" s="81"/>
      <c r="FD19" s="81"/>
      <c r="FE19" s="81"/>
      <c r="FF19" s="81"/>
      <c r="FG19" s="126"/>
    </row>
    <row r="20" spans="1:163" ht="13.35" hidden="1" customHeight="1" outlineLevel="2">
      <c r="A20" s="48"/>
      <c r="B20" s="80">
        <v>3</v>
      </c>
      <c r="C20" s="80">
        <v>3</v>
      </c>
      <c r="D20" s="140" t="s">
        <v>29</v>
      </c>
      <c r="E20" s="126"/>
      <c r="F20" s="338"/>
      <c r="G20" s="619"/>
      <c r="H20" s="339"/>
      <c r="I20" s="339"/>
      <c r="J20" s="339"/>
      <c r="K20" s="339"/>
      <c r="L20" s="339"/>
      <c r="M20" s="339"/>
      <c r="N20" s="339"/>
      <c r="O20" s="339"/>
      <c r="P20" s="339"/>
      <c r="Q20" s="339"/>
      <c r="R20" s="339"/>
      <c r="S20" s="339"/>
      <c r="T20" s="126"/>
      <c r="U20" s="124"/>
      <c r="V20" s="132"/>
      <c r="W20" s="338"/>
      <c r="X20" s="619">
        <f t="shared" si="19"/>
        <v>0</v>
      </c>
      <c r="Y20" s="339"/>
      <c r="Z20" s="339"/>
      <c r="AA20" s="339"/>
      <c r="AB20" s="339"/>
      <c r="AC20" s="339"/>
      <c r="AD20" s="339"/>
      <c r="AE20" s="339"/>
      <c r="AF20" s="339"/>
      <c r="AG20" s="339"/>
      <c r="AH20" s="339"/>
      <c r="AI20" s="339"/>
      <c r="AJ20" s="339"/>
      <c r="AK20" s="339"/>
      <c r="AL20" s="340"/>
      <c r="AM20" s="340"/>
      <c r="AN20" s="340"/>
      <c r="AO20" s="341"/>
      <c r="AP20" s="328"/>
      <c r="AQ20" s="328"/>
      <c r="AR20" s="616">
        <f t="shared" si="32"/>
        <v>0</v>
      </c>
      <c r="AS20" s="328"/>
      <c r="AT20" s="328"/>
      <c r="AU20" s="328"/>
      <c r="AV20" s="328"/>
      <c r="AW20" s="328"/>
      <c r="AX20" s="616">
        <f t="shared" si="33"/>
        <v>0</v>
      </c>
      <c r="AY20" s="328"/>
      <c r="AZ20" s="328"/>
      <c r="BA20" s="328"/>
      <c r="BB20" s="328"/>
      <c r="BC20" s="328"/>
      <c r="BD20" s="328"/>
      <c r="BE20" s="326"/>
      <c r="BF20" s="136"/>
      <c r="BG20" s="344"/>
      <c r="BH20" s="618">
        <f t="shared" si="22"/>
        <v>0</v>
      </c>
      <c r="BI20" s="339"/>
      <c r="BJ20" s="339"/>
      <c r="BK20" s="339"/>
      <c r="BL20" s="339"/>
      <c r="BM20" s="339"/>
      <c r="BN20" s="339"/>
      <c r="BO20" s="339"/>
      <c r="BP20" s="339"/>
      <c r="BQ20" s="339"/>
      <c r="BR20" s="339"/>
      <c r="BS20" s="339"/>
      <c r="BT20" s="339"/>
      <c r="BU20" s="339"/>
      <c r="BV20" s="525"/>
      <c r="BW20" s="525"/>
      <c r="BX20" s="525"/>
      <c r="BY20" s="341"/>
      <c r="BZ20" s="532"/>
      <c r="CA20" s="532"/>
      <c r="CB20" s="532"/>
      <c r="CC20" s="536"/>
      <c r="CD20" s="536"/>
      <c r="CE20" s="536"/>
      <c r="CF20" s="536"/>
      <c r="CG20" s="536"/>
      <c r="CH20" s="532"/>
      <c r="CI20" s="536"/>
      <c r="CJ20" s="536"/>
      <c r="CK20" s="536"/>
      <c r="CL20" s="536"/>
      <c r="CM20" s="136"/>
      <c r="CN20" s="136"/>
      <c r="CO20" s="342"/>
      <c r="CP20" s="136"/>
      <c r="CQ20" s="344"/>
      <c r="CR20" s="618">
        <f t="shared" si="25"/>
        <v>0</v>
      </c>
      <c r="CS20" s="339"/>
      <c r="CT20" s="339"/>
      <c r="CU20" s="339"/>
      <c r="CV20" s="339"/>
      <c r="CW20" s="339"/>
      <c r="CX20" s="339"/>
      <c r="CY20" s="339"/>
      <c r="CZ20" s="339"/>
      <c r="DA20" s="339"/>
      <c r="DB20" s="339"/>
      <c r="DC20" s="339"/>
      <c r="DD20" s="339"/>
      <c r="DE20" s="339"/>
      <c r="DF20" s="603"/>
      <c r="DG20" s="603"/>
      <c r="DH20" s="603"/>
      <c r="DI20" s="341"/>
      <c r="DJ20" s="328"/>
      <c r="DK20" s="328"/>
      <c r="DL20" s="328"/>
      <c r="DM20" s="339"/>
      <c r="DN20" s="339"/>
      <c r="DO20" s="339"/>
      <c r="DP20" s="339"/>
      <c r="DQ20" s="339"/>
      <c r="DR20" s="328"/>
      <c r="DS20" s="339"/>
      <c r="DT20" s="339"/>
      <c r="DU20" s="339"/>
      <c r="DV20" s="339"/>
      <c r="DW20" s="136"/>
      <c r="DX20" s="136"/>
      <c r="DY20" s="342"/>
      <c r="DZ20" s="136"/>
      <c r="EA20" s="344"/>
      <c r="EB20" s="618">
        <f t="shared" si="28"/>
        <v>0</v>
      </c>
      <c r="EC20" s="615">
        <f>IFERROR(IF(EP20=100%,EA20,0),0)</f>
        <v>0</v>
      </c>
      <c r="ED20" s="615">
        <f>IFERROR(IF(AND((EP20+EQ20)=100%,EP20&lt;1),EA20,0),0)</f>
        <v>0</v>
      </c>
      <c r="EE20" s="81"/>
      <c r="EF20" s="81"/>
      <c r="EG20" s="81"/>
      <c r="EH20" s="81"/>
      <c r="EI20" s="81"/>
      <c r="EJ20" s="615">
        <f>IFERROR(IF(AND((EU20+EV20)=100%,EU20&lt;1),EG20,0),0)</f>
        <v>0</v>
      </c>
      <c r="EK20" s="81"/>
      <c r="EL20" s="81"/>
      <c r="EM20" s="81"/>
      <c r="EN20" s="81"/>
      <c r="EO20" s="81"/>
      <c r="EP20" s="103"/>
      <c r="EQ20" s="103"/>
      <c r="ER20" s="103"/>
      <c r="ES20" s="82"/>
      <c r="ET20" s="71"/>
      <c r="EU20" s="71"/>
      <c r="EV20" s="71"/>
      <c r="EW20" s="81"/>
      <c r="EX20" s="81"/>
      <c r="EY20" s="81"/>
      <c r="EZ20" s="81"/>
      <c r="FA20" s="81"/>
      <c r="FB20" s="71"/>
      <c r="FC20" s="81"/>
      <c r="FD20" s="81"/>
      <c r="FE20" s="81"/>
      <c r="FF20" s="81"/>
      <c r="FG20" s="126"/>
    </row>
    <row r="21" spans="1:163" ht="13.35" hidden="1" customHeight="1" outlineLevel="2">
      <c r="A21" s="48"/>
      <c r="B21" s="80">
        <v>4</v>
      </c>
      <c r="C21" s="80">
        <v>4</v>
      </c>
      <c r="D21" s="140" t="s">
        <v>30</v>
      </c>
      <c r="E21" s="126"/>
      <c r="F21" s="338"/>
      <c r="G21" s="619"/>
      <c r="H21" s="339"/>
      <c r="I21" s="339"/>
      <c r="J21" s="339"/>
      <c r="K21" s="339"/>
      <c r="L21" s="339"/>
      <c r="M21" s="339"/>
      <c r="N21" s="339"/>
      <c r="O21" s="339"/>
      <c r="P21" s="339"/>
      <c r="Q21" s="339"/>
      <c r="R21" s="339"/>
      <c r="S21" s="339"/>
      <c r="T21" s="126"/>
      <c r="U21" s="124"/>
      <c r="V21" s="132"/>
      <c r="W21" s="338"/>
      <c r="X21" s="619">
        <f t="shared" si="19"/>
        <v>0</v>
      </c>
      <c r="Y21" s="339"/>
      <c r="Z21" s="339"/>
      <c r="AA21" s="339"/>
      <c r="AB21" s="339"/>
      <c r="AC21" s="339"/>
      <c r="AD21" s="339"/>
      <c r="AE21" s="339"/>
      <c r="AF21" s="339"/>
      <c r="AG21" s="339"/>
      <c r="AH21" s="339"/>
      <c r="AI21" s="339"/>
      <c r="AJ21" s="339"/>
      <c r="AK21" s="339"/>
      <c r="AL21" s="340"/>
      <c r="AM21" s="340"/>
      <c r="AN21" s="340"/>
      <c r="AO21" s="341"/>
      <c r="AP21" s="328"/>
      <c r="AQ21" s="328"/>
      <c r="AR21" s="616">
        <f t="shared" si="32"/>
        <v>0</v>
      </c>
      <c r="AS21" s="328"/>
      <c r="AT21" s="328"/>
      <c r="AU21" s="328"/>
      <c r="AV21" s="328"/>
      <c r="AW21" s="328"/>
      <c r="AX21" s="616">
        <f t="shared" si="33"/>
        <v>0</v>
      </c>
      <c r="AY21" s="328"/>
      <c r="AZ21" s="328"/>
      <c r="BA21" s="328"/>
      <c r="BB21" s="328"/>
      <c r="BC21" s="328"/>
      <c r="BD21" s="328"/>
      <c r="BE21" s="326"/>
      <c r="BF21" s="136"/>
      <c r="BG21" s="344"/>
      <c r="BH21" s="618">
        <f t="shared" si="22"/>
        <v>0</v>
      </c>
      <c r="BI21" s="339"/>
      <c r="BJ21" s="339"/>
      <c r="BK21" s="339"/>
      <c r="BL21" s="339"/>
      <c r="BM21" s="339"/>
      <c r="BN21" s="339"/>
      <c r="BO21" s="339"/>
      <c r="BP21" s="339"/>
      <c r="BQ21" s="339"/>
      <c r="BR21" s="339"/>
      <c r="BS21" s="339"/>
      <c r="BT21" s="339"/>
      <c r="BU21" s="339"/>
      <c r="BV21" s="525"/>
      <c r="BW21" s="525"/>
      <c r="BX21" s="525"/>
      <c r="BY21" s="341"/>
      <c r="BZ21" s="532"/>
      <c r="CA21" s="532"/>
      <c r="CB21" s="532"/>
      <c r="CC21" s="536"/>
      <c r="CD21" s="536"/>
      <c r="CE21" s="536"/>
      <c r="CF21" s="536"/>
      <c r="CG21" s="536"/>
      <c r="CH21" s="532"/>
      <c r="CI21" s="536"/>
      <c r="CJ21" s="536"/>
      <c r="CK21" s="536"/>
      <c r="CL21" s="536"/>
      <c r="CM21" s="136"/>
      <c r="CN21" s="136"/>
      <c r="CO21" s="342"/>
      <c r="CP21" s="136"/>
      <c r="CQ21" s="344"/>
      <c r="CR21" s="618">
        <f t="shared" si="25"/>
        <v>0</v>
      </c>
      <c r="CS21" s="339"/>
      <c r="CT21" s="339"/>
      <c r="CU21" s="339"/>
      <c r="CV21" s="339"/>
      <c r="CW21" s="339"/>
      <c r="CX21" s="339"/>
      <c r="CY21" s="339"/>
      <c r="CZ21" s="339"/>
      <c r="DA21" s="339"/>
      <c r="DB21" s="339"/>
      <c r="DC21" s="339"/>
      <c r="DD21" s="339"/>
      <c r="DE21" s="339"/>
      <c r="DF21" s="603"/>
      <c r="DG21" s="603"/>
      <c r="DH21" s="603"/>
      <c r="DI21" s="341"/>
      <c r="DJ21" s="328"/>
      <c r="DK21" s="328"/>
      <c r="DL21" s="328"/>
      <c r="DM21" s="339"/>
      <c r="DN21" s="339"/>
      <c r="DO21" s="339"/>
      <c r="DP21" s="339"/>
      <c r="DQ21" s="339"/>
      <c r="DR21" s="328"/>
      <c r="DS21" s="339"/>
      <c r="DT21" s="339"/>
      <c r="DU21" s="339"/>
      <c r="DV21" s="339"/>
      <c r="DW21" s="136"/>
      <c r="DX21" s="136"/>
      <c r="DY21" s="342"/>
      <c r="DZ21" s="136"/>
      <c r="EA21" s="344"/>
      <c r="EB21" s="618">
        <f t="shared" si="28"/>
        <v>0</v>
      </c>
      <c r="EC21" s="615">
        <f>IFERROR(IF(EP21=100%,EA21,0),0)</f>
        <v>0</v>
      </c>
      <c r="ED21" s="615">
        <f>IFERROR(IF(AND((EP21+EQ21)=100%,EP21&lt;1),EA21,0),0)</f>
        <v>0</v>
      </c>
      <c r="EE21" s="81"/>
      <c r="EF21" s="81"/>
      <c r="EG21" s="81"/>
      <c r="EH21" s="81"/>
      <c r="EI21" s="81"/>
      <c r="EJ21" s="615">
        <f>IFERROR(IF(AND((EU21+EV21)=100%,EU21&lt;1),EG21,0),0)</f>
        <v>0</v>
      </c>
      <c r="EK21" s="81"/>
      <c r="EL21" s="81"/>
      <c r="EM21" s="81"/>
      <c r="EN21" s="81"/>
      <c r="EO21" s="81"/>
      <c r="EP21" s="103"/>
      <c r="EQ21" s="103"/>
      <c r="ER21" s="103"/>
      <c r="ES21" s="82"/>
      <c r="ET21" s="71"/>
      <c r="EU21" s="71"/>
      <c r="EV21" s="71"/>
      <c r="EW21" s="81"/>
      <c r="EX21" s="81"/>
      <c r="EY21" s="81"/>
      <c r="EZ21" s="81"/>
      <c r="FA21" s="81"/>
      <c r="FB21" s="71"/>
      <c r="FC21" s="81"/>
      <c r="FD21" s="81"/>
      <c r="FE21" s="81"/>
      <c r="FF21" s="81"/>
      <c r="FG21" s="126"/>
    </row>
    <row r="22" spans="1:163" ht="3" hidden="1" customHeight="1" outlineLevel="1">
      <c r="A22" s="48"/>
      <c r="B22" s="49"/>
      <c r="C22" s="49"/>
      <c r="D22" s="48"/>
      <c r="E22" s="48"/>
      <c r="F22" s="338"/>
      <c r="G22" s="619"/>
      <c r="H22" s="348"/>
      <c r="I22" s="348"/>
      <c r="J22" s="348"/>
      <c r="K22" s="348"/>
      <c r="L22" s="348"/>
      <c r="M22" s="348"/>
      <c r="N22" s="348"/>
      <c r="O22" s="348"/>
      <c r="P22" s="348"/>
      <c r="Q22" s="348"/>
      <c r="R22" s="348"/>
      <c r="S22" s="348"/>
      <c r="T22" s="48"/>
      <c r="U22" s="123"/>
      <c r="V22" s="131"/>
      <c r="W22" s="338"/>
      <c r="X22" s="619">
        <f t="shared" si="19"/>
        <v>0</v>
      </c>
      <c r="Y22" s="348"/>
      <c r="Z22" s="348"/>
      <c r="AA22" s="348"/>
      <c r="AB22" s="348"/>
      <c r="AC22" s="348"/>
      <c r="AD22" s="348"/>
      <c r="AE22" s="348"/>
      <c r="AF22" s="348"/>
      <c r="AG22" s="348"/>
      <c r="AH22" s="348"/>
      <c r="AI22" s="348"/>
      <c r="AJ22" s="348"/>
      <c r="AK22" s="348"/>
      <c r="AL22" s="349"/>
      <c r="AM22" s="349"/>
      <c r="AN22" s="349"/>
      <c r="AO22" s="341"/>
      <c r="AP22" s="328"/>
      <c r="AQ22" s="328"/>
      <c r="AR22" s="616">
        <f t="shared" si="32"/>
        <v>0</v>
      </c>
      <c r="AS22" s="328"/>
      <c r="AT22" s="328"/>
      <c r="AU22" s="328"/>
      <c r="AV22" s="328"/>
      <c r="AW22" s="328"/>
      <c r="AX22" s="616">
        <f t="shared" si="33"/>
        <v>0</v>
      </c>
      <c r="AY22" s="328"/>
      <c r="AZ22" s="328"/>
      <c r="BA22" s="328"/>
      <c r="BB22" s="328"/>
      <c r="BC22" s="350"/>
      <c r="BD22" s="350"/>
      <c r="BE22" s="326"/>
      <c r="BF22" s="343"/>
      <c r="BG22" s="344"/>
      <c r="BH22" s="618">
        <f t="shared" si="22"/>
        <v>0</v>
      </c>
      <c r="BI22" s="348"/>
      <c r="BJ22" s="348"/>
      <c r="BK22" s="348"/>
      <c r="BL22" s="348"/>
      <c r="BM22" s="348"/>
      <c r="BN22" s="348"/>
      <c r="BO22" s="348"/>
      <c r="BP22" s="348"/>
      <c r="BQ22" s="348"/>
      <c r="BR22" s="348"/>
      <c r="BS22" s="348"/>
      <c r="BT22" s="348"/>
      <c r="BU22" s="348"/>
      <c r="BV22" s="523"/>
      <c r="BW22" s="523"/>
      <c r="BX22" s="523"/>
      <c r="BY22" s="341"/>
      <c r="BZ22" s="532"/>
      <c r="CA22" s="532"/>
      <c r="CB22" s="532"/>
      <c r="CC22" s="532"/>
      <c r="CD22" s="532"/>
      <c r="CE22" s="532"/>
      <c r="CF22" s="532"/>
      <c r="CG22" s="532"/>
      <c r="CH22" s="532"/>
      <c r="CI22" s="532"/>
      <c r="CJ22" s="532"/>
      <c r="CK22" s="532"/>
      <c r="CL22" s="532"/>
      <c r="CM22" s="343"/>
      <c r="CN22" s="343"/>
      <c r="CO22" s="326"/>
      <c r="CP22" s="343"/>
      <c r="CQ22" s="344"/>
      <c r="CR22" s="618">
        <f t="shared" si="25"/>
        <v>0</v>
      </c>
      <c r="CS22" s="348"/>
      <c r="CT22" s="348"/>
      <c r="CU22" s="348"/>
      <c r="CV22" s="348"/>
      <c r="CW22" s="348"/>
      <c r="CX22" s="348"/>
      <c r="CY22" s="348"/>
      <c r="CZ22" s="348"/>
      <c r="DA22" s="348"/>
      <c r="DB22" s="348"/>
      <c r="DC22" s="348"/>
      <c r="DD22" s="348"/>
      <c r="DE22" s="348"/>
      <c r="DF22" s="604"/>
      <c r="DG22" s="604"/>
      <c r="DH22" s="604"/>
      <c r="DI22" s="341"/>
      <c r="DJ22" s="328"/>
      <c r="DK22" s="328"/>
      <c r="DL22" s="328"/>
      <c r="DM22" s="348"/>
      <c r="DN22" s="348"/>
      <c r="DO22" s="348"/>
      <c r="DP22" s="348"/>
      <c r="DQ22" s="348"/>
      <c r="DR22" s="328"/>
      <c r="DS22" s="348"/>
      <c r="DT22" s="348"/>
      <c r="DU22" s="348"/>
      <c r="DV22" s="348"/>
      <c r="DW22" s="343"/>
      <c r="DX22" s="343"/>
      <c r="DY22" s="326"/>
      <c r="DZ22" s="343"/>
      <c r="EA22" s="344"/>
      <c r="EB22" s="618">
        <f t="shared" si="28"/>
        <v>0</v>
      </c>
      <c r="EC22" s="85"/>
      <c r="ED22" s="85"/>
      <c r="EE22" s="85"/>
      <c r="EF22" s="85"/>
      <c r="EG22" s="85"/>
      <c r="EH22" s="85"/>
      <c r="EI22" s="85"/>
      <c r="EJ22" s="85"/>
      <c r="EK22" s="85"/>
      <c r="EL22" s="85"/>
      <c r="EM22" s="85"/>
      <c r="EN22" s="85"/>
      <c r="EO22" s="85"/>
      <c r="EP22" s="639"/>
      <c r="EQ22" s="639"/>
      <c r="ER22" s="639"/>
      <c r="ES22" s="82"/>
      <c r="ET22" s="71"/>
      <c r="EU22" s="71"/>
      <c r="EV22" s="71"/>
      <c r="EW22" s="85"/>
      <c r="EX22" s="85"/>
      <c r="EY22" s="85"/>
      <c r="EZ22" s="85"/>
      <c r="FA22" s="85"/>
      <c r="FB22" s="71"/>
      <c r="FC22" s="85"/>
      <c r="FD22" s="85"/>
      <c r="FE22" s="85"/>
      <c r="FF22" s="85"/>
      <c r="FG22" s="48"/>
    </row>
    <row r="23" spans="1:163" ht="14.25" hidden="1" outlineLevel="1">
      <c r="A23" s="48"/>
      <c r="B23" s="73"/>
      <c r="C23" s="73">
        <v>3</v>
      </c>
      <c r="D23" s="137" t="s">
        <v>31</v>
      </c>
      <c r="E23" s="74"/>
      <c r="F23" s="614">
        <f>W23+BG23+CQ23+EA23</f>
        <v>9.1360216199101352</v>
      </c>
      <c r="G23" s="614">
        <f>X23+BH23+CR23+EB23</f>
        <v>9.1360216199101352</v>
      </c>
      <c r="H23" s="612">
        <f>F23-G23</f>
        <v>0</v>
      </c>
      <c r="I23" s="614">
        <f t="shared" ref="I23" si="44">Z23+BJ23+CT23+ED23</f>
        <v>0</v>
      </c>
      <c r="J23" s="614">
        <f t="shared" ref="J23" si="45">AA23+BK23+CU23+EE23</f>
        <v>0</v>
      </c>
      <c r="K23" s="614">
        <f t="shared" ref="K23" si="46">AB23+BL23+CV23+EF23</f>
        <v>0</v>
      </c>
      <c r="L23" s="614">
        <f t="shared" ref="L23" si="47">AC23+BM23+CW23+EG23</f>
        <v>0</v>
      </c>
      <c r="M23" s="614">
        <f t="shared" ref="M23" si="48">AD23+BN23+CX23+EH23</f>
        <v>0</v>
      </c>
      <c r="N23" s="281"/>
      <c r="O23" s="614">
        <f t="shared" ref="O23" si="49">AF23+BP23+CZ23+EJ23</f>
        <v>0</v>
      </c>
      <c r="P23" s="614">
        <f t="shared" ref="P23" si="50">AG23+BQ23+DA23+EK23</f>
        <v>0</v>
      </c>
      <c r="Q23" s="614">
        <f t="shared" ref="Q23" si="51">AH23+BR23+DB23+EL23</f>
        <v>0</v>
      </c>
      <c r="R23" s="614">
        <f t="shared" ref="R23" si="52">AI23+BS23+DC23+EM23</f>
        <v>0</v>
      </c>
      <c r="S23" s="614">
        <f t="shared" ref="S23" si="53">AJ23+BT23+DD23+EN23</f>
        <v>0</v>
      </c>
      <c r="T23" s="74"/>
      <c r="U23" s="141">
        <v>0.1</v>
      </c>
      <c r="V23" s="125"/>
      <c r="W23" s="614">
        <f>U23*(5%*'BOQ COST'!$E$4)*1</f>
        <v>5.7594310000000002</v>
      </c>
      <c r="X23" s="614">
        <f t="shared" si="19"/>
        <v>5.7594310000000002</v>
      </c>
      <c r="Y23" s="612">
        <f>W23</f>
        <v>5.7594310000000002</v>
      </c>
      <c r="Z23" s="608">
        <f>SUM(Z29:Z31)</f>
        <v>0</v>
      </c>
      <c r="AA23" s="351"/>
      <c r="AB23" s="351"/>
      <c r="AC23" s="351"/>
      <c r="AD23" s="351"/>
      <c r="AE23" s="351"/>
      <c r="AF23" s="608">
        <f>SUM(AF29:AF31)</f>
        <v>0</v>
      </c>
      <c r="AG23" s="351"/>
      <c r="AH23" s="351"/>
      <c r="AI23" s="351"/>
      <c r="AJ23" s="351"/>
      <c r="AK23" s="351"/>
      <c r="AL23" s="352"/>
      <c r="AM23" s="352"/>
      <c r="AN23" s="352"/>
      <c r="AO23" s="353"/>
      <c r="AP23" s="354"/>
      <c r="AQ23" s="355"/>
      <c r="AR23" s="608">
        <f t="shared" si="32"/>
        <v>0</v>
      </c>
      <c r="AS23" s="355"/>
      <c r="AT23" s="355"/>
      <c r="AU23" s="355"/>
      <c r="AV23" s="355"/>
      <c r="AW23" s="355"/>
      <c r="AX23" s="608">
        <f t="shared" si="33"/>
        <v>0</v>
      </c>
      <c r="AY23" s="355"/>
      <c r="AZ23" s="355"/>
      <c r="BA23" s="355"/>
      <c r="BB23" s="355"/>
      <c r="BC23" s="355"/>
      <c r="BD23" s="355"/>
      <c r="BE23" s="332">
        <v>0.2</v>
      </c>
      <c r="BF23" s="356"/>
      <c r="BG23" s="612">
        <f>BE23*(3%*'BOQ COST'!$F$4)*1</f>
        <v>2.6953161789975559</v>
      </c>
      <c r="BH23" s="614">
        <f t="shared" si="22"/>
        <v>2.6953161789975559</v>
      </c>
      <c r="BI23" s="608">
        <f>BG23</f>
        <v>2.6953161789975559</v>
      </c>
      <c r="BJ23" s="608">
        <f>SUM(BJ29:BJ31)</f>
        <v>0</v>
      </c>
      <c r="BK23" s="351"/>
      <c r="BL23" s="351"/>
      <c r="BM23" s="351"/>
      <c r="BN23" s="351"/>
      <c r="BO23" s="351"/>
      <c r="BP23" s="608">
        <f>SUM(BP29:BP31)</f>
        <v>0</v>
      </c>
      <c r="BQ23" s="351"/>
      <c r="BR23" s="351"/>
      <c r="BS23" s="351"/>
      <c r="BT23" s="351"/>
      <c r="BU23" s="351"/>
      <c r="BV23" s="526"/>
      <c r="BW23" s="526"/>
      <c r="BX23" s="526"/>
      <c r="BY23" s="353"/>
      <c r="BZ23" s="537"/>
      <c r="CA23" s="538"/>
      <c r="CB23" s="538"/>
      <c r="CC23" s="538"/>
      <c r="CD23" s="538"/>
      <c r="CE23" s="538"/>
      <c r="CF23" s="538"/>
      <c r="CG23" s="538"/>
      <c r="CH23" s="538"/>
      <c r="CI23" s="538"/>
      <c r="CJ23" s="538"/>
      <c r="CK23" s="538"/>
      <c r="CL23" s="538"/>
      <c r="CM23" s="356"/>
      <c r="CN23" s="356"/>
      <c r="CO23" s="332">
        <v>0.1</v>
      </c>
      <c r="CP23" s="356"/>
      <c r="CQ23" s="612">
        <f>CO23*(2%*'BOQ COST'!$G$4)*1</f>
        <v>0.48108652606258029</v>
      </c>
      <c r="CR23" s="614">
        <f t="shared" si="25"/>
        <v>0.48108652606258029</v>
      </c>
      <c r="CS23" s="608">
        <f>CQ23</f>
        <v>0.48108652606258029</v>
      </c>
      <c r="CT23" s="608">
        <f>SUM(CT29:CT31)</f>
        <v>0</v>
      </c>
      <c r="CU23" s="351"/>
      <c r="CV23" s="351"/>
      <c r="CW23" s="351"/>
      <c r="CX23" s="351"/>
      <c r="CY23" s="351"/>
      <c r="CZ23" s="608">
        <f>SUM(CZ29:CZ31)</f>
        <v>0</v>
      </c>
      <c r="DA23" s="351"/>
      <c r="DB23" s="351"/>
      <c r="DC23" s="351"/>
      <c r="DD23" s="351"/>
      <c r="DE23" s="351"/>
      <c r="DF23" s="637"/>
      <c r="DG23" s="637"/>
      <c r="DH23" s="637"/>
      <c r="DI23" s="353"/>
      <c r="DJ23" s="354"/>
      <c r="DK23" s="355"/>
      <c r="DL23" s="355"/>
      <c r="DM23" s="351"/>
      <c r="DN23" s="351"/>
      <c r="DO23" s="351"/>
      <c r="DP23" s="351"/>
      <c r="DQ23" s="351"/>
      <c r="DR23" s="355"/>
      <c r="DS23" s="351"/>
      <c r="DT23" s="351"/>
      <c r="DU23" s="351"/>
      <c r="DV23" s="351"/>
      <c r="DW23" s="356"/>
      <c r="DX23" s="356"/>
      <c r="DY23" s="332">
        <v>0.15</v>
      </c>
      <c r="DZ23" s="356"/>
      <c r="EA23" s="612">
        <f>DY23*(7%*'BOQ COST'!$H$4)*1</f>
        <v>0.20018791485000001</v>
      </c>
      <c r="EB23" s="614">
        <f t="shared" si="28"/>
        <v>0.20018791485000001</v>
      </c>
      <c r="EC23" s="612">
        <f>EA23</f>
        <v>0.20018791485000001</v>
      </c>
      <c r="ED23" s="612">
        <f>SUM(ED29:ED31)</f>
        <v>0</v>
      </c>
      <c r="EE23" s="75"/>
      <c r="EF23" s="75"/>
      <c r="EG23" s="75"/>
      <c r="EH23" s="75"/>
      <c r="EI23" s="75"/>
      <c r="EJ23" s="612">
        <f>SUM(EJ29:EJ31)</f>
        <v>0</v>
      </c>
      <c r="EK23" s="75"/>
      <c r="EL23" s="75"/>
      <c r="EM23" s="75"/>
      <c r="EN23" s="75"/>
      <c r="EO23" s="75"/>
      <c r="EP23" s="640"/>
      <c r="EQ23" s="640"/>
      <c r="ER23" s="640"/>
      <c r="ES23" s="84"/>
      <c r="ET23" s="78"/>
      <c r="EU23" s="78"/>
      <c r="EV23" s="78"/>
      <c r="EW23" s="75"/>
      <c r="EX23" s="75"/>
      <c r="EY23" s="75"/>
      <c r="EZ23" s="75"/>
      <c r="FA23" s="75"/>
      <c r="FB23" s="78"/>
      <c r="FC23" s="75"/>
      <c r="FD23" s="75"/>
      <c r="FE23" s="75"/>
      <c r="FF23" s="75"/>
      <c r="FG23" s="48"/>
    </row>
    <row r="24" spans="1:163" ht="13.35" hidden="1" customHeight="1" outlineLevel="2">
      <c r="A24" s="48"/>
      <c r="B24" s="80">
        <v>1</v>
      </c>
      <c r="C24" s="80">
        <v>1</v>
      </c>
      <c r="D24" s="140" t="s">
        <v>27</v>
      </c>
      <c r="E24" s="48"/>
      <c r="F24" s="338"/>
      <c r="G24" s="619"/>
      <c r="H24" s="282"/>
      <c r="I24" s="339"/>
      <c r="J24" s="339"/>
      <c r="K24" s="339"/>
      <c r="L24" s="339"/>
      <c r="M24" s="339"/>
      <c r="N24" s="339"/>
      <c r="O24" s="339"/>
      <c r="P24" s="339"/>
      <c r="Q24" s="339"/>
      <c r="R24" s="339"/>
      <c r="S24" s="339"/>
      <c r="T24" s="48"/>
      <c r="U24" s="123"/>
      <c r="V24" s="131"/>
      <c r="W24" s="338"/>
      <c r="X24" s="619">
        <f t="shared" si="19"/>
        <v>0</v>
      </c>
      <c r="Y24" s="282"/>
      <c r="Z24" s="339"/>
      <c r="AA24" s="339"/>
      <c r="AB24" s="339"/>
      <c r="AC24" s="339"/>
      <c r="AD24" s="339"/>
      <c r="AE24" s="339"/>
      <c r="AF24" s="339"/>
      <c r="AG24" s="339"/>
      <c r="AH24" s="339"/>
      <c r="AI24" s="339"/>
      <c r="AJ24" s="339"/>
      <c r="AK24" s="339"/>
      <c r="AL24" s="340"/>
      <c r="AM24" s="340"/>
      <c r="AN24" s="340"/>
      <c r="AO24" s="345"/>
      <c r="AP24" s="328"/>
      <c r="AQ24" s="328"/>
      <c r="AR24" s="616">
        <f t="shared" si="32"/>
        <v>0</v>
      </c>
      <c r="AS24" s="328"/>
      <c r="AT24" s="328"/>
      <c r="AU24" s="328"/>
      <c r="AV24" s="328"/>
      <c r="AW24" s="328"/>
      <c r="AX24" s="616">
        <f t="shared" si="33"/>
        <v>0</v>
      </c>
      <c r="AY24" s="328"/>
      <c r="AZ24" s="328"/>
      <c r="BA24" s="328"/>
      <c r="BB24" s="328"/>
      <c r="BC24" s="328"/>
      <c r="BD24" s="328"/>
      <c r="BE24" s="326"/>
      <c r="BF24" s="343"/>
      <c r="BG24" s="344"/>
      <c r="BH24" s="618">
        <f t="shared" si="22"/>
        <v>0</v>
      </c>
      <c r="BI24" s="339"/>
      <c r="BJ24" s="339"/>
      <c r="BK24" s="339"/>
      <c r="BL24" s="339"/>
      <c r="BM24" s="339"/>
      <c r="BN24" s="339"/>
      <c r="BO24" s="339"/>
      <c r="BP24" s="339"/>
      <c r="BQ24" s="339"/>
      <c r="BR24" s="339"/>
      <c r="BS24" s="339"/>
      <c r="BT24" s="339"/>
      <c r="BU24" s="339"/>
      <c r="BV24" s="525"/>
      <c r="BW24" s="525"/>
      <c r="BX24" s="525"/>
      <c r="BY24" s="345"/>
      <c r="BZ24" s="532"/>
      <c r="CA24" s="532"/>
      <c r="CB24" s="532"/>
      <c r="CC24" s="536"/>
      <c r="CD24" s="536"/>
      <c r="CE24" s="536"/>
      <c r="CF24" s="536"/>
      <c r="CG24" s="536"/>
      <c r="CH24" s="532"/>
      <c r="CI24" s="536"/>
      <c r="CJ24" s="536"/>
      <c r="CK24" s="536"/>
      <c r="CL24" s="536"/>
      <c r="CM24" s="343"/>
      <c r="CN24" s="343"/>
      <c r="CO24" s="326"/>
      <c r="CP24" s="343"/>
      <c r="CQ24" s="344"/>
      <c r="CR24" s="618">
        <f t="shared" si="25"/>
        <v>0</v>
      </c>
      <c r="CS24" s="339"/>
      <c r="CT24" s="339"/>
      <c r="CU24" s="339"/>
      <c r="CV24" s="339"/>
      <c r="CW24" s="339"/>
      <c r="CX24" s="339"/>
      <c r="CY24" s="339"/>
      <c r="CZ24" s="339"/>
      <c r="DA24" s="339"/>
      <c r="DB24" s="339"/>
      <c r="DC24" s="339"/>
      <c r="DD24" s="339"/>
      <c r="DE24" s="339"/>
      <c r="DF24" s="603"/>
      <c r="DG24" s="603"/>
      <c r="DH24" s="603"/>
      <c r="DI24" s="345"/>
      <c r="DJ24" s="328"/>
      <c r="DK24" s="328"/>
      <c r="DL24" s="328"/>
      <c r="DM24" s="339"/>
      <c r="DN24" s="339"/>
      <c r="DO24" s="339"/>
      <c r="DP24" s="339"/>
      <c r="DQ24" s="339"/>
      <c r="DR24" s="328"/>
      <c r="DS24" s="339"/>
      <c r="DT24" s="339"/>
      <c r="DU24" s="339"/>
      <c r="DV24" s="339"/>
      <c r="DW24" s="343"/>
      <c r="DX24" s="343"/>
      <c r="DY24" s="326"/>
      <c r="DZ24" s="343"/>
      <c r="EA24" s="344"/>
      <c r="EB24" s="618">
        <f t="shared" si="28"/>
        <v>0</v>
      </c>
      <c r="EC24" s="615">
        <f>IFERROR(IF(EP24=100%,EA24,0),0)</f>
        <v>0</v>
      </c>
      <c r="ED24" s="615">
        <f>IFERROR(IF(AND((EP24+EQ24)=100%,EP24&lt;1),EA24,0),0)</f>
        <v>0</v>
      </c>
      <c r="EE24" s="81"/>
      <c r="EF24" s="81"/>
      <c r="EG24" s="81"/>
      <c r="EH24" s="81"/>
      <c r="EI24" s="81"/>
      <c r="EJ24" s="615">
        <f>IFERROR(IF(AND((EU24+EV24)=100%,EU24&lt;1),EG24,0),0)</f>
        <v>0</v>
      </c>
      <c r="EK24" s="81"/>
      <c r="EL24" s="81"/>
      <c r="EM24" s="81"/>
      <c r="EN24" s="81"/>
      <c r="EO24" s="81"/>
      <c r="EP24" s="103"/>
      <c r="EQ24" s="103"/>
      <c r="ER24" s="103"/>
      <c r="ES24" s="55"/>
      <c r="ET24" s="71"/>
      <c r="EU24" s="71"/>
      <c r="EV24" s="71"/>
      <c r="EW24" s="81"/>
      <c r="EX24" s="81"/>
      <c r="EY24" s="81"/>
      <c r="EZ24" s="81"/>
      <c r="FA24" s="81"/>
      <c r="FB24" s="71"/>
      <c r="FC24" s="81"/>
      <c r="FD24" s="81"/>
      <c r="FE24" s="81"/>
      <c r="FF24" s="81"/>
      <c r="FG24" s="48"/>
    </row>
    <row r="25" spans="1:163" ht="13.35" hidden="1" customHeight="1" outlineLevel="2">
      <c r="A25" s="48"/>
      <c r="B25" s="80">
        <v>2</v>
      </c>
      <c r="C25" s="80">
        <v>2</v>
      </c>
      <c r="D25" s="140" t="s">
        <v>32</v>
      </c>
      <c r="E25" s="48"/>
      <c r="F25" s="338"/>
      <c r="G25" s="619"/>
      <c r="H25" s="282"/>
      <c r="I25" s="339"/>
      <c r="J25" s="339"/>
      <c r="K25" s="339"/>
      <c r="L25" s="339"/>
      <c r="M25" s="339"/>
      <c r="N25" s="339"/>
      <c r="O25" s="339"/>
      <c r="P25" s="339"/>
      <c r="Q25" s="339"/>
      <c r="R25" s="339"/>
      <c r="S25" s="339"/>
      <c r="T25" s="48"/>
      <c r="U25" s="123"/>
      <c r="V25" s="131"/>
      <c r="W25" s="338"/>
      <c r="X25" s="619">
        <f t="shared" si="19"/>
        <v>0</v>
      </c>
      <c r="Y25" s="282"/>
      <c r="Z25" s="339"/>
      <c r="AA25" s="339"/>
      <c r="AB25" s="339"/>
      <c r="AC25" s="339"/>
      <c r="AD25" s="339"/>
      <c r="AE25" s="339"/>
      <c r="AF25" s="339"/>
      <c r="AG25" s="339"/>
      <c r="AH25" s="339"/>
      <c r="AI25" s="339"/>
      <c r="AJ25" s="339"/>
      <c r="AK25" s="339"/>
      <c r="AL25" s="340"/>
      <c r="AM25" s="340"/>
      <c r="AN25" s="340"/>
      <c r="AO25" s="345"/>
      <c r="AP25" s="328"/>
      <c r="AQ25" s="328"/>
      <c r="AR25" s="616">
        <f t="shared" si="32"/>
        <v>0</v>
      </c>
      <c r="AS25" s="328"/>
      <c r="AT25" s="328"/>
      <c r="AU25" s="328"/>
      <c r="AV25" s="328"/>
      <c r="AW25" s="328"/>
      <c r="AX25" s="616">
        <f t="shared" si="33"/>
        <v>0</v>
      </c>
      <c r="AY25" s="328"/>
      <c r="AZ25" s="328"/>
      <c r="BA25" s="328"/>
      <c r="BB25" s="328"/>
      <c r="BC25" s="328"/>
      <c r="BD25" s="328"/>
      <c r="BE25" s="326"/>
      <c r="BF25" s="343"/>
      <c r="BG25" s="344"/>
      <c r="BH25" s="618">
        <f t="shared" si="22"/>
        <v>0</v>
      </c>
      <c r="BI25" s="339"/>
      <c r="BJ25" s="339"/>
      <c r="BK25" s="339"/>
      <c r="BL25" s="339"/>
      <c r="BM25" s="339"/>
      <c r="BN25" s="339"/>
      <c r="BO25" s="339"/>
      <c r="BP25" s="339"/>
      <c r="BQ25" s="339"/>
      <c r="BR25" s="339"/>
      <c r="BS25" s="339"/>
      <c r="BT25" s="339"/>
      <c r="BU25" s="339"/>
      <c r="BV25" s="525"/>
      <c r="BW25" s="525"/>
      <c r="BX25" s="525"/>
      <c r="BY25" s="345"/>
      <c r="BZ25" s="532"/>
      <c r="CA25" s="532"/>
      <c r="CB25" s="539"/>
      <c r="CC25" s="536"/>
      <c r="CD25" s="536"/>
      <c r="CE25" s="536"/>
      <c r="CF25" s="536"/>
      <c r="CG25" s="536"/>
      <c r="CH25" s="539"/>
      <c r="CI25" s="536"/>
      <c r="CJ25" s="536"/>
      <c r="CK25" s="536"/>
      <c r="CL25" s="536"/>
      <c r="CM25" s="343"/>
      <c r="CN25" s="343"/>
      <c r="CO25" s="326"/>
      <c r="CP25" s="343"/>
      <c r="CQ25" s="344"/>
      <c r="CR25" s="618">
        <f t="shared" si="25"/>
        <v>0</v>
      </c>
      <c r="CS25" s="339"/>
      <c r="CT25" s="339"/>
      <c r="CU25" s="339"/>
      <c r="CV25" s="339"/>
      <c r="CW25" s="339"/>
      <c r="CX25" s="339"/>
      <c r="CY25" s="339"/>
      <c r="CZ25" s="339"/>
      <c r="DA25" s="339"/>
      <c r="DB25" s="339"/>
      <c r="DC25" s="339"/>
      <c r="DD25" s="339"/>
      <c r="DE25" s="339"/>
      <c r="DF25" s="603"/>
      <c r="DG25" s="603"/>
      <c r="DH25" s="603"/>
      <c r="DI25" s="345"/>
      <c r="DJ25" s="328"/>
      <c r="DK25" s="328"/>
      <c r="DL25" s="328"/>
      <c r="DM25" s="339"/>
      <c r="DN25" s="339"/>
      <c r="DO25" s="339"/>
      <c r="DP25" s="339"/>
      <c r="DQ25" s="339"/>
      <c r="DR25" s="328"/>
      <c r="DS25" s="339"/>
      <c r="DT25" s="339"/>
      <c r="DU25" s="339"/>
      <c r="DV25" s="339"/>
      <c r="DW25" s="343"/>
      <c r="DX25" s="343"/>
      <c r="DY25" s="326"/>
      <c r="DZ25" s="343"/>
      <c r="EA25" s="344"/>
      <c r="EB25" s="618">
        <f t="shared" si="28"/>
        <v>0</v>
      </c>
      <c r="EC25" s="615">
        <f>IFERROR(IF(EP25=100%,EA25,0),0)</f>
        <v>0</v>
      </c>
      <c r="ED25" s="615">
        <f>IFERROR(IF(AND((EP25+EQ25)=100%,EP25&lt;1),EA25,0),0)</f>
        <v>0</v>
      </c>
      <c r="EE25" s="81"/>
      <c r="EF25" s="81"/>
      <c r="EG25" s="81"/>
      <c r="EH25" s="81"/>
      <c r="EI25" s="81"/>
      <c r="EJ25" s="615">
        <f>IFERROR(IF(AND((EU25+EV25)=100%,EU25&lt;1),EG25,0),0)</f>
        <v>0</v>
      </c>
      <c r="EK25" s="81"/>
      <c r="EL25" s="81"/>
      <c r="EM25" s="81"/>
      <c r="EN25" s="81"/>
      <c r="EO25" s="81"/>
      <c r="EP25" s="103"/>
      <c r="EQ25" s="103"/>
      <c r="ER25" s="103"/>
      <c r="ES25" s="55"/>
      <c r="ET25" s="71"/>
      <c r="EU25" s="71"/>
      <c r="EV25" s="71"/>
      <c r="EW25" s="81"/>
      <c r="EX25" s="81"/>
      <c r="EY25" s="81"/>
      <c r="EZ25" s="81"/>
      <c r="FA25" s="81"/>
      <c r="FB25" s="71"/>
      <c r="FC25" s="81"/>
      <c r="FD25" s="81"/>
      <c r="FE25" s="81"/>
      <c r="FF25" s="81"/>
      <c r="FG25" s="48"/>
    </row>
    <row r="26" spans="1:163" ht="13.35" hidden="1" customHeight="1" outlineLevel="2">
      <c r="A26" s="48"/>
      <c r="B26" s="80">
        <v>3</v>
      </c>
      <c r="C26" s="80">
        <v>3</v>
      </c>
      <c r="D26" s="140" t="s">
        <v>33</v>
      </c>
      <c r="E26" s="48"/>
      <c r="F26" s="338"/>
      <c r="G26" s="619"/>
      <c r="H26" s="282"/>
      <c r="I26" s="339"/>
      <c r="J26" s="339"/>
      <c r="K26" s="339"/>
      <c r="L26" s="339"/>
      <c r="M26" s="339"/>
      <c r="N26" s="339"/>
      <c r="O26" s="339"/>
      <c r="P26" s="339"/>
      <c r="Q26" s="339"/>
      <c r="R26" s="339"/>
      <c r="S26" s="339"/>
      <c r="T26" s="48"/>
      <c r="U26" s="123"/>
      <c r="V26" s="131"/>
      <c r="W26" s="338"/>
      <c r="X26" s="619">
        <f t="shared" si="19"/>
        <v>0</v>
      </c>
      <c r="Y26" s="282"/>
      <c r="Z26" s="339"/>
      <c r="AA26" s="339"/>
      <c r="AB26" s="339"/>
      <c r="AC26" s="339"/>
      <c r="AD26" s="339"/>
      <c r="AE26" s="339"/>
      <c r="AF26" s="339"/>
      <c r="AG26" s="339"/>
      <c r="AH26" s="339"/>
      <c r="AI26" s="339"/>
      <c r="AJ26" s="339"/>
      <c r="AK26" s="339"/>
      <c r="AL26" s="340"/>
      <c r="AM26" s="340"/>
      <c r="AN26" s="340"/>
      <c r="AO26" s="345"/>
      <c r="AP26" s="328"/>
      <c r="AQ26" s="328"/>
      <c r="AR26" s="616">
        <f t="shared" si="32"/>
        <v>0</v>
      </c>
      <c r="AS26" s="328"/>
      <c r="AT26" s="328"/>
      <c r="AU26" s="328"/>
      <c r="AV26" s="328"/>
      <c r="AW26" s="328"/>
      <c r="AX26" s="616">
        <f t="shared" si="33"/>
        <v>0</v>
      </c>
      <c r="AY26" s="328"/>
      <c r="AZ26" s="328"/>
      <c r="BA26" s="328"/>
      <c r="BB26" s="328"/>
      <c r="BC26" s="328"/>
      <c r="BD26" s="328"/>
      <c r="BE26" s="326"/>
      <c r="BF26" s="343"/>
      <c r="BG26" s="344"/>
      <c r="BH26" s="618">
        <f t="shared" si="22"/>
        <v>0</v>
      </c>
      <c r="BI26" s="339"/>
      <c r="BJ26" s="339"/>
      <c r="BK26" s="339"/>
      <c r="BL26" s="339"/>
      <c r="BM26" s="339"/>
      <c r="BN26" s="339"/>
      <c r="BO26" s="339"/>
      <c r="BP26" s="339"/>
      <c r="BQ26" s="339"/>
      <c r="BR26" s="339"/>
      <c r="BS26" s="339"/>
      <c r="BT26" s="339"/>
      <c r="BU26" s="339"/>
      <c r="BV26" s="525"/>
      <c r="BW26" s="525"/>
      <c r="BX26" s="525"/>
      <c r="BY26" s="345"/>
      <c r="BZ26" s="532"/>
      <c r="CA26" s="532"/>
      <c r="CB26" s="539"/>
      <c r="CC26" s="536"/>
      <c r="CD26" s="536"/>
      <c r="CE26" s="536"/>
      <c r="CF26" s="536"/>
      <c r="CG26" s="536"/>
      <c r="CH26" s="539"/>
      <c r="CI26" s="536"/>
      <c r="CJ26" s="536"/>
      <c r="CK26" s="536"/>
      <c r="CL26" s="536"/>
      <c r="CM26" s="343"/>
      <c r="CN26" s="343"/>
      <c r="CO26" s="326"/>
      <c r="CP26" s="343"/>
      <c r="CQ26" s="344"/>
      <c r="CR26" s="618">
        <f t="shared" si="25"/>
        <v>0</v>
      </c>
      <c r="CS26" s="339"/>
      <c r="CT26" s="339"/>
      <c r="CU26" s="339"/>
      <c r="CV26" s="339"/>
      <c r="CW26" s="339"/>
      <c r="CX26" s="339"/>
      <c r="CY26" s="339"/>
      <c r="CZ26" s="339"/>
      <c r="DA26" s="339"/>
      <c r="DB26" s="339"/>
      <c r="DC26" s="339"/>
      <c r="DD26" s="339"/>
      <c r="DE26" s="339"/>
      <c r="DF26" s="603"/>
      <c r="DG26" s="603"/>
      <c r="DH26" s="603"/>
      <c r="DI26" s="345"/>
      <c r="DJ26" s="328"/>
      <c r="DK26" s="328"/>
      <c r="DL26" s="328"/>
      <c r="DM26" s="339"/>
      <c r="DN26" s="339"/>
      <c r="DO26" s="339"/>
      <c r="DP26" s="339"/>
      <c r="DQ26" s="339"/>
      <c r="DR26" s="328"/>
      <c r="DS26" s="339"/>
      <c r="DT26" s="339"/>
      <c r="DU26" s="339"/>
      <c r="DV26" s="339"/>
      <c r="DW26" s="343"/>
      <c r="DX26" s="343"/>
      <c r="DY26" s="326"/>
      <c r="DZ26" s="343"/>
      <c r="EA26" s="344"/>
      <c r="EB26" s="618">
        <f t="shared" si="28"/>
        <v>0</v>
      </c>
      <c r="EC26" s="615">
        <f>IFERROR(IF(EP26=100%,EA26,0),0)</f>
        <v>0</v>
      </c>
      <c r="ED26" s="615">
        <f>IFERROR(IF(AND((EP26+EQ26)=100%,EP26&lt;1),EA26,0),0)</f>
        <v>0</v>
      </c>
      <c r="EE26" s="81"/>
      <c r="EF26" s="81"/>
      <c r="EG26" s="81"/>
      <c r="EH26" s="81"/>
      <c r="EI26" s="81"/>
      <c r="EJ26" s="615">
        <f>IFERROR(IF(AND((EU26+EV26)=100%,EU26&lt;1),EG26,0),0)</f>
        <v>0</v>
      </c>
      <c r="EK26" s="81"/>
      <c r="EL26" s="81"/>
      <c r="EM26" s="81"/>
      <c r="EN26" s="81"/>
      <c r="EO26" s="81"/>
      <c r="EP26" s="103"/>
      <c r="EQ26" s="103"/>
      <c r="ER26" s="103"/>
      <c r="ES26" s="55"/>
      <c r="ET26" s="71"/>
      <c r="EU26" s="71"/>
      <c r="EV26" s="71"/>
      <c r="EW26" s="81"/>
      <c r="EX26" s="81"/>
      <c r="EY26" s="81"/>
      <c r="EZ26" s="81"/>
      <c r="FA26" s="81"/>
      <c r="FB26" s="71"/>
      <c r="FC26" s="81"/>
      <c r="FD26" s="81"/>
      <c r="FE26" s="81"/>
      <c r="FF26" s="81"/>
      <c r="FG26" s="48"/>
    </row>
    <row r="27" spans="1:163" ht="13.35" hidden="1" customHeight="1" outlineLevel="2">
      <c r="A27" s="48"/>
      <c r="B27" s="80">
        <v>4</v>
      </c>
      <c r="C27" s="80">
        <v>4</v>
      </c>
      <c r="D27" s="140" t="s">
        <v>29</v>
      </c>
      <c r="E27" s="48"/>
      <c r="F27" s="338"/>
      <c r="G27" s="619"/>
      <c r="H27" s="282"/>
      <c r="I27" s="339"/>
      <c r="J27" s="339"/>
      <c r="K27" s="339"/>
      <c r="L27" s="339"/>
      <c r="M27" s="339"/>
      <c r="N27" s="339"/>
      <c r="O27" s="339"/>
      <c r="P27" s="339"/>
      <c r="Q27" s="339"/>
      <c r="R27" s="339"/>
      <c r="S27" s="339"/>
      <c r="T27" s="48"/>
      <c r="U27" s="123"/>
      <c r="V27" s="131"/>
      <c r="W27" s="338"/>
      <c r="X27" s="619">
        <f t="shared" si="19"/>
        <v>0</v>
      </c>
      <c r="Y27" s="282"/>
      <c r="Z27" s="339"/>
      <c r="AA27" s="339"/>
      <c r="AB27" s="339"/>
      <c r="AC27" s="339"/>
      <c r="AD27" s="339"/>
      <c r="AE27" s="339"/>
      <c r="AF27" s="339"/>
      <c r="AG27" s="339"/>
      <c r="AH27" s="339"/>
      <c r="AI27" s="339"/>
      <c r="AJ27" s="339"/>
      <c r="AK27" s="339"/>
      <c r="AL27" s="340"/>
      <c r="AM27" s="340"/>
      <c r="AN27" s="340"/>
      <c r="AO27" s="345"/>
      <c r="AP27" s="328"/>
      <c r="AQ27" s="328"/>
      <c r="AR27" s="616">
        <f t="shared" si="32"/>
        <v>0</v>
      </c>
      <c r="AS27" s="328"/>
      <c r="AT27" s="328"/>
      <c r="AU27" s="328"/>
      <c r="AV27" s="328"/>
      <c r="AW27" s="328"/>
      <c r="AX27" s="616">
        <f t="shared" si="33"/>
        <v>0</v>
      </c>
      <c r="AY27" s="328"/>
      <c r="AZ27" s="328"/>
      <c r="BA27" s="328"/>
      <c r="BB27" s="328"/>
      <c r="BC27" s="328"/>
      <c r="BD27" s="328"/>
      <c r="BE27" s="326"/>
      <c r="BF27" s="343"/>
      <c r="BG27" s="344"/>
      <c r="BH27" s="618">
        <f t="shared" si="22"/>
        <v>0</v>
      </c>
      <c r="BI27" s="339"/>
      <c r="BJ27" s="339"/>
      <c r="BK27" s="339"/>
      <c r="BL27" s="339"/>
      <c r="BM27" s="339"/>
      <c r="BN27" s="339"/>
      <c r="BO27" s="339"/>
      <c r="BP27" s="339"/>
      <c r="BQ27" s="339"/>
      <c r="BR27" s="339"/>
      <c r="BS27" s="339"/>
      <c r="BT27" s="339"/>
      <c r="BU27" s="339"/>
      <c r="BV27" s="525"/>
      <c r="BW27" s="525"/>
      <c r="BX27" s="525"/>
      <c r="BY27" s="345"/>
      <c r="BZ27" s="532"/>
      <c r="CA27" s="532"/>
      <c r="CB27" s="539"/>
      <c r="CC27" s="536"/>
      <c r="CD27" s="536"/>
      <c r="CE27" s="536"/>
      <c r="CF27" s="536"/>
      <c r="CG27" s="536"/>
      <c r="CH27" s="539"/>
      <c r="CI27" s="536"/>
      <c r="CJ27" s="536"/>
      <c r="CK27" s="536"/>
      <c r="CL27" s="536"/>
      <c r="CM27" s="343"/>
      <c r="CN27" s="343"/>
      <c r="CO27" s="326"/>
      <c r="CP27" s="343"/>
      <c r="CQ27" s="344"/>
      <c r="CR27" s="618">
        <f t="shared" si="25"/>
        <v>0</v>
      </c>
      <c r="CS27" s="339"/>
      <c r="CT27" s="339"/>
      <c r="CU27" s="339"/>
      <c r="CV27" s="339"/>
      <c r="CW27" s="339"/>
      <c r="CX27" s="339"/>
      <c r="CY27" s="339"/>
      <c r="CZ27" s="339"/>
      <c r="DA27" s="339"/>
      <c r="DB27" s="339"/>
      <c r="DC27" s="339"/>
      <c r="DD27" s="339"/>
      <c r="DE27" s="339"/>
      <c r="DF27" s="603"/>
      <c r="DG27" s="603"/>
      <c r="DH27" s="603"/>
      <c r="DI27" s="345"/>
      <c r="DJ27" s="328"/>
      <c r="DK27" s="328"/>
      <c r="DL27" s="328"/>
      <c r="DM27" s="339"/>
      <c r="DN27" s="339"/>
      <c r="DO27" s="339"/>
      <c r="DP27" s="339"/>
      <c r="DQ27" s="339"/>
      <c r="DR27" s="328"/>
      <c r="DS27" s="339"/>
      <c r="DT27" s="339"/>
      <c r="DU27" s="339"/>
      <c r="DV27" s="339"/>
      <c r="DW27" s="343"/>
      <c r="DX27" s="343"/>
      <c r="DY27" s="326"/>
      <c r="DZ27" s="343"/>
      <c r="EA27" s="344"/>
      <c r="EB27" s="618">
        <f t="shared" si="28"/>
        <v>0</v>
      </c>
      <c r="EC27" s="615">
        <f>IFERROR(IF(EP27=100%,EA27,0),0)</f>
        <v>0</v>
      </c>
      <c r="ED27" s="615">
        <f>IFERROR(IF(AND((EP27+EQ27)=100%,EP27&lt;1),EA27,0),0)</f>
        <v>0</v>
      </c>
      <c r="EE27" s="81"/>
      <c r="EF27" s="81"/>
      <c r="EG27" s="81"/>
      <c r="EH27" s="81"/>
      <c r="EI27" s="81"/>
      <c r="EJ27" s="615">
        <f>IFERROR(IF(AND((EU27+EV27)=100%,EU27&lt;1),EG27,0),0)</f>
        <v>0</v>
      </c>
      <c r="EK27" s="81"/>
      <c r="EL27" s="81"/>
      <c r="EM27" s="81"/>
      <c r="EN27" s="81"/>
      <c r="EO27" s="81"/>
      <c r="EP27" s="103"/>
      <c r="EQ27" s="103"/>
      <c r="ER27" s="103"/>
      <c r="ES27" s="55"/>
      <c r="ET27" s="71"/>
      <c r="EU27" s="71"/>
      <c r="EV27" s="71"/>
      <c r="EW27" s="81"/>
      <c r="EX27" s="81"/>
      <c r="EY27" s="81"/>
      <c r="EZ27" s="81"/>
      <c r="FA27" s="81"/>
      <c r="FB27" s="71"/>
      <c r="FC27" s="81"/>
      <c r="FD27" s="81"/>
      <c r="FE27" s="81"/>
      <c r="FF27" s="81"/>
      <c r="FG27" s="48"/>
    </row>
    <row r="28" spans="1:163" ht="13.35" hidden="1" customHeight="1" outlineLevel="2">
      <c r="A28" s="48"/>
      <c r="B28" s="80">
        <v>5</v>
      </c>
      <c r="C28" s="80">
        <v>5</v>
      </c>
      <c r="D28" s="140" t="s">
        <v>30</v>
      </c>
      <c r="E28" s="126"/>
      <c r="F28" s="338"/>
      <c r="G28" s="619"/>
      <c r="H28" s="282"/>
      <c r="I28" s="339"/>
      <c r="J28" s="339"/>
      <c r="K28" s="339"/>
      <c r="L28" s="339"/>
      <c r="M28" s="339"/>
      <c r="N28" s="339"/>
      <c r="O28" s="339"/>
      <c r="P28" s="339"/>
      <c r="Q28" s="339"/>
      <c r="R28" s="339"/>
      <c r="S28" s="339"/>
      <c r="T28" s="126"/>
      <c r="U28" s="124"/>
      <c r="V28" s="132"/>
      <c r="W28" s="338"/>
      <c r="X28" s="619">
        <f t="shared" si="19"/>
        <v>0</v>
      </c>
      <c r="Y28" s="282"/>
      <c r="Z28" s="339"/>
      <c r="AA28" s="339"/>
      <c r="AB28" s="339"/>
      <c r="AC28" s="339"/>
      <c r="AD28" s="339"/>
      <c r="AE28" s="339"/>
      <c r="AF28" s="339"/>
      <c r="AG28" s="339"/>
      <c r="AH28" s="339"/>
      <c r="AI28" s="339"/>
      <c r="AJ28" s="339"/>
      <c r="AK28" s="339"/>
      <c r="AL28" s="340"/>
      <c r="AM28" s="340"/>
      <c r="AN28" s="340"/>
      <c r="AO28" s="347"/>
      <c r="AP28" s="328"/>
      <c r="AQ28" s="328"/>
      <c r="AR28" s="616">
        <f t="shared" si="32"/>
        <v>0</v>
      </c>
      <c r="AS28" s="328"/>
      <c r="AT28" s="328"/>
      <c r="AU28" s="328"/>
      <c r="AV28" s="328"/>
      <c r="AW28" s="328"/>
      <c r="AX28" s="616">
        <f t="shared" si="33"/>
        <v>0</v>
      </c>
      <c r="AY28" s="328"/>
      <c r="AZ28" s="328"/>
      <c r="BA28" s="328"/>
      <c r="BB28" s="328"/>
      <c r="BC28" s="328"/>
      <c r="BD28" s="328"/>
      <c r="BE28" s="326"/>
      <c r="BF28" s="136"/>
      <c r="BG28" s="344"/>
      <c r="BH28" s="618">
        <f t="shared" si="22"/>
        <v>0</v>
      </c>
      <c r="BI28" s="339"/>
      <c r="BJ28" s="339"/>
      <c r="BK28" s="339"/>
      <c r="BL28" s="339"/>
      <c r="BM28" s="339"/>
      <c r="BN28" s="339"/>
      <c r="BO28" s="339"/>
      <c r="BP28" s="339"/>
      <c r="BQ28" s="339"/>
      <c r="BR28" s="339"/>
      <c r="BS28" s="339"/>
      <c r="BT28" s="339"/>
      <c r="BU28" s="339"/>
      <c r="BV28" s="525"/>
      <c r="BW28" s="525"/>
      <c r="BX28" s="525"/>
      <c r="BY28" s="347"/>
      <c r="BZ28" s="532"/>
      <c r="CA28" s="532"/>
      <c r="CB28" s="539"/>
      <c r="CC28" s="536"/>
      <c r="CD28" s="536"/>
      <c r="CE28" s="536"/>
      <c r="CF28" s="536"/>
      <c r="CG28" s="536"/>
      <c r="CH28" s="539"/>
      <c r="CI28" s="536"/>
      <c r="CJ28" s="536"/>
      <c r="CK28" s="536"/>
      <c r="CL28" s="536"/>
      <c r="CM28" s="136"/>
      <c r="CN28" s="136"/>
      <c r="CO28" s="342"/>
      <c r="CP28" s="136"/>
      <c r="CQ28" s="344"/>
      <c r="CR28" s="618">
        <f t="shared" si="25"/>
        <v>0</v>
      </c>
      <c r="CS28" s="339"/>
      <c r="CT28" s="339"/>
      <c r="CU28" s="339"/>
      <c r="CV28" s="339"/>
      <c r="CW28" s="339"/>
      <c r="CX28" s="339"/>
      <c r="CY28" s="339"/>
      <c r="CZ28" s="339"/>
      <c r="DA28" s="339"/>
      <c r="DB28" s="339"/>
      <c r="DC28" s="339"/>
      <c r="DD28" s="339"/>
      <c r="DE28" s="339"/>
      <c r="DF28" s="603"/>
      <c r="DG28" s="603"/>
      <c r="DH28" s="603"/>
      <c r="DI28" s="347"/>
      <c r="DJ28" s="328"/>
      <c r="DK28" s="328"/>
      <c r="DL28" s="328"/>
      <c r="DM28" s="339"/>
      <c r="DN28" s="339"/>
      <c r="DO28" s="339"/>
      <c r="DP28" s="339"/>
      <c r="DQ28" s="339"/>
      <c r="DR28" s="328"/>
      <c r="DS28" s="339"/>
      <c r="DT28" s="339"/>
      <c r="DU28" s="339"/>
      <c r="DV28" s="339"/>
      <c r="DW28" s="136"/>
      <c r="DX28" s="136"/>
      <c r="DY28" s="342"/>
      <c r="DZ28" s="136"/>
      <c r="EA28" s="344"/>
      <c r="EB28" s="618">
        <f t="shared" si="28"/>
        <v>0</v>
      </c>
      <c r="EC28" s="615">
        <f>IFERROR(IF(EP28=100%,EA28,0),0)</f>
        <v>0</v>
      </c>
      <c r="ED28" s="615">
        <f>IFERROR(IF(AND((EP28+EQ28)=100%,EP28&lt;1),EA28,0),0)</f>
        <v>0</v>
      </c>
      <c r="EE28" s="81"/>
      <c r="EF28" s="81"/>
      <c r="EG28" s="81"/>
      <c r="EH28" s="81"/>
      <c r="EI28" s="81"/>
      <c r="EJ28" s="615">
        <f>IFERROR(IF(AND((EU28+EV28)=100%,EU28&lt;1),EG28,0),0)</f>
        <v>0</v>
      </c>
      <c r="EK28" s="81"/>
      <c r="EL28" s="81"/>
      <c r="EM28" s="81"/>
      <c r="EN28" s="81"/>
      <c r="EO28" s="81"/>
      <c r="EP28" s="103"/>
      <c r="EQ28" s="103"/>
      <c r="ER28" s="103"/>
      <c r="ES28" s="83"/>
      <c r="ET28" s="71"/>
      <c r="EU28" s="71"/>
      <c r="EV28" s="71"/>
      <c r="EW28" s="81"/>
      <c r="EX28" s="81"/>
      <c r="EY28" s="81"/>
      <c r="EZ28" s="81"/>
      <c r="FA28" s="81"/>
      <c r="FB28" s="71"/>
      <c r="FC28" s="81"/>
      <c r="FD28" s="81"/>
      <c r="FE28" s="81"/>
      <c r="FF28" s="81"/>
      <c r="FG28" s="126"/>
    </row>
    <row r="29" spans="1:163" ht="3" hidden="1" customHeight="1" outlineLevel="1">
      <c r="A29" s="48"/>
      <c r="B29" s="49"/>
      <c r="C29" s="49"/>
      <c r="D29" s="48"/>
      <c r="E29" s="48"/>
      <c r="F29" s="338"/>
      <c r="G29" s="619"/>
      <c r="H29" s="283"/>
      <c r="I29" s="348"/>
      <c r="J29" s="348"/>
      <c r="K29" s="348"/>
      <c r="L29" s="348"/>
      <c r="M29" s="348"/>
      <c r="N29" s="348"/>
      <c r="O29" s="348"/>
      <c r="P29" s="348"/>
      <c r="Q29" s="348"/>
      <c r="R29" s="348"/>
      <c r="S29" s="348"/>
      <c r="T29" s="48"/>
      <c r="U29" s="123"/>
      <c r="V29" s="131"/>
      <c r="W29" s="338"/>
      <c r="X29" s="619">
        <f t="shared" si="19"/>
        <v>0</v>
      </c>
      <c r="Y29" s="283"/>
      <c r="Z29" s="348"/>
      <c r="AA29" s="348"/>
      <c r="AB29" s="348"/>
      <c r="AC29" s="348"/>
      <c r="AD29" s="348"/>
      <c r="AE29" s="348"/>
      <c r="AF29" s="348"/>
      <c r="AG29" s="348"/>
      <c r="AH29" s="348"/>
      <c r="AI29" s="348"/>
      <c r="AJ29" s="348"/>
      <c r="AK29" s="348"/>
      <c r="AL29" s="349"/>
      <c r="AM29" s="349"/>
      <c r="AN29" s="349"/>
      <c r="AO29" s="341"/>
      <c r="AP29" s="328"/>
      <c r="AQ29" s="328"/>
      <c r="AR29" s="616">
        <f t="shared" si="32"/>
        <v>0</v>
      </c>
      <c r="AS29" s="328"/>
      <c r="AT29" s="328"/>
      <c r="AU29" s="328"/>
      <c r="AV29" s="328"/>
      <c r="AW29" s="328"/>
      <c r="AX29" s="616">
        <f t="shared" si="33"/>
        <v>0</v>
      </c>
      <c r="AY29" s="328"/>
      <c r="AZ29" s="328"/>
      <c r="BA29" s="328"/>
      <c r="BB29" s="328"/>
      <c r="BC29" s="350"/>
      <c r="BD29" s="350"/>
      <c r="BE29" s="326"/>
      <c r="BF29" s="343"/>
      <c r="BG29" s="344"/>
      <c r="BH29" s="618">
        <f t="shared" si="22"/>
        <v>0</v>
      </c>
      <c r="BI29" s="348"/>
      <c r="BJ29" s="348"/>
      <c r="BK29" s="348"/>
      <c r="BL29" s="348"/>
      <c r="BM29" s="348"/>
      <c r="BN29" s="348"/>
      <c r="BO29" s="348"/>
      <c r="BP29" s="348"/>
      <c r="BQ29" s="348"/>
      <c r="BR29" s="348"/>
      <c r="BS29" s="348"/>
      <c r="BT29" s="348"/>
      <c r="BU29" s="348"/>
      <c r="BV29" s="523"/>
      <c r="BW29" s="523"/>
      <c r="BX29" s="523"/>
      <c r="BY29" s="341"/>
      <c r="BZ29" s="532"/>
      <c r="CA29" s="532"/>
      <c r="CB29" s="539"/>
      <c r="CC29" s="532"/>
      <c r="CD29" s="532"/>
      <c r="CE29" s="532"/>
      <c r="CF29" s="532"/>
      <c r="CG29" s="532"/>
      <c r="CH29" s="539"/>
      <c r="CI29" s="532"/>
      <c r="CJ29" s="532"/>
      <c r="CK29" s="532"/>
      <c r="CL29" s="532"/>
      <c r="CM29" s="343"/>
      <c r="CN29" s="343"/>
      <c r="CO29" s="326"/>
      <c r="CP29" s="343"/>
      <c r="CQ29" s="344"/>
      <c r="CR29" s="618">
        <f t="shared" si="25"/>
        <v>0</v>
      </c>
      <c r="CS29" s="348"/>
      <c r="CT29" s="348"/>
      <c r="CU29" s="348"/>
      <c r="CV29" s="348"/>
      <c r="CW29" s="348"/>
      <c r="CX29" s="348"/>
      <c r="CY29" s="348"/>
      <c r="CZ29" s="348"/>
      <c r="DA29" s="348"/>
      <c r="DB29" s="348"/>
      <c r="DC29" s="348"/>
      <c r="DD29" s="348"/>
      <c r="DE29" s="348"/>
      <c r="DF29" s="604"/>
      <c r="DG29" s="604"/>
      <c r="DH29" s="604"/>
      <c r="DI29" s="341"/>
      <c r="DJ29" s="328"/>
      <c r="DK29" s="328"/>
      <c r="DL29" s="328"/>
      <c r="DM29" s="348"/>
      <c r="DN29" s="348"/>
      <c r="DO29" s="348"/>
      <c r="DP29" s="348"/>
      <c r="DQ29" s="348"/>
      <c r="DR29" s="328"/>
      <c r="DS29" s="348"/>
      <c r="DT29" s="348"/>
      <c r="DU29" s="348"/>
      <c r="DV29" s="348"/>
      <c r="DW29" s="343"/>
      <c r="DX29" s="343"/>
      <c r="DY29" s="326"/>
      <c r="DZ29" s="343"/>
      <c r="EA29" s="344"/>
      <c r="EB29" s="618">
        <f t="shared" si="28"/>
        <v>0</v>
      </c>
      <c r="EC29" s="85"/>
      <c r="ED29" s="85"/>
      <c r="EE29" s="85"/>
      <c r="EF29" s="85"/>
      <c r="EG29" s="85"/>
      <c r="EH29" s="85"/>
      <c r="EI29" s="85"/>
      <c r="EJ29" s="85"/>
      <c r="EK29" s="85"/>
      <c r="EL29" s="85"/>
      <c r="EM29" s="85"/>
      <c r="EN29" s="85"/>
      <c r="EO29" s="85"/>
      <c r="EP29" s="639"/>
      <c r="EQ29" s="639"/>
      <c r="ER29" s="639"/>
      <c r="ES29" s="82"/>
      <c r="ET29" s="71"/>
      <c r="EU29" s="71"/>
      <c r="EV29" s="71"/>
      <c r="EW29" s="85"/>
      <c r="EX29" s="85"/>
      <c r="EY29" s="85"/>
      <c r="EZ29" s="85"/>
      <c r="FA29" s="85"/>
      <c r="FB29" s="71"/>
      <c r="FC29" s="85"/>
      <c r="FD29" s="85"/>
      <c r="FE29" s="85"/>
      <c r="FF29" s="85"/>
      <c r="FG29" s="48"/>
    </row>
    <row r="30" spans="1:163" ht="14.25" hidden="1" outlineLevel="1">
      <c r="A30" s="48"/>
      <c r="B30" s="73"/>
      <c r="C30" s="73">
        <v>4</v>
      </c>
      <c r="D30" s="137" t="s">
        <v>34</v>
      </c>
      <c r="E30" s="74"/>
      <c r="F30" s="614">
        <f>W30+BG30+CQ30+EA30</f>
        <v>3.4275313310125801</v>
      </c>
      <c r="G30" s="614">
        <f>X30+BH30+CR30+EB30</f>
        <v>3.4275313310125801</v>
      </c>
      <c r="H30" s="612">
        <f>F30-G30</f>
        <v>0</v>
      </c>
      <c r="I30" s="614">
        <f t="shared" ref="I30" si="54">Z30+BJ30+CT30+ED30</f>
        <v>0</v>
      </c>
      <c r="J30" s="614">
        <f t="shared" ref="J30" si="55">AA30+BK30+CU30+EE30</f>
        <v>0</v>
      </c>
      <c r="K30" s="614">
        <f t="shared" ref="K30" si="56">AB30+BL30+CV30+EF30</f>
        <v>0</v>
      </c>
      <c r="L30" s="614">
        <f t="shared" ref="L30" si="57">AC30+BM30+CW30+EG30</f>
        <v>0</v>
      </c>
      <c r="M30" s="614">
        <f t="shared" ref="M30" si="58">AD30+BN30+CX30+EH30</f>
        <v>0</v>
      </c>
      <c r="N30" s="281"/>
      <c r="O30" s="614">
        <f t="shared" ref="O30" si="59">AF30+BP30+CZ30+EJ30</f>
        <v>0</v>
      </c>
      <c r="P30" s="614">
        <f t="shared" ref="P30" si="60">AG30+BQ30+DA30+EK30</f>
        <v>0</v>
      </c>
      <c r="Q30" s="614">
        <f t="shared" ref="Q30" si="61">AH30+BR30+DB30+EL30</f>
        <v>0</v>
      </c>
      <c r="R30" s="614">
        <f t="shared" ref="R30" si="62">AI30+BS30+DC30+EM30</f>
        <v>0</v>
      </c>
      <c r="S30" s="614">
        <f t="shared" ref="S30" si="63">AJ30+BT30+DD30+EN30</f>
        <v>0</v>
      </c>
      <c r="T30" s="74"/>
      <c r="U30" s="141">
        <v>0.05</v>
      </c>
      <c r="V30" s="125"/>
      <c r="W30" s="614">
        <f>U30*(5%*'BOQ COST'!$E$4)*1</f>
        <v>2.8797155000000001</v>
      </c>
      <c r="X30" s="614">
        <f t="shared" si="19"/>
        <v>2.8797155000000001</v>
      </c>
      <c r="Y30" s="612">
        <f>W30</f>
        <v>2.8797155000000001</v>
      </c>
      <c r="Z30" s="608">
        <f>SUM(Z31:Z36)</f>
        <v>0</v>
      </c>
      <c r="AA30" s="351"/>
      <c r="AB30" s="351"/>
      <c r="AC30" s="351"/>
      <c r="AD30" s="351"/>
      <c r="AE30" s="351"/>
      <c r="AF30" s="608">
        <f>SUM(AF31:AF36)</f>
        <v>0</v>
      </c>
      <c r="AG30" s="351"/>
      <c r="AH30" s="351"/>
      <c r="AI30" s="351"/>
      <c r="AJ30" s="351"/>
      <c r="AK30" s="351"/>
      <c r="AL30" s="352"/>
      <c r="AM30" s="352"/>
      <c r="AN30" s="352"/>
      <c r="AO30" s="353"/>
      <c r="AP30" s="354"/>
      <c r="AQ30" s="355"/>
      <c r="AR30" s="608">
        <f t="shared" si="32"/>
        <v>0</v>
      </c>
      <c r="AS30" s="355"/>
      <c r="AT30" s="355"/>
      <c r="AU30" s="355"/>
      <c r="AV30" s="355"/>
      <c r="AW30" s="355"/>
      <c r="AX30" s="608">
        <f t="shared" si="33"/>
        <v>0</v>
      </c>
      <c r="AY30" s="355"/>
      <c r="AZ30" s="355"/>
      <c r="BA30" s="355"/>
      <c r="BB30" s="355"/>
      <c r="BC30" s="355"/>
      <c r="BD30" s="355"/>
      <c r="BE30" s="356">
        <v>0</v>
      </c>
      <c r="BF30" s="356"/>
      <c r="BG30" s="608">
        <f>BE30*(3%*'BOQ COST'!$F$4)*1</f>
        <v>0</v>
      </c>
      <c r="BH30" s="614">
        <f t="shared" si="22"/>
        <v>0</v>
      </c>
      <c r="BI30" s="608">
        <f>BG30</f>
        <v>0</v>
      </c>
      <c r="BJ30" s="608">
        <f>SUM(BJ31:BJ36)</f>
        <v>0</v>
      </c>
      <c r="BK30" s="351"/>
      <c r="BL30" s="351"/>
      <c r="BM30" s="351"/>
      <c r="BN30" s="351"/>
      <c r="BO30" s="351"/>
      <c r="BP30" s="608">
        <f>SUM(BP31:BP36)</f>
        <v>0</v>
      </c>
      <c r="BQ30" s="351"/>
      <c r="BR30" s="351"/>
      <c r="BS30" s="351"/>
      <c r="BT30" s="351"/>
      <c r="BU30" s="351"/>
      <c r="BV30" s="526"/>
      <c r="BW30" s="526"/>
      <c r="BX30" s="526"/>
      <c r="BY30" s="353"/>
      <c r="BZ30" s="537"/>
      <c r="CA30" s="538"/>
      <c r="CB30" s="538"/>
      <c r="CC30" s="538"/>
      <c r="CD30" s="538"/>
      <c r="CE30" s="538"/>
      <c r="CF30" s="538"/>
      <c r="CG30" s="538"/>
      <c r="CH30" s="538"/>
      <c r="CI30" s="538"/>
      <c r="CJ30" s="538"/>
      <c r="CK30" s="538"/>
      <c r="CL30" s="538"/>
      <c r="CM30" s="356"/>
      <c r="CN30" s="356"/>
      <c r="CO30" s="332">
        <v>0.1</v>
      </c>
      <c r="CP30" s="356"/>
      <c r="CQ30" s="612">
        <f>CO30*(2%*'BOQ COST'!$G$4)*1</f>
        <v>0.48108652606258029</v>
      </c>
      <c r="CR30" s="614">
        <f t="shared" si="25"/>
        <v>0.48108652606258029</v>
      </c>
      <c r="CS30" s="608">
        <f>CQ30</f>
        <v>0.48108652606258029</v>
      </c>
      <c r="CT30" s="608">
        <f>SUM(CT31:CT36)</f>
        <v>0</v>
      </c>
      <c r="CU30" s="351"/>
      <c r="CV30" s="351"/>
      <c r="CW30" s="351"/>
      <c r="CX30" s="351"/>
      <c r="CY30" s="351"/>
      <c r="CZ30" s="608">
        <f>SUM(CZ31:CZ36)</f>
        <v>0</v>
      </c>
      <c r="DA30" s="351"/>
      <c r="DB30" s="351"/>
      <c r="DC30" s="351"/>
      <c r="DD30" s="351"/>
      <c r="DE30" s="351"/>
      <c r="DF30" s="637"/>
      <c r="DG30" s="637"/>
      <c r="DH30" s="637"/>
      <c r="DI30" s="353"/>
      <c r="DJ30" s="354"/>
      <c r="DK30" s="355"/>
      <c r="DL30" s="355"/>
      <c r="DM30" s="351"/>
      <c r="DN30" s="351"/>
      <c r="DO30" s="351"/>
      <c r="DP30" s="351"/>
      <c r="DQ30" s="351"/>
      <c r="DR30" s="355"/>
      <c r="DS30" s="351"/>
      <c r="DT30" s="351"/>
      <c r="DU30" s="351"/>
      <c r="DV30" s="351"/>
      <c r="DW30" s="356"/>
      <c r="DX30" s="356"/>
      <c r="DY30" s="332">
        <v>0.05</v>
      </c>
      <c r="DZ30" s="356"/>
      <c r="EA30" s="612">
        <f>DY30*(7%*'BOQ COST'!$H$4)*1</f>
        <v>6.6729304949999999E-2</v>
      </c>
      <c r="EB30" s="614">
        <f t="shared" si="28"/>
        <v>6.6729304949999999E-2</v>
      </c>
      <c r="EC30" s="612">
        <f>EA30</f>
        <v>6.6729304949999999E-2</v>
      </c>
      <c r="ED30" s="612">
        <f>SUM(ED31:ED36)</f>
        <v>0</v>
      </c>
      <c r="EE30" s="75"/>
      <c r="EF30" s="75"/>
      <c r="EG30" s="75"/>
      <c r="EH30" s="75"/>
      <c r="EI30" s="75"/>
      <c r="EJ30" s="612">
        <f>SUM(EJ31:EJ36)</f>
        <v>0</v>
      </c>
      <c r="EK30" s="75"/>
      <c r="EL30" s="75"/>
      <c r="EM30" s="75"/>
      <c r="EN30" s="75"/>
      <c r="EO30" s="75"/>
      <c r="EP30" s="640"/>
      <c r="EQ30" s="640"/>
      <c r="ER30" s="640"/>
      <c r="ES30" s="76"/>
      <c r="ET30" s="78"/>
      <c r="EU30" s="78"/>
      <c r="EV30" s="78"/>
      <c r="EW30" s="75"/>
      <c r="EX30" s="75"/>
      <c r="EY30" s="75"/>
      <c r="EZ30" s="75"/>
      <c r="FA30" s="75"/>
      <c r="FB30" s="78"/>
      <c r="FC30" s="75"/>
      <c r="FD30" s="75"/>
      <c r="FE30" s="75"/>
      <c r="FF30" s="75"/>
      <c r="FG30" s="48"/>
    </row>
    <row r="31" spans="1:163" ht="13.35" hidden="1" customHeight="1" outlineLevel="2">
      <c r="A31" s="48"/>
      <c r="B31" s="80">
        <v>1</v>
      </c>
      <c r="C31" s="80">
        <v>1</v>
      </c>
      <c r="D31" s="138" t="s">
        <v>35</v>
      </c>
      <c r="E31" s="48"/>
      <c r="F31" s="338"/>
      <c r="G31" s="619"/>
      <c r="H31" s="282"/>
      <c r="I31" s="339"/>
      <c r="J31" s="339"/>
      <c r="K31" s="339"/>
      <c r="L31" s="339"/>
      <c r="M31" s="339"/>
      <c r="N31" s="339"/>
      <c r="O31" s="339"/>
      <c r="P31" s="339"/>
      <c r="Q31" s="339"/>
      <c r="R31" s="339"/>
      <c r="S31" s="339"/>
      <c r="T31" s="48"/>
      <c r="U31" s="123"/>
      <c r="V31" s="131"/>
      <c r="W31" s="338"/>
      <c r="X31" s="619">
        <f t="shared" si="19"/>
        <v>0</v>
      </c>
      <c r="Y31" s="282"/>
      <c r="Z31" s="339"/>
      <c r="AA31" s="339"/>
      <c r="AB31" s="339"/>
      <c r="AC31" s="339"/>
      <c r="AD31" s="339"/>
      <c r="AE31" s="339"/>
      <c r="AF31" s="339"/>
      <c r="AG31" s="339"/>
      <c r="AH31" s="339"/>
      <c r="AI31" s="339"/>
      <c r="AJ31" s="339"/>
      <c r="AK31" s="339"/>
      <c r="AL31" s="340"/>
      <c r="AM31" s="340"/>
      <c r="AN31" s="340"/>
      <c r="AO31" s="341"/>
      <c r="AP31" s="328"/>
      <c r="AQ31" s="328"/>
      <c r="AR31" s="616">
        <f t="shared" si="32"/>
        <v>0</v>
      </c>
      <c r="AS31" s="328"/>
      <c r="AT31" s="328"/>
      <c r="AU31" s="328"/>
      <c r="AV31" s="328"/>
      <c r="AW31" s="328"/>
      <c r="AX31" s="616">
        <f t="shared" si="33"/>
        <v>0</v>
      </c>
      <c r="AY31" s="328"/>
      <c r="AZ31" s="328"/>
      <c r="BA31" s="328"/>
      <c r="BB31" s="328"/>
      <c r="BC31" s="328"/>
      <c r="BD31" s="328"/>
      <c r="BE31" s="342"/>
      <c r="BF31" s="343"/>
      <c r="BG31" s="357"/>
      <c r="BH31" s="618">
        <f t="shared" si="22"/>
        <v>0</v>
      </c>
      <c r="BI31" s="339"/>
      <c r="BJ31" s="339"/>
      <c r="BK31" s="339"/>
      <c r="BL31" s="339"/>
      <c r="BM31" s="339"/>
      <c r="BN31" s="339"/>
      <c r="BO31" s="339"/>
      <c r="BP31" s="339"/>
      <c r="BQ31" s="339"/>
      <c r="BR31" s="339"/>
      <c r="BS31" s="339"/>
      <c r="BT31" s="339"/>
      <c r="BU31" s="339"/>
      <c r="BV31" s="525"/>
      <c r="BW31" s="525"/>
      <c r="BX31" s="525"/>
      <c r="BY31" s="341"/>
      <c r="BZ31" s="532"/>
      <c r="CA31" s="532"/>
      <c r="CB31" s="539"/>
      <c r="CC31" s="536"/>
      <c r="CD31" s="536"/>
      <c r="CE31" s="536"/>
      <c r="CF31" s="536"/>
      <c r="CG31" s="536"/>
      <c r="CH31" s="539"/>
      <c r="CI31" s="536"/>
      <c r="CJ31" s="536"/>
      <c r="CK31" s="536"/>
      <c r="CL31" s="536"/>
      <c r="CM31" s="343"/>
      <c r="CN31" s="343"/>
      <c r="CO31" s="342"/>
      <c r="CP31" s="343"/>
      <c r="CQ31" s="344"/>
      <c r="CR31" s="618">
        <f t="shared" si="25"/>
        <v>0</v>
      </c>
      <c r="CS31" s="339"/>
      <c r="CT31" s="339"/>
      <c r="CU31" s="339"/>
      <c r="CV31" s="339"/>
      <c r="CW31" s="339"/>
      <c r="CX31" s="339"/>
      <c r="CY31" s="339"/>
      <c r="CZ31" s="339"/>
      <c r="DA31" s="339"/>
      <c r="DB31" s="339"/>
      <c r="DC31" s="339"/>
      <c r="DD31" s="339"/>
      <c r="DE31" s="339"/>
      <c r="DF31" s="603"/>
      <c r="DG31" s="603"/>
      <c r="DH31" s="603"/>
      <c r="DI31" s="341"/>
      <c r="DJ31" s="328"/>
      <c r="DK31" s="328"/>
      <c r="DL31" s="328"/>
      <c r="DM31" s="339"/>
      <c r="DN31" s="339"/>
      <c r="DO31" s="339"/>
      <c r="DP31" s="339"/>
      <c r="DQ31" s="339"/>
      <c r="DR31" s="328"/>
      <c r="DS31" s="339"/>
      <c r="DT31" s="339"/>
      <c r="DU31" s="339"/>
      <c r="DV31" s="339"/>
      <c r="DW31" s="343"/>
      <c r="DX31" s="343"/>
      <c r="DY31" s="342">
        <v>0</v>
      </c>
      <c r="DZ31" s="343"/>
      <c r="EA31" s="344"/>
      <c r="EB31" s="618">
        <f t="shared" si="28"/>
        <v>0</v>
      </c>
      <c r="EC31" s="81"/>
      <c r="ED31" s="81"/>
      <c r="EE31" s="81"/>
      <c r="EF31" s="81"/>
      <c r="EG31" s="81"/>
      <c r="EH31" s="81"/>
      <c r="EI31" s="81"/>
      <c r="EJ31" s="81"/>
      <c r="EK31" s="81"/>
      <c r="EL31" s="81"/>
      <c r="EM31" s="81"/>
      <c r="EN31" s="81"/>
      <c r="EO31" s="81"/>
      <c r="EP31" s="103"/>
      <c r="EQ31" s="103"/>
      <c r="ER31" s="103"/>
      <c r="ES31" s="82"/>
      <c r="ET31" s="71"/>
      <c r="EU31" s="71"/>
      <c r="EV31" s="71"/>
      <c r="EW31" s="81"/>
      <c r="EX31" s="81"/>
      <c r="EY31" s="81"/>
      <c r="EZ31" s="81"/>
      <c r="FA31" s="81"/>
      <c r="FB31" s="71"/>
      <c r="FC31" s="81"/>
      <c r="FD31" s="81"/>
      <c r="FE31" s="81"/>
      <c r="FF31" s="81"/>
      <c r="FG31" s="48"/>
    </row>
    <row r="32" spans="1:163" ht="13.35" hidden="1" customHeight="1" outlineLevel="2">
      <c r="A32" s="48"/>
      <c r="B32" s="80">
        <v>2</v>
      </c>
      <c r="C32" s="80">
        <v>2</v>
      </c>
      <c r="D32" s="138" t="s">
        <v>36</v>
      </c>
      <c r="E32" s="48"/>
      <c r="F32" s="338"/>
      <c r="G32" s="619"/>
      <c r="H32" s="282"/>
      <c r="I32" s="339"/>
      <c r="J32" s="339"/>
      <c r="K32" s="339"/>
      <c r="L32" s="339"/>
      <c r="M32" s="339"/>
      <c r="N32" s="339"/>
      <c r="O32" s="339"/>
      <c r="P32" s="339"/>
      <c r="Q32" s="339"/>
      <c r="R32" s="339"/>
      <c r="S32" s="339"/>
      <c r="T32" s="48"/>
      <c r="U32" s="123"/>
      <c r="V32" s="131"/>
      <c r="W32" s="338"/>
      <c r="X32" s="619">
        <f t="shared" si="19"/>
        <v>0</v>
      </c>
      <c r="Y32" s="282"/>
      <c r="Z32" s="339"/>
      <c r="AA32" s="339"/>
      <c r="AB32" s="339"/>
      <c r="AC32" s="339"/>
      <c r="AD32" s="339"/>
      <c r="AE32" s="339"/>
      <c r="AF32" s="339"/>
      <c r="AG32" s="339"/>
      <c r="AH32" s="339"/>
      <c r="AI32" s="339"/>
      <c r="AJ32" s="339"/>
      <c r="AK32" s="339"/>
      <c r="AL32" s="340"/>
      <c r="AM32" s="340"/>
      <c r="AN32" s="340"/>
      <c r="AO32" s="341"/>
      <c r="AP32" s="328"/>
      <c r="AQ32" s="328"/>
      <c r="AR32" s="616">
        <f t="shared" si="32"/>
        <v>0</v>
      </c>
      <c r="AS32" s="328"/>
      <c r="AT32" s="328"/>
      <c r="AU32" s="328"/>
      <c r="AV32" s="328"/>
      <c r="AW32" s="328"/>
      <c r="AX32" s="616">
        <f t="shared" si="33"/>
        <v>0</v>
      </c>
      <c r="AY32" s="328"/>
      <c r="AZ32" s="328"/>
      <c r="BA32" s="328"/>
      <c r="BB32" s="328"/>
      <c r="BC32" s="328"/>
      <c r="BD32" s="328"/>
      <c r="BE32" s="342"/>
      <c r="BF32" s="343"/>
      <c r="BG32" s="357"/>
      <c r="BH32" s="618">
        <f t="shared" si="22"/>
        <v>0</v>
      </c>
      <c r="BI32" s="339"/>
      <c r="BJ32" s="339"/>
      <c r="BK32" s="339"/>
      <c r="BL32" s="339"/>
      <c r="BM32" s="339"/>
      <c r="BN32" s="339"/>
      <c r="BO32" s="339"/>
      <c r="BP32" s="339"/>
      <c r="BQ32" s="339"/>
      <c r="BR32" s="339"/>
      <c r="BS32" s="339"/>
      <c r="BT32" s="339"/>
      <c r="BU32" s="339"/>
      <c r="BV32" s="525"/>
      <c r="BW32" s="525"/>
      <c r="BX32" s="525"/>
      <c r="BY32" s="341"/>
      <c r="BZ32" s="532"/>
      <c r="CA32" s="532"/>
      <c r="CB32" s="539"/>
      <c r="CC32" s="536"/>
      <c r="CD32" s="536"/>
      <c r="CE32" s="536"/>
      <c r="CF32" s="536"/>
      <c r="CG32" s="536"/>
      <c r="CH32" s="539"/>
      <c r="CI32" s="536"/>
      <c r="CJ32" s="536"/>
      <c r="CK32" s="536"/>
      <c r="CL32" s="536"/>
      <c r="CM32" s="343"/>
      <c r="CN32" s="343"/>
      <c r="CO32" s="342"/>
      <c r="CP32" s="343"/>
      <c r="CQ32" s="344"/>
      <c r="CR32" s="618">
        <f t="shared" si="25"/>
        <v>0</v>
      </c>
      <c r="CS32" s="339"/>
      <c r="CT32" s="339"/>
      <c r="CU32" s="339"/>
      <c r="CV32" s="339"/>
      <c r="CW32" s="339"/>
      <c r="CX32" s="339"/>
      <c r="CY32" s="339"/>
      <c r="CZ32" s="339"/>
      <c r="DA32" s="339"/>
      <c r="DB32" s="339"/>
      <c r="DC32" s="339"/>
      <c r="DD32" s="339"/>
      <c r="DE32" s="339"/>
      <c r="DF32" s="603"/>
      <c r="DG32" s="603"/>
      <c r="DH32" s="603"/>
      <c r="DI32" s="341"/>
      <c r="DJ32" s="328"/>
      <c r="DK32" s="328"/>
      <c r="DL32" s="328"/>
      <c r="DM32" s="339"/>
      <c r="DN32" s="339"/>
      <c r="DO32" s="339"/>
      <c r="DP32" s="339"/>
      <c r="DQ32" s="339"/>
      <c r="DR32" s="328"/>
      <c r="DS32" s="339"/>
      <c r="DT32" s="339"/>
      <c r="DU32" s="339"/>
      <c r="DV32" s="339"/>
      <c r="DW32" s="343"/>
      <c r="DX32" s="343"/>
      <c r="DY32" s="342">
        <v>0</v>
      </c>
      <c r="DZ32" s="343"/>
      <c r="EA32" s="344"/>
      <c r="EB32" s="618">
        <f t="shared" si="28"/>
        <v>0</v>
      </c>
      <c r="EC32" s="81"/>
      <c r="ED32" s="81"/>
      <c r="EE32" s="81"/>
      <c r="EF32" s="81"/>
      <c r="EG32" s="81"/>
      <c r="EH32" s="81"/>
      <c r="EI32" s="81"/>
      <c r="EJ32" s="81"/>
      <c r="EK32" s="81"/>
      <c r="EL32" s="81"/>
      <c r="EM32" s="81"/>
      <c r="EN32" s="81"/>
      <c r="EO32" s="81"/>
      <c r="EP32" s="103"/>
      <c r="EQ32" s="103"/>
      <c r="ER32" s="103"/>
      <c r="ES32" s="82"/>
      <c r="ET32" s="71"/>
      <c r="EU32" s="71"/>
      <c r="EV32" s="71"/>
      <c r="EW32" s="81"/>
      <c r="EX32" s="81"/>
      <c r="EY32" s="81"/>
      <c r="EZ32" s="81"/>
      <c r="FA32" s="81"/>
      <c r="FB32" s="71"/>
      <c r="FC32" s="81"/>
      <c r="FD32" s="81"/>
      <c r="FE32" s="81"/>
      <c r="FF32" s="81"/>
      <c r="FG32" s="48"/>
    </row>
    <row r="33" spans="1:163" ht="13.35" hidden="1" customHeight="1" outlineLevel="2">
      <c r="A33" s="48"/>
      <c r="B33" s="80">
        <v>3</v>
      </c>
      <c r="C33" s="80">
        <v>3</v>
      </c>
      <c r="D33" s="138" t="s">
        <v>37</v>
      </c>
      <c r="E33" s="48"/>
      <c r="F33" s="338"/>
      <c r="G33" s="619"/>
      <c r="H33" s="282"/>
      <c r="I33" s="339"/>
      <c r="J33" s="339"/>
      <c r="K33" s="339"/>
      <c r="L33" s="339"/>
      <c r="M33" s="339"/>
      <c r="N33" s="339"/>
      <c r="O33" s="339"/>
      <c r="P33" s="339"/>
      <c r="Q33" s="339"/>
      <c r="R33" s="339"/>
      <c r="S33" s="339"/>
      <c r="T33" s="48"/>
      <c r="U33" s="123"/>
      <c r="V33" s="131"/>
      <c r="W33" s="338"/>
      <c r="X33" s="619">
        <f t="shared" si="19"/>
        <v>0</v>
      </c>
      <c r="Y33" s="282"/>
      <c r="Z33" s="339"/>
      <c r="AA33" s="339"/>
      <c r="AB33" s="339"/>
      <c r="AC33" s="339"/>
      <c r="AD33" s="339"/>
      <c r="AE33" s="339"/>
      <c r="AF33" s="339"/>
      <c r="AG33" s="339"/>
      <c r="AH33" s="339"/>
      <c r="AI33" s="339"/>
      <c r="AJ33" s="339"/>
      <c r="AK33" s="339"/>
      <c r="AL33" s="340"/>
      <c r="AM33" s="340"/>
      <c r="AN33" s="340"/>
      <c r="AO33" s="345"/>
      <c r="AP33" s="328"/>
      <c r="AQ33" s="328"/>
      <c r="AR33" s="616">
        <f t="shared" si="32"/>
        <v>0</v>
      </c>
      <c r="AS33" s="328"/>
      <c r="AT33" s="328"/>
      <c r="AU33" s="328"/>
      <c r="AV33" s="328"/>
      <c r="AW33" s="328"/>
      <c r="AX33" s="616">
        <f t="shared" si="33"/>
        <v>0</v>
      </c>
      <c r="AY33" s="328"/>
      <c r="AZ33" s="328"/>
      <c r="BA33" s="328"/>
      <c r="BB33" s="328"/>
      <c r="BC33" s="350"/>
      <c r="BD33" s="350"/>
      <c r="BE33" s="342"/>
      <c r="BF33" s="343"/>
      <c r="BG33" s="357"/>
      <c r="BH33" s="618">
        <f t="shared" si="22"/>
        <v>0</v>
      </c>
      <c r="BI33" s="339"/>
      <c r="BJ33" s="339"/>
      <c r="BK33" s="339"/>
      <c r="BL33" s="339"/>
      <c r="BM33" s="339"/>
      <c r="BN33" s="339"/>
      <c r="BO33" s="339"/>
      <c r="BP33" s="339"/>
      <c r="BQ33" s="339"/>
      <c r="BR33" s="339"/>
      <c r="BS33" s="339"/>
      <c r="BT33" s="339"/>
      <c r="BU33" s="339"/>
      <c r="BV33" s="525"/>
      <c r="BW33" s="525"/>
      <c r="BX33" s="525"/>
      <c r="BY33" s="345"/>
      <c r="BZ33" s="532"/>
      <c r="CA33" s="532"/>
      <c r="CB33" s="539"/>
      <c r="CC33" s="536"/>
      <c r="CD33" s="536"/>
      <c r="CE33" s="536"/>
      <c r="CF33" s="536"/>
      <c r="CG33" s="536"/>
      <c r="CH33" s="539"/>
      <c r="CI33" s="536"/>
      <c r="CJ33" s="536"/>
      <c r="CK33" s="536"/>
      <c r="CL33" s="536"/>
      <c r="CM33" s="343"/>
      <c r="CN33" s="343"/>
      <c r="CO33" s="358"/>
      <c r="CP33" s="343"/>
      <c r="CQ33" s="344"/>
      <c r="CR33" s="618">
        <f t="shared" si="25"/>
        <v>0</v>
      </c>
      <c r="CS33" s="339"/>
      <c r="CT33" s="339"/>
      <c r="CU33" s="339"/>
      <c r="CV33" s="339"/>
      <c r="CW33" s="339"/>
      <c r="CX33" s="339"/>
      <c r="CY33" s="339"/>
      <c r="CZ33" s="339"/>
      <c r="DA33" s="339"/>
      <c r="DB33" s="339"/>
      <c r="DC33" s="339"/>
      <c r="DD33" s="339"/>
      <c r="DE33" s="339"/>
      <c r="DF33" s="603"/>
      <c r="DG33" s="603"/>
      <c r="DH33" s="603"/>
      <c r="DI33" s="345"/>
      <c r="DJ33" s="328"/>
      <c r="DK33" s="328"/>
      <c r="DL33" s="328"/>
      <c r="DM33" s="339"/>
      <c r="DN33" s="339"/>
      <c r="DO33" s="339"/>
      <c r="DP33" s="339"/>
      <c r="DQ33" s="339"/>
      <c r="DR33" s="328"/>
      <c r="DS33" s="339"/>
      <c r="DT33" s="339"/>
      <c r="DU33" s="339"/>
      <c r="DV33" s="339"/>
      <c r="DW33" s="343"/>
      <c r="DX33" s="343"/>
      <c r="DY33" s="342">
        <v>0</v>
      </c>
      <c r="DZ33" s="343"/>
      <c r="EA33" s="344"/>
      <c r="EB33" s="618">
        <f t="shared" si="28"/>
        <v>0</v>
      </c>
      <c r="EC33" s="81"/>
      <c r="ED33" s="81"/>
      <c r="EE33" s="81"/>
      <c r="EF33" s="81"/>
      <c r="EG33" s="81"/>
      <c r="EH33" s="81"/>
      <c r="EI33" s="81"/>
      <c r="EJ33" s="81"/>
      <c r="EK33" s="81"/>
      <c r="EL33" s="81"/>
      <c r="EM33" s="81"/>
      <c r="EN33" s="81"/>
      <c r="EO33" s="81"/>
      <c r="EP33" s="103"/>
      <c r="EQ33" s="103"/>
      <c r="ER33" s="103"/>
      <c r="ES33" s="55"/>
      <c r="ET33" s="71"/>
      <c r="EU33" s="71"/>
      <c r="EV33" s="71"/>
      <c r="EW33" s="81"/>
      <c r="EX33" s="81"/>
      <c r="EY33" s="81"/>
      <c r="EZ33" s="81"/>
      <c r="FA33" s="81"/>
      <c r="FB33" s="71"/>
      <c r="FC33" s="81"/>
      <c r="FD33" s="81"/>
      <c r="FE33" s="81"/>
      <c r="FF33" s="81"/>
      <c r="FG33" s="48"/>
    </row>
    <row r="34" spans="1:163" ht="13.35" hidden="1" customHeight="1" outlineLevel="2">
      <c r="A34" s="48"/>
      <c r="B34" s="80">
        <v>4</v>
      </c>
      <c r="C34" s="80">
        <v>4</v>
      </c>
      <c r="D34" s="138" t="s">
        <v>38</v>
      </c>
      <c r="E34" s="48"/>
      <c r="F34" s="338"/>
      <c r="G34" s="619"/>
      <c r="H34" s="282"/>
      <c r="I34" s="339"/>
      <c r="J34" s="339"/>
      <c r="K34" s="339"/>
      <c r="L34" s="339"/>
      <c r="M34" s="339"/>
      <c r="N34" s="339"/>
      <c r="O34" s="339"/>
      <c r="P34" s="339"/>
      <c r="Q34" s="339"/>
      <c r="R34" s="339"/>
      <c r="S34" s="339"/>
      <c r="T34" s="48"/>
      <c r="U34" s="123"/>
      <c r="V34" s="131"/>
      <c r="W34" s="338"/>
      <c r="X34" s="619">
        <f t="shared" si="19"/>
        <v>0</v>
      </c>
      <c r="Y34" s="282"/>
      <c r="Z34" s="339"/>
      <c r="AA34" s="339"/>
      <c r="AB34" s="339"/>
      <c r="AC34" s="339"/>
      <c r="AD34" s="339"/>
      <c r="AE34" s="339"/>
      <c r="AF34" s="339"/>
      <c r="AG34" s="339"/>
      <c r="AH34" s="339"/>
      <c r="AI34" s="339"/>
      <c r="AJ34" s="339"/>
      <c r="AK34" s="339"/>
      <c r="AL34" s="340"/>
      <c r="AM34" s="340"/>
      <c r="AN34" s="340"/>
      <c r="AO34" s="347"/>
      <c r="AP34" s="328"/>
      <c r="AQ34" s="328"/>
      <c r="AR34" s="616">
        <f t="shared" si="32"/>
        <v>0</v>
      </c>
      <c r="AS34" s="328"/>
      <c r="AT34" s="328"/>
      <c r="AU34" s="328"/>
      <c r="AV34" s="328"/>
      <c r="AW34" s="328"/>
      <c r="AX34" s="616">
        <f t="shared" si="33"/>
        <v>0</v>
      </c>
      <c r="AY34" s="328"/>
      <c r="AZ34" s="328"/>
      <c r="BA34" s="328"/>
      <c r="BB34" s="328"/>
      <c r="BC34" s="350"/>
      <c r="BD34" s="350"/>
      <c r="BE34" s="342"/>
      <c r="BF34" s="343"/>
      <c r="BG34" s="357"/>
      <c r="BH34" s="618">
        <f t="shared" si="22"/>
        <v>0</v>
      </c>
      <c r="BI34" s="339"/>
      <c r="BJ34" s="339"/>
      <c r="BK34" s="339"/>
      <c r="BL34" s="339"/>
      <c r="BM34" s="339"/>
      <c r="BN34" s="339"/>
      <c r="BO34" s="339"/>
      <c r="BP34" s="339"/>
      <c r="BQ34" s="339"/>
      <c r="BR34" s="339"/>
      <c r="BS34" s="339"/>
      <c r="BT34" s="339"/>
      <c r="BU34" s="339"/>
      <c r="BV34" s="525"/>
      <c r="BW34" s="525"/>
      <c r="BX34" s="525"/>
      <c r="BY34" s="347"/>
      <c r="BZ34" s="532"/>
      <c r="CA34" s="532"/>
      <c r="CB34" s="539"/>
      <c r="CC34" s="536"/>
      <c r="CD34" s="536"/>
      <c r="CE34" s="536"/>
      <c r="CF34" s="536"/>
      <c r="CG34" s="536"/>
      <c r="CH34" s="539"/>
      <c r="CI34" s="536"/>
      <c r="CJ34" s="536"/>
      <c r="CK34" s="536"/>
      <c r="CL34" s="536"/>
      <c r="CM34" s="343"/>
      <c r="CN34" s="343"/>
      <c r="CO34" s="358"/>
      <c r="CP34" s="343"/>
      <c r="CQ34" s="344"/>
      <c r="CR34" s="618">
        <f t="shared" si="25"/>
        <v>0</v>
      </c>
      <c r="CS34" s="339"/>
      <c r="CT34" s="339"/>
      <c r="CU34" s="339"/>
      <c r="CV34" s="339"/>
      <c r="CW34" s="339"/>
      <c r="CX34" s="339"/>
      <c r="CY34" s="339"/>
      <c r="CZ34" s="339"/>
      <c r="DA34" s="339"/>
      <c r="DB34" s="339"/>
      <c r="DC34" s="339"/>
      <c r="DD34" s="339"/>
      <c r="DE34" s="339"/>
      <c r="DF34" s="603"/>
      <c r="DG34" s="603"/>
      <c r="DH34" s="603"/>
      <c r="DI34" s="347"/>
      <c r="DJ34" s="328"/>
      <c r="DK34" s="328"/>
      <c r="DL34" s="328"/>
      <c r="DM34" s="339"/>
      <c r="DN34" s="339"/>
      <c r="DO34" s="339"/>
      <c r="DP34" s="339"/>
      <c r="DQ34" s="339"/>
      <c r="DR34" s="328"/>
      <c r="DS34" s="339"/>
      <c r="DT34" s="339"/>
      <c r="DU34" s="339"/>
      <c r="DV34" s="339"/>
      <c r="DW34" s="343"/>
      <c r="DX34" s="343"/>
      <c r="DY34" s="342"/>
      <c r="DZ34" s="343"/>
      <c r="EA34" s="344"/>
      <c r="EB34" s="618">
        <f t="shared" si="28"/>
        <v>0</v>
      </c>
      <c r="EC34" s="81"/>
      <c r="ED34" s="81"/>
      <c r="EE34" s="81"/>
      <c r="EF34" s="81"/>
      <c r="EG34" s="81"/>
      <c r="EH34" s="81"/>
      <c r="EI34" s="81"/>
      <c r="EJ34" s="81"/>
      <c r="EK34" s="81"/>
      <c r="EL34" s="81"/>
      <c r="EM34" s="81"/>
      <c r="EN34" s="81"/>
      <c r="EO34" s="81"/>
      <c r="EP34" s="103"/>
      <c r="EQ34" s="103"/>
      <c r="ER34" s="103"/>
      <c r="ES34" s="83"/>
      <c r="ET34" s="71"/>
      <c r="EU34" s="71"/>
      <c r="EV34" s="71"/>
      <c r="EW34" s="81"/>
      <c r="EX34" s="81"/>
      <c r="EY34" s="81"/>
      <c r="EZ34" s="81"/>
      <c r="FA34" s="81"/>
      <c r="FB34" s="71"/>
      <c r="FC34" s="81"/>
      <c r="FD34" s="81"/>
      <c r="FE34" s="81"/>
      <c r="FF34" s="81"/>
      <c r="FG34" s="48"/>
    </row>
    <row r="35" spans="1:163" ht="13.35" hidden="1" customHeight="1" outlineLevel="2">
      <c r="A35" s="48"/>
      <c r="B35" s="80">
        <v>5</v>
      </c>
      <c r="C35" s="80">
        <v>5</v>
      </c>
      <c r="D35" s="138" t="s">
        <v>39</v>
      </c>
      <c r="E35" s="48"/>
      <c r="F35" s="338"/>
      <c r="G35" s="619"/>
      <c r="H35" s="282"/>
      <c r="I35" s="339"/>
      <c r="J35" s="339"/>
      <c r="K35" s="339"/>
      <c r="L35" s="339"/>
      <c r="M35" s="339"/>
      <c r="N35" s="339"/>
      <c r="O35" s="339"/>
      <c r="P35" s="339"/>
      <c r="Q35" s="339"/>
      <c r="R35" s="339"/>
      <c r="S35" s="339"/>
      <c r="T35" s="48"/>
      <c r="U35" s="123"/>
      <c r="V35" s="131"/>
      <c r="W35" s="338"/>
      <c r="X35" s="619">
        <f t="shared" si="19"/>
        <v>0</v>
      </c>
      <c r="Y35" s="282"/>
      <c r="Z35" s="339"/>
      <c r="AA35" s="339"/>
      <c r="AB35" s="339"/>
      <c r="AC35" s="339"/>
      <c r="AD35" s="339"/>
      <c r="AE35" s="339"/>
      <c r="AF35" s="339"/>
      <c r="AG35" s="339"/>
      <c r="AH35" s="339"/>
      <c r="AI35" s="339"/>
      <c r="AJ35" s="339"/>
      <c r="AK35" s="339"/>
      <c r="AL35" s="340"/>
      <c r="AM35" s="340"/>
      <c r="AN35" s="340"/>
      <c r="AO35" s="345"/>
      <c r="AP35" s="328"/>
      <c r="AQ35" s="328"/>
      <c r="AR35" s="616">
        <f t="shared" si="32"/>
        <v>0</v>
      </c>
      <c r="AS35" s="328"/>
      <c r="AT35" s="328"/>
      <c r="AU35" s="328"/>
      <c r="AV35" s="328"/>
      <c r="AW35" s="328"/>
      <c r="AX35" s="616">
        <f t="shared" si="33"/>
        <v>0</v>
      </c>
      <c r="AY35" s="328"/>
      <c r="AZ35" s="328"/>
      <c r="BA35" s="328"/>
      <c r="BB35" s="328"/>
      <c r="BC35" s="350"/>
      <c r="BD35" s="350"/>
      <c r="BE35" s="342"/>
      <c r="BF35" s="343"/>
      <c r="BG35" s="357"/>
      <c r="BH35" s="618">
        <f t="shared" si="22"/>
        <v>0</v>
      </c>
      <c r="BI35" s="339"/>
      <c r="BJ35" s="339"/>
      <c r="BK35" s="339"/>
      <c r="BL35" s="339"/>
      <c r="BM35" s="339"/>
      <c r="BN35" s="339"/>
      <c r="BO35" s="339"/>
      <c r="BP35" s="339"/>
      <c r="BQ35" s="339"/>
      <c r="BR35" s="339"/>
      <c r="BS35" s="339"/>
      <c r="BT35" s="339"/>
      <c r="BU35" s="339"/>
      <c r="BV35" s="525"/>
      <c r="BW35" s="525"/>
      <c r="BX35" s="525"/>
      <c r="BY35" s="345"/>
      <c r="BZ35" s="532"/>
      <c r="CA35" s="532"/>
      <c r="CB35" s="539"/>
      <c r="CC35" s="536"/>
      <c r="CD35" s="536"/>
      <c r="CE35" s="536"/>
      <c r="CF35" s="536"/>
      <c r="CG35" s="536"/>
      <c r="CH35" s="539"/>
      <c r="CI35" s="536"/>
      <c r="CJ35" s="536"/>
      <c r="CK35" s="536"/>
      <c r="CL35" s="536"/>
      <c r="CM35" s="343"/>
      <c r="CN35" s="343"/>
      <c r="CO35" s="358"/>
      <c r="CP35" s="343"/>
      <c r="CQ35" s="344"/>
      <c r="CR35" s="618">
        <f t="shared" si="25"/>
        <v>0</v>
      </c>
      <c r="CS35" s="339"/>
      <c r="CT35" s="339"/>
      <c r="CU35" s="339"/>
      <c r="CV35" s="339"/>
      <c r="CW35" s="339"/>
      <c r="CX35" s="339"/>
      <c r="CY35" s="339"/>
      <c r="CZ35" s="339"/>
      <c r="DA35" s="339"/>
      <c r="DB35" s="339"/>
      <c r="DC35" s="339"/>
      <c r="DD35" s="339"/>
      <c r="DE35" s="339"/>
      <c r="DF35" s="603"/>
      <c r="DG35" s="603"/>
      <c r="DH35" s="603"/>
      <c r="DI35" s="345"/>
      <c r="DJ35" s="328"/>
      <c r="DK35" s="328"/>
      <c r="DL35" s="328"/>
      <c r="DM35" s="339"/>
      <c r="DN35" s="339"/>
      <c r="DO35" s="339"/>
      <c r="DP35" s="339"/>
      <c r="DQ35" s="339"/>
      <c r="DR35" s="328"/>
      <c r="DS35" s="339"/>
      <c r="DT35" s="339"/>
      <c r="DU35" s="339"/>
      <c r="DV35" s="339"/>
      <c r="DW35" s="343"/>
      <c r="DX35" s="343"/>
      <c r="DY35" s="342">
        <v>0</v>
      </c>
      <c r="DZ35" s="343"/>
      <c r="EA35" s="344"/>
      <c r="EB35" s="618">
        <f t="shared" si="28"/>
        <v>0</v>
      </c>
      <c r="EC35" s="81"/>
      <c r="ED35" s="81"/>
      <c r="EE35" s="81"/>
      <c r="EF35" s="81"/>
      <c r="EG35" s="81"/>
      <c r="EH35" s="81"/>
      <c r="EI35" s="81"/>
      <c r="EJ35" s="81"/>
      <c r="EK35" s="81"/>
      <c r="EL35" s="81"/>
      <c r="EM35" s="81"/>
      <c r="EN35" s="81"/>
      <c r="EO35" s="81"/>
      <c r="EP35" s="103"/>
      <c r="EQ35" s="103"/>
      <c r="ER35" s="103"/>
      <c r="ES35" s="55"/>
      <c r="ET35" s="71"/>
      <c r="EU35" s="71"/>
      <c r="EV35" s="71"/>
      <c r="EW35" s="81"/>
      <c r="EX35" s="81"/>
      <c r="EY35" s="81"/>
      <c r="EZ35" s="81"/>
      <c r="FA35" s="81"/>
      <c r="FB35" s="71"/>
      <c r="FC35" s="81"/>
      <c r="FD35" s="81"/>
      <c r="FE35" s="81"/>
      <c r="FF35" s="81"/>
      <c r="FG35" s="48"/>
    </row>
    <row r="36" spans="1:163" ht="13.35" hidden="1" customHeight="1" outlineLevel="2">
      <c r="A36" s="48"/>
      <c r="B36" s="80">
        <v>6</v>
      </c>
      <c r="C36" s="80">
        <v>6</v>
      </c>
      <c r="D36" s="138" t="s">
        <v>40</v>
      </c>
      <c r="E36" s="48"/>
      <c r="F36" s="338"/>
      <c r="G36" s="619"/>
      <c r="H36" s="282"/>
      <c r="I36" s="339"/>
      <c r="J36" s="339"/>
      <c r="K36" s="339"/>
      <c r="L36" s="339"/>
      <c r="M36" s="339"/>
      <c r="N36" s="339"/>
      <c r="O36" s="339"/>
      <c r="P36" s="339"/>
      <c r="Q36" s="339"/>
      <c r="R36" s="339"/>
      <c r="S36" s="339"/>
      <c r="T36" s="48"/>
      <c r="U36" s="123"/>
      <c r="V36" s="131"/>
      <c r="W36" s="338"/>
      <c r="X36" s="619">
        <f t="shared" si="19"/>
        <v>0</v>
      </c>
      <c r="Y36" s="282"/>
      <c r="Z36" s="339"/>
      <c r="AA36" s="339"/>
      <c r="AB36" s="339"/>
      <c r="AC36" s="339"/>
      <c r="AD36" s="339"/>
      <c r="AE36" s="339"/>
      <c r="AF36" s="339"/>
      <c r="AG36" s="339"/>
      <c r="AH36" s="339"/>
      <c r="AI36" s="339"/>
      <c r="AJ36" s="339"/>
      <c r="AK36" s="339"/>
      <c r="AL36" s="340"/>
      <c r="AM36" s="340"/>
      <c r="AN36" s="340"/>
      <c r="AO36" s="345"/>
      <c r="AP36" s="359"/>
      <c r="AQ36" s="328"/>
      <c r="AR36" s="616">
        <f t="shared" si="32"/>
        <v>0</v>
      </c>
      <c r="AS36" s="328"/>
      <c r="AT36" s="328"/>
      <c r="AU36" s="328"/>
      <c r="AV36" s="328"/>
      <c r="AW36" s="328"/>
      <c r="AX36" s="616">
        <f t="shared" si="33"/>
        <v>0</v>
      </c>
      <c r="AY36" s="328"/>
      <c r="AZ36" s="328"/>
      <c r="BA36" s="328"/>
      <c r="BB36" s="328"/>
      <c r="BC36" s="328"/>
      <c r="BD36" s="328"/>
      <c r="BE36" s="342"/>
      <c r="BF36" s="343"/>
      <c r="BG36" s="357"/>
      <c r="BH36" s="618">
        <f t="shared" si="22"/>
        <v>0</v>
      </c>
      <c r="BI36" s="339"/>
      <c r="BJ36" s="339"/>
      <c r="BK36" s="339"/>
      <c r="BL36" s="339"/>
      <c r="BM36" s="339"/>
      <c r="BN36" s="339"/>
      <c r="BO36" s="339"/>
      <c r="BP36" s="339"/>
      <c r="BQ36" s="339"/>
      <c r="BR36" s="339"/>
      <c r="BS36" s="339"/>
      <c r="BT36" s="339"/>
      <c r="BU36" s="339"/>
      <c r="BV36" s="525"/>
      <c r="BW36" s="525"/>
      <c r="BX36" s="525"/>
      <c r="BY36" s="345"/>
      <c r="BZ36" s="540"/>
      <c r="CA36" s="532"/>
      <c r="CB36" s="539"/>
      <c r="CC36" s="536"/>
      <c r="CD36" s="536"/>
      <c r="CE36" s="536"/>
      <c r="CF36" s="536"/>
      <c r="CG36" s="536"/>
      <c r="CH36" s="539"/>
      <c r="CI36" s="536"/>
      <c r="CJ36" s="536"/>
      <c r="CK36" s="536"/>
      <c r="CL36" s="536"/>
      <c r="CM36" s="343"/>
      <c r="CN36" s="343"/>
      <c r="CO36" s="358"/>
      <c r="CP36" s="343"/>
      <c r="CQ36" s="344"/>
      <c r="CR36" s="618">
        <f t="shared" si="25"/>
        <v>0</v>
      </c>
      <c r="CS36" s="339"/>
      <c r="CT36" s="339"/>
      <c r="CU36" s="339"/>
      <c r="CV36" s="339"/>
      <c r="CW36" s="339"/>
      <c r="CX36" s="339"/>
      <c r="CY36" s="339"/>
      <c r="CZ36" s="339"/>
      <c r="DA36" s="339"/>
      <c r="DB36" s="339"/>
      <c r="DC36" s="339"/>
      <c r="DD36" s="339"/>
      <c r="DE36" s="339"/>
      <c r="DF36" s="603"/>
      <c r="DG36" s="603"/>
      <c r="DH36" s="603"/>
      <c r="DI36" s="345"/>
      <c r="DJ36" s="359"/>
      <c r="DK36" s="328"/>
      <c r="DL36" s="328"/>
      <c r="DM36" s="339"/>
      <c r="DN36" s="339"/>
      <c r="DO36" s="339"/>
      <c r="DP36" s="339"/>
      <c r="DQ36" s="339"/>
      <c r="DR36" s="328"/>
      <c r="DS36" s="339"/>
      <c r="DT36" s="339"/>
      <c r="DU36" s="339"/>
      <c r="DV36" s="339"/>
      <c r="DW36" s="343"/>
      <c r="DX36" s="343"/>
      <c r="DY36" s="342">
        <v>0</v>
      </c>
      <c r="DZ36" s="343"/>
      <c r="EA36" s="344"/>
      <c r="EB36" s="618">
        <f t="shared" si="28"/>
        <v>0</v>
      </c>
      <c r="EC36" s="81"/>
      <c r="ED36" s="81"/>
      <c r="EE36" s="81"/>
      <c r="EF36" s="81"/>
      <c r="EG36" s="81"/>
      <c r="EH36" s="81"/>
      <c r="EI36" s="81"/>
      <c r="EJ36" s="81"/>
      <c r="EK36" s="81"/>
      <c r="EL36" s="81"/>
      <c r="EM36" s="81"/>
      <c r="EN36" s="81"/>
      <c r="EO36" s="81"/>
      <c r="EP36" s="103"/>
      <c r="EQ36" s="103"/>
      <c r="ER36" s="103"/>
      <c r="ES36" s="55"/>
      <c r="ET36" s="56"/>
      <c r="EU36" s="71"/>
      <c r="EV36" s="71"/>
      <c r="EW36" s="81"/>
      <c r="EX36" s="81"/>
      <c r="EY36" s="81"/>
      <c r="EZ36" s="81"/>
      <c r="FA36" s="81"/>
      <c r="FB36" s="71"/>
      <c r="FC36" s="81"/>
      <c r="FD36" s="81"/>
      <c r="FE36" s="81"/>
      <c r="FF36" s="81"/>
      <c r="FG36" s="48"/>
    </row>
    <row r="37" spans="1:163" ht="13.35" hidden="1" customHeight="1" outlineLevel="2">
      <c r="A37" s="48"/>
      <c r="B37" s="80">
        <v>7</v>
      </c>
      <c r="C37" s="80">
        <v>7</v>
      </c>
      <c r="D37" s="138" t="s">
        <v>41</v>
      </c>
      <c r="E37" s="48"/>
      <c r="F37" s="619"/>
      <c r="G37" s="619"/>
      <c r="H37" s="282"/>
      <c r="I37" s="339"/>
      <c r="J37" s="339"/>
      <c r="K37" s="339"/>
      <c r="L37" s="339"/>
      <c r="M37" s="339"/>
      <c r="N37" s="339"/>
      <c r="O37" s="339"/>
      <c r="P37" s="339"/>
      <c r="Q37" s="339"/>
      <c r="R37" s="339"/>
      <c r="S37" s="339"/>
      <c r="T37" s="48"/>
      <c r="U37" s="123"/>
      <c r="V37" s="131"/>
      <c r="W37" s="619">
        <f>$W$30/$U$30*U37</f>
        <v>0</v>
      </c>
      <c r="X37" s="619">
        <f t="shared" si="19"/>
        <v>0</v>
      </c>
      <c r="Y37" s="282"/>
      <c r="Z37" s="339"/>
      <c r="AA37" s="339"/>
      <c r="AB37" s="339"/>
      <c r="AC37" s="339"/>
      <c r="AD37" s="339"/>
      <c r="AE37" s="339"/>
      <c r="AF37" s="339"/>
      <c r="AG37" s="339"/>
      <c r="AH37" s="339"/>
      <c r="AI37" s="339"/>
      <c r="AJ37" s="339"/>
      <c r="AK37" s="339"/>
      <c r="AL37" s="340"/>
      <c r="AM37" s="340"/>
      <c r="AN37" s="340"/>
      <c r="AO37" s="345"/>
      <c r="AP37" s="359"/>
      <c r="AQ37" s="328"/>
      <c r="AR37" s="616">
        <f t="shared" si="32"/>
        <v>0</v>
      </c>
      <c r="AS37" s="328"/>
      <c r="AT37" s="328"/>
      <c r="AU37" s="328"/>
      <c r="AV37" s="328"/>
      <c r="AW37" s="328"/>
      <c r="AX37" s="616">
        <f t="shared" si="33"/>
        <v>0</v>
      </c>
      <c r="AY37" s="328"/>
      <c r="AZ37" s="328"/>
      <c r="BA37" s="328"/>
      <c r="BB37" s="328"/>
      <c r="BC37" s="328"/>
      <c r="BD37" s="328"/>
      <c r="BE37" s="342">
        <v>0</v>
      </c>
      <c r="BF37" s="343"/>
      <c r="BG37" s="357">
        <v>0</v>
      </c>
      <c r="BH37" s="618">
        <f t="shared" si="22"/>
        <v>0</v>
      </c>
      <c r="BI37" s="339"/>
      <c r="BJ37" s="339"/>
      <c r="BK37" s="339"/>
      <c r="BL37" s="339"/>
      <c r="BM37" s="339"/>
      <c r="BN37" s="339"/>
      <c r="BO37" s="339"/>
      <c r="BP37" s="339"/>
      <c r="BQ37" s="339"/>
      <c r="BR37" s="339"/>
      <c r="BS37" s="339"/>
      <c r="BT37" s="339"/>
      <c r="BU37" s="339"/>
      <c r="BV37" s="525"/>
      <c r="BW37" s="525"/>
      <c r="BX37" s="525"/>
      <c r="BY37" s="345"/>
      <c r="BZ37" s="540"/>
      <c r="CA37" s="532"/>
      <c r="CB37" s="539"/>
      <c r="CC37" s="536"/>
      <c r="CD37" s="536"/>
      <c r="CE37" s="536"/>
      <c r="CF37" s="536"/>
      <c r="CG37" s="536"/>
      <c r="CH37" s="539"/>
      <c r="CI37" s="536"/>
      <c r="CJ37" s="536"/>
      <c r="CK37" s="536"/>
      <c r="CL37" s="536"/>
      <c r="CM37" s="343"/>
      <c r="CN37" s="343"/>
      <c r="CO37" s="342">
        <v>0</v>
      </c>
      <c r="CP37" s="343"/>
      <c r="CQ37" s="616">
        <f>$CQ$30/$CO$30*CO37</f>
        <v>0</v>
      </c>
      <c r="CR37" s="618">
        <f t="shared" si="25"/>
        <v>0</v>
      </c>
      <c r="CS37" s="339"/>
      <c r="CT37" s="339"/>
      <c r="CU37" s="339"/>
      <c r="CV37" s="339"/>
      <c r="CW37" s="339"/>
      <c r="CX37" s="339"/>
      <c r="CY37" s="339"/>
      <c r="CZ37" s="339"/>
      <c r="DA37" s="339"/>
      <c r="DB37" s="339"/>
      <c r="DC37" s="339"/>
      <c r="DD37" s="339"/>
      <c r="DE37" s="339"/>
      <c r="DF37" s="603"/>
      <c r="DG37" s="603"/>
      <c r="DH37" s="603"/>
      <c r="DI37" s="345"/>
      <c r="DJ37" s="359"/>
      <c r="DK37" s="328"/>
      <c r="DL37" s="328"/>
      <c r="DM37" s="339"/>
      <c r="DN37" s="339"/>
      <c r="DO37" s="339"/>
      <c r="DP37" s="339"/>
      <c r="DQ37" s="339"/>
      <c r="DR37" s="328"/>
      <c r="DS37" s="339"/>
      <c r="DT37" s="339"/>
      <c r="DU37" s="339"/>
      <c r="DV37" s="339"/>
      <c r="DW37" s="343"/>
      <c r="DX37" s="343"/>
      <c r="DY37" s="342">
        <v>0</v>
      </c>
      <c r="DZ37" s="343"/>
      <c r="EA37" s="344"/>
      <c r="EB37" s="618">
        <f t="shared" si="28"/>
        <v>0</v>
      </c>
      <c r="EC37" s="81"/>
      <c r="ED37" s="81"/>
      <c r="EE37" s="81"/>
      <c r="EF37" s="81"/>
      <c r="EG37" s="81"/>
      <c r="EH37" s="81"/>
      <c r="EI37" s="81"/>
      <c r="EJ37" s="81"/>
      <c r="EK37" s="81"/>
      <c r="EL37" s="81"/>
      <c r="EM37" s="81"/>
      <c r="EN37" s="81"/>
      <c r="EO37" s="81"/>
      <c r="EP37" s="103"/>
      <c r="EQ37" s="103"/>
      <c r="ER37" s="103"/>
      <c r="ES37" s="55"/>
      <c r="ET37" s="56"/>
      <c r="EU37" s="71"/>
      <c r="EV37" s="71"/>
      <c r="EW37" s="81"/>
      <c r="EX37" s="81"/>
      <c r="EY37" s="81"/>
      <c r="EZ37" s="81"/>
      <c r="FA37" s="81"/>
      <c r="FB37" s="71"/>
      <c r="FC37" s="81"/>
      <c r="FD37" s="81"/>
      <c r="FE37" s="81"/>
      <c r="FF37" s="81"/>
      <c r="FG37" s="48"/>
    </row>
    <row r="38" spans="1:163" ht="3" hidden="1" customHeight="1" outlineLevel="1">
      <c r="A38" s="48"/>
      <c r="B38" s="49"/>
      <c r="C38" s="49"/>
      <c r="D38" s="48"/>
      <c r="E38" s="48"/>
      <c r="F38" s="338"/>
      <c r="G38" s="619"/>
      <c r="H38" s="282"/>
      <c r="I38" s="339"/>
      <c r="J38" s="339"/>
      <c r="K38" s="339"/>
      <c r="L38" s="339"/>
      <c r="M38" s="339"/>
      <c r="N38" s="339"/>
      <c r="O38" s="339"/>
      <c r="P38" s="339"/>
      <c r="Q38" s="339"/>
      <c r="R38" s="339"/>
      <c r="S38" s="339"/>
      <c r="T38" s="48"/>
      <c r="U38" s="123"/>
      <c r="V38" s="131"/>
      <c r="W38" s="338"/>
      <c r="X38" s="619">
        <f t="shared" si="19"/>
        <v>0</v>
      </c>
      <c r="Y38" s="282"/>
      <c r="Z38" s="339"/>
      <c r="AA38" s="339"/>
      <c r="AB38" s="339"/>
      <c r="AC38" s="339"/>
      <c r="AD38" s="339"/>
      <c r="AE38" s="339"/>
      <c r="AF38" s="339"/>
      <c r="AG38" s="339"/>
      <c r="AH38" s="339"/>
      <c r="AI38" s="339"/>
      <c r="AJ38" s="339"/>
      <c r="AK38" s="339"/>
      <c r="AL38" s="340"/>
      <c r="AM38" s="340"/>
      <c r="AN38" s="340"/>
      <c r="AO38" s="345"/>
      <c r="AP38" s="359"/>
      <c r="AQ38" s="328"/>
      <c r="AR38" s="616">
        <f t="shared" si="32"/>
        <v>0</v>
      </c>
      <c r="AS38" s="328"/>
      <c r="AT38" s="328"/>
      <c r="AU38" s="328"/>
      <c r="AV38" s="328"/>
      <c r="AW38" s="328"/>
      <c r="AX38" s="616">
        <f t="shared" si="33"/>
        <v>0</v>
      </c>
      <c r="AY38" s="328"/>
      <c r="AZ38" s="328"/>
      <c r="BA38" s="328"/>
      <c r="BB38" s="328"/>
      <c r="BC38" s="328"/>
      <c r="BD38" s="328"/>
      <c r="BE38" s="342"/>
      <c r="BF38" s="343"/>
      <c r="BG38" s="344"/>
      <c r="BH38" s="618">
        <f t="shared" si="22"/>
        <v>0</v>
      </c>
      <c r="BI38" s="339"/>
      <c r="BJ38" s="339"/>
      <c r="BK38" s="339"/>
      <c r="BL38" s="339"/>
      <c r="BM38" s="339"/>
      <c r="BN38" s="339"/>
      <c r="BO38" s="339"/>
      <c r="BP38" s="339"/>
      <c r="BQ38" s="339"/>
      <c r="BR38" s="339"/>
      <c r="BS38" s="339"/>
      <c r="BT38" s="339"/>
      <c r="BU38" s="339"/>
      <c r="BV38" s="525"/>
      <c r="BW38" s="525"/>
      <c r="BX38" s="525"/>
      <c r="BY38" s="345"/>
      <c r="BZ38" s="540"/>
      <c r="CA38" s="532"/>
      <c r="CB38" s="539"/>
      <c r="CC38" s="536"/>
      <c r="CD38" s="536"/>
      <c r="CE38" s="536"/>
      <c r="CF38" s="536"/>
      <c r="CG38" s="536"/>
      <c r="CH38" s="539"/>
      <c r="CI38" s="536"/>
      <c r="CJ38" s="536"/>
      <c r="CK38" s="536"/>
      <c r="CL38" s="536"/>
      <c r="CM38" s="343"/>
      <c r="CN38" s="343"/>
      <c r="CO38" s="342"/>
      <c r="CP38" s="343"/>
      <c r="CQ38" s="344"/>
      <c r="CR38" s="618">
        <f t="shared" si="25"/>
        <v>0</v>
      </c>
      <c r="CS38" s="339"/>
      <c r="CT38" s="339"/>
      <c r="CU38" s="339"/>
      <c r="CV38" s="339"/>
      <c r="CW38" s="339"/>
      <c r="CX38" s="339"/>
      <c r="CY38" s="339"/>
      <c r="CZ38" s="339"/>
      <c r="DA38" s="339"/>
      <c r="DB38" s="339"/>
      <c r="DC38" s="339"/>
      <c r="DD38" s="339"/>
      <c r="DE38" s="339"/>
      <c r="DF38" s="603"/>
      <c r="DG38" s="603"/>
      <c r="DH38" s="603"/>
      <c r="DI38" s="345"/>
      <c r="DJ38" s="359"/>
      <c r="DK38" s="328"/>
      <c r="DL38" s="328"/>
      <c r="DM38" s="339"/>
      <c r="DN38" s="339"/>
      <c r="DO38" s="339"/>
      <c r="DP38" s="339"/>
      <c r="DQ38" s="339"/>
      <c r="DR38" s="328"/>
      <c r="DS38" s="339"/>
      <c r="DT38" s="339"/>
      <c r="DU38" s="339"/>
      <c r="DV38" s="339"/>
      <c r="DW38" s="343"/>
      <c r="DX38" s="343"/>
      <c r="DY38" s="326"/>
      <c r="DZ38" s="343"/>
      <c r="EA38" s="344"/>
      <c r="EB38" s="618">
        <f t="shared" si="28"/>
        <v>0</v>
      </c>
      <c r="EC38" s="81"/>
      <c r="ED38" s="81"/>
      <c r="EE38" s="81"/>
      <c r="EF38" s="81"/>
      <c r="EG38" s="81"/>
      <c r="EH38" s="81"/>
      <c r="EI38" s="81"/>
      <c r="EJ38" s="81"/>
      <c r="EK38" s="81"/>
      <c r="EL38" s="81"/>
      <c r="EM38" s="81"/>
      <c r="EN38" s="81"/>
      <c r="EO38" s="81"/>
      <c r="EP38" s="103"/>
      <c r="EQ38" s="103"/>
      <c r="ER38" s="103"/>
      <c r="ES38" s="55"/>
      <c r="ET38" s="56"/>
      <c r="EU38" s="71"/>
      <c r="EV38" s="71"/>
      <c r="EW38" s="81"/>
      <c r="EX38" s="81"/>
      <c r="EY38" s="81"/>
      <c r="EZ38" s="81"/>
      <c r="FA38" s="81"/>
      <c r="FB38" s="71"/>
      <c r="FC38" s="81"/>
      <c r="FD38" s="81"/>
      <c r="FE38" s="81"/>
      <c r="FF38" s="81"/>
      <c r="FG38" s="48"/>
    </row>
    <row r="39" spans="1:163" ht="14.25" hidden="1" outlineLevel="1">
      <c r="A39" s="48"/>
      <c r="B39" s="73"/>
      <c r="C39" s="73">
        <v>5</v>
      </c>
      <c r="D39" s="137" t="s">
        <v>42</v>
      </c>
      <c r="E39" s="74"/>
      <c r="F39" s="614">
        <f>W39+BG39+CQ39+EA39</f>
        <v>5.8261603049500001</v>
      </c>
      <c r="G39" s="614">
        <f>X39+BH39+CR39+EB39</f>
        <v>5.8261603049500001</v>
      </c>
      <c r="H39" s="612">
        <f>F39-G39</f>
        <v>0</v>
      </c>
      <c r="I39" s="614">
        <f t="shared" ref="I39" si="64">Z39+BJ39+CT39+ED39</f>
        <v>0</v>
      </c>
      <c r="J39" s="614">
        <f t="shared" ref="J39" si="65">AA39+BK39+CU39+EE39</f>
        <v>0</v>
      </c>
      <c r="K39" s="614">
        <f t="shared" ref="K39" si="66">AB39+BL39+CV39+EF39</f>
        <v>0</v>
      </c>
      <c r="L39" s="614">
        <f t="shared" ref="L39" si="67">AC39+BM39+CW39+EG39</f>
        <v>0</v>
      </c>
      <c r="M39" s="614">
        <f t="shared" ref="M39" si="68">AD39+BN39+CX39+EH39</f>
        <v>0</v>
      </c>
      <c r="N39" s="281"/>
      <c r="O39" s="614">
        <f t="shared" ref="O39" si="69">AF39+BP39+CZ39+EJ39</f>
        <v>0</v>
      </c>
      <c r="P39" s="614">
        <f t="shared" ref="P39" si="70">AG39+BQ39+DA39+EK39</f>
        <v>0</v>
      </c>
      <c r="Q39" s="614">
        <f t="shared" ref="Q39" si="71">AH39+BR39+DB39+EL39</f>
        <v>0</v>
      </c>
      <c r="R39" s="614">
        <f t="shared" ref="R39" si="72">AI39+BS39+DC39+EM39</f>
        <v>0</v>
      </c>
      <c r="S39" s="614">
        <f t="shared" ref="S39" si="73">AJ39+BT39+DD39+EN39</f>
        <v>0</v>
      </c>
      <c r="T39" s="74"/>
      <c r="U39" s="141">
        <v>0.1</v>
      </c>
      <c r="V39" s="125"/>
      <c r="W39" s="614">
        <f>U39*(5%*'BOQ COST'!$E$4)*1</f>
        <v>5.7594310000000002</v>
      </c>
      <c r="X39" s="614">
        <f t="shared" si="19"/>
        <v>5.7594310000000002</v>
      </c>
      <c r="Y39" s="612">
        <f>W39</f>
        <v>5.7594310000000002</v>
      </c>
      <c r="Z39" s="608">
        <f>SUM(Z40:Z45)</f>
        <v>0</v>
      </c>
      <c r="AA39" s="351"/>
      <c r="AB39" s="351"/>
      <c r="AC39" s="351"/>
      <c r="AD39" s="351"/>
      <c r="AE39" s="351"/>
      <c r="AF39" s="608">
        <f>SUM(AF40:AF45)</f>
        <v>0</v>
      </c>
      <c r="AG39" s="351"/>
      <c r="AH39" s="351"/>
      <c r="AI39" s="351"/>
      <c r="AJ39" s="351"/>
      <c r="AK39" s="351"/>
      <c r="AL39" s="352"/>
      <c r="AM39" s="352"/>
      <c r="AN39" s="352"/>
      <c r="AO39" s="353"/>
      <c r="AP39" s="354"/>
      <c r="AQ39" s="355"/>
      <c r="AR39" s="608">
        <f t="shared" si="32"/>
        <v>0</v>
      </c>
      <c r="AS39" s="355"/>
      <c r="AT39" s="355"/>
      <c r="AU39" s="355"/>
      <c r="AV39" s="355"/>
      <c r="AW39" s="355"/>
      <c r="AX39" s="608">
        <f t="shared" si="33"/>
        <v>0</v>
      </c>
      <c r="AY39" s="355"/>
      <c r="AZ39" s="355"/>
      <c r="BA39" s="355"/>
      <c r="BB39" s="355"/>
      <c r="BC39" s="355"/>
      <c r="BD39" s="355"/>
      <c r="BE39" s="356">
        <v>0</v>
      </c>
      <c r="BF39" s="356"/>
      <c r="BG39" s="608">
        <f>BE39*(3%*'BOQ COST'!$F$4)*1</f>
        <v>0</v>
      </c>
      <c r="BH39" s="614">
        <f t="shared" si="22"/>
        <v>0</v>
      </c>
      <c r="BI39" s="608">
        <f>SUM(BI40:BI45)</f>
        <v>0</v>
      </c>
      <c r="BJ39" s="608">
        <f>SUM(BJ40:BJ45)</f>
        <v>0</v>
      </c>
      <c r="BK39" s="351"/>
      <c r="BL39" s="351"/>
      <c r="BM39" s="351"/>
      <c r="BN39" s="351"/>
      <c r="BO39" s="351"/>
      <c r="BP39" s="608">
        <f>SUM(BP40:BP45)</f>
        <v>0</v>
      </c>
      <c r="BQ39" s="351"/>
      <c r="BR39" s="351"/>
      <c r="BS39" s="351"/>
      <c r="BT39" s="351"/>
      <c r="BU39" s="351"/>
      <c r="BV39" s="526"/>
      <c r="BW39" s="526"/>
      <c r="BX39" s="526"/>
      <c r="BY39" s="353"/>
      <c r="BZ39" s="537"/>
      <c r="CA39" s="538"/>
      <c r="CB39" s="538"/>
      <c r="CC39" s="538"/>
      <c r="CD39" s="538"/>
      <c r="CE39" s="538"/>
      <c r="CF39" s="538"/>
      <c r="CG39" s="538"/>
      <c r="CH39" s="538"/>
      <c r="CI39" s="538"/>
      <c r="CJ39" s="538"/>
      <c r="CK39" s="538"/>
      <c r="CL39" s="538"/>
      <c r="CM39" s="356"/>
      <c r="CN39" s="356"/>
      <c r="CO39" s="356">
        <v>0</v>
      </c>
      <c r="CP39" s="356"/>
      <c r="CQ39" s="360">
        <v>0</v>
      </c>
      <c r="CR39" s="614">
        <f t="shared" si="25"/>
        <v>0</v>
      </c>
      <c r="CS39" s="608">
        <f>SUM(CS40:CS45)</f>
        <v>0</v>
      </c>
      <c r="CT39" s="608">
        <f>SUM(CT40:CT45)</f>
        <v>0</v>
      </c>
      <c r="CU39" s="351"/>
      <c r="CV39" s="351"/>
      <c r="CW39" s="351"/>
      <c r="CX39" s="351"/>
      <c r="CY39" s="351"/>
      <c r="CZ39" s="608">
        <f>SUM(CZ40:CZ45)</f>
        <v>0</v>
      </c>
      <c r="DA39" s="351"/>
      <c r="DB39" s="351"/>
      <c r="DC39" s="351"/>
      <c r="DD39" s="351"/>
      <c r="DE39" s="351"/>
      <c r="DF39" s="637"/>
      <c r="DG39" s="637"/>
      <c r="DH39" s="637"/>
      <c r="DI39" s="353"/>
      <c r="DJ39" s="354"/>
      <c r="DK39" s="355"/>
      <c r="DL39" s="355"/>
      <c r="DM39" s="351"/>
      <c r="DN39" s="351"/>
      <c r="DO39" s="351"/>
      <c r="DP39" s="351"/>
      <c r="DQ39" s="351"/>
      <c r="DR39" s="355"/>
      <c r="DS39" s="351"/>
      <c r="DT39" s="351"/>
      <c r="DU39" s="351"/>
      <c r="DV39" s="351"/>
      <c r="DW39" s="356"/>
      <c r="DX39" s="356"/>
      <c r="DY39" s="332">
        <v>0.05</v>
      </c>
      <c r="DZ39" s="356"/>
      <c r="EA39" s="612">
        <f>DY39*(7%*'BOQ COST'!$H$4)*1</f>
        <v>6.6729304949999999E-2</v>
      </c>
      <c r="EB39" s="614">
        <f t="shared" si="28"/>
        <v>6.6729304949999999E-2</v>
      </c>
      <c r="EC39" s="612">
        <f>EA39</f>
        <v>6.6729304949999999E-2</v>
      </c>
      <c r="ED39" s="612">
        <f>SUM(ED40:ED45)</f>
        <v>0</v>
      </c>
      <c r="EE39" s="75"/>
      <c r="EF39" s="75"/>
      <c r="EG39" s="75"/>
      <c r="EH39" s="75"/>
      <c r="EI39" s="75"/>
      <c r="EJ39" s="612">
        <f>SUM(EJ40:EJ45)</f>
        <v>0</v>
      </c>
      <c r="EK39" s="75"/>
      <c r="EL39" s="75"/>
      <c r="EM39" s="75"/>
      <c r="EN39" s="75"/>
      <c r="EO39" s="75"/>
      <c r="EP39" s="640"/>
      <c r="EQ39" s="640"/>
      <c r="ER39" s="640"/>
      <c r="ES39" s="84"/>
      <c r="ET39" s="77"/>
      <c r="EU39" s="78"/>
      <c r="EV39" s="78"/>
      <c r="EW39" s="75"/>
      <c r="EX39" s="75"/>
      <c r="EY39" s="75"/>
      <c r="EZ39" s="75"/>
      <c r="FA39" s="75"/>
      <c r="FB39" s="78"/>
      <c r="FC39" s="75"/>
      <c r="FD39" s="75"/>
      <c r="FE39" s="75"/>
      <c r="FF39" s="75"/>
      <c r="FG39" s="48"/>
    </row>
    <row r="40" spans="1:163" ht="13.35" hidden="1" customHeight="1" outlineLevel="2">
      <c r="A40" s="48"/>
      <c r="B40" s="80">
        <v>1</v>
      </c>
      <c r="C40" s="80">
        <v>1</v>
      </c>
      <c r="D40" s="138" t="s">
        <v>43</v>
      </c>
      <c r="E40" s="48"/>
      <c r="F40" s="338"/>
      <c r="G40" s="619"/>
      <c r="H40" s="339"/>
      <c r="I40" s="339"/>
      <c r="J40" s="339"/>
      <c r="K40" s="339"/>
      <c r="L40" s="339"/>
      <c r="M40" s="339"/>
      <c r="N40" s="339"/>
      <c r="O40" s="339"/>
      <c r="P40" s="339"/>
      <c r="Q40" s="339"/>
      <c r="R40" s="339"/>
      <c r="S40" s="339"/>
      <c r="T40" s="48"/>
      <c r="U40" s="123"/>
      <c r="V40" s="131"/>
      <c r="W40" s="338"/>
      <c r="X40" s="619">
        <f t="shared" si="19"/>
        <v>0</v>
      </c>
      <c r="Y40" s="339"/>
      <c r="Z40" s="339"/>
      <c r="AA40" s="339"/>
      <c r="AB40" s="339"/>
      <c r="AC40" s="339"/>
      <c r="AD40" s="339"/>
      <c r="AE40" s="339"/>
      <c r="AF40" s="339"/>
      <c r="AG40" s="339"/>
      <c r="AH40" s="339"/>
      <c r="AI40" s="339"/>
      <c r="AJ40" s="339"/>
      <c r="AK40" s="339"/>
      <c r="AL40" s="340"/>
      <c r="AM40" s="340"/>
      <c r="AN40" s="340"/>
      <c r="AO40" s="345"/>
      <c r="AP40" s="359"/>
      <c r="AQ40" s="328"/>
      <c r="AR40" s="616">
        <f t="shared" si="32"/>
        <v>0</v>
      </c>
      <c r="AS40" s="328"/>
      <c r="AT40" s="328"/>
      <c r="AU40" s="328"/>
      <c r="AV40" s="328"/>
      <c r="AW40" s="328"/>
      <c r="AX40" s="616">
        <f t="shared" si="33"/>
        <v>0</v>
      </c>
      <c r="AY40" s="328"/>
      <c r="AZ40" s="328"/>
      <c r="BA40" s="328"/>
      <c r="BB40" s="328"/>
      <c r="BC40" s="328"/>
      <c r="BD40" s="328"/>
      <c r="BE40" s="342"/>
      <c r="BF40" s="343"/>
      <c r="BG40" s="357"/>
      <c r="BH40" s="618">
        <f t="shared" si="22"/>
        <v>0</v>
      </c>
      <c r="BI40" s="339"/>
      <c r="BJ40" s="339"/>
      <c r="BK40" s="339"/>
      <c r="BL40" s="339"/>
      <c r="BM40" s="339"/>
      <c r="BN40" s="339"/>
      <c r="BO40" s="339"/>
      <c r="BP40" s="339"/>
      <c r="BQ40" s="339"/>
      <c r="BR40" s="339"/>
      <c r="BS40" s="339"/>
      <c r="BT40" s="339"/>
      <c r="BU40" s="339"/>
      <c r="BV40" s="525"/>
      <c r="BW40" s="525"/>
      <c r="BX40" s="525"/>
      <c r="BY40" s="345"/>
      <c r="BZ40" s="540"/>
      <c r="CA40" s="532"/>
      <c r="CB40" s="539"/>
      <c r="CC40" s="536"/>
      <c r="CD40" s="536"/>
      <c r="CE40" s="536"/>
      <c r="CF40" s="536"/>
      <c r="CG40" s="536"/>
      <c r="CH40" s="539"/>
      <c r="CI40" s="536"/>
      <c r="CJ40" s="536"/>
      <c r="CK40" s="536"/>
      <c r="CL40" s="536"/>
      <c r="CM40" s="343"/>
      <c r="CN40" s="343"/>
      <c r="CO40" s="342"/>
      <c r="CP40" s="343"/>
      <c r="CQ40" s="344"/>
      <c r="CR40" s="618">
        <f t="shared" si="25"/>
        <v>0</v>
      </c>
      <c r="CS40" s="339"/>
      <c r="CT40" s="339"/>
      <c r="CU40" s="339"/>
      <c r="CV40" s="339"/>
      <c r="CW40" s="339"/>
      <c r="CX40" s="339"/>
      <c r="CY40" s="339"/>
      <c r="CZ40" s="339"/>
      <c r="DA40" s="339"/>
      <c r="DB40" s="339"/>
      <c r="DC40" s="339"/>
      <c r="DD40" s="339"/>
      <c r="DE40" s="339"/>
      <c r="DF40" s="603"/>
      <c r="DG40" s="603"/>
      <c r="DH40" s="603"/>
      <c r="DI40" s="345"/>
      <c r="DJ40" s="359"/>
      <c r="DK40" s="328"/>
      <c r="DL40" s="328"/>
      <c r="DM40" s="339"/>
      <c r="DN40" s="339"/>
      <c r="DO40" s="339"/>
      <c r="DP40" s="339"/>
      <c r="DQ40" s="339"/>
      <c r="DR40" s="328"/>
      <c r="DS40" s="339"/>
      <c r="DT40" s="339"/>
      <c r="DU40" s="339"/>
      <c r="DV40" s="339"/>
      <c r="DW40" s="343"/>
      <c r="DX40" s="343"/>
      <c r="DY40" s="342"/>
      <c r="DZ40" s="343"/>
      <c r="EA40" s="344"/>
      <c r="EB40" s="618">
        <f t="shared" si="28"/>
        <v>0</v>
      </c>
      <c r="EC40" s="615">
        <f>IFERROR(IF(EP40=100%,EA40,0),0)</f>
        <v>0</v>
      </c>
      <c r="ED40" s="615">
        <f>IFERROR(IF(AND((EP40+EQ40)=100%,EP40&lt;1),EA40,0),0)</f>
        <v>0</v>
      </c>
      <c r="EE40" s="81"/>
      <c r="EF40" s="81"/>
      <c r="EG40" s="81"/>
      <c r="EH40" s="81"/>
      <c r="EI40" s="81"/>
      <c r="EJ40" s="615">
        <f>IFERROR(IF(AND((EU40+EV40)=100%,EU40&lt;1),EG40,0),0)</f>
        <v>0</v>
      </c>
      <c r="EK40" s="81"/>
      <c r="EL40" s="81"/>
      <c r="EM40" s="81"/>
      <c r="EN40" s="81"/>
      <c r="EO40" s="81"/>
      <c r="EP40" s="103"/>
      <c r="EQ40" s="103"/>
      <c r="ER40" s="103"/>
      <c r="ES40" s="55"/>
      <c r="ET40" s="56"/>
      <c r="EU40" s="71"/>
      <c r="EV40" s="71"/>
      <c r="EW40" s="81"/>
      <c r="EX40" s="81"/>
      <c r="EY40" s="81"/>
      <c r="EZ40" s="81"/>
      <c r="FA40" s="81"/>
      <c r="FB40" s="71"/>
      <c r="FC40" s="81"/>
      <c r="FD40" s="81"/>
      <c r="FE40" s="81"/>
      <c r="FF40" s="81"/>
      <c r="FG40" s="48"/>
    </row>
    <row r="41" spans="1:163" ht="13.35" hidden="1" customHeight="1" outlineLevel="2">
      <c r="A41" s="48"/>
      <c r="B41" s="80"/>
      <c r="C41" s="80">
        <v>2</v>
      </c>
      <c r="D41" s="138" t="s">
        <v>32</v>
      </c>
      <c r="E41" s="48"/>
      <c r="F41" s="338"/>
      <c r="G41" s="619"/>
      <c r="H41" s="339"/>
      <c r="I41" s="339"/>
      <c r="J41" s="339"/>
      <c r="K41" s="339"/>
      <c r="L41" s="339"/>
      <c r="M41" s="339"/>
      <c r="N41" s="339"/>
      <c r="O41" s="339"/>
      <c r="P41" s="339"/>
      <c r="Q41" s="339"/>
      <c r="R41" s="339"/>
      <c r="S41" s="339"/>
      <c r="T41" s="48"/>
      <c r="U41" s="123"/>
      <c r="V41" s="131"/>
      <c r="W41" s="338"/>
      <c r="X41" s="619">
        <f t="shared" si="19"/>
        <v>0</v>
      </c>
      <c r="Y41" s="339"/>
      <c r="Z41" s="339"/>
      <c r="AA41" s="339"/>
      <c r="AB41" s="339"/>
      <c r="AC41" s="339"/>
      <c r="AD41" s="339"/>
      <c r="AE41" s="339"/>
      <c r="AF41" s="339"/>
      <c r="AG41" s="339"/>
      <c r="AH41" s="339"/>
      <c r="AI41" s="339"/>
      <c r="AJ41" s="339"/>
      <c r="AK41" s="339"/>
      <c r="AL41" s="340"/>
      <c r="AM41" s="340"/>
      <c r="AN41" s="340"/>
      <c r="AO41" s="345"/>
      <c r="AP41" s="359"/>
      <c r="AQ41" s="328"/>
      <c r="AR41" s="616">
        <f t="shared" si="32"/>
        <v>0</v>
      </c>
      <c r="AS41" s="328"/>
      <c r="AT41" s="328"/>
      <c r="AU41" s="328"/>
      <c r="AV41" s="328"/>
      <c r="AW41" s="328"/>
      <c r="AX41" s="616">
        <f t="shared" si="33"/>
        <v>0</v>
      </c>
      <c r="AY41" s="328"/>
      <c r="AZ41" s="328"/>
      <c r="BA41" s="328"/>
      <c r="BB41" s="328"/>
      <c r="BC41" s="328"/>
      <c r="BD41" s="328"/>
      <c r="BE41" s="342"/>
      <c r="BF41" s="343"/>
      <c r="BG41" s="357"/>
      <c r="BH41" s="618">
        <f t="shared" si="22"/>
        <v>0</v>
      </c>
      <c r="BI41" s="339"/>
      <c r="BJ41" s="339"/>
      <c r="BK41" s="339"/>
      <c r="BL41" s="339"/>
      <c r="BM41" s="339"/>
      <c r="BN41" s="339"/>
      <c r="BO41" s="339"/>
      <c r="BP41" s="339"/>
      <c r="BQ41" s="339"/>
      <c r="BR41" s="339"/>
      <c r="BS41" s="339"/>
      <c r="BT41" s="339"/>
      <c r="BU41" s="339"/>
      <c r="BV41" s="525"/>
      <c r="BW41" s="525"/>
      <c r="BX41" s="525"/>
      <c r="BY41" s="345"/>
      <c r="BZ41" s="540"/>
      <c r="CA41" s="532"/>
      <c r="CB41" s="539"/>
      <c r="CC41" s="536"/>
      <c r="CD41" s="536"/>
      <c r="CE41" s="536"/>
      <c r="CF41" s="536"/>
      <c r="CG41" s="536"/>
      <c r="CH41" s="539"/>
      <c r="CI41" s="536"/>
      <c r="CJ41" s="536"/>
      <c r="CK41" s="536"/>
      <c r="CL41" s="536"/>
      <c r="CM41" s="343"/>
      <c r="CN41" s="343"/>
      <c r="CO41" s="342"/>
      <c r="CP41" s="343"/>
      <c r="CQ41" s="344"/>
      <c r="CR41" s="618">
        <f t="shared" si="25"/>
        <v>0</v>
      </c>
      <c r="CS41" s="339"/>
      <c r="CT41" s="339"/>
      <c r="CU41" s="339"/>
      <c r="CV41" s="339"/>
      <c r="CW41" s="339"/>
      <c r="CX41" s="339"/>
      <c r="CY41" s="339"/>
      <c r="CZ41" s="339"/>
      <c r="DA41" s="339"/>
      <c r="DB41" s="339"/>
      <c r="DC41" s="339"/>
      <c r="DD41" s="339"/>
      <c r="DE41" s="339"/>
      <c r="DF41" s="603"/>
      <c r="DG41" s="603"/>
      <c r="DH41" s="603"/>
      <c r="DI41" s="345"/>
      <c r="DJ41" s="359"/>
      <c r="DK41" s="328"/>
      <c r="DL41" s="328"/>
      <c r="DM41" s="339"/>
      <c r="DN41" s="339"/>
      <c r="DO41" s="339"/>
      <c r="DP41" s="339"/>
      <c r="DQ41" s="339"/>
      <c r="DR41" s="328"/>
      <c r="DS41" s="339"/>
      <c r="DT41" s="339"/>
      <c r="DU41" s="339"/>
      <c r="DV41" s="339"/>
      <c r="DW41" s="343"/>
      <c r="DX41" s="343"/>
      <c r="DY41" s="342"/>
      <c r="DZ41" s="343"/>
      <c r="EA41" s="344"/>
      <c r="EB41" s="618">
        <f t="shared" si="28"/>
        <v>0</v>
      </c>
      <c r="EC41" s="81"/>
      <c r="ED41" s="81"/>
      <c r="EE41" s="81"/>
      <c r="EF41" s="81"/>
      <c r="EG41" s="81"/>
      <c r="EH41" s="81"/>
      <c r="EI41" s="81"/>
      <c r="EJ41" s="81"/>
      <c r="EK41" s="81"/>
      <c r="EL41" s="81"/>
      <c r="EM41" s="81"/>
      <c r="EN41" s="81"/>
      <c r="EO41" s="81"/>
      <c r="EP41" s="103"/>
      <c r="EQ41" s="103"/>
      <c r="ER41" s="103"/>
      <c r="ES41" s="55"/>
      <c r="ET41" s="56"/>
      <c r="EU41" s="71"/>
      <c r="EV41" s="71"/>
      <c r="EW41" s="81"/>
      <c r="EX41" s="81"/>
      <c r="EY41" s="81"/>
      <c r="EZ41" s="81"/>
      <c r="FA41" s="81"/>
      <c r="FB41" s="71"/>
      <c r="FC41" s="81"/>
      <c r="FD41" s="81"/>
      <c r="FE41" s="81"/>
      <c r="FF41" s="81"/>
      <c r="FG41" s="48"/>
    </row>
    <row r="42" spans="1:163" ht="13.35" hidden="1" customHeight="1" outlineLevel="2">
      <c r="A42" s="48"/>
      <c r="B42" s="80"/>
      <c r="C42" s="80">
        <v>3</v>
      </c>
      <c r="D42" s="138" t="s">
        <v>33</v>
      </c>
      <c r="E42" s="48"/>
      <c r="F42" s="338"/>
      <c r="G42" s="619"/>
      <c r="H42" s="339"/>
      <c r="I42" s="339"/>
      <c r="J42" s="339"/>
      <c r="K42" s="339"/>
      <c r="L42" s="339"/>
      <c r="M42" s="339"/>
      <c r="N42" s="339"/>
      <c r="O42" s="339"/>
      <c r="P42" s="339"/>
      <c r="Q42" s="339"/>
      <c r="R42" s="339"/>
      <c r="S42" s="339"/>
      <c r="T42" s="48"/>
      <c r="U42" s="123"/>
      <c r="V42" s="131"/>
      <c r="W42" s="338"/>
      <c r="X42" s="619">
        <f t="shared" si="19"/>
        <v>0</v>
      </c>
      <c r="Y42" s="339"/>
      <c r="Z42" s="339"/>
      <c r="AA42" s="339"/>
      <c r="AB42" s="339"/>
      <c r="AC42" s="339"/>
      <c r="AD42" s="339"/>
      <c r="AE42" s="339"/>
      <c r="AF42" s="339"/>
      <c r="AG42" s="339"/>
      <c r="AH42" s="339"/>
      <c r="AI42" s="339"/>
      <c r="AJ42" s="339"/>
      <c r="AK42" s="339"/>
      <c r="AL42" s="340"/>
      <c r="AM42" s="340"/>
      <c r="AN42" s="340"/>
      <c r="AO42" s="345"/>
      <c r="AP42" s="359"/>
      <c r="AQ42" s="328"/>
      <c r="AR42" s="616">
        <f t="shared" si="32"/>
        <v>0</v>
      </c>
      <c r="AS42" s="328"/>
      <c r="AT42" s="328"/>
      <c r="AU42" s="328"/>
      <c r="AV42" s="328"/>
      <c r="AW42" s="328"/>
      <c r="AX42" s="616">
        <f t="shared" si="33"/>
        <v>0</v>
      </c>
      <c r="AY42" s="328"/>
      <c r="AZ42" s="328"/>
      <c r="BA42" s="328"/>
      <c r="BB42" s="328"/>
      <c r="BC42" s="328"/>
      <c r="BD42" s="328"/>
      <c r="BE42" s="342"/>
      <c r="BF42" s="343"/>
      <c r="BG42" s="357"/>
      <c r="BH42" s="618">
        <f t="shared" si="22"/>
        <v>0</v>
      </c>
      <c r="BI42" s="339"/>
      <c r="BJ42" s="339"/>
      <c r="BK42" s="339"/>
      <c r="BL42" s="339"/>
      <c r="BM42" s="339"/>
      <c r="BN42" s="339"/>
      <c r="BO42" s="339"/>
      <c r="BP42" s="339"/>
      <c r="BQ42" s="339"/>
      <c r="BR42" s="339"/>
      <c r="BS42" s="339"/>
      <c r="BT42" s="339"/>
      <c r="BU42" s="339"/>
      <c r="BV42" s="525"/>
      <c r="BW42" s="525"/>
      <c r="BX42" s="525"/>
      <c r="BY42" s="345"/>
      <c r="BZ42" s="540"/>
      <c r="CA42" s="532"/>
      <c r="CB42" s="539"/>
      <c r="CC42" s="536"/>
      <c r="CD42" s="536"/>
      <c r="CE42" s="536"/>
      <c r="CF42" s="536"/>
      <c r="CG42" s="536"/>
      <c r="CH42" s="539"/>
      <c r="CI42" s="536"/>
      <c r="CJ42" s="536"/>
      <c r="CK42" s="536"/>
      <c r="CL42" s="536"/>
      <c r="CM42" s="343"/>
      <c r="CN42" s="343"/>
      <c r="CO42" s="342"/>
      <c r="CP42" s="343"/>
      <c r="CQ42" s="344"/>
      <c r="CR42" s="618">
        <f t="shared" si="25"/>
        <v>0</v>
      </c>
      <c r="CS42" s="339"/>
      <c r="CT42" s="339"/>
      <c r="CU42" s="339"/>
      <c r="CV42" s="339"/>
      <c r="CW42" s="339"/>
      <c r="CX42" s="339"/>
      <c r="CY42" s="339"/>
      <c r="CZ42" s="339"/>
      <c r="DA42" s="339"/>
      <c r="DB42" s="339"/>
      <c r="DC42" s="339"/>
      <c r="DD42" s="339"/>
      <c r="DE42" s="339"/>
      <c r="DF42" s="603"/>
      <c r="DG42" s="603"/>
      <c r="DH42" s="603"/>
      <c r="DI42" s="345"/>
      <c r="DJ42" s="359"/>
      <c r="DK42" s="328"/>
      <c r="DL42" s="328"/>
      <c r="DM42" s="339"/>
      <c r="DN42" s="339"/>
      <c r="DO42" s="339"/>
      <c r="DP42" s="339"/>
      <c r="DQ42" s="339"/>
      <c r="DR42" s="328"/>
      <c r="DS42" s="339"/>
      <c r="DT42" s="339"/>
      <c r="DU42" s="339"/>
      <c r="DV42" s="339"/>
      <c r="DW42" s="343"/>
      <c r="DX42" s="343"/>
      <c r="DY42" s="342"/>
      <c r="DZ42" s="343"/>
      <c r="EA42" s="344"/>
      <c r="EB42" s="618">
        <f t="shared" si="28"/>
        <v>0</v>
      </c>
      <c r="EC42" s="81"/>
      <c r="ED42" s="81"/>
      <c r="EE42" s="81"/>
      <c r="EF42" s="81"/>
      <c r="EG42" s="81"/>
      <c r="EH42" s="81"/>
      <c r="EI42" s="81"/>
      <c r="EJ42" s="81"/>
      <c r="EK42" s="81"/>
      <c r="EL42" s="81"/>
      <c r="EM42" s="81"/>
      <c r="EN42" s="81"/>
      <c r="EO42" s="81"/>
      <c r="EP42" s="103"/>
      <c r="EQ42" s="103"/>
      <c r="ER42" s="103"/>
      <c r="ES42" s="55"/>
      <c r="ET42" s="56"/>
      <c r="EU42" s="71"/>
      <c r="EV42" s="71"/>
      <c r="EW42" s="81"/>
      <c r="EX42" s="81"/>
      <c r="EY42" s="81"/>
      <c r="EZ42" s="81"/>
      <c r="FA42" s="81"/>
      <c r="FB42" s="71"/>
      <c r="FC42" s="81"/>
      <c r="FD42" s="81"/>
      <c r="FE42" s="81"/>
      <c r="FF42" s="81"/>
      <c r="FG42" s="48"/>
    </row>
    <row r="43" spans="1:163" ht="13.35" hidden="1" customHeight="1" outlineLevel="2">
      <c r="A43" s="48"/>
      <c r="B43" s="80">
        <v>3</v>
      </c>
      <c r="C43" s="80">
        <v>4</v>
      </c>
      <c r="D43" s="138" t="s">
        <v>44</v>
      </c>
      <c r="E43" s="48"/>
      <c r="F43" s="338"/>
      <c r="G43" s="619"/>
      <c r="H43" s="339"/>
      <c r="I43" s="339"/>
      <c r="J43" s="339"/>
      <c r="K43" s="339"/>
      <c r="L43" s="339"/>
      <c r="M43" s="339"/>
      <c r="N43" s="339"/>
      <c r="O43" s="339"/>
      <c r="P43" s="339"/>
      <c r="Q43" s="339"/>
      <c r="R43" s="339"/>
      <c r="S43" s="339"/>
      <c r="T43" s="48"/>
      <c r="U43" s="123"/>
      <c r="V43" s="131"/>
      <c r="W43" s="338"/>
      <c r="X43" s="619">
        <f t="shared" si="19"/>
        <v>0</v>
      </c>
      <c r="Y43" s="339"/>
      <c r="Z43" s="339"/>
      <c r="AA43" s="339"/>
      <c r="AB43" s="339"/>
      <c r="AC43" s="339"/>
      <c r="AD43" s="339"/>
      <c r="AE43" s="339"/>
      <c r="AF43" s="339"/>
      <c r="AG43" s="339"/>
      <c r="AH43" s="339"/>
      <c r="AI43" s="339"/>
      <c r="AJ43" s="339"/>
      <c r="AK43" s="339"/>
      <c r="AL43" s="340"/>
      <c r="AM43" s="340"/>
      <c r="AN43" s="340"/>
      <c r="AO43" s="345"/>
      <c r="AP43" s="328"/>
      <c r="AQ43" s="328"/>
      <c r="AR43" s="616">
        <f t="shared" si="32"/>
        <v>0</v>
      </c>
      <c r="AS43" s="328"/>
      <c r="AT43" s="328"/>
      <c r="AU43" s="328"/>
      <c r="AV43" s="328"/>
      <c r="AW43" s="328"/>
      <c r="AX43" s="616">
        <f t="shared" si="33"/>
        <v>0</v>
      </c>
      <c r="AY43" s="328"/>
      <c r="AZ43" s="328"/>
      <c r="BA43" s="328"/>
      <c r="BB43" s="328"/>
      <c r="BC43" s="350"/>
      <c r="BD43" s="350"/>
      <c r="BE43" s="342"/>
      <c r="BF43" s="343"/>
      <c r="BG43" s="357"/>
      <c r="BH43" s="618">
        <f t="shared" si="22"/>
        <v>0</v>
      </c>
      <c r="BI43" s="339"/>
      <c r="BJ43" s="339"/>
      <c r="BK43" s="339"/>
      <c r="BL43" s="339"/>
      <c r="BM43" s="339"/>
      <c r="BN43" s="339"/>
      <c r="BO43" s="339"/>
      <c r="BP43" s="339"/>
      <c r="BQ43" s="339"/>
      <c r="BR43" s="339"/>
      <c r="BS43" s="339"/>
      <c r="BT43" s="339"/>
      <c r="BU43" s="339"/>
      <c r="BV43" s="525"/>
      <c r="BW43" s="525"/>
      <c r="BX43" s="525"/>
      <c r="BY43" s="345"/>
      <c r="BZ43" s="532"/>
      <c r="CA43" s="532"/>
      <c r="CB43" s="539"/>
      <c r="CC43" s="536"/>
      <c r="CD43" s="536"/>
      <c r="CE43" s="536"/>
      <c r="CF43" s="536"/>
      <c r="CG43" s="536"/>
      <c r="CH43" s="539"/>
      <c r="CI43" s="536"/>
      <c r="CJ43" s="536"/>
      <c r="CK43" s="536"/>
      <c r="CL43" s="536"/>
      <c r="CM43" s="343"/>
      <c r="CN43" s="343"/>
      <c r="CO43" s="342"/>
      <c r="CP43" s="343"/>
      <c r="CQ43" s="344"/>
      <c r="CR43" s="618">
        <f t="shared" si="25"/>
        <v>0</v>
      </c>
      <c r="CS43" s="339"/>
      <c r="CT43" s="339"/>
      <c r="CU43" s="339"/>
      <c r="CV43" s="339"/>
      <c r="CW43" s="339"/>
      <c r="CX43" s="339"/>
      <c r="CY43" s="339"/>
      <c r="CZ43" s="339"/>
      <c r="DA43" s="339"/>
      <c r="DB43" s="339"/>
      <c r="DC43" s="339"/>
      <c r="DD43" s="339"/>
      <c r="DE43" s="339"/>
      <c r="DF43" s="603"/>
      <c r="DG43" s="603"/>
      <c r="DH43" s="603"/>
      <c r="DI43" s="345"/>
      <c r="DJ43" s="328"/>
      <c r="DK43" s="328"/>
      <c r="DL43" s="328"/>
      <c r="DM43" s="339"/>
      <c r="DN43" s="339"/>
      <c r="DO43" s="339"/>
      <c r="DP43" s="339"/>
      <c r="DQ43" s="339"/>
      <c r="DR43" s="328"/>
      <c r="DS43" s="339"/>
      <c r="DT43" s="339"/>
      <c r="DU43" s="339"/>
      <c r="DV43" s="339"/>
      <c r="DW43" s="343"/>
      <c r="DX43" s="343"/>
      <c r="DY43" s="342"/>
      <c r="DZ43" s="343"/>
      <c r="EA43" s="344"/>
      <c r="EB43" s="618">
        <f t="shared" si="28"/>
        <v>0</v>
      </c>
      <c r="EC43" s="615">
        <f>IFERROR(IF(EP43=100%,EA43,0),0)</f>
        <v>0</v>
      </c>
      <c r="ED43" s="615">
        <f>IFERROR(IF(AND((EP43+EQ43)=100%,EP43&lt;1),EA43,0),0)</f>
        <v>0</v>
      </c>
      <c r="EE43" s="81"/>
      <c r="EF43" s="81"/>
      <c r="EG43" s="81"/>
      <c r="EH43" s="81"/>
      <c r="EI43" s="81"/>
      <c r="EJ43" s="615">
        <f>IFERROR(IF(AND((EU43+EV43)=100%,EU43&lt;1),EG43,0),0)</f>
        <v>0</v>
      </c>
      <c r="EK43" s="81"/>
      <c r="EL43" s="81"/>
      <c r="EM43" s="81"/>
      <c r="EN43" s="81"/>
      <c r="EO43" s="81"/>
      <c r="EP43" s="103"/>
      <c r="EQ43" s="103"/>
      <c r="ER43" s="103"/>
      <c r="ES43" s="55"/>
      <c r="ET43" s="71"/>
      <c r="EU43" s="71"/>
      <c r="EV43" s="71"/>
      <c r="EW43" s="81"/>
      <c r="EX43" s="81"/>
      <c r="EY43" s="81"/>
      <c r="EZ43" s="81"/>
      <c r="FA43" s="81"/>
      <c r="FB43" s="71"/>
      <c r="FC43" s="81"/>
      <c r="FD43" s="81"/>
      <c r="FE43" s="81"/>
      <c r="FF43" s="81"/>
      <c r="FG43" s="48"/>
    </row>
    <row r="44" spans="1:163" ht="13.35" hidden="1" customHeight="1" outlineLevel="2">
      <c r="A44" s="48"/>
      <c r="B44" s="80">
        <v>4</v>
      </c>
      <c r="C44" s="80">
        <v>5</v>
      </c>
      <c r="D44" s="138" t="s">
        <v>45</v>
      </c>
      <c r="E44" s="48"/>
      <c r="F44" s="338"/>
      <c r="G44" s="619"/>
      <c r="H44" s="339"/>
      <c r="I44" s="339"/>
      <c r="J44" s="339"/>
      <c r="K44" s="339"/>
      <c r="L44" s="339"/>
      <c r="M44" s="339"/>
      <c r="N44" s="339"/>
      <c r="O44" s="339"/>
      <c r="P44" s="339"/>
      <c r="Q44" s="339"/>
      <c r="R44" s="339"/>
      <c r="S44" s="339"/>
      <c r="T44" s="48"/>
      <c r="U44" s="123"/>
      <c r="V44" s="131"/>
      <c r="W44" s="338"/>
      <c r="X44" s="619">
        <f t="shared" si="19"/>
        <v>0</v>
      </c>
      <c r="Y44" s="339"/>
      <c r="Z44" s="339"/>
      <c r="AA44" s="339"/>
      <c r="AB44" s="339"/>
      <c r="AC44" s="339"/>
      <c r="AD44" s="339"/>
      <c r="AE44" s="339"/>
      <c r="AF44" s="339"/>
      <c r="AG44" s="339"/>
      <c r="AH44" s="339"/>
      <c r="AI44" s="339"/>
      <c r="AJ44" s="339"/>
      <c r="AK44" s="339"/>
      <c r="AL44" s="340"/>
      <c r="AM44" s="340"/>
      <c r="AN44" s="340"/>
      <c r="AO44" s="347"/>
      <c r="AP44" s="328"/>
      <c r="AQ44" s="328"/>
      <c r="AR44" s="616">
        <f t="shared" si="32"/>
        <v>0</v>
      </c>
      <c r="AS44" s="328"/>
      <c r="AT44" s="328"/>
      <c r="AU44" s="328"/>
      <c r="AV44" s="328"/>
      <c r="AW44" s="328"/>
      <c r="AX44" s="616">
        <f t="shared" si="33"/>
        <v>0</v>
      </c>
      <c r="AY44" s="328"/>
      <c r="AZ44" s="328"/>
      <c r="BA44" s="328"/>
      <c r="BB44" s="328"/>
      <c r="BC44" s="350"/>
      <c r="BD44" s="350"/>
      <c r="BE44" s="342"/>
      <c r="BF44" s="343"/>
      <c r="BG44" s="357"/>
      <c r="BH44" s="618">
        <f t="shared" si="22"/>
        <v>0</v>
      </c>
      <c r="BI44" s="339"/>
      <c r="BJ44" s="339"/>
      <c r="BK44" s="339"/>
      <c r="BL44" s="339"/>
      <c r="BM44" s="339"/>
      <c r="BN44" s="339"/>
      <c r="BO44" s="339"/>
      <c r="BP44" s="339"/>
      <c r="BQ44" s="339"/>
      <c r="BR44" s="339"/>
      <c r="BS44" s="339"/>
      <c r="BT44" s="339"/>
      <c r="BU44" s="339"/>
      <c r="BV44" s="525"/>
      <c r="BW44" s="525"/>
      <c r="BX44" s="525"/>
      <c r="BY44" s="347"/>
      <c r="BZ44" s="532"/>
      <c r="CA44" s="532"/>
      <c r="CB44" s="539"/>
      <c r="CC44" s="536"/>
      <c r="CD44" s="536"/>
      <c r="CE44" s="536"/>
      <c r="CF44" s="536"/>
      <c r="CG44" s="536"/>
      <c r="CH44" s="539"/>
      <c r="CI44" s="536"/>
      <c r="CJ44" s="536"/>
      <c r="CK44" s="536"/>
      <c r="CL44" s="536"/>
      <c r="CM44" s="343"/>
      <c r="CN44" s="343"/>
      <c r="CO44" s="342"/>
      <c r="CP44" s="343"/>
      <c r="CQ44" s="344"/>
      <c r="CR44" s="618">
        <f t="shared" si="25"/>
        <v>0</v>
      </c>
      <c r="CS44" s="339"/>
      <c r="CT44" s="339"/>
      <c r="CU44" s="339"/>
      <c r="CV44" s="339"/>
      <c r="CW44" s="339"/>
      <c r="CX44" s="339"/>
      <c r="CY44" s="339"/>
      <c r="CZ44" s="339"/>
      <c r="DA44" s="339"/>
      <c r="DB44" s="339"/>
      <c r="DC44" s="339"/>
      <c r="DD44" s="339"/>
      <c r="DE44" s="339"/>
      <c r="DF44" s="603"/>
      <c r="DG44" s="603"/>
      <c r="DH44" s="603"/>
      <c r="DI44" s="347"/>
      <c r="DJ44" s="328"/>
      <c r="DK44" s="328"/>
      <c r="DL44" s="328"/>
      <c r="DM44" s="339"/>
      <c r="DN44" s="339"/>
      <c r="DO44" s="339"/>
      <c r="DP44" s="339"/>
      <c r="DQ44" s="339"/>
      <c r="DR44" s="328"/>
      <c r="DS44" s="339"/>
      <c r="DT44" s="339"/>
      <c r="DU44" s="339"/>
      <c r="DV44" s="339"/>
      <c r="DW44" s="343"/>
      <c r="DX44" s="343"/>
      <c r="DY44" s="342"/>
      <c r="DZ44" s="343"/>
      <c r="EA44" s="344"/>
      <c r="EB44" s="618">
        <f t="shared" si="28"/>
        <v>0</v>
      </c>
      <c r="EC44" s="615">
        <f>IFERROR(IF(EP44=100%,EA44,0),0)</f>
        <v>0</v>
      </c>
      <c r="ED44" s="615">
        <f>IFERROR(IF(AND((EP44+EQ44)=100%,EP44&lt;1),EA44,0),0)</f>
        <v>0</v>
      </c>
      <c r="EE44" s="81"/>
      <c r="EF44" s="81"/>
      <c r="EG44" s="81"/>
      <c r="EH44" s="81"/>
      <c r="EI44" s="81"/>
      <c r="EJ44" s="615">
        <f>IFERROR(IF(AND((EU44+EV44)=100%,EU44&lt;1),EG44,0),0)</f>
        <v>0</v>
      </c>
      <c r="EK44" s="81"/>
      <c r="EL44" s="81"/>
      <c r="EM44" s="81"/>
      <c r="EN44" s="81"/>
      <c r="EO44" s="81"/>
      <c r="EP44" s="103"/>
      <c r="EQ44" s="103"/>
      <c r="ER44" s="103"/>
      <c r="ES44" s="83"/>
      <c r="ET44" s="71"/>
      <c r="EU44" s="71"/>
      <c r="EV44" s="71"/>
      <c r="EW44" s="81"/>
      <c r="EX44" s="81"/>
      <c r="EY44" s="81"/>
      <c r="EZ44" s="81"/>
      <c r="FA44" s="81"/>
      <c r="FB44" s="71"/>
      <c r="FC44" s="81"/>
      <c r="FD44" s="81"/>
      <c r="FE44" s="81"/>
      <c r="FF44" s="81"/>
      <c r="FG44" s="48"/>
    </row>
    <row r="45" spans="1:163" ht="13.35" hidden="1" customHeight="1" outlineLevel="2">
      <c r="A45" s="48"/>
      <c r="B45" s="80">
        <v>5</v>
      </c>
      <c r="C45" s="80">
        <v>6</v>
      </c>
      <c r="D45" s="138" t="s">
        <v>46</v>
      </c>
      <c r="E45" s="48"/>
      <c r="F45" s="338"/>
      <c r="G45" s="619"/>
      <c r="H45" s="339"/>
      <c r="I45" s="339"/>
      <c r="J45" s="339"/>
      <c r="K45" s="339"/>
      <c r="L45" s="339"/>
      <c r="M45" s="339"/>
      <c r="N45" s="339"/>
      <c r="O45" s="339"/>
      <c r="P45" s="339"/>
      <c r="Q45" s="339"/>
      <c r="R45" s="339"/>
      <c r="S45" s="339"/>
      <c r="T45" s="48"/>
      <c r="U45" s="124"/>
      <c r="V45" s="131"/>
      <c r="W45" s="338"/>
      <c r="X45" s="619">
        <f t="shared" si="19"/>
        <v>0</v>
      </c>
      <c r="Y45" s="339"/>
      <c r="Z45" s="339"/>
      <c r="AA45" s="339"/>
      <c r="AB45" s="339"/>
      <c r="AC45" s="339"/>
      <c r="AD45" s="339"/>
      <c r="AE45" s="339"/>
      <c r="AF45" s="339"/>
      <c r="AG45" s="339"/>
      <c r="AH45" s="339"/>
      <c r="AI45" s="339"/>
      <c r="AJ45" s="339"/>
      <c r="AK45" s="339"/>
      <c r="AL45" s="340"/>
      <c r="AM45" s="340"/>
      <c r="AN45" s="340"/>
      <c r="AO45" s="341"/>
      <c r="AP45" s="328"/>
      <c r="AQ45" s="328"/>
      <c r="AR45" s="616">
        <f t="shared" si="32"/>
        <v>0</v>
      </c>
      <c r="AS45" s="328"/>
      <c r="AT45" s="328"/>
      <c r="AU45" s="328"/>
      <c r="AV45" s="328"/>
      <c r="AW45" s="328"/>
      <c r="AX45" s="616">
        <f t="shared" si="33"/>
        <v>0</v>
      </c>
      <c r="AY45" s="328"/>
      <c r="AZ45" s="328"/>
      <c r="BA45" s="328"/>
      <c r="BB45" s="328"/>
      <c r="BC45" s="350"/>
      <c r="BD45" s="350"/>
      <c r="BE45" s="342"/>
      <c r="BF45" s="343"/>
      <c r="BG45" s="357"/>
      <c r="BH45" s="618">
        <f t="shared" si="22"/>
        <v>0</v>
      </c>
      <c r="BI45" s="339"/>
      <c r="BJ45" s="339"/>
      <c r="BK45" s="339"/>
      <c r="BL45" s="339"/>
      <c r="BM45" s="339"/>
      <c r="BN45" s="339"/>
      <c r="BO45" s="339"/>
      <c r="BP45" s="339"/>
      <c r="BQ45" s="339"/>
      <c r="BR45" s="339"/>
      <c r="BS45" s="339"/>
      <c r="BT45" s="339"/>
      <c r="BU45" s="339"/>
      <c r="BV45" s="525"/>
      <c r="BW45" s="525"/>
      <c r="BX45" s="525"/>
      <c r="BY45" s="341"/>
      <c r="BZ45" s="532"/>
      <c r="CA45" s="532"/>
      <c r="CB45" s="539"/>
      <c r="CC45" s="536"/>
      <c r="CD45" s="536"/>
      <c r="CE45" s="536"/>
      <c r="CF45" s="536"/>
      <c r="CG45" s="536"/>
      <c r="CH45" s="539"/>
      <c r="CI45" s="536"/>
      <c r="CJ45" s="536"/>
      <c r="CK45" s="536"/>
      <c r="CL45" s="536"/>
      <c r="CM45" s="343"/>
      <c r="CN45" s="343"/>
      <c r="CO45" s="342"/>
      <c r="CP45" s="343"/>
      <c r="CQ45" s="344"/>
      <c r="CR45" s="618">
        <f t="shared" si="25"/>
        <v>0</v>
      </c>
      <c r="CS45" s="339"/>
      <c r="CT45" s="339"/>
      <c r="CU45" s="339"/>
      <c r="CV45" s="339"/>
      <c r="CW45" s="339"/>
      <c r="CX45" s="339"/>
      <c r="CY45" s="339"/>
      <c r="CZ45" s="339"/>
      <c r="DA45" s="339"/>
      <c r="DB45" s="339"/>
      <c r="DC45" s="339"/>
      <c r="DD45" s="339"/>
      <c r="DE45" s="339"/>
      <c r="DF45" s="603"/>
      <c r="DG45" s="603"/>
      <c r="DH45" s="603"/>
      <c r="DI45" s="341"/>
      <c r="DJ45" s="328"/>
      <c r="DK45" s="328"/>
      <c r="DL45" s="328"/>
      <c r="DM45" s="339"/>
      <c r="DN45" s="339"/>
      <c r="DO45" s="339"/>
      <c r="DP45" s="339"/>
      <c r="DQ45" s="339"/>
      <c r="DR45" s="328"/>
      <c r="DS45" s="339"/>
      <c r="DT45" s="339"/>
      <c r="DU45" s="339"/>
      <c r="DV45" s="339"/>
      <c r="DW45" s="343"/>
      <c r="DX45" s="343"/>
      <c r="DY45" s="342"/>
      <c r="DZ45" s="343"/>
      <c r="EA45" s="344"/>
      <c r="EB45" s="618">
        <f t="shared" si="28"/>
        <v>0</v>
      </c>
      <c r="EC45" s="615">
        <f>IFERROR(IF(EP45=100%,EA45,0),0)</f>
        <v>0</v>
      </c>
      <c r="ED45" s="615">
        <f>IFERROR(IF(AND((EP45+EQ45)=100%,EP45&lt;1),EA45,0),0)</f>
        <v>0</v>
      </c>
      <c r="EE45" s="81"/>
      <c r="EF45" s="81"/>
      <c r="EG45" s="81"/>
      <c r="EH45" s="81"/>
      <c r="EI45" s="81"/>
      <c r="EJ45" s="615">
        <f>IFERROR(IF(AND((EU45+EV45)=100%,EU45&lt;1),EG45,0),0)</f>
        <v>0</v>
      </c>
      <c r="EK45" s="81"/>
      <c r="EL45" s="81"/>
      <c r="EM45" s="81"/>
      <c r="EN45" s="81"/>
      <c r="EO45" s="81"/>
      <c r="EP45" s="103"/>
      <c r="EQ45" s="103"/>
      <c r="ER45" s="103"/>
      <c r="ES45" s="82"/>
      <c r="ET45" s="71"/>
      <c r="EU45" s="71"/>
      <c r="EV45" s="71"/>
      <c r="EW45" s="81"/>
      <c r="EX45" s="81"/>
      <c r="EY45" s="81"/>
      <c r="EZ45" s="81"/>
      <c r="FA45" s="81"/>
      <c r="FB45" s="71"/>
      <c r="FC45" s="81"/>
      <c r="FD45" s="81"/>
      <c r="FE45" s="81"/>
      <c r="FF45" s="81"/>
      <c r="FG45" s="48"/>
    </row>
    <row r="46" spans="1:163" ht="13.35" hidden="1" customHeight="1" outlineLevel="2">
      <c r="A46" s="48"/>
      <c r="B46" s="80"/>
      <c r="C46" s="80">
        <v>7</v>
      </c>
      <c r="D46" s="138" t="s">
        <v>47</v>
      </c>
      <c r="E46" s="48"/>
      <c r="F46" s="338"/>
      <c r="G46" s="619"/>
      <c r="H46" s="339"/>
      <c r="I46" s="339"/>
      <c r="J46" s="339"/>
      <c r="K46" s="339"/>
      <c r="L46" s="339"/>
      <c r="M46" s="339"/>
      <c r="N46" s="339"/>
      <c r="O46" s="339"/>
      <c r="P46" s="339"/>
      <c r="Q46" s="339"/>
      <c r="R46" s="339"/>
      <c r="S46" s="339"/>
      <c r="T46" s="48"/>
      <c r="U46" s="124"/>
      <c r="V46" s="131"/>
      <c r="W46" s="338"/>
      <c r="X46" s="619">
        <f t="shared" si="19"/>
        <v>0</v>
      </c>
      <c r="Y46" s="339"/>
      <c r="Z46" s="339"/>
      <c r="AA46" s="339"/>
      <c r="AB46" s="339"/>
      <c r="AC46" s="339"/>
      <c r="AD46" s="339"/>
      <c r="AE46" s="339"/>
      <c r="AF46" s="339"/>
      <c r="AG46" s="339"/>
      <c r="AH46" s="339"/>
      <c r="AI46" s="339"/>
      <c r="AJ46" s="339"/>
      <c r="AK46" s="339"/>
      <c r="AL46" s="340"/>
      <c r="AM46" s="340"/>
      <c r="AN46" s="340"/>
      <c r="AO46" s="341"/>
      <c r="AP46" s="328"/>
      <c r="AQ46" s="328"/>
      <c r="AR46" s="616">
        <f t="shared" si="32"/>
        <v>0</v>
      </c>
      <c r="AS46" s="328"/>
      <c r="AT46" s="328"/>
      <c r="AU46" s="328"/>
      <c r="AV46" s="328"/>
      <c r="AW46" s="328"/>
      <c r="AX46" s="616">
        <f t="shared" si="33"/>
        <v>0</v>
      </c>
      <c r="AY46" s="328"/>
      <c r="AZ46" s="328"/>
      <c r="BA46" s="328"/>
      <c r="BB46" s="328"/>
      <c r="BC46" s="350"/>
      <c r="BD46" s="350"/>
      <c r="BE46" s="342"/>
      <c r="BF46" s="343"/>
      <c r="BG46" s="357"/>
      <c r="BH46" s="618">
        <f t="shared" si="22"/>
        <v>0</v>
      </c>
      <c r="BI46" s="339"/>
      <c r="BJ46" s="339"/>
      <c r="BK46" s="339"/>
      <c r="BL46" s="339"/>
      <c r="BM46" s="339"/>
      <c r="BN46" s="339"/>
      <c r="BO46" s="339"/>
      <c r="BP46" s="339"/>
      <c r="BQ46" s="339"/>
      <c r="BR46" s="339"/>
      <c r="BS46" s="339"/>
      <c r="BT46" s="339"/>
      <c r="BU46" s="339"/>
      <c r="BV46" s="525"/>
      <c r="BW46" s="525"/>
      <c r="BX46" s="525"/>
      <c r="BY46" s="341"/>
      <c r="BZ46" s="532"/>
      <c r="CA46" s="532"/>
      <c r="CB46" s="539"/>
      <c r="CC46" s="536"/>
      <c r="CD46" s="536"/>
      <c r="CE46" s="536"/>
      <c r="CF46" s="536"/>
      <c r="CG46" s="536"/>
      <c r="CH46" s="539"/>
      <c r="CI46" s="536"/>
      <c r="CJ46" s="536"/>
      <c r="CK46" s="536"/>
      <c r="CL46" s="536"/>
      <c r="CM46" s="343"/>
      <c r="CN46" s="343"/>
      <c r="CO46" s="342"/>
      <c r="CP46" s="343"/>
      <c r="CQ46" s="344"/>
      <c r="CR46" s="618">
        <f t="shared" si="25"/>
        <v>0</v>
      </c>
      <c r="CS46" s="339"/>
      <c r="CT46" s="339"/>
      <c r="CU46" s="339"/>
      <c r="CV46" s="339"/>
      <c r="CW46" s="339"/>
      <c r="CX46" s="339"/>
      <c r="CY46" s="339"/>
      <c r="CZ46" s="339"/>
      <c r="DA46" s="339"/>
      <c r="DB46" s="339"/>
      <c r="DC46" s="339"/>
      <c r="DD46" s="339"/>
      <c r="DE46" s="339"/>
      <c r="DF46" s="603"/>
      <c r="DG46" s="603"/>
      <c r="DH46" s="603"/>
      <c r="DI46" s="341"/>
      <c r="DJ46" s="328"/>
      <c r="DK46" s="328"/>
      <c r="DL46" s="328"/>
      <c r="DM46" s="339"/>
      <c r="DN46" s="339"/>
      <c r="DO46" s="339"/>
      <c r="DP46" s="339"/>
      <c r="DQ46" s="339"/>
      <c r="DR46" s="328"/>
      <c r="DS46" s="339"/>
      <c r="DT46" s="339"/>
      <c r="DU46" s="339"/>
      <c r="DV46" s="339"/>
      <c r="DW46" s="343"/>
      <c r="DX46" s="343"/>
      <c r="DY46" s="342"/>
      <c r="DZ46" s="343"/>
      <c r="EA46" s="344"/>
      <c r="EB46" s="618">
        <f t="shared" si="28"/>
        <v>0</v>
      </c>
      <c r="EC46" s="81"/>
      <c r="ED46" s="81"/>
      <c r="EE46" s="81"/>
      <c r="EF46" s="81"/>
      <c r="EG46" s="81"/>
      <c r="EH46" s="81"/>
      <c r="EI46" s="81"/>
      <c r="EJ46" s="81"/>
      <c r="EK46" s="81"/>
      <c r="EL46" s="81"/>
      <c r="EM46" s="81"/>
      <c r="EN46" s="81"/>
      <c r="EO46" s="81"/>
      <c r="EP46" s="103"/>
      <c r="EQ46" s="103"/>
      <c r="ER46" s="103"/>
      <c r="ES46" s="82"/>
      <c r="ET46" s="71"/>
      <c r="EU46" s="71"/>
      <c r="EV46" s="71"/>
      <c r="EW46" s="81"/>
      <c r="EX46" s="81"/>
      <c r="EY46" s="81"/>
      <c r="EZ46" s="81"/>
      <c r="FA46" s="81"/>
      <c r="FB46" s="71"/>
      <c r="FC46" s="81"/>
      <c r="FD46" s="81"/>
      <c r="FE46" s="81"/>
      <c r="FF46" s="81"/>
      <c r="FG46" s="48"/>
    </row>
    <row r="47" spans="1:163" ht="13.35" hidden="1" customHeight="1" outlineLevel="2">
      <c r="A47" s="48"/>
      <c r="B47" s="80"/>
      <c r="C47" s="80">
        <v>8</v>
      </c>
      <c r="D47" s="138" t="s">
        <v>48</v>
      </c>
      <c r="E47" s="48"/>
      <c r="F47" s="338"/>
      <c r="G47" s="619"/>
      <c r="H47" s="339"/>
      <c r="I47" s="339"/>
      <c r="J47" s="339"/>
      <c r="K47" s="339"/>
      <c r="L47" s="339"/>
      <c r="M47" s="339"/>
      <c r="N47" s="339"/>
      <c r="O47" s="339"/>
      <c r="P47" s="339"/>
      <c r="Q47" s="339"/>
      <c r="R47" s="339"/>
      <c r="S47" s="339"/>
      <c r="T47" s="48"/>
      <c r="U47" s="124"/>
      <c r="V47" s="131"/>
      <c r="W47" s="338"/>
      <c r="X47" s="619">
        <f t="shared" si="19"/>
        <v>0</v>
      </c>
      <c r="Y47" s="339"/>
      <c r="Z47" s="339"/>
      <c r="AA47" s="339"/>
      <c r="AB47" s="339"/>
      <c r="AC47" s="339"/>
      <c r="AD47" s="339"/>
      <c r="AE47" s="339"/>
      <c r="AF47" s="339"/>
      <c r="AG47" s="339"/>
      <c r="AH47" s="339"/>
      <c r="AI47" s="339"/>
      <c r="AJ47" s="339"/>
      <c r="AK47" s="339"/>
      <c r="AL47" s="340"/>
      <c r="AM47" s="340"/>
      <c r="AN47" s="340"/>
      <c r="AO47" s="341"/>
      <c r="AP47" s="328"/>
      <c r="AQ47" s="328"/>
      <c r="AR47" s="616">
        <f t="shared" si="32"/>
        <v>0</v>
      </c>
      <c r="AS47" s="328"/>
      <c r="AT47" s="328"/>
      <c r="AU47" s="328"/>
      <c r="AV47" s="328"/>
      <c r="AW47" s="328"/>
      <c r="AX47" s="616">
        <f t="shared" si="33"/>
        <v>0</v>
      </c>
      <c r="AY47" s="328"/>
      <c r="AZ47" s="328"/>
      <c r="BA47" s="328"/>
      <c r="BB47" s="328"/>
      <c r="BC47" s="350"/>
      <c r="BD47" s="350"/>
      <c r="BE47" s="342"/>
      <c r="BF47" s="343"/>
      <c r="BG47" s="357"/>
      <c r="BH47" s="618">
        <f t="shared" si="22"/>
        <v>0</v>
      </c>
      <c r="BI47" s="339"/>
      <c r="BJ47" s="339"/>
      <c r="BK47" s="339"/>
      <c r="BL47" s="339"/>
      <c r="BM47" s="339"/>
      <c r="BN47" s="339"/>
      <c r="BO47" s="339"/>
      <c r="BP47" s="339"/>
      <c r="BQ47" s="339"/>
      <c r="BR47" s="339"/>
      <c r="BS47" s="339"/>
      <c r="BT47" s="339"/>
      <c r="BU47" s="339"/>
      <c r="BV47" s="525"/>
      <c r="BW47" s="525"/>
      <c r="BX47" s="525"/>
      <c r="BY47" s="341"/>
      <c r="BZ47" s="532"/>
      <c r="CA47" s="532"/>
      <c r="CB47" s="539"/>
      <c r="CC47" s="536"/>
      <c r="CD47" s="536"/>
      <c r="CE47" s="536"/>
      <c r="CF47" s="536"/>
      <c r="CG47" s="536"/>
      <c r="CH47" s="539"/>
      <c r="CI47" s="536"/>
      <c r="CJ47" s="536"/>
      <c r="CK47" s="536"/>
      <c r="CL47" s="536"/>
      <c r="CM47" s="343"/>
      <c r="CN47" s="343"/>
      <c r="CO47" s="342"/>
      <c r="CP47" s="343"/>
      <c r="CQ47" s="344"/>
      <c r="CR47" s="618">
        <f t="shared" si="25"/>
        <v>0</v>
      </c>
      <c r="CS47" s="339"/>
      <c r="CT47" s="339"/>
      <c r="CU47" s="339"/>
      <c r="CV47" s="339"/>
      <c r="CW47" s="339"/>
      <c r="CX47" s="339"/>
      <c r="CY47" s="339"/>
      <c r="CZ47" s="339"/>
      <c r="DA47" s="339"/>
      <c r="DB47" s="339"/>
      <c r="DC47" s="339"/>
      <c r="DD47" s="339"/>
      <c r="DE47" s="339"/>
      <c r="DF47" s="603"/>
      <c r="DG47" s="603"/>
      <c r="DH47" s="603"/>
      <c r="DI47" s="341"/>
      <c r="DJ47" s="328"/>
      <c r="DK47" s="328"/>
      <c r="DL47" s="328"/>
      <c r="DM47" s="339"/>
      <c r="DN47" s="339"/>
      <c r="DO47" s="339"/>
      <c r="DP47" s="339"/>
      <c r="DQ47" s="339"/>
      <c r="DR47" s="328"/>
      <c r="DS47" s="339"/>
      <c r="DT47" s="339"/>
      <c r="DU47" s="339"/>
      <c r="DV47" s="339"/>
      <c r="DW47" s="343"/>
      <c r="DX47" s="343"/>
      <c r="DY47" s="342"/>
      <c r="DZ47" s="343"/>
      <c r="EA47" s="344"/>
      <c r="EB47" s="618">
        <f t="shared" si="28"/>
        <v>0</v>
      </c>
      <c r="EC47" s="81"/>
      <c r="ED47" s="81"/>
      <c r="EE47" s="81"/>
      <c r="EF47" s="81"/>
      <c r="EG47" s="81"/>
      <c r="EH47" s="81"/>
      <c r="EI47" s="81"/>
      <c r="EJ47" s="81"/>
      <c r="EK47" s="81"/>
      <c r="EL47" s="81"/>
      <c r="EM47" s="81"/>
      <c r="EN47" s="81"/>
      <c r="EO47" s="81"/>
      <c r="EP47" s="103"/>
      <c r="EQ47" s="103"/>
      <c r="ER47" s="103"/>
      <c r="ES47" s="82"/>
      <c r="ET47" s="71"/>
      <c r="EU47" s="71"/>
      <c r="EV47" s="71"/>
      <c r="EW47" s="81"/>
      <c r="EX47" s="81"/>
      <c r="EY47" s="81"/>
      <c r="EZ47" s="81"/>
      <c r="FA47" s="81"/>
      <c r="FB47" s="71"/>
      <c r="FC47" s="81"/>
      <c r="FD47" s="81"/>
      <c r="FE47" s="81"/>
      <c r="FF47" s="81"/>
      <c r="FG47" s="48"/>
    </row>
    <row r="48" spans="1:163" ht="3" hidden="1" customHeight="1">
      <c r="A48" s="48"/>
      <c r="B48" s="49"/>
      <c r="C48" s="80"/>
      <c r="D48" s="48"/>
      <c r="E48" s="48"/>
      <c r="F48" s="338"/>
      <c r="G48" s="619"/>
      <c r="H48" s="339"/>
      <c r="I48" s="339"/>
      <c r="J48" s="339"/>
      <c r="K48" s="339"/>
      <c r="L48" s="339"/>
      <c r="M48" s="339"/>
      <c r="N48" s="339"/>
      <c r="O48" s="339"/>
      <c r="P48" s="339"/>
      <c r="Q48" s="339"/>
      <c r="R48" s="339"/>
      <c r="S48" s="339"/>
      <c r="T48" s="48"/>
      <c r="U48" s="123"/>
      <c r="V48" s="131"/>
      <c r="W48" s="338"/>
      <c r="X48" s="619">
        <f t="shared" si="19"/>
        <v>0</v>
      </c>
      <c r="Y48" s="339"/>
      <c r="Z48" s="339"/>
      <c r="AA48" s="339"/>
      <c r="AB48" s="339"/>
      <c r="AC48" s="339"/>
      <c r="AD48" s="339"/>
      <c r="AE48" s="339"/>
      <c r="AF48" s="339"/>
      <c r="AG48" s="339"/>
      <c r="AH48" s="339"/>
      <c r="AI48" s="339"/>
      <c r="AJ48" s="339"/>
      <c r="AK48" s="339"/>
      <c r="AL48" s="340"/>
      <c r="AM48" s="340"/>
      <c r="AN48" s="340"/>
      <c r="AO48" s="341"/>
      <c r="AP48" s="359"/>
      <c r="AQ48" s="328"/>
      <c r="AR48" s="328"/>
      <c r="AS48" s="328"/>
      <c r="AT48" s="328"/>
      <c r="AU48" s="328"/>
      <c r="AV48" s="328"/>
      <c r="AW48" s="328"/>
      <c r="AX48" s="328"/>
      <c r="AY48" s="328"/>
      <c r="AZ48" s="328"/>
      <c r="BA48" s="328"/>
      <c r="BB48" s="328"/>
      <c r="BC48" s="328"/>
      <c r="BD48" s="328"/>
      <c r="BE48" s="342"/>
      <c r="BF48" s="343"/>
      <c r="BG48" s="344"/>
      <c r="BH48" s="618">
        <f t="shared" si="22"/>
        <v>0</v>
      </c>
      <c r="BI48" s="339"/>
      <c r="BJ48" s="339"/>
      <c r="BK48" s="339"/>
      <c r="BL48" s="339"/>
      <c r="BM48" s="339"/>
      <c r="BN48" s="339"/>
      <c r="BO48" s="339"/>
      <c r="BP48" s="339"/>
      <c r="BQ48" s="339"/>
      <c r="BR48" s="339"/>
      <c r="BS48" s="339"/>
      <c r="BT48" s="339"/>
      <c r="BU48" s="339"/>
      <c r="BV48" s="525"/>
      <c r="BW48" s="525"/>
      <c r="BX48" s="525"/>
      <c r="BY48" s="341"/>
      <c r="BZ48" s="540"/>
      <c r="CA48" s="532"/>
      <c r="CB48" s="539"/>
      <c r="CC48" s="536"/>
      <c r="CD48" s="536"/>
      <c r="CE48" s="536"/>
      <c r="CF48" s="536"/>
      <c r="CG48" s="536"/>
      <c r="CH48" s="539"/>
      <c r="CI48" s="536"/>
      <c r="CJ48" s="536"/>
      <c r="CK48" s="536"/>
      <c r="CL48" s="536"/>
      <c r="CM48" s="343"/>
      <c r="CN48" s="343"/>
      <c r="CO48" s="342"/>
      <c r="CP48" s="343"/>
      <c r="CQ48" s="344"/>
      <c r="CR48" s="618">
        <f t="shared" si="25"/>
        <v>0</v>
      </c>
      <c r="CS48" s="339"/>
      <c r="CT48" s="339"/>
      <c r="CU48" s="339"/>
      <c r="CV48" s="339"/>
      <c r="CW48" s="339"/>
      <c r="CX48" s="339"/>
      <c r="CY48" s="339"/>
      <c r="CZ48" s="339"/>
      <c r="DA48" s="339"/>
      <c r="DB48" s="339"/>
      <c r="DC48" s="339"/>
      <c r="DD48" s="339"/>
      <c r="DE48" s="339"/>
      <c r="DF48" s="603"/>
      <c r="DG48" s="603"/>
      <c r="DH48" s="603"/>
      <c r="DI48" s="341"/>
      <c r="DJ48" s="359"/>
      <c r="DK48" s="328"/>
      <c r="DL48" s="328"/>
      <c r="DM48" s="339"/>
      <c r="DN48" s="339"/>
      <c r="DO48" s="339"/>
      <c r="DP48" s="339"/>
      <c r="DQ48" s="339"/>
      <c r="DR48" s="328"/>
      <c r="DS48" s="339"/>
      <c r="DT48" s="339"/>
      <c r="DU48" s="339"/>
      <c r="DV48" s="339"/>
      <c r="DW48" s="343"/>
      <c r="DX48" s="343"/>
      <c r="DY48" s="326"/>
      <c r="DZ48" s="343"/>
      <c r="EA48" s="344"/>
      <c r="EB48" s="618">
        <f t="shared" si="28"/>
        <v>0</v>
      </c>
      <c r="EC48" s="81"/>
      <c r="ED48" s="81"/>
      <c r="EE48" s="81"/>
      <c r="EF48" s="81"/>
      <c r="EG48" s="81"/>
      <c r="EH48" s="81"/>
      <c r="EI48" s="81"/>
      <c r="EJ48" s="81"/>
      <c r="EK48" s="81"/>
      <c r="EL48" s="81"/>
      <c r="EM48" s="81"/>
      <c r="EN48" s="81"/>
      <c r="EO48" s="81"/>
      <c r="EP48" s="103"/>
      <c r="EQ48" s="103"/>
      <c r="ER48" s="103"/>
      <c r="ES48" s="82"/>
      <c r="ET48" s="56"/>
      <c r="EU48" s="71"/>
      <c r="EV48" s="71"/>
      <c r="EW48" s="81"/>
      <c r="EX48" s="81"/>
      <c r="EY48" s="81"/>
      <c r="EZ48" s="81"/>
      <c r="FA48" s="81"/>
      <c r="FB48" s="71"/>
      <c r="FC48" s="81"/>
      <c r="FD48" s="81"/>
      <c r="FE48" s="81"/>
      <c r="FF48" s="81"/>
      <c r="FG48" s="48"/>
    </row>
    <row r="49" spans="1:163" ht="18">
      <c r="A49" s="48"/>
      <c r="B49" s="48"/>
      <c r="C49" s="787" t="s">
        <v>49</v>
      </c>
      <c r="D49" s="787"/>
      <c r="E49" s="62"/>
      <c r="F49" s="606"/>
      <c r="G49" s="606"/>
      <c r="H49" s="606"/>
      <c r="I49" s="606"/>
      <c r="J49" s="606"/>
      <c r="K49" s="606"/>
      <c r="L49" s="606"/>
      <c r="M49" s="606"/>
      <c r="N49" s="142"/>
      <c r="O49" s="606"/>
      <c r="P49" s="606"/>
      <c r="Q49" s="606"/>
      <c r="R49" s="606"/>
      <c r="S49" s="606"/>
      <c r="T49" s="62"/>
      <c r="U49" s="129"/>
      <c r="V49" s="130"/>
      <c r="W49" s="606">
        <f t="shared" ref="W49:AJ49" si="74">W144+W51+W63+W75+W86+W98+W109+W121+W132+W198+W203+W208+W220+W226</f>
        <v>28.797155</v>
      </c>
      <c r="X49" s="606">
        <f t="shared" si="19"/>
        <v>23.048830264492754</v>
      </c>
      <c r="Y49" s="606">
        <f>Y144+Y51+Y63+Y75+Y86+Y98+Y109+Y121+Y132+Y198+Y203+Y208+Y220+Y226</f>
        <v>16.718640268115941</v>
      </c>
      <c r="Z49" s="606">
        <f t="shared" si="74"/>
        <v>12.078514731884059</v>
      </c>
      <c r="AA49" s="606">
        <f t="shared" si="74"/>
        <v>11.955790731884059</v>
      </c>
      <c r="AB49" s="606">
        <f t="shared" si="74"/>
        <v>0.12272400000000001</v>
      </c>
      <c r="AC49" s="606">
        <f t="shared" si="74"/>
        <v>0</v>
      </c>
      <c r="AD49" s="606">
        <f t="shared" si="74"/>
        <v>0</v>
      </c>
      <c r="AE49" s="142"/>
      <c r="AF49" s="606">
        <f t="shared" si="74"/>
        <v>6.330189996376812</v>
      </c>
      <c r="AG49" s="606">
        <f t="shared" si="74"/>
        <v>1.6914242500000003</v>
      </c>
      <c r="AH49" s="606">
        <f t="shared" si="74"/>
        <v>3.3339667463768117</v>
      </c>
      <c r="AI49" s="606">
        <f t="shared" si="74"/>
        <v>1.304799</v>
      </c>
      <c r="AJ49" s="606">
        <f t="shared" si="74"/>
        <v>0</v>
      </c>
      <c r="AK49" s="142"/>
      <c r="AL49" s="142"/>
      <c r="AM49" s="142"/>
      <c r="AN49" s="142"/>
      <c r="AO49" s="606">
        <f>AO144+AO51+AO63+AO75+AO86+AO98+AO109+AO121+AO132+AO198+AO203+AO208+AO220+AO226</f>
        <v>0</v>
      </c>
      <c r="AP49" s="606">
        <f>AP144+AP51+AP63+AP75+AP86+AP98+AP109+AP121+AP132+AP198+AP203+AP208+AP220+AP226</f>
        <v>1585</v>
      </c>
      <c r="AQ49" s="606">
        <f>AQ144+AQ51+AQ63+AQ75+AQ86+AQ98+AQ109+AQ121+AQ132+AQ198+AQ203+AQ208+AQ220+AQ226</f>
        <v>966</v>
      </c>
      <c r="AR49" s="606">
        <f t="shared" si="32"/>
        <v>619</v>
      </c>
      <c r="AS49" s="606">
        <f>AS144+AS51+AS63+AS75+AS86+AS98+AS109+AS121+AS132+AS198+AS203+AS208+AS220+AS226</f>
        <v>614</v>
      </c>
      <c r="AT49" s="606">
        <f>AT144+AT51+AT63+AT75+AT86+AT98+AT109+AT121+AT132+AT198+AT203+AT208+AT220+AT226</f>
        <v>5</v>
      </c>
      <c r="AU49" s="606">
        <f>AU144+AU51+AU63+AU75+AU86+AU98+AU109+AU121+AU132+AU198+AU203+AU208+AU220+AU226</f>
        <v>0</v>
      </c>
      <c r="AV49" s="606">
        <f>AV144+AV51+AV63+AV75+AV86+AV98+AV109+AV121+AV132+AV198+AV203+AV208+AV220+AV226</f>
        <v>0</v>
      </c>
      <c r="AW49" s="142"/>
      <c r="AX49" s="606">
        <f t="shared" ref="AX49" si="75">SUM(AY49:BB49)</f>
        <v>306</v>
      </c>
      <c r="AY49" s="606">
        <f>AY144+AY51+AY63+AY75+AY86+AY98+AY109+AY121+AY132+AY198+AY203+AY208+AY220+AY226</f>
        <v>81</v>
      </c>
      <c r="AZ49" s="606">
        <f>AZ144+AZ51+AZ63+AZ75+AZ86+AZ98+AZ109+AZ121+AZ132+AZ198+AZ203+AZ208+AZ220+AZ226</f>
        <v>150</v>
      </c>
      <c r="BA49" s="606">
        <f>BA144+BA51+BA63+BA75+BA86+BA98+BA109+BA121+BA132+BA198+BA203+BA208+BA220+BA226</f>
        <v>75</v>
      </c>
      <c r="BB49" s="606">
        <f>BB144+BB51+BB63+BB75+BB86+BB98+BB109+BB121+BB132+BB198+BB203+BB208+BB220+BB226</f>
        <v>0</v>
      </c>
      <c r="BC49" s="143"/>
      <c r="BD49" s="143"/>
      <c r="BE49" s="144"/>
      <c r="BF49" s="130"/>
      <c r="BG49" s="606">
        <f t="shared" ref="BG49:BT49" si="76">BG144+BG51+BG63+BG75+BG86+BG98+BG109+BG121+BG132+BG198+BG203+BG208+BG220+BG226</f>
        <v>7.4121194922432769</v>
      </c>
      <c r="BH49" s="606">
        <f t="shared" si="22"/>
        <v>6.7352364433823535</v>
      </c>
      <c r="BI49" s="606">
        <f t="shared" si="76"/>
        <v>6.6529570316176478</v>
      </c>
      <c r="BJ49" s="606">
        <f t="shared" si="76"/>
        <v>0.54387939812563069</v>
      </c>
      <c r="BK49" s="606">
        <f t="shared" si="76"/>
        <v>0.54387939812563069</v>
      </c>
      <c r="BL49" s="606">
        <f t="shared" si="76"/>
        <v>0</v>
      </c>
      <c r="BM49" s="606">
        <f t="shared" si="76"/>
        <v>0</v>
      </c>
      <c r="BN49" s="606">
        <f t="shared" si="76"/>
        <v>0</v>
      </c>
      <c r="BO49" s="142"/>
      <c r="BP49" s="606">
        <f t="shared" si="76"/>
        <v>8.2279411764705879E-2</v>
      </c>
      <c r="BQ49" s="606">
        <f t="shared" si="76"/>
        <v>0</v>
      </c>
      <c r="BR49" s="606">
        <f t="shared" si="76"/>
        <v>0</v>
      </c>
      <c r="BS49" s="606">
        <f t="shared" si="76"/>
        <v>8.2279411764705879E-2</v>
      </c>
      <c r="BT49" s="606">
        <f t="shared" si="76"/>
        <v>0</v>
      </c>
      <c r="BU49" s="142"/>
      <c r="BV49" s="521"/>
      <c r="BW49" s="521"/>
      <c r="BX49" s="521"/>
      <c r="BY49" s="606">
        <f t="shared" ref="BY49:CL49" si="77">BY144+BY51+BY63+BY75+BY86+BY98+BY109+BY121+BY132+BY198+BY203+BY208+BY220+BY226</f>
        <v>0</v>
      </c>
      <c r="BZ49" s="606">
        <f t="shared" si="77"/>
        <v>593</v>
      </c>
      <c r="CA49" s="606">
        <f t="shared" si="77"/>
        <v>547</v>
      </c>
      <c r="CB49" s="606">
        <f t="shared" si="77"/>
        <v>46</v>
      </c>
      <c r="CC49" s="606">
        <f t="shared" si="77"/>
        <v>46</v>
      </c>
      <c r="CD49" s="606">
        <f t="shared" si="77"/>
        <v>0</v>
      </c>
      <c r="CE49" s="606">
        <f t="shared" si="77"/>
        <v>0</v>
      </c>
      <c r="CF49" s="606">
        <f t="shared" si="77"/>
        <v>0</v>
      </c>
      <c r="CG49" s="531"/>
      <c r="CH49" s="606">
        <f t="shared" si="77"/>
        <v>24</v>
      </c>
      <c r="CI49" s="606">
        <f t="shared" si="77"/>
        <v>11</v>
      </c>
      <c r="CJ49" s="606">
        <f t="shared" si="77"/>
        <v>5</v>
      </c>
      <c r="CK49" s="606">
        <f t="shared" si="77"/>
        <v>8</v>
      </c>
      <c r="CL49" s="606">
        <f t="shared" si="77"/>
        <v>0</v>
      </c>
      <c r="CM49" s="130"/>
      <c r="CN49" s="130"/>
      <c r="CO49" s="144"/>
      <c r="CP49" s="130"/>
      <c r="CQ49" s="606">
        <f t="shared" ref="CQ49:DD49" si="78">CQ144+CQ51+CQ63+CQ75+CQ86+CQ98+CQ109+CQ121+CQ132+CQ198+CQ203+CQ208+CQ220+CQ226</f>
        <v>3.127062419406772</v>
      </c>
      <c r="CR49" s="606">
        <f t="shared" si="25"/>
        <v>2.1189925035847401</v>
      </c>
      <c r="CS49" s="606">
        <f t="shared" si="78"/>
        <v>1.4458979428215322</v>
      </c>
      <c r="CT49" s="606">
        <f t="shared" si="78"/>
        <v>1.6811644765852398</v>
      </c>
      <c r="CU49" s="606">
        <f t="shared" si="78"/>
        <v>1.3237134765852396</v>
      </c>
      <c r="CV49" s="606">
        <f t="shared" si="78"/>
        <v>0</v>
      </c>
      <c r="CW49" s="607">
        <f t="shared" si="78"/>
        <v>0</v>
      </c>
      <c r="CX49" s="607">
        <f t="shared" si="78"/>
        <v>0.35745100000000002</v>
      </c>
      <c r="CY49" s="145"/>
      <c r="CZ49" s="606">
        <f t="shared" si="78"/>
        <v>0.67309456076320795</v>
      </c>
      <c r="DA49" s="606">
        <f t="shared" si="78"/>
        <v>0</v>
      </c>
      <c r="DB49" s="606">
        <f t="shared" si="78"/>
        <v>0.17945309200000001</v>
      </c>
      <c r="DC49" s="607">
        <f t="shared" si="78"/>
        <v>1.338235294117647E-2</v>
      </c>
      <c r="DD49" s="607">
        <f t="shared" si="78"/>
        <v>0.48025911582203151</v>
      </c>
      <c r="DE49" s="145"/>
      <c r="DF49" s="636"/>
      <c r="DG49" s="636"/>
      <c r="DH49" s="636"/>
      <c r="DI49" s="607">
        <f t="shared" ref="DI49:DV49" si="79">DI144+DI51+DI63+DI75+DI86+DI98+DI109+DI121+DI132+DI198+DI203+DI208+DI220+DI226</f>
        <v>0</v>
      </c>
      <c r="DJ49" s="606">
        <f t="shared" si="79"/>
        <v>1019</v>
      </c>
      <c r="DK49" s="606">
        <f t="shared" si="79"/>
        <v>820</v>
      </c>
      <c r="DL49" s="606">
        <f t="shared" si="79"/>
        <v>199</v>
      </c>
      <c r="DM49" s="606">
        <f t="shared" si="79"/>
        <v>197</v>
      </c>
      <c r="DN49" s="606">
        <f t="shared" si="79"/>
        <v>0</v>
      </c>
      <c r="DO49" s="606">
        <f t="shared" si="79"/>
        <v>0</v>
      </c>
      <c r="DP49" s="606">
        <f t="shared" si="79"/>
        <v>2</v>
      </c>
      <c r="DQ49" s="142"/>
      <c r="DR49" s="606">
        <f t="shared" si="79"/>
        <v>125</v>
      </c>
      <c r="DS49" s="606">
        <f t="shared" si="79"/>
        <v>1</v>
      </c>
      <c r="DT49" s="606">
        <f t="shared" si="79"/>
        <v>17</v>
      </c>
      <c r="DU49" s="606">
        <f t="shared" si="79"/>
        <v>12</v>
      </c>
      <c r="DV49" s="606">
        <f t="shared" si="79"/>
        <v>95</v>
      </c>
      <c r="DW49" s="130"/>
      <c r="DX49" s="130"/>
      <c r="DY49" s="129"/>
      <c r="DZ49" s="130"/>
      <c r="EA49" s="606">
        <f t="shared" ref="EA49:EN49" si="80">EA144+EA51+EA63+EA75+EA86+EA98+EA109+EA121+EA132+EA198+EA203+EA208+EA220+EA226</f>
        <v>0.73402235445000008</v>
      </c>
      <c r="EB49" s="606">
        <f t="shared" si="28"/>
        <v>0.69235835445000005</v>
      </c>
      <c r="EC49" s="606">
        <f t="shared" si="80"/>
        <v>0.22552275001529415</v>
      </c>
      <c r="ED49" s="606">
        <f t="shared" si="80"/>
        <v>0.50849960443470588</v>
      </c>
      <c r="EE49" s="606">
        <f t="shared" si="80"/>
        <v>0.50849960443470588</v>
      </c>
      <c r="EF49" s="606">
        <f t="shared" si="80"/>
        <v>0</v>
      </c>
      <c r="EG49" s="606">
        <f t="shared" si="80"/>
        <v>0</v>
      </c>
      <c r="EH49" s="606">
        <f t="shared" si="80"/>
        <v>0</v>
      </c>
      <c r="EI49" s="128"/>
      <c r="EJ49" s="606">
        <f t="shared" si="80"/>
        <v>0.4668356044347059</v>
      </c>
      <c r="EK49" s="606">
        <f t="shared" si="80"/>
        <v>0</v>
      </c>
      <c r="EL49" s="606">
        <f t="shared" si="80"/>
        <v>0.40921824044499999</v>
      </c>
      <c r="EM49" s="606">
        <f t="shared" si="80"/>
        <v>0</v>
      </c>
      <c r="EN49" s="606">
        <f t="shared" si="80"/>
        <v>5.7617363989705898E-2</v>
      </c>
      <c r="EO49" s="128"/>
      <c r="EP49" s="638"/>
      <c r="EQ49" s="638"/>
      <c r="ER49" s="638"/>
      <c r="ES49" s="606">
        <f t="shared" ref="ES49:FF49" si="81">ES144+ES51+ES63+ES75+ES86+ES98+ES109+ES121+ES132+ES198+ES203+ES208+ES220+ES226</f>
        <v>0</v>
      </c>
      <c r="ET49" s="606">
        <f t="shared" si="81"/>
        <v>256</v>
      </c>
      <c r="EU49" s="606">
        <f t="shared" si="81"/>
        <v>100</v>
      </c>
      <c r="EV49" s="606">
        <f t="shared" si="81"/>
        <v>156</v>
      </c>
      <c r="EW49" s="606">
        <f t="shared" si="81"/>
        <v>156</v>
      </c>
      <c r="EX49" s="606">
        <f t="shared" si="81"/>
        <v>0</v>
      </c>
      <c r="EY49" s="606">
        <f t="shared" si="81"/>
        <v>0</v>
      </c>
      <c r="EZ49" s="606">
        <f t="shared" si="81"/>
        <v>0</v>
      </c>
      <c r="FA49" s="128"/>
      <c r="FB49" s="606">
        <f t="shared" si="81"/>
        <v>86</v>
      </c>
      <c r="FC49" s="606">
        <f t="shared" si="81"/>
        <v>11</v>
      </c>
      <c r="FD49" s="606">
        <f t="shared" si="81"/>
        <v>45</v>
      </c>
      <c r="FE49" s="606">
        <f t="shared" si="81"/>
        <v>0</v>
      </c>
      <c r="FF49" s="606">
        <f t="shared" si="81"/>
        <v>30</v>
      </c>
      <c r="FG49" s="62"/>
    </row>
    <row r="50" spans="1:163" ht="3" hidden="1" customHeight="1" outlineLevel="1">
      <c r="A50" s="48"/>
      <c r="B50" s="49"/>
      <c r="C50" s="49"/>
      <c r="D50" s="62"/>
      <c r="E50" s="62"/>
      <c r="F50" s="322"/>
      <c r="G50" s="630"/>
      <c r="H50" s="283"/>
      <c r="I50" s="283"/>
      <c r="J50" s="283"/>
      <c r="K50" s="283"/>
      <c r="L50" s="283"/>
      <c r="M50" s="283"/>
      <c r="N50" s="283"/>
      <c r="O50" s="283"/>
      <c r="P50" s="283"/>
      <c r="Q50" s="283"/>
      <c r="R50" s="283"/>
      <c r="S50" s="283"/>
      <c r="T50" s="62"/>
      <c r="U50" s="326"/>
      <c r="V50" s="121"/>
      <c r="W50" s="322"/>
      <c r="X50" s="630">
        <f t="shared" si="19"/>
        <v>0</v>
      </c>
      <c r="Y50" s="283"/>
      <c r="Z50" s="283"/>
      <c r="AA50" s="283"/>
      <c r="AB50" s="283"/>
      <c r="AC50" s="283"/>
      <c r="AD50" s="283"/>
      <c r="AE50" s="283"/>
      <c r="AF50" s="283"/>
      <c r="AG50" s="283"/>
      <c r="AH50" s="283"/>
      <c r="AI50" s="283"/>
      <c r="AJ50" s="283"/>
      <c r="AK50" s="283"/>
      <c r="AL50" s="327"/>
      <c r="AM50" s="327"/>
      <c r="AN50" s="327"/>
      <c r="AO50" s="327"/>
      <c r="AP50" s="328"/>
      <c r="AQ50" s="328"/>
      <c r="AR50" s="328"/>
      <c r="AS50" s="328"/>
      <c r="AT50" s="328"/>
      <c r="AU50" s="328"/>
      <c r="AV50" s="328"/>
      <c r="AW50" s="328"/>
      <c r="AX50" s="328"/>
      <c r="AY50" s="328"/>
      <c r="AZ50" s="328"/>
      <c r="BA50" s="328"/>
      <c r="BB50" s="328"/>
      <c r="BC50" s="328"/>
      <c r="BD50" s="328"/>
      <c r="BE50" s="329"/>
      <c r="BF50" s="330"/>
      <c r="BG50" s="331"/>
      <c r="BH50" s="606">
        <f t="shared" si="22"/>
        <v>0</v>
      </c>
      <c r="BI50" s="283"/>
      <c r="BJ50" s="283"/>
      <c r="BK50" s="283"/>
      <c r="BL50" s="283"/>
      <c r="BM50" s="283"/>
      <c r="BN50" s="283"/>
      <c r="BO50" s="283"/>
      <c r="BP50" s="283"/>
      <c r="BQ50" s="283"/>
      <c r="BR50" s="283"/>
      <c r="BS50" s="283"/>
      <c r="BT50" s="283"/>
      <c r="BU50" s="283"/>
      <c r="BV50" s="523"/>
      <c r="BW50" s="523"/>
      <c r="BX50" s="523"/>
      <c r="BY50" s="327"/>
      <c r="BZ50" s="532"/>
      <c r="CA50" s="532"/>
      <c r="CB50" s="539"/>
      <c r="CC50" s="533"/>
      <c r="CD50" s="533"/>
      <c r="CE50" s="533"/>
      <c r="CF50" s="533"/>
      <c r="CG50" s="533"/>
      <c r="CH50" s="539"/>
      <c r="CI50" s="533"/>
      <c r="CJ50" s="533"/>
      <c r="CK50" s="533"/>
      <c r="CL50" s="533"/>
      <c r="CM50" s="330"/>
      <c r="CN50" s="330"/>
      <c r="CO50" s="329"/>
      <c r="CP50" s="330"/>
      <c r="CQ50" s="331"/>
      <c r="CR50" s="606">
        <f t="shared" si="25"/>
        <v>0</v>
      </c>
      <c r="CS50" s="283"/>
      <c r="CT50" s="283"/>
      <c r="CU50" s="283"/>
      <c r="CV50" s="283"/>
      <c r="CW50" s="283"/>
      <c r="CX50" s="283"/>
      <c r="CY50" s="283"/>
      <c r="CZ50" s="283"/>
      <c r="DA50" s="283"/>
      <c r="DB50" s="283"/>
      <c r="DC50" s="283"/>
      <c r="DD50" s="283"/>
      <c r="DE50" s="283"/>
      <c r="DF50" s="604"/>
      <c r="DG50" s="604"/>
      <c r="DH50" s="604"/>
      <c r="DI50" s="327"/>
      <c r="DJ50" s="328"/>
      <c r="DK50" s="328"/>
      <c r="DL50" s="328"/>
      <c r="DM50" s="283"/>
      <c r="DN50" s="283"/>
      <c r="DO50" s="283"/>
      <c r="DP50" s="283"/>
      <c r="DQ50" s="283"/>
      <c r="DR50" s="328"/>
      <c r="DS50" s="283"/>
      <c r="DT50" s="283"/>
      <c r="DU50" s="283"/>
      <c r="DV50" s="283"/>
      <c r="DW50" s="330"/>
      <c r="DX50" s="330"/>
      <c r="DY50" s="525"/>
      <c r="DZ50" s="330"/>
      <c r="EA50" s="331"/>
      <c r="EB50" s="606">
        <f t="shared" si="28"/>
        <v>0</v>
      </c>
      <c r="EC50" s="70"/>
      <c r="ED50" s="70"/>
      <c r="EE50" s="70"/>
      <c r="EF50" s="70"/>
      <c r="EG50" s="70"/>
      <c r="EH50" s="70"/>
      <c r="EI50" s="70"/>
      <c r="EJ50" s="70"/>
      <c r="EK50" s="70"/>
      <c r="EL50" s="70"/>
      <c r="EM50" s="70"/>
      <c r="EN50" s="70"/>
      <c r="EO50" s="70"/>
      <c r="EP50" s="639"/>
      <c r="EQ50" s="639"/>
      <c r="ER50" s="639"/>
      <c r="ES50" s="64"/>
      <c r="ET50" s="71"/>
      <c r="EU50" s="71"/>
      <c r="EV50" s="71"/>
      <c r="EW50" s="70"/>
      <c r="EX50" s="70"/>
      <c r="EY50" s="70"/>
      <c r="EZ50" s="70"/>
      <c r="FA50" s="70"/>
      <c r="FB50" s="71"/>
      <c r="FC50" s="70"/>
      <c r="FD50" s="70"/>
      <c r="FE50" s="70"/>
      <c r="FF50" s="70"/>
      <c r="FG50" s="62"/>
    </row>
    <row r="51" spans="1:163" ht="14.25" hidden="1" outlineLevel="1" collapsed="1">
      <c r="A51" s="48"/>
      <c r="B51" s="73"/>
      <c r="C51" s="275">
        <v>1</v>
      </c>
      <c r="D51" s="271" t="s">
        <v>50</v>
      </c>
      <c r="E51" s="74"/>
      <c r="F51" s="614">
        <f t="shared" ref="F51:F61" si="82">W51+BG51+CQ51+EA51</f>
        <v>1.8736440000000001</v>
      </c>
      <c r="G51" s="614">
        <f t="shared" ref="G51:G61" si="83">X51+BH51+CR51+EB51</f>
        <v>1.8736440000000001</v>
      </c>
      <c r="H51" s="612">
        <f t="shared" ref="H51:H61" si="84">F51-G51</f>
        <v>0</v>
      </c>
      <c r="I51" s="614">
        <f t="shared" ref="I51:I61" si="85">Z51+BJ51+CT51+ED51</f>
        <v>0</v>
      </c>
      <c r="J51" s="614">
        <f t="shared" ref="J51:J61" si="86">AA51+BK51+CU51+EE51</f>
        <v>0</v>
      </c>
      <c r="K51" s="614">
        <f t="shared" ref="K51:K61" si="87">AB51+BL51+CV51+EF51</f>
        <v>0</v>
      </c>
      <c r="L51" s="614">
        <f t="shared" ref="L51:L61" si="88">AC51+BM51+CW51+EG51</f>
        <v>0</v>
      </c>
      <c r="M51" s="614">
        <f t="shared" ref="M51:M61" si="89">AD51+BN51+CX51+EH51</f>
        <v>0</v>
      </c>
      <c r="N51" s="281"/>
      <c r="O51" s="614">
        <f t="shared" ref="O51:O61" si="90">AF51+BP51+CZ51+EJ51</f>
        <v>0</v>
      </c>
      <c r="P51" s="614">
        <f t="shared" ref="P51:P61" si="91">AG51+BQ51+DA51+EK51</f>
        <v>0</v>
      </c>
      <c r="Q51" s="614">
        <f t="shared" ref="Q51:Q61" si="92">AH51+BR51+DB51+EL51</f>
        <v>0</v>
      </c>
      <c r="R51" s="614">
        <f t="shared" ref="R51:R61" si="93">AI51+BS51+DC51+EM51</f>
        <v>0</v>
      </c>
      <c r="S51" s="614">
        <f t="shared" ref="S51:S61" si="94">AJ51+BT51+DD51+EN51</f>
        <v>0</v>
      </c>
      <c r="T51" s="74"/>
      <c r="U51" s="656">
        <f>SUM(U52:U61)</f>
        <v>0.5</v>
      </c>
      <c r="V51" s="332"/>
      <c r="W51" s="614">
        <f>U51*(5%*'BOQ COST'!E8)*1</f>
        <v>1.2295500000000001</v>
      </c>
      <c r="X51" s="614">
        <f t="shared" si="19"/>
        <v>1.2295500000000001</v>
      </c>
      <c r="Y51" s="612">
        <f>SUM(Y52:Y61)</f>
        <v>1.2295500000000001</v>
      </c>
      <c r="Z51" s="612">
        <f>SUM(Z52:Z61)</f>
        <v>0</v>
      </c>
      <c r="AA51" s="612">
        <f>SUM(AA52:AA61)</f>
        <v>0</v>
      </c>
      <c r="AB51" s="612">
        <f>SUM(AB52:AB61)</f>
        <v>0</v>
      </c>
      <c r="AC51" s="612">
        <f t="shared" ref="AC51:AD51" si="95">SUM(AC52:AC61)</f>
        <v>0</v>
      </c>
      <c r="AD51" s="612">
        <f t="shared" si="95"/>
        <v>0</v>
      </c>
      <c r="AE51" s="281"/>
      <c r="AF51" s="612">
        <f>SUM(AF52:AF61)</f>
        <v>0</v>
      </c>
      <c r="AG51" s="612">
        <f>SUM(AG52:AG61)</f>
        <v>0</v>
      </c>
      <c r="AH51" s="612">
        <f>SUM(AH52:AH61)</f>
        <v>0</v>
      </c>
      <c r="AI51" s="612">
        <f t="shared" ref="AI51:AJ51" si="96">SUM(AI52:AI61)</f>
        <v>0</v>
      </c>
      <c r="AJ51" s="612">
        <f t="shared" si="96"/>
        <v>0</v>
      </c>
      <c r="AK51" s="281"/>
      <c r="AL51" s="281"/>
      <c r="AM51" s="281"/>
      <c r="AN51" s="281"/>
      <c r="AO51" s="612">
        <f t="shared" ref="AO51:AQ51" si="97">SUM(AO52:AO61)</f>
        <v>0</v>
      </c>
      <c r="AP51" s="612">
        <f t="shared" si="97"/>
        <v>76</v>
      </c>
      <c r="AQ51" s="612">
        <f t="shared" si="97"/>
        <v>76</v>
      </c>
      <c r="AR51" s="612">
        <f t="shared" si="32"/>
        <v>0</v>
      </c>
      <c r="AS51" s="612">
        <f>SUM(AS52:AS61)</f>
        <v>0</v>
      </c>
      <c r="AT51" s="612">
        <f t="shared" ref="AT51:BC51" si="98">SUM(AT52:AT61)</f>
        <v>0</v>
      </c>
      <c r="AU51" s="612">
        <f t="shared" si="98"/>
        <v>0</v>
      </c>
      <c r="AV51" s="612">
        <f t="shared" si="98"/>
        <v>0</v>
      </c>
      <c r="AW51" s="281"/>
      <c r="AX51" s="612">
        <f>SUM(AX52:AX61)</f>
        <v>0</v>
      </c>
      <c r="AY51" s="612">
        <f>SUM(AY52:AY61)</f>
        <v>0</v>
      </c>
      <c r="AZ51" s="612">
        <f t="shared" ref="AZ51:BB51" si="99">SUM(AZ52:AZ61)</f>
        <v>0</v>
      </c>
      <c r="BA51" s="612">
        <f t="shared" si="99"/>
        <v>0</v>
      </c>
      <c r="BB51" s="612">
        <f t="shared" si="99"/>
        <v>0</v>
      </c>
      <c r="BC51" s="612">
        <f t="shared" si="98"/>
        <v>0</v>
      </c>
      <c r="BD51" s="281"/>
      <c r="BE51" s="332">
        <f>SUM(BE52:BE61)</f>
        <v>0.55000000000000004</v>
      </c>
      <c r="BF51" s="332"/>
      <c r="BG51" s="614">
        <f>BE51*(3%*'BOQ COST'!F8)*1</f>
        <v>0.5407050000000001</v>
      </c>
      <c r="BH51" s="614">
        <f t="shared" si="22"/>
        <v>0.54070499999999999</v>
      </c>
      <c r="BI51" s="612">
        <f>SUM(BI52:BI61)</f>
        <v>0.54070499999999999</v>
      </c>
      <c r="BJ51" s="612">
        <f>SUM(BJ52:BJ61)</f>
        <v>0</v>
      </c>
      <c r="BK51" s="612">
        <f t="shared" ref="BK51:CF51" si="100">SUM(BK52:BK61)</f>
        <v>0</v>
      </c>
      <c r="BL51" s="612">
        <f t="shared" si="100"/>
        <v>0</v>
      </c>
      <c r="BM51" s="612">
        <f t="shared" si="100"/>
        <v>0</v>
      </c>
      <c r="BN51" s="612">
        <f t="shared" si="100"/>
        <v>0</v>
      </c>
      <c r="BO51" s="281"/>
      <c r="BP51" s="612">
        <f>SUM(BP52:BP61)</f>
        <v>0</v>
      </c>
      <c r="BQ51" s="612">
        <f t="shared" ref="BQ51:BT51" si="101">SUM(BQ52:BQ61)</f>
        <v>0</v>
      </c>
      <c r="BR51" s="612">
        <f t="shared" si="101"/>
        <v>0</v>
      </c>
      <c r="BS51" s="612">
        <f t="shared" si="101"/>
        <v>0</v>
      </c>
      <c r="BT51" s="612">
        <f t="shared" si="101"/>
        <v>0</v>
      </c>
      <c r="BU51" s="281"/>
      <c r="BV51" s="524"/>
      <c r="BW51" s="524"/>
      <c r="BX51" s="524"/>
      <c r="BY51" s="612">
        <f t="shared" si="100"/>
        <v>0</v>
      </c>
      <c r="BZ51" s="612">
        <f t="shared" si="100"/>
        <v>46</v>
      </c>
      <c r="CA51" s="612">
        <f t="shared" si="100"/>
        <v>46</v>
      </c>
      <c r="CB51" s="612">
        <f t="shared" si="100"/>
        <v>0</v>
      </c>
      <c r="CC51" s="612">
        <f t="shared" si="100"/>
        <v>0</v>
      </c>
      <c r="CD51" s="612">
        <f t="shared" si="100"/>
        <v>0</v>
      </c>
      <c r="CE51" s="612">
        <f t="shared" si="100"/>
        <v>0</v>
      </c>
      <c r="CF51" s="612">
        <f t="shared" si="100"/>
        <v>0</v>
      </c>
      <c r="CG51" s="535"/>
      <c r="CH51" s="612">
        <f t="shared" ref="CH51:CL51" si="102">SUM(CH52:CH61)</f>
        <v>0</v>
      </c>
      <c r="CI51" s="612">
        <f t="shared" si="102"/>
        <v>0</v>
      </c>
      <c r="CJ51" s="612">
        <f t="shared" si="102"/>
        <v>0</v>
      </c>
      <c r="CK51" s="612">
        <f t="shared" si="102"/>
        <v>0</v>
      </c>
      <c r="CL51" s="612">
        <f t="shared" si="102"/>
        <v>0</v>
      </c>
      <c r="CM51" s="332"/>
      <c r="CN51" s="332"/>
      <c r="CO51" s="332">
        <f>SUM(CO52:CO61)</f>
        <v>0.65</v>
      </c>
      <c r="CP51" s="332"/>
      <c r="CQ51" s="614">
        <f>CO51*(2%*'BOQ COST'!G8)*1</f>
        <v>0.10338900000000001</v>
      </c>
      <c r="CR51" s="614">
        <f t="shared" si="25"/>
        <v>0.10338900000000001</v>
      </c>
      <c r="CS51" s="612">
        <f>SUM(CS52:CS61)</f>
        <v>0.10338900000000001</v>
      </c>
      <c r="CT51" s="612">
        <f>SUM(CT52:CT61)</f>
        <v>0</v>
      </c>
      <c r="CU51" s="612">
        <f t="shared" ref="CU51:DP51" si="103">SUM(CU52:CU61)</f>
        <v>0</v>
      </c>
      <c r="CV51" s="612">
        <f t="shared" si="103"/>
        <v>0</v>
      </c>
      <c r="CW51" s="612">
        <f t="shared" si="103"/>
        <v>0</v>
      </c>
      <c r="CX51" s="612">
        <f t="shared" si="103"/>
        <v>0</v>
      </c>
      <c r="CY51" s="281"/>
      <c r="CZ51" s="612">
        <f>SUM(CZ52:CZ61)</f>
        <v>0</v>
      </c>
      <c r="DA51" s="612">
        <f t="shared" ref="DA51:DD51" si="104">SUM(DA52:DA61)</f>
        <v>0</v>
      </c>
      <c r="DB51" s="612">
        <f t="shared" si="104"/>
        <v>0</v>
      </c>
      <c r="DC51" s="612">
        <f t="shared" si="104"/>
        <v>0</v>
      </c>
      <c r="DD51" s="612">
        <f t="shared" si="104"/>
        <v>0</v>
      </c>
      <c r="DE51" s="281"/>
      <c r="DF51" s="605"/>
      <c r="DG51" s="605"/>
      <c r="DH51" s="605"/>
      <c r="DI51" s="612">
        <f t="shared" si="103"/>
        <v>0</v>
      </c>
      <c r="DJ51" s="612">
        <f t="shared" si="103"/>
        <v>55</v>
      </c>
      <c r="DK51" s="612">
        <f t="shared" si="103"/>
        <v>55</v>
      </c>
      <c r="DL51" s="612">
        <f t="shared" si="103"/>
        <v>0</v>
      </c>
      <c r="DM51" s="612">
        <f t="shared" si="103"/>
        <v>0</v>
      </c>
      <c r="DN51" s="612">
        <f t="shared" si="103"/>
        <v>0</v>
      </c>
      <c r="DO51" s="612">
        <f t="shared" si="103"/>
        <v>0</v>
      </c>
      <c r="DP51" s="612">
        <f t="shared" si="103"/>
        <v>0</v>
      </c>
      <c r="DQ51" s="281"/>
      <c r="DR51" s="612">
        <f t="shared" ref="DR51:DV51" si="105">SUM(DR52:DR61)</f>
        <v>0</v>
      </c>
      <c r="DS51" s="612">
        <f t="shared" si="105"/>
        <v>0</v>
      </c>
      <c r="DT51" s="612">
        <f t="shared" si="105"/>
        <v>0</v>
      </c>
      <c r="DU51" s="612">
        <f t="shared" si="105"/>
        <v>0</v>
      </c>
      <c r="DV51" s="612">
        <f t="shared" si="105"/>
        <v>0</v>
      </c>
      <c r="DW51" s="332"/>
      <c r="DX51" s="332"/>
      <c r="DY51" s="614">
        <f>SUM(DY52:DY61)</f>
        <v>0</v>
      </c>
      <c r="DZ51" s="332"/>
      <c r="EA51" s="337">
        <v>0</v>
      </c>
      <c r="EB51" s="614">
        <f t="shared" si="28"/>
        <v>0</v>
      </c>
      <c r="EC51" s="608">
        <f>SUM(EC52:EC61)</f>
        <v>0</v>
      </c>
      <c r="ED51" s="608">
        <f>SUM(ED52:ED61)</f>
        <v>0</v>
      </c>
      <c r="EE51" s="608">
        <f t="shared" ref="EE51:EZ51" si="106">SUM(EE52:EE61)</f>
        <v>0</v>
      </c>
      <c r="EF51" s="608">
        <f t="shared" si="106"/>
        <v>0</v>
      </c>
      <c r="EG51" s="608">
        <f t="shared" si="106"/>
        <v>0</v>
      </c>
      <c r="EH51" s="608">
        <f t="shared" si="106"/>
        <v>0</v>
      </c>
      <c r="EI51" s="127"/>
      <c r="EJ51" s="608">
        <f>SUM(EJ52:EJ61)</f>
        <v>0</v>
      </c>
      <c r="EK51" s="608">
        <f t="shared" ref="EK51:EN51" si="107">SUM(EK52:EK61)</f>
        <v>0</v>
      </c>
      <c r="EL51" s="608">
        <f t="shared" si="107"/>
        <v>0</v>
      </c>
      <c r="EM51" s="608">
        <f t="shared" si="107"/>
        <v>0</v>
      </c>
      <c r="EN51" s="608">
        <f t="shared" si="107"/>
        <v>0</v>
      </c>
      <c r="EO51" s="127"/>
      <c r="EP51" s="641"/>
      <c r="EQ51" s="641"/>
      <c r="ER51" s="641"/>
      <c r="ES51" s="608">
        <f t="shared" si="106"/>
        <v>0</v>
      </c>
      <c r="ET51" s="608">
        <f t="shared" si="106"/>
        <v>0</v>
      </c>
      <c r="EU51" s="608">
        <f t="shared" si="106"/>
        <v>0</v>
      </c>
      <c r="EV51" s="608">
        <f t="shared" si="106"/>
        <v>0</v>
      </c>
      <c r="EW51" s="608">
        <f t="shared" si="106"/>
        <v>0</v>
      </c>
      <c r="EX51" s="608">
        <f t="shared" si="106"/>
        <v>0</v>
      </c>
      <c r="EY51" s="608">
        <f t="shared" si="106"/>
        <v>0</v>
      </c>
      <c r="EZ51" s="608">
        <f t="shared" si="106"/>
        <v>0</v>
      </c>
      <c r="FA51" s="127"/>
      <c r="FB51" s="608">
        <f t="shared" ref="FB51:FF51" si="108">SUM(FB52:FB61)</f>
        <v>0</v>
      </c>
      <c r="FC51" s="608">
        <f t="shared" si="108"/>
        <v>0</v>
      </c>
      <c r="FD51" s="608">
        <f t="shared" si="108"/>
        <v>0</v>
      </c>
      <c r="FE51" s="608">
        <f t="shared" si="108"/>
        <v>0</v>
      </c>
      <c r="FF51" s="608">
        <f t="shared" si="108"/>
        <v>0</v>
      </c>
      <c r="FG51" s="48"/>
    </row>
    <row r="52" spans="1:163" ht="14.25" hidden="1" outlineLevel="2">
      <c r="A52" s="48"/>
      <c r="B52" s="87" t="s">
        <v>51</v>
      </c>
      <c r="C52" s="276">
        <v>1</v>
      </c>
      <c r="D52" s="272" t="s">
        <v>52</v>
      </c>
      <c r="E52" s="48"/>
      <c r="F52" s="619">
        <f t="shared" si="82"/>
        <v>0.17569350000000003</v>
      </c>
      <c r="G52" s="619">
        <f t="shared" si="83"/>
        <v>0.17569350000000003</v>
      </c>
      <c r="H52" s="615">
        <f t="shared" si="84"/>
        <v>0</v>
      </c>
      <c r="I52" s="615">
        <f t="shared" si="85"/>
        <v>0</v>
      </c>
      <c r="J52" s="615">
        <f t="shared" si="86"/>
        <v>0</v>
      </c>
      <c r="K52" s="615">
        <f t="shared" si="87"/>
        <v>0</v>
      </c>
      <c r="L52" s="615">
        <f t="shared" si="88"/>
        <v>0</v>
      </c>
      <c r="M52" s="620">
        <f t="shared" si="89"/>
        <v>0</v>
      </c>
      <c r="N52" s="287"/>
      <c r="O52" s="615">
        <f t="shared" si="90"/>
        <v>0</v>
      </c>
      <c r="P52" s="615">
        <f t="shared" si="91"/>
        <v>0</v>
      </c>
      <c r="Q52" s="615">
        <f t="shared" si="92"/>
        <v>0</v>
      </c>
      <c r="R52" s="615">
        <f t="shared" si="93"/>
        <v>0</v>
      </c>
      <c r="S52" s="615">
        <f t="shared" si="94"/>
        <v>0</v>
      </c>
      <c r="T52" s="48"/>
      <c r="U52" s="519">
        <v>2.5000000000000001E-2</v>
      </c>
      <c r="V52" s="131"/>
      <c r="W52" s="619">
        <f>$W$51/$U$51*U52</f>
        <v>6.1477500000000011E-2</v>
      </c>
      <c r="X52" s="619">
        <f t="shared" si="19"/>
        <v>6.1477500000000011E-2</v>
      </c>
      <c r="Y52" s="615">
        <f t="shared" ref="Y52:Y61" si="109">IFERROR(IF(AL52=100%,W52,0),0)</f>
        <v>6.1477500000000011E-2</v>
      </c>
      <c r="Z52" s="615">
        <f t="shared" ref="Z52:Z61" si="110">IFERROR(IF(AND((AL52+AM52)=100%,AL52&lt;1),W52,0),0)</f>
        <v>0</v>
      </c>
      <c r="AA52" s="615">
        <f t="shared" ref="AA52:AA61" si="111">IFERROR(IF(AND((AQ52+AS52)=AP52,Y52=0),W52,0),0)</f>
        <v>0</v>
      </c>
      <c r="AB52" s="615">
        <f t="shared" ref="AB52:AB61" si="112">IFERROR(IF(AND((AQ52+AS52+AT52)=AP52,Y52=0,AA52=0),W52,0),0)</f>
        <v>0</v>
      </c>
      <c r="AC52" s="615">
        <f t="shared" ref="AC52:AC61" si="113">IFERROR(IF(AND((AQ52+AS52+AT52+AU52)=AP52,Y52=0,AA52=0,AB52=0),W52,0),0)</f>
        <v>0</v>
      </c>
      <c r="AD52" s="620">
        <f t="shared" ref="AD52:AD61" si="114">IFERROR(IF(AND((AQ52+AS52+AT52+AU52+AV52)=AP52,Y52=0,AA52=0,AB52=0,AC52=0),W52,0),0)</f>
        <v>0</v>
      </c>
      <c r="AE52" s="287"/>
      <c r="AF52" s="615">
        <f t="shared" ref="AF52:AF61" si="115">IFERROR(IF(AND((AL52+AN52)=100%,AL52&lt;1),W52,0),0)</f>
        <v>0</v>
      </c>
      <c r="AG52" s="615">
        <f t="shared" ref="AG52:AG61" si="116">IFERROR(IF(AND((AQ52+AY52)=AP52,Y52=0),W52,0),0)</f>
        <v>0</v>
      </c>
      <c r="AH52" s="615">
        <f t="shared" ref="AH52:AH61" si="117">IFERROR(IF(AND((AQ52+AY52+AZ52)=AP52,Y52=0,AG52=0),W52,0),0)</f>
        <v>0</v>
      </c>
      <c r="AI52" s="615">
        <f t="shared" ref="AI52:AI61" si="118">IFERROR(IF(AND((AQ52+AY52+AZ52+BA52)=AP52,Y52=0,AG52=0,AH52=0),W52,0),0)</f>
        <v>0</v>
      </c>
      <c r="AJ52" s="615">
        <f t="shared" ref="AJ52:AJ61" si="119">IFERROR(IF(AND((AQ52+AY52+AZ52+BA52+BB52)=AP52,Y52=0,AG52=0,AH52=0,AI52=0),W52,0),0)</f>
        <v>0</v>
      </c>
      <c r="AK52" s="339"/>
      <c r="AL52" s="625">
        <f t="shared" ref="AL52:AL61" si="120">IFERROR(AQ52/AP52,0)</f>
        <v>1</v>
      </c>
      <c r="AM52" s="625">
        <f t="shared" ref="AM52:AM61" si="121">IFERROR(AR52/AP52,0)</f>
        <v>0</v>
      </c>
      <c r="AN52" s="625">
        <f t="shared" ref="AN52:AN61" si="122">IFERROR(AX52/AP52,0)</f>
        <v>0</v>
      </c>
      <c r="AO52" s="341"/>
      <c r="AP52" s="615">
        <f>COUNTIF('AR | Drawing List'!$H:$H,"AR-T01-1")</f>
        <v>21</v>
      </c>
      <c r="AQ52" s="616">
        <f>COUNTIFS('AR | Drawing List'!$H:$H,"AR-T01-1",'AR | Drawing List'!$J:$J,1)</f>
        <v>21</v>
      </c>
      <c r="AR52" s="616">
        <f t="shared" si="32"/>
        <v>0</v>
      </c>
      <c r="AS52" s="616">
        <f>COUNTIFS('AR | Drawing List'!$H:$H,"AR-T01-1",'AR | Drawing List'!M:M,1)</f>
        <v>0</v>
      </c>
      <c r="AT52" s="616">
        <f>COUNTIFS('AR | Drawing List'!$H:$H,"AR-T01-1",'AR | Drawing List'!N:N,1)</f>
        <v>0</v>
      </c>
      <c r="AU52" s="616">
        <f>COUNTIFS('AR | Drawing List'!$H:$H,"AR-T01-1",'AR | Drawing List'!O:O,1)</f>
        <v>0</v>
      </c>
      <c r="AV52" s="616">
        <f>COUNTIFS('AR | Drawing List'!$H:$H,"AR-T01-1",'AR | Drawing List'!P:P,1)</f>
        <v>0</v>
      </c>
      <c r="AW52" s="328"/>
      <c r="AX52" s="616">
        <f t="shared" ref="AX52:AX61" si="123">SUM(AY52:BB52)</f>
        <v>0</v>
      </c>
      <c r="AY52" s="616">
        <f>COUNTIFS('AR | Drawing List'!$H:$H,"AR-T01-1",'AR | Drawing List'!R:R,1)</f>
        <v>0</v>
      </c>
      <c r="AZ52" s="616">
        <f>COUNTIFS('AR | Drawing List'!$H:$H,"AR-T01-1",'AR | Drawing List'!S:S,1)</f>
        <v>0</v>
      </c>
      <c r="BA52" s="616">
        <f>COUNTIFS('AR | Drawing List'!$H:$H,"AR-T01-1",'AR | Drawing List'!T:T,1)</f>
        <v>0</v>
      </c>
      <c r="BB52" s="616">
        <f>COUNTIFS('AR | Drawing List'!$H:$H,"AR-T01-1",'AR | Drawing List'!U:U,1)</f>
        <v>0</v>
      </c>
      <c r="BC52" s="328"/>
      <c r="BD52" s="328"/>
      <c r="BE52" s="525">
        <v>0.1</v>
      </c>
      <c r="BF52" s="343"/>
      <c r="BG52" s="616">
        <f t="shared" ref="BG52:BG61" si="124">$BG$51/$BE$51*BE52</f>
        <v>9.8310000000000008E-2</v>
      </c>
      <c r="BH52" s="618">
        <f t="shared" si="22"/>
        <v>9.8310000000000008E-2</v>
      </c>
      <c r="BI52" s="615">
        <f t="shared" ref="BI52:BI61" si="125">IFERROR(IF(BV52=100%,BG52,0),0)</f>
        <v>9.8310000000000008E-2</v>
      </c>
      <c r="BJ52" s="615">
        <f t="shared" ref="BJ52:BJ61" si="126">IFERROR(IF(AND((BV52+BW52)=100%,BV52&lt;1),BG52,0),0)</f>
        <v>0</v>
      </c>
      <c r="BK52" s="615">
        <f t="shared" ref="BK52:BK61" si="127">IFERROR(IF(AND((CA52+CC52)=BZ52,BI52=0),BG52,0),0)</f>
        <v>0</v>
      </c>
      <c r="BL52" s="615">
        <f t="shared" ref="BL52:BL61" si="128">IFERROR(IF(AND((CA52+CC52+CD52)=BZ52,BI52=0,BK52=0),BG52,0),0)</f>
        <v>0</v>
      </c>
      <c r="BM52" s="615">
        <f t="shared" ref="BM52:BM61" si="129">IFERROR(IF(AND((CA52+CC52+CD52+CE52)=BZ52,BI52=0,BK52=0,BL52=0),BG52,0),0)</f>
        <v>0</v>
      </c>
      <c r="BN52" s="615">
        <f t="shared" ref="BN52:BN61" si="130">IFERROR(IF(AND((CA52+CC52+CD52+CE52+CF52)=BZ52,BI52=0,BK52=0,BL52=0,BM52=0),BG52,0),0)</f>
        <v>0</v>
      </c>
      <c r="BO52" s="339"/>
      <c r="BP52" s="615">
        <f t="shared" ref="BP52:BP61" si="131">IFERROR(IF(AND((BV52+BX52)=100%,BV52&lt;1),BG52,0),0)</f>
        <v>0</v>
      </c>
      <c r="BQ52" s="615">
        <f t="shared" ref="BQ52:BQ61" si="132">IFERROR(IF(AND((CA52+CI52)=BZ52,BI52=0),BG52,0),0)</f>
        <v>0</v>
      </c>
      <c r="BR52" s="615">
        <f t="shared" ref="BR52:BR61" si="133">IFERROR(IF(AND((CA52+CI52+CJ52)=BZ52,BI52=0,BQ52=0),BG52,0),0)</f>
        <v>0</v>
      </c>
      <c r="BS52" s="615">
        <f t="shared" ref="BS52:BS61" si="134">IFERROR(IF(AND((CA52+CI52+CJ52+CK52)=BZ52,BI52=0,BQ52=0,BR52=0),BG52,0),0)</f>
        <v>0</v>
      </c>
      <c r="BT52" s="615">
        <f t="shared" ref="BT52:BT61" si="135">IFERROR(IF(AND((CA52+CI52+CJ52+CK52+CL52)=BZ52,BI52=0,BQ52=0,BR52=0,BS52=0),BG52,0),0)</f>
        <v>0</v>
      </c>
      <c r="BU52" s="339"/>
      <c r="BV52" s="635">
        <f t="shared" ref="BV52" si="136">IFERROR(CA52/BZ52,0)</f>
        <v>1</v>
      </c>
      <c r="BW52" s="635">
        <f t="shared" ref="BW52" si="137">IFERROR(CB52/BZ52,0)</f>
        <v>0</v>
      </c>
      <c r="BX52" s="635">
        <f>IFERROR(CH52/BZ52,0)</f>
        <v>0</v>
      </c>
      <c r="BY52" s="341"/>
      <c r="BZ52" s="615">
        <f>COUNTIF('ST | Drawing List'!$H:$H,"ST-T01-1")</f>
        <v>13</v>
      </c>
      <c r="CA52" s="616">
        <f>COUNTIFS('ST | Drawing List'!$H:$H,"ST-T01-1",'ST | Drawing List'!$J:$J,1)</f>
        <v>13</v>
      </c>
      <c r="CB52" s="623">
        <f>COUNTIFS('ST | Drawing List'!$H:$H,"ST-T01-1",'ST | Drawing List'!$L:$L,1)</f>
        <v>0</v>
      </c>
      <c r="CC52" s="616">
        <f>COUNTIFS('ST | Drawing List'!$H:$H,"ST-T01-1",'ST | Drawing List'!M:M,1)</f>
        <v>0</v>
      </c>
      <c r="CD52" s="616">
        <f>COUNTIFS('ST | Drawing List'!$H:$H,"ST-T01-1",'ST | Drawing List'!N:N,1)</f>
        <v>0</v>
      </c>
      <c r="CE52" s="616">
        <f>COUNTIFS('ST | Drawing List'!$H:$H,"ST-T01-1",'ST | Drawing List'!O:O,1)</f>
        <v>0</v>
      </c>
      <c r="CF52" s="616">
        <f>COUNTIFS('ST | Drawing List'!$H:$H,"ST-T01-1",'ST | Drawing List'!P:P,1)</f>
        <v>0</v>
      </c>
      <c r="CG52" s="532"/>
      <c r="CH52" s="623">
        <f>COUNTIFS('ST | Drawing List'!$H:$H,"ST-T01-1",'ST | Drawing List'!$Q:$Q,1)</f>
        <v>0</v>
      </c>
      <c r="CI52" s="616">
        <f>COUNTIFS('ST | Drawing List'!$H:$H,"ST-T01-1",'ST | Drawing List'!R:R,1)</f>
        <v>0</v>
      </c>
      <c r="CJ52" s="616">
        <f>COUNTIFS('ST | Drawing List'!$H:$H,"ST-T01-1",'ST | Drawing List'!S:S,1)</f>
        <v>0</v>
      </c>
      <c r="CK52" s="616">
        <f>COUNTIFS('ST | Drawing List'!$H:$H,"ST-T01-1",'ST | Drawing List'!T:T,1)</f>
        <v>0</v>
      </c>
      <c r="CL52" s="616">
        <f>COUNTIFS('ST | Drawing List'!$H:$H,"ST-T01-1",'ST | Drawing List'!U:U,1)</f>
        <v>0</v>
      </c>
      <c r="CM52" s="343"/>
      <c r="CN52" s="343"/>
      <c r="CO52" s="667">
        <v>0.1</v>
      </c>
      <c r="CP52" s="343"/>
      <c r="CQ52" s="616">
        <f t="shared" ref="CQ52:CQ61" si="138">$CQ$51/$CO$51*CO52</f>
        <v>1.5906E-2</v>
      </c>
      <c r="CR52" s="618">
        <f t="shared" si="25"/>
        <v>1.5906E-2</v>
      </c>
      <c r="CS52" s="615">
        <f t="shared" ref="CS52:CS61" si="139">IFERROR(IF(DF52=100%,CQ52,0),0)</f>
        <v>1.5906E-2</v>
      </c>
      <c r="CT52" s="615">
        <f>IFERROR(IF(AND((DF52+DG52)=100%,DF52&lt;1),CQ52,0),0)</f>
        <v>0</v>
      </c>
      <c r="CU52" s="615">
        <f>IFERROR(IF(AND((DK52+DM52)=DJ52,CS52=0),CQ52,0),0)</f>
        <v>0</v>
      </c>
      <c r="CV52" s="615">
        <f>IFERROR(IF(AND((DK52+DM52+DN52)=DJ52,CS52=0,CU52=0),CQ52,0),0)</f>
        <v>0</v>
      </c>
      <c r="CW52" s="615">
        <f>IFERROR(IF(AND((DK52+DM52+DN52+DO52)=DJ52,CS52=0,CU52=0,CV52=0),CQ52,0),0)</f>
        <v>0</v>
      </c>
      <c r="CX52" s="615">
        <f>IFERROR(IF(AND((DK52+DM52+DN52+DO52+DP52)=DJ52,CS52=0,CU52=0,CV52=0,CW52=0),CQ52,0),0)</f>
        <v>0</v>
      </c>
      <c r="CY52" s="339"/>
      <c r="CZ52" s="615">
        <f>IFERROR(IF(AND((DF52+DH52)=100%,DF52&lt;1),CQ52,0),0)</f>
        <v>0</v>
      </c>
      <c r="DA52" s="615">
        <f>IFERROR(IF(AND((DK52+DS52)=DJ52,CS52=0),CQ52,0),0)</f>
        <v>0</v>
      </c>
      <c r="DB52" s="615">
        <f>IFERROR(IF(AND((DK52+DS52+DT52)=DJ52,CS52=0,DA52=0),CQ52,0),0)</f>
        <v>0</v>
      </c>
      <c r="DC52" s="615">
        <f>IFERROR(IF(AND((DK52+DS52+DT52+DU52)=DJ52,CS52=0,DA52=0,DB52=0),CQ52,0),0)</f>
        <v>0</v>
      </c>
      <c r="DD52" s="615">
        <f>IFERROR(IF(AND((DK52+DS52+DT52+DU52+DV52)=DJ52,CS52=0,DA52=0,DB52=0,DC52=0),CQ52,0),0)</f>
        <v>0</v>
      </c>
      <c r="DE52" s="339"/>
      <c r="DF52" s="625">
        <f t="shared" ref="DF52" si="140">IFERROR(DK52/DJ52,0)</f>
        <v>1</v>
      </c>
      <c r="DG52" s="625">
        <f t="shared" ref="DG52" si="141">IFERROR(DL52/DJ52,0)</f>
        <v>0</v>
      </c>
      <c r="DH52" s="625">
        <f>IFERROR(DR52/DJ52,0)</f>
        <v>0</v>
      </c>
      <c r="DI52" s="341"/>
      <c r="DJ52" s="615">
        <f>COUNTIF('MEP | Drawing List'!$H:$H,"MEP-T01-07-1")</f>
        <v>1</v>
      </c>
      <c r="DK52" s="616">
        <f>COUNTIFS('MEP | Drawing List'!$H:$H,"MEP-T01-07-1",'MEP | Drawing List'!$J:$J,1)</f>
        <v>1</v>
      </c>
      <c r="DL52" s="616">
        <f>COUNTIFS('MEP | Drawing List'!$H:$H,"MEP-T01-07-1",'MEP | Drawing List'!$L:$L,1)</f>
        <v>0</v>
      </c>
      <c r="DM52" s="615">
        <f>COUNTIFS('MEP | Drawing List'!$H:$H,"MEP-T01-07-1",'MEP | Drawing List'!M:M,1)</f>
        <v>0</v>
      </c>
      <c r="DN52" s="615">
        <f>COUNTIFS('MEP | Drawing List'!$H:$H,"MEP-T01-07-1",'MEP | Drawing List'!N:N,1)</f>
        <v>0</v>
      </c>
      <c r="DO52" s="615">
        <f>COUNTIFS('MEP | Drawing List'!$H:$H,"MEP-T01-07-1",'MEP | Drawing List'!O:O,1)</f>
        <v>0</v>
      </c>
      <c r="DP52" s="615">
        <f>COUNTIFS('MEP | Drawing List'!$H:$H,"MEP-T01-07-1",'MEP | Drawing List'!P:P,1)</f>
        <v>0</v>
      </c>
      <c r="DQ52" s="339"/>
      <c r="DR52" s="616">
        <f>COUNTIFS('MEP | Drawing List'!$H:$H,"MEP-T01-07-1",'MEP | Drawing List'!$Q:$Q,1)</f>
        <v>0</v>
      </c>
      <c r="DS52" s="615">
        <f>COUNTIFS('MEP | Drawing List'!$H:$H,"MEP-T01-07-1",'MEP | Drawing List'!R:R,1)</f>
        <v>0</v>
      </c>
      <c r="DT52" s="615">
        <f>COUNTIFS('MEP | Drawing List'!$H:$H,"MEP-T01-07-1",'MEP | Drawing List'!S:S,1)</f>
        <v>0</v>
      </c>
      <c r="DU52" s="615">
        <f>COUNTIFS('MEP | Drawing List'!$H:$H,"MEP-T01-07-1",'MEP | Drawing List'!T:T,1)</f>
        <v>0</v>
      </c>
      <c r="DV52" s="615">
        <f>COUNTIFS('MEP | Drawing List'!$H:$H,"MEP-T01-07-1",'MEP | Drawing List'!U:U,1)</f>
        <v>0</v>
      </c>
      <c r="DW52" s="343"/>
      <c r="DX52" s="343"/>
      <c r="DY52" s="525">
        <v>0</v>
      </c>
      <c r="DZ52" s="343"/>
      <c r="EA52" s="344"/>
      <c r="EB52" s="618">
        <f t="shared" si="28"/>
        <v>0</v>
      </c>
      <c r="EC52" s="91"/>
      <c r="ED52" s="81"/>
      <c r="EE52" s="339"/>
      <c r="EF52" s="339"/>
      <c r="EG52" s="339"/>
      <c r="EH52" s="339"/>
      <c r="EI52" s="339"/>
      <c r="EJ52" s="81"/>
      <c r="EK52" s="339"/>
      <c r="EL52" s="339"/>
      <c r="EM52" s="339"/>
      <c r="EN52" s="339"/>
      <c r="EO52" s="339"/>
      <c r="EP52" s="642"/>
      <c r="EQ52" s="642"/>
      <c r="ER52" s="642"/>
      <c r="ES52" s="82"/>
      <c r="ET52" s="615">
        <f>COUNTIF('LS | Drawing List'!$H:$H,"LS-T01-1")</f>
        <v>0</v>
      </c>
      <c r="EU52" s="616">
        <f>COUNTIFS('LS | Drawing List'!$H:$H,"LS-T01-1",'LS | Drawing List'!$J:$J,1)</f>
        <v>0</v>
      </c>
      <c r="EV52" s="616">
        <f>COUNTIFS('LS | Drawing List'!$H:$H,"LS-T01-1",'LS | Drawing List'!$L:$L,1)</f>
        <v>0</v>
      </c>
      <c r="EW52" s="615">
        <f>COUNTIFS('LS | Drawing List'!$H:$H,"LS-T01-1",'LS | Drawing List'!M:M,1)</f>
        <v>0</v>
      </c>
      <c r="EX52" s="615">
        <f>COUNTIFS('LS | Drawing List'!$H:$H,"LS-T01-1",'LS | Drawing List'!N:N,1)</f>
        <v>0</v>
      </c>
      <c r="EY52" s="615">
        <f>COUNTIFS('LS | Drawing List'!$H:$H,"LS-T01-1",'LS | Drawing List'!O:O,1)</f>
        <v>0</v>
      </c>
      <c r="EZ52" s="615">
        <f>COUNTIFS('LS | Drawing List'!$H:$H,"LS-T01-1",'LS | Drawing List'!P:P,1)</f>
        <v>0</v>
      </c>
      <c r="FA52" s="81"/>
      <c r="FB52" s="616">
        <f>COUNTIFS('LS | Drawing List'!$H:$H,"LS-T01-1",'LS | Drawing List'!$Q:$Q,1)</f>
        <v>0</v>
      </c>
      <c r="FC52" s="615">
        <f>COUNTIFS('LS | Drawing List'!$H:$H,"LS-T01-1",'LS | Drawing List'!R:R,1)</f>
        <v>0</v>
      </c>
      <c r="FD52" s="615">
        <f>COUNTIFS('LS | Drawing List'!$H:$H,"LS-T01-1",'LS | Drawing List'!S:S,1)</f>
        <v>0</v>
      </c>
      <c r="FE52" s="615">
        <f>COUNTIFS('LS | Drawing List'!$H:$H,"LS-T01-1",'LS | Drawing List'!T:T,1)</f>
        <v>0</v>
      </c>
      <c r="FF52" s="615">
        <f>COUNTIFS('LS | Drawing List'!$H:$H,"LS-T01-1",'LS | Drawing List'!U:U,1)</f>
        <v>0</v>
      </c>
      <c r="FG52" s="48"/>
    </row>
    <row r="53" spans="1:163" ht="14.25" hidden="1" outlineLevel="2">
      <c r="A53" s="48"/>
      <c r="B53" s="87" t="s">
        <v>53</v>
      </c>
      <c r="C53" s="276">
        <v>2</v>
      </c>
      <c r="D53" s="272" t="s">
        <v>54</v>
      </c>
      <c r="E53" s="48"/>
      <c r="F53" s="619">
        <f t="shared" si="82"/>
        <v>0.22126500000000004</v>
      </c>
      <c r="G53" s="619">
        <f t="shared" si="83"/>
        <v>0.22126500000000004</v>
      </c>
      <c r="H53" s="615">
        <f t="shared" si="84"/>
        <v>0</v>
      </c>
      <c r="I53" s="615">
        <f t="shared" si="85"/>
        <v>0</v>
      </c>
      <c r="J53" s="615">
        <f t="shared" si="86"/>
        <v>0</v>
      </c>
      <c r="K53" s="615">
        <f t="shared" si="87"/>
        <v>0</v>
      </c>
      <c r="L53" s="615">
        <f t="shared" si="88"/>
        <v>0</v>
      </c>
      <c r="M53" s="620">
        <f t="shared" si="89"/>
        <v>0</v>
      </c>
      <c r="N53" s="287"/>
      <c r="O53" s="615">
        <f t="shared" si="90"/>
        <v>0</v>
      </c>
      <c r="P53" s="615">
        <f t="shared" si="91"/>
        <v>0</v>
      </c>
      <c r="Q53" s="615">
        <f t="shared" si="92"/>
        <v>0</v>
      </c>
      <c r="R53" s="615">
        <f t="shared" si="93"/>
        <v>0</v>
      </c>
      <c r="S53" s="615">
        <f t="shared" si="94"/>
        <v>0</v>
      </c>
      <c r="T53" s="48"/>
      <c r="U53" s="519">
        <v>0.05</v>
      </c>
      <c r="V53" s="131"/>
      <c r="W53" s="619">
        <f t="shared" ref="W53:W61" si="142">$W$51/$U$51*U53</f>
        <v>0.12295500000000002</v>
      </c>
      <c r="X53" s="619">
        <f t="shared" si="19"/>
        <v>0.12295500000000002</v>
      </c>
      <c r="Y53" s="615">
        <f t="shared" si="109"/>
        <v>0.12295500000000002</v>
      </c>
      <c r="Z53" s="615">
        <f t="shared" si="110"/>
        <v>0</v>
      </c>
      <c r="AA53" s="615">
        <f t="shared" si="111"/>
        <v>0</v>
      </c>
      <c r="AB53" s="615">
        <f t="shared" si="112"/>
        <v>0</v>
      </c>
      <c r="AC53" s="615">
        <f t="shared" si="113"/>
        <v>0</v>
      </c>
      <c r="AD53" s="620">
        <f t="shared" si="114"/>
        <v>0</v>
      </c>
      <c r="AE53" s="287"/>
      <c r="AF53" s="615">
        <f t="shared" si="115"/>
        <v>0</v>
      </c>
      <c r="AG53" s="615">
        <f t="shared" si="116"/>
        <v>0</v>
      </c>
      <c r="AH53" s="615">
        <f t="shared" si="117"/>
        <v>0</v>
      </c>
      <c r="AI53" s="615">
        <f t="shared" si="118"/>
        <v>0</v>
      </c>
      <c r="AJ53" s="615">
        <f t="shared" si="119"/>
        <v>0</v>
      </c>
      <c r="AK53" s="339"/>
      <c r="AL53" s="625">
        <f t="shared" si="120"/>
        <v>1</v>
      </c>
      <c r="AM53" s="625">
        <f t="shared" si="121"/>
        <v>0</v>
      </c>
      <c r="AN53" s="625">
        <f t="shared" si="122"/>
        <v>0</v>
      </c>
      <c r="AO53" s="341"/>
      <c r="AP53" s="615">
        <f>COUNTIF('AR | Drawing List'!$H:$H,"AR-T01-2")</f>
        <v>1</v>
      </c>
      <c r="AQ53" s="616">
        <f>COUNTIFS('AR | Drawing List'!$H:$H,"AR-T01-2",'AR | Drawing List'!$J:$J,1)</f>
        <v>1</v>
      </c>
      <c r="AR53" s="616">
        <f t="shared" si="32"/>
        <v>0</v>
      </c>
      <c r="AS53" s="616">
        <f>COUNTIFS('AR | Drawing List'!$H:$H,"AR-T01-2",'AR | Drawing List'!M:M,1)</f>
        <v>0</v>
      </c>
      <c r="AT53" s="616">
        <f>COUNTIFS('AR | Drawing List'!$H:$H,"AR-T01-2",'AR | Drawing List'!N:N,1)</f>
        <v>0</v>
      </c>
      <c r="AU53" s="616">
        <f>COUNTIFS('AR | Drawing List'!$H:$H,"AR-T01-2",'AR | Drawing List'!O:O,1)</f>
        <v>0</v>
      </c>
      <c r="AV53" s="616">
        <f>COUNTIFS('AR | Drawing List'!$H:$H,"AR-T01-2",'AR | Drawing List'!P:P,1)</f>
        <v>0</v>
      </c>
      <c r="AW53" s="328"/>
      <c r="AX53" s="616">
        <f t="shared" si="123"/>
        <v>0</v>
      </c>
      <c r="AY53" s="616">
        <f>COUNTIFS('AR | Drawing List'!$H:$H,"AR-T01-2",'AR | Drawing List'!R:R,1)</f>
        <v>0</v>
      </c>
      <c r="AZ53" s="616">
        <f>COUNTIFS('AR | Drawing List'!$H:$H,"AR-T01-2",'AR | Drawing List'!S:S,1)</f>
        <v>0</v>
      </c>
      <c r="BA53" s="616">
        <f>COUNTIFS('AR | Drawing List'!$H:$H,"AR-T01-2",'AR | Drawing List'!T:T,1)</f>
        <v>0</v>
      </c>
      <c r="BB53" s="616">
        <f>COUNTIFS('AR | Drawing List'!$H:$H,"AR-T01-2",'AR | Drawing List'!U:U,1)</f>
        <v>0</v>
      </c>
      <c r="BC53" s="359"/>
      <c r="BD53" s="359"/>
      <c r="BE53" s="525">
        <v>0.1</v>
      </c>
      <c r="BF53" s="343"/>
      <c r="BG53" s="616">
        <f t="shared" si="124"/>
        <v>9.8310000000000008E-2</v>
      </c>
      <c r="BH53" s="618">
        <f t="shared" si="22"/>
        <v>9.8310000000000008E-2</v>
      </c>
      <c r="BI53" s="615">
        <f t="shared" si="125"/>
        <v>9.8310000000000008E-2</v>
      </c>
      <c r="BJ53" s="615">
        <f t="shared" si="126"/>
        <v>0</v>
      </c>
      <c r="BK53" s="615">
        <f t="shared" si="127"/>
        <v>0</v>
      </c>
      <c r="BL53" s="615">
        <f t="shared" si="128"/>
        <v>0</v>
      </c>
      <c r="BM53" s="615">
        <f t="shared" si="129"/>
        <v>0</v>
      </c>
      <c r="BN53" s="615">
        <f t="shared" si="130"/>
        <v>0</v>
      </c>
      <c r="BO53" s="339"/>
      <c r="BP53" s="615">
        <f t="shared" si="131"/>
        <v>0</v>
      </c>
      <c r="BQ53" s="615">
        <f t="shared" si="132"/>
        <v>0</v>
      </c>
      <c r="BR53" s="615">
        <f t="shared" si="133"/>
        <v>0</v>
      </c>
      <c r="BS53" s="615">
        <f t="shared" si="134"/>
        <v>0</v>
      </c>
      <c r="BT53" s="615">
        <f t="shared" si="135"/>
        <v>0</v>
      </c>
      <c r="BU53" s="339"/>
      <c r="BV53" s="635">
        <f t="shared" ref="BV53:BV61" si="143">IFERROR(CA53/BZ53,0)</f>
        <v>1</v>
      </c>
      <c r="BW53" s="635">
        <f t="shared" ref="BW53:BW61" si="144">IFERROR(CB53/BZ53,0)</f>
        <v>0</v>
      </c>
      <c r="BX53" s="635">
        <f t="shared" ref="BX53:BX61" si="145">IFERROR(CH53/BZ53,0)</f>
        <v>0</v>
      </c>
      <c r="BY53" s="345"/>
      <c r="BZ53" s="615">
        <f>COUNTIF('ST | Drawing List'!$H:$H,"ST-T01-2")</f>
        <v>6</v>
      </c>
      <c r="CA53" s="616">
        <f>COUNTIFS('ST | Drawing List'!$H:$H,"ST-T01-2",'ST | Drawing List'!$J:$J,1)</f>
        <v>6</v>
      </c>
      <c r="CB53" s="623">
        <f>COUNTIFS('ST | Drawing List'!$H:$H,"ST-T01-2",'ST | Drawing List'!$L:$L,1)</f>
        <v>0</v>
      </c>
      <c r="CC53" s="616">
        <f>COUNTIFS('ST | Drawing List'!$H:$H,"ST-T01-2",'ST | Drawing List'!M:M,1)</f>
        <v>0</v>
      </c>
      <c r="CD53" s="616">
        <f>COUNTIFS('ST | Drawing List'!$H:$H,"ST-T01-2",'ST | Drawing List'!N:N,1)</f>
        <v>0</v>
      </c>
      <c r="CE53" s="616">
        <f>COUNTIFS('ST | Drawing List'!$H:$H,"ST-T01-2",'ST | Drawing List'!O:O,1)</f>
        <v>0</v>
      </c>
      <c r="CF53" s="616">
        <f>COUNTIFS('ST | Drawing List'!$H:$H,"ST-T01-2",'ST | Drawing List'!P:P,1)</f>
        <v>0</v>
      </c>
      <c r="CG53" s="532"/>
      <c r="CH53" s="623">
        <f>COUNTIFS('ST | Drawing List'!$H:$H,"ST-T01-2",'ST | Drawing List'!$Q:$Q,1)</f>
        <v>0</v>
      </c>
      <c r="CI53" s="616">
        <f>COUNTIFS('ST | Drawing List'!$H:$H,"ST-T01-2",'ST | Drawing List'!R:R,1)</f>
        <v>0</v>
      </c>
      <c r="CJ53" s="616">
        <f>COUNTIFS('ST | Drawing List'!$H:$H,"ST-T01-2",'ST | Drawing List'!S:S,1)</f>
        <v>0</v>
      </c>
      <c r="CK53" s="616">
        <f>COUNTIFS('ST | Drawing List'!$H:$H,"ST-T01-2",'ST | Drawing List'!T:T,1)</f>
        <v>0</v>
      </c>
      <c r="CL53" s="616">
        <f>COUNTIFS('ST | Drawing List'!$H:$H,"ST-T01-2",'ST | Drawing List'!U:U,1)</f>
        <v>0</v>
      </c>
      <c r="CM53" s="343"/>
      <c r="CN53" s="343"/>
      <c r="CO53" s="666">
        <v>0</v>
      </c>
      <c r="CP53" s="343"/>
      <c r="CQ53" s="616">
        <f t="shared" si="138"/>
        <v>0</v>
      </c>
      <c r="CR53" s="618">
        <f t="shared" si="25"/>
        <v>0</v>
      </c>
      <c r="CS53" s="615">
        <f t="shared" si="139"/>
        <v>0</v>
      </c>
      <c r="CT53" s="615">
        <f t="shared" ref="CT53:CT61" si="146">IFERROR(IF(AND((DF53+DG53)=100%,DF53&lt;1),CQ53,0),0)</f>
        <v>0</v>
      </c>
      <c r="CU53" s="615">
        <f t="shared" ref="CU53:CU61" si="147">IFERROR(IF(AND((DK53+DM53)=DJ53,CS53=0),CQ53,0),0)</f>
        <v>0</v>
      </c>
      <c r="CV53" s="615">
        <f t="shared" ref="CV53:CV61" si="148">IFERROR(IF(AND((DK53+DM53+DN53)=DJ53,CS53=0,CU53=0),CQ53,0),0)</f>
        <v>0</v>
      </c>
      <c r="CW53" s="615">
        <f t="shared" ref="CW53:CW61" si="149">IFERROR(IF(AND((DK53+DM53+DN53+DO53)=DJ53,CS53=0,CU53=0,CV53=0),CQ53,0),0)</f>
        <v>0</v>
      </c>
      <c r="CX53" s="615">
        <f t="shared" ref="CX53:CX61" si="150">IFERROR(IF(AND((DK53+DM53+DN53+DO53+DP53)=DJ53,CS53=0,CU53=0,CV53=0,CW53=0),CQ53,0),0)</f>
        <v>0</v>
      </c>
      <c r="CY53" s="339"/>
      <c r="CZ53" s="615">
        <f t="shared" ref="CZ53:CZ61" si="151">IFERROR(IF(AND((DF53+DH53)=100%,DF53&lt;1),CQ53,0),0)</f>
        <v>0</v>
      </c>
      <c r="DA53" s="615">
        <f t="shared" ref="DA53:DA61" si="152">IFERROR(IF(AND((DK53+DS53)=DJ53,CS53=0),CQ53,0),0)</f>
        <v>0</v>
      </c>
      <c r="DB53" s="615">
        <f t="shared" ref="DB53:DB61" si="153">IFERROR(IF(AND((DK53+DS53+DT53)=DJ53,CS53=0,DA53=0),CQ53,0),0)</f>
        <v>0</v>
      </c>
      <c r="DC53" s="615">
        <f t="shared" ref="DC53:DC61" si="154">IFERROR(IF(AND((DK53+DS53+DT53+DU53)=DJ53,CS53=0,DA53=0,DB53=0),CQ53,0),0)</f>
        <v>0</v>
      </c>
      <c r="DD53" s="615">
        <f t="shared" ref="DD53:DD61" si="155">IFERROR(IF(AND((DK53+DS53+DT53+DU53+DV53)=DJ53,CS53=0,DA53=0,DB53=0,DC53=0),CQ53,0),0)</f>
        <v>0</v>
      </c>
      <c r="DE53" s="339"/>
      <c r="DF53" s="625">
        <f t="shared" ref="DF53:DF61" si="156">IFERROR(DK53/DJ53,0)</f>
        <v>0</v>
      </c>
      <c r="DG53" s="625">
        <f t="shared" ref="DG53:DG61" si="157">IFERROR(DL53/DJ53,0)</f>
        <v>0</v>
      </c>
      <c r="DH53" s="625">
        <f t="shared" ref="DH53:DH61" si="158">IFERROR(DR53/DJ53,0)</f>
        <v>0</v>
      </c>
      <c r="DI53" s="341"/>
      <c r="DJ53" s="615">
        <f>COUNTIF('MEP | Drawing List'!$H:$H,"MEP-T01-07-2")</f>
        <v>0</v>
      </c>
      <c r="DK53" s="616">
        <f>COUNTIFS('MEP | Drawing List'!$H:$H,"MEP-T01-07-2",'MEP | Drawing List'!$J:$J,1)</f>
        <v>0</v>
      </c>
      <c r="DL53" s="616">
        <f>COUNTIFS('MEP | Drawing List'!$H:$H,"MEP-T01-07-2",'MEP | Drawing List'!$L:$L,1)</f>
        <v>0</v>
      </c>
      <c r="DM53" s="615">
        <f>COUNTIFS('MEP | Drawing List'!$H:$H,"MEP-T01-07-2",'MEP | Drawing List'!M:M,1)</f>
        <v>0</v>
      </c>
      <c r="DN53" s="615">
        <f>COUNTIFS('MEP | Drawing List'!$H:$H,"MEP-T01-07-2",'MEP | Drawing List'!N:N,1)</f>
        <v>0</v>
      </c>
      <c r="DO53" s="615">
        <f>COUNTIFS('MEP | Drawing List'!$H:$H,"MEP-T01-07-2",'MEP | Drawing List'!O:O,1)</f>
        <v>0</v>
      </c>
      <c r="DP53" s="615">
        <f>COUNTIFS('MEP | Drawing List'!$H:$H,"MEP-T01-07-2",'MEP | Drawing List'!P:P,1)</f>
        <v>0</v>
      </c>
      <c r="DQ53" s="339"/>
      <c r="DR53" s="616">
        <f>COUNTIFS('MEP | Drawing List'!$H:$H,"MEP-T01-07-2",'MEP | Drawing List'!$Q:$Q,1)</f>
        <v>0</v>
      </c>
      <c r="DS53" s="615">
        <f>COUNTIFS('MEP | Drawing List'!$H:$H,"MEP-T01-07-2",'MEP | Drawing List'!R:R,1)</f>
        <v>0</v>
      </c>
      <c r="DT53" s="615">
        <f>COUNTIFS('MEP | Drawing List'!$H:$H,"MEP-T01-07-2",'MEP | Drawing List'!S:S,1)</f>
        <v>0</v>
      </c>
      <c r="DU53" s="615">
        <f>COUNTIFS('MEP | Drawing List'!$H:$H,"MEP-T01-07-2",'MEP | Drawing List'!T:T,1)</f>
        <v>0</v>
      </c>
      <c r="DV53" s="615">
        <f>COUNTIFS('MEP | Drawing List'!$H:$H,"MEP-T01-07-2",'MEP | Drawing List'!U:U,1)</f>
        <v>0</v>
      </c>
      <c r="DW53" s="343"/>
      <c r="DX53" s="343"/>
      <c r="DY53" s="525">
        <v>0</v>
      </c>
      <c r="DZ53" s="343"/>
      <c r="EA53" s="344"/>
      <c r="EB53" s="618">
        <f t="shared" si="28"/>
        <v>0</v>
      </c>
      <c r="EC53" s="91"/>
      <c r="ED53" s="88"/>
      <c r="EE53" s="339"/>
      <c r="EF53" s="339"/>
      <c r="EG53" s="339"/>
      <c r="EH53" s="339"/>
      <c r="EI53" s="339"/>
      <c r="EJ53" s="88"/>
      <c r="EK53" s="339"/>
      <c r="EL53" s="339"/>
      <c r="EM53" s="339"/>
      <c r="EN53" s="339"/>
      <c r="EO53" s="339"/>
      <c r="EP53" s="639"/>
      <c r="EQ53" s="639"/>
      <c r="ER53" s="639"/>
      <c r="ES53" s="55"/>
      <c r="ET53" s="615">
        <f>COUNTIF('LS | Drawing List'!$H:$H,"LS-T01-2")</f>
        <v>0</v>
      </c>
      <c r="EU53" s="616">
        <f>COUNTIFS('LS | Drawing List'!$H:$H,"LS-T01-2",'LS | Drawing List'!$J:$J,1)</f>
        <v>0</v>
      </c>
      <c r="EV53" s="616">
        <f>COUNTIFS('LS | Drawing List'!$H:$H,"LS-T01-2",'LS | Drawing List'!$L:$L,1)</f>
        <v>0</v>
      </c>
      <c r="EW53" s="615">
        <f>COUNTIFS('LS | Drawing List'!$H:$H,"LS-T01-2",'LS | Drawing List'!M:M,1)</f>
        <v>0</v>
      </c>
      <c r="EX53" s="615">
        <f>COUNTIFS('LS | Drawing List'!$H:$H,"LS-T01-2",'LS | Drawing List'!N:N,1)</f>
        <v>0</v>
      </c>
      <c r="EY53" s="615">
        <f>COUNTIFS('LS | Drawing List'!$H:$H,"LS-T01-2",'LS | Drawing List'!O:O,1)</f>
        <v>0</v>
      </c>
      <c r="EZ53" s="615">
        <f>COUNTIFS('LS | Drawing List'!$H:$H,"LS-T01-2",'LS | Drawing List'!P:P,1)</f>
        <v>0</v>
      </c>
      <c r="FA53" s="81"/>
      <c r="FB53" s="616">
        <f>COUNTIFS('LS | Drawing List'!$H:$H,"LS-T01-2",'LS | Drawing List'!$Q:$Q,1)</f>
        <v>0</v>
      </c>
      <c r="FC53" s="615">
        <f>COUNTIFS('LS | Drawing List'!$H:$H,"LS-T01-2",'LS | Drawing List'!R:R,1)</f>
        <v>0</v>
      </c>
      <c r="FD53" s="615">
        <f>COUNTIFS('LS | Drawing List'!$H:$H,"LS-T01-2",'LS | Drawing List'!S:S,1)</f>
        <v>0</v>
      </c>
      <c r="FE53" s="615">
        <f>COUNTIFS('LS | Drawing List'!$H:$H,"LS-T01-2",'LS | Drawing List'!T:T,1)</f>
        <v>0</v>
      </c>
      <c r="FF53" s="615">
        <f>COUNTIFS('LS | Drawing List'!$H:$H,"LS-T01-2",'LS | Drawing List'!U:U,1)</f>
        <v>0</v>
      </c>
      <c r="FG53" s="48"/>
    </row>
    <row r="54" spans="1:163" ht="14.25" hidden="1" outlineLevel="2">
      <c r="A54" s="48"/>
      <c r="B54" s="87" t="s">
        <v>55</v>
      </c>
      <c r="C54" s="276">
        <v>3</v>
      </c>
      <c r="D54" s="272" t="s">
        <v>56</v>
      </c>
      <c r="E54" s="48"/>
      <c r="F54" s="619">
        <f t="shared" si="82"/>
        <v>0.12295500000000002</v>
      </c>
      <c r="G54" s="619">
        <f t="shared" si="83"/>
        <v>0.12295500000000002</v>
      </c>
      <c r="H54" s="615">
        <f t="shared" si="84"/>
        <v>0</v>
      </c>
      <c r="I54" s="615">
        <f t="shared" si="85"/>
        <v>0</v>
      </c>
      <c r="J54" s="615">
        <f t="shared" si="86"/>
        <v>0</v>
      </c>
      <c r="K54" s="615">
        <f t="shared" si="87"/>
        <v>0</v>
      </c>
      <c r="L54" s="615">
        <f t="shared" si="88"/>
        <v>0</v>
      </c>
      <c r="M54" s="620">
        <f t="shared" si="89"/>
        <v>0</v>
      </c>
      <c r="N54" s="287"/>
      <c r="O54" s="615">
        <f t="shared" si="90"/>
        <v>0</v>
      </c>
      <c r="P54" s="615">
        <f t="shared" si="91"/>
        <v>0</v>
      </c>
      <c r="Q54" s="615">
        <f t="shared" si="92"/>
        <v>0</v>
      </c>
      <c r="R54" s="615">
        <f t="shared" si="93"/>
        <v>0</v>
      </c>
      <c r="S54" s="615">
        <f t="shared" si="94"/>
        <v>0</v>
      </c>
      <c r="T54" s="48"/>
      <c r="U54" s="519">
        <v>0.05</v>
      </c>
      <c r="V54" s="131"/>
      <c r="W54" s="619">
        <f t="shared" si="142"/>
        <v>0.12295500000000002</v>
      </c>
      <c r="X54" s="619">
        <f t="shared" si="19"/>
        <v>0.12295500000000002</v>
      </c>
      <c r="Y54" s="615">
        <f t="shared" si="109"/>
        <v>0.12295500000000002</v>
      </c>
      <c r="Z54" s="615">
        <f t="shared" si="110"/>
        <v>0</v>
      </c>
      <c r="AA54" s="615">
        <f t="shared" si="111"/>
        <v>0</v>
      </c>
      <c r="AB54" s="615">
        <f t="shared" si="112"/>
        <v>0</v>
      </c>
      <c r="AC54" s="615">
        <f t="shared" si="113"/>
        <v>0</v>
      </c>
      <c r="AD54" s="620">
        <f t="shared" si="114"/>
        <v>0</v>
      </c>
      <c r="AE54" s="287"/>
      <c r="AF54" s="615">
        <f t="shared" si="115"/>
        <v>0</v>
      </c>
      <c r="AG54" s="615">
        <f t="shared" si="116"/>
        <v>0</v>
      </c>
      <c r="AH54" s="615">
        <f t="shared" si="117"/>
        <v>0</v>
      </c>
      <c r="AI54" s="615">
        <f t="shared" si="118"/>
        <v>0</v>
      </c>
      <c r="AJ54" s="615">
        <f t="shared" si="119"/>
        <v>0</v>
      </c>
      <c r="AK54" s="339"/>
      <c r="AL54" s="625">
        <f t="shared" si="120"/>
        <v>1</v>
      </c>
      <c r="AM54" s="625">
        <f t="shared" si="121"/>
        <v>0</v>
      </c>
      <c r="AN54" s="625">
        <f t="shared" si="122"/>
        <v>0</v>
      </c>
      <c r="AO54" s="341"/>
      <c r="AP54" s="615">
        <f>COUNTIF('AR | Drawing List'!$H:$H,"AR-T01-3")</f>
        <v>24</v>
      </c>
      <c r="AQ54" s="616">
        <f>COUNTIFS('AR | Drawing List'!$H:$H,"AR-T01-3",'AR | Drawing List'!$J:$J,1)</f>
        <v>24</v>
      </c>
      <c r="AR54" s="616">
        <f t="shared" si="32"/>
        <v>0</v>
      </c>
      <c r="AS54" s="616">
        <f>COUNTIFS('AR | Drawing List'!$H:$H,"AR-T01-3",'AR | Drawing List'!M:M,1)</f>
        <v>0</v>
      </c>
      <c r="AT54" s="616">
        <f>COUNTIFS('AR | Drawing List'!$H:$H,"AR-T01-3",'AR | Drawing List'!N:N,1)</f>
        <v>0</v>
      </c>
      <c r="AU54" s="616">
        <f>COUNTIFS('AR | Drawing List'!$H:$H,"AR-T01-3",'AR | Drawing List'!O:O,1)</f>
        <v>0</v>
      </c>
      <c r="AV54" s="616">
        <f>COUNTIFS('AR | Drawing List'!$H:$H,"AR-T01-3",'AR | Drawing List'!P:P,1)</f>
        <v>0</v>
      </c>
      <c r="AW54" s="328"/>
      <c r="AX54" s="616">
        <f t="shared" si="123"/>
        <v>0</v>
      </c>
      <c r="AY54" s="616">
        <f>COUNTIFS('AR | Drawing List'!$H:$H,"AR-T01-3",'AR | Drawing List'!R:R,1)</f>
        <v>0</v>
      </c>
      <c r="AZ54" s="616">
        <f>COUNTIFS('AR | Drawing List'!$H:$H,"AR-T01-3",'AR | Drawing List'!S:S,1)</f>
        <v>0</v>
      </c>
      <c r="BA54" s="616">
        <f>COUNTIFS('AR | Drawing List'!$H:$H,"AR-T01-3",'AR | Drawing List'!T:T,1)</f>
        <v>0</v>
      </c>
      <c r="BB54" s="616">
        <f>COUNTIFS('AR | Drawing List'!$H:$H,"AR-T01-3",'AR | Drawing List'!U:U,1)</f>
        <v>0</v>
      </c>
      <c r="BC54" s="359"/>
      <c r="BD54" s="359"/>
      <c r="BE54" s="666">
        <v>0</v>
      </c>
      <c r="BF54" s="343"/>
      <c r="BG54" s="616">
        <f t="shared" si="124"/>
        <v>0</v>
      </c>
      <c r="BH54" s="618">
        <f t="shared" si="22"/>
        <v>0</v>
      </c>
      <c r="BI54" s="615">
        <f t="shared" si="125"/>
        <v>0</v>
      </c>
      <c r="BJ54" s="615">
        <f t="shared" si="126"/>
        <v>0</v>
      </c>
      <c r="BK54" s="615">
        <f t="shared" si="127"/>
        <v>0</v>
      </c>
      <c r="BL54" s="615">
        <f t="shared" si="128"/>
        <v>0</v>
      </c>
      <c r="BM54" s="615">
        <f t="shared" si="129"/>
        <v>0</v>
      </c>
      <c r="BN54" s="615">
        <f t="shared" si="130"/>
        <v>0</v>
      </c>
      <c r="BO54" s="339"/>
      <c r="BP54" s="615">
        <f t="shared" si="131"/>
        <v>0</v>
      </c>
      <c r="BQ54" s="615">
        <f t="shared" si="132"/>
        <v>0</v>
      </c>
      <c r="BR54" s="615">
        <f t="shared" si="133"/>
        <v>0</v>
      </c>
      <c r="BS54" s="615">
        <f t="shared" si="134"/>
        <v>0</v>
      </c>
      <c r="BT54" s="615">
        <f t="shared" si="135"/>
        <v>0</v>
      </c>
      <c r="BU54" s="339"/>
      <c r="BV54" s="635">
        <f t="shared" si="143"/>
        <v>0</v>
      </c>
      <c r="BW54" s="635">
        <f t="shared" si="144"/>
        <v>0</v>
      </c>
      <c r="BX54" s="635">
        <f t="shared" si="145"/>
        <v>0</v>
      </c>
      <c r="BY54" s="347"/>
      <c r="BZ54" s="615">
        <f>COUNTIF('ST | Drawing List'!$H:$H,"ST-T01-3")</f>
        <v>0</v>
      </c>
      <c r="CA54" s="616">
        <f>COUNTIFS('ST | Drawing List'!$H:$H,"ST-T01-3",'ST | Drawing List'!$J:$J,1)</f>
        <v>0</v>
      </c>
      <c r="CB54" s="623">
        <f>COUNTIFS('ST | Drawing List'!$H:$H,"ST-T01-3",'ST | Drawing List'!$L:$L,1)</f>
        <v>0</v>
      </c>
      <c r="CC54" s="616">
        <f>COUNTIFS('ST | Drawing List'!$H:$H,"ST-T01-3",'ST | Drawing List'!M:M,1)</f>
        <v>0</v>
      </c>
      <c r="CD54" s="616">
        <f>COUNTIFS('ST | Drawing List'!$H:$H,"ST-T01-3",'ST | Drawing List'!N:N,1)</f>
        <v>0</v>
      </c>
      <c r="CE54" s="616">
        <f>COUNTIFS('ST | Drawing List'!$H:$H,"ST-T01-3",'ST | Drawing List'!O:O,1)</f>
        <v>0</v>
      </c>
      <c r="CF54" s="616">
        <f>COUNTIFS('ST | Drawing List'!$H:$H,"ST-T01-3",'ST | Drawing List'!P:P,1)</f>
        <v>0</v>
      </c>
      <c r="CG54" s="532"/>
      <c r="CH54" s="623">
        <f>COUNTIFS('ST | Drawing List'!$H:$H,"ST-T01-3",'ST | Drawing List'!$Q:$Q,1)</f>
        <v>0</v>
      </c>
      <c r="CI54" s="616">
        <f>COUNTIFS('ST | Drawing List'!$H:$H,"ST-T01-3",'ST | Drawing List'!R:R,1)</f>
        <v>0</v>
      </c>
      <c r="CJ54" s="616">
        <f>COUNTIFS('ST | Drawing List'!$H:$H,"ST-T01-3",'ST | Drawing List'!S:S,1)</f>
        <v>0</v>
      </c>
      <c r="CK54" s="616">
        <f>COUNTIFS('ST | Drawing List'!$H:$H,"ST-T01-3",'ST | Drawing List'!T:T,1)</f>
        <v>0</v>
      </c>
      <c r="CL54" s="616">
        <f>COUNTIFS('ST | Drawing List'!$H:$H,"ST-T01-3",'ST | Drawing List'!U:U,1)</f>
        <v>0</v>
      </c>
      <c r="CM54" s="343"/>
      <c r="CN54" s="343"/>
      <c r="CO54" s="666">
        <v>0</v>
      </c>
      <c r="CP54" s="343"/>
      <c r="CQ54" s="616">
        <f t="shared" si="138"/>
        <v>0</v>
      </c>
      <c r="CR54" s="618">
        <f t="shared" si="25"/>
        <v>0</v>
      </c>
      <c r="CS54" s="615">
        <f t="shared" si="139"/>
        <v>0</v>
      </c>
      <c r="CT54" s="615">
        <f t="shared" si="146"/>
        <v>0</v>
      </c>
      <c r="CU54" s="615">
        <f t="shared" si="147"/>
        <v>0</v>
      </c>
      <c r="CV54" s="615">
        <f t="shared" si="148"/>
        <v>0</v>
      </c>
      <c r="CW54" s="615">
        <f t="shared" si="149"/>
        <v>0</v>
      </c>
      <c r="CX54" s="615">
        <f t="shared" si="150"/>
        <v>0</v>
      </c>
      <c r="CY54" s="339"/>
      <c r="CZ54" s="615">
        <f t="shared" si="151"/>
        <v>0</v>
      </c>
      <c r="DA54" s="615">
        <f t="shared" si="152"/>
        <v>0</v>
      </c>
      <c r="DB54" s="615">
        <f t="shared" si="153"/>
        <v>0</v>
      </c>
      <c r="DC54" s="615">
        <f t="shared" si="154"/>
        <v>0</v>
      </c>
      <c r="DD54" s="615">
        <f t="shared" si="155"/>
        <v>0</v>
      </c>
      <c r="DE54" s="339"/>
      <c r="DF54" s="625">
        <f t="shared" si="156"/>
        <v>0</v>
      </c>
      <c r="DG54" s="625">
        <f t="shared" si="157"/>
        <v>0</v>
      </c>
      <c r="DH54" s="625">
        <f t="shared" si="158"/>
        <v>0</v>
      </c>
      <c r="DI54" s="341"/>
      <c r="DJ54" s="615">
        <f>COUNTIF('MEP | Drawing List'!$H:$H,"MEP-T01-07-3")</f>
        <v>0</v>
      </c>
      <c r="DK54" s="616">
        <f>COUNTIFS('MEP | Drawing List'!$H:$H,"MEP-T01-07-3",'MEP | Drawing List'!$J:$J,1)</f>
        <v>0</v>
      </c>
      <c r="DL54" s="616">
        <f>COUNTIFS('MEP | Drawing List'!$H:$H,"MEP-T01-07-3",'MEP | Drawing List'!$L:$L,1)</f>
        <v>0</v>
      </c>
      <c r="DM54" s="615">
        <f>COUNTIFS('MEP | Drawing List'!$H:$H,"MEP-T01-07-3",'MEP | Drawing List'!M:M,1)</f>
        <v>0</v>
      </c>
      <c r="DN54" s="615">
        <f>COUNTIFS('MEP | Drawing List'!$H:$H,"MEP-T01-07-3",'MEP | Drawing List'!N:N,1)</f>
        <v>0</v>
      </c>
      <c r="DO54" s="615">
        <f>COUNTIFS('MEP | Drawing List'!$H:$H,"MEP-T01-07-3",'MEP | Drawing List'!O:O,1)</f>
        <v>0</v>
      </c>
      <c r="DP54" s="615">
        <f>COUNTIFS('MEP | Drawing List'!$H:$H,"MEP-T01-07-3",'MEP | Drawing List'!P:P,1)</f>
        <v>0</v>
      </c>
      <c r="DQ54" s="339"/>
      <c r="DR54" s="616">
        <f>COUNTIFS('MEP | Drawing List'!$H:$H,"MEP-T01-07-3",'MEP | Drawing List'!$Q:$Q,1)</f>
        <v>0</v>
      </c>
      <c r="DS54" s="615">
        <f>COUNTIFS('MEP | Drawing List'!$H:$H,"MEP-T01-07-3",'MEP | Drawing List'!R:R,1)</f>
        <v>0</v>
      </c>
      <c r="DT54" s="615">
        <f>COUNTIFS('MEP | Drawing List'!$H:$H,"MEP-T01-07-3",'MEP | Drawing List'!S:S,1)</f>
        <v>0</v>
      </c>
      <c r="DU54" s="615">
        <f>COUNTIFS('MEP | Drawing List'!$H:$H,"MEP-T01-07-3",'MEP | Drawing List'!T:T,1)</f>
        <v>0</v>
      </c>
      <c r="DV54" s="615">
        <f>COUNTIFS('MEP | Drawing List'!$H:$H,"MEP-T01-07-3",'MEP | Drawing List'!U:U,1)</f>
        <v>0</v>
      </c>
      <c r="DW54" s="343"/>
      <c r="DX54" s="343"/>
      <c r="DY54" s="525">
        <v>0</v>
      </c>
      <c r="DZ54" s="343"/>
      <c r="EA54" s="344"/>
      <c r="EB54" s="618">
        <f t="shared" si="28"/>
        <v>0</v>
      </c>
      <c r="EC54" s="91"/>
      <c r="ED54" s="70"/>
      <c r="EE54" s="339"/>
      <c r="EF54" s="339"/>
      <c r="EG54" s="339"/>
      <c r="EH54" s="339"/>
      <c r="EI54" s="339"/>
      <c r="EJ54" s="70"/>
      <c r="EK54" s="339"/>
      <c r="EL54" s="339"/>
      <c r="EM54" s="339"/>
      <c r="EN54" s="339"/>
      <c r="EO54" s="339"/>
      <c r="EP54" s="103"/>
      <c r="EQ54" s="103"/>
      <c r="ER54" s="103"/>
      <c r="ES54" s="83"/>
      <c r="ET54" s="615">
        <f>COUNTIF('LS | Drawing List'!$H:$H,"LS-T01-3")</f>
        <v>0</v>
      </c>
      <c r="EU54" s="616">
        <f>COUNTIFS('LS | Drawing List'!$H:$H,"LS-T01-3",'LS | Drawing List'!$J:$J,1)</f>
        <v>0</v>
      </c>
      <c r="EV54" s="616">
        <f>COUNTIFS('LS | Drawing List'!$H:$H,"LS-T01-3",'LS | Drawing List'!$L:$L,1)</f>
        <v>0</v>
      </c>
      <c r="EW54" s="615">
        <f>COUNTIFS('LS | Drawing List'!$H:$H,"LS-T01-3",'LS | Drawing List'!M:M,1)</f>
        <v>0</v>
      </c>
      <c r="EX54" s="615">
        <f>COUNTIFS('LS | Drawing List'!$H:$H,"LS-T01-3",'LS | Drawing List'!N:N,1)</f>
        <v>0</v>
      </c>
      <c r="EY54" s="615">
        <f>COUNTIFS('LS | Drawing List'!$H:$H,"LS-T01-3",'LS | Drawing List'!O:O,1)</f>
        <v>0</v>
      </c>
      <c r="EZ54" s="615">
        <f>COUNTIFS('LS | Drawing List'!$H:$H,"LS-T01-3",'LS | Drawing List'!P:P,1)</f>
        <v>0</v>
      </c>
      <c r="FA54" s="81"/>
      <c r="FB54" s="616">
        <f>COUNTIFS('LS | Drawing List'!$H:$H,"LS-T01-3",'LS | Drawing List'!$Q:$Q,1)</f>
        <v>0</v>
      </c>
      <c r="FC54" s="615">
        <f>COUNTIFS('LS | Drawing List'!$H:$H,"LS-T01-3",'LS | Drawing List'!R:R,1)</f>
        <v>0</v>
      </c>
      <c r="FD54" s="615">
        <f>COUNTIFS('LS | Drawing List'!$H:$H,"LS-T01-3",'LS | Drawing List'!S:S,1)</f>
        <v>0</v>
      </c>
      <c r="FE54" s="615">
        <f>COUNTIFS('LS | Drawing List'!$H:$H,"LS-T01-3",'LS | Drawing List'!T:T,1)</f>
        <v>0</v>
      </c>
      <c r="FF54" s="615">
        <f>COUNTIFS('LS | Drawing List'!$H:$H,"LS-T01-3",'LS | Drawing List'!U:U,1)</f>
        <v>0</v>
      </c>
      <c r="FG54" s="48"/>
    </row>
    <row r="55" spans="1:163" ht="14.25" hidden="1" outlineLevel="2">
      <c r="A55" s="48"/>
      <c r="B55" s="87" t="s">
        <v>57</v>
      </c>
      <c r="C55" s="276">
        <v>4</v>
      </c>
      <c r="D55" s="272" t="s">
        <v>58</v>
      </c>
      <c r="E55" s="48"/>
      <c r="F55" s="619">
        <f t="shared" si="82"/>
        <v>0.24512400000000004</v>
      </c>
      <c r="G55" s="619">
        <f t="shared" si="83"/>
        <v>0.24512400000000004</v>
      </c>
      <c r="H55" s="616">
        <f t="shared" si="84"/>
        <v>0</v>
      </c>
      <c r="I55" s="616">
        <f t="shared" si="85"/>
        <v>0</v>
      </c>
      <c r="J55" s="616">
        <f t="shared" si="86"/>
        <v>0</v>
      </c>
      <c r="K55" s="616">
        <f t="shared" si="87"/>
        <v>0</v>
      </c>
      <c r="L55" s="616">
        <f t="shared" si="88"/>
        <v>0</v>
      </c>
      <c r="M55" s="620">
        <f t="shared" si="89"/>
        <v>0</v>
      </c>
      <c r="N55" s="287"/>
      <c r="O55" s="615">
        <f t="shared" si="90"/>
        <v>0</v>
      </c>
      <c r="P55" s="615">
        <f t="shared" si="91"/>
        <v>0</v>
      </c>
      <c r="Q55" s="615">
        <f t="shared" si="92"/>
        <v>0</v>
      </c>
      <c r="R55" s="615">
        <f t="shared" si="93"/>
        <v>0</v>
      </c>
      <c r="S55" s="615">
        <f t="shared" si="94"/>
        <v>0</v>
      </c>
      <c r="T55" s="48"/>
      <c r="U55" s="519">
        <v>0.05</v>
      </c>
      <c r="V55" s="131"/>
      <c r="W55" s="619">
        <f t="shared" si="142"/>
        <v>0.12295500000000002</v>
      </c>
      <c r="X55" s="619">
        <f>Y55+AF55</f>
        <v>0.12295500000000002</v>
      </c>
      <c r="Y55" s="616">
        <f t="shared" si="109"/>
        <v>0.12295500000000002</v>
      </c>
      <c r="Z55" s="616">
        <f t="shared" si="110"/>
        <v>0</v>
      </c>
      <c r="AA55" s="616">
        <f t="shared" si="111"/>
        <v>0</v>
      </c>
      <c r="AB55" s="616">
        <f t="shared" si="112"/>
        <v>0</v>
      </c>
      <c r="AC55" s="616">
        <f t="shared" si="113"/>
        <v>0</v>
      </c>
      <c r="AD55" s="620">
        <f t="shared" si="114"/>
        <v>0</v>
      </c>
      <c r="AE55" s="287"/>
      <c r="AF55" s="615">
        <f t="shared" si="115"/>
        <v>0</v>
      </c>
      <c r="AG55" s="615">
        <f t="shared" si="116"/>
        <v>0</v>
      </c>
      <c r="AH55" s="615">
        <f t="shared" si="117"/>
        <v>0</v>
      </c>
      <c r="AI55" s="615">
        <f t="shared" si="118"/>
        <v>0</v>
      </c>
      <c r="AJ55" s="615">
        <f t="shared" si="119"/>
        <v>0</v>
      </c>
      <c r="AK55" s="339"/>
      <c r="AL55" s="626">
        <f t="shared" si="120"/>
        <v>1</v>
      </c>
      <c r="AM55" s="626">
        <f t="shared" si="121"/>
        <v>0</v>
      </c>
      <c r="AN55" s="625">
        <f t="shared" si="122"/>
        <v>0</v>
      </c>
      <c r="AO55" s="341"/>
      <c r="AP55" s="615">
        <f>COUNTIF('AR | Drawing List'!$H:$H,"AR-T01-4")</f>
        <v>8</v>
      </c>
      <c r="AQ55" s="616">
        <f>COUNTIFS('AR | Drawing List'!$H:$H,"AR-T01-4",'AR | Drawing List'!$J:$J,1)</f>
        <v>8</v>
      </c>
      <c r="AR55" s="616">
        <f t="shared" si="32"/>
        <v>0</v>
      </c>
      <c r="AS55" s="616">
        <f>COUNTIFS('AR | Drawing List'!$H:$H,"AR-T01-4",'AR | Drawing List'!M:M,1)</f>
        <v>0</v>
      </c>
      <c r="AT55" s="616">
        <f>COUNTIFS('AR | Drawing List'!$H:$H,"AR-T01-4",'AR | Drawing List'!N:N,1)</f>
        <v>0</v>
      </c>
      <c r="AU55" s="616">
        <f>COUNTIFS('AR | Drawing List'!$H:$H,"AR-T01-4",'AR | Drawing List'!O:O,1)</f>
        <v>0</v>
      </c>
      <c r="AV55" s="616">
        <f>COUNTIFS('AR | Drawing List'!$H:$H,"AR-T01-4",'AR | Drawing List'!P:P,1)</f>
        <v>0</v>
      </c>
      <c r="AW55" s="328"/>
      <c r="AX55" s="616">
        <f t="shared" si="123"/>
        <v>0</v>
      </c>
      <c r="AY55" s="616">
        <f>COUNTIFS('AR | Drawing List'!$H:$H,"AR-T01-4",'AR | Drawing List'!R:R,1)</f>
        <v>0</v>
      </c>
      <c r="AZ55" s="616">
        <f>COUNTIFS('AR | Drawing List'!$H:$H,"AR-T01-4",'AR | Drawing List'!S:S,1)</f>
        <v>0</v>
      </c>
      <c r="BA55" s="616">
        <f>COUNTIFS('AR | Drawing List'!$H:$H,"AR-T01-4",'AR | Drawing List'!T:T,1)</f>
        <v>0</v>
      </c>
      <c r="BB55" s="616">
        <f>COUNTIFS('AR | Drawing List'!$H:$H,"AR-T01-4",'AR | Drawing List'!U:U,1)</f>
        <v>0</v>
      </c>
      <c r="BC55" s="359"/>
      <c r="BD55" s="359"/>
      <c r="BE55" s="523">
        <v>0.1</v>
      </c>
      <c r="BF55" s="343"/>
      <c r="BG55" s="616">
        <f t="shared" si="124"/>
        <v>9.8310000000000008E-2</v>
      </c>
      <c r="BH55" s="618">
        <f t="shared" si="22"/>
        <v>9.8310000000000008E-2</v>
      </c>
      <c r="BI55" s="616">
        <f t="shared" si="125"/>
        <v>9.8310000000000008E-2</v>
      </c>
      <c r="BJ55" s="616">
        <f t="shared" si="126"/>
        <v>0</v>
      </c>
      <c r="BK55" s="616">
        <f t="shared" si="127"/>
        <v>0</v>
      </c>
      <c r="BL55" s="616">
        <f t="shared" si="128"/>
        <v>0</v>
      </c>
      <c r="BM55" s="616">
        <f t="shared" si="129"/>
        <v>0</v>
      </c>
      <c r="BN55" s="616">
        <f t="shared" si="130"/>
        <v>0</v>
      </c>
      <c r="BO55" s="348"/>
      <c r="BP55" s="615">
        <f t="shared" si="131"/>
        <v>0</v>
      </c>
      <c r="BQ55" s="615">
        <f t="shared" si="132"/>
        <v>0</v>
      </c>
      <c r="BR55" s="615">
        <f t="shared" si="133"/>
        <v>0</v>
      </c>
      <c r="BS55" s="615">
        <f t="shared" si="134"/>
        <v>0</v>
      </c>
      <c r="BT55" s="615">
        <f t="shared" si="135"/>
        <v>0</v>
      </c>
      <c r="BU55" s="339"/>
      <c r="BV55" s="635">
        <f t="shared" si="143"/>
        <v>1</v>
      </c>
      <c r="BW55" s="635">
        <f t="shared" si="144"/>
        <v>0</v>
      </c>
      <c r="BX55" s="635">
        <f t="shared" si="145"/>
        <v>0</v>
      </c>
      <c r="BY55" s="341"/>
      <c r="BZ55" s="615">
        <f>COUNTIF('ST | Drawing List'!$H:$H,"ST-T01-4")</f>
        <v>4</v>
      </c>
      <c r="CA55" s="616">
        <f>COUNTIFS('ST | Drawing List'!$H:$H,"ST-T01-4",'ST | Drawing List'!$J:$J,1)</f>
        <v>4</v>
      </c>
      <c r="CB55" s="616">
        <f>COUNTIFS('ST | Drawing List'!$H:$H,"ST-T01-4",'ST | Drawing List'!$L:$L,1)</f>
        <v>0</v>
      </c>
      <c r="CC55" s="616">
        <f>COUNTIFS('ST | Drawing List'!$H:$H,"ST-T01-4",'ST | Drawing List'!M:M,1)</f>
        <v>0</v>
      </c>
      <c r="CD55" s="616">
        <f>COUNTIFS('ST | Drawing List'!$H:$H,"ST-T01-4",'ST | Drawing List'!N:N,1)</f>
        <v>0</v>
      </c>
      <c r="CE55" s="616">
        <f>COUNTIFS('ST | Drawing List'!$H:$H,"ST-T01-4",'ST | Drawing List'!O:O,1)</f>
        <v>0</v>
      </c>
      <c r="CF55" s="616">
        <f>COUNTIFS('ST | Drawing List'!$H:$H,"ST-T01-4",'ST | Drawing List'!P:P,1)</f>
        <v>0</v>
      </c>
      <c r="CG55" s="532"/>
      <c r="CH55" s="616">
        <f>COUNTIFS('ST | Drawing List'!$H:$H,"ST-T01-4",'ST | Drawing List'!$Q:$Q,1)</f>
        <v>0</v>
      </c>
      <c r="CI55" s="616">
        <f>COUNTIFS('ST | Drawing List'!$H:$H,"ST-T01-4",'ST | Drawing List'!R:R,1)</f>
        <v>0</v>
      </c>
      <c r="CJ55" s="616">
        <f>COUNTIFS('ST | Drawing List'!$H:$H,"ST-T01-4",'ST | Drawing List'!S:S,1)</f>
        <v>0</v>
      </c>
      <c r="CK55" s="616">
        <f>COUNTIFS('ST | Drawing List'!$H:$H,"ST-T01-4",'ST | Drawing List'!T:T,1)</f>
        <v>0</v>
      </c>
      <c r="CL55" s="616">
        <f>COUNTIFS('ST | Drawing List'!$H:$H,"ST-T01-4",'ST | Drawing List'!U:U,1)</f>
        <v>0</v>
      </c>
      <c r="CM55" s="343"/>
      <c r="CN55" s="343"/>
      <c r="CO55" s="667">
        <v>0.15</v>
      </c>
      <c r="CP55" s="343"/>
      <c r="CQ55" s="616">
        <f t="shared" si="138"/>
        <v>2.3859000000000002E-2</v>
      </c>
      <c r="CR55" s="618">
        <f t="shared" si="25"/>
        <v>2.3859000000000002E-2</v>
      </c>
      <c r="CS55" s="616">
        <f t="shared" si="139"/>
        <v>2.3859000000000002E-2</v>
      </c>
      <c r="CT55" s="615">
        <f t="shared" si="146"/>
        <v>0</v>
      </c>
      <c r="CU55" s="615">
        <f t="shared" si="147"/>
        <v>0</v>
      </c>
      <c r="CV55" s="615">
        <f t="shared" si="148"/>
        <v>0</v>
      </c>
      <c r="CW55" s="615">
        <f t="shared" si="149"/>
        <v>0</v>
      </c>
      <c r="CX55" s="615">
        <f t="shared" si="150"/>
        <v>0</v>
      </c>
      <c r="CY55" s="339"/>
      <c r="CZ55" s="615">
        <f t="shared" si="151"/>
        <v>0</v>
      </c>
      <c r="DA55" s="615">
        <f t="shared" si="152"/>
        <v>0</v>
      </c>
      <c r="DB55" s="615">
        <f t="shared" si="153"/>
        <v>0</v>
      </c>
      <c r="DC55" s="615">
        <f t="shared" si="154"/>
        <v>0</v>
      </c>
      <c r="DD55" s="615">
        <f t="shared" si="155"/>
        <v>0</v>
      </c>
      <c r="DE55" s="339"/>
      <c r="DF55" s="625">
        <f t="shared" si="156"/>
        <v>1</v>
      </c>
      <c r="DG55" s="625">
        <f t="shared" si="157"/>
        <v>0</v>
      </c>
      <c r="DH55" s="625">
        <f t="shared" si="158"/>
        <v>0</v>
      </c>
      <c r="DI55" s="341"/>
      <c r="DJ55" s="615">
        <f>COUNTIF('MEP | Drawing List'!$H:$H,"MEP-T01-07-4")</f>
        <v>19</v>
      </c>
      <c r="DK55" s="616">
        <f>COUNTIFS('MEP | Drawing List'!$H:$H,"MEP-T01-07-4",'MEP | Drawing List'!$J:$J,1)</f>
        <v>19</v>
      </c>
      <c r="DL55" s="616">
        <f>COUNTIFS('MEP | Drawing List'!$H:$H,"MEP-T01-07-4",'MEP | Drawing List'!$L:$L,1)</f>
        <v>0</v>
      </c>
      <c r="DM55" s="616">
        <f>COUNTIFS('MEP | Drawing List'!$H:$H,"MEP-T01-07-4",'MEP | Drawing List'!M:M,1)</f>
        <v>0</v>
      </c>
      <c r="DN55" s="616">
        <f>COUNTIFS('MEP | Drawing List'!$H:$H,"MEP-T01-07-4",'MEP | Drawing List'!N:N,1)</f>
        <v>0</v>
      </c>
      <c r="DO55" s="616">
        <f>COUNTIFS('MEP | Drawing List'!$H:$H,"MEP-T01-07-4",'MEP | Drawing List'!O:O,1)</f>
        <v>0</v>
      </c>
      <c r="DP55" s="616">
        <f>COUNTIFS('MEP | Drawing List'!$H:$H,"MEP-T01-07-4",'MEP | Drawing List'!P:P,1)</f>
        <v>0</v>
      </c>
      <c r="DQ55" s="348"/>
      <c r="DR55" s="616">
        <f>COUNTIFS('MEP | Drawing List'!$H:$H,"MEP-T01-07-4",'MEP | Drawing List'!$Q:$Q,1)</f>
        <v>0</v>
      </c>
      <c r="DS55" s="616">
        <f>COUNTIFS('MEP | Drawing List'!$H:$H,"MEP-T01-07-4",'MEP | Drawing List'!R:R,1)</f>
        <v>0</v>
      </c>
      <c r="DT55" s="616">
        <f>COUNTIFS('MEP | Drawing List'!$H:$H,"MEP-T01-07-4",'MEP | Drawing List'!S:S,1)</f>
        <v>0</v>
      </c>
      <c r="DU55" s="616">
        <f>COUNTIFS('MEP | Drawing List'!$H:$H,"MEP-T01-07-4",'MEP | Drawing List'!T:T,1)</f>
        <v>0</v>
      </c>
      <c r="DV55" s="616">
        <f>COUNTIFS('MEP | Drawing List'!$H:$H,"MEP-T01-07-4",'MEP | Drawing List'!U:U,1)</f>
        <v>0</v>
      </c>
      <c r="DW55" s="343"/>
      <c r="DX55" s="343"/>
      <c r="DY55" s="523">
        <v>0</v>
      </c>
      <c r="DZ55" s="343"/>
      <c r="EA55" s="344"/>
      <c r="EB55" s="618">
        <f t="shared" si="28"/>
        <v>0</v>
      </c>
      <c r="EC55" s="91"/>
      <c r="ED55" s="85"/>
      <c r="EE55" s="339"/>
      <c r="EF55" s="339"/>
      <c r="EG55" s="339"/>
      <c r="EH55" s="339"/>
      <c r="EI55" s="339"/>
      <c r="EJ55" s="85"/>
      <c r="EK55" s="339"/>
      <c r="EL55" s="339"/>
      <c r="EM55" s="339"/>
      <c r="EN55" s="339"/>
      <c r="EO55" s="339"/>
      <c r="EP55" s="103"/>
      <c r="EQ55" s="103"/>
      <c r="ER55" s="103"/>
      <c r="ES55" s="82"/>
      <c r="ET55" s="615">
        <f>COUNTIF('LS | Drawing List'!$H:$H,"LS-T01-4")</f>
        <v>0</v>
      </c>
      <c r="EU55" s="616">
        <f>COUNTIFS('LS | Drawing List'!$H:$H,"LS-T01-4",'LS | Drawing List'!$J:$J,1)</f>
        <v>0</v>
      </c>
      <c r="EV55" s="616">
        <f>COUNTIFS('LS | Drawing List'!$H:$H,"LS-T01-4",'LS | Drawing List'!$L:$L,1)</f>
        <v>0</v>
      </c>
      <c r="EW55" s="616">
        <f>COUNTIFS('LS | Drawing List'!$H:$H,"LS-T01-4",'LS | Drawing List'!M:M,1)</f>
        <v>0</v>
      </c>
      <c r="EX55" s="616">
        <f>COUNTIFS('LS | Drawing List'!$H:$H,"LS-T01-4",'LS | Drawing List'!N:N,1)</f>
        <v>0</v>
      </c>
      <c r="EY55" s="616">
        <f>COUNTIFS('LS | Drawing List'!$H:$H,"LS-T01-4",'LS | Drawing List'!O:O,1)</f>
        <v>0</v>
      </c>
      <c r="EZ55" s="616">
        <f>COUNTIFS('LS | Drawing List'!$H:$H,"LS-T01-4",'LS | Drawing List'!P:P,1)</f>
        <v>0</v>
      </c>
      <c r="FA55" s="85"/>
      <c r="FB55" s="616">
        <f>COUNTIFS('LS | Drawing List'!$H:$H,"LS-T01-4",'LS | Drawing List'!$Q:$Q,1)</f>
        <v>0</v>
      </c>
      <c r="FC55" s="616">
        <f>COUNTIFS('LS | Drawing List'!$H:$H,"LS-T01-4",'LS | Drawing List'!R:R,1)</f>
        <v>0</v>
      </c>
      <c r="FD55" s="616">
        <f>COUNTIFS('LS | Drawing List'!$H:$H,"LS-T01-4",'LS | Drawing List'!S:S,1)</f>
        <v>0</v>
      </c>
      <c r="FE55" s="616">
        <f>COUNTIFS('LS | Drawing List'!$H:$H,"LS-T01-4",'LS | Drawing List'!T:T,1)</f>
        <v>0</v>
      </c>
      <c r="FF55" s="616">
        <f>COUNTIFS('LS | Drawing List'!$H:$H,"LS-T01-4",'LS | Drawing List'!U:U,1)</f>
        <v>0</v>
      </c>
      <c r="FG55" s="48"/>
    </row>
    <row r="56" spans="1:163" ht="14.25" hidden="1" outlineLevel="2">
      <c r="A56" s="48"/>
      <c r="B56" s="87" t="s">
        <v>59</v>
      </c>
      <c r="C56" s="276">
        <v>5</v>
      </c>
      <c r="D56" s="272" t="s">
        <v>60</v>
      </c>
      <c r="E56" s="48"/>
      <c r="F56" s="619">
        <f t="shared" si="82"/>
        <v>0.11063250000000002</v>
      </c>
      <c r="G56" s="619">
        <f t="shared" si="83"/>
        <v>0.11063250000000002</v>
      </c>
      <c r="H56" s="616">
        <f t="shared" si="84"/>
        <v>0</v>
      </c>
      <c r="I56" s="616">
        <f t="shared" si="85"/>
        <v>0</v>
      </c>
      <c r="J56" s="616">
        <f t="shared" si="86"/>
        <v>0</v>
      </c>
      <c r="K56" s="616">
        <f t="shared" si="87"/>
        <v>0</v>
      </c>
      <c r="L56" s="616">
        <f t="shared" si="88"/>
        <v>0</v>
      </c>
      <c r="M56" s="620">
        <f t="shared" si="89"/>
        <v>0</v>
      </c>
      <c r="N56" s="287"/>
      <c r="O56" s="615">
        <f t="shared" si="90"/>
        <v>0</v>
      </c>
      <c r="P56" s="615">
        <f t="shared" si="91"/>
        <v>0</v>
      </c>
      <c r="Q56" s="615">
        <f t="shared" si="92"/>
        <v>0</v>
      </c>
      <c r="R56" s="615">
        <f t="shared" si="93"/>
        <v>0</v>
      </c>
      <c r="S56" s="615">
        <f t="shared" si="94"/>
        <v>0</v>
      </c>
      <c r="T56" s="48"/>
      <c r="U56" s="519">
        <v>2.5000000000000001E-2</v>
      </c>
      <c r="V56" s="131"/>
      <c r="W56" s="619">
        <f t="shared" si="142"/>
        <v>6.1477500000000011E-2</v>
      </c>
      <c r="X56" s="619">
        <f t="shared" si="19"/>
        <v>6.1477500000000011E-2</v>
      </c>
      <c r="Y56" s="616">
        <f t="shared" si="109"/>
        <v>6.1477500000000011E-2</v>
      </c>
      <c r="Z56" s="616">
        <f t="shared" si="110"/>
        <v>0</v>
      </c>
      <c r="AA56" s="616">
        <f t="shared" si="111"/>
        <v>0</v>
      </c>
      <c r="AB56" s="616">
        <f t="shared" si="112"/>
        <v>0</v>
      </c>
      <c r="AC56" s="616">
        <f t="shared" si="113"/>
        <v>0</v>
      </c>
      <c r="AD56" s="620">
        <f t="shared" si="114"/>
        <v>0</v>
      </c>
      <c r="AE56" s="287"/>
      <c r="AF56" s="615">
        <f t="shared" si="115"/>
        <v>0</v>
      </c>
      <c r="AG56" s="615">
        <f t="shared" si="116"/>
        <v>0</v>
      </c>
      <c r="AH56" s="615">
        <f t="shared" si="117"/>
        <v>0</v>
      </c>
      <c r="AI56" s="615">
        <f t="shared" si="118"/>
        <v>0</v>
      </c>
      <c r="AJ56" s="615">
        <f t="shared" si="119"/>
        <v>0</v>
      </c>
      <c r="AK56" s="339"/>
      <c r="AL56" s="626">
        <f t="shared" si="120"/>
        <v>1</v>
      </c>
      <c r="AM56" s="626">
        <f t="shared" si="121"/>
        <v>0</v>
      </c>
      <c r="AN56" s="625">
        <f t="shared" si="122"/>
        <v>0</v>
      </c>
      <c r="AO56" s="341"/>
      <c r="AP56" s="615">
        <f>COUNTIF('AR | Drawing List'!$H:$H,"AR-T01-5")</f>
        <v>3</v>
      </c>
      <c r="AQ56" s="616">
        <f>COUNTIFS('AR | Drawing List'!$H:$H,"AR-T01-5",'AR | Drawing List'!$J:$J,1)</f>
        <v>3</v>
      </c>
      <c r="AR56" s="616">
        <f t="shared" si="32"/>
        <v>0</v>
      </c>
      <c r="AS56" s="616">
        <f>COUNTIFS('AR | Drawing List'!$H:$H,"AR-T01-5",'AR | Drawing List'!M:M,1)</f>
        <v>0</v>
      </c>
      <c r="AT56" s="616">
        <f>COUNTIFS('AR | Drawing List'!$H:$H,"AR-T01-5",'AR | Drawing List'!N:N,1)</f>
        <v>0</v>
      </c>
      <c r="AU56" s="616">
        <f>COUNTIFS('AR | Drawing List'!$H:$H,"AR-T01-5",'AR | Drawing List'!O:O,1)</f>
        <v>0</v>
      </c>
      <c r="AV56" s="616">
        <f>COUNTIFS('AR | Drawing List'!$H:$H,"AR-T01-5",'AR | Drawing List'!P:P,1)</f>
        <v>0</v>
      </c>
      <c r="AW56" s="328"/>
      <c r="AX56" s="616">
        <f t="shared" si="123"/>
        <v>0</v>
      </c>
      <c r="AY56" s="616">
        <f>COUNTIFS('AR | Drawing List'!$H:$H,"AR-T01-5",'AR | Drawing List'!R:R,1)</f>
        <v>0</v>
      </c>
      <c r="AZ56" s="616">
        <f>COUNTIFS('AR | Drawing List'!$H:$H,"AR-T01-5",'AR | Drawing List'!S:S,1)</f>
        <v>0</v>
      </c>
      <c r="BA56" s="616">
        <f>COUNTIFS('AR | Drawing List'!$H:$H,"AR-T01-5",'AR | Drawing List'!T:T,1)</f>
        <v>0</v>
      </c>
      <c r="BB56" s="616">
        <f>COUNTIFS('AR | Drawing List'!$H:$H,"AR-T01-5",'AR | Drawing List'!U:U,1)</f>
        <v>0</v>
      </c>
      <c r="BC56" s="328"/>
      <c r="BD56" s="328"/>
      <c r="BE56" s="523">
        <v>0.05</v>
      </c>
      <c r="BF56" s="343"/>
      <c r="BG56" s="616">
        <f t="shared" si="124"/>
        <v>4.9155000000000004E-2</v>
      </c>
      <c r="BH56" s="618">
        <f t="shared" si="22"/>
        <v>4.9155000000000004E-2</v>
      </c>
      <c r="BI56" s="616">
        <f t="shared" si="125"/>
        <v>4.9155000000000004E-2</v>
      </c>
      <c r="BJ56" s="616">
        <f t="shared" si="126"/>
        <v>0</v>
      </c>
      <c r="BK56" s="616">
        <f t="shared" si="127"/>
        <v>0</v>
      </c>
      <c r="BL56" s="616">
        <f t="shared" si="128"/>
        <v>0</v>
      </c>
      <c r="BM56" s="616">
        <f t="shared" si="129"/>
        <v>0</v>
      </c>
      <c r="BN56" s="616">
        <f t="shared" si="130"/>
        <v>0</v>
      </c>
      <c r="BO56" s="348"/>
      <c r="BP56" s="615">
        <f t="shared" si="131"/>
        <v>0</v>
      </c>
      <c r="BQ56" s="615">
        <f t="shared" si="132"/>
        <v>0</v>
      </c>
      <c r="BR56" s="615">
        <f t="shared" si="133"/>
        <v>0</v>
      </c>
      <c r="BS56" s="615">
        <f t="shared" si="134"/>
        <v>0</v>
      </c>
      <c r="BT56" s="615">
        <f t="shared" si="135"/>
        <v>0</v>
      </c>
      <c r="BU56" s="339"/>
      <c r="BV56" s="635">
        <f t="shared" si="143"/>
        <v>1</v>
      </c>
      <c r="BW56" s="635">
        <f t="shared" si="144"/>
        <v>0</v>
      </c>
      <c r="BX56" s="635">
        <f t="shared" si="145"/>
        <v>0</v>
      </c>
      <c r="BY56" s="341"/>
      <c r="BZ56" s="615">
        <f>COUNTIF('ST | Drawing List'!$H:$H,"ST-T01-5")</f>
        <v>1</v>
      </c>
      <c r="CA56" s="616">
        <f>COUNTIFS('ST | Drawing List'!$H:$H,"ST-T01-5",'ST | Drawing List'!$J:$J,1)</f>
        <v>1</v>
      </c>
      <c r="CB56" s="616">
        <f>COUNTIFS('ST | Drawing List'!$H:$H,"ST-T01-5",'ST | Drawing List'!$L:$L,1)</f>
        <v>0</v>
      </c>
      <c r="CC56" s="616">
        <f>COUNTIFS('ST | Drawing List'!$H:$H,"ST-T01-5",'ST | Drawing List'!M:M,1)</f>
        <v>0</v>
      </c>
      <c r="CD56" s="616">
        <f>COUNTIFS('ST | Drawing List'!$H:$H,"ST-T01-5",'ST | Drawing List'!N:N,1)</f>
        <v>0</v>
      </c>
      <c r="CE56" s="616">
        <f>COUNTIFS('ST | Drawing List'!$H:$H,"ST-T01-5",'ST | Drawing List'!O:O,1)</f>
        <v>0</v>
      </c>
      <c r="CF56" s="616">
        <f>COUNTIFS('ST | Drawing List'!$H:$H,"ST-T01-5",'ST | Drawing List'!P:P,1)</f>
        <v>0</v>
      </c>
      <c r="CG56" s="532"/>
      <c r="CH56" s="616">
        <f>COUNTIFS('ST | Drawing List'!$H:$H,"ST-T01-5",'ST | Drawing List'!$Q:$Q,1)</f>
        <v>0</v>
      </c>
      <c r="CI56" s="616">
        <f>COUNTIFS('ST | Drawing List'!$H:$H,"ST-T01-5",'ST | Drawing List'!R:R,1)</f>
        <v>0</v>
      </c>
      <c r="CJ56" s="616">
        <f>COUNTIFS('ST | Drawing List'!$H:$H,"ST-T01-5",'ST | Drawing List'!S:S,1)</f>
        <v>0</v>
      </c>
      <c r="CK56" s="616">
        <f>COUNTIFS('ST | Drawing List'!$H:$H,"ST-T01-5",'ST | Drawing List'!T:T,1)</f>
        <v>0</v>
      </c>
      <c r="CL56" s="616">
        <f>COUNTIFS('ST | Drawing List'!$H:$H,"ST-T01-5",'ST | Drawing List'!U:U,1)</f>
        <v>0</v>
      </c>
      <c r="CM56" s="343"/>
      <c r="CN56" s="343"/>
      <c r="CO56" s="666">
        <v>0</v>
      </c>
      <c r="CP56" s="343"/>
      <c r="CQ56" s="616">
        <f t="shared" si="138"/>
        <v>0</v>
      </c>
      <c r="CR56" s="618">
        <f t="shared" si="25"/>
        <v>0</v>
      </c>
      <c r="CS56" s="616">
        <f t="shared" si="139"/>
        <v>0</v>
      </c>
      <c r="CT56" s="615">
        <f t="shared" si="146"/>
        <v>0</v>
      </c>
      <c r="CU56" s="615">
        <f t="shared" si="147"/>
        <v>0</v>
      </c>
      <c r="CV56" s="615">
        <f t="shared" si="148"/>
        <v>0</v>
      </c>
      <c r="CW56" s="615">
        <f t="shared" si="149"/>
        <v>0</v>
      </c>
      <c r="CX56" s="615">
        <f t="shared" si="150"/>
        <v>0</v>
      </c>
      <c r="CY56" s="339"/>
      <c r="CZ56" s="615">
        <f t="shared" si="151"/>
        <v>0</v>
      </c>
      <c r="DA56" s="615">
        <f t="shared" si="152"/>
        <v>0</v>
      </c>
      <c r="DB56" s="615">
        <f t="shared" si="153"/>
        <v>0</v>
      </c>
      <c r="DC56" s="615">
        <f t="shared" si="154"/>
        <v>0</v>
      </c>
      <c r="DD56" s="615">
        <f t="shared" si="155"/>
        <v>0</v>
      </c>
      <c r="DE56" s="339"/>
      <c r="DF56" s="625">
        <f t="shared" si="156"/>
        <v>0</v>
      </c>
      <c r="DG56" s="625">
        <f t="shared" si="157"/>
        <v>0</v>
      </c>
      <c r="DH56" s="625">
        <f t="shared" si="158"/>
        <v>0</v>
      </c>
      <c r="DI56" s="341"/>
      <c r="DJ56" s="615">
        <f>COUNTIF('MEP | Drawing List'!$H:$H,"MEP-T01-07-5")</f>
        <v>0</v>
      </c>
      <c r="DK56" s="616">
        <f>COUNTIFS('MEP | Drawing List'!$H:$H,"MEP-T01-07-5",'MEP | Drawing List'!$J:$J,1)</f>
        <v>0</v>
      </c>
      <c r="DL56" s="616">
        <f>COUNTIFS('MEP | Drawing List'!$H:$H,"MEP-T01-07-5",'MEP | Drawing List'!$L:$L,1)</f>
        <v>0</v>
      </c>
      <c r="DM56" s="616">
        <f>COUNTIFS('MEP | Drawing List'!$H:$H,"MEP-T01-07-5",'MEP | Drawing List'!M:M,1)</f>
        <v>0</v>
      </c>
      <c r="DN56" s="616">
        <f>COUNTIFS('MEP | Drawing List'!$H:$H,"MEP-T01-07-5",'MEP | Drawing List'!N:N,1)</f>
        <v>0</v>
      </c>
      <c r="DO56" s="616">
        <f>COUNTIFS('MEP | Drawing List'!$H:$H,"MEP-T01-07-5",'MEP | Drawing List'!O:O,1)</f>
        <v>0</v>
      </c>
      <c r="DP56" s="616">
        <f>COUNTIFS('MEP | Drawing List'!$H:$H,"MEP-T01-07-5",'MEP | Drawing List'!P:P,1)</f>
        <v>0</v>
      </c>
      <c r="DQ56" s="348"/>
      <c r="DR56" s="616">
        <f>COUNTIFS('MEP | Drawing List'!$H:$H,"MEP-T01-07-5",'MEP | Drawing List'!$Q:$Q,1)</f>
        <v>0</v>
      </c>
      <c r="DS56" s="616">
        <f>COUNTIFS('MEP | Drawing List'!$H:$H,"MEP-T01-07-5",'MEP | Drawing List'!R:R,1)</f>
        <v>0</v>
      </c>
      <c r="DT56" s="616">
        <f>COUNTIFS('MEP | Drawing List'!$H:$H,"MEP-T01-07-5",'MEP | Drawing List'!S:S,1)</f>
        <v>0</v>
      </c>
      <c r="DU56" s="616">
        <f>COUNTIFS('MEP | Drawing List'!$H:$H,"MEP-T01-07-5",'MEP | Drawing List'!T:T,1)</f>
        <v>0</v>
      </c>
      <c r="DV56" s="616">
        <f>COUNTIFS('MEP | Drawing List'!$H:$H,"MEP-T01-07-5",'MEP | Drawing List'!U:U,1)</f>
        <v>0</v>
      </c>
      <c r="DW56" s="343"/>
      <c r="DX56" s="343"/>
      <c r="DY56" s="523">
        <v>0</v>
      </c>
      <c r="DZ56" s="343"/>
      <c r="EA56" s="344"/>
      <c r="EB56" s="618">
        <f t="shared" si="28"/>
        <v>0</v>
      </c>
      <c r="EC56" s="91"/>
      <c r="ED56" s="85"/>
      <c r="EE56" s="339"/>
      <c r="EF56" s="339"/>
      <c r="EG56" s="339"/>
      <c r="EH56" s="339"/>
      <c r="EI56" s="339"/>
      <c r="EJ56" s="85"/>
      <c r="EK56" s="339"/>
      <c r="EL56" s="339"/>
      <c r="EM56" s="339"/>
      <c r="EN56" s="339"/>
      <c r="EO56" s="339"/>
      <c r="EP56" s="642"/>
      <c r="EQ56" s="642"/>
      <c r="ER56" s="642"/>
      <c r="ES56" s="82"/>
      <c r="ET56" s="615">
        <f>COUNTIF('LS | Drawing List'!$H:$H,"LS-T01-5")</f>
        <v>0</v>
      </c>
      <c r="EU56" s="616">
        <f>COUNTIFS('LS | Drawing List'!$H:$H,"LS-T01-5",'LS | Drawing List'!$J:$J,1)</f>
        <v>0</v>
      </c>
      <c r="EV56" s="616">
        <f>COUNTIFS('LS | Drawing List'!$H:$H,"LS-T01-5",'LS | Drawing List'!$L:$L,1)</f>
        <v>0</v>
      </c>
      <c r="EW56" s="616">
        <f>COUNTIFS('LS | Drawing List'!$H:$H,"LS-T01-5",'LS | Drawing List'!M:M,1)</f>
        <v>0</v>
      </c>
      <c r="EX56" s="616">
        <f>COUNTIFS('LS | Drawing List'!$H:$H,"LS-T01-5",'LS | Drawing List'!N:N,1)</f>
        <v>0</v>
      </c>
      <c r="EY56" s="616">
        <f>COUNTIFS('LS | Drawing List'!$H:$H,"LS-T01-5",'LS | Drawing List'!O:O,1)</f>
        <v>0</v>
      </c>
      <c r="EZ56" s="616">
        <f>COUNTIFS('LS | Drawing List'!$H:$H,"LS-T01-5",'LS | Drawing List'!P:P,1)</f>
        <v>0</v>
      </c>
      <c r="FA56" s="85"/>
      <c r="FB56" s="616">
        <f>COUNTIFS('LS | Drawing List'!$H:$H,"LS-T01-5",'LS | Drawing List'!$Q:$Q,1)</f>
        <v>0</v>
      </c>
      <c r="FC56" s="616">
        <f>COUNTIFS('LS | Drawing List'!$H:$H,"LS-T01-5",'LS | Drawing List'!R:R,1)</f>
        <v>0</v>
      </c>
      <c r="FD56" s="616">
        <f>COUNTIFS('LS | Drawing List'!$H:$H,"LS-T01-5",'LS | Drawing List'!S:S,1)</f>
        <v>0</v>
      </c>
      <c r="FE56" s="616">
        <f>COUNTIFS('LS | Drawing List'!$H:$H,"LS-T01-5",'LS | Drawing List'!T:T,1)</f>
        <v>0</v>
      </c>
      <c r="FF56" s="616">
        <f>COUNTIFS('LS | Drawing List'!$H:$H,"LS-T01-5",'LS | Drawing List'!U:U,1)</f>
        <v>0</v>
      </c>
      <c r="FG56" s="48"/>
    </row>
    <row r="57" spans="1:163" ht="14.25" hidden="1" outlineLevel="2">
      <c r="A57" s="48"/>
      <c r="B57" s="87" t="s">
        <v>61</v>
      </c>
      <c r="C57" s="276">
        <v>6</v>
      </c>
      <c r="D57" s="272" t="s">
        <v>62</v>
      </c>
      <c r="E57" s="48"/>
      <c r="F57" s="619">
        <f t="shared" si="82"/>
        <v>0.11063250000000002</v>
      </c>
      <c r="G57" s="619">
        <f t="shared" si="83"/>
        <v>0.11063250000000002</v>
      </c>
      <c r="H57" s="616">
        <f t="shared" si="84"/>
        <v>0</v>
      </c>
      <c r="I57" s="616">
        <f t="shared" si="85"/>
        <v>0</v>
      </c>
      <c r="J57" s="616">
        <f t="shared" si="86"/>
        <v>0</v>
      </c>
      <c r="K57" s="616">
        <f t="shared" si="87"/>
        <v>0</v>
      </c>
      <c r="L57" s="616">
        <f t="shared" si="88"/>
        <v>0</v>
      </c>
      <c r="M57" s="620">
        <f t="shared" si="89"/>
        <v>0</v>
      </c>
      <c r="N57" s="287"/>
      <c r="O57" s="615">
        <f t="shared" si="90"/>
        <v>0</v>
      </c>
      <c r="P57" s="615">
        <f t="shared" si="91"/>
        <v>0</v>
      </c>
      <c r="Q57" s="615">
        <f t="shared" si="92"/>
        <v>0</v>
      </c>
      <c r="R57" s="615">
        <f t="shared" si="93"/>
        <v>0</v>
      </c>
      <c r="S57" s="615">
        <f t="shared" si="94"/>
        <v>0</v>
      </c>
      <c r="T57" s="48"/>
      <c r="U57" s="519">
        <v>2.5000000000000001E-2</v>
      </c>
      <c r="V57" s="131"/>
      <c r="W57" s="619">
        <f t="shared" si="142"/>
        <v>6.1477500000000011E-2</v>
      </c>
      <c r="X57" s="619">
        <f t="shared" si="19"/>
        <v>6.1477500000000011E-2</v>
      </c>
      <c r="Y57" s="616">
        <f t="shared" si="109"/>
        <v>6.1477500000000011E-2</v>
      </c>
      <c r="Z57" s="616">
        <f t="shared" si="110"/>
        <v>0</v>
      </c>
      <c r="AA57" s="616">
        <f t="shared" si="111"/>
        <v>0</v>
      </c>
      <c r="AB57" s="616">
        <f t="shared" si="112"/>
        <v>0</v>
      </c>
      <c r="AC57" s="616">
        <f t="shared" si="113"/>
        <v>0</v>
      </c>
      <c r="AD57" s="620">
        <f t="shared" si="114"/>
        <v>0</v>
      </c>
      <c r="AE57" s="287"/>
      <c r="AF57" s="615">
        <f t="shared" si="115"/>
        <v>0</v>
      </c>
      <c r="AG57" s="615">
        <f t="shared" si="116"/>
        <v>0</v>
      </c>
      <c r="AH57" s="615">
        <f t="shared" si="117"/>
        <v>0</v>
      </c>
      <c r="AI57" s="615">
        <f t="shared" si="118"/>
        <v>0</v>
      </c>
      <c r="AJ57" s="615">
        <f t="shared" si="119"/>
        <v>0</v>
      </c>
      <c r="AK57" s="339"/>
      <c r="AL57" s="626">
        <f t="shared" si="120"/>
        <v>1</v>
      </c>
      <c r="AM57" s="626">
        <f t="shared" si="121"/>
        <v>0</v>
      </c>
      <c r="AN57" s="625">
        <f t="shared" si="122"/>
        <v>0</v>
      </c>
      <c r="AO57" s="341"/>
      <c r="AP57" s="615">
        <f>COUNTIF('AR | Drawing List'!$H:$H,"AR-T01-6")</f>
        <v>2</v>
      </c>
      <c r="AQ57" s="616">
        <f>COUNTIFS('AR | Drawing List'!$H:$H,"AR-T01-6",'AR | Drawing List'!$J:$J,1)</f>
        <v>2</v>
      </c>
      <c r="AR57" s="616">
        <f t="shared" si="32"/>
        <v>0</v>
      </c>
      <c r="AS57" s="616">
        <f>COUNTIFS('AR | Drawing List'!$H:$H,"AR-T01-6",'AR | Drawing List'!M:M,1)</f>
        <v>0</v>
      </c>
      <c r="AT57" s="616">
        <f>COUNTIFS('AR | Drawing List'!$H:$H,"AR-T01-6",'AR | Drawing List'!N:N,1)</f>
        <v>0</v>
      </c>
      <c r="AU57" s="616">
        <f>COUNTIFS('AR | Drawing List'!$H:$H,"AR-T01-6",'AR | Drawing List'!O:O,1)</f>
        <v>0</v>
      </c>
      <c r="AV57" s="616">
        <f>COUNTIFS('AR | Drawing List'!$H:$H,"AR-T01-6",'AR | Drawing List'!P:P,1)</f>
        <v>0</v>
      </c>
      <c r="AW57" s="328"/>
      <c r="AX57" s="616">
        <f t="shared" si="123"/>
        <v>0</v>
      </c>
      <c r="AY57" s="616">
        <f>COUNTIFS('AR | Drawing List'!$H:$H,"AR-T01-6",'AR | Drawing List'!R:R,1)</f>
        <v>0</v>
      </c>
      <c r="AZ57" s="616">
        <f>COUNTIFS('AR | Drawing List'!$H:$H,"AR-T01-6",'AR | Drawing List'!S:S,1)</f>
        <v>0</v>
      </c>
      <c r="BA57" s="616">
        <f>COUNTIFS('AR | Drawing List'!$H:$H,"AR-T01-6",'AR | Drawing List'!T:T,1)</f>
        <v>0</v>
      </c>
      <c r="BB57" s="616">
        <f>COUNTIFS('AR | Drawing List'!$H:$H,"AR-T01-6",'AR | Drawing List'!U:U,1)</f>
        <v>0</v>
      </c>
      <c r="BC57" s="328"/>
      <c r="BD57" s="328"/>
      <c r="BE57" s="523">
        <v>0.05</v>
      </c>
      <c r="BF57" s="343"/>
      <c r="BG57" s="616">
        <f t="shared" si="124"/>
        <v>4.9155000000000004E-2</v>
      </c>
      <c r="BH57" s="618">
        <f t="shared" si="22"/>
        <v>4.9155000000000004E-2</v>
      </c>
      <c r="BI57" s="616">
        <f t="shared" si="125"/>
        <v>4.9155000000000004E-2</v>
      </c>
      <c r="BJ57" s="616">
        <f t="shared" si="126"/>
        <v>0</v>
      </c>
      <c r="BK57" s="616">
        <f t="shared" si="127"/>
        <v>0</v>
      </c>
      <c r="BL57" s="616">
        <f t="shared" si="128"/>
        <v>0</v>
      </c>
      <c r="BM57" s="616">
        <f t="shared" si="129"/>
        <v>0</v>
      </c>
      <c r="BN57" s="616">
        <f t="shared" si="130"/>
        <v>0</v>
      </c>
      <c r="BO57" s="348"/>
      <c r="BP57" s="615">
        <f t="shared" si="131"/>
        <v>0</v>
      </c>
      <c r="BQ57" s="615">
        <f t="shared" si="132"/>
        <v>0</v>
      </c>
      <c r="BR57" s="615">
        <f t="shared" si="133"/>
        <v>0</v>
      </c>
      <c r="BS57" s="615">
        <f t="shared" si="134"/>
        <v>0</v>
      </c>
      <c r="BT57" s="615">
        <f t="shared" si="135"/>
        <v>0</v>
      </c>
      <c r="BU57" s="339"/>
      <c r="BV57" s="635">
        <f t="shared" si="143"/>
        <v>1</v>
      </c>
      <c r="BW57" s="635">
        <f t="shared" si="144"/>
        <v>0</v>
      </c>
      <c r="BX57" s="635">
        <f t="shared" si="145"/>
        <v>0</v>
      </c>
      <c r="BY57" s="341"/>
      <c r="BZ57" s="615">
        <f>COUNTIF('ST | Drawing List'!$H:$H,"ST-T01-6")</f>
        <v>3</v>
      </c>
      <c r="CA57" s="616">
        <f>COUNTIFS('ST | Drawing List'!$H:$H,"ST-T01-6",'ST | Drawing List'!$J:$J,1)</f>
        <v>3</v>
      </c>
      <c r="CB57" s="616">
        <f>COUNTIFS('ST | Drawing List'!$H:$H,"ST-T01-6",'ST | Drawing List'!$L:$L,1)</f>
        <v>0</v>
      </c>
      <c r="CC57" s="616">
        <f>COUNTIFS('ST | Drawing List'!$H:$H,"ST-T01-6",'ST | Drawing List'!M:M,1)</f>
        <v>0</v>
      </c>
      <c r="CD57" s="616">
        <f>COUNTIFS('ST | Drawing List'!$H:$H,"ST-T01-6",'ST | Drawing List'!N:N,1)</f>
        <v>0</v>
      </c>
      <c r="CE57" s="616">
        <f>COUNTIFS('ST | Drawing List'!$H:$H,"ST-T01-6",'ST | Drawing List'!O:O,1)</f>
        <v>0</v>
      </c>
      <c r="CF57" s="616">
        <f>COUNTIFS('ST | Drawing List'!$H:$H,"ST-T01-6",'ST | Drawing List'!P:P,1)</f>
        <v>0</v>
      </c>
      <c r="CG57" s="532"/>
      <c r="CH57" s="616">
        <f>COUNTIFS('ST | Drawing List'!$H:$H,"ST-T01-6",'ST | Drawing List'!$Q:$Q,1)</f>
        <v>0</v>
      </c>
      <c r="CI57" s="616">
        <f>COUNTIFS('ST | Drawing List'!$H:$H,"ST-T01-6",'ST | Drawing List'!R:R,1)</f>
        <v>0</v>
      </c>
      <c r="CJ57" s="616">
        <f>COUNTIFS('ST | Drawing List'!$H:$H,"ST-T01-6",'ST | Drawing List'!S:S,1)</f>
        <v>0</v>
      </c>
      <c r="CK57" s="616">
        <f>COUNTIFS('ST | Drawing List'!$H:$H,"ST-T01-6",'ST | Drawing List'!T:T,1)</f>
        <v>0</v>
      </c>
      <c r="CL57" s="616">
        <f>COUNTIFS('ST | Drawing List'!$H:$H,"ST-T01-6",'ST | Drawing List'!U:U,1)</f>
        <v>0</v>
      </c>
      <c r="CM57" s="343"/>
      <c r="CN57" s="343"/>
      <c r="CO57" s="666">
        <v>0</v>
      </c>
      <c r="CP57" s="343"/>
      <c r="CQ57" s="616">
        <f t="shared" si="138"/>
        <v>0</v>
      </c>
      <c r="CR57" s="618">
        <f t="shared" si="25"/>
        <v>0</v>
      </c>
      <c r="CS57" s="616">
        <f t="shared" si="139"/>
        <v>0</v>
      </c>
      <c r="CT57" s="615">
        <f t="shared" si="146"/>
        <v>0</v>
      </c>
      <c r="CU57" s="615">
        <f t="shared" si="147"/>
        <v>0</v>
      </c>
      <c r="CV57" s="615">
        <f t="shared" si="148"/>
        <v>0</v>
      </c>
      <c r="CW57" s="615">
        <f t="shared" si="149"/>
        <v>0</v>
      </c>
      <c r="CX57" s="615">
        <f t="shared" si="150"/>
        <v>0</v>
      </c>
      <c r="CY57" s="339"/>
      <c r="CZ57" s="615">
        <f t="shared" si="151"/>
        <v>0</v>
      </c>
      <c r="DA57" s="615">
        <f t="shared" si="152"/>
        <v>0</v>
      </c>
      <c r="DB57" s="615">
        <f t="shared" si="153"/>
        <v>0</v>
      </c>
      <c r="DC57" s="615">
        <f t="shared" si="154"/>
        <v>0</v>
      </c>
      <c r="DD57" s="615">
        <f t="shared" si="155"/>
        <v>0</v>
      </c>
      <c r="DE57" s="339"/>
      <c r="DF57" s="625">
        <f t="shared" si="156"/>
        <v>1</v>
      </c>
      <c r="DG57" s="625">
        <f t="shared" si="157"/>
        <v>0</v>
      </c>
      <c r="DH57" s="625">
        <f t="shared" si="158"/>
        <v>0</v>
      </c>
      <c r="DI57" s="341"/>
      <c r="DJ57" s="615">
        <f>COUNTIF('MEP | Drawing List'!$H:$H,"MEP-T01-07-6")</f>
        <v>1</v>
      </c>
      <c r="DK57" s="616">
        <f>COUNTIFS('MEP | Drawing List'!$H:$H,"MEP-T01-07-6",'MEP | Drawing List'!$J:$J,1)</f>
        <v>1</v>
      </c>
      <c r="DL57" s="616">
        <f>COUNTIFS('MEP | Drawing List'!$H:$H,"MEP-T01-07-6",'MEP | Drawing List'!$L:$L,1)</f>
        <v>0</v>
      </c>
      <c r="DM57" s="616">
        <f>COUNTIFS('MEP | Drawing List'!$H:$H,"MEP-T01-07-6",'MEP | Drawing List'!M:M,1)</f>
        <v>0</v>
      </c>
      <c r="DN57" s="616">
        <f>COUNTIFS('MEP | Drawing List'!$H:$H,"MEP-T01-07-6",'MEP | Drawing List'!N:N,1)</f>
        <v>0</v>
      </c>
      <c r="DO57" s="616">
        <f>COUNTIFS('MEP | Drawing List'!$H:$H,"MEP-T01-07-6",'MEP | Drawing List'!O:O,1)</f>
        <v>0</v>
      </c>
      <c r="DP57" s="616">
        <f>COUNTIFS('MEP | Drawing List'!$H:$H,"MEP-T01-07-6",'MEP | Drawing List'!P:P,1)</f>
        <v>0</v>
      </c>
      <c r="DQ57" s="348"/>
      <c r="DR57" s="616">
        <f>COUNTIFS('MEP | Drawing List'!$H:$H,"MEP-T01-07-6",'MEP | Drawing List'!$Q:$Q,1)</f>
        <v>0</v>
      </c>
      <c r="DS57" s="616">
        <f>COUNTIFS('MEP | Drawing List'!$H:$H,"MEP-T01-07-6",'MEP | Drawing List'!R:R,1)</f>
        <v>0</v>
      </c>
      <c r="DT57" s="616">
        <f>COUNTIFS('MEP | Drawing List'!$H:$H,"MEP-T01-07-6",'MEP | Drawing List'!S:S,1)</f>
        <v>0</v>
      </c>
      <c r="DU57" s="616">
        <f>COUNTIFS('MEP | Drawing List'!$H:$H,"MEP-T01-07-6",'MEP | Drawing List'!T:T,1)</f>
        <v>0</v>
      </c>
      <c r="DV57" s="616">
        <f>COUNTIFS('MEP | Drawing List'!$H:$H,"MEP-T01-07-6",'MEP | Drawing List'!U:U,1)</f>
        <v>0</v>
      </c>
      <c r="DW57" s="343"/>
      <c r="DX57" s="343"/>
      <c r="DY57" s="523">
        <v>0</v>
      </c>
      <c r="DZ57" s="343"/>
      <c r="EA57" s="344"/>
      <c r="EB57" s="618">
        <f t="shared" si="28"/>
        <v>0</v>
      </c>
      <c r="EC57" s="91"/>
      <c r="ED57" s="85"/>
      <c r="EE57" s="339"/>
      <c r="EF57" s="339"/>
      <c r="EG57" s="339"/>
      <c r="EH57" s="339"/>
      <c r="EI57" s="339"/>
      <c r="EJ57" s="85"/>
      <c r="EK57" s="339"/>
      <c r="EL57" s="339"/>
      <c r="EM57" s="339"/>
      <c r="EN57" s="339"/>
      <c r="EO57" s="339"/>
      <c r="EP57" s="642"/>
      <c r="EQ57" s="642"/>
      <c r="ER57" s="642"/>
      <c r="ES57" s="82"/>
      <c r="ET57" s="615">
        <f>COUNTIF('LS | Drawing List'!$H:$H,"LS-T01-6")</f>
        <v>0</v>
      </c>
      <c r="EU57" s="616">
        <f>COUNTIFS('LS | Drawing List'!$H:$H,"LS-T01-6",'LS | Drawing List'!$J:$J,1)</f>
        <v>0</v>
      </c>
      <c r="EV57" s="616">
        <f>COUNTIFS('LS | Drawing List'!$H:$H,"LS-T01-6",'LS | Drawing List'!$L:$L,1)</f>
        <v>0</v>
      </c>
      <c r="EW57" s="616">
        <f>COUNTIFS('LS | Drawing List'!$H:$H,"LS-T01-6",'LS | Drawing List'!M:M,1)</f>
        <v>0</v>
      </c>
      <c r="EX57" s="616">
        <f>COUNTIFS('LS | Drawing List'!$H:$H,"LS-T01-6",'LS | Drawing List'!N:N,1)</f>
        <v>0</v>
      </c>
      <c r="EY57" s="616">
        <f>COUNTIFS('LS | Drawing List'!$H:$H,"LS-T01-6",'LS | Drawing List'!O:O,1)</f>
        <v>0</v>
      </c>
      <c r="EZ57" s="616">
        <f>COUNTIFS('LS | Drawing List'!$H:$H,"LS-T01-6",'LS | Drawing List'!P:P,1)</f>
        <v>0</v>
      </c>
      <c r="FA57" s="85"/>
      <c r="FB57" s="616">
        <f>COUNTIFS('LS | Drawing List'!$H:$H,"LS-T01-6",'LS | Drawing List'!$Q:$Q,1)</f>
        <v>0</v>
      </c>
      <c r="FC57" s="616">
        <f>COUNTIFS('LS | Drawing List'!$H:$H,"LS-T01-6",'LS | Drawing List'!R:R,1)</f>
        <v>0</v>
      </c>
      <c r="FD57" s="616">
        <f>COUNTIFS('LS | Drawing List'!$H:$H,"LS-T01-6",'LS | Drawing List'!S:S,1)</f>
        <v>0</v>
      </c>
      <c r="FE57" s="616">
        <f>COUNTIFS('LS | Drawing List'!$H:$H,"LS-T01-6",'LS | Drawing List'!T:T,1)</f>
        <v>0</v>
      </c>
      <c r="FF57" s="616">
        <f>COUNTIFS('LS | Drawing List'!$H:$H,"LS-T01-6",'LS | Drawing List'!U:U,1)</f>
        <v>0</v>
      </c>
      <c r="FG57" s="48"/>
    </row>
    <row r="58" spans="1:163" s="95" customFormat="1" ht="14.25" hidden="1" outlineLevel="2">
      <c r="A58" s="89"/>
      <c r="B58" s="87" t="s">
        <v>63</v>
      </c>
      <c r="C58" s="277">
        <v>7</v>
      </c>
      <c r="D58" s="273" t="s">
        <v>64</v>
      </c>
      <c r="E58" s="89"/>
      <c r="F58" s="628">
        <f t="shared" si="82"/>
        <v>0.26181600000000005</v>
      </c>
      <c r="G58" s="628">
        <f t="shared" si="83"/>
        <v>0.26181600000000005</v>
      </c>
      <c r="H58" s="620">
        <f t="shared" si="84"/>
        <v>0</v>
      </c>
      <c r="I58" s="620">
        <f t="shared" si="85"/>
        <v>0</v>
      </c>
      <c r="J58" s="621">
        <f t="shared" si="86"/>
        <v>0</v>
      </c>
      <c r="K58" s="615">
        <f t="shared" si="87"/>
        <v>0</v>
      </c>
      <c r="L58" s="615">
        <f t="shared" si="88"/>
        <v>0</v>
      </c>
      <c r="M58" s="620">
        <f t="shared" si="89"/>
        <v>0</v>
      </c>
      <c r="N58" s="287"/>
      <c r="O58" s="615">
        <f t="shared" si="90"/>
        <v>0</v>
      </c>
      <c r="P58" s="615">
        <f t="shared" si="91"/>
        <v>0</v>
      </c>
      <c r="Q58" s="615">
        <f t="shared" si="92"/>
        <v>0</v>
      </c>
      <c r="R58" s="615">
        <f t="shared" si="93"/>
        <v>0</v>
      </c>
      <c r="S58" s="615">
        <f t="shared" si="94"/>
        <v>0</v>
      </c>
      <c r="T58" s="89"/>
      <c r="U58" s="552">
        <v>0.1</v>
      </c>
      <c r="V58" s="133"/>
      <c r="W58" s="628">
        <f t="shared" si="142"/>
        <v>0.24591000000000005</v>
      </c>
      <c r="X58" s="628">
        <f t="shared" si="19"/>
        <v>0.24591000000000005</v>
      </c>
      <c r="Y58" s="620">
        <f t="shared" si="109"/>
        <v>0.24591000000000005</v>
      </c>
      <c r="Z58" s="620">
        <f t="shared" si="110"/>
        <v>0</v>
      </c>
      <c r="AA58" s="621">
        <f t="shared" si="111"/>
        <v>0</v>
      </c>
      <c r="AB58" s="615">
        <f t="shared" si="112"/>
        <v>0</v>
      </c>
      <c r="AC58" s="615">
        <f t="shared" si="113"/>
        <v>0</v>
      </c>
      <c r="AD58" s="620">
        <f t="shared" si="114"/>
        <v>0</v>
      </c>
      <c r="AE58" s="287"/>
      <c r="AF58" s="615">
        <f t="shared" si="115"/>
        <v>0</v>
      </c>
      <c r="AG58" s="615">
        <f t="shared" si="116"/>
        <v>0</v>
      </c>
      <c r="AH58" s="615">
        <f t="shared" si="117"/>
        <v>0</v>
      </c>
      <c r="AI58" s="615">
        <f t="shared" si="118"/>
        <v>0</v>
      </c>
      <c r="AJ58" s="615">
        <f t="shared" si="119"/>
        <v>0</v>
      </c>
      <c r="AK58" s="339"/>
      <c r="AL58" s="627">
        <f t="shared" si="120"/>
        <v>1</v>
      </c>
      <c r="AM58" s="627">
        <f t="shared" si="121"/>
        <v>0</v>
      </c>
      <c r="AN58" s="625">
        <f t="shared" si="122"/>
        <v>0</v>
      </c>
      <c r="AO58" s="364"/>
      <c r="AP58" s="620">
        <f>COUNTIF('AR | Drawing List'!$H:$H,"AR-T01-7")</f>
        <v>12</v>
      </c>
      <c r="AQ58" s="621">
        <f>COUNTIFS('AR | Drawing List'!$H:$H,"AR-T01-7",'AR | Drawing List'!$J:$J,1)</f>
        <v>12</v>
      </c>
      <c r="AR58" s="621">
        <f t="shared" si="32"/>
        <v>0</v>
      </c>
      <c r="AS58" s="621">
        <f>COUNTIFS('AR | Drawing List'!$H:$H,"AR-T01-7",'AR | Drawing List'!M:M,1)</f>
        <v>0</v>
      </c>
      <c r="AT58" s="621">
        <f>COUNTIFS('AR | Drawing List'!$H:$H,"AR-T01-7",'AR | Drawing List'!N:N,1)</f>
        <v>0</v>
      </c>
      <c r="AU58" s="621">
        <f>COUNTIFS('AR | Drawing List'!$H:$H,"AR-T01-7",'AR | Drawing List'!O:O,1)</f>
        <v>0</v>
      </c>
      <c r="AV58" s="621">
        <f>COUNTIFS('AR | Drawing List'!$H:$H,"AR-T01-7",'AR | Drawing List'!P:P,1)</f>
        <v>0</v>
      </c>
      <c r="AW58" s="366"/>
      <c r="AX58" s="621">
        <f t="shared" si="123"/>
        <v>0</v>
      </c>
      <c r="AY58" s="621">
        <f>COUNTIFS('AR | Drawing List'!$H:$H,"AR-T01-7",'AR | Drawing List'!R:R,1)</f>
        <v>0</v>
      </c>
      <c r="AZ58" s="621">
        <f>COUNTIFS('AR | Drawing List'!$H:$H,"AR-T01-7",'AR | Drawing List'!S:S,1)</f>
        <v>0</v>
      </c>
      <c r="BA58" s="621">
        <f>COUNTIFS('AR | Drawing List'!$H:$H,"AR-T01-7",'AR | Drawing List'!T:T,1)</f>
        <v>0</v>
      </c>
      <c r="BB58" s="621">
        <f>COUNTIFS('AR | Drawing List'!$H:$H,"AR-T01-7",'AR | Drawing List'!U:U,1)</f>
        <v>0</v>
      </c>
      <c r="BC58" s="366"/>
      <c r="BD58" s="366"/>
      <c r="BE58" s="666">
        <v>0</v>
      </c>
      <c r="BF58" s="368"/>
      <c r="BG58" s="621">
        <f t="shared" si="124"/>
        <v>0</v>
      </c>
      <c r="BH58" s="622">
        <f t="shared" si="22"/>
        <v>0</v>
      </c>
      <c r="BI58" s="620">
        <f t="shared" si="125"/>
        <v>0</v>
      </c>
      <c r="BJ58" s="620">
        <f t="shared" si="126"/>
        <v>0</v>
      </c>
      <c r="BK58" s="615">
        <f t="shared" si="127"/>
        <v>0</v>
      </c>
      <c r="BL58" s="615">
        <f t="shared" si="128"/>
        <v>0</v>
      </c>
      <c r="BM58" s="615">
        <f t="shared" si="129"/>
        <v>0</v>
      </c>
      <c r="BN58" s="615">
        <f t="shared" si="130"/>
        <v>0</v>
      </c>
      <c r="BO58" s="339"/>
      <c r="BP58" s="615">
        <f t="shared" si="131"/>
        <v>0</v>
      </c>
      <c r="BQ58" s="615">
        <f t="shared" si="132"/>
        <v>0</v>
      </c>
      <c r="BR58" s="615">
        <f t="shared" si="133"/>
        <v>0</v>
      </c>
      <c r="BS58" s="615">
        <f t="shared" si="134"/>
        <v>0</v>
      </c>
      <c r="BT58" s="615">
        <f t="shared" si="135"/>
        <v>0</v>
      </c>
      <c r="BU58" s="339"/>
      <c r="BV58" s="635">
        <f t="shared" si="143"/>
        <v>0</v>
      </c>
      <c r="BW58" s="635">
        <f t="shared" si="144"/>
        <v>0</v>
      </c>
      <c r="BX58" s="635">
        <f t="shared" si="145"/>
        <v>0</v>
      </c>
      <c r="BY58" s="364"/>
      <c r="BZ58" s="620">
        <f>COUNTIF('ST | Drawing List'!$H:$H,"ST-T01-7")</f>
        <v>0</v>
      </c>
      <c r="CA58" s="621">
        <f>COUNTIFS('ST | Drawing List'!$H:$H,"ST-T01-7",'ST | Drawing List'!$J:$J,1)</f>
        <v>0</v>
      </c>
      <c r="CB58" s="624">
        <f>COUNTIFS('ST | Drawing List'!$H:$H,"ST-T01-7",'ST | Drawing List'!$L:$L,1)</f>
        <v>0</v>
      </c>
      <c r="CC58" s="621">
        <f>COUNTIFS('ST | Drawing List'!$H:$H,"ST-T01-7",'ST | Drawing List'!M:M,1)</f>
        <v>0</v>
      </c>
      <c r="CD58" s="621">
        <f>COUNTIFS('ST | Drawing List'!$H:$H,"ST-T01-7",'ST | Drawing List'!N:N,1)</f>
        <v>0</v>
      </c>
      <c r="CE58" s="621">
        <f>COUNTIFS('ST | Drawing List'!$H:$H,"ST-T01-7",'ST | Drawing List'!O:O,1)</f>
        <v>0</v>
      </c>
      <c r="CF58" s="621">
        <f>COUNTIFS('ST | Drawing List'!$H:$H,"ST-T01-7",'ST | Drawing List'!P:P,1)</f>
        <v>0</v>
      </c>
      <c r="CG58" s="541"/>
      <c r="CH58" s="624">
        <f>COUNTIFS('ST | Drawing List'!$H:$H,"ST-T01-7",'ST | Drawing List'!$Q:$Q,1)</f>
        <v>0</v>
      </c>
      <c r="CI58" s="621">
        <f>COUNTIFS('ST | Drawing List'!$H:$H,"ST-T01-7",'ST | Drawing List'!R:R,1)</f>
        <v>0</v>
      </c>
      <c r="CJ58" s="621">
        <f>COUNTIFS('ST | Drawing List'!$H:$H,"ST-T01-7",'ST | Drawing List'!S:S,1)</f>
        <v>0</v>
      </c>
      <c r="CK58" s="621">
        <f>COUNTIFS('ST | Drawing List'!$H:$H,"ST-T01-7",'ST | Drawing List'!T:T,1)</f>
        <v>0</v>
      </c>
      <c r="CL58" s="621">
        <f>COUNTIFS('ST | Drawing List'!$H:$H,"ST-T01-7",'ST | Drawing List'!U:U,1)</f>
        <v>0</v>
      </c>
      <c r="CM58" s="368"/>
      <c r="CN58" s="368"/>
      <c r="CO58" s="554">
        <v>0.1</v>
      </c>
      <c r="CP58" s="368"/>
      <c r="CQ58" s="621">
        <f t="shared" si="138"/>
        <v>1.5906E-2</v>
      </c>
      <c r="CR58" s="622">
        <f t="shared" si="25"/>
        <v>1.5906E-2</v>
      </c>
      <c r="CS58" s="620">
        <f t="shared" si="139"/>
        <v>1.5906E-2</v>
      </c>
      <c r="CT58" s="615">
        <f t="shared" si="146"/>
        <v>0</v>
      </c>
      <c r="CU58" s="615">
        <f t="shared" si="147"/>
        <v>0</v>
      </c>
      <c r="CV58" s="615">
        <f t="shared" si="148"/>
        <v>0</v>
      </c>
      <c r="CW58" s="615">
        <f t="shared" si="149"/>
        <v>0</v>
      </c>
      <c r="CX58" s="615">
        <f t="shared" si="150"/>
        <v>0</v>
      </c>
      <c r="CY58" s="339"/>
      <c r="CZ58" s="615">
        <f t="shared" si="151"/>
        <v>0</v>
      </c>
      <c r="DA58" s="615">
        <f t="shared" si="152"/>
        <v>0</v>
      </c>
      <c r="DB58" s="615">
        <f t="shared" si="153"/>
        <v>0</v>
      </c>
      <c r="DC58" s="615">
        <f t="shared" si="154"/>
        <v>0</v>
      </c>
      <c r="DD58" s="615">
        <f t="shared" si="155"/>
        <v>0</v>
      </c>
      <c r="DE58" s="339"/>
      <c r="DF58" s="625">
        <f t="shared" si="156"/>
        <v>1</v>
      </c>
      <c r="DG58" s="625">
        <f t="shared" si="157"/>
        <v>0</v>
      </c>
      <c r="DH58" s="625">
        <f t="shared" si="158"/>
        <v>0</v>
      </c>
      <c r="DI58" s="364"/>
      <c r="DJ58" s="620">
        <f>COUNTIF('MEP | Drawing List'!$H:$H,"MEP-T01-07-7")</f>
        <v>6</v>
      </c>
      <c r="DK58" s="621">
        <f>COUNTIFS('MEP | Drawing List'!$H:$H,"MEP-T01-07-7",'MEP | Drawing List'!$J:$J,1)</f>
        <v>6</v>
      </c>
      <c r="DL58" s="621">
        <f>COUNTIFS('MEP | Drawing List'!$H:$H,"MEP-T01-07-7",'MEP | Drawing List'!$L:$L,1)</f>
        <v>0</v>
      </c>
      <c r="DM58" s="620">
        <f>COUNTIFS('MEP | Drawing List'!$H:$H,"MEP-T01-07-7",'MEP | Drawing List'!M:M,1)</f>
        <v>0</v>
      </c>
      <c r="DN58" s="620">
        <f>COUNTIFS('MEP | Drawing List'!$H:$H,"MEP-T01-07-7",'MEP | Drawing List'!N:N,1)</f>
        <v>0</v>
      </c>
      <c r="DO58" s="620">
        <f>COUNTIFS('MEP | Drawing List'!$H:$H,"MEP-T01-07-7",'MEP | Drawing List'!O:O,1)</f>
        <v>0</v>
      </c>
      <c r="DP58" s="620">
        <f>COUNTIFS('MEP | Drawing List'!$H:$H,"MEP-T01-07-7",'MEP | Drawing List'!P:P,1)</f>
        <v>0</v>
      </c>
      <c r="DQ58" s="287"/>
      <c r="DR58" s="621">
        <f>COUNTIFS('MEP | Drawing List'!$H:$H,"MEP-T01-07-7",'MEP | Drawing List'!$Q:$Q,1)</f>
        <v>0</v>
      </c>
      <c r="DS58" s="620">
        <f>COUNTIFS('MEP | Drawing List'!$H:$H,"MEP-T01-07-7",'MEP | Drawing List'!R:R,1)</f>
        <v>0</v>
      </c>
      <c r="DT58" s="620">
        <f>COUNTIFS('MEP | Drawing List'!$H:$H,"MEP-T01-07-7",'MEP | Drawing List'!S:S,1)</f>
        <v>0</v>
      </c>
      <c r="DU58" s="620">
        <f>COUNTIFS('MEP | Drawing List'!$H:$H,"MEP-T01-07-7",'MEP | Drawing List'!T:T,1)</f>
        <v>0</v>
      </c>
      <c r="DV58" s="620">
        <f>COUNTIFS('MEP | Drawing List'!$H:$H,"MEP-T01-07-7",'MEP | Drawing List'!U:U,1)</f>
        <v>0</v>
      </c>
      <c r="DW58" s="368"/>
      <c r="DX58" s="368"/>
      <c r="DY58" s="554">
        <v>0</v>
      </c>
      <c r="DZ58" s="368"/>
      <c r="EA58" s="344"/>
      <c r="EB58" s="622">
        <f t="shared" si="28"/>
        <v>0</v>
      </c>
      <c r="EC58" s="91"/>
      <c r="ED58" s="91"/>
      <c r="EE58" s="339"/>
      <c r="EF58" s="339"/>
      <c r="EG58" s="339"/>
      <c r="EH58" s="339"/>
      <c r="EI58" s="339"/>
      <c r="EJ58" s="91"/>
      <c r="EK58" s="339"/>
      <c r="EL58" s="339"/>
      <c r="EM58" s="339"/>
      <c r="EN58" s="339"/>
      <c r="EO58" s="339"/>
      <c r="EP58" s="103"/>
      <c r="EQ58" s="103"/>
      <c r="ER58" s="103"/>
      <c r="ES58" s="92"/>
      <c r="ET58" s="620">
        <f>COUNTIF('LS | Drawing List'!$H:$H,"LS-T01-7")</f>
        <v>0</v>
      </c>
      <c r="EU58" s="621">
        <f>COUNTIFS('LS | Drawing List'!$H:$H,"LS-T01-7",'LS | Drawing List'!$J:$J,1)</f>
        <v>0</v>
      </c>
      <c r="EV58" s="621">
        <f>COUNTIFS('LS | Drawing List'!$H:$H,"LS-T01-7",'LS | Drawing List'!$L:$L,1)</f>
        <v>0</v>
      </c>
      <c r="EW58" s="620">
        <f>COUNTIFS('LS | Drawing List'!$H:$H,"LS-T01-7",'LS | Drawing List'!M:M,1)</f>
        <v>0</v>
      </c>
      <c r="EX58" s="620">
        <f>COUNTIFS('LS | Drawing List'!$H:$H,"LS-T01-7",'LS | Drawing List'!N:N,1)</f>
        <v>0</v>
      </c>
      <c r="EY58" s="620">
        <f>COUNTIFS('LS | Drawing List'!$H:$H,"LS-T01-7",'LS | Drawing List'!O:O,1)</f>
        <v>0</v>
      </c>
      <c r="EZ58" s="620">
        <f>COUNTIFS('LS | Drawing List'!$H:$H,"LS-T01-7",'LS | Drawing List'!P:P,1)</f>
        <v>0</v>
      </c>
      <c r="FA58" s="91"/>
      <c r="FB58" s="621">
        <f>COUNTIFS('LS | Drawing List'!$H:$H,"LS-T01-7",'LS | Drawing List'!$Q:$Q,1)</f>
        <v>0</v>
      </c>
      <c r="FC58" s="620">
        <f>COUNTIFS('LS | Drawing List'!$H:$H,"LS-T01-7",'LS | Drawing List'!R:R,1)</f>
        <v>0</v>
      </c>
      <c r="FD58" s="620">
        <f>COUNTIFS('LS | Drawing List'!$H:$H,"LS-T01-7",'LS | Drawing List'!S:S,1)</f>
        <v>0</v>
      </c>
      <c r="FE58" s="620">
        <f>COUNTIFS('LS | Drawing List'!$H:$H,"LS-T01-7",'LS | Drawing List'!T:T,1)</f>
        <v>0</v>
      </c>
      <c r="FF58" s="620">
        <f>COUNTIFS('LS | Drawing List'!$H:$H,"LS-T01-7",'LS | Drawing List'!U:U,1)</f>
        <v>0</v>
      </c>
      <c r="FG58" s="89"/>
    </row>
    <row r="59" spans="1:163" ht="14.25" hidden="1" outlineLevel="2">
      <c r="A59" s="48"/>
      <c r="B59" s="87" t="s">
        <v>66</v>
      </c>
      <c r="C59" s="276">
        <v>8</v>
      </c>
      <c r="D59" s="272" t="s">
        <v>67</v>
      </c>
      <c r="E59" s="48"/>
      <c r="F59" s="619">
        <f t="shared" si="82"/>
        <v>0.19596900000000003</v>
      </c>
      <c r="G59" s="619">
        <f t="shared" si="83"/>
        <v>0.19596900000000003</v>
      </c>
      <c r="H59" s="615">
        <f t="shared" si="84"/>
        <v>0</v>
      </c>
      <c r="I59" s="615">
        <f t="shared" si="85"/>
        <v>0</v>
      </c>
      <c r="J59" s="615">
        <f t="shared" si="86"/>
        <v>0</v>
      </c>
      <c r="K59" s="615">
        <f t="shared" si="87"/>
        <v>0</v>
      </c>
      <c r="L59" s="615">
        <f t="shared" si="88"/>
        <v>0</v>
      </c>
      <c r="M59" s="620">
        <f t="shared" si="89"/>
        <v>0</v>
      </c>
      <c r="N59" s="287"/>
      <c r="O59" s="615">
        <f t="shared" si="90"/>
        <v>0</v>
      </c>
      <c r="P59" s="615">
        <f t="shared" si="91"/>
        <v>0</v>
      </c>
      <c r="Q59" s="615">
        <f t="shared" si="92"/>
        <v>0</v>
      </c>
      <c r="R59" s="615">
        <f t="shared" si="93"/>
        <v>0</v>
      </c>
      <c r="S59" s="615">
        <f t="shared" si="94"/>
        <v>0</v>
      </c>
      <c r="T59" s="48"/>
      <c r="U59" s="519">
        <v>0.05</v>
      </c>
      <c r="V59" s="131"/>
      <c r="W59" s="619">
        <f t="shared" si="142"/>
        <v>0.12295500000000002</v>
      </c>
      <c r="X59" s="619">
        <f t="shared" si="19"/>
        <v>0.12295500000000002</v>
      </c>
      <c r="Y59" s="615">
        <f t="shared" si="109"/>
        <v>0.12295500000000002</v>
      </c>
      <c r="Z59" s="615">
        <f t="shared" si="110"/>
        <v>0</v>
      </c>
      <c r="AA59" s="615">
        <f t="shared" si="111"/>
        <v>0</v>
      </c>
      <c r="AB59" s="615">
        <f t="shared" si="112"/>
        <v>0</v>
      </c>
      <c r="AC59" s="615">
        <f t="shared" si="113"/>
        <v>0</v>
      </c>
      <c r="AD59" s="620">
        <f t="shared" si="114"/>
        <v>0</v>
      </c>
      <c r="AE59" s="287"/>
      <c r="AF59" s="615">
        <f t="shared" si="115"/>
        <v>0</v>
      </c>
      <c r="AG59" s="615">
        <f t="shared" si="116"/>
        <v>0</v>
      </c>
      <c r="AH59" s="615">
        <f t="shared" si="117"/>
        <v>0</v>
      </c>
      <c r="AI59" s="615">
        <f t="shared" si="118"/>
        <v>0</v>
      </c>
      <c r="AJ59" s="615">
        <f t="shared" si="119"/>
        <v>0</v>
      </c>
      <c r="AK59" s="339"/>
      <c r="AL59" s="625">
        <f t="shared" si="120"/>
        <v>1</v>
      </c>
      <c r="AM59" s="625">
        <f t="shared" si="121"/>
        <v>0</v>
      </c>
      <c r="AN59" s="625">
        <f t="shared" si="122"/>
        <v>0</v>
      </c>
      <c r="AO59" s="341"/>
      <c r="AP59" s="615">
        <f>COUNTIF('AR | Drawing List'!$H:$H,"AR-T01-8")</f>
        <v>3</v>
      </c>
      <c r="AQ59" s="616">
        <f>COUNTIFS('AR | Drawing List'!$H:$H,"AR-T01-8",'AR | Drawing List'!$J:$J,1)</f>
        <v>3</v>
      </c>
      <c r="AR59" s="616">
        <f t="shared" si="32"/>
        <v>0</v>
      </c>
      <c r="AS59" s="616">
        <f>COUNTIFS('AR | Drawing List'!$H:$H,"AR-T01-8",'AR | Drawing List'!M:M,1)</f>
        <v>0</v>
      </c>
      <c r="AT59" s="616">
        <f>COUNTIFS('AR | Drawing List'!$H:$H,"AR-T01-8",'AR | Drawing List'!N:N,1)</f>
        <v>0</v>
      </c>
      <c r="AU59" s="616">
        <f>COUNTIFS('AR | Drawing List'!$H:$H,"AR-T01-8",'AR | Drawing List'!O:O,1)</f>
        <v>0</v>
      </c>
      <c r="AV59" s="616">
        <f>COUNTIFS('AR | Drawing List'!$H:$H,"AR-T01-8",'AR | Drawing List'!P:P,1)</f>
        <v>0</v>
      </c>
      <c r="AW59" s="328"/>
      <c r="AX59" s="616">
        <f t="shared" si="123"/>
        <v>0</v>
      </c>
      <c r="AY59" s="616">
        <f>COUNTIFS('AR | Drawing List'!$H:$H,"AR-T01-8",'AR | Drawing List'!R:R,1)</f>
        <v>0</v>
      </c>
      <c r="AZ59" s="616">
        <f>COUNTIFS('AR | Drawing List'!$H:$H,"AR-T01-8",'AR | Drawing List'!S:S,1)</f>
        <v>0</v>
      </c>
      <c r="BA59" s="616">
        <f>COUNTIFS('AR | Drawing List'!$H:$H,"AR-T01-8",'AR | Drawing List'!T:T,1)</f>
        <v>0</v>
      </c>
      <c r="BB59" s="616">
        <f>COUNTIFS('AR | Drawing List'!$H:$H,"AR-T01-8",'AR | Drawing List'!U:U,1)</f>
        <v>0</v>
      </c>
      <c r="BC59" s="328"/>
      <c r="BD59" s="328"/>
      <c r="BE59" s="525">
        <v>0.05</v>
      </c>
      <c r="BF59" s="343"/>
      <c r="BG59" s="616">
        <f t="shared" si="124"/>
        <v>4.9155000000000004E-2</v>
      </c>
      <c r="BH59" s="618">
        <f t="shared" si="22"/>
        <v>4.9155000000000004E-2</v>
      </c>
      <c r="BI59" s="615">
        <f t="shared" si="125"/>
        <v>4.9155000000000004E-2</v>
      </c>
      <c r="BJ59" s="615">
        <f t="shared" si="126"/>
        <v>0</v>
      </c>
      <c r="BK59" s="615">
        <f t="shared" si="127"/>
        <v>0</v>
      </c>
      <c r="BL59" s="615">
        <f t="shared" si="128"/>
        <v>0</v>
      </c>
      <c r="BM59" s="615">
        <f t="shared" si="129"/>
        <v>0</v>
      </c>
      <c r="BN59" s="615">
        <f t="shared" si="130"/>
        <v>0</v>
      </c>
      <c r="BO59" s="339"/>
      <c r="BP59" s="615">
        <f t="shared" si="131"/>
        <v>0</v>
      </c>
      <c r="BQ59" s="615">
        <f t="shared" si="132"/>
        <v>0</v>
      </c>
      <c r="BR59" s="615">
        <f t="shared" si="133"/>
        <v>0</v>
      </c>
      <c r="BS59" s="615">
        <f t="shared" si="134"/>
        <v>0</v>
      </c>
      <c r="BT59" s="615">
        <f t="shared" si="135"/>
        <v>0</v>
      </c>
      <c r="BU59" s="339"/>
      <c r="BV59" s="635">
        <f t="shared" si="143"/>
        <v>1</v>
      </c>
      <c r="BW59" s="635">
        <f t="shared" si="144"/>
        <v>0</v>
      </c>
      <c r="BX59" s="635">
        <f t="shared" si="145"/>
        <v>0</v>
      </c>
      <c r="BY59" s="341"/>
      <c r="BZ59" s="615">
        <f>COUNTIF('ST | Drawing List'!$H:$H,"ST-T01-8")</f>
        <v>14</v>
      </c>
      <c r="CA59" s="616">
        <f>COUNTIFS('ST | Drawing List'!$H:$H,"ST-T01-8",'ST | Drawing List'!$J:$J,1)</f>
        <v>14</v>
      </c>
      <c r="CB59" s="623">
        <f>COUNTIFS('ST | Drawing List'!$H:$H,"ST-T01-8",'ST | Drawing List'!$L:$L,1)</f>
        <v>0</v>
      </c>
      <c r="CC59" s="616">
        <f>COUNTIFS('ST | Drawing List'!$H:$H,"ST-T01-8",'ST | Drawing List'!M:M,1)</f>
        <v>0</v>
      </c>
      <c r="CD59" s="616">
        <f>COUNTIFS('ST | Drawing List'!$H:$H,"ST-T01-8",'ST | Drawing List'!N:N,1)</f>
        <v>0</v>
      </c>
      <c r="CE59" s="616">
        <f>COUNTIFS('ST | Drawing List'!$H:$H,"ST-T01-8",'ST | Drawing List'!O:O,1)</f>
        <v>0</v>
      </c>
      <c r="CF59" s="616">
        <f>COUNTIFS('ST | Drawing List'!$H:$H,"ST-T01-8",'ST | Drawing List'!P:P,1)</f>
        <v>0</v>
      </c>
      <c r="CG59" s="532"/>
      <c r="CH59" s="623">
        <f>COUNTIFS('ST | Drawing List'!$H:$H,"ST-T01-8",'ST | Drawing List'!$Q:$Q,1)</f>
        <v>0</v>
      </c>
      <c r="CI59" s="616">
        <f>COUNTIFS('ST | Drawing List'!$H:$H,"ST-T01-8",'ST | Drawing List'!R:R,1)</f>
        <v>0</v>
      </c>
      <c r="CJ59" s="616">
        <f>COUNTIFS('ST | Drawing List'!$H:$H,"ST-T01-8",'ST | Drawing List'!S:S,1)</f>
        <v>0</v>
      </c>
      <c r="CK59" s="616">
        <f>COUNTIFS('ST | Drawing List'!$H:$H,"ST-T01-8",'ST | Drawing List'!T:T,1)</f>
        <v>0</v>
      </c>
      <c r="CL59" s="616">
        <f>COUNTIFS('ST | Drawing List'!$H:$H,"ST-T01-8",'ST | Drawing List'!U:U,1)</f>
        <v>0</v>
      </c>
      <c r="CM59" s="343"/>
      <c r="CN59" s="343"/>
      <c r="CO59" s="667">
        <v>0.15</v>
      </c>
      <c r="CP59" s="343"/>
      <c r="CQ59" s="616">
        <f t="shared" si="138"/>
        <v>2.3859000000000002E-2</v>
      </c>
      <c r="CR59" s="618">
        <f t="shared" si="25"/>
        <v>2.3859000000000002E-2</v>
      </c>
      <c r="CS59" s="615">
        <f t="shared" si="139"/>
        <v>2.3859000000000002E-2</v>
      </c>
      <c r="CT59" s="615">
        <f t="shared" si="146"/>
        <v>0</v>
      </c>
      <c r="CU59" s="615">
        <f t="shared" si="147"/>
        <v>0</v>
      </c>
      <c r="CV59" s="615">
        <f t="shared" si="148"/>
        <v>0</v>
      </c>
      <c r="CW59" s="615">
        <f t="shared" si="149"/>
        <v>0</v>
      </c>
      <c r="CX59" s="615">
        <f t="shared" si="150"/>
        <v>0</v>
      </c>
      <c r="CY59" s="339"/>
      <c r="CZ59" s="615">
        <f t="shared" si="151"/>
        <v>0</v>
      </c>
      <c r="DA59" s="615">
        <f t="shared" si="152"/>
        <v>0</v>
      </c>
      <c r="DB59" s="615">
        <f t="shared" si="153"/>
        <v>0</v>
      </c>
      <c r="DC59" s="615">
        <f t="shared" si="154"/>
        <v>0</v>
      </c>
      <c r="DD59" s="615">
        <f t="shared" si="155"/>
        <v>0</v>
      </c>
      <c r="DE59" s="339"/>
      <c r="DF59" s="625">
        <f t="shared" si="156"/>
        <v>1</v>
      </c>
      <c r="DG59" s="625">
        <f t="shared" si="157"/>
        <v>0</v>
      </c>
      <c r="DH59" s="625">
        <f t="shared" si="158"/>
        <v>0</v>
      </c>
      <c r="DI59" s="341"/>
      <c r="DJ59" s="615">
        <f>COUNTIF('MEP | Drawing List'!$H:$H,"MEP-T01-07-8")</f>
        <v>13</v>
      </c>
      <c r="DK59" s="616">
        <f>COUNTIFS('MEP | Drawing List'!$H:$H,"MEP-T01-07-8",'MEP | Drawing List'!$J:$J,1)</f>
        <v>13</v>
      </c>
      <c r="DL59" s="616">
        <f>COUNTIFS('MEP | Drawing List'!$H:$H,"MEP-T01-07-8",'MEP | Drawing List'!$L:$L,1)</f>
        <v>0</v>
      </c>
      <c r="DM59" s="615">
        <f>COUNTIFS('MEP | Drawing List'!$H:$H,"MEP-T01-07-8",'MEP | Drawing List'!M:M,1)</f>
        <v>0</v>
      </c>
      <c r="DN59" s="615">
        <f>COUNTIFS('MEP | Drawing List'!$H:$H,"MEP-T01-07-8",'MEP | Drawing List'!N:N,1)</f>
        <v>0</v>
      </c>
      <c r="DO59" s="615">
        <f>COUNTIFS('MEP | Drawing List'!$H:$H,"MEP-T01-07-8",'MEP | Drawing List'!O:O,1)</f>
        <v>0</v>
      </c>
      <c r="DP59" s="615">
        <f>COUNTIFS('MEP | Drawing List'!$H:$H,"MEP-T01-07-8",'MEP | Drawing List'!P:P,1)</f>
        <v>0</v>
      </c>
      <c r="DQ59" s="339"/>
      <c r="DR59" s="616">
        <f>COUNTIFS('MEP | Drawing List'!$H:$H,"MEP-T01-07-8",'MEP | Drawing List'!$Q:$Q,1)</f>
        <v>0</v>
      </c>
      <c r="DS59" s="615">
        <f>COUNTIFS('MEP | Drawing List'!$H:$H,"MEP-T01-07-8",'MEP | Drawing List'!R:R,1)</f>
        <v>0</v>
      </c>
      <c r="DT59" s="615">
        <f>COUNTIFS('MEP | Drawing List'!$H:$H,"MEP-T01-07-8",'MEP | Drawing List'!S:S,1)</f>
        <v>0</v>
      </c>
      <c r="DU59" s="615">
        <f>COUNTIFS('MEP | Drawing List'!$H:$H,"MEP-T01-07-8",'MEP | Drawing List'!T:T,1)</f>
        <v>0</v>
      </c>
      <c r="DV59" s="615">
        <f>COUNTIFS('MEP | Drawing List'!$H:$H,"MEP-T01-07-8",'MEP | Drawing List'!U:U,1)</f>
        <v>0</v>
      </c>
      <c r="DW59" s="343"/>
      <c r="DX59" s="343"/>
      <c r="DY59" s="525">
        <v>0</v>
      </c>
      <c r="DZ59" s="343"/>
      <c r="EA59" s="344"/>
      <c r="EB59" s="618">
        <f t="shared" si="28"/>
        <v>0</v>
      </c>
      <c r="EC59" s="91"/>
      <c r="ED59" s="81"/>
      <c r="EE59" s="339"/>
      <c r="EF59" s="339"/>
      <c r="EG59" s="339"/>
      <c r="EH59" s="339"/>
      <c r="EI59" s="339"/>
      <c r="EJ59" s="81"/>
      <c r="EK59" s="339"/>
      <c r="EL59" s="339"/>
      <c r="EM59" s="339"/>
      <c r="EN59" s="339"/>
      <c r="EO59" s="339"/>
      <c r="EP59" s="639"/>
      <c r="EQ59" s="639"/>
      <c r="ER59" s="639"/>
      <c r="ES59" s="82"/>
      <c r="ET59" s="615">
        <f>COUNTIF('LS | Drawing List'!$H:$H,"LS-T01-8")</f>
        <v>0</v>
      </c>
      <c r="EU59" s="616">
        <f>COUNTIFS('LS | Drawing List'!$H:$H,"LS-T01-8",'LS | Drawing List'!$J:$J,1)</f>
        <v>0</v>
      </c>
      <c r="EV59" s="616">
        <f>COUNTIFS('LS | Drawing List'!$H:$H,"LS-T01-8",'LS | Drawing List'!$L:$L,1)</f>
        <v>0</v>
      </c>
      <c r="EW59" s="615">
        <f>COUNTIFS('LS | Drawing List'!$H:$H,"LS-T01-8",'LS | Drawing List'!M:M,1)</f>
        <v>0</v>
      </c>
      <c r="EX59" s="615">
        <f>COUNTIFS('LS | Drawing List'!$H:$H,"LS-T01-8",'LS | Drawing List'!N:N,1)</f>
        <v>0</v>
      </c>
      <c r="EY59" s="615">
        <f>COUNTIFS('LS | Drawing List'!$H:$H,"LS-T01-8",'LS | Drawing List'!O:O,1)</f>
        <v>0</v>
      </c>
      <c r="EZ59" s="615">
        <f>COUNTIFS('LS | Drawing List'!$H:$H,"LS-T01-8",'LS | Drawing List'!P:P,1)</f>
        <v>0</v>
      </c>
      <c r="FA59" s="81"/>
      <c r="FB59" s="616">
        <f>COUNTIFS('LS | Drawing List'!$H:$H,"LS-T01-8",'LS | Drawing List'!$Q:$Q,1)</f>
        <v>0</v>
      </c>
      <c r="FC59" s="615">
        <f>COUNTIFS('LS | Drawing List'!$H:$H,"LS-T01-8",'LS | Drawing List'!R:R,1)</f>
        <v>0</v>
      </c>
      <c r="FD59" s="615">
        <f>COUNTIFS('LS | Drawing List'!$H:$H,"LS-T01-8",'LS | Drawing List'!S:S,1)</f>
        <v>0</v>
      </c>
      <c r="FE59" s="615">
        <f>COUNTIFS('LS | Drawing List'!$H:$H,"LS-T01-8",'LS | Drawing List'!T:T,1)</f>
        <v>0</v>
      </c>
      <c r="FF59" s="615">
        <f>COUNTIFS('LS | Drawing List'!$H:$H,"LS-T01-8",'LS | Drawing List'!U:U,1)</f>
        <v>0</v>
      </c>
      <c r="FG59" s="48"/>
    </row>
    <row r="60" spans="1:163" s="95" customFormat="1" ht="14.25" hidden="1" outlineLevel="2">
      <c r="A60" s="89"/>
      <c r="B60" s="87" t="s">
        <v>68</v>
      </c>
      <c r="C60" s="277">
        <v>9</v>
      </c>
      <c r="D60" s="273" t="s">
        <v>69</v>
      </c>
      <c r="E60" s="89"/>
      <c r="F60" s="628">
        <f t="shared" si="82"/>
        <v>0.18364650000000002</v>
      </c>
      <c r="G60" s="628">
        <f t="shared" si="83"/>
        <v>0.18364650000000002</v>
      </c>
      <c r="H60" s="620">
        <f t="shared" si="84"/>
        <v>0</v>
      </c>
      <c r="I60" s="620">
        <f t="shared" si="85"/>
        <v>0</v>
      </c>
      <c r="J60" s="620">
        <f t="shared" si="86"/>
        <v>0</v>
      </c>
      <c r="K60" s="615">
        <f t="shared" si="87"/>
        <v>0</v>
      </c>
      <c r="L60" s="615">
        <f t="shared" si="88"/>
        <v>0</v>
      </c>
      <c r="M60" s="620">
        <f t="shared" si="89"/>
        <v>0</v>
      </c>
      <c r="N60" s="287"/>
      <c r="O60" s="615">
        <f t="shared" si="90"/>
        <v>0</v>
      </c>
      <c r="P60" s="615">
        <f t="shared" si="91"/>
        <v>0</v>
      </c>
      <c r="Q60" s="615">
        <f t="shared" si="92"/>
        <v>0</v>
      </c>
      <c r="R60" s="615">
        <f t="shared" si="93"/>
        <v>0</v>
      </c>
      <c r="S60" s="615">
        <f t="shared" si="94"/>
        <v>0</v>
      </c>
      <c r="T60" s="89"/>
      <c r="U60" s="552">
        <v>2.5000000000000001E-2</v>
      </c>
      <c r="V60" s="133"/>
      <c r="W60" s="628">
        <f t="shared" si="142"/>
        <v>6.1477500000000011E-2</v>
      </c>
      <c r="X60" s="628">
        <f t="shared" si="19"/>
        <v>6.1477500000000011E-2</v>
      </c>
      <c r="Y60" s="620">
        <f t="shared" si="109"/>
        <v>6.1477500000000011E-2</v>
      </c>
      <c r="Z60" s="620">
        <f t="shared" si="110"/>
        <v>0</v>
      </c>
      <c r="AA60" s="620">
        <f t="shared" si="111"/>
        <v>0</v>
      </c>
      <c r="AB60" s="615">
        <f t="shared" si="112"/>
        <v>0</v>
      </c>
      <c r="AC60" s="615">
        <f t="shared" si="113"/>
        <v>0</v>
      </c>
      <c r="AD60" s="620">
        <f t="shared" si="114"/>
        <v>0</v>
      </c>
      <c r="AE60" s="287"/>
      <c r="AF60" s="615">
        <f t="shared" si="115"/>
        <v>0</v>
      </c>
      <c r="AG60" s="615">
        <f t="shared" si="116"/>
        <v>0</v>
      </c>
      <c r="AH60" s="615">
        <f t="shared" si="117"/>
        <v>0</v>
      </c>
      <c r="AI60" s="615">
        <f t="shared" si="118"/>
        <v>0</v>
      </c>
      <c r="AJ60" s="615">
        <f t="shared" si="119"/>
        <v>0</v>
      </c>
      <c r="AK60" s="339"/>
      <c r="AL60" s="627">
        <f t="shared" si="120"/>
        <v>1</v>
      </c>
      <c r="AM60" s="627">
        <f t="shared" si="121"/>
        <v>0</v>
      </c>
      <c r="AN60" s="625">
        <f t="shared" si="122"/>
        <v>0</v>
      </c>
      <c r="AO60" s="364"/>
      <c r="AP60" s="620">
        <f>COUNTIF('AR | Drawing List'!$H:$H,"AR-T01-9")</f>
        <v>1</v>
      </c>
      <c r="AQ60" s="621">
        <f>COUNTIFS('AR | Drawing List'!$H:$H,"AR-T01-9",'AR | Drawing List'!$J:$J,1)</f>
        <v>1</v>
      </c>
      <c r="AR60" s="621">
        <f t="shared" si="32"/>
        <v>0</v>
      </c>
      <c r="AS60" s="621">
        <f>COUNTIFS('AR | Drawing List'!$H:$H,"AR-T01-9",'AR | Drawing List'!M:M,1)</f>
        <v>0</v>
      </c>
      <c r="AT60" s="621">
        <f>COUNTIFS('AR | Drawing List'!$H:$H,"AR-T01-9",'AR | Drawing List'!N:N,1)</f>
        <v>0</v>
      </c>
      <c r="AU60" s="621">
        <f>COUNTIFS('AR | Drawing List'!$H:$H,"AR-T01-9",'AR | Drawing List'!O:O,1)</f>
        <v>0</v>
      </c>
      <c r="AV60" s="621">
        <f>COUNTIFS('AR | Drawing List'!$H:$H,"AR-T01-9",'AR | Drawing List'!P:P,1)</f>
        <v>0</v>
      </c>
      <c r="AW60" s="366"/>
      <c r="AX60" s="621">
        <f t="shared" si="123"/>
        <v>0</v>
      </c>
      <c r="AY60" s="621">
        <f>COUNTIFS('AR | Drawing List'!$H:$H,"AR-T01-9",'AR | Drawing List'!R:R,1)</f>
        <v>0</v>
      </c>
      <c r="AZ60" s="621">
        <f>COUNTIFS('AR | Drawing List'!$H:$H,"AR-T01-9",'AR | Drawing List'!S:S,1)</f>
        <v>0</v>
      </c>
      <c r="BA60" s="621">
        <f>COUNTIFS('AR | Drawing List'!$H:$H,"AR-T01-9",'AR | Drawing List'!T:T,1)</f>
        <v>0</v>
      </c>
      <c r="BB60" s="621">
        <f>COUNTIFS('AR | Drawing List'!$H:$H,"AR-T01-9",'AR | Drawing List'!U:U,1)</f>
        <v>0</v>
      </c>
      <c r="BC60" s="366"/>
      <c r="BD60" s="366"/>
      <c r="BE60" s="554">
        <v>0.1</v>
      </c>
      <c r="BF60" s="368"/>
      <c r="BG60" s="621">
        <f t="shared" si="124"/>
        <v>9.8310000000000008E-2</v>
      </c>
      <c r="BH60" s="622">
        <f t="shared" si="22"/>
        <v>9.8310000000000008E-2</v>
      </c>
      <c r="BI60" s="620">
        <f t="shared" si="125"/>
        <v>9.8310000000000008E-2</v>
      </c>
      <c r="BJ60" s="620">
        <f t="shared" si="126"/>
        <v>0</v>
      </c>
      <c r="BK60" s="615">
        <f t="shared" si="127"/>
        <v>0</v>
      </c>
      <c r="BL60" s="615">
        <f t="shared" si="128"/>
        <v>0</v>
      </c>
      <c r="BM60" s="615">
        <f t="shared" si="129"/>
        <v>0</v>
      </c>
      <c r="BN60" s="615">
        <f t="shared" si="130"/>
        <v>0</v>
      </c>
      <c r="BO60" s="339"/>
      <c r="BP60" s="615">
        <f t="shared" si="131"/>
        <v>0</v>
      </c>
      <c r="BQ60" s="615">
        <f t="shared" si="132"/>
        <v>0</v>
      </c>
      <c r="BR60" s="615">
        <f t="shared" si="133"/>
        <v>0</v>
      </c>
      <c r="BS60" s="615">
        <f t="shared" si="134"/>
        <v>0</v>
      </c>
      <c r="BT60" s="615">
        <f t="shared" si="135"/>
        <v>0</v>
      </c>
      <c r="BU60" s="339"/>
      <c r="BV60" s="635">
        <f t="shared" si="143"/>
        <v>1</v>
      </c>
      <c r="BW60" s="635">
        <f t="shared" si="144"/>
        <v>0</v>
      </c>
      <c r="BX60" s="635">
        <f t="shared" si="145"/>
        <v>0</v>
      </c>
      <c r="BY60" s="364"/>
      <c r="BZ60" s="620">
        <f>COUNTIF('ST | Drawing List'!$H:$H,"ST-T01-9")</f>
        <v>5</v>
      </c>
      <c r="CA60" s="621">
        <f>COUNTIFS('ST | Drawing List'!$H:$H,"ST-T01-9",'ST | Drawing List'!$J:$J,1)</f>
        <v>5</v>
      </c>
      <c r="CB60" s="624">
        <f>COUNTIFS('ST | Drawing List'!$H:$H,"ST-T01-9",'ST | Drawing List'!$L:$L,1)</f>
        <v>0</v>
      </c>
      <c r="CC60" s="621">
        <f>COUNTIFS('ST | Drawing List'!$H:$H,"ST-T01-9",'ST | Drawing List'!M:M,1)</f>
        <v>0</v>
      </c>
      <c r="CD60" s="621">
        <f>COUNTIFS('ST | Drawing List'!$H:$H,"ST-T01-9",'ST | Drawing List'!N:N,1)</f>
        <v>0</v>
      </c>
      <c r="CE60" s="621">
        <f>COUNTIFS('ST | Drawing List'!$H:$H,"ST-T01-9",'ST | Drawing List'!O:O,1)</f>
        <v>0</v>
      </c>
      <c r="CF60" s="621">
        <f>COUNTIFS('ST | Drawing List'!$H:$H,"ST-T01-9",'ST | Drawing List'!P:P,1)</f>
        <v>0</v>
      </c>
      <c r="CG60" s="541"/>
      <c r="CH60" s="624">
        <f>COUNTIFS('ST | Drawing List'!$H:$H,"ST-T01-9",'ST | Drawing List'!$Q:$Q,1)</f>
        <v>0</v>
      </c>
      <c r="CI60" s="621">
        <f>COUNTIFS('ST | Drawing List'!$H:$H,"ST-T01-9",'ST | Drawing List'!R:R,1)</f>
        <v>0</v>
      </c>
      <c r="CJ60" s="621">
        <f>COUNTIFS('ST | Drawing List'!$H:$H,"ST-T01-9",'ST | Drawing List'!S:S,1)</f>
        <v>0</v>
      </c>
      <c r="CK60" s="621">
        <f>COUNTIFS('ST | Drawing List'!$H:$H,"ST-T01-9",'ST | Drawing List'!T:T,1)</f>
        <v>0</v>
      </c>
      <c r="CL60" s="621">
        <f>COUNTIFS('ST | Drawing List'!$H:$H,"ST-T01-9",'ST | Drawing List'!U:U,1)</f>
        <v>0</v>
      </c>
      <c r="CM60" s="368"/>
      <c r="CN60" s="368"/>
      <c r="CO60" s="554">
        <v>0.15</v>
      </c>
      <c r="CP60" s="368"/>
      <c r="CQ60" s="621">
        <f t="shared" si="138"/>
        <v>2.3859000000000002E-2</v>
      </c>
      <c r="CR60" s="622">
        <f t="shared" si="25"/>
        <v>2.3859000000000002E-2</v>
      </c>
      <c r="CS60" s="620">
        <f t="shared" si="139"/>
        <v>2.3859000000000002E-2</v>
      </c>
      <c r="CT60" s="615">
        <f t="shared" si="146"/>
        <v>0</v>
      </c>
      <c r="CU60" s="615">
        <f t="shared" si="147"/>
        <v>0</v>
      </c>
      <c r="CV60" s="615">
        <f t="shared" si="148"/>
        <v>0</v>
      </c>
      <c r="CW60" s="615">
        <f t="shared" si="149"/>
        <v>0</v>
      </c>
      <c r="CX60" s="615">
        <f t="shared" si="150"/>
        <v>0</v>
      </c>
      <c r="CY60" s="339"/>
      <c r="CZ60" s="615">
        <f t="shared" si="151"/>
        <v>0</v>
      </c>
      <c r="DA60" s="615">
        <f t="shared" si="152"/>
        <v>0</v>
      </c>
      <c r="DB60" s="615">
        <f t="shared" si="153"/>
        <v>0</v>
      </c>
      <c r="DC60" s="615">
        <f t="shared" si="154"/>
        <v>0</v>
      </c>
      <c r="DD60" s="615">
        <f t="shared" si="155"/>
        <v>0</v>
      </c>
      <c r="DE60" s="339"/>
      <c r="DF60" s="625">
        <f t="shared" si="156"/>
        <v>1</v>
      </c>
      <c r="DG60" s="625">
        <f t="shared" si="157"/>
        <v>0</v>
      </c>
      <c r="DH60" s="625">
        <f t="shared" si="158"/>
        <v>0</v>
      </c>
      <c r="DI60" s="364"/>
      <c r="DJ60" s="620">
        <f>COUNTIF('MEP | Drawing List'!$H:$H,"MEP-T01-07-9")</f>
        <v>15</v>
      </c>
      <c r="DK60" s="621">
        <f>COUNTIFS('MEP | Drawing List'!$H:$H,"MEP-T01-07-9",'MEP | Drawing List'!$J:$J,1)</f>
        <v>15</v>
      </c>
      <c r="DL60" s="621">
        <f>COUNTIFS('MEP | Drawing List'!$H:$H,"MEP-T01-07-9",'MEP | Drawing List'!$L:$L,1)</f>
        <v>0</v>
      </c>
      <c r="DM60" s="620">
        <f>COUNTIFS('MEP | Drawing List'!$H:$H,"MEP-T01-07-9",'MEP | Drawing List'!M:M,1)</f>
        <v>0</v>
      </c>
      <c r="DN60" s="620">
        <f>COUNTIFS('MEP | Drawing List'!$H:$H,"MEP-T01-07-9",'MEP | Drawing List'!N:N,1)</f>
        <v>0</v>
      </c>
      <c r="DO60" s="620">
        <f>COUNTIFS('MEP | Drawing List'!$H:$H,"MEP-T01-07-9",'MEP | Drawing List'!O:O,1)</f>
        <v>0</v>
      </c>
      <c r="DP60" s="620">
        <f>COUNTIFS('MEP | Drawing List'!$H:$H,"MEP-T01-07-9",'MEP | Drawing List'!P:P,1)</f>
        <v>0</v>
      </c>
      <c r="DQ60" s="287"/>
      <c r="DR60" s="621">
        <f>COUNTIFS('MEP | Drawing List'!$H:$H,"MEP-T01-07-9",'MEP | Drawing List'!$Q:$Q,1)</f>
        <v>0</v>
      </c>
      <c r="DS60" s="620">
        <f>COUNTIFS('MEP | Drawing List'!$H:$H,"MEP-T01-07-9",'MEP | Drawing List'!R:R,1)</f>
        <v>0</v>
      </c>
      <c r="DT60" s="620">
        <f>COUNTIFS('MEP | Drawing List'!$H:$H,"MEP-T01-07-9",'MEP | Drawing List'!S:S,1)</f>
        <v>0</v>
      </c>
      <c r="DU60" s="620">
        <f>COUNTIFS('MEP | Drawing List'!$H:$H,"MEP-T01-07-9",'MEP | Drawing List'!T:T,1)</f>
        <v>0</v>
      </c>
      <c r="DV60" s="620">
        <f>COUNTIFS('MEP | Drawing List'!$H:$H,"MEP-T01-07-9",'MEP | Drawing List'!U:U,1)</f>
        <v>0</v>
      </c>
      <c r="DW60" s="368"/>
      <c r="DX60" s="368"/>
      <c r="DY60" s="554">
        <v>0</v>
      </c>
      <c r="DZ60" s="368"/>
      <c r="EA60" s="344"/>
      <c r="EB60" s="622">
        <f t="shared" si="28"/>
        <v>0</v>
      </c>
      <c r="EC60" s="91"/>
      <c r="ED60" s="91"/>
      <c r="EE60" s="339"/>
      <c r="EF60" s="339"/>
      <c r="EG60" s="339"/>
      <c r="EH60" s="339"/>
      <c r="EI60" s="339"/>
      <c r="EJ60" s="91"/>
      <c r="EK60" s="339"/>
      <c r="EL60" s="339"/>
      <c r="EM60" s="339"/>
      <c r="EN60" s="339"/>
      <c r="EO60" s="339"/>
      <c r="EP60" s="103"/>
      <c r="EQ60" s="103"/>
      <c r="ER60" s="103"/>
      <c r="ES60" s="92"/>
      <c r="ET60" s="620">
        <f>COUNTIF('LS | Drawing List'!$H:$H,"LS-T01-9")</f>
        <v>0</v>
      </c>
      <c r="EU60" s="621">
        <f>COUNTIFS('LS | Drawing List'!$H:$H,"LS-T01-9",'LS | Drawing List'!$J:$J,1)</f>
        <v>0</v>
      </c>
      <c r="EV60" s="621">
        <f>COUNTIFS('LS | Drawing List'!$H:$H,"LS-T01-9",'LS | Drawing List'!$L:$L,1)</f>
        <v>0</v>
      </c>
      <c r="EW60" s="620">
        <f>COUNTIFS('LS | Drawing List'!$H:$H,"LS-T01-9",'LS | Drawing List'!M:M,1)</f>
        <v>0</v>
      </c>
      <c r="EX60" s="620">
        <f>COUNTIFS('LS | Drawing List'!$H:$H,"LS-T01-9",'LS | Drawing List'!N:N,1)</f>
        <v>0</v>
      </c>
      <c r="EY60" s="620">
        <f>COUNTIFS('LS | Drawing List'!$H:$H,"LS-T01-9",'LS | Drawing List'!O:O,1)</f>
        <v>0</v>
      </c>
      <c r="EZ60" s="620">
        <f>COUNTIFS('LS | Drawing List'!$H:$H,"LS-T01-9",'LS | Drawing List'!P:P,1)</f>
        <v>0</v>
      </c>
      <c r="FA60" s="91"/>
      <c r="FB60" s="621">
        <f>COUNTIFS('LS | Drawing List'!$H:$H,"LS-T01-9",'LS | Drawing List'!$Q:$Q,1)</f>
        <v>0</v>
      </c>
      <c r="FC60" s="620">
        <f>COUNTIFS('LS | Drawing List'!$H:$H,"LS-T01-9",'LS | Drawing List'!R:R,1)</f>
        <v>0</v>
      </c>
      <c r="FD60" s="620">
        <f>COUNTIFS('LS | Drawing List'!$H:$H,"LS-T01-9",'LS | Drawing List'!S:S,1)</f>
        <v>0</v>
      </c>
      <c r="FE60" s="620">
        <f>COUNTIFS('LS | Drawing List'!$H:$H,"LS-T01-9",'LS | Drawing List'!T:T,1)</f>
        <v>0</v>
      </c>
      <c r="FF60" s="620">
        <f>COUNTIFS('LS | Drawing List'!$H:$H,"LS-T01-9",'LS | Drawing List'!U:U,1)</f>
        <v>0</v>
      </c>
      <c r="FG60" s="89"/>
    </row>
    <row r="61" spans="1:163" s="95" customFormat="1" ht="14.25" hidden="1" outlineLevel="2">
      <c r="A61" s="89"/>
      <c r="B61" s="87" t="s">
        <v>70</v>
      </c>
      <c r="C61" s="277">
        <v>10</v>
      </c>
      <c r="D61" s="273" t="s">
        <v>71</v>
      </c>
      <c r="E61" s="89"/>
      <c r="F61" s="628">
        <f t="shared" si="82"/>
        <v>0.24591000000000005</v>
      </c>
      <c r="G61" s="628">
        <f t="shared" si="83"/>
        <v>0.24591000000000005</v>
      </c>
      <c r="H61" s="620">
        <f t="shared" si="84"/>
        <v>0</v>
      </c>
      <c r="I61" s="620">
        <f t="shared" si="85"/>
        <v>0</v>
      </c>
      <c r="J61" s="620">
        <f t="shared" si="86"/>
        <v>0</v>
      </c>
      <c r="K61" s="620">
        <f t="shared" si="87"/>
        <v>0</v>
      </c>
      <c r="L61" s="620">
        <f t="shared" si="88"/>
        <v>0</v>
      </c>
      <c r="M61" s="620">
        <f t="shared" si="89"/>
        <v>0</v>
      </c>
      <c r="N61" s="287"/>
      <c r="O61" s="615">
        <f t="shared" si="90"/>
        <v>0</v>
      </c>
      <c r="P61" s="615">
        <f t="shared" si="91"/>
        <v>0</v>
      </c>
      <c r="Q61" s="615">
        <f t="shared" si="92"/>
        <v>0</v>
      </c>
      <c r="R61" s="615">
        <f t="shared" si="93"/>
        <v>0</v>
      </c>
      <c r="S61" s="615">
        <f t="shared" si="94"/>
        <v>0</v>
      </c>
      <c r="T61" s="89"/>
      <c r="U61" s="552">
        <v>0.1</v>
      </c>
      <c r="V61" s="133"/>
      <c r="W61" s="628">
        <f t="shared" si="142"/>
        <v>0.24591000000000005</v>
      </c>
      <c r="X61" s="628">
        <f t="shared" si="19"/>
        <v>0.24591000000000005</v>
      </c>
      <c r="Y61" s="620">
        <f t="shared" si="109"/>
        <v>0.24591000000000005</v>
      </c>
      <c r="Z61" s="620">
        <f t="shared" si="110"/>
        <v>0</v>
      </c>
      <c r="AA61" s="620">
        <f t="shared" si="111"/>
        <v>0</v>
      </c>
      <c r="AB61" s="620">
        <f t="shared" si="112"/>
        <v>0</v>
      </c>
      <c r="AC61" s="620">
        <f t="shared" si="113"/>
        <v>0</v>
      </c>
      <c r="AD61" s="620">
        <f t="shared" si="114"/>
        <v>0</v>
      </c>
      <c r="AE61" s="287"/>
      <c r="AF61" s="615">
        <f t="shared" si="115"/>
        <v>0</v>
      </c>
      <c r="AG61" s="615">
        <f t="shared" si="116"/>
        <v>0</v>
      </c>
      <c r="AH61" s="615">
        <f t="shared" si="117"/>
        <v>0</v>
      </c>
      <c r="AI61" s="615">
        <f t="shared" si="118"/>
        <v>0</v>
      </c>
      <c r="AJ61" s="615">
        <f t="shared" si="119"/>
        <v>0</v>
      </c>
      <c r="AK61" s="339"/>
      <c r="AL61" s="627">
        <f t="shared" si="120"/>
        <v>1</v>
      </c>
      <c r="AM61" s="627">
        <f t="shared" si="121"/>
        <v>0</v>
      </c>
      <c r="AN61" s="625">
        <f t="shared" si="122"/>
        <v>0</v>
      </c>
      <c r="AO61" s="364"/>
      <c r="AP61" s="620">
        <f>COUNTIF('AR | Drawing List'!$H:$H,"AR-T01-10")</f>
        <v>1</v>
      </c>
      <c r="AQ61" s="621">
        <f>COUNTIFS('AR | Drawing List'!$H:$H,"AR-T01-10",'AR | Drawing List'!$J:$J,1)</f>
        <v>1</v>
      </c>
      <c r="AR61" s="621">
        <f t="shared" si="32"/>
        <v>0</v>
      </c>
      <c r="AS61" s="621">
        <f>COUNTIFS('AR | Drawing List'!$H:$H,"AR-T01-10",'AR | Drawing List'!M:M,1)</f>
        <v>0</v>
      </c>
      <c r="AT61" s="621">
        <f>COUNTIFS('AR | Drawing List'!$H:$H,"AR-T01-10",'AR | Drawing List'!N:N,1)</f>
        <v>0</v>
      </c>
      <c r="AU61" s="621">
        <f>COUNTIFS('AR | Drawing List'!$H:$H,"AR-T01-10",'AR | Drawing List'!O:O,1)</f>
        <v>0</v>
      </c>
      <c r="AV61" s="621">
        <f>COUNTIFS('AR | Drawing List'!$H:$H,"AR-T01-10",'AR | Drawing List'!P:P,1)</f>
        <v>0</v>
      </c>
      <c r="AW61" s="366"/>
      <c r="AX61" s="621">
        <f t="shared" si="123"/>
        <v>0</v>
      </c>
      <c r="AY61" s="621">
        <f>COUNTIFS('AR | Drawing List'!$H:$H,"AR-T01-10",'AR | Drawing List'!R:R,1)</f>
        <v>0</v>
      </c>
      <c r="AZ61" s="621">
        <f>COUNTIFS('AR | Drawing List'!$H:$H,"AR-T01-10",'AR | Drawing List'!S:S,1)</f>
        <v>0</v>
      </c>
      <c r="BA61" s="621">
        <f>COUNTIFS('AR | Drawing List'!$H:$H,"AR-T01-10",'AR | Drawing List'!T:T,1)</f>
        <v>0</v>
      </c>
      <c r="BB61" s="621">
        <f>COUNTIFS('AR | Drawing List'!$H:$H,"AR-T01-10",'AR | Drawing List'!U:U,1)</f>
        <v>0</v>
      </c>
      <c r="BC61" s="366"/>
      <c r="BD61" s="366"/>
      <c r="BE61" s="666">
        <v>0</v>
      </c>
      <c r="BF61" s="368"/>
      <c r="BG61" s="621">
        <f t="shared" si="124"/>
        <v>0</v>
      </c>
      <c r="BH61" s="622">
        <f t="shared" si="22"/>
        <v>0</v>
      </c>
      <c r="BI61" s="620">
        <f t="shared" si="125"/>
        <v>0</v>
      </c>
      <c r="BJ61" s="620">
        <f t="shared" si="126"/>
        <v>0</v>
      </c>
      <c r="BK61" s="615">
        <f t="shared" si="127"/>
        <v>0</v>
      </c>
      <c r="BL61" s="615">
        <f t="shared" si="128"/>
        <v>0</v>
      </c>
      <c r="BM61" s="615">
        <f t="shared" si="129"/>
        <v>0</v>
      </c>
      <c r="BN61" s="615">
        <f t="shared" si="130"/>
        <v>0</v>
      </c>
      <c r="BO61" s="339"/>
      <c r="BP61" s="615">
        <f t="shared" si="131"/>
        <v>0</v>
      </c>
      <c r="BQ61" s="615">
        <f t="shared" si="132"/>
        <v>0</v>
      </c>
      <c r="BR61" s="615">
        <f t="shared" si="133"/>
        <v>0</v>
      </c>
      <c r="BS61" s="615">
        <f t="shared" si="134"/>
        <v>0</v>
      </c>
      <c r="BT61" s="615">
        <f t="shared" si="135"/>
        <v>0</v>
      </c>
      <c r="BU61" s="339"/>
      <c r="BV61" s="635">
        <f t="shared" si="143"/>
        <v>0</v>
      </c>
      <c r="BW61" s="635">
        <f t="shared" si="144"/>
        <v>0</v>
      </c>
      <c r="BX61" s="635">
        <f t="shared" si="145"/>
        <v>0</v>
      </c>
      <c r="BY61" s="364"/>
      <c r="BZ61" s="620">
        <f>COUNTIF('ST | Drawing List'!$H:$H,"ST-T01-10")</f>
        <v>0</v>
      </c>
      <c r="CA61" s="621">
        <f>COUNTIFS('ST | Drawing List'!$H:$H,"ST-T01-10",'ST | Drawing List'!$J:$J,1)</f>
        <v>0</v>
      </c>
      <c r="CB61" s="624">
        <f>COUNTIFS('ST | Drawing List'!$H:$H,"ST-T01-10",'ST | Drawing List'!$L:$L,1)</f>
        <v>0</v>
      </c>
      <c r="CC61" s="621">
        <f>COUNTIFS('ST | Drawing List'!$H:$H,"ST-T01-10",'ST | Drawing List'!M:M,1)</f>
        <v>0</v>
      </c>
      <c r="CD61" s="621">
        <f>COUNTIFS('ST | Drawing List'!$H:$H,"ST-T01-10",'ST | Drawing List'!N:N,1)</f>
        <v>0</v>
      </c>
      <c r="CE61" s="621">
        <f>COUNTIFS('ST | Drawing List'!$H:$H,"ST-T01-10",'ST | Drawing List'!O:O,1)</f>
        <v>0</v>
      </c>
      <c r="CF61" s="621">
        <f>COUNTIFS('ST | Drawing List'!$H:$H,"ST-T01-10",'ST | Drawing List'!P:P,1)</f>
        <v>0</v>
      </c>
      <c r="CG61" s="541"/>
      <c r="CH61" s="624">
        <f>COUNTIFS('ST | Drawing List'!$H:$H,"ST-T01-10",'ST | Drawing List'!$Q:$Q,1)</f>
        <v>0</v>
      </c>
      <c r="CI61" s="621">
        <f>COUNTIFS('ST | Drawing List'!$H:$H,"ST-T01-10",'ST | Drawing List'!R:R,1)</f>
        <v>0</v>
      </c>
      <c r="CJ61" s="621">
        <f>COUNTIFS('ST | Drawing List'!$H:$H,"ST-T01-10",'ST | Drawing List'!S:S,1)</f>
        <v>0</v>
      </c>
      <c r="CK61" s="621">
        <f>COUNTIFS('ST | Drawing List'!$H:$H,"ST-T01-10",'ST | Drawing List'!T:T,1)</f>
        <v>0</v>
      </c>
      <c r="CL61" s="621">
        <f>COUNTIFS('ST | Drawing List'!$H:$H,"ST-T01-10",'ST | Drawing List'!U:U,1)</f>
        <v>0</v>
      </c>
      <c r="CM61" s="368"/>
      <c r="CN61" s="368"/>
      <c r="CO61" s="666">
        <v>0</v>
      </c>
      <c r="CP61" s="368"/>
      <c r="CQ61" s="621">
        <f t="shared" si="138"/>
        <v>0</v>
      </c>
      <c r="CR61" s="622">
        <f t="shared" si="25"/>
        <v>0</v>
      </c>
      <c r="CS61" s="620">
        <f t="shared" si="139"/>
        <v>0</v>
      </c>
      <c r="CT61" s="615">
        <f t="shared" si="146"/>
        <v>0</v>
      </c>
      <c r="CU61" s="615">
        <f t="shared" si="147"/>
        <v>0</v>
      </c>
      <c r="CV61" s="615">
        <f t="shared" si="148"/>
        <v>0</v>
      </c>
      <c r="CW61" s="615">
        <f t="shared" si="149"/>
        <v>0</v>
      </c>
      <c r="CX61" s="615">
        <f t="shared" si="150"/>
        <v>0</v>
      </c>
      <c r="CY61" s="339"/>
      <c r="CZ61" s="615">
        <f t="shared" si="151"/>
        <v>0</v>
      </c>
      <c r="DA61" s="615">
        <f t="shared" si="152"/>
        <v>0</v>
      </c>
      <c r="DB61" s="615">
        <f t="shared" si="153"/>
        <v>0</v>
      </c>
      <c r="DC61" s="615">
        <f t="shared" si="154"/>
        <v>0</v>
      </c>
      <c r="DD61" s="615">
        <f t="shared" si="155"/>
        <v>0</v>
      </c>
      <c r="DE61" s="339"/>
      <c r="DF61" s="625">
        <f t="shared" si="156"/>
        <v>0</v>
      </c>
      <c r="DG61" s="625">
        <f t="shared" si="157"/>
        <v>0</v>
      </c>
      <c r="DH61" s="625">
        <f t="shared" si="158"/>
        <v>0</v>
      </c>
      <c r="DI61" s="364"/>
      <c r="DJ61" s="620">
        <f>COUNTIF('MEP | Drawing List'!$H:$H,"MEP-T01-07-10")</f>
        <v>0</v>
      </c>
      <c r="DK61" s="621">
        <f>COUNTIFS('MEP | Drawing List'!$H:$H,"MEP-T01-07-10",'MEP | Drawing List'!$J:$J,1)</f>
        <v>0</v>
      </c>
      <c r="DL61" s="621">
        <f>COUNTIFS('MEP | Drawing List'!$H:$H,"MEP-T01-07-10",'MEP | Drawing List'!$L:$L,1)</f>
        <v>0</v>
      </c>
      <c r="DM61" s="620">
        <f>COUNTIFS('MEP | Drawing List'!$H:$H,"MEP-T01-07-10",'MEP | Drawing List'!M:M,1)</f>
        <v>0</v>
      </c>
      <c r="DN61" s="620">
        <f>COUNTIFS('MEP | Drawing List'!$H:$H,"MEP-T01-07-10",'MEP | Drawing List'!N:N,1)</f>
        <v>0</v>
      </c>
      <c r="DO61" s="620">
        <f>COUNTIFS('MEP | Drawing List'!$H:$H,"MEP-T01-07-10",'MEP | Drawing List'!O:O,1)</f>
        <v>0</v>
      </c>
      <c r="DP61" s="620">
        <f>COUNTIFS('MEP | Drawing List'!$H:$H,"MEP-T01-07-10",'MEP | Drawing List'!P:P,1)</f>
        <v>0</v>
      </c>
      <c r="DQ61" s="287"/>
      <c r="DR61" s="621">
        <f>COUNTIFS('MEP | Drawing List'!$H:$H,"MEP-T01-07-10",'MEP | Drawing List'!$Q:$Q,1)</f>
        <v>0</v>
      </c>
      <c r="DS61" s="620">
        <f>COUNTIFS('MEP | Drawing List'!$H:$H,"MEP-T01-07-10",'MEP | Drawing List'!R:R,1)</f>
        <v>0</v>
      </c>
      <c r="DT61" s="620">
        <f>COUNTIFS('MEP | Drawing List'!$H:$H,"MEP-T01-07-10",'MEP | Drawing List'!S:S,1)</f>
        <v>0</v>
      </c>
      <c r="DU61" s="620">
        <f>COUNTIFS('MEP | Drawing List'!$H:$H,"MEP-T01-07-10",'MEP | Drawing List'!T:T,1)</f>
        <v>0</v>
      </c>
      <c r="DV61" s="620">
        <f>COUNTIFS('MEP | Drawing List'!$H:$H,"MEP-T01-07-10",'MEP | Drawing List'!U:U,1)</f>
        <v>0</v>
      </c>
      <c r="DW61" s="368"/>
      <c r="DX61" s="368"/>
      <c r="DY61" s="554">
        <v>0</v>
      </c>
      <c r="DZ61" s="368"/>
      <c r="EA61" s="344"/>
      <c r="EB61" s="622">
        <f t="shared" si="28"/>
        <v>0</v>
      </c>
      <c r="EC61" s="91"/>
      <c r="ED61" s="91"/>
      <c r="EE61" s="339"/>
      <c r="EF61" s="339"/>
      <c r="EG61" s="339"/>
      <c r="EH61" s="339"/>
      <c r="EI61" s="339"/>
      <c r="EJ61" s="91"/>
      <c r="EK61" s="339"/>
      <c r="EL61" s="339"/>
      <c r="EM61" s="339"/>
      <c r="EN61" s="339"/>
      <c r="EO61" s="339"/>
      <c r="EP61" s="103"/>
      <c r="EQ61" s="103"/>
      <c r="ER61" s="103"/>
      <c r="ES61" s="92"/>
      <c r="ET61" s="620">
        <f>COUNTIF('LS | Drawing List'!$H:$H,"LS-T01-10")</f>
        <v>0</v>
      </c>
      <c r="EU61" s="621">
        <f>COUNTIFS('LS | Drawing List'!$H:$H,"LS-T01-10",'LS | Drawing List'!$J:$J,1)</f>
        <v>0</v>
      </c>
      <c r="EV61" s="621">
        <f>COUNTIFS('LS | Drawing List'!$H:$H,"LS-T01-10",'LS | Drawing List'!$L:$L,1)</f>
        <v>0</v>
      </c>
      <c r="EW61" s="620">
        <f>COUNTIFS('LS | Drawing List'!$H:$H,"LS-T01-10",'LS | Drawing List'!M:M,1)</f>
        <v>0</v>
      </c>
      <c r="EX61" s="620">
        <f>COUNTIFS('LS | Drawing List'!$H:$H,"LS-T01-10",'LS | Drawing List'!N:N,1)</f>
        <v>0</v>
      </c>
      <c r="EY61" s="620">
        <f>COUNTIFS('LS | Drawing List'!$H:$H,"LS-T01-10",'LS | Drawing List'!O:O,1)</f>
        <v>0</v>
      </c>
      <c r="EZ61" s="620">
        <f>COUNTIFS('LS | Drawing List'!$H:$H,"LS-T01-10",'LS | Drawing List'!P:P,1)</f>
        <v>0</v>
      </c>
      <c r="FA61" s="91"/>
      <c r="FB61" s="621">
        <f>COUNTIFS('LS | Drawing List'!$H:$H,"LS-T01-10",'LS | Drawing List'!$Q:$Q,1)</f>
        <v>0</v>
      </c>
      <c r="FC61" s="620">
        <f>COUNTIFS('LS | Drawing List'!$H:$H,"LS-T01-10",'LS | Drawing List'!R:R,1)</f>
        <v>0</v>
      </c>
      <c r="FD61" s="620">
        <f>COUNTIFS('LS | Drawing List'!$H:$H,"LS-T01-10",'LS | Drawing List'!S:S,1)</f>
        <v>0</v>
      </c>
      <c r="FE61" s="620">
        <f>COUNTIFS('LS | Drawing List'!$H:$H,"LS-T01-10",'LS | Drawing List'!T:T,1)</f>
        <v>0</v>
      </c>
      <c r="FF61" s="620">
        <f>COUNTIFS('LS | Drawing List'!$H:$H,"LS-T01-10",'LS | Drawing List'!U:U,1)</f>
        <v>0</v>
      </c>
      <c r="FG61" s="89"/>
    </row>
    <row r="62" spans="1:163" ht="3" hidden="1" customHeight="1" outlineLevel="1">
      <c r="A62" s="48"/>
      <c r="B62" s="96"/>
      <c r="C62" s="278"/>
      <c r="D62" s="272"/>
      <c r="E62" s="48"/>
      <c r="F62" s="338"/>
      <c r="G62" s="619"/>
      <c r="H62" s="339"/>
      <c r="I62" s="339"/>
      <c r="J62" s="339"/>
      <c r="K62" s="339"/>
      <c r="L62" s="339"/>
      <c r="M62" s="339"/>
      <c r="N62" s="339"/>
      <c r="O62" s="339"/>
      <c r="P62" s="339"/>
      <c r="Q62" s="339"/>
      <c r="R62" s="339"/>
      <c r="S62" s="339"/>
      <c r="T62" s="48"/>
      <c r="U62" s="553"/>
      <c r="V62" s="371"/>
      <c r="W62" s="338"/>
      <c r="X62" s="619">
        <f t="shared" si="19"/>
        <v>0</v>
      </c>
      <c r="Y62" s="339"/>
      <c r="Z62" s="339"/>
      <c r="AA62" s="339"/>
      <c r="AB62" s="339"/>
      <c r="AC62" s="339"/>
      <c r="AD62" s="339"/>
      <c r="AE62" s="339"/>
      <c r="AF62" s="339"/>
      <c r="AG62" s="339"/>
      <c r="AH62" s="339"/>
      <c r="AI62" s="339"/>
      <c r="AJ62" s="339"/>
      <c r="AK62" s="339"/>
      <c r="AL62" s="603"/>
      <c r="AM62" s="603"/>
      <c r="AN62" s="603"/>
      <c r="AO62" s="341"/>
      <c r="AP62" s="359"/>
      <c r="AQ62" s="328"/>
      <c r="AR62" s="328"/>
      <c r="AS62" s="328"/>
      <c r="AT62" s="328"/>
      <c r="AU62" s="328"/>
      <c r="AV62" s="328"/>
      <c r="AW62" s="328"/>
      <c r="AX62" s="328"/>
      <c r="AY62" s="328"/>
      <c r="AZ62" s="328"/>
      <c r="BA62" s="328"/>
      <c r="BB62" s="328"/>
      <c r="BC62" s="328"/>
      <c r="BD62" s="328"/>
      <c r="BE62" s="553"/>
      <c r="BF62" s="371"/>
      <c r="BG62" s="344"/>
      <c r="BH62" s="516"/>
      <c r="BI62" s="339"/>
      <c r="BJ62" s="339"/>
      <c r="BK62" s="339"/>
      <c r="BL62" s="339"/>
      <c r="BM62" s="339"/>
      <c r="BN62" s="339"/>
      <c r="BO62" s="339"/>
      <c r="BP62" s="339"/>
      <c r="BQ62" s="339"/>
      <c r="BR62" s="339"/>
      <c r="BS62" s="339"/>
      <c r="BT62" s="339"/>
      <c r="BU62" s="339"/>
      <c r="BV62" s="525"/>
      <c r="BW62" s="525"/>
      <c r="BX62" s="525"/>
      <c r="BY62" s="341"/>
      <c r="BZ62" s="540"/>
      <c r="CA62" s="532"/>
      <c r="CB62" s="539"/>
      <c r="CC62" s="536"/>
      <c r="CD62" s="536"/>
      <c r="CE62" s="536"/>
      <c r="CF62" s="536"/>
      <c r="CG62" s="536"/>
      <c r="CH62" s="539"/>
      <c r="CI62" s="536"/>
      <c r="CJ62" s="536"/>
      <c r="CK62" s="536"/>
      <c r="CL62" s="536"/>
      <c r="CM62" s="371"/>
      <c r="CN62" s="371"/>
      <c r="CO62" s="553"/>
      <c r="CP62" s="371"/>
      <c r="CQ62" s="344"/>
      <c r="CR62" s="516"/>
      <c r="CS62" s="339"/>
      <c r="CT62" s="339"/>
      <c r="CU62" s="339"/>
      <c r="CV62" s="339"/>
      <c r="CW62" s="339"/>
      <c r="CX62" s="339"/>
      <c r="CY62" s="339"/>
      <c r="CZ62" s="339"/>
      <c r="DA62" s="339"/>
      <c r="DB62" s="339"/>
      <c r="DC62" s="339"/>
      <c r="DD62" s="339"/>
      <c r="DE62" s="339"/>
      <c r="DF62" s="603"/>
      <c r="DG62" s="603"/>
      <c r="DH62" s="603"/>
      <c r="DI62" s="341"/>
      <c r="DJ62" s="359"/>
      <c r="DK62" s="328"/>
      <c r="DL62" s="328"/>
      <c r="DM62" s="339"/>
      <c r="DN62" s="339"/>
      <c r="DO62" s="339"/>
      <c r="DP62" s="339"/>
      <c r="DQ62" s="339"/>
      <c r="DR62" s="328"/>
      <c r="DS62" s="339"/>
      <c r="DT62" s="339"/>
      <c r="DU62" s="339"/>
      <c r="DV62" s="339"/>
      <c r="DW62" s="371"/>
      <c r="DX62" s="371"/>
      <c r="DY62" s="553"/>
      <c r="DZ62" s="371"/>
      <c r="EA62" s="344"/>
      <c r="EB62" s="516"/>
      <c r="EC62" s="81"/>
      <c r="ED62" s="81"/>
      <c r="EE62" s="81"/>
      <c r="EF62" s="81"/>
      <c r="EG62" s="81"/>
      <c r="EH62" s="81"/>
      <c r="EI62" s="81"/>
      <c r="EJ62" s="81"/>
      <c r="EK62" s="81"/>
      <c r="EL62" s="81"/>
      <c r="EM62" s="81"/>
      <c r="EN62" s="81"/>
      <c r="EO62" s="81"/>
      <c r="EP62" s="103"/>
      <c r="EQ62" s="103"/>
      <c r="ER62" s="103"/>
      <c r="ES62" s="82"/>
      <c r="ET62" s="56"/>
      <c r="EU62" s="71"/>
      <c r="EV62" s="71"/>
      <c r="EW62" s="81"/>
      <c r="EX62" s="81"/>
      <c r="EY62" s="81"/>
      <c r="EZ62" s="81"/>
      <c r="FA62" s="81"/>
      <c r="FB62" s="71"/>
      <c r="FC62" s="81"/>
      <c r="FD62" s="81"/>
      <c r="FE62" s="81"/>
      <c r="FF62" s="81"/>
      <c r="FG62" s="48"/>
    </row>
    <row r="63" spans="1:163" ht="14.25" hidden="1" outlineLevel="1" collapsed="1">
      <c r="A63" s="48"/>
      <c r="B63" s="73"/>
      <c r="C63" s="275">
        <v>2</v>
      </c>
      <c r="D63" s="271" t="s">
        <v>72</v>
      </c>
      <c r="E63" s="74"/>
      <c r="F63" s="614">
        <f t="shared" ref="F63:F73" si="159">W63+BG63+CQ63+EA63</f>
        <v>1.6715288960000003</v>
      </c>
      <c r="G63" s="614">
        <f t="shared" ref="G63:G73" si="160">X63+BH63+CR63+EB63</f>
        <v>1.6715288960000003</v>
      </c>
      <c r="H63" s="612">
        <f t="shared" ref="H63:H73" si="161">F63-G63</f>
        <v>0</v>
      </c>
      <c r="I63" s="614">
        <f t="shared" ref="I63:I73" si="162">Z63+BJ63+CT63+ED63</f>
        <v>0.24321356800000007</v>
      </c>
      <c r="J63" s="614">
        <f t="shared" ref="J63:J73" si="163">AA63+BK63+CU63+EE63</f>
        <v>0.24321356800000007</v>
      </c>
      <c r="K63" s="614">
        <f t="shared" ref="K63:K73" si="164">AB63+BL63+CV63+EF63</f>
        <v>0</v>
      </c>
      <c r="L63" s="614">
        <f t="shared" ref="L63:L73" si="165">AC63+BM63+CW63+EG63</f>
        <v>0</v>
      </c>
      <c r="M63" s="614">
        <f t="shared" ref="M63:M73" si="166">AD63+BN63+CX63+EH63</f>
        <v>0</v>
      </c>
      <c r="N63" s="281"/>
      <c r="O63" s="614">
        <f t="shared" ref="O63:O73" si="167">AF63+BP63+CZ63+EJ63</f>
        <v>0.24321356800000007</v>
      </c>
      <c r="P63" s="614">
        <f t="shared" ref="P63:P73" si="168">AG63+BQ63+DA63+EK63</f>
        <v>0.21817600000000006</v>
      </c>
      <c r="Q63" s="614">
        <f t="shared" ref="Q63:Q73" si="169">AH63+BR63+DB63+EL63</f>
        <v>2.5037568E-2</v>
      </c>
      <c r="R63" s="614">
        <f t="shared" ref="R63:R73" si="170">AI63+BS63+DC63+EM63</f>
        <v>0</v>
      </c>
      <c r="S63" s="614">
        <f t="shared" ref="S63:S73" si="171">AJ63+BT63+DD63+EN63</f>
        <v>0</v>
      </c>
      <c r="T63" s="74"/>
      <c r="U63" s="656">
        <f>SUM(U64:U73)</f>
        <v>0.5</v>
      </c>
      <c r="V63" s="332"/>
      <c r="W63" s="614">
        <f>U63*(5%*'BOQ COST'!E9*0.64)*1</f>
        <v>1.0908800000000003</v>
      </c>
      <c r="X63" s="614">
        <f t="shared" si="19"/>
        <v>1.0908800000000003</v>
      </c>
      <c r="Y63" s="612">
        <f>SUM(Y64:Y73)</f>
        <v>0.87270400000000026</v>
      </c>
      <c r="Z63" s="612">
        <f>SUM(Z64:Z73)</f>
        <v>0.21817600000000006</v>
      </c>
      <c r="AA63" s="612">
        <f t="shared" ref="AA63:AD63" si="172">SUM(AA64:AA73)</f>
        <v>0.21817600000000006</v>
      </c>
      <c r="AB63" s="612">
        <f t="shared" si="172"/>
        <v>0</v>
      </c>
      <c r="AC63" s="612">
        <f t="shared" si="172"/>
        <v>0</v>
      </c>
      <c r="AD63" s="612">
        <f t="shared" si="172"/>
        <v>0</v>
      </c>
      <c r="AE63" s="281"/>
      <c r="AF63" s="612">
        <f>SUM(AF64:AF73)</f>
        <v>0.21817600000000006</v>
      </c>
      <c r="AG63" s="612">
        <f t="shared" ref="AG63:AJ63" si="173">SUM(AG64:AG73)</f>
        <v>0.21817600000000006</v>
      </c>
      <c r="AH63" s="612">
        <f t="shared" si="173"/>
        <v>0</v>
      </c>
      <c r="AI63" s="612">
        <f t="shared" si="173"/>
        <v>0</v>
      </c>
      <c r="AJ63" s="612">
        <f t="shared" si="173"/>
        <v>0</v>
      </c>
      <c r="AK63" s="281"/>
      <c r="AL63" s="605"/>
      <c r="AM63" s="605"/>
      <c r="AN63" s="605"/>
      <c r="AO63" s="612">
        <f t="shared" ref="AO63" si="174">SUM(AO64:AO73)</f>
        <v>0</v>
      </c>
      <c r="AP63" s="612">
        <f t="shared" ref="AP63" si="175">SUM(AP64:AP73)</f>
        <v>84</v>
      </c>
      <c r="AQ63" s="612">
        <f t="shared" ref="AQ63" si="176">SUM(AQ64:AQ73)</f>
        <v>83</v>
      </c>
      <c r="AR63" s="612">
        <f t="shared" si="32"/>
        <v>1</v>
      </c>
      <c r="AS63" s="612">
        <f>SUM(AS64:AS73)</f>
        <v>1</v>
      </c>
      <c r="AT63" s="612">
        <f t="shared" ref="AT63:AX63" si="177">SUM(AT64:AT73)</f>
        <v>0</v>
      </c>
      <c r="AU63" s="612">
        <f t="shared" si="177"/>
        <v>0</v>
      </c>
      <c r="AV63" s="612">
        <f t="shared" si="177"/>
        <v>0</v>
      </c>
      <c r="AW63" s="281"/>
      <c r="AX63" s="612">
        <f t="shared" si="177"/>
        <v>1</v>
      </c>
      <c r="AY63" s="612">
        <f>SUM(AY64:AY73)</f>
        <v>1</v>
      </c>
      <c r="AZ63" s="612">
        <f t="shared" ref="AZ63:BB63" si="178">SUM(AZ64:AZ73)</f>
        <v>0</v>
      </c>
      <c r="BA63" s="612">
        <f t="shared" si="178"/>
        <v>0</v>
      </c>
      <c r="BB63" s="612">
        <f t="shared" si="178"/>
        <v>0</v>
      </c>
      <c r="BC63" s="336"/>
      <c r="BD63" s="336"/>
      <c r="BE63" s="332">
        <f>SUM(BE64:BE73)</f>
        <v>0.55000000000000004</v>
      </c>
      <c r="BF63" s="332"/>
      <c r="BG63" s="614">
        <f>BE63*(3%*'BOQ COST'!$F$9*0.64)*1</f>
        <v>0.49927680000000002</v>
      </c>
      <c r="BH63" s="614">
        <f t="shared" si="22"/>
        <v>0.49927680000000002</v>
      </c>
      <c r="BI63" s="612">
        <f>SUM(BI64:BI73)</f>
        <v>0.49927680000000002</v>
      </c>
      <c r="BJ63" s="612">
        <f>SUM(BJ64:BJ73)</f>
        <v>0</v>
      </c>
      <c r="BK63" s="612">
        <f t="shared" ref="BK63:CF63" si="179">SUM(BK64:BK73)</f>
        <v>0</v>
      </c>
      <c r="BL63" s="612">
        <f t="shared" si="179"/>
        <v>0</v>
      </c>
      <c r="BM63" s="612">
        <f t="shared" si="179"/>
        <v>0</v>
      </c>
      <c r="BN63" s="612">
        <f t="shared" si="179"/>
        <v>0</v>
      </c>
      <c r="BO63" s="281"/>
      <c r="BP63" s="612">
        <f>SUM(BP64:BP73)</f>
        <v>0</v>
      </c>
      <c r="BQ63" s="612">
        <f t="shared" ref="BQ63:BT63" si="180">SUM(BQ64:BQ73)</f>
        <v>0</v>
      </c>
      <c r="BR63" s="612">
        <f t="shared" si="180"/>
        <v>0</v>
      </c>
      <c r="BS63" s="612">
        <f t="shared" si="180"/>
        <v>0</v>
      </c>
      <c r="BT63" s="612">
        <f t="shared" si="180"/>
        <v>0</v>
      </c>
      <c r="BU63" s="281"/>
      <c r="BV63" s="524"/>
      <c r="BW63" s="524"/>
      <c r="BX63" s="524"/>
      <c r="BY63" s="612">
        <f t="shared" si="179"/>
        <v>0</v>
      </c>
      <c r="BZ63" s="612">
        <f t="shared" si="179"/>
        <v>79</v>
      </c>
      <c r="CA63" s="612">
        <f t="shared" si="179"/>
        <v>79</v>
      </c>
      <c r="CB63" s="612">
        <f t="shared" si="179"/>
        <v>0</v>
      </c>
      <c r="CC63" s="612">
        <f t="shared" si="179"/>
        <v>0</v>
      </c>
      <c r="CD63" s="612">
        <f t="shared" si="179"/>
        <v>0</v>
      </c>
      <c r="CE63" s="612">
        <f t="shared" si="179"/>
        <v>0</v>
      </c>
      <c r="CF63" s="612">
        <f t="shared" si="179"/>
        <v>0</v>
      </c>
      <c r="CG63" s="535"/>
      <c r="CH63" s="612">
        <f t="shared" ref="CH63:CL63" si="181">SUM(CH64:CH73)</f>
        <v>0</v>
      </c>
      <c r="CI63" s="612">
        <f t="shared" si="181"/>
        <v>0</v>
      </c>
      <c r="CJ63" s="612">
        <f t="shared" si="181"/>
        <v>0</v>
      </c>
      <c r="CK63" s="612">
        <f t="shared" si="181"/>
        <v>0</v>
      </c>
      <c r="CL63" s="612">
        <f t="shared" si="181"/>
        <v>0</v>
      </c>
      <c r="CM63" s="332"/>
      <c r="CN63" s="332"/>
      <c r="CO63" s="332">
        <f>SUM(CO64:CO73)</f>
        <v>0.65</v>
      </c>
      <c r="CP63" s="332"/>
      <c r="CQ63" s="614">
        <f>CO63*(2%*'BOQ COST'!$G$9*0.64)*1</f>
        <v>8.1372096000000005E-2</v>
      </c>
      <c r="CR63" s="614">
        <f t="shared" si="25"/>
        <v>8.1372095999999991E-2</v>
      </c>
      <c r="CS63" s="612">
        <f>SUM(CS64:CS73)</f>
        <v>5.6334527999999995E-2</v>
      </c>
      <c r="CT63" s="612">
        <f>SUM(CT64:CT73)</f>
        <v>2.5037568E-2</v>
      </c>
      <c r="CU63" s="612">
        <f t="shared" ref="CU63:DP63" si="182">SUM(CU64:CU73)</f>
        <v>2.5037568E-2</v>
      </c>
      <c r="CV63" s="612">
        <f t="shared" si="182"/>
        <v>0</v>
      </c>
      <c r="CW63" s="612">
        <f t="shared" si="182"/>
        <v>0</v>
      </c>
      <c r="CX63" s="612">
        <f t="shared" si="182"/>
        <v>0</v>
      </c>
      <c r="CY63" s="281"/>
      <c r="CZ63" s="612">
        <f>SUM(CZ64:CZ73)</f>
        <v>2.5037568E-2</v>
      </c>
      <c r="DA63" s="612">
        <f t="shared" ref="DA63:DD63" si="183">SUM(DA64:DA73)</f>
        <v>0</v>
      </c>
      <c r="DB63" s="612">
        <f t="shared" si="183"/>
        <v>2.5037568E-2</v>
      </c>
      <c r="DC63" s="612">
        <f t="shared" si="183"/>
        <v>0</v>
      </c>
      <c r="DD63" s="612">
        <f t="shared" si="183"/>
        <v>0</v>
      </c>
      <c r="DE63" s="281"/>
      <c r="DF63" s="605"/>
      <c r="DG63" s="605"/>
      <c r="DH63" s="605"/>
      <c r="DI63" s="612">
        <f t="shared" si="182"/>
        <v>0</v>
      </c>
      <c r="DJ63" s="612">
        <f t="shared" si="182"/>
        <v>77</v>
      </c>
      <c r="DK63" s="612">
        <f t="shared" si="182"/>
        <v>76</v>
      </c>
      <c r="DL63" s="612">
        <f t="shared" si="182"/>
        <v>1</v>
      </c>
      <c r="DM63" s="612">
        <f t="shared" si="182"/>
        <v>1</v>
      </c>
      <c r="DN63" s="612">
        <f t="shared" si="182"/>
        <v>0</v>
      </c>
      <c r="DO63" s="612">
        <f t="shared" si="182"/>
        <v>0</v>
      </c>
      <c r="DP63" s="612">
        <f t="shared" si="182"/>
        <v>0</v>
      </c>
      <c r="DQ63" s="281"/>
      <c r="DR63" s="612">
        <f t="shared" ref="DR63:DV63" si="184">SUM(DR64:DR73)</f>
        <v>1</v>
      </c>
      <c r="DS63" s="612">
        <f t="shared" si="184"/>
        <v>0</v>
      </c>
      <c r="DT63" s="612">
        <f t="shared" si="184"/>
        <v>1</v>
      </c>
      <c r="DU63" s="612">
        <f t="shared" si="184"/>
        <v>0</v>
      </c>
      <c r="DV63" s="612">
        <f t="shared" si="184"/>
        <v>0</v>
      </c>
      <c r="DW63" s="332"/>
      <c r="DX63" s="332"/>
      <c r="DY63" s="614">
        <f>SUM(DY64:DY73)</f>
        <v>0</v>
      </c>
      <c r="DZ63" s="332"/>
      <c r="EA63" s="337">
        <v>0</v>
      </c>
      <c r="EB63" s="614">
        <f t="shared" si="28"/>
        <v>0</v>
      </c>
      <c r="EC63" s="608">
        <f>SUM(EC64:EC73)</f>
        <v>0</v>
      </c>
      <c r="ED63" s="608">
        <f>SUM(ED64:ED73)</f>
        <v>0</v>
      </c>
      <c r="EE63" s="608">
        <f t="shared" ref="EE63:EZ63" si="185">SUM(EE64:EE73)</f>
        <v>0</v>
      </c>
      <c r="EF63" s="608">
        <f t="shared" si="185"/>
        <v>0</v>
      </c>
      <c r="EG63" s="608">
        <f t="shared" si="185"/>
        <v>0</v>
      </c>
      <c r="EH63" s="608">
        <f t="shared" si="185"/>
        <v>0</v>
      </c>
      <c r="EI63" s="127"/>
      <c r="EJ63" s="608">
        <f>SUM(EJ64:EJ73)</f>
        <v>0</v>
      </c>
      <c r="EK63" s="608">
        <f t="shared" ref="EK63:EN63" si="186">SUM(EK64:EK73)</f>
        <v>0</v>
      </c>
      <c r="EL63" s="608">
        <f t="shared" si="186"/>
        <v>0</v>
      </c>
      <c r="EM63" s="608">
        <f t="shared" si="186"/>
        <v>0</v>
      </c>
      <c r="EN63" s="608">
        <f t="shared" si="186"/>
        <v>0</v>
      </c>
      <c r="EO63" s="127"/>
      <c r="EP63" s="641"/>
      <c r="EQ63" s="641"/>
      <c r="ER63" s="641"/>
      <c r="ES63" s="608">
        <f t="shared" si="185"/>
        <v>0</v>
      </c>
      <c r="ET63" s="608">
        <f t="shared" si="185"/>
        <v>0</v>
      </c>
      <c r="EU63" s="608">
        <f t="shared" si="185"/>
        <v>0</v>
      </c>
      <c r="EV63" s="608">
        <f t="shared" si="185"/>
        <v>0</v>
      </c>
      <c r="EW63" s="608">
        <f t="shared" si="185"/>
        <v>0</v>
      </c>
      <c r="EX63" s="608">
        <f t="shared" si="185"/>
        <v>0</v>
      </c>
      <c r="EY63" s="608">
        <f t="shared" si="185"/>
        <v>0</v>
      </c>
      <c r="EZ63" s="608">
        <f t="shared" si="185"/>
        <v>0</v>
      </c>
      <c r="FA63" s="127"/>
      <c r="FB63" s="608">
        <f t="shared" ref="FB63:FF63" si="187">SUM(FB64:FB73)</f>
        <v>0</v>
      </c>
      <c r="FC63" s="608">
        <f t="shared" si="187"/>
        <v>0</v>
      </c>
      <c r="FD63" s="608">
        <f t="shared" si="187"/>
        <v>0</v>
      </c>
      <c r="FE63" s="608">
        <f t="shared" si="187"/>
        <v>0</v>
      </c>
      <c r="FF63" s="608">
        <f t="shared" si="187"/>
        <v>0</v>
      </c>
      <c r="FG63" s="48"/>
    </row>
    <row r="64" spans="1:163" ht="14.25" hidden="1" outlineLevel="2">
      <c r="A64" s="48"/>
      <c r="B64" s="87" t="s">
        <v>73</v>
      </c>
      <c r="C64" s="276">
        <v>1</v>
      </c>
      <c r="D64" s="272" t="s">
        <v>52</v>
      </c>
      <c r="E64" s="48"/>
      <c r="F64" s="619">
        <f t="shared" si="159"/>
        <v>0.15784038400000003</v>
      </c>
      <c r="G64" s="619">
        <f t="shared" si="160"/>
        <v>0.15784038400000003</v>
      </c>
      <c r="H64" s="615">
        <f t="shared" si="161"/>
        <v>0</v>
      </c>
      <c r="I64" s="615">
        <f t="shared" si="162"/>
        <v>0</v>
      </c>
      <c r="J64" s="615">
        <f t="shared" si="163"/>
        <v>0</v>
      </c>
      <c r="K64" s="615">
        <f t="shared" si="164"/>
        <v>0</v>
      </c>
      <c r="L64" s="615">
        <f t="shared" si="165"/>
        <v>0</v>
      </c>
      <c r="M64" s="620">
        <f t="shared" si="166"/>
        <v>0</v>
      </c>
      <c r="N64" s="287"/>
      <c r="O64" s="615">
        <f t="shared" si="167"/>
        <v>0</v>
      </c>
      <c r="P64" s="615">
        <f t="shared" si="168"/>
        <v>0</v>
      </c>
      <c r="Q64" s="615">
        <f t="shared" si="169"/>
        <v>0</v>
      </c>
      <c r="R64" s="615">
        <f t="shared" si="170"/>
        <v>0</v>
      </c>
      <c r="S64" s="615">
        <f t="shared" si="171"/>
        <v>0</v>
      </c>
      <c r="T64" s="48"/>
      <c r="U64" s="519">
        <v>2.5000000000000001E-2</v>
      </c>
      <c r="V64" s="131"/>
      <c r="W64" s="619">
        <f t="shared" ref="W64:W73" si="188">$W$63/$U$63*U64</f>
        <v>5.4544000000000016E-2</v>
      </c>
      <c r="X64" s="619">
        <f t="shared" si="19"/>
        <v>5.4544000000000016E-2</v>
      </c>
      <c r="Y64" s="615">
        <f t="shared" ref="Y64:Y73" si="189">IFERROR(IF(AL64=100%,W64,0),0)</f>
        <v>5.4544000000000016E-2</v>
      </c>
      <c r="Z64" s="615">
        <f t="shared" ref="Z64:Z73" si="190">IFERROR(IF(AND((AL64+AM64)=100%,AL64&lt;1),W64,0),0)</f>
        <v>0</v>
      </c>
      <c r="AA64" s="615">
        <f t="shared" ref="AA64:AA73" si="191">IFERROR(IF(AND((AQ64+AS64)=AP64,Y64=0),W64,0),0)</f>
        <v>0</v>
      </c>
      <c r="AB64" s="615">
        <f t="shared" ref="AB64:AB73" si="192">IFERROR(IF(AND((AQ64+AS64+AT64)=AP64,Y64=0,AA64=0),W64,0),0)</f>
        <v>0</v>
      </c>
      <c r="AC64" s="615">
        <f t="shared" ref="AC64:AC73" si="193">IFERROR(IF(AND((AQ64+AS64+AT64+AU64)=AP64,Y64=0,AA64=0,AB64=0),W64,0),0)</f>
        <v>0</v>
      </c>
      <c r="AD64" s="620">
        <f t="shared" ref="AD64:AD73" si="194">IFERROR(IF(AND((AQ64+AS64+AT64+AU64+AV64)=AP64,Y64=0,AA64=0,AB64=0,AC64=0),W64,0),0)</f>
        <v>0</v>
      </c>
      <c r="AE64" s="287"/>
      <c r="AF64" s="615">
        <f t="shared" ref="AF64:AF73" si="195">IFERROR(IF(AND((AL64+AN64)=100%,AL64&lt;1),W64,0),0)</f>
        <v>0</v>
      </c>
      <c r="AG64" s="615">
        <f t="shared" ref="AG64:AG73" si="196">IFERROR(IF(AND((AQ64+AY64)=AP64,Y64=0),W64,0),0)</f>
        <v>0</v>
      </c>
      <c r="AH64" s="615">
        <f t="shared" ref="AH64:AH73" si="197">IFERROR(IF(AND((AQ64+AY64+AZ64)=AP64,Y64=0,AG64=0),W64,0),0)</f>
        <v>0</v>
      </c>
      <c r="AI64" s="615">
        <f t="shared" ref="AI64:AI73" si="198">IFERROR(IF(AND((AQ64+AY64+AZ64+BA64)=AP64,Y64=0,AG64=0,AH64=0),W64,0),0)</f>
        <v>0</v>
      </c>
      <c r="AJ64" s="615">
        <f t="shared" ref="AJ64:AJ73" si="199">IFERROR(IF(AND((AQ64+AY64+AZ64+BA64+BB64)=AP64,Y64=0,AG64=0,AH64=0,AI64=0),W64,0),0)</f>
        <v>0</v>
      </c>
      <c r="AK64" s="339"/>
      <c r="AL64" s="625">
        <f t="shared" ref="AL64:AL73" si="200">IFERROR(AQ64/AP64,0)</f>
        <v>1</v>
      </c>
      <c r="AM64" s="625">
        <f t="shared" ref="AM64:AM73" si="201">IFERROR(AR64/AP64,0)</f>
        <v>0</v>
      </c>
      <c r="AN64" s="625">
        <f t="shared" ref="AN64:AN73" si="202">IFERROR(AX64/AP64,0)</f>
        <v>0</v>
      </c>
      <c r="AO64" s="341"/>
      <c r="AP64" s="615">
        <f>COUNTIF('AR | Drawing List'!$H:$H,"AR-T2V-1")</f>
        <v>18</v>
      </c>
      <c r="AQ64" s="616">
        <f>COUNTIFS('AR | Drawing List'!$H:$H,"AR-T2V-1",'AR | Drawing List'!$J:$J,1)</f>
        <v>18</v>
      </c>
      <c r="AR64" s="616">
        <f t="shared" si="32"/>
        <v>0</v>
      </c>
      <c r="AS64" s="616">
        <f>COUNTIFS('AR | Drawing List'!$H:$H,"AR-T2V-1",'AR | Drawing List'!M:M,1)</f>
        <v>0</v>
      </c>
      <c r="AT64" s="616">
        <f>COUNTIFS('AR | Drawing List'!$H:$H,"AR-T2V-1",'AR | Drawing List'!N:N,1)</f>
        <v>0</v>
      </c>
      <c r="AU64" s="616">
        <f>COUNTIFS('AR | Drawing List'!$H:$H,"AR-T2V-1",'AR | Drawing List'!O:O,1)</f>
        <v>0</v>
      </c>
      <c r="AV64" s="616">
        <f>COUNTIFS('AR | Drawing List'!$H:$H,"AR-T2V-1",'AR | Drawing List'!P:P,1)</f>
        <v>0</v>
      </c>
      <c r="AW64" s="328"/>
      <c r="AX64" s="616">
        <f t="shared" ref="AX64:AX69" si="203">SUM(AY64:BB64)</f>
        <v>0</v>
      </c>
      <c r="AY64" s="616">
        <f>COUNTIFS('AR | Drawing List'!$H:$H,"AR-T2V-1",'AR | Drawing List'!R:R,1)</f>
        <v>0</v>
      </c>
      <c r="AZ64" s="616">
        <f>COUNTIFS('AR | Drawing List'!$H:$H,"AR-T2V-1",'AR | Drawing List'!S:S,1)</f>
        <v>0</v>
      </c>
      <c r="BA64" s="616">
        <f>COUNTIFS('AR | Drawing List'!$H:$H,"AR-T2V-1",'AR | Drawing List'!T:T,1)</f>
        <v>0</v>
      </c>
      <c r="BB64" s="616">
        <f>COUNTIFS('AR | Drawing List'!$H:$H,"AR-T2V-1",'AR | Drawing List'!U:U,1)</f>
        <v>0</v>
      </c>
      <c r="BC64" s="328"/>
      <c r="BD64" s="328"/>
      <c r="BE64" s="525">
        <v>0.1</v>
      </c>
      <c r="BF64" s="343"/>
      <c r="BG64" s="616">
        <f t="shared" ref="BG64:BG73" si="204">$BG$63/$BE$63*BE64</f>
        <v>9.07776E-2</v>
      </c>
      <c r="BH64" s="618">
        <f t="shared" si="22"/>
        <v>9.07776E-2</v>
      </c>
      <c r="BI64" s="615">
        <f t="shared" ref="BI64:BI73" si="205">IFERROR(IF(BV64=100%,BG64,0),0)</f>
        <v>9.07776E-2</v>
      </c>
      <c r="BJ64" s="615">
        <f t="shared" ref="BJ64:BJ73" si="206">IFERROR(IF(AND((BV64+BW64)=100%,BV64&lt;1),BG64,0),0)</f>
        <v>0</v>
      </c>
      <c r="BK64" s="615">
        <f t="shared" ref="BK64:BK73" si="207">IFERROR(IF(AND((CA64+CC64)=BZ64,BI64=0),BG64,0),0)</f>
        <v>0</v>
      </c>
      <c r="BL64" s="615">
        <f t="shared" ref="BL64:BL73" si="208">IFERROR(IF(AND((CA64+CC64+CD64)=BZ64,BI64=0,BK64=0),BG64,0),0)</f>
        <v>0</v>
      </c>
      <c r="BM64" s="615">
        <f t="shared" ref="BM64:BM73" si="209">IFERROR(IF(AND((CA64+CC64+CD64+CE64)=BZ64,BI64=0,BK64=0,BL64=0),BG64,0),0)</f>
        <v>0</v>
      </c>
      <c r="BN64" s="615">
        <f t="shared" ref="BN64:BN73" si="210">IFERROR(IF(AND((CA64+CC64+CD64+CE64+CF64)=BZ64,BI64=0,BK64=0,BL64=0,BM64=0),BG64,0),0)</f>
        <v>0</v>
      </c>
      <c r="BO64" s="339"/>
      <c r="BP64" s="615">
        <f t="shared" ref="BP64:BP73" si="211">IFERROR(IF(AND((BV64+BX64)=100%,BV64&lt;1),BG64,0),0)</f>
        <v>0</v>
      </c>
      <c r="BQ64" s="615">
        <f t="shared" ref="BQ64:BQ73" si="212">IFERROR(IF(AND((CA64+CI64)=BZ64,BI64=0),BG64,0),0)</f>
        <v>0</v>
      </c>
      <c r="BR64" s="615">
        <f t="shared" ref="BR64:BR73" si="213">IFERROR(IF(AND((CA64+CI64+CJ64)=BZ64,BI64=0,BQ64=0),BG64,0),0)</f>
        <v>0</v>
      </c>
      <c r="BS64" s="615">
        <f t="shared" ref="BS64:BS73" si="214">IFERROR(IF(AND((CA64+CI64+CJ64+CK64)=BZ64,BI64=0,BQ64=0,BR64=0),BG64,0),0)</f>
        <v>0</v>
      </c>
      <c r="BT64" s="615">
        <f t="shared" ref="BT64:BT73" si="215">IFERROR(IF(AND((CA64+CI64+CJ64+CK64+CL64)=BZ64,BI64=0,BQ64=0,BR64=0,BS64=0),BG64,0),0)</f>
        <v>0</v>
      </c>
      <c r="BU64" s="339"/>
      <c r="BV64" s="635">
        <f t="shared" ref="BV64:BV73" si="216">IFERROR(CA64/BZ64,0)</f>
        <v>1</v>
      </c>
      <c r="BW64" s="635">
        <f t="shared" ref="BW64:BW73" si="217">IFERROR(CB64/BZ64,0)</f>
        <v>0</v>
      </c>
      <c r="BX64" s="635">
        <f t="shared" ref="BX64:BX73" si="218">IFERROR(CH64/BZ64,0)</f>
        <v>0</v>
      </c>
      <c r="BY64" s="341"/>
      <c r="BZ64" s="615">
        <f>COUNTIF('ST | Drawing List'!$H:$H,"ST-T2V-1")</f>
        <v>12</v>
      </c>
      <c r="CA64" s="616">
        <f>COUNTIFS('ST | Drawing List'!$H:$H,"ST-T2V-1",'ST | Drawing List'!$J:$J,1)</f>
        <v>12</v>
      </c>
      <c r="CB64" s="623">
        <f>COUNTIFS('ST | Drawing List'!$H:$H,"ST-T2V-1",'ST | Drawing List'!$L:$L,1)</f>
        <v>0</v>
      </c>
      <c r="CC64" s="616">
        <f>COUNTIFS('ST | Drawing List'!$H:$H,"ST-T2V-1",'ST | Drawing List'!M:M,1)</f>
        <v>0</v>
      </c>
      <c r="CD64" s="616">
        <f>COUNTIFS('ST | Drawing List'!$H:$H,"ST-T2V-1",'ST | Drawing List'!N:N,1)</f>
        <v>0</v>
      </c>
      <c r="CE64" s="616">
        <f>COUNTIFS('ST | Drawing List'!$H:$H,"ST-T2V-1",'ST | Drawing List'!O:O,1)</f>
        <v>0</v>
      </c>
      <c r="CF64" s="616">
        <f>COUNTIFS('ST | Drawing List'!$H:$H,"ST-T2V-1",'ST | Drawing List'!P:P,1)</f>
        <v>0</v>
      </c>
      <c r="CG64" s="532"/>
      <c r="CH64" s="623">
        <f>COUNTIFS('ST | Drawing List'!$H:$H,"ST-T2V-1",'ST | Drawing List'!$Q:$Q,1)</f>
        <v>0</v>
      </c>
      <c r="CI64" s="616">
        <f>COUNTIFS('ST | Drawing List'!$H:$H,"ST-T2V-1",'ST | Drawing List'!R:R,1)</f>
        <v>0</v>
      </c>
      <c r="CJ64" s="616">
        <f>COUNTIFS('ST | Drawing List'!$H:$H,"ST-T2V-1",'ST | Drawing List'!S:S,1)</f>
        <v>0</v>
      </c>
      <c r="CK64" s="616">
        <f>COUNTIFS('ST | Drawing List'!$H:$H,"ST-T2V-1",'ST | Drawing List'!T:T,1)</f>
        <v>0</v>
      </c>
      <c r="CL64" s="616">
        <f>COUNTIFS('ST | Drawing List'!$H:$H,"ST-T2V-1",'ST | Drawing List'!U:U,1)</f>
        <v>0</v>
      </c>
      <c r="CM64" s="343"/>
      <c r="CN64" s="343"/>
      <c r="CO64" s="525">
        <v>0.1</v>
      </c>
      <c r="CP64" s="343"/>
      <c r="CQ64" s="616">
        <f t="shared" ref="CQ64:CQ73" si="219">$CQ$63/$CO$63*CO64</f>
        <v>1.2518784E-2</v>
      </c>
      <c r="CR64" s="618">
        <f t="shared" si="25"/>
        <v>1.2518784E-2</v>
      </c>
      <c r="CS64" s="615">
        <f t="shared" ref="CS64:CS73" si="220">IFERROR(IF(DF64=100%,CQ64,0),0)</f>
        <v>1.2518784E-2</v>
      </c>
      <c r="CT64" s="615">
        <f t="shared" ref="CT64:CT73" si="221">IFERROR(IF(AND((DF64+DG64)=100%,DF64&lt;1),CQ64,0),0)</f>
        <v>0</v>
      </c>
      <c r="CU64" s="615">
        <f t="shared" ref="CU64:CU73" si="222">IFERROR(IF(AND((DK64+DM64)=DJ64,CS64=0),CQ64,0),0)</f>
        <v>0</v>
      </c>
      <c r="CV64" s="615">
        <f t="shared" ref="CV64:CV73" si="223">IFERROR(IF(AND((DK64+DM64+DN64)=DJ64,CS64=0,CU64=0),CQ64,0),0)</f>
        <v>0</v>
      </c>
      <c r="CW64" s="615">
        <f t="shared" ref="CW64:CW73" si="224">IFERROR(IF(AND((DK64+DM64+DN64+DO64)=DJ64,CS64=0,CU64=0,CV64=0),CQ64,0),0)</f>
        <v>0</v>
      </c>
      <c r="CX64" s="615">
        <f t="shared" ref="CX64:CX73" si="225">IFERROR(IF(AND((DK64+DM64+DN64+DO64+DP64)=DJ64,CS64=0,CU64=0,CV64=0,CW64=0),CQ64,0),0)</f>
        <v>0</v>
      </c>
      <c r="CY64" s="339"/>
      <c r="CZ64" s="615">
        <f t="shared" ref="CZ64:CZ73" si="226">IFERROR(IF(AND((DF64+DH64)=100%,DF64&lt;1),CQ64,0),0)</f>
        <v>0</v>
      </c>
      <c r="DA64" s="615">
        <f t="shared" ref="DA64:DA73" si="227">IFERROR(IF(AND((DK64+DS64)=DJ64,CS64=0),CQ64,0),0)</f>
        <v>0</v>
      </c>
      <c r="DB64" s="615">
        <f t="shared" ref="DB64:DB73" si="228">IFERROR(IF(AND((DK64+DS64+DT64)=DJ64,CS64=0,DA64=0),CQ64,0),0)</f>
        <v>0</v>
      </c>
      <c r="DC64" s="615">
        <f t="shared" ref="DC64:DC73" si="229">IFERROR(IF(AND((DK64+DS64+DT64+DU64)=DJ64,CS64=0,DA64=0,DB64=0),CQ64,0),0)</f>
        <v>0</v>
      </c>
      <c r="DD64" s="615">
        <f t="shared" ref="DD64:DD73" si="230">IFERROR(IF(AND((DK64+DS64+DT64+DU64+DV64)=DJ64,CS64=0,DA64=0,DB64=0,DC64=0),CQ64,0),0)</f>
        <v>0</v>
      </c>
      <c r="DE64" s="339"/>
      <c r="DF64" s="625">
        <f t="shared" ref="DF64:DF73" si="231">IFERROR(DK64/DJ64,0)</f>
        <v>1</v>
      </c>
      <c r="DG64" s="625">
        <f t="shared" ref="DG64:DG73" si="232">IFERROR(DL64/DJ64,0)</f>
        <v>0</v>
      </c>
      <c r="DH64" s="625">
        <f t="shared" ref="DH64:DH73" si="233">IFERROR(DR64/DJ64,0)</f>
        <v>0</v>
      </c>
      <c r="DI64" s="341"/>
      <c r="DJ64" s="615">
        <f>COUNTIF('MEP | Drawing List'!$H:$H,"MEP-T2V-6V-1")</f>
        <v>2</v>
      </c>
      <c r="DK64" s="616">
        <f>COUNTIFS('MEP | Drawing List'!$H:$H,"MEP-T2V-6V-1",'MEP | Drawing List'!$J:$J,1)</f>
        <v>2</v>
      </c>
      <c r="DL64" s="616">
        <f>COUNTIFS('MEP | Drawing List'!$H:$H,"MEP-T2V-6V-1",'MEP | Drawing List'!$L:$L,1)</f>
        <v>0</v>
      </c>
      <c r="DM64" s="615">
        <f>COUNTIFS('MEP | Drawing List'!$H:$H,"MEP-T2V-6V-1",'MEP | Drawing List'!M:M,1)</f>
        <v>0</v>
      </c>
      <c r="DN64" s="615">
        <f>COUNTIFS('MEP | Drawing List'!$H:$H,"MEP-T2V-6V-1",'MEP | Drawing List'!N:N,1)</f>
        <v>0</v>
      </c>
      <c r="DO64" s="615">
        <f>COUNTIFS('MEP | Drawing List'!$H:$H,"MEP-T2V-6V-1",'MEP | Drawing List'!O:O,1)</f>
        <v>0</v>
      </c>
      <c r="DP64" s="615">
        <f>COUNTIFS('MEP | Drawing List'!$H:$H,"MEP-T2V-6V-1",'MEP | Drawing List'!P:P,1)</f>
        <v>0</v>
      </c>
      <c r="DQ64" s="339"/>
      <c r="DR64" s="616">
        <f>COUNTIFS('MEP | Drawing List'!$H:$H,"MEP-T2V-6V-1",'MEP | Drawing List'!$Q:$Q,1)</f>
        <v>0</v>
      </c>
      <c r="DS64" s="615">
        <f>COUNTIFS('MEP | Drawing List'!$H:$H,"MEP-T2V-6V-1",'MEP | Drawing List'!R:R,1)</f>
        <v>0</v>
      </c>
      <c r="DT64" s="615">
        <f>COUNTIFS('MEP | Drawing List'!$H:$H,"MEP-T2V-6V-1",'MEP | Drawing List'!S:S,1)</f>
        <v>0</v>
      </c>
      <c r="DU64" s="615">
        <f>COUNTIFS('MEP | Drawing List'!$H:$H,"MEP-T2V-6V-1",'MEP | Drawing List'!T:T,1)</f>
        <v>0</v>
      </c>
      <c r="DV64" s="615">
        <f>COUNTIFS('MEP | Drawing List'!$H:$H,"MEP-T2V-6V-1",'MEP | Drawing List'!U:U,1)</f>
        <v>0</v>
      </c>
      <c r="DW64" s="343"/>
      <c r="DX64" s="343"/>
      <c r="DY64" s="525">
        <v>0</v>
      </c>
      <c r="DZ64" s="343"/>
      <c r="EA64" s="344">
        <v>0</v>
      </c>
      <c r="EB64" s="618">
        <f t="shared" si="28"/>
        <v>0</v>
      </c>
      <c r="EC64" s="81"/>
      <c r="ED64" s="81"/>
      <c r="EE64" s="339"/>
      <c r="EF64" s="339"/>
      <c r="EG64" s="339"/>
      <c r="EH64" s="339"/>
      <c r="EI64" s="339"/>
      <c r="EJ64" s="81"/>
      <c r="EK64" s="339"/>
      <c r="EL64" s="339"/>
      <c r="EM64" s="339"/>
      <c r="EN64" s="339"/>
      <c r="EO64" s="339"/>
      <c r="EP64" s="642"/>
      <c r="EQ64" s="642"/>
      <c r="ER64" s="642"/>
      <c r="ES64" s="82"/>
      <c r="ET64" s="615">
        <f>COUNTIF('LS | Drawing List'!$H:$H,"LS-T2V-1")</f>
        <v>0</v>
      </c>
      <c r="EU64" s="616">
        <f>COUNTIFS('LS | Drawing List'!$H:$H,"LS-T2V-1",'LS | Drawing List'!$J:$J,1)</f>
        <v>0</v>
      </c>
      <c r="EV64" s="616">
        <f>COUNTIFS('LS | Drawing List'!$H:$H,"LS-T2V-1",'LS | Drawing List'!$L:$L,1)</f>
        <v>0</v>
      </c>
      <c r="EW64" s="615">
        <f>COUNTIFS('LS | Drawing List'!$H:$H,"LS-T2V-1",'LS | Drawing List'!M:M,1)</f>
        <v>0</v>
      </c>
      <c r="EX64" s="615">
        <f>COUNTIFS('LS | Drawing List'!$H:$H,"LS-T2V-1",'LS | Drawing List'!N:N,1)</f>
        <v>0</v>
      </c>
      <c r="EY64" s="615">
        <f>COUNTIFS('LS | Drawing List'!$H:$H,"LS-T2V-1",'LS | Drawing List'!O:O,1)</f>
        <v>0</v>
      </c>
      <c r="EZ64" s="615">
        <f>COUNTIFS('LS | Drawing List'!$H:$H,"LS-T2V-1",'LS | Drawing List'!P:P,1)</f>
        <v>0</v>
      </c>
      <c r="FA64" s="81"/>
      <c r="FB64" s="616">
        <f>COUNTIFS('LS | Drawing List'!$H:$H,"LS-T2V-1",'LS | Drawing List'!$Q:$Q,1)</f>
        <v>0</v>
      </c>
      <c r="FC64" s="615">
        <f>COUNTIFS('LS | Drawing List'!$H:$H,"LS-T2V-1",'LS | Drawing List'!R:R,1)</f>
        <v>0</v>
      </c>
      <c r="FD64" s="615">
        <f>COUNTIFS('LS | Drawing List'!$H:$H,"LS-T2V-1",'LS | Drawing List'!S:S,1)</f>
        <v>0</v>
      </c>
      <c r="FE64" s="615">
        <f>COUNTIFS('LS | Drawing List'!$H:$H,"LS-T2V-1",'LS | Drawing List'!T:T,1)</f>
        <v>0</v>
      </c>
      <c r="FF64" s="615">
        <f>COUNTIFS('LS | Drawing List'!$H:$H,"LS-T2V-1",'LS | Drawing List'!U:U,1)</f>
        <v>0</v>
      </c>
      <c r="FG64" s="48"/>
    </row>
    <row r="65" spans="1:163" ht="14.25" hidden="1" outlineLevel="2">
      <c r="A65" s="48"/>
      <c r="B65" s="87" t="s">
        <v>74</v>
      </c>
      <c r="C65" s="276">
        <v>2</v>
      </c>
      <c r="D65" s="272" t="s">
        <v>54</v>
      </c>
      <c r="E65" s="48"/>
      <c r="F65" s="619">
        <f t="shared" si="159"/>
        <v>0.19986560000000003</v>
      </c>
      <c r="G65" s="619">
        <f t="shared" si="160"/>
        <v>0.19986560000000003</v>
      </c>
      <c r="H65" s="615">
        <f t="shared" si="161"/>
        <v>0</v>
      </c>
      <c r="I65" s="615">
        <f t="shared" si="162"/>
        <v>0</v>
      </c>
      <c r="J65" s="615">
        <f t="shared" si="163"/>
        <v>0</v>
      </c>
      <c r="K65" s="615">
        <f t="shared" si="164"/>
        <v>0</v>
      </c>
      <c r="L65" s="615">
        <f t="shared" si="165"/>
        <v>0</v>
      </c>
      <c r="M65" s="620">
        <f t="shared" si="166"/>
        <v>0</v>
      </c>
      <c r="N65" s="287"/>
      <c r="O65" s="615">
        <f t="shared" si="167"/>
        <v>0</v>
      </c>
      <c r="P65" s="615">
        <f t="shared" si="168"/>
        <v>0</v>
      </c>
      <c r="Q65" s="615">
        <f t="shared" si="169"/>
        <v>0</v>
      </c>
      <c r="R65" s="615">
        <f t="shared" si="170"/>
        <v>0</v>
      </c>
      <c r="S65" s="615">
        <f t="shared" si="171"/>
        <v>0</v>
      </c>
      <c r="T65" s="48"/>
      <c r="U65" s="519">
        <v>0.05</v>
      </c>
      <c r="V65" s="131"/>
      <c r="W65" s="619">
        <f t="shared" si="188"/>
        <v>0.10908800000000003</v>
      </c>
      <c r="X65" s="619">
        <f t="shared" si="19"/>
        <v>0.10908800000000003</v>
      </c>
      <c r="Y65" s="615">
        <f t="shared" si="189"/>
        <v>0.10908800000000003</v>
      </c>
      <c r="Z65" s="615">
        <f t="shared" si="190"/>
        <v>0</v>
      </c>
      <c r="AA65" s="615">
        <f t="shared" si="191"/>
        <v>0</v>
      </c>
      <c r="AB65" s="615">
        <f t="shared" si="192"/>
        <v>0</v>
      </c>
      <c r="AC65" s="615">
        <f t="shared" si="193"/>
        <v>0</v>
      </c>
      <c r="AD65" s="620">
        <f t="shared" si="194"/>
        <v>0</v>
      </c>
      <c r="AE65" s="287"/>
      <c r="AF65" s="615">
        <f t="shared" si="195"/>
        <v>0</v>
      </c>
      <c r="AG65" s="615">
        <f t="shared" si="196"/>
        <v>0</v>
      </c>
      <c r="AH65" s="615">
        <f t="shared" si="197"/>
        <v>0</v>
      </c>
      <c r="AI65" s="615">
        <f t="shared" si="198"/>
        <v>0</v>
      </c>
      <c r="AJ65" s="615">
        <f t="shared" si="199"/>
        <v>0</v>
      </c>
      <c r="AK65" s="339"/>
      <c r="AL65" s="625">
        <f t="shared" si="200"/>
        <v>1</v>
      </c>
      <c r="AM65" s="625">
        <f t="shared" si="201"/>
        <v>0</v>
      </c>
      <c r="AN65" s="625">
        <f t="shared" si="202"/>
        <v>0</v>
      </c>
      <c r="AO65" s="341"/>
      <c r="AP65" s="615">
        <f>COUNTIF('AR | Drawing List'!$H:$H,"AR-T2V-2")</f>
        <v>4</v>
      </c>
      <c r="AQ65" s="616">
        <f>COUNTIFS('AR | Drawing List'!$H:$H,"AR-T2V-2",'AR | Drawing List'!$J:$J,1)</f>
        <v>4</v>
      </c>
      <c r="AR65" s="616">
        <f t="shared" si="32"/>
        <v>0</v>
      </c>
      <c r="AS65" s="616">
        <f>COUNTIFS('AR | Drawing List'!$H:$H,"AR-T2V-2",'AR | Drawing List'!M:M,1)</f>
        <v>0</v>
      </c>
      <c r="AT65" s="616">
        <f>COUNTIFS('AR | Drawing List'!$H:$H,"AR-T2V-2",'AR | Drawing List'!N:N,1)</f>
        <v>0</v>
      </c>
      <c r="AU65" s="616">
        <f>COUNTIFS('AR | Drawing List'!$H:$H,"AR-T2V-2",'AR | Drawing List'!O:O,1)</f>
        <v>0</v>
      </c>
      <c r="AV65" s="616">
        <f>COUNTIFS('AR | Drawing List'!$H:$H,"AR-T2V-2",'AR | Drawing List'!P:P,1)</f>
        <v>0</v>
      </c>
      <c r="AW65" s="328"/>
      <c r="AX65" s="616">
        <f t="shared" si="203"/>
        <v>0</v>
      </c>
      <c r="AY65" s="616">
        <f>COUNTIFS('AR | Drawing List'!$H:$H,"AR-T2V-2",'AR | Drawing List'!R:R,1)</f>
        <v>0</v>
      </c>
      <c r="AZ65" s="616">
        <f>COUNTIFS('AR | Drawing List'!$H:$H,"AR-T2V-2",'AR | Drawing List'!S:S,1)</f>
        <v>0</v>
      </c>
      <c r="BA65" s="616">
        <f>COUNTIFS('AR | Drawing List'!$H:$H,"AR-T2V-2",'AR | Drawing List'!T:T,1)</f>
        <v>0</v>
      </c>
      <c r="BB65" s="616">
        <f>COUNTIFS('AR | Drawing List'!$H:$H,"AR-T2V-2",'AR | Drawing List'!U:U,1)</f>
        <v>0</v>
      </c>
      <c r="BC65" s="359"/>
      <c r="BD65" s="359"/>
      <c r="BE65" s="525">
        <v>0.1</v>
      </c>
      <c r="BF65" s="343"/>
      <c r="BG65" s="616">
        <f t="shared" si="204"/>
        <v>9.07776E-2</v>
      </c>
      <c r="BH65" s="618">
        <f t="shared" si="22"/>
        <v>9.07776E-2</v>
      </c>
      <c r="BI65" s="615">
        <f t="shared" si="205"/>
        <v>9.07776E-2</v>
      </c>
      <c r="BJ65" s="615">
        <f t="shared" si="206"/>
        <v>0</v>
      </c>
      <c r="BK65" s="615">
        <f t="shared" si="207"/>
        <v>0</v>
      </c>
      <c r="BL65" s="615">
        <f t="shared" si="208"/>
        <v>0</v>
      </c>
      <c r="BM65" s="615">
        <f t="shared" si="209"/>
        <v>0</v>
      </c>
      <c r="BN65" s="615">
        <f t="shared" si="210"/>
        <v>0</v>
      </c>
      <c r="BO65" s="339"/>
      <c r="BP65" s="615">
        <f t="shared" si="211"/>
        <v>0</v>
      </c>
      <c r="BQ65" s="615">
        <f t="shared" si="212"/>
        <v>0</v>
      </c>
      <c r="BR65" s="615">
        <f t="shared" si="213"/>
        <v>0</v>
      </c>
      <c r="BS65" s="615">
        <f t="shared" si="214"/>
        <v>0</v>
      </c>
      <c r="BT65" s="615">
        <f t="shared" si="215"/>
        <v>0</v>
      </c>
      <c r="BU65" s="339"/>
      <c r="BV65" s="635">
        <f t="shared" si="216"/>
        <v>1</v>
      </c>
      <c r="BW65" s="635">
        <f t="shared" si="217"/>
        <v>0</v>
      </c>
      <c r="BX65" s="635">
        <f t="shared" si="218"/>
        <v>0</v>
      </c>
      <c r="BY65" s="345"/>
      <c r="BZ65" s="615">
        <f>COUNTIF('ST | Drawing List'!$H:$H,"ST-T2V-2")</f>
        <v>8</v>
      </c>
      <c r="CA65" s="616">
        <f>COUNTIFS('ST | Drawing List'!$H:$H,"ST-T2V-2",'ST | Drawing List'!$J:$J,1)</f>
        <v>8</v>
      </c>
      <c r="CB65" s="623">
        <f>COUNTIFS('ST | Drawing List'!$H:$H,"ST-T2V-2",'ST | Drawing List'!$L:$L,1)</f>
        <v>0</v>
      </c>
      <c r="CC65" s="616">
        <f>COUNTIFS('ST | Drawing List'!$H:$H,"ST-T2V-2",'ST | Drawing List'!M:M,1)</f>
        <v>0</v>
      </c>
      <c r="CD65" s="616">
        <f>COUNTIFS('ST | Drawing List'!$H:$H,"ST-T2V-2",'ST | Drawing List'!N:N,1)</f>
        <v>0</v>
      </c>
      <c r="CE65" s="616">
        <f>COUNTIFS('ST | Drawing List'!$H:$H,"ST-T2V-2",'ST | Drawing List'!O:O,1)</f>
        <v>0</v>
      </c>
      <c r="CF65" s="616">
        <f>COUNTIFS('ST | Drawing List'!$H:$H,"ST-T2V-2",'ST | Drawing List'!P:P,1)</f>
        <v>0</v>
      </c>
      <c r="CG65" s="532"/>
      <c r="CH65" s="623">
        <f>COUNTIFS('ST | Drawing List'!$H:$H,"ST-T2V-2",'ST | Drawing List'!$Q:$Q,1)</f>
        <v>0</v>
      </c>
      <c r="CI65" s="616">
        <f>COUNTIFS('ST | Drawing List'!$H:$H,"ST-T2V-2",'ST | Drawing List'!R:R,1)</f>
        <v>0</v>
      </c>
      <c r="CJ65" s="616">
        <f>COUNTIFS('ST | Drawing List'!$H:$H,"ST-T2V-2",'ST | Drawing List'!S:S,1)</f>
        <v>0</v>
      </c>
      <c r="CK65" s="616">
        <f>COUNTIFS('ST | Drawing List'!$H:$H,"ST-T2V-2",'ST | Drawing List'!T:T,1)</f>
        <v>0</v>
      </c>
      <c r="CL65" s="616">
        <f>COUNTIFS('ST | Drawing List'!$H:$H,"ST-T2V-2",'ST | Drawing List'!U:U,1)</f>
        <v>0</v>
      </c>
      <c r="CM65" s="343"/>
      <c r="CN65" s="343"/>
      <c r="CO65" s="666">
        <v>0</v>
      </c>
      <c r="CP65" s="343"/>
      <c r="CQ65" s="616">
        <f t="shared" si="219"/>
        <v>0</v>
      </c>
      <c r="CR65" s="618">
        <f t="shared" si="25"/>
        <v>0</v>
      </c>
      <c r="CS65" s="615">
        <f t="shared" si="220"/>
        <v>0</v>
      </c>
      <c r="CT65" s="615">
        <f t="shared" si="221"/>
        <v>0</v>
      </c>
      <c r="CU65" s="615">
        <f t="shared" si="222"/>
        <v>0</v>
      </c>
      <c r="CV65" s="615">
        <f t="shared" si="223"/>
        <v>0</v>
      </c>
      <c r="CW65" s="615">
        <f t="shared" si="224"/>
        <v>0</v>
      </c>
      <c r="CX65" s="615">
        <f t="shared" si="225"/>
        <v>0</v>
      </c>
      <c r="CY65" s="339"/>
      <c r="CZ65" s="615">
        <f t="shared" si="226"/>
        <v>0</v>
      </c>
      <c r="DA65" s="615">
        <f t="shared" si="227"/>
        <v>0</v>
      </c>
      <c r="DB65" s="615">
        <f t="shared" si="228"/>
        <v>0</v>
      </c>
      <c r="DC65" s="615">
        <f t="shared" si="229"/>
        <v>0</v>
      </c>
      <c r="DD65" s="615">
        <f t="shared" si="230"/>
        <v>0</v>
      </c>
      <c r="DE65" s="339"/>
      <c r="DF65" s="625">
        <f t="shared" si="231"/>
        <v>1</v>
      </c>
      <c r="DG65" s="625">
        <f t="shared" si="232"/>
        <v>0</v>
      </c>
      <c r="DH65" s="625">
        <f t="shared" si="233"/>
        <v>0</v>
      </c>
      <c r="DI65" s="345"/>
      <c r="DJ65" s="615">
        <f>COUNTIF('MEP | Drawing List'!$H:$H,"MEP-T2V-6V-2")</f>
        <v>1</v>
      </c>
      <c r="DK65" s="616">
        <f>COUNTIFS('MEP | Drawing List'!$H:$H,"MEP-T2V-6V-2",'MEP | Drawing List'!$J:$J,1)</f>
        <v>1</v>
      </c>
      <c r="DL65" s="616">
        <f>COUNTIFS('MEP | Drawing List'!$H:$H,"MEP-T2V-6V-2",'MEP | Drawing List'!$L:$L,1)</f>
        <v>0</v>
      </c>
      <c r="DM65" s="615">
        <f>COUNTIFS('MEP | Drawing List'!$H:$H,"MEP-T2V-6V-2",'MEP | Drawing List'!M:M,1)</f>
        <v>0</v>
      </c>
      <c r="DN65" s="615">
        <f>COUNTIFS('MEP | Drawing List'!$H:$H,"MEP-T2V-6V-2",'MEP | Drawing List'!N:N,1)</f>
        <v>0</v>
      </c>
      <c r="DO65" s="615">
        <f>COUNTIFS('MEP | Drawing List'!$H:$H,"MEP-T2V-6V-2",'MEP | Drawing List'!O:O,1)</f>
        <v>0</v>
      </c>
      <c r="DP65" s="615">
        <f>COUNTIFS('MEP | Drawing List'!$H:$H,"MEP-T2V-6V-2",'MEP | Drawing List'!P:P,1)</f>
        <v>0</v>
      </c>
      <c r="DQ65" s="339"/>
      <c r="DR65" s="616">
        <f>COUNTIFS('MEP | Drawing List'!$H:$H,"MEP-T2V-6V-2",'MEP | Drawing List'!$Q:$Q,1)</f>
        <v>0</v>
      </c>
      <c r="DS65" s="615">
        <f>COUNTIFS('MEP | Drawing List'!$H:$H,"MEP-T2V-6V-2",'MEP | Drawing List'!R:R,1)</f>
        <v>0</v>
      </c>
      <c r="DT65" s="615">
        <f>COUNTIFS('MEP | Drawing List'!$H:$H,"MEP-T2V-6V-2",'MEP | Drawing List'!S:S,1)</f>
        <v>0</v>
      </c>
      <c r="DU65" s="615">
        <f>COUNTIFS('MEP | Drawing List'!$H:$H,"MEP-T2V-6V-2",'MEP | Drawing List'!T:T,1)</f>
        <v>0</v>
      </c>
      <c r="DV65" s="615">
        <f>COUNTIFS('MEP | Drawing List'!$H:$H,"MEP-T2V-6V-2",'MEP | Drawing List'!U:U,1)</f>
        <v>0</v>
      </c>
      <c r="DW65" s="343"/>
      <c r="DX65" s="343"/>
      <c r="DY65" s="525">
        <v>0</v>
      </c>
      <c r="DZ65" s="343"/>
      <c r="EA65" s="344">
        <v>0</v>
      </c>
      <c r="EB65" s="618">
        <f t="shared" si="28"/>
        <v>0</v>
      </c>
      <c r="EC65" s="88"/>
      <c r="ED65" s="88"/>
      <c r="EE65" s="339"/>
      <c r="EF65" s="339"/>
      <c r="EG65" s="339"/>
      <c r="EH65" s="339"/>
      <c r="EI65" s="339"/>
      <c r="EJ65" s="88"/>
      <c r="EK65" s="339"/>
      <c r="EL65" s="339"/>
      <c r="EM65" s="339"/>
      <c r="EN65" s="339"/>
      <c r="EO65" s="339"/>
      <c r="EP65" s="639"/>
      <c r="EQ65" s="639"/>
      <c r="ER65" s="639"/>
      <c r="ES65" s="55"/>
      <c r="ET65" s="615">
        <f>COUNTIF('LS | Drawing List'!$H:$H,"LS-T2V-2")</f>
        <v>0</v>
      </c>
      <c r="EU65" s="616">
        <f>COUNTIFS('LS | Drawing List'!$H:$H,"LS-T2V-2",'LS | Drawing List'!$J:$J,1)</f>
        <v>0</v>
      </c>
      <c r="EV65" s="616">
        <f>COUNTIFS('LS | Drawing List'!$H:$H,"LS-T2V-2",'LS | Drawing List'!$L:$L,1)</f>
        <v>0</v>
      </c>
      <c r="EW65" s="615">
        <f>COUNTIFS('LS | Drawing List'!$H:$H,"LS-T2V-2",'LS | Drawing List'!M:M,1)</f>
        <v>0</v>
      </c>
      <c r="EX65" s="615">
        <f>COUNTIFS('LS | Drawing List'!$H:$H,"LS-T2V-2",'LS | Drawing List'!N:N,1)</f>
        <v>0</v>
      </c>
      <c r="EY65" s="615">
        <f>COUNTIFS('LS | Drawing List'!$H:$H,"LS-T2V-2",'LS | Drawing List'!O:O,1)</f>
        <v>0</v>
      </c>
      <c r="EZ65" s="615">
        <f>COUNTIFS('LS | Drawing List'!$H:$H,"LS-T2V-2",'LS | Drawing List'!P:P,1)</f>
        <v>0</v>
      </c>
      <c r="FA65" s="81"/>
      <c r="FB65" s="616">
        <f>COUNTIFS('LS | Drawing List'!$H:$H,"LS-T2V-2",'LS | Drawing List'!$Q:$Q,1)</f>
        <v>0</v>
      </c>
      <c r="FC65" s="615">
        <f>COUNTIFS('LS | Drawing List'!$H:$H,"LS-T2V-2",'LS | Drawing List'!R:R,1)</f>
        <v>0</v>
      </c>
      <c r="FD65" s="615">
        <f>COUNTIFS('LS | Drawing List'!$H:$H,"LS-T2V-2",'LS | Drawing List'!S:S,1)</f>
        <v>0</v>
      </c>
      <c r="FE65" s="615">
        <f>COUNTIFS('LS | Drawing List'!$H:$H,"LS-T2V-2",'LS | Drawing List'!T:T,1)</f>
        <v>0</v>
      </c>
      <c r="FF65" s="615">
        <f>COUNTIFS('LS | Drawing List'!$H:$H,"LS-T2V-2",'LS | Drawing List'!U:U,1)</f>
        <v>0</v>
      </c>
      <c r="FG65" s="48"/>
    </row>
    <row r="66" spans="1:163" s="95" customFormat="1" ht="14.25" hidden="1" outlineLevel="2">
      <c r="A66" s="89"/>
      <c r="B66" s="87" t="s">
        <v>75</v>
      </c>
      <c r="C66" s="277">
        <v>3</v>
      </c>
      <c r="D66" s="273" t="s">
        <v>56</v>
      </c>
      <c r="E66" s="89"/>
      <c r="F66" s="628">
        <f t="shared" si="159"/>
        <v>0.10908800000000003</v>
      </c>
      <c r="G66" s="628">
        <f t="shared" si="160"/>
        <v>0.10908800000000003</v>
      </c>
      <c r="H66" s="620">
        <f t="shared" si="161"/>
        <v>0</v>
      </c>
      <c r="I66" s="620">
        <f t="shared" si="162"/>
        <v>0</v>
      </c>
      <c r="J66" s="620">
        <f t="shared" si="163"/>
        <v>0</v>
      </c>
      <c r="K66" s="620">
        <f t="shared" si="164"/>
        <v>0</v>
      </c>
      <c r="L66" s="620">
        <f t="shared" si="165"/>
        <v>0</v>
      </c>
      <c r="M66" s="620">
        <f t="shared" si="166"/>
        <v>0</v>
      </c>
      <c r="N66" s="287"/>
      <c r="O66" s="615">
        <f t="shared" si="167"/>
        <v>0</v>
      </c>
      <c r="P66" s="615">
        <f t="shared" si="168"/>
        <v>0</v>
      </c>
      <c r="Q66" s="615">
        <f t="shared" si="169"/>
        <v>0</v>
      </c>
      <c r="R66" s="615">
        <f t="shared" si="170"/>
        <v>0</v>
      </c>
      <c r="S66" s="615">
        <f t="shared" si="171"/>
        <v>0</v>
      </c>
      <c r="T66" s="89"/>
      <c r="U66" s="552">
        <v>0.05</v>
      </c>
      <c r="V66" s="133"/>
      <c r="W66" s="628">
        <f t="shared" si="188"/>
        <v>0.10908800000000003</v>
      </c>
      <c r="X66" s="628">
        <f t="shared" si="19"/>
        <v>0.10908800000000003</v>
      </c>
      <c r="Y66" s="620">
        <f t="shared" si="189"/>
        <v>0.10908800000000003</v>
      </c>
      <c r="Z66" s="620">
        <f t="shared" si="190"/>
        <v>0</v>
      </c>
      <c r="AA66" s="620">
        <f t="shared" si="191"/>
        <v>0</v>
      </c>
      <c r="AB66" s="620">
        <f t="shared" si="192"/>
        <v>0</v>
      </c>
      <c r="AC66" s="620">
        <f t="shared" si="193"/>
        <v>0</v>
      </c>
      <c r="AD66" s="620">
        <f t="shared" si="194"/>
        <v>0</v>
      </c>
      <c r="AE66" s="287"/>
      <c r="AF66" s="615">
        <f t="shared" si="195"/>
        <v>0</v>
      </c>
      <c r="AG66" s="615">
        <f t="shared" si="196"/>
        <v>0</v>
      </c>
      <c r="AH66" s="615">
        <f t="shared" si="197"/>
        <v>0</v>
      </c>
      <c r="AI66" s="615">
        <f t="shared" si="198"/>
        <v>0</v>
      </c>
      <c r="AJ66" s="615">
        <f t="shared" si="199"/>
        <v>0</v>
      </c>
      <c r="AK66" s="339"/>
      <c r="AL66" s="627">
        <f t="shared" si="200"/>
        <v>1</v>
      </c>
      <c r="AM66" s="627">
        <f t="shared" si="201"/>
        <v>0</v>
      </c>
      <c r="AN66" s="625">
        <f t="shared" si="202"/>
        <v>0</v>
      </c>
      <c r="AO66" s="364"/>
      <c r="AP66" s="620">
        <f>COUNTIF('AR | Drawing List'!$H:$H,"AR-T2V-3")</f>
        <v>2</v>
      </c>
      <c r="AQ66" s="621">
        <f>COUNTIFS('AR | Drawing List'!$H:$H,"AR-T2V-3",'AR | Drawing List'!$J:$J,1)</f>
        <v>2</v>
      </c>
      <c r="AR66" s="621">
        <f t="shared" si="32"/>
        <v>0</v>
      </c>
      <c r="AS66" s="621">
        <f>COUNTIFS('AR | Drawing List'!$H:$H,"AR-T2V-3",'AR | Drawing List'!M:M,1)</f>
        <v>0</v>
      </c>
      <c r="AT66" s="621">
        <f>COUNTIFS('AR | Drawing List'!$H:$H,"AR-T2V-3",'AR | Drawing List'!N:N,1)</f>
        <v>0</v>
      </c>
      <c r="AU66" s="621">
        <f>COUNTIFS('AR | Drawing List'!$H:$H,"AR-T2V-3",'AR | Drawing List'!O:O,1)</f>
        <v>0</v>
      </c>
      <c r="AV66" s="621">
        <f>COUNTIFS('AR | Drawing List'!$H:$H,"AR-T2V-3",'AR | Drawing List'!P:P,1)</f>
        <v>0</v>
      </c>
      <c r="AW66" s="366"/>
      <c r="AX66" s="621">
        <f t="shared" si="203"/>
        <v>0</v>
      </c>
      <c r="AY66" s="621">
        <f>COUNTIFS('AR | Drawing List'!$H:$H,"AR-T2V-3",'AR | Drawing List'!R:R,1)</f>
        <v>0</v>
      </c>
      <c r="AZ66" s="621">
        <f>COUNTIFS('AR | Drawing List'!$H:$H,"AR-T2V-3",'AR | Drawing List'!S:S,1)</f>
        <v>0</v>
      </c>
      <c r="BA66" s="621">
        <f>COUNTIFS('AR | Drawing List'!$H:$H,"AR-T2V-3",'AR | Drawing List'!T:T,1)</f>
        <v>0</v>
      </c>
      <c r="BB66" s="621">
        <f>COUNTIFS('AR | Drawing List'!$H:$H,"AR-T2V-3",'AR | Drawing List'!U:U,1)</f>
        <v>0</v>
      </c>
      <c r="BC66" s="365"/>
      <c r="BD66" s="365"/>
      <c r="BE66" s="666">
        <v>0</v>
      </c>
      <c r="BF66" s="368"/>
      <c r="BG66" s="621">
        <f t="shared" si="204"/>
        <v>0</v>
      </c>
      <c r="BH66" s="622">
        <f t="shared" si="22"/>
        <v>0</v>
      </c>
      <c r="BI66" s="620">
        <f t="shared" si="205"/>
        <v>0</v>
      </c>
      <c r="BJ66" s="620">
        <f t="shared" si="206"/>
        <v>0</v>
      </c>
      <c r="BK66" s="615">
        <f t="shared" si="207"/>
        <v>0</v>
      </c>
      <c r="BL66" s="615">
        <f t="shared" si="208"/>
        <v>0</v>
      </c>
      <c r="BM66" s="615">
        <f t="shared" si="209"/>
        <v>0</v>
      </c>
      <c r="BN66" s="615">
        <f t="shared" si="210"/>
        <v>0</v>
      </c>
      <c r="BO66" s="339"/>
      <c r="BP66" s="615">
        <f t="shared" si="211"/>
        <v>0</v>
      </c>
      <c r="BQ66" s="615">
        <f t="shared" si="212"/>
        <v>0</v>
      </c>
      <c r="BR66" s="615">
        <f t="shared" si="213"/>
        <v>0</v>
      </c>
      <c r="BS66" s="615">
        <f t="shared" si="214"/>
        <v>0</v>
      </c>
      <c r="BT66" s="615">
        <f t="shared" si="215"/>
        <v>0</v>
      </c>
      <c r="BU66" s="339"/>
      <c r="BV66" s="635">
        <f t="shared" si="216"/>
        <v>0</v>
      </c>
      <c r="BW66" s="635">
        <f t="shared" si="217"/>
        <v>0</v>
      </c>
      <c r="BX66" s="635">
        <f t="shared" si="218"/>
        <v>0</v>
      </c>
      <c r="BY66" s="372"/>
      <c r="BZ66" s="620">
        <f>COUNTIF('ST | Drawing List'!$H:$H,"ST-T2V-3")</f>
        <v>0</v>
      </c>
      <c r="CA66" s="621">
        <f>COUNTIFS('ST | Drawing List'!$H:$H,"ST-T2V-3",'ST | Drawing List'!$J:$J,1)</f>
        <v>0</v>
      </c>
      <c r="CB66" s="624">
        <f>COUNTIFS('ST | Drawing List'!$H:$H,"ST-T2V-3",'ST | Drawing List'!$L:$L,1)</f>
        <v>0</v>
      </c>
      <c r="CC66" s="621">
        <f>COUNTIFS('ST | Drawing List'!$H:$H,"ST-T2V-3",'ST | Drawing List'!M:M,1)</f>
        <v>0</v>
      </c>
      <c r="CD66" s="621">
        <f>COUNTIFS('ST | Drawing List'!$H:$H,"ST-T2V-3",'ST | Drawing List'!N:N,1)</f>
        <v>0</v>
      </c>
      <c r="CE66" s="621">
        <f>COUNTIFS('ST | Drawing List'!$H:$H,"ST-T2V-3",'ST | Drawing List'!O:O,1)</f>
        <v>0</v>
      </c>
      <c r="CF66" s="621">
        <f>COUNTIFS('ST | Drawing List'!$H:$H,"ST-T2V-3",'ST | Drawing List'!P:P,1)</f>
        <v>0</v>
      </c>
      <c r="CG66" s="541"/>
      <c r="CH66" s="624">
        <f>COUNTIFS('ST | Drawing List'!$H:$H,"ST-T2V-3",'ST | Drawing List'!$Q:$Q,1)</f>
        <v>0</v>
      </c>
      <c r="CI66" s="621">
        <f>COUNTIFS('ST | Drawing List'!$H:$H,"ST-T2V-3",'ST | Drawing List'!R:R,1)</f>
        <v>0</v>
      </c>
      <c r="CJ66" s="621">
        <f>COUNTIFS('ST | Drawing List'!$H:$H,"ST-T2V-3",'ST | Drawing List'!S:S,1)</f>
        <v>0</v>
      </c>
      <c r="CK66" s="621">
        <f>COUNTIFS('ST | Drawing List'!$H:$H,"ST-T2V-3",'ST | Drawing List'!T:T,1)</f>
        <v>0</v>
      </c>
      <c r="CL66" s="621">
        <f>COUNTIFS('ST | Drawing List'!$H:$H,"ST-T2V-3",'ST | Drawing List'!U:U,1)</f>
        <v>0</v>
      </c>
      <c r="CM66" s="368"/>
      <c r="CN66" s="368"/>
      <c r="CO66" s="666">
        <v>0</v>
      </c>
      <c r="CP66" s="368"/>
      <c r="CQ66" s="621">
        <f t="shared" si="219"/>
        <v>0</v>
      </c>
      <c r="CR66" s="622">
        <f t="shared" si="25"/>
        <v>0</v>
      </c>
      <c r="CS66" s="620">
        <f t="shared" si="220"/>
        <v>0</v>
      </c>
      <c r="CT66" s="615">
        <f t="shared" si="221"/>
        <v>0</v>
      </c>
      <c r="CU66" s="615">
        <f t="shared" si="222"/>
        <v>0</v>
      </c>
      <c r="CV66" s="615">
        <f t="shared" si="223"/>
        <v>0</v>
      </c>
      <c r="CW66" s="615">
        <f t="shared" si="224"/>
        <v>0</v>
      </c>
      <c r="CX66" s="615">
        <f t="shared" si="225"/>
        <v>0</v>
      </c>
      <c r="CY66" s="339"/>
      <c r="CZ66" s="615">
        <f t="shared" si="226"/>
        <v>0</v>
      </c>
      <c r="DA66" s="615">
        <f t="shared" si="227"/>
        <v>0</v>
      </c>
      <c r="DB66" s="615">
        <f t="shared" si="228"/>
        <v>0</v>
      </c>
      <c r="DC66" s="615">
        <f t="shared" si="229"/>
        <v>0</v>
      </c>
      <c r="DD66" s="615">
        <f t="shared" si="230"/>
        <v>0</v>
      </c>
      <c r="DE66" s="339"/>
      <c r="DF66" s="625">
        <f t="shared" si="231"/>
        <v>0</v>
      </c>
      <c r="DG66" s="625">
        <f t="shared" si="232"/>
        <v>0</v>
      </c>
      <c r="DH66" s="625">
        <f t="shared" si="233"/>
        <v>0</v>
      </c>
      <c r="DI66" s="372"/>
      <c r="DJ66" s="620">
        <f>COUNTIF('MEP | Drawing List'!$H:$H,"MEP-T2V-6V-3")</f>
        <v>0</v>
      </c>
      <c r="DK66" s="621">
        <f>COUNTIFS('MEP | Drawing List'!$H:$H,"MEP-T2V-6V-3",'MEP | Drawing List'!$J:$J,1)</f>
        <v>0</v>
      </c>
      <c r="DL66" s="621">
        <f>COUNTIFS('MEP | Drawing List'!$H:$H,"MEP-T2V-6V-3",'MEP | Drawing List'!$L:$L,1)</f>
        <v>0</v>
      </c>
      <c r="DM66" s="620">
        <f>COUNTIFS('MEP | Drawing List'!$H:$H,"MEP-T2V-6V-3",'MEP | Drawing List'!M:M,1)</f>
        <v>0</v>
      </c>
      <c r="DN66" s="620">
        <f>COUNTIFS('MEP | Drawing List'!$H:$H,"MEP-T2V-6V-3",'MEP | Drawing List'!N:N,1)</f>
        <v>0</v>
      </c>
      <c r="DO66" s="620">
        <f>COUNTIFS('MEP | Drawing List'!$H:$H,"MEP-T2V-6V-3",'MEP | Drawing List'!O:O,1)</f>
        <v>0</v>
      </c>
      <c r="DP66" s="620">
        <f>COUNTIFS('MEP | Drawing List'!$H:$H,"MEP-T2V-6V-3",'MEP | Drawing List'!P:P,1)</f>
        <v>0</v>
      </c>
      <c r="DQ66" s="287"/>
      <c r="DR66" s="621">
        <f>COUNTIFS('MEP | Drawing List'!$H:$H,"MEP-T2V-6V-3",'MEP | Drawing List'!$Q:$Q,1)</f>
        <v>0</v>
      </c>
      <c r="DS66" s="620">
        <f>COUNTIFS('MEP | Drawing List'!$H:$H,"MEP-T2V-6V-3",'MEP | Drawing List'!R:R,1)</f>
        <v>0</v>
      </c>
      <c r="DT66" s="620">
        <f>COUNTIFS('MEP | Drawing List'!$H:$H,"MEP-T2V-6V-3",'MEP | Drawing List'!S:S,1)</f>
        <v>0</v>
      </c>
      <c r="DU66" s="620">
        <f>COUNTIFS('MEP | Drawing List'!$H:$H,"MEP-T2V-6V-3",'MEP | Drawing List'!T:T,1)</f>
        <v>0</v>
      </c>
      <c r="DV66" s="620">
        <f>COUNTIFS('MEP | Drawing List'!$H:$H,"MEP-T2V-6V-3",'MEP | Drawing List'!U:U,1)</f>
        <v>0</v>
      </c>
      <c r="DW66" s="368"/>
      <c r="DX66" s="368"/>
      <c r="DY66" s="554">
        <v>0</v>
      </c>
      <c r="DZ66" s="368"/>
      <c r="EA66" s="344">
        <v>0</v>
      </c>
      <c r="EB66" s="622">
        <f t="shared" si="28"/>
        <v>0</v>
      </c>
      <c r="EC66" s="98"/>
      <c r="ED66" s="98"/>
      <c r="EE66" s="339"/>
      <c r="EF66" s="339"/>
      <c r="EG66" s="339"/>
      <c r="EH66" s="339"/>
      <c r="EI66" s="339"/>
      <c r="EJ66" s="98"/>
      <c r="EK66" s="339"/>
      <c r="EL66" s="339"/>
      <c r="EM66" s="339"/>
      <c r="EN66" s="339"/>
      <c r="EO66" s="339"/>
      <c r="EP66" s="103"/>
      <c r="EQ66" s="103"/>
      <c r="ER66" s="103"/>
      <c r="ES66" s="97"/>
      <c r="ET66" s="620">
        <f>COUNTIF('LS | Drawing List'!$H:$H,"LS-T2V-3")</f>
        <v>0</v>
      </c>
      <c r="EU66" s="621">
        <f>COUNTIFS('LS | Drawing List'!$H:$H,"LS-T2V-3",'LS | Drawing List'!$J:$J,1)</f>
        <v>0</v>
      </c>
      <c r="EV66" s="621">
        <f>COUNTIFS('LS | Drawing List'!$H:$H,"LS-T2V-3",'LS | Drawing List'!$L:$L,1)</f>
        <v>0</v>
      </c>
      <c r="EW66" s="620">
        <f>COUNTIFS('LS | Drawing List'!$H:$H,"LS-T2V-3",'LS | Drawing List'!M:M,1)</f>
        <v>0</v>
      </c>
      <c r="EX66" s="620">
        <f>COUNTIFS('LS | Drawing List'!$H:$H,"LS-T2V-3",'LS | Drawing List'!N:N,1)</f>
        <v>0</v>
      </c>
      <c r="EY66" s="620">
        <f>COUNTIFS('LS | Drawing List'!$H:$H,"LS-T2V-3",'LS | Drawing List'!O:O,1)</f>
        <v>0</v>
      </c>
      <c r="EZ66" s="620">
        <f>COUNTIFS('LS | Drawing List'!$H:$H,"LS-T2V-3",'LS | Drawing List'!P:P,1)</f>
        <v>0</v>
      </c>
      <c r="FA66" s="91"/>
      <c r="FB66" s="621">
        <f>COUNTIFS('LS | Drawing List'!$H:$H,"LS-T2V-3",'LS | Drawing List'!$Q:$Q,1)</f>
        <v>0</v>
      </c>
      <c r="FC66" s="620">
        <f>COUNTIFS('LS | Drawing List'!$H:$H,"LS-T2V-3",'LS | Drawing List'!R:R,1)</f>
        <v>0</v>
      </c>
      <c r="FD66" s="620">
        <f>COUNTIFS('LS | Drawing List'!$H:$H,"LS-T2V-3",'LS | Drawing List'!S:S,1)</f>
        <v>0</v>
      </c>
      <c r="FE66" s="620">
        <f>COUNTIFS('LS | Drawing List'!$H:$H,"LS-T2V-3",'LS | Drawing List'!T:T,1)</f>
        <v>0</v>
      </c>
      <c r="FF66" s="620">
        <f>COUNTIFS('LS | Drawing List'!$H:$H,"LS-T2V-3",'LS | Drawing List'!U:U,1)</f>
        <v>0</v>
      </c>
      <c r="FG66" s="89"/>
    </row>
    <row r="67" spans="1:163" ht="14.25" hidden="1" outlineLevel="2">
      <c r="A67" s="48"/>
      <c r="B67" s="87" t="s">
        <v>76</v>
      </c>
      <c r="C67" s="276">
        <v>4</v>
      </c>
      <c r="D67" s="272" t="s">
        <v>58</v>
      </c>
      <c r="E67" s="48"/>
      <c r="F67" s="619">
        <f t="shared" si="159"/>
        <v>0.21864377600000004</v>
      </c>
      <c r="G67" s="619">
        <f t="shared" si="160"/>
        <v>0.21864377600000004</v>
      </c>
      <c r="H67" s="616">
        <f t="shared" si="161"/>
        <v>0</v>
      </c>
      <c r="I67" s="616">
        <f t="shared" si="162"/>
        <v>0</v>
      </c>
      <c r="J67" s="616">
        <f t="shared" si="163"/>
        <v>0</v>
      </c>
      <c r="K67" s="616">
        <f t="shared" si="164"/>
        <v>0</v>
      </c>
      <c r="L67" s="616">
        <f t="shared" si="165"/>
        <v>0</v>
      </c>
      <c r="M67" s="620">
        <f t="shared" si="166"/>
        <v>0</v>
      </c>
      <c r="N67" s="287"/>
      <c r="O67" s="615">
        <f t="shared" si="167"/>
        <v>0</v>
      </c>
      <c r="P67" s="615">
        <f t="shared" si="168"/>
        <v>0</v>
      </c>
      <c r="Q67" s="615">
        <f t="shared" si="169"/>
        <v>0</v>
      </c>
      <c r="R67" s="615">
        <f t="shared" si="170"/>
        <v>0</v>
      </c>
      <c r="S67" s="615">
        <f t="shared" si="171"/>
        <v>0</v>
      </c>
      <c r="T67" s="48"/>
      <c r="U67" s="519">
        <v>0.05</v>
      </c>
      <c r="V67" s="131"/>
      <c r="W67" s="619">
        <f t="shared" si="188"/>
        <v>0.10908800000000003</v>
      </c>
      <c r="X67" s="619">
        <f t="shared" si="19"/>
        <v>0.10908800000000003</v>
      </c>
      <c r="Y67" s="616">
        <f t="shared" si="189"/>
        <v>0.10908800000000003</v>
      </c>
      <c r="Z67" s="616">
        <f t="shared" si="190"/>
        <v>0</v>
      </c>
      <c r="AA67" s="616">
        <f t="shared" si="191"/>
        <v>0</v>
      </c>
      <c r="AB67" s="616">
        <f t="shared" si="192"/>
        <v>0</v>
      </c>
      <c r="AC67" s="616">
        <f t="shared" si="193"/>
        <v>0</v>
      </c>
      <c r="AD67" s="620">
        <f t="shared" si="194"/>
        <v>0</v>
      </c>
      <c r="AE67" s="287"/>
      <c r="AF67" s="615">
        <f t="shared" si="195"/>
        <v>0</v>
      </c>
      <c r="AG67" s="615">
        <f t="shared" si="196"/>
        <v>0</v>
      </c>
      <c r="AH67" s="615">
        <f t="shared" si="197"/>
        <v>0</v>
      </c>
      <c r="AI67" s="615">
        <f t="shared" si="198"/>
        <v>0</v>
      </c>
      <c r="AJ67" s="615">
        <f t="shared" si="199"/>
        <v>0</v>
      </c>
      <c r="AK67" s="339"/>
      <c r="AL67" s="626">
        <f t="shared" si="200"/>
        <v>1</v>
      </c>
      <c r="AM67" s="626">
        <f t="shared" si="201"/>
        <v>0</v>
      </c>
      <c r="AN67" s="625">
        <f t="shared" si="202"/>
        <v>0</v>
      </c>
      <c r="AO67" s="341"/>
      <c r="AP67" s="615">
        <f>COUNTIF('AR | Drawing List'!$H:$H,"AR-T2V-4")</f>
        <v>3</v>
      </c>
      <c r="AQ67" s="616">
        <f>COUNTIFS('AR | Drawing List'!$H:$H,"AR-T2V-4",'AR | Drawing List'!$J:$J,1)</f>
        <v>3</v>
      </c>
      <c r="AR67" s="616">
        <f t="shared" si="32"/>
        <v>0</v>
      </c>
      <c r="AS67" s="616">
        <f>COUNTIFS('AR | Drawing List'!$H:$H,"AR-T2V-4",'AR | Drawing List'!M:M,1)</f>
        <v>0</v>
      </c>
      <c r="AT67" s="616">
        <f>COUNTIFS('AR | Drawing List'!$H:$H,"AR-T2V-4",'AR | Drawing List'!N:N,1)</f>
        <v>0</v>
      </c>
      <c r="AU67" s="616">
        <f>COUNTIFS('AR | Drawing List'!$H:$H,"AR-T2V-4",'AR | Drawing List'!O:O,1)</f>
        <v>0</v>
      </c>
      <c r="AV67" s="616">
        <f>COUNTIFS('AR | Drawing List'!$H:$H,"AR-T2V-4",'AR | Drawing List'!P:P,1)</f>
        <v>0</v>
      </c>
      <c r="AW67" s="328"/>
      <c r="AX67" s="616">
        <f t="shared" si="203"/>
        <v>0</v>
      </c>
      <c r="AY67" s="616">
        <f>COUNTIFS('AR | Drawing List'!$H:$H,"AR-T2V-4",'AR | Drawing List'!R:R,1)</f>
        <v>0</v>
      </c>
      <c r="AZ67" s="616">
        <f>COUNTIFS('AR | Drawing List'!$H:$H,"AR-T2V-4",'AR | Drawing List'!S:S,1)</f>
        <v>0</v>
      </c>
      <c r="BA67" s="616">
        <f>COUNTIFS('AR | Drawing List'!$H:$H,"AR-T2V-4",'AR | Drawing List'!T:T,1)</f>
        <v>0</v>
      </c>
      <c r="BB67" s="616">
        <f>COUNTIFS('AR | Drawing List'!$H:$H,"AR-T2V-4",'AR | Drawing List'!U:U,1)</f>
        <v>0</v>
      </c>
      <c r="BC67" s="359"/>
      <c r="BD67" s="359"/>
      <c r="BE67" s="523">
        <v>0.1</v>
      </c>
      <c r="BF67" s="343"/>
      <c r="BG67" s="616">
        <f t="shared" si="204"/>
        <v>9.07776E-2</v>
      </c>
      <c r="BH67" s="618">
        <f t="shared" si="22"/>
        <v>9.07776E-2</v>
      </c>
      <c r="BI67" s="616">
        <f t="shared" si="205"/>
        <v>9.07776E-2</v>
      </c>
      <c r="BJ67" s="616">
        <f t="shared" si="206"/>
        <v>0</v>
      </c>
      <c r="BK67" s="616">
        <f t="shared" si="207"/>
        <v>0</v>
      </c>
      <c r="BL67" s="616">
        <f t="shared" si="208"/>
        <v>0</v>
      </c>
      <c r="BM67" s="616">
        <f t="shared" si="209"/>
        <v>0</v>
      </c>
      <c r="BN67" s="616">
        <f t="shared" si="210"/>
        <v>0</v>
      </c>
      <c r="BO67" s="348"/>
      <c r="BP67" s="615">
        <f t="shared" si="211"/>
        <v>0</v>
      </c>
      <c r="BQ67" s="615">
        <f t="shared" si="212"/>
        <v>0</v>
      </c>
      <c r="BR67" s="615">
        <f t="shared" si="213"/>
        <v>0</v>
      </c>
      <c r="BS67" s="615">
        <f t="shared" si="214"/>
        <v>0</v>
      </c>
      <c r="BT67" s="615">
        <f t="shared" si="215"/>
        <v>0</v>
      </c>
      <c r="BU67" s="339"/>
      <c r="BV67" s="635">
        <f t="shared" si="216"/>
        <v>1</v>
      </c>
      <c r="BW67" s="635">
        <f t="shared" si="217"/>
        <v>0</v>
      </c>
      <c r="BX67" s="635">
        <f t="shared" si="218"/>
        <v>0</v>
      </c>
      <c r="BY67" s="341"/>
      <c r="BZ67" s="615">
        <f>COUNTIF('ST | Drawing List'!$H:$H,"ST-T2V-4")</f>
        <v>6</v>
      </c>
      <c r="CA67" s="616">
        <f>COUNTIFS('ST | Drawing List'!$H:$H,"ST-T2V-4",'ST | Drawing List'!$J:$J,1)</f>
        <v>6</v>
      </c>
      <c r="CB67" s="616">
        <f>COUNTIFS('ST | Drawing List'!$H:$H,"ST-T2V-4",'ST | Drawing List'!$L:$L,1)</f>
        <v>0</v>
      </c>
      <c r="CC67" s="616">
        <f>COUNTIFS('ST | Drawing List'!$H:$H,"ST-T2V-4",'ST | Drawing List'!M:M,1)</f>
        <v>0</v>
      </c>
      <c r="CD67" s="616">
        <f>COUNTIFS('ST | Drawing List'!$H:$H,"ST-T2V-4",'ST | Drawing List'!N:N,1)</f>
        <v>0</v>
      </c>
      <c r="CE67" s="616">
        <f>COUNTIFS('ST | Drawing List'!$H:$H,"ST-T2V-4",'ST | Drawing List'!O:O,1)</f>
        <v>0</v>
      </c>
      <c r="CF67" s="616">
        <f>COUNTIFS('ST | Drawing List'!$H:$H,"ST-T2V-4",'ST | Drawing List'!P:P,1)</f>
        <v>0</v>
      </c>
      <c r="CG67" s="532"/>
      <c r="CH67" s="616">
        <f>COUNTIFS('ST | Drawing List'!$H:$H,"ST-T2V-4",'ST | Drawing List'!$Q:$Q,1)</f>
        <v>0</v>
      </c>
      <c r="CI67" s="616">
        <f>COUNTIFS('ST | Drawing List'!$H:$H,"ST-T2V-4",'ST | Drawing List'!R:R,1)</f>
        <v>0</v>
      </c>
      <c r="CJ67" s="616">
        <f>COUNTIFS('ST | Drawing List'!$H:$H,"ST-T2V-4",'ST | Drawing List'!S:S,1)</f>
        <v>0</v>
      </c>
      <c r="CK67" s="616">
        <f>COUNTIFS('ST | Drawing List'!$H:$H,"ST-T2V-4",'ST | Drawing List'!T:T,1)</f>
        <v>0</v>
      </c>
      <c r="CL67" s="616">
        <f>COUNTIFS('ST | Drawing List'!$H:$H,"ST-T2V-4",'ST | Drawing List'!U:U,1)</f>
        <v>0</v>
      </c>
      <c r="CM67" s="343"/>
      <c r="CN67" s="343"/>
      <c r="CO67" s="523">
        <v>0.15</v>
      </c>
      <c r="CP67" s="343"/>
      <c r="CQ67" s="616">
        <f t="shared" si="219"/>
        <v>1.8778175999999997E-2</v>
      </c>
      <c r="CR67" s="618">
        <f t="shared" si="25"/>
        <v>1.8778175999999997E-2</v>
      </c>
      <c r="CS67" s="616">
        <f t="shared" si="220"/>
        <v>1.8778175999999997E-2</v>
      </c>
      <c r="CT67" s="615">
        <f t="shared" si="221"/>
        <v>0</v>
      </c>
      <c r="CU67" s="615">
        <f t="shared" si="222"/>
        <v>0</v>
      </c>
      <c r="CV67" s="615">
        <f t="shared" si="223"/>
        <v>0</v>
      </c>
      <c r="CW67" s="615">
        <f t="shared" si="224"/>
        <v>0</v>
      </c>
      <c r="CX67" s="615">
        <f t="shared" si="225"/>
        <v>0</v>
      </c>
      <c r="CY67" s="339"/>
      <c r="CZ67" s="615">
        <f t="shared" si="226"/>
        <v>0</v>
      </c>
      <c r="DA67" s="615">
        <f t="shared" si="227"/>
        <v>0</v>
      </c>
      <c r="DB67" s="615">
        <f t="shared" si="228"/>
        <v>0</v>
      </c>
      <c r="DC67" s="615">
        <f t="shared" si="229"/>
        <v>0</v>
      </c>
      <c r="DD67" s="615">
        <f t="shared" si="230"/>
        <v>0</v>
      </c>
      <c r="DE67" s="339"/>
      <c r="DF67" s="625">
        <f t="shared" si="231"/>
        <v>1</v>
      </c>
      <c r="DG67" s="625">
        <f t="shared" si="232"/>
        <v>0</v>
      </c>
      <c r="DH67" s="625">
        <f t="shared" si="233"/>
        <v>0</v>
      </c>
      <c r="DI67" s="341"/>
      <c r="DJ67" s="615">
        <f>COUNTIF('MEP | Drawing List'!$H:$H,"MEP-T2V-6V-4")</f>
        <v>23</v>
      </c>
      <c r="DK67" s="616">
        <f>COUNTIFS('MEP | Drawing List'!$H:$H,"MEP-T2V-6V-4",'MEP | Drawing List'!$J:$J,1)</f>
        <v>23</v>
      </c>
      <c r="DL67" s="616">
        <f>COUNTIFS('MEP | Drawing List'!$H:$H,"MEP-T2V-6V-4",'MEP | Drawing List'!$L:$L,1)</f>
        <v>0</v>
      </c>
      <c r="DM67" s="616">
        <f>COUNTIFS('MEP | Drawing List'!$H:$H,"MEP-T2V-6V-4",'MEP | Drawing List'!M:M,1)</f>
        <v>0</v>
      </c>
      <c r="DN67" s="616">
        <f>COUNTIFS('MEP | Drawing List'!$H:$H,"MEP-T2V-6V-4",'MEP | Drawing List'!N:N,1)</f>
        <v>0</v>
      </c>
      <c r="DO67" s="616">
        <f>COUNTIFS('MEP | Drawing List'!$H:$H,"MEP-T2V-6V-4",'MEP | Drawing List'!O:O,1)</f>
        <v>0</v>
      </c>
      <c r="DP67" s="616">
        <f>COUNTIFS('MEP | Drawing List'!$H:$H,"MEP-T2V-6V-4",'MEP | Drawing List'!P:P,1)</f>
        <v>0</v>
      </c>
      <c r="DQ67" s="348"/>
      <c r="DR67" s="616">
        <f>COUNTIFS('MEP | Drawing List'!$H:$H,"MEP-T2V-6V-4",'MEP | Drawing List'!$Q:$Q,1)</f>
        <v>0</v>
      </c>
      <c r="DS67" s="616">
        <f>COUNTIFS('MEP | Drawing List'!$H:$H,"MEP-T2V-6V-4",'MEP | Drawing List'!R:R,1)</f>
        <v>0</v>
      </c>
      <c r="DT67" s="616">
        <f>COUNTIFS('MEP | Drawing List'!$H:$H,"MEP-T2V-6V-4",'MEP | Drawing List'!S:S,1)</f>
        <v>0</v>
      </c>
      <c r="DU67" s="616">
        <f>COUNTIFS('MEP | Drawing List'!$H:$H,"MEP-T2V-6V-4",'MEP | Drawing List'!T:T,1)</f>
        <v>0</v>
      </c>
      <c r="DV67" s="616">
        <f>COUNTIFS('MEP | Drawing List'!$H:$H,"MEP-T2V-6V-4",'MEP | Drawing List'!U:U,1)</f>
        <v>0</v>
      </c>
      <c r="DW67" s="343"/>
      <c r="DX67" s="343"/>
      <c r="DY67" s="523">
        <v>0</v>
      </c>
      <c r="DZ67" s="343"/>
      <c r="EA67" s="344">
        <v>0</v>
      </c>
      <c r="EB67" s="618">
        <f t="shared" si="28"/>
        <v>0</v>
      </c>
      <c r="EC67" s="91"/>
      <c r="ED67" s="85"/>
      <c r="EE67" s="339"/>
      <c r="EF67" s="339"/>
      <c r="EG67" s="339"/>
      <c r="EH67" s="339"/>
      <c r="EI67" s="339"/>
      <c r="EJ67" s="85"/>
      <c r="EK67" s="339"/>
      <c r="EL67" s="339"/>
      <c r="EM67" s="339"/>
      <c r="EN67" s="339"/>
      <c r="EO67" s="339"/>
      <c r="EP67" s="103"/>
      <c r="EQ67" s="103"/>
      <c r="ER67" s="103"/>
      <c r="ES67" s="82"/>
      <c r="ET67" s="615">
        <f>COUNTIF('LS | Drawing List'!$H:$H,"LS-T2V-4")</f>
        <v>0</v>
      </c>
      <c r="EU67" s="616">
        <f>COUNTIFS('LS | Drawing List'!$H:$H,"LS-T2V-4",'LS | Drawing List'!$J:$J,1)</f>
        <v>0</v>
      </c>
      <c r="EV67" s="616">
        <f>COUNTIFS('LS | Drawing List'!$H:$H,"LS-T2V-4",'LS | Drawing List'!$L:$L,1)</f>
        <v>0</v>
      </c>
      <c r="EW67" s="616">
        <f>COUNTIFS('LS | Drawing List'!$H:$H,"LS-T2V-4",'LS | Drawing List'!M:M,1)</f>
        <v>0</v>
      </c>
      <c r="EX67" s="616">
        <f>COUNTIFS('LS | Drawing List'!$H:$H,"LS-T2V-4",'LS | Drawing List'!N:N,1)</f>
        <v>0</v>
      </c>
      <c r="EY67" s="616">
        <f>COUNTIFS('LS | Drawing List'!$H:$H,"LS-T2V-4",'LS | Drawing List'!O:O,1)</f>
        <v>0</v>
      </c>
      <c r="EZ67" s="616">
        <f>COUNTIFS('LS | Drawing List'!$H:$H,"LS-T2V-4",'LS | Drawing List'!P:P,1)</f>
        <v>0</v>
      </c>
      <c r="FA67" s="85"/>
      <c r="FB67" s="616">
        <f>COUNTIFS('LS | Drawing List'!$H:$H,"LS-T2V-4",'LS | Drawing List'!$Q:$Q,1)</f>
        <v>0</v>
      </c>
      <c r="FC67" s="616">
        <f>COUNTIFS('LS | Drawing List'!$H:$H,"LS-T2V-4",'LS | Drawing List'!R:R,1)</f>
        <v>0</v>
      </c>
      <c r="FD67" s="616">
        <f>COUNTIFS('LS | Drawing List'!$H:$H,"LS-T2V-4",'LS | Drawing List'!S:S,1)</f>
        <v>0</v>
      </c>
      <c r="FE67" s="616">
        <f>COUNTIFS('LS | Drawing List'!$H:$H,"LS-T2V-4",'LS | Drawing List'!T:T,1)</f>
        <v>0</v>
      </c>
      <c r="FF67" s="616">
        <f>COUNTIFS('LS | Drawing List'!$H:$H,"LS-T2V-4",'LS | Drawing List'!U:U,1)</f>
        <v>0</v>
      </c>
      <c r="FG67" s="48"/>
    </row>
    <row r="68" spans="1:163" ht="14.25" hidden="1" outlineLevel="2">
      <c r="A68" s="48"/>
      <c r="B68" s="87" t="s">
        <v>77</v>
      </c>
      <c r="C68" s="276">
        <v>5</v>
      </c>
      <c r="D68" s="272" t="s">
        <v>60</v>
      </c>
      <c r="E68" s="48"/>
      <c r="F68" s="619">
        <f t="shared" si="159"/>
        <v>9.9932800000000016E-2</v>
      </c>
      <c r="G68" s="619">
        <f t="shared" si="160"/>
        <v>9.9932800000000016E-2</v>
      </c>
      <c r="H68" s="616">
        <f t="shared" si="161"/>
        <v>0</v>
      </c>
      <c r="I68" s="616">
        <f t="shared" si="162"/>
        <v>0</v>
      </c>
      <c r="J68" s="616">
        <f t="shared" si="163"/>
        <v>0</v>
      </c>
      <c r="K68" s="616">
        <f t="shared" si="164"/>
        <v>0</v>
      </c>
      <c r="L68" s="616">
        <f t="shared" si="165"/>
        <v>0</v>
      </c>
      <c r="M68" s="620">
        <f t="shared" si="166"/>
        <v>0</v>
      </c>
      <c r="N68" s="287"/>
      <c r="O68" s="615">
        <f t="shared" si="167"/>
        <v>0</v>
      </c>
      <c r="P68" s="615">
        <f t="shared" si="168"/>
        <v>0</v>
      </c>
      <c r="Q68" s="615">
        <f t="shared" si="169"/>
        <v>0</v>
      </c>
      <c r="R68" s="615">
        <f t="shared" si="170"/>
        <v>0</v>
      </c>
      <c r="S68" s="615">
        <f t="shared" si="171"/>
        <v>0</v>
      </c>
      <c r="T68" s="48"/>
      <c r="U68" s="519">
        <v>2.5000000000000001E-2</v>
      </c>
      <c r="V68" s="131"/>
      <c r="W68" s="619">
        <f t="shared" si="188"/>
        <v>5.4544000000000016E-2</v>
      </c>
      <c r="X68" s="619">
        <f t="shared" si="19"/>
        <v>5.4544000000000016E-2</v>
      </c>
      <c r="Y68" s="616">
        <f t="shared" si="189"/>
        <v>5.4544000000000016E-2</v>
      </c>
      <c r="Z68" s="616">
        <f t="shared" si="190"/>
        <v>0</v>
      </c>
      <c r="AA68" s="616">
        <f t="shared" si="191"/>
        <v>0</v>
      </c>
      <c r="AB68" s="616">
        <f t="shared" si="192"/>
        <v>0</v>
      </c>
      <c r="AC68" s="616">
        <f t="shared" si="193"/>
        <v>0</v>
      </c>
      <c r="AD68" s="620">
        <f t="shared" si="194"/>
        <v>0</v>
      </c>
      <c r="AE68" s="287"/>
      <c r="AF68" s="615">
        <f t="shared" si="195"/>
        <v>0</v>
      </c>
      <c r="AG68" s="615">
        <f t="shared" si="196"/>
        <v>0</v>
      </c>
      <c r="AH68" s="615">
        <f t="shared" si="197"/>
        <v>0</v>
      </c>
      <c r="AI68" s="615">
        <f t="shared" si="198"/>
        <v>0</v>
      </c>
      <c r="AJ68" s="615">
        <f t="shared" si="199"/>
        <v>0</v>
      </c>
      <c r="AK68" s="339"/>
      <c r="AL68" s="626">
        <f t="shared" si="200"/>
        <v>1</v>
      </c>
      <c r="AM68" s="626">
        <f t="shared" si="201"/>
        <v>0</v>
      </c>
      <c r="AN68" s="625">
        <f t="shared" si="202"/>
        <v>0</v>
      </c>
      <c r="AO68" s="341"/>
      <c r="AP68" s="615">
        <f>COUNTIF('AR | Drawing List'!$H:$H,"AR-T2V-5")</f>
        <v>11</v>
      </c>
      <c r="AQ68" s="616">
        <f>COUNTIFS('AR | Drawing List'!$H:$H,"AR-T2V-5",'AR | Drawing List'!$J:$J,1)</f>
        <v>11</v>
      </c>
      <c r="AR68" s="616">
        <f t="shared" si="32"/>
        <v>0</v>
      </c>
      <c r="AS68" s="616">
        <f>COUNTIFS('AR | Drawing List'!$H:$H,"AR-T2V-5",'AR | Drawing List'!M:M,1)</f>
        <v>0</v>
      </c>
      <c r="AT68" s="616">
        <f>COUNTIFS('AR | Drawing List'!$H:$H,"AR-T2V-5",'AR | Drawing List'!N:N,1)</f>
        <v>0</v>
      </c>
      <c r="AU68" s="616">
        <f>COUNTIFS('AR | Drawing List'!$H:$H,"AR-T2V-5",'AR | Drawing List'!O:O,1)</f>
        <v>0</v>
      </c>
      <c r="AV68" s="616">
        <f>COUNTIFS('AR | Drawing List'!$H:$H,"AR-T2V-5",'AR | Drawing List'!P:P,1)</f>
        <v>0</v>
      </c>
      <c r="AW68" s="328"/>
      <c r="AX68" s="616">
        <f t="shared" si="203"/>
        <v>0</v>
      </c>
      <c r="AY68" s="616">
        <f>COUNTIFS('AR | Drawing List'!$H:$H,"AR-T2V-5",'AR | Drawing List'!R:R,1)</f>
        <v>0</v>
      </c>
      <c r="AZ68" s="616">
        <f>COUNTIFS('AR | Drawing List'!$H:$H,"AR-T2V-5",'AR | Drawing List'!S:S,1)</f>
        <v>0</v>
      </c>
      <c r="BA68" s="616">
        <f>COUNTIFS('AR | Drawing List'!$H:$H,"AR-T2V-5",'AR | Drawing List'!T:T,1)</f>
        <v>0</v>
      </c>
      <c r="BB68" s="616">
        <f>COUNTIFS('AR | Drawing List'!$H:$H,"AR-T2V-5",'AR | Drawing List'!U:U,1)</f>
        <v>0</v>
      </c>
      <c r="BC68" s="328"/>
      <c r="BD68" s="328"/>
      <c r="BE68" s="523">
        <v>0.05</v>
      </c>
      <c r="BF68" s="343"/>
      <c r="BG68" s="616">
        <f t="shared" si="204"/>
        <v>4.53888E-2</v>
      </c>
      <c r="BH68" s="618">
        <f t="shared" si="22"/>
        <v>4.53888E-2</v>
      </c>
      <c r="BI68" s="616">
        <f t="shared" si="205"/>
        <v>4.53888E-2</v>
      </c>
      <c r="BJ68" s="616">
        <f t="shared" si="206"/>
        <v>0</v>
      </c>
      <c r="BK68" s="616">
        <f t="shared" si="207"/>
        <v>0</v>
      </c>
      <c r="BL68" s="616">
        <f t="shared" si="208"/>
        <v>0</v>
      </c>
      <c r="BM68" s="616">
        <f t="shared" si="209"/>
        <v>0</v>
      </c>
      <c r="BN68" s="616">
        <f t="shared" si="210"/>
        <v>0</v>
      </c>
      <c r="BO68" s="348"/>
      <c r="BP68" s="615">
        <f t="shared" si="211"/>
        <v>0</v>
      </c>
      <c r="BQ68" s="615">
        <f t="shared" si="212"/>
        <v>0</v>
      </c>
      <c r="BR68" s="615">
        <f t="shared" si="213"/>
        <v>0</v>
      </c>
      <c r="BS68" s="615">
        <f t="shared" si="214"/>
        <v>0</v>
      </c>
      <c r="BT68" s="615">
        <f t="shared" si="215"/>
        <v>0</v>
      </c>
      <c r="BU68" s="339"/>
      <c r="BV68" s="635">
        <f t="shared" si="216"/>
        <v>1</v>
      </c>
      <c r="BW68" s="635">
        <f t="shared" si="217"/>
        <v>0</v>
      </c>
      <c r="BX68" s="635">
        <f t="shared" si="218"/>
        <v>0</v>
      </c>
      <c r="BY68" s="341"/>
      <c r="BZ68" s="615">
        <f>COUNTIF('ST | Drawing List'!$H:$H,"ST-T2V-5")</f>
        <v>17</v>
      </c>
      <c r="CA68" s="616">
        <f>COUNTIFS('ST | Drawing List'!$H:$H,"ST-T2V-5",'ST | Drawing List'!$J:$J,1)</f>
        <v>17</v>
      </c>
      <c r="CB68" s="616">
        <f>COUNTIFS('ST | Drawing List'!$H:$H,"ST-T2V-5",'ST | Drawing List'!$L:$L,1)</f>
        <v>0</v>
      </c>
      <c r="CC68" s="616">
        <f>COUNTIFS('ST | Drawing List'!$H:$H,"ST-T2V-5",'ST | Drawing List'!M:M,1)</f>
        <v>0</v>
      </c>
      <c r="CD68" s="616">
        <f>COUNTIFS('ST | Drawing List'!$H:$H,"ST-T2V-5",'ST | Drawing List'!N:N,1)</f>
        <v>0</v>
      </c>
      <c r="CE68" s="616">
        <f>COUNTIFS('ST | Drawing List'!$H:$H,"ST-T2V-5",'ST | Drawing List'!O:O,1)</f>
        <v>0</v>
      </c>
      <c r="CF68" s="616">
        <f>COUNTIFS('ST | Drawing List'!$H:$H,"ST-T2V-5",'ST | Drawing List'!P:P,1)</f>
        <v>0</v>
      </c>
      <c r="CG68" s="532"/>
      <c r="CH68" s="616">
        <f>COUNTIFS('ST | Drawing List'!$H:$H,"ST-T2V-5",'ST | Drawing List'!$Q:$Q,1)</f>
        <v>0</v>
      </c>
      <c r="CI68" s="616">
        <f>COUNTIFS('ST | Drawing List'!$H:$H,"ST-T2V-5",'ST | Drawing List'!R:R,1)</f>
        <v>0</v>
      </c>
      <c r="CJ68" s="616">
        <f>COUNTIFS('ST | Drawing List'!$H:$H,"ST-T2V-5",'ST | Drawing List'!S:S,1)</f>
        <v>0</v>
      </c>
      <c r="CK68" s="616">
        <f>COUNTIFS('ST | Drawing List'!$H:$H,"ST-T2V-5",'ST | Drawing List'!T:T,1)</f>
        <v>0</v>
      </c>
      <c r="CL68" s="616">
        <f>COUNTIFS('ST | Drawing List'!$H:$H,"ST-T2V-5",'ST | Drawing List'!U:U,1)</f>
        <v>0</v>
      </c>
      <c r="CM68" s="343"/>
      <c r="CN68" s="343"/>
      <c r="CO68" s="666">
        <v>0</v>
      </c>
      <c r="CP68" s="343"/>
      <c r="CQ68" s="616">
        <f t="shared" si="219"/>
        <v>0</v>
      </c>
      <c r="CR68" s="618">
        <f t="shared" si="25"/>
        <v>0</v>
      </c>
      <c r="CS68" s="616">
        <f t="shared" si="220"/>
        <v>0</v>
      </c>
      <c r="CT68" s="615">
        <f t="shared" si="221"/>
        <v>0</v>
      </c>
      <c r="CU68" s="615">
        <f t="shared" si="222"/>
        <v>0</v>
      </c>
      <c r="CV68" s="615">
        <f t="shared" si="223"/>
        <v>0</v>
      </c>
      <c r="CW68" s="615">
        <f t="shared" si="224"/>
        <v>0</v>
      </c>
      <c r="CX68" s="615">
        <f t="shared" si="225"/>
        <v>0</v>
      </c>
      <c r="CY68" s="339"/>
      <c r="CZ68" s="615">
        <f t="shared" si="226"/>
        <v>0</v>
      </c>
      <c r="DA68" s="615">
        <f t="shared" si="227"/>
        <v>0</v>
      </c>
      <c r="DB68" s="615">
        <f t="shared" si="228"/>
        <v>0</v>
      </c>
      <c r="DC68" s="615">
        <f t="shared" si="229"/>
        <v>0</v>
      </c>
      <c r="DD68" s="615">
        <f t="shared" si="230"/>
        <v>0</v>
      </c>
      <c r="DE68" s="339"/>
      <c r="DF68" s="625">
        <f t="shared" si="231"/>
        <v>0</v>
      </c>
      <c r="DG68" s="625">
        <f t="shared" si="232"/>
        <v>0</v>
      </c>
      <c r="DH68" s="625">
        <f t="shared" si="233"/>
        <v>0</v>
      </c>
      <c r="DI68" s="341"/>
      <c r="DJ68" s="615">
        <f>COUNTIF('MEP | Drawing List'!$H:$H,"MEP-T2V-6V-5")</f>
        <v>0</v>
      </c>
      <c r="DK68" s="616">
        <f>COUNTIFS('MEP | Drawing List'!$H:$H,"MEP-T2V-6V-5",'MEP | Drawing List'!$J:$J,1)</f>
        <v>0</v>
      </c>
      <c r="DL68" s="616">
        <f>COUNTIFS('MEP | Drawing List'!$H:$H,"MEP-T2V-6V-5",'MEP | Drawing List'!$L:$L,1)</f>
        <v>0</v>
      </c>
      <c r="DM68" s="616">
        <f>COUNTIFS('MEP | Drawing List'!$H:$H,"MEP-T2V-6V-5",'MEP | Drawing List'!M:M,1)</f>
        <v>0</v>
      </c>
      <c r="DN68" s="616">
        <f>COUNTIFS('MEP | Drawing List'!$H:$H,"MEP-T2V-6V-5",'MEP | Drawing List'!N:N,1)</f>
        <v>0</v>
      </c>
      <c r="DO68" s="616">
        <f>COUNTIFS('MEP | Drawing List'!$H:$H,"MEP-T2V-6V-5",'MEP | Drawing List'!O:O,1)</f>
        <v>0</v>
      </c>
      <c r="DP68" s="616">
        <f>COUNTIFS('MEP | Drawing List'!$H:$H,"MEP-T2V-6V-5",'MEP | Drawing List'!P:P,1)</f>
        <v>0</v>
      </c>
      <c r="DQ68" s="348"/>
      <c r="DR68" s="616">
        <f>COUNTIFS('MEP | Drawing List'!$H:$H,"MEP-T2V-6V-5",'MEP | Drawing List'!$Q:$Q,1)</f>
        <v>0</v>
      </c>
      <c r="DS68" s="616">
        <f>COUNTIFS('MEP | Drawing List'!$H:$H,"MEP-T2V-6V-5",'MEP | Drawing List'!R:R,1)</f>
        <v>0</v>
      </c>
      <c r="DT68" s="616">
        <f>COUNTIFS('MEP | Drawing List'!$H:$H,"MEP-T2V-6V-5",'MEP | Drawing List'!S:S,1)</f>
        <v>0</v>
      </c>
      <c r="DU68" s="616">
        <f>COUNTIFS('MEP | Drawing List'!$H:$H,"MEP-T2V-6V-5",'MEP | Drawing List'!T:T,1)</f>
        <v>0</v>
      </c>
      <c r="DV68" s="616">
        <f>COUNTIFS('MEP | Drawing List'!$H:$H,"MEP-T2V-6V-5",'MEP | Drawing List'!U:U,1)</f>
        <v>0</v>
      </c>
      <c r="DW68" s="343"/>
      <c r="DX68" s="343"/>
      <c r="DY68" s="523">
        <v>0</v>
      </c>
      <c r="DZ68" s="343"/>
      <c r="EA68" s="344">
        <v>0</v>
      </c>
      <c r="EB68" s="618">
        <f t="shared" si="28"/>
        <v>0</v>
      </c>
      <c r="EC68" s="85"/>
      <c r="ED68" s="85"/>
      <c r="EE68" s="339"/>
      <c r="EF68" s="339"/>
      <c r="EG68" s="339"/>
      <c r="EH68" s="339"/>
      <c r="EI68" s="339"/>
      <c r="EJ68" s="85"/>
      <c r="EK68" s="339"/>
      <c r="EL68" s="339"/>
      <c r="EM68" s="339"/>
      <c r="EN68" s="339"/>
      <c r="EO68" s="339"/>
      <c r="EP68" s="642"/>
      <c r="EQ68" s="642"/>
      <c r="ER68" s="642"/>
      <c r="ES68" s="82"/>
      <c r="ET68" s="615">
        <f>COUNTIF('LS | Drawing List'!$H:$H,"LS-T2V-5")</f>
        <v>0</v>
      </c>
      <c r="EU68" s="616">
        <f>COUNTIFS('LS | Drawing List'!$H:$H,"LS-T2V-5",'LS | Drawing List'!$J:$J,1)</f>
        <v>0</v>
      </c>
      <c r="EV68" s="616">
        <f>COUNTIFS('LS | Drawing List'!$H:$H,"LS-T2V-5",'LS | Drawing List'!$L:$L,1)</f>
        <v>0</v>
      </c>
      <c r="EW68" s="616">
        <f>COUNTIFS('LS | Drawing List'!$H:$H,"LS-T2V-5",'LS | Drawing List'!M:M,1)</f>
        <v>0</v>
      </c>
      <c r="EX68" s="616">
        <f>COUNTIFS('LS | Drawing List'!$H:$H,"LS-T2V-5",'LS | Drawing List'!N:N,1)</f>
        <v>0</v>
      </c>
      <c r="EY68" s="616">
        <f>COUNTIFS('LS | Drawing List'!$H:$H,"LS-T2V-5",'LS | Drawing List'!O:O,1)</f>
        <v>0</v>
      </c>
      <c r="EZ68" s="616">
        <f>COUNTIFS('LS | Drawing List'!$H:$H,"LS-T2V-5",'LS | Drawing List'!P:P,1)</f>
        <v>0</v>
      </c>
      <c r="FA68" s="85"/>
      <c r="FB68" s="616">
        <f>COUNTIFS('LS | Drawing List'!$H:$H,"LS-T2V-5",'LS | Drawing List'!$Q:$Q,1)</f>
        <v>0</v>
      </c>
      <c r="FC68" s="616">
        <f>COUNTIFS('LS | Drawing List'!$H:$H,"LS-T2V-5",'LS | Drawing List'!R:R,1)</f>
        <v>0</v>
      </c>
      <c r="FD68" s="616">
        <f>COUNTIFS('LS | Drawing List'!$H:$H,"LS-T2V-5",'LS | Drawing List'!S:S,1)</f>
        <v>0</v>
      </c>
      <c r="FE68" s="616">
        <f>COUNTIFS('LS | Drawing List'!$H:$H,"LS-T2V-5",'LS | Drawing List'!T:T,1)</f>
        <v>0</v>
      </c>
      <c r="FF68" s="616">
        <f>COUNTIFS('LS | Drawing List'!$H:$H,"LS-T2V-5",'LS | Drawing List'!U:U,1)</f>
        <v>0</v>
      </c>
      <c r="FG68" s="48"/>
    </row>
    <row r="69" spans="1:163" ht="14.25" hidden="1" outlineLevel="2">
      <c r="A69" s="48"/>
      <c r="B69" s="87" t="s">
        <v>78</v>
      </c>
      <c r="C69" s="276">
        <v>6</v>
      </c>
      <c r="D69" s="272" t="s">
        <v>62</v>
      </c>
      <c r="E69" s="48"/>
      <c r="F69" s="619">
        <f t="shared" si="159"/>
        <v>9.9932800000000016E-2</v>
      </c>
      <c r="G69" s="619">
        <f t="shared" si="160"/>
        <v>9.9932800000000016E-2</v>
      </c>
      <c r="H69" s="616">
        <f t="shared" si="161"/>
        <v>0</v>
      </c>
      <c r="I69" s="616">
        <f t="shared" si="162"/>
        <v>0</v>
      </c>
      <c r="J69" s="616">
        <f t="shared" si="163"/>
        <v>0</v>
      </c>
      <c r="K69" s="616">
        <f t="shared" si="164"/>
        <v>0</v>
      </c>
      <c r="L69" s="616">
        <f t="shared" si="165"/>
        <v>0</v>
      </c>
      <c r="M69" s="620">
        <f t="shared" si="166"/>
        <v>0</v>
      </c>
      <c r="N69" s="287"/>
      <c r="O69" s="615">
        <f t="shared" si="167"/>
        <v>0</v>
      </c>
      <c r="P69" s="615">
        <f t="shared" si="168"/>
        <v>0</v>
      </c>
      <c r="Q69" s="615">
        <f t="shared" si="169"/>
        <v>0</v>
      </c>
      <c r="R69" s="615">
        <f t="shared" si="170"/>
        <v>0</v>
      </c>
      <c r="S69" s="615">
        <f t="shared" si="171"/>
        <v>0</v>
      </c>
      <c r="T69" s="48"/>
      <c r="U69" s="519">
        <v>2.5000000000000001E-2</v>
      </c>
      <c r="V69" s="131"/>
      <c r="W69" s="619">
        <f t="shared" si="188"/>
        <v>5.4544000000000016E-2</v>
      </c>
      <c r="X69" s="619">
        <f t="shared" ref="X69:X132" si="234">Y69+AF69</f>
        <v>5.4544000000000016E-2</v>
      </c>
      <c r="Y69" s="616">
        <f t="shared" si="189"/>
        <v>5.4544000000000016E-2</v>
      </c>
      <c r="Z69" s="616">
        <f t="shared" si="190"/>
        <v>0</v>
      </c>
      <c r="AA69" s="616">
        <f t="shared" si="191"/>
        <v>0</v>
      </c>
      <c r="AB69" s="616">
        <f t="shared" si="192"/>
        <v>0</v>
      </c>
      <c r="AC69" s="616">
        <f t="shared" si="193"/>
        <v>0</v>
      </c>
      <c r="AD69" s="620">
        <f t="shared" si="194"/>
        <v>0</v>
      </c>
      <c r="AE69" s="287"/>
      <c r="AF69" s="615">
        <f t="shared" si="195"/>
        <v>0</v>
      </c>
      <c r="AG69" s="615">
        <f t="shared" si="196"/>
        <v>0</v>
      </c>
      <c r="AH69" s="615">
        <f t="shared" si="197"/>
        <v>0</v>
      </c>
      <c r="AI69" s="615">
        <f t="shared" si="198"/>
        <v>0</v>
      </c>
      <c r="AJ69" s="615">
        <f t="shared" si="199"/>
        <v>0</v>
      </c>
      <c r="AK69" s="339"/>
      <c r="AL69" s="626">
        <f t="shared" si="200"/>
        <v>1</v>
      </c>
      <c r="AM69" s="626">
        <f t="shared" si="201"/>
        <v>0</v>
      </c>
      <c r="AN69" s="625">
        <f t="shared" si="202"/>
        <v>0</v>
      </c>
      <c r="AO69" s="341"/>
      <c r="AP69" s="615">
        <f>COUNTIF('AR | Drawing List'!$H:$H,"AR-T2V-6")</f>
        <v>7</v>
      </c>
      <c r="AQ69" s="616">
        <f>COUNTIFS('AR | Drawing List'!$H:$H,"AR-T2V-6",'AR | Drawing List'!$J:$J,1)</f>
        <v>7</v>
      </c>
      <c r="AR69" s="616">
        <f t="shared" si="32"/>
        <v>0</v>
      </c>
      <c r="AS69" s="616">
        <f>COUNTIFS('AR | Drawing List'!$H:$H,"AR-T2V-6",'AR | Drawing List'!M:M,1)</f>
        <v>0</v>
      </c>
      <c r="AT69" s="616">
        <f>COUNTIFS('AR | Drawing List'!$H:$H,"AR-T2V-6",'AR | Drawing List'!N:N,1)</f>
        <v>0</v>
      </c>
      <c r="AU69" s="616">
        <f>COUNTIFS('AR | Drawing List'!$H:$H,"AR-T2V-6",'AR | Drawing List'!O:O,1)</f>
        <v>0</v>
      </c>
      <c r="AV69" s="616">
        <f>COUNTIFS('AR | Drawing List'!$H:$H,"AR-T2V-6",'AR | Drawing List'!P:P,1)</f>
        <v>0</v>
      </c>
      <c r="AW69" s="328"/>
      <c r="AX69" s="616">
        <f t="shared" si="203"/>
        <v>0</v>
      </c>
      <c r="AY69" s="616">
        <f>COUNTIFS('AR | Drawing List'!$H:$H,"AR-T2V-6",'AR | Drawing List'!R:R,1)</f>
        <v>0</v>
      </c>
      <c r="AZ69" s="616">
        <f>COUNTIFS('AR | Drawing List'!$H:$H,"AR-T2V-6",'AR | Drawing List'!S:S,1)</f>
        <v>0</v>
      </c>
      <c r="BA69" s="616">
        <f>COUNTIFS('AR | Drawing List'!$H:$H,"AR-T2V-6",'AR | Drawing List'!T:T,1)</f>
        <v>0</v>
      </c>
      <c r="BB69" s="616">
        <f>COUNTIFS('AR | Drawing List'!$H:$H,"AR-T2V-6",'AR | Drawing List'!U:U,1)</f>
        <v>0</v>
      </c>
      <c r="BC69" s="328"/>
      <c r="BD69" s="328"/>
      <c r="BE69" s="523">
        <v>0.05</v>
      </c>
      <c r="BF69" s="343"/>
      <c r="BG69" s="616">
        <f t="shared" si="204"/>
        <v>4.53888E-2</v>
      </c>
      <c r="BH69" s="618">
        <f t="shared" ref="BH69:BH132" si="235">BI69+BP69</f>
        <v>4.53888E-2</v>
      </c>
      <c r="BI69" s="616">
        <f t="shared" si="205"/>
        <v>4.53888E-2</v>
      </c>
      <c r="BJ69" s="616">
        <f t="shared" si="206"/>
        <v>0</v>
      </c>
      <c r="BK69" s="616">
        <f t="shared" si="207"/>
        <v>0</v>
      </c>
      <c r="BL69" s="616">
        <f t="shared" si="208"/>
        <v>0</v>
      </c>
      <c r="BM69" s="616">
        <f t="shared" si="209"/>
        <v>0</v>
      </c>
      <c r="BN69" s="616">
        <f t="shared" si="210"/>
        <v>0</v>
      </c>
      <c r="BO69" s="348"/>
      <c r="BP69" s="615">
        <f t="shared" si="211"/>
        <v>0</v>
      </c>
      <c r="BQ69" s="615">
        <f t="shared" si="212"/>
        <v>0</v>
      </c>
      <c r="BR69" s="615">
        <f t="shared" si="213"/>
        <v>0</v>
      </c>
      <c r="BS69" s="615">
        <f t="shared" si="214"/>
        <v>0</v>
      </c>
      <c r="BT69" s="615">
        <f t="shared" si="215"/>
        <v>0</v>
      </c>
      <c r="BU69" s="339"/>
      <c r="BV69" s="635">
        <f t="shared" si="216"/>
        <v>1</v>
      </c>
      <c r="BW69" s="635">
        <f t="shared" si="217"/>
        <v>0</v>
      </c>
      <c r="BX69" s="635">
        <f t="shared" si="218"/>
        <v>0</v>
      </c>
      <c r="BY69" s="341"/>
      <c r="BZ69" s="615">
        <f>COUNTIF('ST | Drawing List'!$H:$H,"ST-T2V-6")</f>
        <v>14</v>
      </c>
      <c r="CA69" s="616">
        <f>COUNTIFS('ST | Drawing List'!$H:$H,"ST-T2V-6",'ST | Drawing List'!$J:$J,1)</f>
        <v>14</v>
      </c>
      <c r="CB69" s="616">
        <f>COUNTIFS('ST | Drawing List'!$H:$H,"ST-T2V-6",'ST | Drawing List'!$L:$L,1)</f>
        <v>0</v>
      </c>
      <c r="CC69" s="616">
        <f>COUNTIFS('ST | Drawing List'!$H:$H,"ST-T2V-6",'ST | Drawing List'!M:M,1)</f>
        <v>0</v>
      </c>
      <c r="CD69" s="616">
        <f>COUNTIFS('ST | Drawing List'!$H:$H,"ST-T2V-6",'ST | Drawing List'!N:N,1)</f>
        <v>0</v>
      </c>
      <c r="CE69" s="616">
        <f>COUNTIFS('ST | Drawing List'!$H:$H,"ST-T2V-6",'ST | Drawing List'!O:O,1)</f>
        <v>0</v>
      </c>
      <c r="CF69" s="616">
        <f>COUNTIFS('ST | Drawing List'!$H:$H,"ST-T2V-6",'ST | Drawing List'!P:P,1)</f>
        <v>0</v>
      </c>
      <c r="CG69" s="532"/>
      <c r="CH69" s="616">
        <f>COUNTIFS('ST | Drawing List'!$H:$H,"ST-T2V-6",'ST | Drawing List'!$Q:$Q,1)</f>
        <v>0</v>
      </c>
      <c r="CI69" s="616">
        <f>COUNTIFS('ST | Drawing List'!$H:$H,"ST-T2V-6",'ST | Drawing List'!R:R,1)</f>
        <v>0</v>
      </c>
      <c r="CJ69" s="616">
        <f>COUNTIFS('ST | Drawing List'!$H:$H,"ST-T2V-6",'ST | Drawing List'!S:S,1)</f>
        <v>0</v>
      </c>
      <c r="CK69" s="616">
        <f>COUNTIFS('ST | Drawing List'!$H:$H,"ST-T2V-6",'ST | Drawing List'!T:T,1)</f>
        <v>0</v>
      </c>
      <c r="CL69" s="616">
        <f>COUNTIFS('ST | Drawing List'!$H:$H,"ST-T2V-6",'ST | Drawing List'!U:U,1)</f>
        <v>0</v>
      </c>
      <c r="CM69" s="343"/>
      <c r="CN69" s="343"/>
      <c r="CO69" s="666">
        <v>0</v>
      </c>
      <c r="CP69" s="343"/>
      <c r="CQ69" s="616">
        <f t="shared" si="219"/>
        <v>0</v>
      </c>
      <c r="CR69" s="618">
        <f t="shared" ref="CR69:CR132" si="236">CS69+CZ69</f>
        <v>0</v>
      </c>
      <c r="CS69" s="616">
        <f t="shared" si="220"/>
        <v>0</v>
      </c>
      <c r="CT69" s="615">
        <f t="shared" si="221"/>
        <v>0</v>
      </c>
      <c r="CU69" s="615">
        <f t="shared" si="222"/>
        <v>0</v>
      </c>
      <c r="CV69" s="615">
        <f t="shared" si="223"/>
        <v>0</v>
      </c>
      <c r="CW69" s="615">
        <f t="shared" si="224"/>
        <v>0</v>
      </c>
      <c r="CX69" s="615">
        <f t="shared" si="225"/>
        <v>0</v>
      </c>
      <c r="CY69" s="339"/>
      <c r="CZ69" s="615">
        <f t="shared" si="226"/>
        <v>0</v>
      </c>
      <c r="DA69" s="615">
        <f t="shared" si="227"/>
        <v>0</v>
      </c>
      <c r="DB69" s="615">
        <f t="shared" si="228"/>
        <v>0</v>
      </c>
      <c r="DC69" s="615">
        <f t="shared" si="229"/>
        <v>0</v>
      </c>
      <c r="DD69" s="615">
        <f t="shared" si="230"/>
        <v>0</v>
      </c>
      <c r="DE69" s="339"/>
      <c r="DF69" s="625">
        <f t="shared" si="231"/>
        <v>0</v>
      </c>
      <c r="DG69" s="625">
        <f t="shared" si="232"/>
        <v>0</v>
      </c>
      <c r="DH69" s="625">
        <f t="shared" si="233"/>
        <v>0</v>
      </c>
      <c r="DI69" s="341"/>
      <c r="DJ69" s="615">
        <f>COUNTIF('MEP | Drawing List'!$H:$H,"MEP-T2V-6V-6")</f>
        <v>0</v>
      </c>
      <c r="DK69" s="616">
        <f>COUNTIFS('MEP | Drawing List'!$H:$H,"MEP-T2V-6V-6",'MEP | Drawing List'!$J:$J,1)</f>
        <v>0</v>
      </c>
      <c r="DL69" s="616">
        <f>COUNTIFS('MEP | Drawing List'!$H:$H,"MEP-T2V-6V-6",'MEP | Drawing List'!$L:$L,1)</f>
        <v>0</v>
      </c>
      <c r="DM69" s="616">
        <f>COUNTIFS('MEP | Drawing List'!$H:$H,"MEP-T2V-6V-6",'MEP | Drawing List'!M:M,1)</f>
        <v>0</v>
      </c>
      <c r="DN69" s="616">
        <f>COUNTIFS('MEP | Drawing List'!$H:$H,"MEP-T2V-6V-6",'MEP | Drawing List'!N:N,1)</f>
        <v>0</v>
      </c>
      <c r="DO69" s="616">
        <f>COUNTIFS('MEP | Drawing List'!$H:$H,"MEP-T2V-6V-6",'MEP | Drawing List'!O:O,1)</f>
        <v>0</v>
      </c>
      <c r="DP69" s="616">
        <f>COUNTIFS('MEP | Drawing List'!$H:$H,"MEP-T2V-6V-6",'MEP | Drawing List'!P:P,1)</f>
        <v>0</v>
      </c>
      <c r="DQ69" s="348"/>
      <c r="DR69" s="616">
        <f>COUNTIFS('MEP | Drawing List'!$H:$H,"MEP-T2V-6V-6",'MEP | Drawing List'!$Q:$Q,1)</f>
        <v>0</v>
      </c>
      <c r="DS69" s="616">
        <f>COUNTIFS('MEP | Drawing List'!$H:$H,"MEP-T2V-6V-6",'MEP | Drawing List'!R:R,1)</f>
        <v>0</v>
      </c>
      <c r="DT69" s="616">
        <f>COUNTIFS('MEP | Drawing List'!$H:$H,"MEP-T2V-6V-6",'MEP | Drawing List'!S:S,1)</f>
        <v>0</v>
      </c>
      <c r="DU69" s="616">
        <f>COUNTIFS('MEP | Drawing List'!$H:$H,"MEP-T2V-6V-6",'MEP | Drawing List'!T:T,1)</f>
        <v>0</v>
      </c>
      <c r="DV69" s="616">
        <f>COUNTIFS('MEP | Drawing List'!$H:$H,"MEP-T2V-6V-6",'MEP | Drawing List'!U:U,1)</f>
        <v>0</v>
      </c>
      <c r="DW69" s="343"/>
      <c r="DX69" s="343"/>
      <c r="DY69" s="523">
        <v>0</v>
      </c>
      <c r="DZ69" s="343"/>
      <c r="EA69" s="344">
        <v>0</v>
      </c>
      <c r="EB69" s="618">
        <f t="shared" ref="EB69:EB132" si="237">EC69+EJ69</f>
        <v>0</v>
      </c>
      <c r="EC69" s="85"/>
      <c r="ED69" s="85"/>
      <c r="EE69" s="339"/>
      <c r="EF69" s="339"/>
      <c r="EG69" s="339"/>
      <c r="EH69" s="339"/>
      <c r="EI69" s="339"/>
      <c r="EJ69" s="85"/>
      <c r="EK69" s="339"/>
      <c r="EL69" s="339"/>
      <c r="EM69" s="339"/>
      <c r="EN69" s="339"/>
      <c r="EO69" s="339"/>
      <c r="EP69" s="642"/>
      <c r="EQ69" s="642"/>
      <c r="ER69" s="642"/>
      <c r="ES69" s="82"/>
      <c r="ET69" s="615">
        <f>COUNTIF('LS | Drawing List'!$H:$H,"LS-T2V-6")</f>
        <v>0</v>
      </c>
      <c r="EU69" s="616">
        <f>COUNTIFS('LS | Drawing List'!$H:$H,"LS-T2V-6",'LS | Drawing List'!$J:$J,1)</f>
        <v>0</v>
      </c>
      <c r="EV69" s="616">
        <f>COUNTIFS('LS | Drawing List'!$H:$H,"LS-T2V-6",'LS | Drawing List'!$L:$L,1)</f>
        <v>0</v>
      </c>
      <c r="EW69" s="616">
        <f>COUNTIFS('LS | Drawing List'!$H:$H,"LS-T2V-6",'LS | Drawing List'!M:M,1)</f>
        <v>0</v>
      </c>
      <c r="EX69" s="616">
        <f>COUNTIFS('LS | Drawing List'!$H:$H,"LS-T2V-6",'LS | Drawing List'!N:N,1)</f>
        <v>0</v>
      </c>
      <c r="EY69" s="616">
        <f>COUNTIFS('LS | Drawing List'!$H:$H,"LS-T2V-6",'LS | Drawing List'!O:O,1)</f>
        <v>0</v>
      </c>
      <c r="EZ69" s="616">
        <f>COUNTIFS('LS | Drawing List'!$H:$H,"LS-T2V-6",'LS | Drawing List'!P:P,1)</f>
        <v>0</v>
      </c>
      <c r="FA69" s="85"/>
      <c r="FB69" s="616">
        <f>COUNTIFS('LS | Drawing List'!$H:$H,"LS-T2V-6",'LS | Drawing List'!$Q:$Q,1)</f>
        <v>0</v>
      </c>
      <c r="FC69" s="616">
        <f>COUNTIFS('LS | Drawing List'!$H:$H,"LS-T2V-6",'LS | Drawing List'!R:R,1)</f>
        <v>0</v>
      </c>
      <c r="FD69" s="616">
        <f>COUNTIFS('LS | Drawing List'!$H:$H,"LS-T2V-6",'LS | Drawing List'!S:S,1)</f>
        <v>0</v>
      </c>
      <c r="FE69" s="616">
        <f>COUNTIFS('LS | Drawing List'!$H:$H,"LS-T2V-6",'LS | Drawing List'!T:T,1)</f>
        <v>0</v>
      </c>
      <c r="FF69" s="616">
        <f>COUNTIFS('LS | Drawing List'!$H:$H,"LS-T2V-6",'LS | Drawing List'!U:U,1)</f>
        <v>0</v>
      </c>
      <c r="FG69" s="48"/>
    </row>
    <row r="70" spans="1:163" s="95" customFormat="1" ht="14.25" hidden="1" outlineLevel="2">
      <c r="A70" s="89"/>
      <c r="B70" s="87" t="s">
        <v>79</v>
      </c>
      <c r="C70" s="277">
        <v>7</v>
      </c>
      <c r="D70" s="273" t="s">
        <v>64</v>
      </c>
      <c r="E70" s="89"/>
      <c r="F70" s="628">
        <f t="shared" si="159"/>
        <v>0.24321356800000007</v>
      </c>
      <c r="G70" s="628">
        <f t="shared" si="160"/>
        <v>0.24321356800000007</v>
      </c>
      <c r="H70" s="620">
        <f t="shared" si="161"/>
        <v>0</v>
      </c>
      <c r="I70" s="620">
        <f t="shared" si="162"/>
        <v>0.24321356800000007</v>
      </c>
      <c r="J70" s="620">
        <f t="shared" si="163"/>
        <v>0.24321356800000007</v>
      </c>
      <c r="K70" s="620">
        <f t="shared" si="164"/>
        <v>0</v>
      </c>
      <c r="L70" s="620">
        <f t="shared" si="165"/>
        <v>0</v>
      </c>
      <c r="M70" s="620">
        <f t="shared" si="166"/>
        <v>0</v>
      </c>
      <c r="N70" s="287"/>
      <c r="O70" s="615">
        <f t="shared" si="167"/>
        <v>0.24321356800000007</v>
      </c>
      <c r="P70" s="615">
        <f t="shared" si="168"/>
        <v>0.21817600000000006</v>
      </c>
      <c r="Q70" s="615">
        <f t="shared" si="169"/>
        <v>2.5037568E-2</v>
      </c>
      <c r="R70" s="615">
        <f t="shared" si="170"/>
        <v>0</v>
      </c>
      <c r="S70" s="615">
        <f t="shared" si="171"/>
        <v>0</v>
      </c>
      <c r="T70" s="89"/>
      <c r="U70" s="552">
        <v>0.1</v>
      </c>
      <c r="V70" s="133"/>
      <c r="W70" s="628">
        <f t="shared" si="188"/>
        <v>0.21817600000000006</v>
      </c>
      <c r="X70" s="628">
        <f t="shared" si="234"/>
        <v>0.21817600000000006</v>
      </c>
      <c r="Y70" s="620">
        <f t="shared" si="189"/>
        <v>0</v>
      </c>
      <c r="Z70" s="620">
        <f t="shared" si="190"/>
        <v>0.21817600000000006</v>
      </c>
      <c r="AA70" s="620">
        <f t="shared" si="191"/>
        <v>0.21817600000000006</v>
      </c>
      <c r="AB70" s="620">
        <f t="shared" si="192"/>
        <v>0</v>
      </c>
      <c r="AC70" s="620">
        <f t="shared" si="193"/>
        <v>0</v>
      </c>
      <c r="AD70" s="620">
        <f t="shared" si="194"/>
        <v>0</v>
      </c>
      <c r="AE70" s="287"/>
      <c r="AF70" s="615">
        <f t="shared" si="195"/>
        <v>0.21817600000000006</v>
      </c>
      <c r="AG70" s="615">
        <f t="shared" si="196"/>
        <v>0.21817600000000006</v>
      </c>
      <c r="AH70" s="615">
        <f t="shared" si="197"/>
        <v>0</v>
      </c>
      <c r="AI70" s="615">
        <f t="shared" si="198"/>
        <v>0</v>
      </c>
      <c r="AJ70" s="615">
        <f t="shared" si="199"/>
        <v>0</v>
      </c>
      <c r="AK70" s="339"/>
      <c r="AL70" s="627">
        <f t="shared" si="200"/>
        <v>0.96551724137931039</v>
      </c>
      <c r="AM70" s="627">
        <f t="shared" si="201"/>
        <v>3.4482758620689655E-2</v>
      </c>
      <c r="AN70" s="625">
        <f t="shared" si="202"/>
        <v>3.4482758620689655E-2</v>
      </c>
      <c r="AO70" s="364"/>
      <c r="AP70" s="620">
        <f>COUNTIF('AR | Drawing List'!$H:$H,"AR-T2V-7")</f>
        <v>29</v>
      </c>
      <c r="AQ70" s="621">
        <f>COUNTIFS('AR | Drawing List'!$H:$H,"AR-T2V-7",'AR | Drawing List'!$J:$J,1)</f>
        <v>28</v>
      </c>
      <c r="AR70" s="621">
        <f t="shared" ref="AR70:AR130" si="238">SUM(AS70:AV70)</f>
        <v>1</v>
      </c>
      <c r="AS70" s="621">
        <f>COUNTIFS('AR | Drawing List'!$H:$H,"AR-T2V-7",'AR | Drawing List'!M:M,1)</f>
        <v>1</v>
      </c>
      <c r="AT70" s="621">
        <f>COUNTIFS('AR | Drawing List'!$H:$H,"AR-T2V-7",'AR | Drawing List'!N:N,1)</f>
        <v>0</v>
      </c>
      <c r="AU70" s="621">
        <f>COUNTIFS('AR | Drawing List'!$H:$H,"AR-T2V-7",'AR | Drawing List'!O:O,1)</f>
        <v>0</v>
      </c>
      <c r="AV70" s="621">
        <f>COUNTIFS('AR | Drawing List'!$H:$H,"AR-T2V-7",'AR | Drawing List'!P:P,1)</f>
        <v>0</v>
      </c>
      <c r="AW70" s="366"/>
      <c r="AX70" s="629">
        <f t="shared" ref="AX70:AX73" si="239">SUM(AY70:BB70)</f>
        <v>1</v>
      </c>
      <c r="AY70" s="629">
        <f>COUNTIFS('AR | Drawing List'!$H:$H,"AR-T2V-7",'AR | Drawing List'!R:R,1)</f>
        <v>1</v>
      </c>
      <c r="AZ70" s="629">
        <f>COUNTIFS('AR | Drawing List'!$H:$H,"AR-T2V-7",'AR | Drawing List'!S:S,1)</f>
        <v>0</v>
      </c>
      <c r="BA70" s="621">
        <f>COUNTIFS('AR | Drawing List'!$H:$H,"AR-T2V-7",'AR | Drawing List'!T:T,1)</f>
        <v>0</v>
      </c>
      <c r="BB70" s="621">
        <f>COUNTIFS('AR | Drawing List'!$H:$H,"AR-T2V-7",'AR | Drawing List'!U:U,1)</f>
        <v>0</v>
      </c>
      <c r="BC70" s="366"/>
      <c r="BD70" s="366"/>
      <c r="BE70" s="666">
        <v>0</v>
      </c>
      <c r="BF70" s="368"/>
      <c r="BG70" s="621">
        <f t="shared" si="204"/>
        <v>0</v>
      </c>
      <c r="BH70" s="622">
        <f t="shared" si="235"/>
        <v>0</v>
      </c>
      <c r="BI70" s="620">
        <f t="shared" si="205"/>
        <v>0</v>
      </c>
      <c r="BJ70" s="620">
        <f t="shared" si="206"/>
        <v>0</v>
      </c>
      <c r="BK70" s="615">
        <f t="shared" si="207"/>
        <v>0</v>
      </c>
      <c r="BL70" s="615">
        <f t="shared" si="208"/>
        <v>0</v>
      </c>
      <c r="BM70" s="615">
        <f t="shared" si="209"/>
        <v>0</v>
      </c>
      <c r="BN70" s="615">
        <f t="shared" si="210"/>
        <v>0</v>
      </c>
      <c r="BO70" s="339"/>
      <c r="BP70" s="615">
        <f t="shared" si="211"/>
        <v>0</v>
      </c>
      <c r="BQ70" s="615">
        <f t="shared" si="212"/>
        <v>0</v>
      </c>
      <c r="BR70" s="615">
        <f t="shared" si="213"/>
        <v>0</v>
      </c>
      <c r="BS70" s="615">
        <f t="shared" si="214"/>
        <v>0</v>
      </c>
      <c r="BT70" s="615">
        <f t="shared" si="215"/>
        <v>0</v>
      </c>
      <c r="BU70" s="339"/>
      <c r="BV70" s="635">
        <f t="shared" si="216"/>
        <v>0</v>
      </c>
      <c r="BW70" s="635">
        <f t="shared" si="217"/>
        <v>0</v>
      </c>
      <c r="BX70" s="635">
        <f t="shared" si="218"/>
        <v>0</v>
      </c>
      <c r="BY70" s="364"/>
      <c r="BZ70" s="620">
        <f>COUNTIF('ST | Drawing List'!$H:$H,"ST-T2V-7")</f>
        <v>0</v>
      </c>
      <c r="CA70" s="621">
        <f>COUNTIFS('ST | Drawing List'!$H:$H,"ST-T2V-7",'ST | Drawing List'!$J:$J,1)</f>
        <v>0</v>
      </c>
      <c r="CB70" s="624">
        <f>COUNTIFS('ST | Drawing List'!$H:$H,"ST-T2V-7",'ST | Drawing List'!$L:$L,1)</f>
        <v>0</v>
      </c>
      <c r="CC70" s="621">
        <f>COUNTIFS('ST | Drawing List'!$H:$H,"ST-T2V-7",'ST | Drawing List'!M:M,1)</f>
        <v>0</v>
      </c>
      <c r="CD70" s="621">
        <f>COUNTIFS('ST | Drawing List'!$H:$H,"ST-T2V-7",'ST | Drawing List'!N:N,1)</f>
        <v>0</v>
      </c>
      <c r="CE70" s="621">
        <f>COUNTIFS('ST | Drawing List'!$H:$H,"ST-T2V-7",'ST | Drawing List'!O:O,1)</f>
        <v>0</v>
      </c>
      <c r="CF70" s="621">
        <f>COUNTIFS('ST | Drawing List'!$H:$H,"ST-T2V-7",'ST | Drawing List'!P:P,1)</f>
        <v>0</v>
      </c>
      <c r="CG70" s="541"/>
      <c r="CH70" s="624">
        <f>COUNTIFS('ST | Drawing List'!$H:$H,"ST-T2V-7",'ST | Drawing List'!$Q:$Q,1)</f>
        <v>0</v>
      </c>
      <c r="CI70" s="621">
        <f>COUNTIFS('ST | Drawing List'!$H:$H,"ST-T2V-7",'ST | Drawing List'!R:R,1)</f>
        <v>0</v>
      </c>
      <c r="CJ70" s="621">
        <f>COUNTIFS('ST | Drawing List'!$H:$H,"ST-T2V-7",'ST | Drawing List'!S:S,1)</f>
        <v>0</v>
      </c>
      <c r="CK70" s="621">
        <f>COUNTIFS('ST | Drawing List'!$H:$H,"ST-T2V-7",'ST | Drawing List'!T:T,1)</f>
        <v>0</v>
      </c>
      <c r="CL70" s="621">
        <f>COUNTIFS('ST | Drawing List'!$H:$H,"ST-T2V-7",'ST | Drawing List'!U:U,1)</f>
        <v>0</v>
      </c>
      <c r="CM70" s="368"/>
      <c r="CN70" s="368"/>
      <c r="CO70" s="554">
        <v>0.2</v>
      </c>
      <c r="CP70" s="368"/>
      <c r="CQ70" s="621">
        <f t="shared" si="219"/>
        <v>2.5037568E-2</v>
      </c>
      <c r="CR70" s="622">
        <f t="shared" si="236"/>
        <v>2.5037568E-2</v>
      </c>
      <c r="CS70" s="620">
        <f t="shared" si="220"/>
        <v>0</v>
      </c>
      <c r="CT70" s="615">
        <f t="shared" si="221"/>
        <v>2.5037568E-2</v>
      </c>
      <c r="CU70" s="615">
        <f t="shared" si="222"/>
        <v>2.5037568E-2</v>
      </c>
      <c r="CV70" s="615">
        <f t="shared" si="223"/>
        <v>0</v>
      </c>
      <c r="CW70" s="615">
        <f t="shared" si="224"/>
        <v>0</v>
      </c>
      <c r="CX70" s="615">
        <f t="shared" si="225"/>
        <v>0</v>
      </c>
      <c r="CY70" s="339"/>
      <c r="CZ70" s="615">
        <f t="shared" si="226"/>
        <v>2.5037568E-2</v>
      </c>
      <c r="DA70" s="615">
        <f t="shared" si="227"/>
        <v>0</v>
      </c>
      <c r="DB70" s="615">
        <f t="shared" si="228"/>
        <v>2.5037568E-2</v>
      </c>
      <c r="DC70" s="615">
        <f t="shared" si="229"/>
        <v>0</v>
      </c>
      <c r="DD70" s="615">
        <f t="shared" si="230"/>
        <v>0</v>
      </c>
      <c r="DE70" s="339"/>
      <c r="DF70" s="625">
        <f t="shared" si="231"/>
        <v>0.97222222222222221</v>
      </c>
      <c r="DG70" s="625">
        <f t="shared" si="232"/>
        <v>2.7777777777777776E-2</v>
      </c>
      <c r="DH70" s="625">
        <f t="shared" si="233"/>
        <v>2.7777777777777776E-2</v>
      </c>
      <c r="DI70" s="364"/>
      <c r="DJ70" s="620">
        <f>COUNTIF('MEP | Drawing List'!$H:$H,"MEP-T2V-6V-7")</f>
        <v>36</v>
      </c>
      <c r="DK70" s="621">
        <f>COUNTIFS('MEP | Drawing List'!$H:$H,"MEP-T2V-6V-7",'MEP | Drawing List'!$J:$J,1)</f>
        <v>35</v>
      </c>
      <c r="DL70" s="621">
        <f>COUNTIFS('MEP | Drawing List'!$H:$H,"MEP-T2V-6V-7",'MEP | Drawing List'!$L:$L,1)</f>
        <v>1</v>
      </c>
      <c r="DM70" s="620">
        <f>COUNTIFS('MEP | Drawing List'!$H:$H,"MEP-T2V-6V-7",'MEP | Drawing List'!M:M,1)</f>
        <v>1</v>
      </c>
      <c r="DN70" s="620">
        <f>COUNTIFS('MEP | Drawing List'!$H:$H,"MEP-T2V-6V-7",'MEP | Drawing List'!N:N,1)</f>
        <v>0</v>
      </c>
      <c r="DO70" s="620">
        <f>COUNTIFS('MEP | Drawing List'!$H:$H,"MEP-T2V-6V-7",'MEP | Drawing List'!O:O,1)</f>
        <v>0</v>
      </c>
      <c r="DP70" s="620">
        <f>COUNTIFS('MEP | Drawing List'!$H:$H,"MEP-T2V-6V-7",'MEP | Drawing List'!P:P,1)</f>
        <v>0</v>
      </c>
      <c r="DQ70" s="287"/>
      <c r="DR70" s="621">
        <f>COUNTIFS('MEP | Drawing List'!$H:$H,"MEP-T2V-6V-7",'MEP | Drawing List'!$Q:$Q,1)</f>
        <v>1</v>
      </c>
      <c r="DS70" s="620">
        <f>COUNTIFS('MEP | Drawing List'!$H:$H,"MEP-T2V-6V-7",'MEP | Drawing List'!R:R,1)</f>
        <v>0</v>
      </c>
      <c r="DT70" s="620">
        <f>COUNTIFS('MEP | Drawing List'!$H:$H,"MEP-T2V-6V-7",'MEP | Drawing List'!S:S,1)</f>
        <v>1</v>
      </c>
      <c r="DU70" s="620">
        <f>COUNTIFS('MEP | Drawing List'!$H:$H,"MEP-T2V-6V-7",'MEP | Drawing List'!T:T,1)</f>
        <v>0</v>
      </c>
      <c r="DV70" s="620">
        <f>COUNTIFS('MEP | Drawing List'!$H:$H,"MEP-T2V-6V-7",'MEP | Drawing List'!U:U,1)</f>
        <v>0</v>
      </c>
      <c r="DW70" s="368"/>
      <c r="DX70" s="368"/>
      <c r="DY70" s="554">
        <v>0</v>
      </c>
      <c r="DZ70" s="368"/>
      <c r="EA70" s="344">
        <v>0</v>
      </c>
      <c r="EB70" s="622">
        <f t="shared" si="237"/>
        <v>0</v>
      </c>
      <c r="EC70" s="91"/>
      <c r="ED70" s="91"/>
      <c r="EE70" s="339"/>
      <c r="EF70" s="339"/>
      <c r="EG70" s="339"/>
      <c r="EH70" s="339"/>
      <c r="EI70" s="339"/>
      <c r="EJ70" s="91"/>
      <c r="EK70" s="339"/>
      <c r="EL70" s="339"/>
      <c r="EM70" s="339"/>
      <c r="EN70" s="339"/>
      <c r="EO70" s="339"/>
      <c r="EP70" s="103"/>
      <c r="EQ70" s="103"/>
      <c r="ER70" s="103"/>
      <c r="ES70" s="92"/>
      <c r="ET70" s="620">
        <f>COUNTIF('LS | Drawing List'!$H:$H,"LS-T2V-7")</f>
        <v>0</v>
      </c>
      <c r="EU70" s="621">
        <f>COUNTIFS('LS | Drawing List'!$H:$H,"LS-T2V-7",'LS | Drawing List'!$J:$J,1)</f>
        <v>0</v>
      </c>
      <c r="EV70" s="621">
        <f>COUNTIFS('LS | Drawing List'!$H:$H,"LS-T2V-7",'LS | Drawing List'!$L:$L,1)</f>
        <v>0</v>
      </c>
      <c r="EW70" s="620">
        <f>COUNTIFS('LS | Drawing List'!$H:$H,"LS-T2V-7",'LS | Drawing List'!M:M,1)</f>
        <v>0</v>
      </c>
      <c r="EX70" s="620">
        <f>COUNTIFS('LS | Drawing List'!$H:$H,"LS-T2V-7",'LS | Drawing List'!N:N,1)</f>
        <v>0</v>
      </c>
      <c r="EY70" s="620">
        <f>COUNTIFS('LS | Drawing List'!$H:$H,"LS-T2V-7",'LS | Drawing List'!O:O,1)</f>
        <v>0</v>
      </c>
      <c r="EZ70" s="620">
        <f>COUNTIFS('LS | Drawing List'!$H:$H,"LS-T2V-7",'LS | Drawing List'!P:P,1)</f>
        <v>0</v>
      </c>
      <c r="FA70" s="91"/>
      <c r="FB70" s="621">
        <f>COUNTIFS('LS | Drawing List'!$H:$H,"LS-T2V-7",'LS | Drawing List'!$Q:$Q,1)</f>
        <v>0</v>
      </c>
      <c r="FC70" s="620">
        <f>COUNTIFS('LS | Drawing List'!$H:$H,"LS-T2V-7",'LS | Drawing List'!R:R,1)</f>
        <v>0</v>
      </c>
      <c r="FD70" s="620">
        <f>COUNTIFS('LS | Drawing List'!$H:$H,"LS-T2V-7",'LS | Drawing List'!S:S,1)</f>
        <v>0</v>
      </c>
      <c r="FE70" s="620">
        <f>COUNTIFS('LS | Drawing List'!$H:$H,"LS-T2V-7",'LS | Drawing List'!T:T,1)</f>
        <v>0</v>
      </c>
      <c r="FF70" s="620">
        <f>COUNTIFS('LS | Drawing List'!$H:$H,"LS-T2V-7",'LS | Drawing List'!U:U,1)</f>
        <v>0</v>
      </c>
      <c r="FG70" s="89"/>
    </row>
    <row r="71" spans="1:163" ht="14.25" hidden="1" outlineLevel="2">
      <c r="A71" s="48"/>
      <c r="B71" s="87" t="s">
        <v>80</v>
      </c>
      <c r="C71" s="276">
        <v>8</v>
      </c>
      <c r="D71" s="272" t="s">
        <v>67</v>
      </c>
      <c r="E71" s="48"/>
      <c r="F71" s="619">
        <f t="shared" si="159"/>
        <v>0.15447680000000003</v>
      </c>
      <c r="G71" s="619">
        <f t="shared" si="160"/>
        <v>0.15447680000000003</v>
      </c>
      <c r="H71" s="615">
        <f t="shared" si="161"/>
        <v>0</v>
      </c>
      <c r="I71" s="615">
        <f t="shared" si="162"/>
        <v>0</v>
      </c>
      <c r="J71" s="615">
        <f t="shared" si="163"/>
        <v>0</v>
      </c>
      <c r="K71" s="615">
        <f t="shared" si="164"/>
        <v>0</v>
      </c>
      <c r="L71" s="615">
        <f t="shared" si="165"/>
        <v>0</v>
      </c>
      <c r="M71" s="620">
        <f t="shared" si="166"/>
        <v>0</v>
      </c>
      <c r="N71" s="287"/>
      <c r="O71" s="615">
        <f t="shared" si="167"/>
        <v>0</v>
      </c>
      <c r="P71" s="615">
        <f t="shared" si="168"/>
        <v>0</v>
      </c>
      <c r="Q71" s="615">
        <f t="shared" si="169"/>
        <v>0</v>
      </c>
      <c r="R71" s="615">
        <f t="shared" si="170"/>
        <v>0</v>
      </c>
      <c r="S71" s="615">
        <f t="shared" si="171"/>
        <v>0</v>
      </c>
      <c r="T71" s="48"/>
      <c r="U71" s="519">
        <v>0.05</v>
      </c>
      <c r="V71" s="131"/>
      <c r="W71" s="619">
        <f t="shared" si="188"/>
        <v>0.10908800000000003</v>
      </c>
      <c r="X71" s="619">
        <f t="shared" si="234"/>
        <v>0.10908800000000003</v>
      </c>
      <c r="Y71" s="615">
        <f t="shared" si="189"/>
        <v>0.10908800000000003</v>
      </c>
      <c r="Z71" s="615">
        <f t="shared" si="190"/>
        <v>0</v>
      </c>
      <c r="AA71" s="615">
        <f t="shared" si="191"/>
        <v>0</v>
      </c>
      <c r="AB71" s="615">
        <f t="shared" si="192"/>
        <v>0</v>
      </c>
      <c r="AC71" s="615">
        <f t="shared" si="193"/>
        <v>0</v>
      </c>
      <c r="AD71" s="620">
        <f t="shared" si="194"/>
        <v>0</v>
      </c>
      <c r="AE71" s="287"/>
      <c r="AF71" s="615">
        <f t="shared" si="195"/>
        <v>0</v>
      </c>
      <c r="AG71" s="615">
        <f t="shared" si="196"/>
        <v>0</v>
      </c>
      <c r="AH71" s="615">
        <f t="shared" si="197"/>
        <v>0</v>
      </c>
      <c r="AI71" s="615">
        <f t="shared" si="198"/>
        <v>0</v>
      </c>
      <c r="AJ71" s="615">
        <f t="shared" si="199"/>
        <v>0</v>
      </c>
      <c r="AK71" s="339"/>
      <c r="AL71" s="625">
        <f t="shared" si="200"/>
        <v>1</v>
      </c>
      <c r="AM71" s="625">
        <f t="shared" si="201"/>
        <v>0</v>
      </c>
      <c r="AN71" s="625">
        <f t="shared" si="202"/>
        <v>0</v>
      </c>
      <c r="AO71" s="341"/>
      <c r="AP71" s="615">
        <f>COUNTIF('AR | Drawing List'!$H:$H,"AR-T2V-8")</f>
        <v>6</v>
      </c>
      <c r="AQ71" s="616">
        <f>COUNTIFS('AR | Drawing List'!$H:$H,"AR-T2V-8",'AR | Drawing List'!$J:$J,1)</f>
        <v>6</v>
      </c>
      <c r="AR71" s="616">
        <f t="shared" si="238"/>
        <v>0</v>
      </c>
      <c r="AS71" s="616">
        <f>COUNTIFS('AR | Drawing List'!$H:$H,"AR-T2V-8",'AR | Drawing List'!M:M,1)</f>
        <v>0</v>
      </c>
      <c r="AT71" s="616">
        <f>COUNTIFS('AR | Drawing List'!$H:$H,"AR-T2V-8",'AR | Drawing List'!N:N,1)</f>
        <v>0</v>
      </c>
      <c r="AU71" s="616">
        <f>COUNTIFS('AR | Drawing List'!$H:$H,"AR-T2V-8",'AR | Drawing List'!O:O,1)</f>
        <v>0</v>
      </c>
      <c r="AV71" s="616">
        <f>COUNTIFS('AR | Drawing List'!$H:$H,"AR-T2V-8",'AR | Drawing List'!P:P,1)</f>
        <v>0</v>
      </c>
      <c r="AW71" s="328"/>
      <c r="AX71" s="616">
        <f t="shared" si="239"/>
        <v>0</v>
      </c>
      <c r="AY71" s="616">
        <f>COUNTIFS('AR | Drawing List'!$H:$H,"AR-T2V-8",'AR | Drawing List'!R:R,1)</f>
        <v>0</v>
      </c>
      <c r="AZ71" s="616">
        <f>COUNTIFS('AR | Drawing List'!$H:$H,"AR-T2V-8",'AR | Drawing List'!S:S,1)</f>
        <v>0</v>
      </c>
      <c r="BA71" s="616">
        <f>COUNTIFS('AR | Drawing List'!$H:$H,"AR-T2V-8",'AR | Drawing List'!T:T,1)</f>
        <v>0</v>
      </c>
      <c r="BB71" s="616">
        <f>COUNTIFS('AR | Drawing List'!$H:$H,"AR-T2V-8",'AR | Drawing List'!U:U,1)</f>
        <v>0</v>
      </c>
      <c r="BC71" s="328"/>
      <c r="BD71" s="328"/>
      <c r="BE71" s="525">
        <v>0.05</v>
      </c>
      <c r="BF71" s="343"/>
      <c r="BG71" s="616">
        <f t="shared" si="204"/>
        <v>4.53888E-2</v>
      </c>
      <c r="BH71" s="618">
        <f t="shared" si="235"/>
        <v>4.53888E-2</v>
      </c>
      <c r="BI71" s="615">
        <f t="shared" si="205"/>
        <v>4.53888E-2</v>
      </c>
      <c r="BJ71" s="615">
        <f t="shared" si="206"/>
        <v>0</v>
      </c>
      <c r="BK71" s="615">
        <f t="shared" si="207"/>
        <v>0</v>
      </c>
      <c r="BL71" s="615">
        <f t="shared" si="208"/>
        <v>0</v>
      </c>
      <c r="BM71" s="615">
        <f t="shared" si="209"/>
        <v>0</v>
      </c>
      <c r="BN71" s="615">
        <f t="shared" si="210"/>
        <v>0</v>
      </c>
      <c r="BO71" s="339"/>
      <c r="BP71" s="615">
        <f t="shared" si="211"/>
        <v>0</v>
      </c>
      <c r="BQ71" s="615">
        <f t="shared" si="212"/>
        <v>0</v>
      </c>
      <c r="BR71" s="615">
        <f t="shared" si="213"/>
        <v>0</v>
      </c>
      <c r="BS71" s="615">
        <f t="shared" si="214"/>
        <v>0</v>
      </c>
      <c r="BT71" s="615">
        <f t="shared" si="215"/>
        <v>0</v>
      </c>
      <c r="BU71" s="339"/>
      <c r="BV71" s="635">
        <f t="shared" si="216"/>
        <v>1</v>
      </c>
      <c r="BW71" s="635">
        <f t="shared" si="217"/>
        <v>0</v>
      </c>
      <c r="BX71" s="635">
        <f t="shared" si="218"/>
        <v>0</v>
      </c>
      <c r="BY71" s="341"/>
      <c r="BZ71" s="615">
        <f>COUNTIF('ST | Drawing List'!$H:$H,"ST-T2V-8")</f>
        <v>18</v>
      </c>
      <c r="CA71" s="616">
        <f>COUNTIFS('ST | Drawing List'!$H:$H,"ST-T2V-8",'ST | Drawing List'!$J:$J,1)</f>
        <v>18</v>
      </c>
      <c r="CB71" s="623">
        <f>COUNTIFS('ST | Drawing List'!$H:$H,"ST-T2V-8",'ST | Drawing List'!$L:$L,1)</f>
        <v>0</v>
      </c>
      <c r="CC71" s="616">
        <f>COUNTIFS('ST | Drawing List'!$H:$H,"ST-T2V-8",'ST | Drawing List'!M:M,1)</f>
        <v>0</v>
      </c>
      <c r="CD71" s="616">
        <f>COUNTIFS('ST | Drawing List'!$H:$H,"ST-T2V-8",'ST | Drawing List'!N:N,1)</f>
        <v>0</v>
      </c>
      <c r="CE71" s="616">
        <f>COUNTIFS('ST | Drawing List'!$H:$H,"ST-T2V-8",'ST | Drawing List'!O:O,1)</f>
        <v>0</v>
      </c>
      <c r="CF71" s="616">
        <f>COUNTIFS('ST | Drawing List'!$H:$H,"ST-T2V-8",'ST | Drawing List'!P:P,1)</f>
        <v>0</v>
      </c>
      <c r="CG71" s="532"/>
      <c r="CH71" s="623">
        <f>COUNTIFS('ST | Drawing List'!$H:$H,"ST-T2V-8",'ST | Drawing List'!$Q:$Q,1)</f>
        <v>0</v>
      </c>
      <c r="CI71" s="616">
        <f>COUNTIFS('ST | Drawing List'!$H:$H,"ST-T2V-8",'ST | Drawing List'!R:R,1)</f>
        <v>0</v>
      </c>
      <c r="CJ71" s="616">
        <f>COUNTIFS('ST | Drawing List'!$H:$H,"ST-T2V-8",'ST | Drawing List'!S:S,1)</f>
        <v>0</v>
      </c>
      <c r="CK71" s="616">
        <f>COUNTIFS('ST | Drawing List'!$H:$H,"ST-T2V-8",'ST | Drawing List'!T:T,1)</f>
        <v>0</v>
      </c>
      <c r="CL71" s="616">
        <f>COUNTIFS('ST | Drawing List'!$H:$H,"ST-T2V-8",'ST | Drawing List'!U:U,1)</f>
        <v>0</v>
      </c>
      <c r="CM71" s="343"/>
      <c r="CN71" s="343"/>
      <c r="CO71" s="666">
        <v>0</v>
      </c>
      <c r="CP71" s="343"/>
      <c r="CQ71" s="616">
        <f t="shared" si="219"/>
        <v>0</v>
      </c>
      <c r="CR71" s="618">
        <f t="shared" si="236"/>
        <v>0</v>
      </c>
      <c r="CS71" s="615">
        <f t="shared" si="220"/>
        <v>0</v>
      </c>
      <c r="CT71" s="615">
        <f t="shared" si="221"/>
        <v>0</v>
      </c>
      <c r="CU71" s="615">
        <f t="shared" si="222"/>
        <v>0</v>
      </c>
      <c r="CV71" s="615">
        <f t="shared" si="223"/>
        <v>0</v>
      </c>
      <c r="CW71" s="615">
        <f t="shared" si="224"/>
        <v>0</v>
      </c>
      <c r="CX71" s="615">
        <f t="shared" si="225"/>
        <v>0</v>
      </c>
      <c r="CY71" s="339"/>
      <c r="CZ71" s="615">
        <f t="shared" si="226"/>
        <v>0</v>
      </c>
      <c r="DA71" s="615">
        <f t="shared" si="227"/>
        <v>0</v>
      </c>
      <c r="DB71" s="615">
        <f t="shared" si="228"/>
        <v>0</v>
      </c>
      <c r="DC71" s="615">
        <f t="shared" si="229"/>
        <v>0</v>
      </c>
      <c r="DD71" s="615">
        <f t="shared" si="230"/>
        <v>0</v>
      </c>
      <c r="DE71" s="339"/>
      <c r="DF71" s="625">
        <f t="shared" si="231"/>
        <v>0</v>
      </c>
      <c r="DG71" s="625">
        <f t="shared" si="232"/>
        <v>0</v>
      </c>
      <c r="DH71" s="625">
        <f t="shared" si="233"/>
        <v>0</v>
      </c>
      <c r="DI71" s="341"/>
      <c r="DJ71" s="615">
        <f>COUNTIF('MEP | Drawing List'!$H:$H,"MEP-T2V-6V-8")</f>
        <v>0</v>
      </c>
      <c r="DK71" s="616">
        <f>COUNTIFS('MEP | Drawing List'!$H:$H,"MEP-T2V-6V-8",'MEP | Drawing List'!$J:$J,1)</f>
        <v>0</v>
      </c>
      <c r="DL71" s="616">
        <f>COUNTIFS('MEP | Drawing List'!$H:$H,"MEP-T2V-6V-8",'MEP | Drawing List'!$L:$L,1)</f>
        <v>0</v>
      </c>
      <c r="DM71" s="615">
        <f>COUNTIFS('MEP | Drawing List'!$H:$H,"MEP-T2V-6V-8",'MEP | Drawing List'!M:M,1)</f>
        <v>0</v>
      </c>
      <c r="DN71" s="615">
        <f>COUNTIFS('MEP | Drawing List'!$H:$H,"MEP-T2V-6V-8",'MEP | Drawing List'!N:N,1)</f>
        <v>0</v>
      </c>
      <c r="DO71" s="615">
        <f>COUNTIFS('MEP | Drawing List'!$H:$H,"MEP-T2V-6V-8",'MEP | Drawing List'!O:O,1)</f>
        <v>0</v>
      </c>
      <c r="DP71" s="615">
        <f>COUNTIFS('MEP | Drawing List'!$H:$H,"MEP-T2V-6V-8",'MEP | Drawing List'!P:P,1)</f>
        <v>0</v>
      </c>
      <c r="DQ71" s="339"/>
      <c r="DR71" s="616">
        <f>COUNTIFS('MEP | Drawing List'!$H:$H,"MEP-T2V-6V-8",'MEP | Drawing List'!$Q:$Q,1)</f>
        <v>0</v>
      </c>
      <c r="DS71" s="615">
        <f>COUNTIFS('MEP | Drawing List'!$H:$H,"MEP-T2V-6V-8",'MEP | Drawing List'!R:R,1)</f>
        <v>0</v>
      </c>
      <c r="DT71" s="615">
        <f>COUNTIFS('MEP | Drawing List'!$H:$H,"MEP-T2V-6V-8",'MEP | Drawing List'!S:S,1)</f>
        <v>0</v>
      </c>
      <c r="DU71" s="615">
        <f>COUNTIFS('MEP | Drawing List'!$H:$H,"MEP-T2V-6V-8",'MEP | Drawing List'!T:T,1)</f>
        <v>0</v>
      </c>
      <c r="DV71" s="615">
        <f>COUNTIFS('MEP | Drawing List'!$H:$H,"MEP-T2V-6V-8",'MEP | Drawing List'!U:U,1)</f>
        <v>0</v>
      </c>
      <c r="DW71" s="343"/>
      <c r="DX71" s="343"/>
      <c r="DY71" s="525">
        <v>0</v>
      </c>
      <c r="DZ71" s="343"/>
      <c r="EA71" s="344">
        <v>0</v>
      </c>
      <c r="EB71" s="618">
        <f t="shared" si="237"/>
        <v>0</v>
      </c>
      <c r="EC71" s="81"/>
      <c r="ED71" s="81"/>
      <c r="EE71" s="339"/>
      <c r="EF71" s="339"/>
      <c r="EG71" s="339"/>
      <c r="EH71" s="339"/>
      <c r="EI71" s="339"/>
      <c r="EJ71" s="81"/>
      <c r="EK71" s="339"/>
      <c r="EL71" s="339"/>
      <c r="EM71" s="339"/>
      <c r="EN71" s="339"/>
      <c r="EO71" s="339"/>
      <c r="EP71" s="639"/>
      <c r="EQ71" s="639"/>
      <c r="ER71" s="639"/>
      <c r="ES71" s="82"/>
      <c r="ET71" s="615">
        <f>COUNTIF('LS | Drawing List'!$H:$H,"LS-T2V-8")</f>
        <v>0</v>
      </c>
      <c r="EU71" s="616">
        <f>COUNTIFS('LS | Drawing List'!$H:$H,"LS-T2V-8",'LS | Drawing List'!$J:$J,1)</f>
        <v>0</v>
      </c>
      <c r="EV71" s="616">
        <f>COUNTIFS('LS | Drawing List'!$H:$H,"LS-T2V-8",'LS | Drawing List'!$L:$L,1)</f>
        <v>0</v>
      </c>
      <c r="EW71" s="615">
        <f>COUNTIFS('LS | Drawing List'!$H:$H,"LS-T2V-8",'LS | Drawing List'!M:M,1)</f>
        <v>0</v>
      </c>
      <c r="EX71" s="615">
        <f>COUNTIFS('LS | Drawing List'!$H:$H,"LS-T2V-8",'LS | Drawing List'!N:N,1)</f>
        <v>0</v>
      </c>
      <c r="EY71" s="615">
        <f>COUNTIFS('LS | Drawing List'!$H:$H,"LS-T2V-8",'LS | Drawing List'!O:O,1)</f>
        <v>0</v>
      </c>
      <c r="EZ71" s="615">
        <f>COUNTIFS('LS | Drawing List'!$H:$H,"LS-T2V-8",'LS | Drawing List'!P:P,1)</f>
        <v>0</v>
      </c>
      <c r="FA71" s="81"/>
      <c r="FB71" s="616">
        <f>COUNTIFS('LS | Drawing List'!$H:$H,"LS-T2V-8",'LS | Drawing List'!$Q:$Q,1)</f>
        <v>0</v>
      </c>
      <c r="FC71" s="615">
        <f>COUNTIFS('LS | Drawing List'!$H:$H,"LS-T2V-8",'LS | Drawing List'!R:R,1)</f>
        <v>0</v>
      </c>
      <c r="FD71" s="615">
        <f>COUNTIFS('LS | Drawing List'!$H:$H,"LS-T2V-8",'LS | Drawing List'!S:S,1)</f>
        <v>0</v>
      </c>
      <c r="FE71" s="615">
        <f>COUNTIFS('LS | Drawing List'!$H:$H,"LS-T2V-8",'LS | Drawing List'!T:T,1)</f>
        <v>0</v>
      </c>
      <c r="FF71" s="615">
        <f>COUNTIFS('LS | Drawing List'!$H:$H,"LS-T2V-8",'LS | Drawing List'!U:U,1)</f>
        <v>0</v>
      </c>
      <c r="FG71" s="48"/>
    </row>
    <row r="72" spans="1:163" ht="14.25" hidden="1" outlineLevel="2">
      <c r="A72" s="48"/>
      <c r="B72" s="87" t="s">
        <v>81</v>
      </c>
      <c r="C72" s="276">
        <v>9</v>
      </c>
      <c r="D72" s="273" t="s">
        <v>69</v>
      </c>
      <c r="E72" s="48"/>
      <c r="F72" s="619">
        <f t="shared" si="159"/>
        <v>0.17035916800000003</v>
      </c>
      <c r="G72" s="619">
        <f t="shared" si="160"/>
        <v>0.17035916800000003</v>
      </c>
      <c r="H72" s="615">
        <f t="shared" si="161"/>
        <v>0</v>
      </c>
      <c r="I72" s="615">
        <f t="shared" si="162"/>
        <v>0</v>
      </c>
      <c r="J72" s="615">
        <f t="shared" si="163"/>
        <v>0</v>
      </c>
      <c r="K72" s="615">
        <f t="shared" si="164"/>
        <v>0</v>
      </c>
      <c r="L72" s="615">
        <f t="shared" si="165"/>
        <v>0</v>
      </c>
      <c r="M72" s="620">
        <f t="shared" si="166"/>
        <v>0</v>
      </c>
      <c r="N72" s="287"/>
      <c r="O72" s="615">
        <f t="shared" si="167"/>
        <v>0</v>
      </c>
      <c r="P72" s="615">
        <f t="shared" si="168"/>
        <v>0</v>
      </c>
      <c r="Q72" s="615">
        <f t="shared" si="169"/>
        <v>0</v>
      </c>
      <c r="R72" s="615">
        <f t="shared" si="170"/>
        <v>0</v>
      </c>
      <c r="S72" s="615">
        <f t="shared" si="171"/>
        <v>0</v>
      </c>
      <c r="T72" s="48"/>
      <c r="U72" s="519">
        <v>2.5000000000000001E-2</v>
      </c>
      <c r="V72" s="131"/>
      <c r="W72" s="619">
        <f t="shared" si="188"/>
        <v>5.4544000000000016E-2</v>
      </c>
      <c r="X72" s="619">
        <f t="shared" si="234"/>
        <v>5.4544000000000016E-2</v>
      </c>
      <c r="Y72" s="615">
        <f t="shared" si="189"/>
        <v>5.4544000000000016E-2</v>
      </c>
      <c r="Z72" s="615">
        <f t="shared" si="190"/>
        <v>0</v>
      </c>
      <c r="AA72" s="615">
        <f t="shared" si="191"/>
        <v>0</v>
      </c>
      <c r="AB72" s="615">
        <f t="shared" si="192"/>
        <v>0</v>
      </c>
      <c r="AC72" s="615">
        <f t="shared" si="193"/>
        <v>0</v>
      </c>
      <c r="AD72" s="620">
        <f t="shared" si="194"/>
        <v>0</v>
      </c>
      <c r="AE72" s="287"/>
      <c r="AF72" s="615">
        <f t="shared" si="195"/>
        <v>0</v>
      </c>
      <c r="AG72" s="615">
        <f t="shared" si="196"/>
        <v>0</v>
      </c>
      <c r="AH72" s="615">
        <f t="shared" si="197"/>
        <v>0</v>
      </c>
      <c r="AI72" s="615">
        <f t="shared" si="198"/>
        <v>0</v>
      </c>
      <c r="AJ72" s="615">
        <f t="shared" si="199"/>
        <v>0</v>
      </c>
      <c r="AK72" s="339"/>
      <c r="AL72" s="625">
        <f t="shared" si="200"/>
        <v>1</v>
      </c>
      <c r="AM72" s="625">
        <f t="shared" si="201"/>
        <v>0</v>
      </c>
      <c r="AN72" s="625">
        <f t="shared" si="202"/>
        <v>0</v>
      </c>
      <c r="AO72" s="341"/>
      <c r="AP72" s="615">
        <f>COUNTIF('AR | Drawing List'!$H:$H,"AR-T2V-9")</f>
        <v>1</v>
      </c>
      <c r="AQ72" s="616">
        <f>COUNTIFS('AR | Drawing List'!$H:$H,"AR-T2V-9",'AR | Drawing List'!$J:$J,1)</f>
        <v>1</v>
      </c>
      <c r="AR72" s="616">
        <f t="shared" si="238"/>
        <v>0</v>
      </c>
      <c r="AS72" s="616">
        <f>COUNTIFS('AR | Drawing List'!$H:$H,"AR-T2V-9",'AR | Drawing List'!M:M,1)</f>
        <v>0</v>
      </c>
      <c r="AT72" s="616">
        <f>COUNTIFS('AR | Drawing List'!$H:$H,"AR-T2V-9",'AR | Drawing List'!N:N,1)</f>
        <v>0</v>
      </c>
      <c r="AU72" s="616">
        <f>COUNTIFS('AR | Drawing List'!$H:$H,"AR-T2V-9",'AR | Drawing List'!O:O,1)</f>
        <v>0</v>
      </c>
      <c r="AV72" s="616">
        <f>COUNTIFS('AR | Drawing List'!$H:$H,"AR-T2V-9",'AR | Drawing List'!P:P,1)</f>
        <v>0</v>
      </c>
      <c r="AW72" s="328"/>
      <c r="AX72" s="616">
        <f t="shared" si="239"/>
        <v>0</v>
      </c>
      <c r="AY72" s="616">
        <f>COUNTIFS('AR | Drawing List'!$H:$H,"AR-T2V-9",'AR | Drawing List'!R:R,1)</f>
        <v>0</v>
      </c>
      <c r="AZ72" s="616">
        <f>COUNTIFS('AR | Drawing List'!$H:$H,"AR-T2V-9",'AR | Drawing List'!S:S,1)</f>
        <v>0</v>
      </c>
      <c r="BA72" s="616">
        <f>COUNTIFS('AR | Drawing List'!$H:$H,"AR-T2V-9",'AR | Drawing List'!T:T,1)</f>
        <v>0</v>
      </c>
      <c r="BB72" s="616">
        <f>COUNTIFS('AR | Drawing List'!$H:$H,"AR-T2V-9",'AR | Drawing List'!U:U,1)</f>
        <v>0</v>
      </c>
      <c r="BC72" s="328"/>
      <c r="BD72" s="328"/>
      <c r="BE72" s="554">
        <v>0.1</v>
      </c>
      <c r="BF72" s="343"/>
      <c r="BG72" s="616">
        <f t="shared" si="204"/>
        <v>9.07776E-2</v>
      </c>
      <c r="BH72" s="618">
        <f t="shared" si="235"/>
        <v>9.07776E-2</v>
      </c>
      <c r="BI72" s="615">
        <f t="shared" si="205"/>
        <v>9.07776E-2</v>
      </c>
      <c r="BJ72" s="615">
        <f t="shared" si="206"/>
        <v>0</v>
      </c>
      <c r="BK72" s="615">
        <f t="shared" si="207"/>
        <v>0</v>
      </c>
      <c r="BL72" s="615">
        <f t="shared" si="208"/>
        <v>0</v>
      </c>
      <c r="BM72" s="615">
        <f t="shared" si="209"/>
        <v>0</v>
      </c>
      <c r="BN72" s="615">
        <f t="shared" si="210"/>
        <v>0</v>
      </c>
      <c r="BO72" s="339"/>
      <c r="BP72" s="615">
        <f t="shared" si="211"/>
        <v>0</v>
      </c>
      <c r="BQ72" s="615">
        <f t="shared" si="212"/>
        <v>0</v>
      </c>
      <c r="BR72" s="615">
        <f t="shared" si="213"/>
        <v>0</v>
      </c>
      <c r="BS72" s="615">
        <f t="shared" si="214"/>
        <v>0</v>
      </c>
      <c r="BT72" s="615">
        <f t="shared" si="215"/>
        <v>0</v>
      </c>
      <c r="BU72" s="339"/>
      <c r="BV72" s="635">
        <f t="shared" si="216"/>
        <v>1</v>
      </c>
      <c r="BW72" s="635">
        <f t="shared" si="217"/>
        <v>0</v>
      </c>
      <c r="BX72" s="635">
        <f t="shared" si="218"/>
        <v>0</v>
      </c>
      <c r="BY72" s="341"/>
      <c r="BZ72" s="615">
        <f>COUNTIF('ST | Drawing List'!$H:$H,"ST-T2V-9")</f>
        <v>4</v>
      </c>
      <c r="CA72" s="616">
        <f>COUNTIFS('ST | Drawing List'!$H:$H,"ST-T2V-9",'ST | Drawing List'!$J:$J,1)</f>
        <v>4</v>
      </c>
      <c r="CB72" s="623">
        <f>COUNTIFS('ST | Drawing List'!$H:$H,"ST-T2V-9",'ST | Drawing List'!$L:$L,1)</f>
        <v>0</v>
      </c>
      <c r="CC72" s="616">
        <f>COUNTIFS('ST | Drawing List'!$H:$H,"ST-T2V-9",'ST | Drawing List'!M:M,1)</f>
        <v>0</v>
      </c>
      <c r="CD72" s="616">
        <f>COUNTIFS('ST | Drawing List'!$H:$H,"ST-T2V-9",'ST | Drawing List'!N:N,1)</f>
        <v>0</v>
      </c>
      <c r="CE72" s="616">
        <f>COUNTIFS('ST | Drawing List'!$H:$H,"ST-T2V-9",'ST | Drawing List'!O:O,1)</f>
        <v>0</v>
      </c>
      <c r="CF72" s="616">
        <f>COUNTIFS('ST | Drawing List'!$H:$H,"ST-T2V-9",'ST | Drawing List'!P:P,1)</f>
        <v>0</v>
      </c>
      <c r="CG72" s="532"/>
      <c r="CH72" s="623">
        <f>COUNTIFS('ST | Drawing List'!$H:$H,"ST-T2V-9",'ST | Drawing List'!$Q:$Q,1)</f>
        <v>0</v>
      </c>
      <c r="CI72" s="616">
        <f>COUNTIFS('ST | Drawing List'!$H:$H,"ST-T2V-9",'ST | Drawing List'!R:R,1)</f>
        <v>0</v>
      </c>
      <c r="CJ72" s="616">
        <f>COUNTIFS('ST | Drawing List'!$H:$H,"ST-T2V-9",'ST | Drawing List'!S:S,1)</f>
        <v>0</v>
      </c>
      <c r="CK72" s="616">
        <f>COUNTIFS('ST | Drawing List'!$H:$H,"ST-T2V-9",'ST | Drawing List'!T:T,1)</f>
        <v>0</v>
      </c>
      <c r="CL72" s="616">
        <f>COUNTIFS('ST | Drawing List'!$H:$H,"ST-T2V-9",'ST | Drawing List'!U:U,1)</f>
        <v>0</v>
      </c>
      <c r="CM72" s="343"/>
      <c r="CN72" s="343"/>
      <c r="CO72" s="525">
        <v>0.2</v>
      </c>
      <c r="CP72" s="343"/>
      <c r="CQ72" s="616">
        <f t="shared" si="219"/>
        <v>2.5037568E-2</v>
      </c>
      <c r="CR72" s="618">
        <f t="shared" si="236"/>
        <v>2.5037568E-2</v>
      </c>
      <c r="CS72" s="615">
        <f t="shared" si="220"/>
        <v>2.5037568E-2</v>
      </c>
      <c r="CT72" s="615">
        <f t="shared" si="221"/>
        <v>0</v>
      </c>
      <c r="CU72" s="615">
        <f t="shared" si="222"/>
        <v>0</v>
      </c>
      <c r="CV72" s="615">
        <f t="shared" si="223"/>
        <v>0</v>
      </c>
      <c r="CW72" s="615">
        <f t="shared" si="224"/>
        <v>0</v>
      </c>
      <c r="CX72" s="615">
        <f t="shared" si="225"/>
        <v>0</v>
      </c>
      <c r="CY72" s="339"/>
      <c r="CZ72" s="615">
        <f t="shared" si="226"/>
        <v>0</v>
      </c>
      <c r="DA72" s="615">
        <f t="shared" si="227"/>
        <v>0</v>
      </c>
      <c r="DB72" s="615">
        <f t="shared" si="228"/>
        <v>0</v>
      </c>
      <c r="DC72" s="615">
        <f t="shared" si="229"/>
        <v>0</v>
      </c>
      <c r="DD72" s="615">
        <f t="shared" si="230"/>
        <v>0</v>
      </c>
      <c r="DE72" s="339"/>
      <c r="DF72" s="625">
        <f t="shared" si="231"/>
        <v>1</v>
      </c>
      <c r="DG72" s="625">
        <f t="shared" si="232"/>
        <v>0</v>
      </c>
      <c r="DH72" s="625">
        <f t="shared" si="233"/>
        <v>0</v>
      </c>
      <c r="DI72" s="341"/>
      <c r="DJ72" s="615">
        <f>COUNTIF('MEP | Drawing List'!$H:$H,"MEP-T2V-6V-9")</f>
        <v>15</v>
      </c>
      <c r="DK72" s="616">
        <f>COUNTIFS('MEP | Drawing List'!$H:$H,"MEP-T2V-6V-9",'MEP | Drawing List'!$J:$J,1)</f>
        <v>15</v>
      </c>
      <c r="DL72" s="616">
        <f>COUNTIFS('MEP | Drawing List'!$H:$H,"MEP-T2V-6V-9",'MEP | Drawing List'!$L:$L,1)</f>
        <v>0</v>
      </c>
      <c r="DM72" s="615">
        <f>COUNTIFS('MEP | Drawing List'!$H:$H,"MEP-T2V-6V-9",'MEP | Drawing List'!M:M,1)</f>
        <v>0</v>
      </c>
      <c r="DN72" s="615">
        <f>COUNTIFS('MEP | Drawing List'!$H:$H,"MEP-T2V-6V-9",'MEP | Drawing List'!N:N,1)</f>
        <v>0</v>
      </c>
      <c r="DO72" s="615">
        <f>COUNTIFS('MEP | Drawing List'!$H:$H,"MEP-T2V-6V-9",'MEP | Drawing List'!O:O,1)</f>
        <v>0</v>
      </c>
      <c r="DP72" s="615">
        <f>COUNTIFS('MEP | Drawing List'!$H:$H,"MEP-T2V-6V-9",'MEP | Drawing List'!P:P,1)</f>
        <v>0</v>
      </c>
      <c r="DQ72" s="339"/>
      <c r="DR72" s="616">
        <f>COUNTIFS('MEP | Drawing List'!$H:$H,"MEP-T2V-6V-9",'MEP | Drawing List'!$Q:$Q,1)</f>
        <v>0</v>
      </c>
      <c r="DS72" s="615">
        <f>COUNTIFS('MEP | Drawing List'!$H:$H,"MEP-T2V-6V-9",'MEP | Drawing List'!R:R,1)</f>
        <v>0</v>
      </c>
      <c r="DT72" s="615">
        <f>COUNTIFS('MEP | Drawing List'!$H:$H,"MEP-T2V-6V-9",'MEP | Drawing List'!S:S,1)</f>
        <v>0</v>
      </c>
      <c r="DU72" s="615">
        <f>COUNTIFS('MEP | Drawing List'!$H:$H,"MEP-T2V-6V-9",'MEP | Drawing List'!T:T,1)</f>
        <v>0</v>
      </c>
      <c r="DV72" s="615">
        <f>COUNTIFS('MEP | Drawing List'!$H:$H,"MEP-T2V-6V-9",'MEP | Drawing List'!U:U,1)</f>
        <v>0</v>
      </c>
      <c r="DW72" s="343"/>
      <c r="DX72" s="343"/>
      <c r="DY72" s="525">
        <v>0</v>
      </c>
      <c r="DZ72" s="343"/>
      <c r="EA72" s="344">
        <v>0</v>
      </c>
      <c r="EB72" s="618">
        <f t="shared" si="237"/>
        <v>0</v>
      </c>
      <c r="EC72" s="81"/>
      <c r="ED72" s="81"/>
      <c r="EE72" s="339"/>
      <c r="EF72" s="339"/>
      <c r="EG72" s="339"/>
      <c r="EH72" s="339"/>
      <c r="EI72" s="339"/>
      <c r="EJ72" s="81"/>
      <c r="EK72" s="339"/>
      <c r="EL72" s="339"/>
      <c r="EM72" s="339"/>
      <c r="EN72" s="339"/>
      <c r="EO72" s="339"/>
      <c r="EP72" s="103"/>
      <c r="EQ72" s="103"/>
      <c r="ER72" s="103"/>
      <c r="ES72" s="82"/>
      <c r="ET72" s="615">
        <f>COUNTIF('LS | Drawing List'!$H:$H,"LS-T2V-9")</f>
        <v>0</v>
      </c>
      <c r="EU72" s="616">
        <f>COUNTIFS('LS | Drawing List'!$H:$H,"LS-T2V-9",'LS | Drawing List'!$J:$J,1)</f>
        <v>0</v>
      </c>
      <c r="EV72" s="616">
        <f>COUNTIFS('LS | Drawing List'!$H:$H,"LS-T2V-9",'LS | Drawing List'!$L:$L,1)</f>
        <v>0</v>
      </c>
      <c r="EW72" s="615">
        <f>COUNTIFS('LS | Drawing List'!$H:$H,"LS-T2V-9",'LS | Drawing List'!M:M,1)</f>
        <v>0</v>
      </c>
      <c r="EX72" s="615">
        <f>COUNTIFS('LS | Drawing List'!$H:$H,"LS-T2V-9",'LS | Drawing List'!N:N,1)</f>
        <v>0</v>
      </c>
      <c r="EY72" s="615">
        <f>COUNTIFS('LS | Drawing List'!$H:$H,"LS-T2V-9",'LS | Drawing List'!O:O,1)</f>
        <v>0</v>
      </c>
      <c r="EZ72" s="615">
        <f>COUNTIFS('LS | Drawing List'!$H:$H,"LS-T2V-9",'LS | Drawing List'!P:P,1)</f>
        <v>0</v>
      </c>
      <c r="FA72" s="81"/>
      <c r="FB72" s="616">
        <f>COUNTIFS('LS | Drawing List'!$H:$H,"LS-T2V-9",'LS | Drawing List'!$Q:$Q,1)</f>
        <v>0</v>
      </c>
      <c r="FC72" s="615">
        <f>COUNTIFS('LS | Drawing List'!$H:$H,"LS-T2V-9",'LS | Drawing List'!R:R,1)</f>
        <v>0</v>
      </c>
      <c r="FD72" s="615">
        <f>COUNTIFS('LS | Drawing List'!$H:$H,"LS-T2V-9",'LS | Drawing List'!S:S,1)</f>
        <v>0</v>
      </c>
      <c r="FE72" s="615">
        <f>COUNTIFS('LS | Drawing List'!$H:$H,"LS-T2V-9",'LS | Drawing List'!T:T,1)</f>
        <v>0</v>
      </c>
      <c r="FF72" s="615">
        <f>COUNTIFS('LS | Drawing List'!$H:$H,"LS-T2V-9",'LS | Drawing List'!U:U,1)</f>
        <v>0</v>
      </c>
      <c r="FG72" s="48"/>
    </row>
    <row r="73" spans="1:163" ht="14.25" hidden="1" outlineLevel="2">
      <c r="A73" s="48"/>
      <c r="B73" s="87" t="s">
        <v>82</v>
      </c>
      <c r="C73" s="276">
        <v>10</v>
      </c>
      <c r="D73" s="272" t="s">
        <v>71</v>
      </c>
      <c r="E73" s="48"/>
      <c r="F73" s="619">
        <f t="shared" si="159"/>
        <v>0.21817600000000006</v>
      </c>
      <c r="G73" s="619">
        <f t="shared" si="160"/>
        <v>0.21817600000000006</v>
      </c>
      <c r="H73" s="615">
        <f t="shared" si="161"/>
        <v>0</v>
      </c>
      <c r="I73" s="615">
        <f t="shared" si="162"/>
        <v>0</v>
      </c>
      <c r="J73" s="615">
        <f t="shared" si="163"/>
        <v>0</v>
      </c>
      <c r="K73" s="615">
        <f t="shared" si="164"/>
        <v>0</v>
      </c>
      <c r="L73" s="615">
        <f t="shared" si="165"/>
        <v>0</v>
      </c>
      <c r="M73" s="620">
        <f t="shared" si="166"/>
        <v>0</v>
      </c>
      <c r="N73" s="287"/>
      <c r="O73" s="615">
        <f t="shared" si="167"/>
        <v>0</v>
      </c>
      <c r="P73" s="615">
        <f t="shared" si="168"/>
        <v>0</v>
      </c>
      <c r="Q73" s="615">
        <f t="shared" si="169"/>
        <v>0</v>
      </c>
      <c r="R73" s="615">
        <f t="shared" si="170"/>
        <v>0</v>
      </c>
      <c r="S73" s="615">
        <f t="shared" si="171"/>
        <v>0</v>
      </c>
      <c r="T73" s="48"/>
      <c r="U73" s="519">
        <v>0.1</v>
      </c>
      <c r="V73" s="131"/>
      <c r="W73" s="619">
        <f t="shared" si="188"/>
        <v>0.21817600000000006</v>
      </c>
      <c r="X73" s="619">
        <f t="shared" si="234"/>
        <v>0.21817600000000006</v>
      </c>
      <c r="Y73" s="615">
        <f t="shared" si="189"/>
        <v>0.21817600000000006</v>
      </c>
      <c r="Z73" s="615">
        <f t="shared" si="190"/>
        <v>0</v>
      </c>
      <c r="AA73" s="615">
        <f t="shared" si="191"/>
        <v>0</v>
      </c>
      <c r="AB73" s="615">
        <f t="shared" si="192"/>
        <v>0</v>
      </c>
      <c r="AC73" s="615">
        <f t="shared" si="193"/>
        <v>0</v>
      </c>
      <c r="AD73" s="620">
        <f t="shared" si="194"/>
        <v>0</v>
      </c>
      <c r="AE73" s="287"/>
      <c r="AF73" s="615">
        <f t="shared" si="195"/>
        <v>0</v>
      </c>
      <c r="AG73" s="615">
        <f t="shared" si="196"/>
        <v>0</v>
      </c>
      <c r="AH73" s="615">
        <f t="shared" si="197"/>
        <v>0</v>
      </c>
      <c r="AI73" s="615">
        <f t="shared" si="198"/>
        <v>0</v>
      </c>
      <c r="AJ73" s="615">
        <f t="shared" si="199"/>
        <v>0</v>
      </c>
      <c r="AK73" s="339"/>
      <c r="AL73" s="625">
        <f t="shared" si="200"/>
        <v>1</v>
      </c>
      <c r="AM73" s="625">
        <f t="shared" si="201"/>
        <v>0</v>
      </c>
      <c r="AN73" s="625">
        <f t="shared" si="202"/>
        <v>0</v>
      </c>
      <c r="AO73" s="341"/>
      <c r="AP73" s="615">
        <f>COUNTIF('AR | Drawing List'!$H:$H,"AR-T2V-10")</f>
        <v>3</v>
      </c>
      <c r="AQ73" s="616">
        <f>COUNTIFS('AR | Drawing List'!$H:$H,"AR-T2V-10",'AR | Drawing List'!$J:$J,1)</f>
        <v>3</v>
      </c>
      <c r="AR73" s="616">
        <f t="shared" si="238"/>
        <v>0</v>
      </c>
      <c r="AS73" s="616">
        <f>COUNTIFS('AR | Drawing List'!$H:$H,"AR-T2V-10",'AR | Drawing List'!M:M,1)</f>
        <v>0</v>
      </c>
      <c r="AT73" s="616">
        <f>COUNTIFS('AR | Drawing List'!$H:$H,"AR-T2V-10",'AR | Drawing List'!N:N,1)</f>
        <v>0</v>
      </c>
      <c r="AU73" s="616">
        <f>COUNTIFS('AR | Drawing List'!$H:$H,"AR-T2V-10",'AR | Drawing List'!O:O,1)</f>
        <v>0</v>
      </c>
      <c r="AV73" s="616">
        <f>COUNTIFS('AR | Drawing List'!$H:$H,"AR-T2V-10",'AR | Drawing List'!P:P,1)</f>
        <v>0</v>
      </c>
      <c r="AW73" s="328"/>
      <c r="AX73" s="616">
        <f t="shared" si="239"/>
        <v>0</v>
      </c>
      <c r="AY73" s="616">
        <f>COUNTIFS('AR | Drawing List'!$H:$H,"AR-T2V-10",'AR | Drawing List'!R:R,1)</f>
        <v>0</v>
      </c>
      <c r="AZ73" s="616">
        <f>COUNTIFS('AR | Drawing List'!$H:$H,"AR-T2V-10",'AR | Drawing List'!S:S,1)</f>
        <v>0</v>
      </c>
      <c r="BA73" s="616">
        <f>COUNTIFS('AR | Drawing List'!$H:$H,"AR-T2V-10",'AR | Drawing List'!T:T,1)</f>
        <v>0</v>
      </c>
      <c r="BB73" s="616">
        <f>COUNTIFS('AR | Drawing List'!$H:$H,"AR-T2V-10",'AR | Drawing List'!U:U,1)</f>
        <v>0</v>
      </c>
      <c r="BC73" s="328"/>
      <c r="BD73" s="328"/>
      <c r="BE73" s="666">
        <v>0</v>
      </c>
      <c r="BF73" s="343"/>
      <c r="BG73" s="616">
        <f t="shared" si="204"/>
        <v>0</v>
      </c>
      <c r="BH73" s="618">
        <f t="shared" si="235"/>
        <v>0</v>
      </c>
      <c r="BI73" s="615">
        <f t="shared" si="205"/>
        <v>0</v>
      </c>
      <c r="BJ73" s="615">
        <f t="shared" si="206"/>
        <v>0</v>
      </c>
      <c r="BK73" s="615">
        <f t="shared" si="207"/>
        <v>0</v>
      </c>
      <c r="BL73" s="615">
        <f t="shared" si="208"/>
        <v>0</v>
      </c>
      <c r="BM73" s="615">
        <f t="shared" si="209"/>
        <v>0</v>
      </c>
      <c r="BN73" s="615">
        <f t="shared" si="210"/>
        <v>0</v>
      </c>
      <c r="BO73" s="339"/>
      <c r="BP73" s="615">
        <f t="shared" si="211"/>
        <v>0</v>
      </c>
      <c r="BQ73" s="615">
        <f t="shared" si="212"/>
        <v>0</v>
      </c>
      <c r="BR73" s="615">
        <f t="shared" si="213"/>
        <v>0</v>
      </c>
      <c r="BS73" s="615">
        <f t="shared" si="214"/>
        <v>0</v>
      </c>
      <c r="BT73" s="615">
        <f t="shared" si="215"/>
        <v>0</v>
      </c>
      <c r="BU73" s="339"/>
      <c r="BV73" s="635">
        <f t="shared" si="216"/>
        <v>0</v>
      </c>
      <c r="BW73" s="635">
        <f t="shared" si="217"/>
        <v>0</v>
      </c>
      <c r="BX73" s="635">
        <f t="shared" si="218"/>
        <v>0</v>
      </c>
      <c r="BY73" s="341"/>
      <c r="BZ73" s="615">
        <f>COUNTIF('ST | Drawing List'!$H:$H,"ST-T2V-10")</f>
        <v>0</v>
      </c>
      <c r="CA73" s="616">
        <f>COUNTIFS('ST | Drawing List'!$H:$H,"ST-T2V-10",'ST | Drawing List'!$J:$J,1)</f>
        <v>0</v>
      </c>
      <c r="CB73" s="623">
        <f>COUNTIFS('ST | Drawing List'!$H:$H,"ST-T2V-10",'ST | Drawing List'!$L:$L,1)</f>
        <v>0</v>
      </c>
      <c r="CC73" s="616">
        <f>COUNTIFS('ST | Drawing List'!$H:$H,"ST-T2V-10",'ST | Drawing List'!M:M,1)</f>
        <v>0</v>
      </c>
      <c r="CD73" s="616">
        <f>COUNTIFS('ST | Drawing List'!$H:$H,"ST-T2V-10",'ST | Drawing List'!N:N,1)</f>
        <v>0</v>
      </c>
      <c r="CE73" s="616">
        <f>COUNTIFS('ST | Drawing List'!$H:$H,"ST-T2V-10",'ST | Drawing List'!O:O,1)</f>
        <v>0</v>
      </c>
      <c r="CF73" s="616">
        <f>COUNTIFS('ST | Drawing List'!$H:$H,"ST-T2V-10",'ST | Drawing List'!P:P,1)</f>
        <v>0</v>
      </c>
      <c r="CG73" s="532"/>
      <c r="CH73" s="623">
        <f>COUNTIFS('ST | Drawing List'!$H:$H,"ST-T2V-10",'ST | Drawing List'!$Q:$Q,1)</f>
        <v>0</v>
      </c>
      <c r="CI73" s="616">
        <f>COUNTIFS('ST | Drawing List'!$H:$H,"ST-T2V-10",'ST | Drawing List'!R:R,1)</f>
        <v>0</v>
      </c>
      <c r="CJ73" s="616">
        <f>COUNTIFS('ST | Drawing List'!$H:$H,"ST-T2V-10",'ST | Drawing List'!S:S,1)</f>
        <v>0</v>
      </c>
      <c r="CK73" s="616">
        <f>COUNTIFS('ST | Drawing List'!$H:$H,"ST-T2V-10",'ST | Drawing List'!T:T,1)</f>
        <v>0</v>
      </c>
      <c r="CL73" s="616">
        <f>COUNTIFS('ST | Drawing List'!$H:$H,"ST-T2V-10",'ST | Drawing List'!U:U,1)</f>
        <v>0</v>
      </c>
      <c r="CM73" s="343"/>
      <c r="CN73" s="343"/>
      <c r="CO73" s="666">
        <v>0</v>
      </c>
      <c r="CP73" s="343"/>
      <c r="CQ73" s="616">
        <f t="shared" si="219"/>
        <v>0</v>
      </c>
      <c r="CR73" s="618">
        <f t="shared" si="236"/>
        <v>0</v>
      </c>
      <c r="CS73" s="615">
        <f t="shared" si="220"/>
        <v>0</v>
      </c>
      <c r="CT73" s="615">
        <f t="shared" si="221"/>
        <v>0</v>
      </c>
      <c r="CU73" s="615">
        <f t="shared" si="222"/>
        <v>0</v>
      </c>
      <c r="CV73" s="615">
        <f t="shared" si="223"/>
        <v>0</v>
      </c>
      <c r="CW73" s="615">
        <f t="shared" si="224"/>
        <v>0</v>
      </c>
      <c r="CX73" s="615">
        <f t="shared" si="225"/>
        <v>0</v>
      </c>
      <c r="CY73" s="339"/>
      <c r="CZ73" s="615">
        <f t="shared" si="226"/>
        <v>0</v>
      </c>
      <c r="DA73" s="615">
        <f t="shared" si="227"/>
        <v>0</v>
      </c>
      <c r="DB73" s="615">
        <f t="shared" si="228"/>
        <v>0</v>
      </c>
      <c r="DC73" s="615">
        <f t="shared" si="229"/>
        <v>0</v>
      </c>
      <c r="DD73" s="615">
        <f t="shared" si="230"/>
        <v>0</v>
      </c>
      <c r="DE73" s="339"/>
      <c r="DF73" s="625">
        <f t="shared" si="231"/>
        <v>0</v>
      </c>
      <c r="DG73" s="625">
        <f t="shared" si="232"/>
        <v>0</v>
      </c>
      <c r="DH73" s="625">
        <f t="shared" si="233"/>
        <v>0</v>
      </c>
      <c r="DI73" s="341"/>
      <c r="DJ73" s="615">
        <f>COUNTIF('MEP | Drawing List'!$H:$H,"MEP-T2V-6V-10")</f>
        <v>0</v>
      </c>
      <c r="DK73" s="616">
        <f>COUNTIFS('MEP | Drawing List'!$H:$H,"MEP-T2V-6V-10",'MEP | Drawing List'!$J:$J,1)</f>
        <v>0</v>
      </c>
      <c r="DL73" s="616">
        <f>COUNTIFS('MEP | Drawing List'!$H:$H,"MEP-T2V-6V-10",'MEP | Drawing List'!$L:$L,1)</f>
        <v>0</v>
      </c>
      <c r="DM73" s="615">
        <f>COUNTIFS('MEP | Drawing List'!$H:$H,"MEP-T2V-6V-10",'MEP | Drawing List'!M:M,1)</f>
        <v>0</v>
      </c>
      <c r="DN73" s="615">
        <f>COUNTIFS('MEP | Drawing List'!$H:$H,"MEP-T2V-6V-10",'MEP | Drawing List'!N:N,1)</f>
        <v>0</v>
      </c>
      <c r="DO73" s="615">
        <f>COUNTIFS('MEP | Drawing List'!$H:$H,"MEP-T2V-6V-10",'MEP | Drawing List'!O:O,1)</f>
        <v>0</v>
      </c>
      <c r="DP73" s="615">
        <f>COUNTIFS('MEP | Drawing List'!$H:$H,"MEP-T2V-6V-10",'MEP | Drawing List'!P:P,1)</f>
        <v>0</v>
      </c>
      <c r="DQ73" s="339"/>
      <c r="DR73" s="616">
        <f>COUNTIFS('MEP | Drawing List'!$H:$H,"MEP-T2V-6V-10",'MEP | Drawing List'!$Q:$Q,1)</f>
        <v>0</v>
      </c>
      <c r="DS73" s="615">
        <f>COUNTIFS('MEP | Drawing List'!$H:$H,"MEP-T2V-6V-10",'MEP | Drawing List'!R:R,1)</f>
        <v>0</v>
      </c>
      <c r="DT73" s="615">
        <f>COUNTIFS('MEP | Drawing List'!$H:$H,"MEP-T2V-6V-10",'MEP | Drawing List'!S:S,1)</f>
        <v>0</v>
      </c>
      <c r="DU73" s="615">
        <f>COUNTIFS('MEP | Drawing List'!$H:$H,"MEP-T2V-6V-10",'MEP | Drawing List'!T:T,1)</f>
        <v>0</v>
      </c>
      <c r="DV73" s="615">
        <f>COUNTIFS('MEP | Drawing List'!$H:$H,"MEP-T2V-6V-10",'MEP | Drawing List'!U:U,1)</f>
        <v>0</v>
      </c>
      <c r="DW73" s="343"/>
      <c r="DX73" s="343"/>
      <c r="DY73" s="525">
        <v>0</v>
      </c>
      <c r="DZ73" s="343"/>
      <c r="EA73" s="344">
        <v>0</v>
      </c>
      <c r="EB73" s="618">
        <f t="shared" si="237"/>
        <v>0</v>
      </c>
      <c r="EC73" s="81"/>
      <c r="ED73" s="81"/>
      <c r="EE73" s="339"/>
      <c r="EF73" s="339"/>
      <c r="EG73" s="339"/>
      <c r="EH73" s="339"/>
      <c r="EI73" s="339"/>
      <c r="EJ73" s="81"/>
      <c r="EK73" s="339"/>
      <c r="EL73" s="339"/>
      <c r="EM73" s="339"/>
      <c r="EN73" s="339"/>
      <c r="EO73" s="339"/>
      <c r="EP73" s="103"/>
      <c r="EQ73" s="103"/>
      <c r="ER73" s="103"/>
      <c r="ES73" s="82"/>
      <c r="ET73" s="615">
        <f>COUNTIF('LS | Drawing List'!$H:$H,"LS-T2V-10")</f>
        <v>0</v>
      </c>
      <c r="EU73" s="616">
        <f>COUNTIFS('LS | Drawing List'!$H:$H,"LS-T2V-10",'LS | Drawing List'!$J:$J,1)</f>
        <v>0</v>
      </c>
      <c r="EV73" s="616">
        <f>COUNTIFS('LS | Drawing List'!$H:$H,"LS-T2V-10",'LS | Drawing List'!$L:$L,1)</f>
        <v>0</v>
      </c>
      <c r="EW73" s="615">
        <f>COUNTIFS('LS | Drawing List'!$H:$H,"LS-T2V-10",'LS | Drawing List'!M:M,1)</f>
        <v>0</v>
      </c>
      <c r="EX73" s="615">
        <f>COUNTIFS('LS | Drawing List'!$H:$H,"LS-T2V-10",'LS | Drawing List'!N:N,1)</f>
        <v>0</v>
      </c>
      <c r="EY73" s="615">
        <f>COUNTIFS('LS | Drawing List'!$H:$H,"LS-T2V-10",'LS | Drawing List'!O:O,1)</f>
        <v>0</v>
      </c>
      <c r="EZ73" s="615">
        <f>COUNTIFS('LS | Drawing List'!$H:$H,"LS-T2V-10",'LS | Drawing List'!P:P,1)</f>
        <v>0</v>
      </c>
      <c r="FA73" s="81"/>
      <c r="FB73" s="616">
        <f>COUNTIFS('LS | Drawing List'!$H:$H,"LS-T2V-10",'LS | Drawing List'!$Q:$Q,1)</f>
        <v>0</v>
      </c>
      <c r="FC73" s="615">
        <f>COUNTIFS('LS | Drawing List'!$H:$H,"LS-T2V-10",'LS | Drawing List'!R:R,1)</f>
        <v>0</v>
      </c>
      <c r="FD73" s="615">
        <f>COUNTIFS('LS | Drawing List'!$H:$H,"LS-T2V-10",'LS | Drawing List'!S:S,1)</f>
        <v>0</v>
      </c>
      <c r="FE73" s="615">
        <f>COUNTIFS('LS | Drawing List'!$H:$H,"LS-T2V-10",'LS | Drawing List'!T:T,1)</f>
        <v>0</v>
      </c>
      <c r="FF73" s="615">
        <f>COUNTIFS('LS | Drawing List'!$H:$H,"LS-T2V-10",'LS | Drawing List'!U:U,1)</f>
        <v>0</v>
      </c>
      <c r="FG73" s="48"/>
    </row>
    <row r="74" spans="1:163" ht="3" hidden="1" customHeight="1" outlineLevel="1">
      <c r="A74" s="48"/>
      <c r="B74" s="96"/>
      <c r="C74" s="278"/>
      <c r="D74" s="272"/>
      <c r="E74" s="48"/>
      <c r="F74" s="338"/>
      <c r="G74" s="619"/>
      <c r="H74" s="339"/>
      <c r="I74" s="339"/>
      <c r="J74" s="339"/>
      <c r="K74" s="339"/>
      <c r="L74" s="339"/>
      <c r="M74" s="339"/>
      <c r="N74" s="339"/>
      <c r="O74" s="339"/>
      <c r="P74" s="339"/>
      <c r="Q74" s="339"/>
      <c r="R74" s="339"/>
      <c r="S74" s="339"/>
      <c r="T74" s="48"/>
      <c r="U74" s="519"/>
      <c r="V74" s="131"/>
      <c r="W74" s="338"/>
      <c r="X74" s="619">
        <f t="shared" si="234"/>
        <v>0</v>
      </c>
      <c r="Y74" s="339"/>
      <c r="Z74" s="339"/>
      <c r="AA74" s="339"/>
      <c r="AB74" s="339"/>
      <c r="AC74" s="339"/>
      <c r="AD74" s="339"/>
      <c r="AE74" s="339"/>
      <c r="AF74" s="339"/>
      <c r="AG74" s="339"/>
      <c r="AH74" s="339"/>
      <c r="AI74" s="339"/>
      <c r="AJ74" s="339"/>
      <c r="AK74" s="339"/>
      <c r="AL74" s="603"/>
      <c r="AM74" s="603"/>
      <c r="AN74" s="603"/>
      <c r="AO74" s="341"/>
      <c r="AP74" s="359"/>
      <c r="AQ74" s="328"/>
      <c r="AR74" s="328"/>
      <c r="AS74" s="328"/>
      <c r="AT74" s="328"/>
      <c r="AU74" s="328"/>
      <c r="AV74" s="328"/>
      <c r="AW74" s="328"/>
      <c r="AX74" s="328"/>
      <c r="AY74" s="328"/>
      <c r="AZ74" s="328"/>
      <c r="BA74" s="328"/>
      <c r="BB74" s="328"/>
      <c r="BC74" s="328"/>
      <c r="BD74" s="328"/>
      <c r="BE74" s="525"/>
      <c r="BF74" s="343"/>
      <c r="BG74" s="344"/>
      <c r="BH74" s="618">
        <f t="shared" si="235"/>
        <v>0</v>
      </c>
      <c r="BI74" s="339"/>
      <c r="BJ74" s="339"/>
      <c r="BK74" s="339"/>
      <c r="BL74" s="339"/>
      <c r="BM74" s="339"/>
      <c r="BN74" s="339"/>
      <c r="BO74" s="339"/>
      <c r="BP74" s="339"/>
      <c r="BQ74" s="339"/>
      <c r="BR74" s="339"/>
      <c r="BS74" s="339"/>
      <c r="BT74" s="339"/>
      <c r="BU74" s="339"/>
      <c r="BV74" s="525"/>
      <c r="BW74" s="525"/>
      <c r="BX74" s="525"/>
      <c r="BY74" s="341"/>
      <c r="BZ74" s="540"/>
      <c r="CA74" s="532"/>
      <c r="CB74" s="539"/>
      <c r="CC74" s="536"/>
      <c r="CD74" s="536"/>
      <c r="CE74" s="536"/>
      <c r="CF74" s="536"/>
      <c r="CG74" s="536"/>
      <c r="CH74" s="539"/>
      <c r="CI74" s="536"/>
      <c r="CJ74" s="536"/>
      <c r="CK74" s="536"/>
      <c r="CL74" s="536"/>
      <c r="CM74" s="343"/>
      <c r="CN74" s="343"/>
      <c r="CO74" s="525"/>
      <c r="CP74" s="343"/>
      <c r="CQ74" s="344"/>
      <c r="CR74" s="618">
        <f t="shared" si="236"/>
        <v>0</v>
      </c>
      <c r="CS74" s="339"/>
      <c r="CT74" s="339"/>
      <c r="CU74" s="339"/>
      <c r="CV74" s="339"/>
      <c r="CW74" s="339"/>
      <c r="CX74" s="339"/>
      <c r="CY74" s="339"/>
      <c r="CZ74" s="339"/>
      <c r="DA74" s="339"/>
      <c r="DB74" s="339"/>
      <c r="DC74" s="339"/>
      <c r="DD74" s="339"/>
      <c r="DE74" s="339"/>
      <c r="DF74" s="603"/>
      <c r="DG74" s="603"/>
      <c r="DH74" s="603"/>
      <c r="DI74" s="341"/>
      <c r="DJ74" s="359"/>
      <c r="DK74" s="328"/>
      <c r="DL74" s="328"/>
      <c r="DM74" s="339"/>
      <c r="DN74" s="339"/>
      <c r="DO74" s="339"/>
      <c r="DP74" s="339"/>
      <c r="DQ74" s="339"/>
      <c r="DR74" s="328"/>
      <c r="DS74" s="339"/>
      <c r="DT74" s="339"/>
      <c r="DU74" s="339"/>
      <c r="DV74" s="339"/>
      <c r="DW74" s="343"/>
      <c r="DX74" s="343"/>
      <c r="DY74" s="525"/>
      <c r="DZ74" s="343"/>
      <c r="EA74" s="344"/>
      <c r="EB74" s="618">
        <f t="shared" si="237"/>
        <v>0</v>
      </c>
      <c r="EC74" s="81"/>
      <c r="ED74" s="81"/>
      <c r="EE74" s="81"/>
      <c r="EF74" s="81"/>
      <c r="EG74" s="81"/>
      <c r="EH74" s="81"/>
      <c r="EI74" s="81"/>
      <c r="EJ74" s="81"/>
      <c r="EK74" s="81"/>
      <c r="EL74" s="81"/>
      <c r="EM74" s="81"/>
      <c r="EN74" s="81"/>
      <c r="EO74" s="81"/>
      <c r="EP74" s="103"/>
      <c r="EQ74" s="103"/>
      <c r="ER74" s="103"/>
      <c r="ES74" s="82"/>
      <c r="ET74" s="56"/>
      <c r="EU74" s="71"/>
      <c r="EV74" s="71"/>
      <c r="EW74" s="81"/>
      <c r="EX74" s="81"/>
      <c r="EY74" s="81"/>
      <c r="EZ74" s="81"/>
      <c r="FA74" s="81"/>
      <c r="FB74" s="71"/>
      <c r="FC74" s="81"/>
      <c r="FD74" s="81"/>
      <c r="FE74" s="81"/>
      <c r="FF74" s="81"/>
      <c r="FG74" s="48"/>
    </row>
    <row r="75" spans="1:163" ht="14.25" hidden="1" outlineLevel="1" collapsed="1">
      <c r="A75" s="48"/>
      <c r="B75" s="73"/>
      <c r="C75" s="275">
        <v>3</v>
      </c>
      <c r="D75" s="271" t="s">
        <v>83</v>
      </c>
      <c r="E75" s="74"/>
      <c r="F75" s="614">
        <f>W75+BG75+CQ75+EA75</f>
        <v>0.95540400399999992</v>
      </c>
      <c r="G75" s="614">
        <f>X75+BH75+CR75+EB75</f>
        <v>0.95540400400000014</v>
      </c>
      <c r="H75" s="612">
        <f>F75-G75</f>
        <v>0</v>
      </c>
      <c r="I75" s="614">
        <f t="shared" ref="I75:I84" si="240">Z75+BJ75+CT75+ED75</f>
        <v>0.13880272400000002</v>
      </c>
      <c r="J75" s="614">
        <f t="shared" ref="J75:J84" si="241">AA75+BK75+CU75+EE75</f>
        <v>1.6078723999999999E-2</v>
      </c>
      <c r="K75" s="614">
        <f t="shared" ref="K75:K84" si="242">AB75+BL75+CV75+EF75</f>
        <v>0.12272400000000001</v>
      </c>
      <c r="L75" s="614">
        <f t="shared" ref="L75:L84" si="243">AC75+BM75+CW75+EG75</f>
        <v>0</v>
      </c>
      <c r="M75" s="614">
        <f t="shared" ref="M75:M84" si="244">AD75+BN75+CX75+EH75</f>
        <v>0</v>
      </c>
      <c r="N75" s="281"/>
      <c r="O75" s="614">
        <f t="shared" ref="O75:O84" si="245">AF75+BP75+CZ75+EJ75</f>
        <v>0.13880272400000002</v>
      </c>
      <c r="P75" s="614">
        <f t="shared" ref="P75:P84" si="246">AG75+BQ75+DA75+EK75</f>
        <v>0</v>
      </c>
      <c r="Q75" s="614">
        <f t="shared" ref="Q75:Q84" si="247">AH75+BR75+DB75+EL75</f>
        <v>1.6078723999999999E-2</v>
      </c>
      <c r="R75" s="614">
        <f t="shared" ref="R75:R84" si="248">AI75+BS75+DC75+EM75</f>
        <v>0.12272400000000001</v>
      </c>
      <c r="S75" s="614">
        <f t="shared" ref="S75:S84" si="249">AJ75+BT75+DD75+EN75</f>
        <v>0</v>
      </c>
      <c r="T75" s="74"/>
      <c r="U75" s="656">
        <f>SUM(U76:U84)</f>
        <v>0.49999999999999994</v>
      </c>
      <c r="V75" s="332"/>
      <c r="W75" s="614">
        <f>U75*(5%*'BOQ COST'!E9*0.36)*1</f>
        <v>0.61361999999999994</v>
      </c>
      <c r="X75" s="614">
        <f t="shared" si="234"/>
        <v>0.61362000000000017</v>
      </c>
      <c r="Y75" s="612">
        <f t="shared" ref="Y75:AD75" si="250">SUM(Y76:Y84)</f>
        <v>0.49089600000000011</v>
      </c>
      <c r="Z75" s="612">
        <f t="shared" si="250"/>
        <v>0.12272400000000001</v>
      </c>
      <c r="AA75" s="612">
        <f t="shared" si="250"/>
        <v>0</v>
      </c>
      <c r="AB75" s="612">
        <f t="shared" si="250"/>
        <v>0.12272400000000001</v>
      </c>
      <c r="AC75" s="612">
        <f t="shared" si="250"/>
        <v>0</v>
      </c>
      <c r="AD75" s="612">
        <f t="shared" si="250"/>
        <v>0</v>
      </c>
      <c r="AE75" s="281"/>
      <c r="AF75" s="612">
        <f t="shared" ref="AF75:AJ75" si="251">SUM(AF76:AF84)</f>
        <v>0.12272400000000001</v>
      </c>
      <c r="AG75" s="612">
        <f t="shared" si="251"/>
        <v>0</v>
      </c>
      <c r="AH75" s="612">
        <f t="shared" si="251"/>
        <v>0</v>
      </c>
      <c r="AI75" s="612">
        <f t="shared" si="251"/>
        <v>0.12272400000000001</v>
      </c>
      <c r="AJ75" s="612">
        <f t="shared" si="251"/>
        <v>0</v>
      </c>
      <c r="AK75" s="281"/>
      <c r="AL75" s="605"/>
      <c r="AM75" s="605"/>
      <c r="AN75" s="605"/>
      <c r="AO75" s="612">
        <f>SUM(AO76:AO84)</f>
        <v>0</v>
      </c>
      <c r="AP75" s="612">
        <f>SUM(AP76:AP84)</f>
        <v>75</v>
      </c>
      <c r="AQ75" s="612">
        <f>SUM(AQ76:AQ84)</f>
        <v>70</v>
      </c>
      <c r="AR75" s="612">
        <f t="shared" si="238"/>
        <v>5</v>
      </c>
      <c r="AS75" s="612">
        <f t="shared" ref="AS75:BB75" si="252">SUM(AS76:AS84)</f>
        <v>0</v>
      </c>
      <c r="AT75" s="612">
        <f t="shared" si="252"/>
        <v>5</v>
      </c>
      <c r="AU75" s="612">
        <f t="shared" si="252"/>
        <v>0</v>
      </c>
      <c r="AV75" s="612">
        <f t="shared" si="252"/>
        <v>0</v>
      </c>
      <c r="AW75" s="281"/>
      <c r="AX75" s="612">
        <f t="shared" si="252"/>
        <v>5</v>
      </c>
      <c r="AY75" s="612">
        <f t="shared" si="252"/>
        <v>0</v>
      </c>
      <c r="AZ75" s="612">
        <f t="shared" si="252"/>
        <v>0</v>
      </c>
      <c r="BA75" s="612">
        <f t="shared" si="252"/>
        <v>5</v>
      </c>
      <c r="BB75" s="612">
        <f t="shared" si="252"/>
        <v>0</v>
      </c>
      <c r="BC75" s="336"/>
      <c r="BD75" s="336"/>
      <c r="BE75" s="332">
        <f>SUM(BE76:BE84)</f>
        <v>0.54999999999999993</v>
      </c>
      <c r="BF75" s="332"/>
      <c r="BG75" s="614">
        <f>BE75*(3%*'BOQ COST'!$F$9*0.36)*1</f>
        <v>0.28084319999999996</v>
      </c>
      <c r="BH75" s="614">
        <f t="shared" si="235"/>
        <v>0.28084320000000002</v>
      </c>
      <c r="BI75" s="612">
        <f t="shared" ref="BI75:BN75" si="253">SUM(BI76:BI84)</f>
        <v>0.28084320000000002</v>
      </c>
      <c r="BJ75" s="612">
        <f t="shared" si="253"/>
        <v>0</v>
      </c>
      <c r="BK75" s="612">
        <f t="shared" si="253"/>
        <v>0</v>
      </c>
      <c r="BL75" s="612">
        <f t="shared" si="253"/>
        <v>0</v>
      </c>
      <c r="BM75" s="612">
        <f t="shared" si="253"/>
        <v>0</v>
      </c>
      <c r="BN75" s="612">
        <f t="shared" si="253"/>
        <v>0</v>
      </c>
      <c r="BO75" s="281"/>
      <c r="BP75" s="612">
        <f t="shared" ref="BP75:BT75" si="254">SUM(BP76:BP84)</f>
        <v>0</v>
      </c>
      <c r="BQ75" s="612">
        <f t="shared" si="254"/>
        <v>0</v>
      </c>
      <c r="BR75" s="612">
        <f t="shared" si="254"/>
        <v>0</v>
      </c>
      <c r="BS75" s="612">
        <f t="shared" si="254"/>
        <v>0</v>
      </c>
      <c r="BT75" s="612">
        <f t="shared" si="254"/>
        <v>0</v>
      </c>
      <c r="BU75" s="281"/>
      <c r="BV75" s="524"/>
      <c r="BW75" s="524"/>
      <c r="BX75" s="524"/>
      <c r="BY75" s="612">
        <f t="shared" ref="BY75:CF75" si="255">SUM(BY76:BY84)</f>
        <v>0</v>
      </c>
      <c r="BZ75" s="612">
        <f t="shared" si="255"/>
        <v>53</v>
      </c>
      <c r="CA75" s="612">
        <f t="shared" si="255"/>
        <v>53</v>
      </c>
      <c r="CB75" s="612">
        <f t="shared" si="255"/>
        <v>0</v>
      </c>
      <c r="CC75" s="612">
        <f t="shared" si="255"/>
        <v>0</v>
      </c>
      <c r="CD75" s="612">
        <f t="shared" si="255"/>
        <v>0</v>
      </c>
      <c r="CE75" s="612">
        <f t="shared" si="255"/>
        <v>0</v>
      </c>
      <c r="CF75" s="612">
        <f t="shared" si="255"/>
        <v>0</v>
      </c>
      <c r="CG75" s="535"/>
      <c r="CH75" s="612">
        <f t="shared" ref="CH75:CL75" si="256">SUM(CH76:CH84)</f>
        <v>0</v>
      </c>
      <c r="CI75" s="612">
        <f t="shared" si="256"/>
        <v>0</v>
      </c>
      <c r="CJ75" s="612">
        <f t="shared" si="256"/>
        <v>0</v>
      </c>
      <c r="CK75" s="612">
        <f t="shared" si="256"/>
        <v>0</v>
      </c>
      <c r="CL75" s="612">
        <f t="shared" si="256"/>
        <v>0</v>
      </c>
      <c r="CM75" s="332"/>
      <c r="CN75" s="332"/>
      <c r="CO75" s="332">
        <f>SUM(CO76:CO84)</f>
        <v>0.65</v>
      </c>
      <c r="CP75" s="332"/>
      <c r="CQ75" s="614">
        <f>CO75*(2%*'BOQ COST'!$G$9*0.36)*1</f>
        <v>4.5771803999999999E-2</v>
      </c>
      <c r="CR75" s="614">
        <f t="shared" si="236"/>
        <v>4.5771803999999999E-2</v>
      </c>
      <c r="CS75" s="612">
        <f t="shared" ref="CS75:CX75" si="257">SUM(CS76:CS84)</f>
        <v>3.5209079999999997E-2</v>
      </c>
      <c r="CT75" s="612">
        <f t="shared" si="257"/>
        <v>1.0562723999999999E-2</v>
      </c>
      <c r="CU75" s="612">
        <f t="shared" si="257"/>
        <v>1.0562723999999999E-2</v>
      </c>
      <c r="CV75" s="612">
        <f t="shared" si="257"/>
        <v>0</v>
      </c>
      <c r="CW75" s="612">
        <f t="shared" si="257"/>
        <v>0</v>
      </c>
      <c r="CX75" s="612">
        <f t="shared" si="257"/>
        <v>0</v>
      </c>
      <c r="CY75" s="281"/>
      <c r="CZ75" s="612">
        <f t="shared" ref="CZ75:DD75" si="258">SUM(CZ76:CZ84)</f>
        <v>1.0562723999999999E-2</v>
      </c>
      <c r="DA75" s="612">
        <f t="shared" si="258"/>
        <v>0</v>
      </c>
      <c r="DB75" s="612">
        <f t="shared" si="258"/>
        <v>1.0562723999999999E-2</v>
      </c>
      <c r="DC75" s="612">
        <f t="shared" si="258"/>
        <v>0</v>
      </c>
      <c r="DD75" s="612">
        <f t="shared" si="258"/>
        <v>0</v>
      </c>
      <c r="DE75" s="281"/>
      <c r="DF75" s="605"/>
      <c r="DG75" s="605"/>
      <c r="DH75" s="605"/>
      <c r="DI75" s="612">
        <f t="shared" ref="DI75:DP75" si="259">SUM(DI76:DI84)</f>
        <v>0</v>
      </c>
      <c r="DJ75" s="612">
        <f t="shared" si="259"/>
        <v>66</v>
      </c>
      <c r="DK75" s="612">
        <f t="shared" si="259"/>
        <v>65</v>
      </c>
      <c r="DL75" s="612">
        <f t="shared" si="259"/>
        <v>1</v>
      </c>
      <c r="DM75" s="612">
        <f t="shared" si="259"/>
        <v>1</v>
      </c>
      <c r="DN75" s="612">
        <f t="shared" si="259"/>
        <v>0</v>
      </c>
      <c r="DO75" s="612">
        <f t="shared" si="259"/>
        <v>0</v>
      </c>
      <c r="DP75" s="612">
        <f t="shared" si="259"/>
        <v>0</v>
      </c>
      <c r="DQ75" s="281"/>
      <c r="DR75" s="612">
        <f t="shared" ref="DR75:DV75" si="260">SUM(DR76:DR84)</f>
        <v>1</v>
      </c>
      <c r="DS75" s="612">
        <f t="shared" si="260"/>
        <v>0</v>
      </c>
      <c r="DT75" s="612">
        <f t="shared" si="260"/>
        <v>1</v>
      </c>
      <c r="DU75" s="612">
        <f t="shared" si="260"/>
        <v>0</v>
      </c>
      <c r="DV75" s="612">
        <f t="shared" si="260"/>
        <v>0</v>
      </c>
      <c r="DW75" s="332"/>
      <c r="DX75" s="332"/>
      <c r="DY75" s="332">
        <f>SUM(DY76:DY84)</f>
        <v>0.55000000000000004</v>
      </c>
      <c r="DZ75" s="332"/>
      <c r="EA75" s="612">
        <f>DY75*(7%*'BOQ COST'!$H$9)*1</f>
        <v>1.5169000000000004E-2</v>
      </c>
      <c r="EB75" s="614">
        <f t="shared" si="237"/>
        <v>1.5169000000000002E-2</v>
      </c>
      <c r="EC75" s="612">
        <f t="shared" ref="EC75:EH75" si="261">SUM(EC76:EC84)</f>
        <v>9.6530000000000001E-3</v>
      </c>
      <c r="ED75" s="612">
        <f t="shared" si="261"/>
        <v>5.5160000000000009E-3</v>
      </c>
      <c r="EE75" s="612">
        <f t="shared" si="261"/>
        <v>5.5160000000000009E-3</v>
      </c>
      <c r="EF75" s="612">
        <f t="shared" si="261"/>
        <v>0</v>
      </c>
      <c r="EG75" s="612">
        <f t="shared" si="261"/>
        <v>0</v>
      </c>
      <c r="EH75" s="612">
        <f t="shared" si="261"/>
        <v>0</v>
      </c>
      <c r="EI75" s="337"/>
      <c r="EJ75" s="612">
        <f t="shared" ref="EJ75:EN75" si="262">SUM(EJ76:EJ84)</f>
        <v>5.5160000000000009E-3</v>
      </c>
      <c r="EK75" s="612">
        <f t="shared" si="262"/>
        <v>0</v>
      </c>
      <c r="EL75" s="612">
        <f t="shared" si="262"/>
        <v>5.5160000000000009E-3</v>
      </c>
      <c r="EM75" s="612">
        <f t="shared" si="262"/>
        <v>0</v>
      </c>
      <c r="EN75" s="612">
        <f t="shared" si="262"/>
        <v>0</v>
      </c>
      <c r="EO75" s="337"/>
      <c r="EP75" s="605"/>
      <c r="EQ75" s="605"/>
      <c r="ER75" s="605"/>
      <c r="ES75" s="612">
        <f t="shared" ref="ES75:EZ75" si="263">SUM(ES76:ES84)</f>
        <v>0</v>
      </c>
      <c r="ET75" s="612">
        <f t="shared" si="263"/>
        <v>16</v>
      </c>
      <c r="EU75" s="612">
        <f t="shared" si="263"/>
        <v>10</v>
      </c>
      <c r="EV75" s="612">
        <f t="shared" si="263"/>
        <v>6</v>
      </c>
      <c r="EW75" s="612">
        <f t="shared" si="263"/>
        <v>6</v>
      </c>
      <c r="EX75" s="612">
        <f t="shared" si="263"/>
        <v>0</v>
      </c>
      <c r="EY75" s="612">
        <f t="shared" si="263"/>
        <v>0</v>
      </c>
      <c r="EZ75" s="612">
        <f t="shared" si="263"/>
        <v>0</v>
      </c>
      <c r="FA75" s="337"/>
      <c r="FB75" s="612">
        <f t="shared" ref="FB75:FF75" si="264">SUM(FB76:FB84)</f>
        <v>6</v>
      </c>
      <c r="FC75" s="612">
        <f t="shared" si="264"/>
        <v>0</v>
      </c>
      <c r="FD75" s="612">
        <f t="shared" si="264"/>
        <v>6</v>
      </c>
      <c r="FE75" s="612">
        <f t="shared" si="264"/>
        <v>0</v>
      </c>
      <c r="FF75" s="612">
        <f t="shared" si="264"/>
        <v>0</v>
      </c>
      <c r="FG75" s="48"/>
    </row>
    <row r="76" spans="1:163" s="95" customFormat="1" ht="14.25" hidden="1" outlineLevel="2">
      <c r="A76" s="89"/>
      <c r="B76" s="90" t="s">
        <v>84</v>
      </c>
      <c r="C76" s="277">
        <v>1</v>
      </c>
      <c r="D76" s="273" t="s">
        <v>52</v>
      </c>
      <c r="E76" s="89"/>
      <c r="F76" s="619">
        <f t="shared" ref="F76:F84" si="265">W76+BG76+CQ76+EA76</f>
        <v>0.11946621600000001</v>
      </c>
      <c r="G76" s="619">
        <f t="shared" ref="G76:G84" si="266">X76+BH76+CR76+EB76</f>
        <v>0.11946621600000001</v>
      </c>
      <c r="H76" s="615">
        <f t="shared" ref="H76:H84" si="267">F76-G76</f>
        <v>0</v>
      </c>
      <c r="I76" s="615">
        <f t="shared" si="240"/>
        <v>0</v>
      </c>
      <c r="J76" s="615">
        <f t="shared" si="241"/>
        <v>0</v>
      </c>
      <c r="K76" s="615">
        <f t="shared" si="242"/>
        <v>0</v>
      </c>
      <c r="L76" s="615">
        <f t="shared" si="243"/>
        <v>0</v>
      </c>
      <c r="M76" s="620">
        <f t="shared" si="244"/>
        <v>0</v>
      </c>
      <c r="N76" s="287"/>
      <c r="O76" s="615">
        <f t="shared" si="245"/>
        <v>0</v>
      </c>
      <c r="P76" s="615">
        <f t="shared" si="246"/>
        <v>0</v>
      </c>
      <c r="Q76" s="615">
        <f t="shared" si="247"/>
        <v>0</v>
      </c>
      <c r="R76" s="615">
        <f t="shared" si="248"/>
        <v>0</v>
      </c>
      <c r="S76" s="615">
        <f t="shared" si="249"/>
        <v>0</v>
      </c>
      <c r="T76" s="89"/>
      <c r="U76" s="552">
        <v>0.05</v>
      </c>
      <c r="V76" s="133"/>
      <c r="W76" s="628">
        <f t="shared" ref="W76:W84" si="268">$W$75/$U$75*U76</f>
        <v>6.1362000000000007E-2</v>
      </c>
      <c r="X76" s="628">
        <f t="shared" si="234"/>
        <v>6.1362000000000007E-2</v>
      </c>
      <c r="Y76" s="620">
        <f t="shared" ref="Y76:Y84" si="269">IFERROR(IF(AL76=100%,W76,0),0)</f>
        <v>6.1362000000000007E-2</v>
      </c>
      <c r="Z76" s="620">
        <f t="shared" ref="Z76:Z84" si="270">IFERROR(IF(AND((AL76+AM76)=100%,AL76&lt;1),W76,0),0)</f>
        <v>0</v>
      </c>
      <c r="AA76" s="620">
        <f t="shared" ref="AA76:AA84" si="271">IFERROR(IF(AND((AQ76+AS76)=AP76,Y76=0),W76,0),0)</f>
        <v>0</v>
      </c>
      <c r="AB76" s="615">
        <f t="shared" ref="AB76:AB84" si="272">IFERROR(IF(AND((AQ76+AS76+AT76)=AP76,Y76=0,AA76=0),W76,0),0)</f>
        <v>0</v>
      </c>
      <c r="AC76" s="615">
        <f t="shared" ref="AC76:AC84" si="273">IFERROR(IF(AND((AQ76+AS76+AT76+AU76)=AP76,Y76=0,AA76=0,AB76=0),W76,0),0)</f>
        <v>0</v>
      </c>
      <c r="AD76" s="620">
        <f t="shared" ref="AD76:AD84" si="274">IFERROR(IF(AND((AQ76+AS76+AT76+AU76+AV76)=AP76,Y76=0,AA76=0,AB76=0,AC76=0),W76,0),0)</f>
        <v>0</v>
      </c>
      <c r="AE76" s="287"/>
      <c r="AF76" s="615">
        <f t="shared" ref="AF76:AF84" si="275">IFERROR(IF(AND((AL76+AN76)=100%,AL76&lt;1),W76,0),0)</f>
        <v>0</v>
      </c>
      <c r="AG76" s="615">
        <f t="shared" ref="AG76:AG84" si="276">IFERROR(IF(AND((AQ76+AY76)=AP76,Y76=0),W76,0),0)</f>
        <v>0</v>
      </c>
      <c r="AH76" s="615">
        <f t="shared" ref="AH76:AH84" si="277">IFERROR(IF(AND((AQ76+AY76+AZ76)=AP76,Y76=0,AG76=0),W76,0),0)</f>
        <v>0</v>
      </c>
      <c r="AI76" s="615">
        <f t="shared" ref="AI76:AI84" si="278">IFERROR(IF(AND((AQ76+AY76+AZ76+BA76)=AP76,Y76=0,AG76=0,AH76=0),W76,0),0)</f>
        <v>0</v>
      </c>
      <c r="AJ76" s="615">
        <f t="shared" ref="AJ76:AJ84" si="279">IFERROR(IF(AND((AQ76+AY76+AZ76+BA76+BB76)=AP76,Y76=0,AG76=0,AH76=0,AI76=0),W76,0),0)</f>
        <v>0</v>
      </c>
      <c r="AK76" s="339"/>
      <c r="AL76" s="627">
        <f t="shared" ref="AL76:AL84" si="280">IFERROR(AQ76/AP76,0)</f>
        <v>1</v>
      </c>
      <c r="AM76" s="627">
        <f t="shared" ref="AM76:AM84" si="281">IFERROR(AR76/AP76,0)</f>
        <v>0</v>
      </c>
      <c r="AN76" s="625">
        <f t="shared" ref="AN76:AN84" si="282">IFERROR(AX76/AP76,0)</f>
        <v>0</v>
      </c>
      <c r="AO76" s="364"/>
      <c r="AP76" s="620">
        <f>COUNTIF('AR | Drawing List'!$H:$H,"AR-T2S-1")</f>
        <v>35</v>
      </c>
      <c r="AQ76" s="621">
        <f>COUNTIFS('AR | Drawing List'!$H:$H,"AR-T2S-1",'AR | Drawing List'!$J:$J,1)</f>
        <v>35</v>
      </c>
      <c r="AR76" s="621">
        <f t="shared" si="238"/>
        <v>0</v>
      </c>
      <c r="AS76" s="621">
        <f>COUNTIFS('AR | Drawing List'!$H:$H,"AR-T2S-1",'AR | Drawing List'!M:M,1)</f>
        <v>0</v>
      </c>
      <c r="AT76" s="621">
        <f>COUNTIFS('AR | Drawing List'!$H:$H,"AR-T2S-1",'AR | Drawing List'!N:N,1)</f>
        <v>0</v>
      </c>
      <c r="AU76" s="621">
        <f>COUNTIFS('AR | Drawing List'!$H:$H,"AR-T2S-1",'AR | Drawing List'!O:O,1)</f>
        <v>0</v>
      </c>
      <c r="AV76" s="621">
        <f>COUNTIFS('AR | Drawing List'!$H:$H,"AR-T2S-1",'AR | Drawing List'!P:P,1)</f>
        <v>0</v>
      </c>
      <c r="AW76" s="366"/>
      <c r="AX76" s="621">
        <f t="shared" ref="AX76:AX81" si="283">SUM(AY76:BB76)</f>
        <v>0</v>
      </c>
      <c r="AY76" s="621">
        <f>COUNTIFS('AR | Drawing List'!$H:$H,"AR-T2S-1",'AR | Drawing List'!R:R,1)</f>
        <v>0</v>
      </c>
      <c r="AZ76" s="621">
        <f>COUNTIFS('AR | Drawing List'!$H:$H,"AR-T2S-1",'AR | Drawing List'!S:S,1)</f>
        <v>0</v>
      </c>
      <c r="BA76" s="621">
        <f>COUNTIFS('AR | Drawing List'!$H:$H,"AR-T2S-1",'AR | Drawing List'!T:T,1)</f>
        <v>0</v>
      </c>
      <c r="BB76" s="621">
        <f>COUNTIFS('AR | Drawing List'!$H:$H,"AR-T2S-1",'AR | Drawing List'!U:U,1)</f>
        <v>0</v>
      </c>
      <c r="BC76" s="366"/>
      <c r="BD76" s="366"/>
      <c r="BE76" s="554">
        <v>0.1</v>
      </c>
      <c r="BF76" s="368"/>
      <c r="BG76" s="621">
        <f t="shared" ref="BG76:BG84" si="284">$BG$75/$BE$75*BE76</f>
        <v>5.1062400000000001E-2</v>
      </c>
      <c r="BH76" s="622">
        <f t="shared" si="235"/>
        <v>5.1062400000000001E-2</v>
      </c>
      <c r="BI76" s="620">
        <f t="shared" ref="BI76:BI84" si="285">IFERROR(IF(BV76=100%,BG76,0),0)</f>
        <v>5.1062400000000001E-2</v>
      </c>
      <c r="BJ76" s="620">
        <f t="shared" ref="BJ76:BJ84" si="286">IFERROR(IF(AND((BV76+BW76)=100%,BV76&lt;1),BG76,0),0)</f>
        <v>0</v>
      </c>
      <c r="BK76" s="615">
        <f t="shared" ref="BK76:BK84" si="287">IFERROR(IF(AND((CA76+CC76)=BZ76,BI76=0),BG76,0),0)</f>
        <v>0</v>
      </c>
      <c r="BL76" s="615">
        <f t="shared" ref="BL76:BL84" si="288">IFERROR(IF(AND((CA76+CC76+CD76)=BZ76,BI76=0,BK76=0),BG76,0),0)</f>
        <v>0</v>
      </c>
      <c r="BM76" s="615">
        <f t="shared" ref="BM76:BM84" si="289">IFERROR(IF(AND((CA76+CC76+CD76+CE76)=BZ76,BI76=0,BK76=0,BL76=0),BG76,0),0)</f>
        <v>0</v>
      </c>
      <c r="BN76" s="615">
        <f t="shared" ref="BN76:BN84" si="290">IFERROR(IF(AND((CA76+CC76+CD76+CE76+CF76)=BZ76,BI76=0,BK76=0,BL76=0,BM76=0),BG76,0),0)</f>
        <v>0</v>
      </c>
      <c r="BO76" s="339"/>
      <c r="BP76" s="615">
        <f t="shared" ref="BP76:BP84" si="291">IFERROR(IF(AND((BV76+BX76)=100%,BV76&lt;1),BG76,0),0)</f>
        <v>0</v>
      </c>
      <c r="BQ76" s="615">
        <f t="shared" ref="BQ76:BQ84" si="292">IFERROR(IF(AND((CA76+CI76)=BZ76,BI76=0),BG76,0),0)</f>
        <v>0</v>
      </c>
      <c r="BR76" s="615">
        <f t="shared" ref="BR76:BR84" si="293">IFERROR(IF(AND((CA76+CI76+CJ76)=BZ76,BI76=0,BQ76=0),BG76,0),0)</f>
        <v>0</v>
      </c>
      <c r="BS76" s="615">
        <f t="shared" ref="BS76:BS84" si="294">IFERROR(IF(AND((CA76+CI76+CJ76+CK76)=BZ76,BI76=0,BQ76=0,BR76=0),BG76,0),0)</f>
        <v>0</v>
      </c>
      <c r="BT76" s="615">
        <f t="shared" ref="BT76:BT84" si="295">IFERROR(IF(AND((CA76+CI76+CJ76+CK76+CL76)=BZ76,BI76=0,BQ76=0,BR76=0,BS76=0),BG76,0),0)</f>
        <v>0</v>
      </c>
      <c r="BU76" s="339"/>
      <c r="BV76" s="635">
        <f t="shared" ref="BV76:BV84" si="296">IFERROR(CA76/BZ76,0)</f>
        <v>1</v>
      </c>
      <c r="BW76" s="635">
        <f t="shared" ref="BW76:BW84" si="297">IFERROR(CB76/BZ76,0)</f>
        <v>0</v>
      </c>
      <c r="BX76" s="635">
        <f t="shared" ref="BX76:BX84" si="298">IFERROR(CH76/BZ76,0)</f>
        <v>0</v>
      </c>
      <c r="BY76" s="364"/>
      <c r="BZ76" s="620">
        <f>COUNTIF('ST | Drawing List'!$H:$H,"ST-T2S-1")</f>
        <v>15</v>
      </c>
      <c r="CA76" s="621">
        <f>COUNTIFS('ST | Drawing List'!$H:$H,"ST-T2S-1",'ST | Drawing List'!$J:$J,1)</f>
        <v>15</v>
      </c>
      <c r="CB76" s="624">
        <f>COUNTIFS('ST | Drawing List'!$H:$H,"ST-T2S-1",'ST | Drawing List'!$L:$L,1)</f>
        <v>0</v>
      </c>
      <c r="CC76" s="621">
        <f>COUNTIFS('ST | Drawing List'!$H:$H,"ST-T2S-1",'ST | Drawing List'!M:M,1)</f>
        <v>0</v>
      </c>
      <c r="CD76" s="621">
        <f>COUNTIFS('ST | Drawing List'!$H:$H,"ST-T2S-1",'ST | Drawing List'!N:N,1)</f>
        <v>0</v>
      </c>
      <c r="CE76" s="621">
        <f>COUNTIFS('ST | Drawing List'!$H:$H,"ST-T2S-1",'ST | Drawing List'!O:O,1)</f>
        <v>0</v>
      </c>
      <c r="CF76" s="621">
        <f>COUNTIFS('ST | Drawing List'!$H:$H,"ST-T2S-1",'ST | Drawing List'!P:P,1)</f>
        <v>0</v>
      </c>
      <c r="CG76" s="541"/>
      <c r="CH76" s="624">
        <f>COUNTIFS('ST | Drawing List'!$H:$H,"ST-T2S-1",'ST | Drawing List'!$Q:$Q,1)</f>
        <v>0</v>
      </c>
      <c r="CI76" s="621">
        <f>COUNTIFS('ST | Drawing List'!$H:$H,"ST-T2S-1",'ST | Drawing List'!R:R,1)</f>
        <v>0</v>
      </c>
      <c r="CJ76" s="621">
        <f>COUNTIFS('ST | Drawing List'!$H:$H,"ST-T2S-1",'ST | Drawing List'!S:S,1)</f>
        <v>0</v>
      </c>
      <c r="CK76" s="621">
        <f>COUNTIFS('ST | Drawing List'!$H:$H,"ST-T2S-1",'ST | Drawing List'!T:T,1)</f>
        <v>0</v>
      </c>
      <c r="CL76" s="621">
        <f>COUNTIFS('ST | Drawing List'!$H:$H,"ST-T2S-1",'ST | Drawing List'!U:U,1)</f>
        <v>0</v>
      </c>
      <c r="CM76" s="368"/>
      <c r="CN76" s="368"/>
      <c r="CO76" s="554">
        <v>0.1</v>
      </c>
      <c r="CP76" s="368"/>
      <c r="CQ76" s="621">
        <f t="shared" ref="CQ76:CQ84" si="299">$CQ$75/$CO$75*CO76</f>
        <v>7.0418159999999994E-3</v>
      </c>
      <c r="CR76" s="622">
        <f t="shared" si="236"/>
        <v>7.0418159999999994E-3</v>
      </c>
      <c r="CS76" s="620">
        <f t="shared" ref="CS76:CS84" si="300">IFERROR(IF(DF76=100%,CQ76,0),0)</f>
        <v>7.0418159999999994E-3</v>
      </c>
      <c r="CT76" s="615">
        <f t="shared" ref="CT76:CT84" si="301">IFERROR(IF(AND((DF76+DG76)=100%,DF76&lt;1),CQ76,0),0)</f>
        <v>0</v>
      </c>
      <c r="CU76" s="615">
        <f t="shared" ref="CU76:CU84" si="302">IFERROR(IF(AND((DK76+DM76)=DJ76,CS76=0),CQ76,0),0)</f>
        <v>0</v>
      </c>
      <c r="CV76" s="615">
        <f t="shared" ref="CV76:CV84" si="303">IFERROR(IF(AND((DK76+DM76+DN76)=DJ76,CS76=0,CU76=0),CQ76,0),0)</f>
        <v>0</v>
      </c>
      <c r="CW76" s="615">
        <f t="shared" ref="CW76:CW84" si="304">IFERROR(IF(AND((DK76+DM76+DN76+DO76)=DJ76,CS76=0,CU76=0,CV76=0),CQ76,0),0)</f>
        <v>0</v>
      </c>
      <c r="CX76" s="615">
        <f t="shared" ref="CX76:CX84" si="305">IFERROR(IF(AND((DK76+DM76+DN76+DO76+DP76)=DJ76,CS76=0,CU76=0,CV76=0,CW76=0),CQ76,0),0)</f>
        <v>0</v>
      </c>
      <c r="CY76" s="339"/>
      <c r="CZ76" s="615">
        <f t="shared" ref="CZ76:CZ84" si="306">IFERROR(IF(AND((DF76+DH76)=100%,DF76&lt;1),CQ76,0),0)</f>
        <v>0</v>
      </c>
      <c r="DA76" s="615">
        <f t="shared" ref="DA76:DA84" si="307">IFERROR(IF(AND((DK76+DS76)=DJ76,CS76=0),CQ76,0),0)</f>
        <v>0</v>
      </c>
      <c r="DB76" s="615">
        <f t="shared" ref="DB76:DB84" si="308">IFERROR(IF(AND((DK76+DS76+DT76)=DJ76,CS76=0,DA76=0),CQ76,0),0)</f>
        <v>0</v>
      </c>
      <c r="DC76" s="615">
        <f t="shared" ref="DC76:DC84" si="309">IFERROR(IF(AND((DK76+DS76+DT76+DU76)=DJ76,CS76=0,DA76=0,DB76=0),CQ76,0),0)</f>
        <v>0</v>
      </c>
      <c r="DD76" s="615">
        <f t="shared" ref="DD76:DD84" si="310">IFERROR(IF(AND((DK76+DS76+DT76+DU76+DV76)=DJ76,CS76=0,DA76=0,DB76=0,DC76=0),CQ76,0),0)</f>
        <v>0</v>
      </c>
      <c r="DE76" s="339"/>
      <c r="DF76" s="625">
        <f t="shared" ref="DF76:DF84" si="311">IFERROR(DK76/DJ76,0)</f>
        <v>1</v>
      </c>
      <c r="DG76" s="625">
        <f t="shared" ref="DG76:DG84" si="312">IFERROR(DL76/DJ76,0)</f>
        <v>0</v>
      </c>
      <c r="DH76" s="625">
        <f t="shared" ref="DH76:DH84" si="313">IFERROR(DR76/DJ76,0)</f>
        <v>0</v>
      </c>
      <c r="DI76" s="364"/>
      <c r="DJ76" s="620">
        <f>COUNTIF('MEP | Drawing List'!$H:$H,"MEP-T2S-6S-1")</f>
        <v>1</v>
      </c>
      <c r="DK76" s="621">
        <f>COUNTIFS('MEP | Drawing List'!$H:$H,"MEP-T2S-6S-1",'MEP | Drawing List'!$J:$J,1)</f>
        <v>1</v>
      </c>
      <c r="DL76" s="621">
        <f>COUNTIFS('MEP | Drawing List'!$H:$H,"MEP-T2S-6S-1",'MEP | Drawing List'!$L:$L,1)</f>
        <v>0</v>
      </c>
      <c r="DM76" s="620">
        <f>COUNTIFS('MEP | Drawing List'!$H:$H,"MEP-T2S-6S-1",'MEP | Drawing List'!M:M,1)</f>
        <v>0</v>
      </c>
      <c r="DN76" s="620">
        <f>COUNTIFS('MEP | Drawing List'!$H:$H,"MEP-T2S-6S-1",'MEP | Drawing List'!N:N,1)</f>
        <v>0</v>
      </c>
      <c r="DO76" s="620">
        <f>COUNTIFS('MEP | Drawing List'!$H:$H,"MEP-T2S-6S-1",'MEP | Drawing List'!O:O,1)</f>
        <v>0</v>
      </c>
      <c r="DP76" s="620">
        <f>COUNTIFS('MEP | Drawing List'!$H:$H,"MEP-T2S-6S-1",'MEP | Drawing List'!P:P,1)</f>
        <v>0</v>
      </c>
      <c r="DQ76" s="287"/>
      <c r="DR76" s="621">
        <f>COUNTIFS('MEP | Drawing List'!$H:$H,"MEP-T2S-6S-1",'MEP | Drawing List'!$Q:$Q,1)</f>
        <v>0</v>
      </c>
      <c r="DS76" s="620">
        <f>COUNTIFS('MEP | Drawing List'!$H:$H,"MEP-T2S-6S-1",'MEP | Drawing List'!R:R,1)</f>
        <v>0</v>
      </c>
      <c r="DT76" s="620">
        <f>COUNTIFS('MEP | Drawing List'!$H:$H,"MEP-T2S-6S-1",'MEP | Drawing List'!S:S,1)</f>
        <v>0</v>
      </c>
      <c r="DU76" s="620">
        <f>COUNTIFS('MEP | Drawing List'!$H:$H,"MEP-T2S-6S-1",'MEP | Drawing List'!T:T,1)</f>
        <v>0</v>
      </c>
      <c r="DV76" s="620">
        <f>COUNTIFS('MEP | Drawing List'!$H:$H,"MEP-T2S-6S-1",'MEP | Drawing List'!U:U,1)</f>
        <v>0</v>
      </c>
      <c r="DW76" s="368"/>
      <c r="DX76" s="368"/>
      <c r="DY76" s="554">
        <v>0</v>
      </c>
      <c r="DZ76" s="368"/>
      <c r="EA76" s="621">
        <f t="shared" ref="EA76:EA84" si="314">$EA$75/$DY$75*DY76</f>
        <v>0</v>
      </c>
      <c r="EB76" s="622">
        <f t="shared" si="237"/>
        <v>0</v>
      </c>
      <c r="EC76" s="620">
        <f t="shared" ref="EC76:EC84" si="315">IFERROR(IF(EP76=100%,EA76,0),0)</f>
        <v>0</v>
      </c>
      <c r="ED76" s="620">
        <f t="shared" ref="ED76:ED84" si="316">IFERROR(IF(AND((EP76+EQ76)=100%,EP76&lt;1),EA76,0),0)</f>
        <v>0</v>
      </c>
      <c r="EE76" s="615">
        <f t="shared" ref="EE76:EE84" si="317">IFERROR(IF(AND((EU76+EW76)=ET76,EC76=0),EA76,0),0)</f>
        <v>0</v>
      </c>
      <c r="EF76" s="615">
        <f t="shared" ref="EF76:EF84" si="318">IFERROR(IF(AND((EU76+EW76+EX76)=ET76,EC76=0,EE76=0),EA76,0),0)</f>
        <v>0</v>
      </c>
      <c r="EG76" s="615">
        <f t="shared" ref="EG76:EG84" si="319">IFERROR(IF(AND((EU76+EW76+EX76+EY76)=ET76,EC76=0,EE76=0,EF76=0),EA76,0),0)</f>
        <v>0</v>
      </c>
      <c r="EH76" s="615">
        <f t="shared" ref="EH76:EH84" si="320">IFERROR(IF(AND((EU76+EW76+EX76+EY76+EZ76)=ET76,EC76=0,EE76=0,EF76=0,EG76=0),EA76,0),0)</f>
        <v>0</v>
      </c>
      <c r="EI76" s="339"/>
      <c r="EJ76" s="620">
        <f>IFERROR(IF(AND((EP76+ER76)=100%,EP76&lt;1),EA76,0),0)</f>
        <v>0</v>
      </c>
      <c r="EK76" s="615">
        <f>IFERROR(IF(AND((EU76+FC76)=ET76,EC76=0),EA76,0),0)</f>
        <v>0</v>
      </c>
      <c r="EL76" s="615">
        <f>IFERROR(IF(AND((EU76+FC76+FD76)=ET76,EC76=0,EK76=0),EA76,0),0)</f>
        <v>0</v>
      </c>
      <c r="EM76" s="615">
        <f>IFERROR(IF(AND((EU76+FC76+FD76+FE76)=ET76,EC76=0,EK76=0,EL76=0),EA76,0),0)</f>
        <v>0</v>
      </c>
      <c r="EN76" s="615">
        <f>IFERROR(IF(AND((EU76+FC76+FD76+FE76+FF76)=ET76,EC76=0,EK76=0,EL76=0,EM76=0),EA76,0),0)</f>
        <v>0</v>
      </c>
      <c r="EO76" s="339"/>
      <c r="EP76" s="627">
        <f t="shared" ref="EP76" si="321">IFERROR(EU76/ET76,0)</f>
        <v>0</v>
      </c>
      <c r="EQ76" s="627">
        <f t="shared" ref="EQ76" si="322">IFERROR(EV76/ET76,0)</f>
        <v>0</v>
      </c>
      <c r="ER76" s="627">
        <f>IFERROR(FB76/ET76,0)</f>
        <v>0</v>
      </c>
      <c r="ES76" s="92"/>
      <c r="ET76" s="620">
        <f>COUNTIF('LS | Drawing List'!$H:$H,"LS-T2S-1")</f>
        <v>0</v>
      </c>
      <c r="EU76" s="621">
        <f>COUNTIFS('LS | Drawing List'!$H:$H,"LS-T2S-1",'LS | Drawing List'!$J:$J,1)</f>
        <v>0</v>
      </c>
      <c r="EV76" s="621">
        <f>COUNTIFS('LS | Drawing List'!$H:$H,"LS-T2S-1",'LS | Drawing List'!$L:$L,1)</f>
        <v>0</v>
      </c>
      <c r="EW76" s="620">
        <f>COUNTIFS('LS | Drawing List'!$H:$H,"LS-T2S-1",'LS | Drawing List'!M:M,1)</f>
        <v>0</v>
      </c>
      <c r="EX76" s="620">
        <f>COUNTIFS('LS | Drawing List'!$H:$H,"LS-T2S-1",'LS | Drawing List'!N:N,1)</f>
        <v>0</v>
      </c>
      <c r="EY76" s="620">
        <f>COUNTIFS('LS | Drawing List'!$H:$H,"LS-T2S-1",'LS | Drawing List'!O:O,1)</f>
        <v>0</v>
      </c>
      <c r="EZ76" s="620">
        <f>COUNTIFS('LS | Drawing List'!$H:$H,"LS-T2S-1",'LS | Drawing List'!P:P,1)</f>
        <v>0</v>
      </c>
      <c r="FA76" s="91"/>
      <c r="FB76" s="621">
        <f>COUNTIFS('LS | Drawing List'!$H:$H,"LS-T2S-1",'LS | Drawing List'!$Q:$Q,1)</f>
        <v>0</v>
      </c>
      <c r="FC76" s="620">
        <f>COUNTIFS('LS | Drawing List'!$H:$H,"LS-T2S-1",'LS | Drawing List'!R:R,1)</f>
        <v>0</v>
      </c>
      <c r="FD76" s="620">
        <f>COUNTIFS('LS | Drawing List'!$H:$H,"LS-T2S-1",'LS | Drawing List'!S:S,1)</f>
        <v>0</v>
      </c>
      <c r="FE76" s="620">
        <f>COUNTIFS('LS | Drawing List'!$H:$H,"LS-T2S-1",'LS | Drawing List'!T:T,1)</f>
        <v>0</v>
      </c>
      <c r="FF76" s="620">
        <f>COUNTIFS('LS | Drawing List'!$H:$H,"LS-T2S-1",'LS | Drawing List'!U:U,1)</f>
        <v>0</v>
      </c>
      <c r="FG76" s="89"/>
    </row>
    <row r="77" spans="1:163" ht="14.25" hidden="1" outlineLevel="2">
      <c r="A77" s="48"/>
      <c r="B77" s="90" t="s">
        <v>85</v>
      </c>
      <c r="C77" s="276">
        <v>2</v>
      </c>
      <c r="D77" s="272" t="s">
        <v>54</v>
      </c>
      <c r="E77" s="48"/>
      <c r="F77" s="619">
        <f t="shared" si="265"/>
        <v>5.1062400000000001E-2</v>
      </c>
      <c r="G77" s="619">
        <f t="shared" si="266"/>
        <v>5.1062400000000001E-2</v>
      </c>
      <c r="H77" s="615">
        <f t="shared" si="267"/>
        <v>0</v>
      </c>
      <c r="I77" s="615">
        <f t="shared" si="240"/>
        <v>0</v>
      </c>
      <c r="J77" s="615">
        <f t="shared" si="241"/>
        <v>0</v>
      </c>
      <c r="K77" s="615">
        <f t="shared" si="242"/>
        <v>0</v>
      </c>
      <c r="L77" s="615">
        <f t="shared" si="243"/>
        <v>0</v>
      </c>
      <c r="M77" s="620">
        <f t="shared" si="244"/>
        <v>0</v>
      </c>
      <c r="N77" s="287"/>
      <c r="O77" s="615">
        <f t="shared" si="245"/>
        <v>0</v>
      </c>
      <c r="P77" s="615">
        <f t="shared" si="246"/>
        <v>0</v>
      </c>
      <c r="Q77" s="615">
        <f t="shared" si="247"/>
        <v>0</v>
      </c>
      <c r="R77" s="615">
        <f t="shared" si="248"/>
        <v>0</v>
      </c>
      <c r="S77" s="615">
        <f t="shared" si="249"/>
        <v>0</v>
      </c>
      <c r="T77" s="48"/>
      <c r="U77" s="519">
        <v>0</v>
      </c>
      <c r="V77" s="131"/>
      <c r="W77" s="619">
        <f t="shared" si="268"/>
        <v>0</v>
      </c>
      <c r="X77" s="619">
        <f t="shared" si="234"/>
        <v>0</v>
      </c>
      <c r="Y77" s="616">
        <f t="shared" si="269"/>
        <v>0</v>
      </c>
      <c r="Z77" s="616">
        <f t="shared" si="270"/>
        <v>0</v>
      </c>
      <c r="AA77" s="615">
        <f t="shared" si="271"/>
        <v>0</v>
      </c>
      <c r="AB77" s="615">
        <f t="shared" si="272"/>
        <v>0</v>
      </c>
      <c r="AC77" s="615">
        <f t="shared" si="273"/>
        <v>0</v>
      </c>
      <c r="AD77" s="620">
        <f t="shared" si="274"/>
        <v>0</v>
      </c>
      <c r="AE77" s="287"/>
      <c r="AF77" s="615">
        <f t="shared" si="275"/>
        <v>0</v>
      </c>
      <c r="AG77" s="615">
        <f t="shared" si="276"/>
        <v>0</v>
      </c>
      <c r="AH77" s="615">
        <f t="shared" si="277"/>
        <v>0</v>
      </c>
      <c r="AI77" s="615">
        <f t="shared" si="278"/>
        <v>0</v>
      </c>
      <c r="AJ77" s="615">
        <f t="shared" si="279"/>
        <v>0</v>
      </c>
      <c r="AK77" s="339"/>
      <c r="AL77" s="626">
        <f t="shared" si="280"/>
        <v>0</v>
      </c>
      <c r="AM77" s="626">
        <f t="shared" si="281"/>
        <v>0</v>
      </c>
      <c r="AN77" s="625">
        <f t="shared" si="282"/>
        <v>0</v>
      </c>
      <c r="AO77" s="341"/>
      <c r="AP77" s="615">
        <f>COUNTIF('AR | Drawing List'!$H:$H,"AR-T2S-2")</f>
        <v>0</v>
      </c>
      <c r="AQ77" s="616">
        <f>COUNTIFS('AR | Drawing List'!$H:$H,"AR-T2S-2",'AR | Drawing List'!$J:$J,1)</f>
        <v>0</v>
      </c>
      <c r="AR77" s="616">
        <f t="shared" si="238"/>
        <v>0</v>
      </c>
      <c r="AS77" s="616">
        <f>COUNTIFS('AR | Drawing List'!$H:$H,"AR-T2S-2",'AR | Drawing List'!M:M,1)</f>
        <v>0</v>
      </c>
      <c r="AT77" s="616">
        <f>COUNTIFS('AR | Drawing List'!$H:$H,"AR-T2S-2",'AR | Drawing List'!N:N,1)</f>
        <v>0</v>
      </c>
      <c r="AU77" s="616">
        <f>COUNTIFS('AR | Drawing List'!$H:$H,"AR-T2S-2",'AR | Drawing List'!O:O,1)</f>
        <v>0</v>
      </c>
      <c r="AV77" s="616">
        <f>COUNTIFS('AR | Drawing List'!$H:$H,"AR-T2S-2",'AR | Drawing List'!P:P,1)</f>
        <v>0</v>
      </c>
      <c r="AW77" s="328"/>
      <c r="AX77" s="616">
        <f t="shared" si="283"/>
        <v>0</v>
      </c>
      <c r="AY77" s="616">
        <f>COUNTIFS('AR | Drawing List'!$H:$H,"AR-T2S-2",'AR | Drawing List'!R:R,1)</f>
        <v>0</v>
      </c>
      <c r="AZ77" s="616">
        <f>COUNTIFS('AR | Drawing List'!$H:$H,"AR-T2S-2",'AR | Drawing List'!S:S,1)</f>
        <v>0</v>
      </c>
      <c r="BA77" s="616">
        <f>COUNTIFS('AR | Drawing List'!$H:$H,"AR-T2S-2",'AR | Drawing List'!T:T,1)</f>
        <v>0</v>
      </c>
      <c r="BB77" s="616">
        <f>COUNTIFS('AR | Drawing List'!$H:$H,"AR-T2S-2",'AR | Drawing List'!U:U,1)</f>
        <v>0</v>
      </c>
      <c r="BC77" s="359"/>
      <c r="BD77" s="359"/>
      <c r="BE77" s="525">
        <v>0.1</v>
      </c>
      <c r="BF77" s="343"/>
      <c r="BG77" s="616">
        <f t="shared" si="284"/>
        <v>5.1062400000000001E-2</v>
      </c>
      <c r="BH77" s="618">
        <f t="shared" si="235"/>
        <v>5.1062400000000001E-2</v>
      </c>
      <c r="BI77" s="616">
        <f t="shared" si="285"/>
        <v>5.1062400000000001E-2</v>
      </c>
      <c r="BJ77" s="616">
        <f t="shared" si="286"/>
        <v>0</v>
      </c>
      <c r="BK77" s="615">
        <f t="shared" si="287"/>
        <v>0</v>
      </c>
      <c r="BL77" s="615">
        <f t="shared" si="288"/>
        <v>0</v>
      </c>
      <c r="BM77" s="615">
        <f t="shared" si="289"/>
        <v>0</v>
      </c>
      <c r="BN77" s="615">
        <f t="shared" si="290"/>
        <v>0</v>
      </c>
      <c r="BO77" s="339"/>
      <c r="BP77" s="615">
        <f t="shared" si="291"/>
        <v>0</v>
      </c>
      <c r="BQ77" s="615">
        <f t="shared" si="292"/>
        <v>0</v>
      </c>
      <c r="BR77" s="615">
        <f t="shared" si="293"/>
        <v>0</v>
      </c>
      <c r="BS77" s="615">
        <f t="shared" si="294"/>
        <v>0</v>
      </c>
      <c r="BT77" s="615">
        <f t="shared" si="295"/>
        <v>0</v>
      </c>
      <c r="BU77" s="339"/>
      <c r="BV77" s="635">
        <f t="shared" si="296"/>
        <v>1</v>
      </c>
      <c r="BW77" s="635">
        <f t="shared" si="297"/>
        <v>0</v>
      </c>
      <c r="BX77" s="635">
        <f t="shared" si="298"/>
        <v>0</v>
      </c>
      <c r="BY77" s="345"/>
      <c r="BZ77" s="615">
        <f>COUNTIF('ST | Drawing List'!$H:$H,"ST-T2S-2")</f>
        <v>2</v>
      </c>
      <c r="CA77" s="616">
        <f>COUNTIFS('ST | Drawing List'!$H:$H,"ST-T2S-2",'ST | Drawing List'!$J:$J,1)</f>
        <v>2</v>
      </c>
      <c r="CB77" s="623">
        <f>COUNTIFS('ST | Drawing List'!$H:$H,"ST-T2S-2",'ST | Drawing List'!$L:$L,1)</f>
        <v>0</v>
      </c>
      <c r="CC77" s="616">
        <f>COUNTIFS('ST | Drawing List'!$H:$H,"ST-T2S-2",'ST | Drawing List'!M:M,1)</f>
        <v>0</v>
      </c>
      <c r="CD77" s="616">
        <f>COUNTIFS('ST | Drawing List'!$H:$H,"ST-T2S-2",'ST | Drawing List'!N:N,1)</f>
        <v>0</v>
      </c>
      <c r="CE77" s="616">
        <f>COUNTIFS('ST | Drawing List'!$H:$H,"ST-T2S-2",'ST | Drawing List'!O:O,1)</f>
        <v>0</v>
      </c>
      <c r="CF77" s="616">
        <f>COUNTIFS('ST | Drawing List'!$H:$H,"ST-T2S-2",'ST | Drawing List'!P:P,1)</f>
        <v>0</v>
      </c>
      <c r="CG77" s="532"/>
      <c r="CH77" s="623">
        <f>COUNTIFS('ST | Drawing List'!$H:$H,"ST-T2S-2",'ST | Drawing List'!$Q:$Q,1)</f>
        <v>0</v>
      </c>
      <c r="CI77" s="616">
        <f>COUNTIFS('ST | Drawing List'!$H:$H,"ST-T2S-2",'ST | Drawing List'!R:R,1)</f>
        <v>0</v>
      </c>
      <c r="CJ77" s="616">
        <f>COUNTIFS('ST | Drawing List'!$H:$H,"ST-T2S-2",'ST | Drawing List'!S:S,1)</f>
        <v>0</v>
      </c>
      <c r="CK77" s="616">
        <f>COUNTIFS('ST | Drawing List'!$H:$H,"ST-T2S-2",'ST | Drawing List'!T:T,1)</f>
        <v>0</v>
      </c>
      <c r="CL77" s="616">
        <f>COUNTIFS('ST | Drawing List'!$H:$H,"ST-T2S-2",'ST | Drawing List'!U:U,1)</f>
        <v>0</v>
      </c>
      <c r="CM77" s="343"/>
      <c r="CN77" s="343"/>
      <c r="CO77" s="666">
        <v>0</v>
      </c>
      <c r="CP77" s="343"/>
      <c r="CQ77" s="616">
        <f t="shared" si="299"/>
        <v>0</v>
      </c>
      <c r="CR77" s="618">
        <f t="shared" si="236"/>
        <v>0</v>
      </c>
      <c r="CS77" s="616">
        <f t="shared" si="300"/>
        <v>0</v>
      </c>
      <c r="CT77" s="615">
        <f t="shared" si="301"/>
        <v>0</v>
      </c>
      <c r="CU77" s="615">
        <f t="shared" si="302"/>
        <v>0</v>
      </c>
      <c r="CV77" s="615">
        <f t="shared" si="303"/>
        <v>0</v>
      </c>
      <c r="CW77" s="615">
        <f t="shared" si="304"/>
        <v>0</v>
      </c>
      <c r="CX77" s="615">
        <f t="shared" si="305"/>
        <v>0</v>
      </c>
      <c r="CY77" s="339"/>
      <c r="CZ77" s="615">
        <f t="shared" si="306"/>
        <v>0</v>
      </c>
      <c r="DA77" s="615">
        <f t="shared" si="307"/>
        <v>0</v>
      </c>
      <c r="DB77" s="615">
        <f t="shared" si="308"/>
        <v>0</v>
      </c>
      <c r="DC77" s="615">
        <f t="shared" si="309"/>
        <v>0</v>
      </c>
      <c r="DD77" s="615">
        <f t="shared" si="310"/>
        <v>0</v>
      </c>
      <c r="DE77" s="339"/>
      <c r="DF77" s="625">
        <f t="shared" si="311"/>
        <v>0</v>
      </c>
      <c r="DG77" s="625">
        <f t="shared" si="312"/>
        <v>0</v>
      </c>
      <c r="DH77" s="625">
        <f t="shared" si="313"/>
        <v>0</v>
      </c>
      <c r="DI77" s="345"/>
      <c r="DJ77" s="615">
        <f>COUNTIF('MEP | Drawing List'!$H:$H,"MEP-T2S-6S-2")</f>
        <v>0</v>
      </c>
      <c r="DK77" s="616">
        <f>COUNTIFS('MEP | Drawing List'!$H:$H,"MEP-T2S-6S-2",'MEP | Drawing List'!$J:$J,1)</f>
        <v>0</v>
      </c>
      <c r="DL77" s="616">
        <f>COUNTIFS('MEP | Drawing List'!$H:$H,"MEP-T2S-6S-2",'MEP | Drawing List'!$L:$L,1)</f>
        <v>0</v>
      </c>
      <c r="DM77" s="615">
        <f>COUNTIFS('MEP | Drawing List'!$H:$H,"MEP-T2S-6S-2",'MEP | Drawing List'!M:M,1)</f>
        <v>0</v>
      </c>
      <c r="DN77" s="615">
        <f>COUNTIFS('MEP | Drawing List'!$H:$H,"MEP-T2S-6S-2",'MEP | Drawing List'!N:N,1)</f>
        <v>0</v>
      </c>
      <c r="DO77" s="615">
        <f>COUNTIFS('MEP | Drawing List'!$H:$H,"MEP-T2S-6S-2",'MEP | Drawing List'!O:O,1)</f>
        <v>0</v>
      </c>
      <c r="DP77" s="615">
        <f>COUNTIFS('MEP | Drawing List'!$H:$H,"MEP-T2S-6S-2",'MEP | Drawing List'!P:P,1)</f>
        <v>0</v>
      </c>
      <c r="DQ77" s="339"/>
      <c r="DR77" s="616">
        <f>COUNTIFS('MEP | Drawing List'!$H:$H,"MEP-T2S-6S-2",'MEP | Drawing List'!$Q:$Q,1)</f>
        <v>0</v>
      </c>
      <c r="DS77" s="615">
        <f>COUNTIFS('MEP | Drawing List'!$H:$H,"MEP-T2S-6S-2",'MEP | Drawing List'!R:R,1)</f>
        <v>0</v>
      </c>
      <c r="DT77" s="615">
        <f>COUNTIFS('MEP | Drawing List'!$H:$H,"MEP-T2S-6S-2",'MEP | Drawing List'!S:S,1)</f>
        <v>0</v>
      </c>
      <c r="DU77" s="615">
        <f>COUNTIFS('MEP | Drawing List'!$H:$H,"MEP-T2S-6S-2",'MEP | Drawing List'!T:T,1)</f>
        <v>0</v>
      </c>
      <c r="DV77" s="615">
        <f>COUNTIFS('MEP | Drawing List'!$H:$H,"MEP-T2S-6S-2",'MEP | Drawing List'!U:U,1)</f>
        <v>0</v>
      </c>
      <c r="DW77" s="343"/>
      <c r="DX77" s="343"/>
      <c r="DY77" s="523">
        <v>0</v>
      </c>
      <c r="DZ77" s="343"/>
      <c r="EA77" s="616">
        <f t="shared" si="314"/>
        <v>0</v>
      </c>
      <c r="EB77" s="618">
        <f t="shared" si="237"/>
        <v>0</v>
      </c>
      <c r="EC77" s="616">
        <f t="shared" si="315"/>
        <v>0</v>
      </c>
      <c r="ED77" s="616">
        <f t="shared" si="316"/>
        <v>0</v>
      </c>
      <c r="EE77" s="615">
        <f t="shared" si="317"/>
        <v>0</v>
      </c>
      <c r="EF77" s="615">
        <f t="shared" si="318"/>
        <v>0</v>
      </c>
      <c r="EG77" s="615">
        <f t="shared" si="319"/>
        <v>0</v>
      </c>
      <c r="EH77" s="615">
        <f t="shared" si="320"/>
        <v>0</v>
      </c>
      <c r="EI77" s="339"/>
      <c r="EJ77" s="620">
        <f t="shared" ref="EJ77:EJ84" si="323">IFERROR(IF(AND((EP77+ER77)=100%,EP77&lt;1),EA77,0),0)</f>
        <v>0</v>
      </c>
      <c r="EK77" s="615">
        <f t="shared" ref="EK77:EK84" si="324">IFERROR(IF(AND((EU77+FC77)=ET77,EC77=0),EA77,0),0)</f>
        <v>0</v>
      </c>
      <c r="EL77" s="615">
        <f t="shared" ref="EL77:EL84" si="325">IFERROR(IF(AND((EU77+FC77+FD77)=ET77,EC77=0,EK77=0),EA77,0),0)</f>
        <v>0</v>
      </c>
      <c r="EM77" s="615">
        <f t="shared" ref="EM77:EM84" si="326">IFERROR(IF(AND((EU77+FC77+FD77+FE77)=ET77,EC77=0,EK77=0,EL77=0),EA77,0),0)</f>
        <v>0</v>
      </c>
      <c r="EN77" s="615">
        <f t="shared" ref="EN77:EN84" si="327">IFERROR(IF(AND((EU77+FC77+FD77+FE77+FF77)=ET77,EC77=0,EK77=0,EL77=0,EM77=0),EA77,0),0)</f>
        <v>0</v>
      </c>
      <c r="EO77" s="339"/>
      <c r="EP77" s="627">
        <f t="shared" ref="EP77:EP84" si="328">IFERROR(EU77/ET77,0)</f>
        <v>0</v>
      </c>
      <c r="EQ77" s="627">
        <f t="shared" ref="EQ77:EQ84" si="329">IFERROR(EV77/ET77,0)</f>
        <v>0</v>
      </c>
      <c r="ER77" s="627">
        <f t="shared" ref="ER77:ER84" si="330">IFERROR(FB77/ET77,0)</f>
        <v>0</v>
      </c>
      <c r="ES77" s="55"/>
      <c r="ET77" s="615">
        <f>COUNTIF('LS | Drawing List'!$H:$H,"LS-T2S-2")</f>
        <v>0</v>
      </c>
      <c r="EU77" s="616">
        <f>COUNTIFS('LS | Drawing List'!$H:$H,"LS-T2S-2",'LS | Drawing List'!$J:$J,1)</f>
        <v>0</v>
      </c>
      <c r="EV77" s="616">
        <f>COUNTIFS('LS | Drawing List'!$H:$H,"LS-T2S-2",'LS | Drawing List'!$L:$L,1)</f>
        <v>0</v>
      </c>
      <c r="EW77" s="615">
        <f>COUNTIFS('LS | Drawing List'!$H:$H,"LS-T2S-2",'LS | Drawing List'!M:M,1)</f>
        <v>0</v>
      </c>
      <c r="EX77" s="615">
        <f>COUNTIFS('LS | Drawing List'!$H:$H,"LS-T2S-2",'LS | Drawing List'!N:N,1)</f>
        <v>0</v>
      </c>
      <c r="EY77" s="615">
        <f>COUNTIFS('LS | Drawing List'!$H:$H,"LS-T2S-2",'LS | Drawing List'!O:O,1)</f>
        <v>0</v>
      </c>
      <c r="EZ77" s="615">
        <f>COUNTIFS('LS | Drawing List'!$H:$H,"LS-T2S-2",'LS | Drawing List'!P:P,1)</f>
        <v>0</v>
      </c>
      <c r="FA77" s="81"/>
      <c r="FB77" s="616">
        <f>COUNTIFS('LS | Drawing List'!$H:$H,"LS-T2S-2",'LS | Drawing List'!$Q:$Q,1)</f>
        <v>0</v>
      </c>
      <c r="FC77" s="615">
        <f>COUNTIFS('LS | Drawing List'!$H:$H,"LS-T2S-2",'LS | Drawing List'!R:R,1)</f>
        <v>0</v>
      </c>
      <c r="FD77" s="615">
        <f>COUNTIFS('LS | Drawing List'!$H:$H,"LS-T2S-2",'LS | Drawing List'!S:S,1)</f>
        <v>0</v>
      </c>
      <c r="FE77" s="615">
        <f>COUNTIFS('LS | Drawing List'!$H:$H,"LS-T2S-2",'LS | Drawing List'!T:T,1)</f>
        <v>0</v>
      </c>
      <c r="FF77" s="615">
        <f>COUNTIFS('LS | Drawing List'!$H:$H,"LS-T2S-2",'LS | Drawing List'!U:U,1)</f>
        <v>0</v>
      </c>
      <c r="FG77" s="48"/>
    </row>
    <row r="78" spans="1:163" ht="14.25" hidden="1" outlineLevel="2">
      <c r="A78" s="48"/>
      <c r="B78" s="90" t="s">
        <v>86</v>
      </c>
      <c r="C78" s="276">
        <v>3</v>
      </c>
      <c r="D78" s="272" t="s">
        <v>56</v>
      </c>
      <c r="E78" s="48"/>
      <c r="F78" s="619">
        <f t="shared" si="265"/>
        <v>0.12272400000000001</v>
      </c>
      <c r="G78" s="619">
        <f t="shared" si="266"/>
        <v>0.12272400000000001</v>
      </c>
      <c r="H78" s="615">
        <f t="shared" si="267"/>
        <v>0</v>
      </c>
      <c r="I78" s="615">
        <f t="shared" si="240"/>
        <v>0</v>
      </c>
      <c r="J78" s="615">
        <f t="shared" si="241"/>
        <v>0</v>
      </c>
      <c r="K78" s="615">
        <f t="shared" si="242"/>
        <v>0</v>
      </c>
      <c r="L78" s="615">
        <f t="shared" si="243"/>
        <v>0</v>
      </c>
      <c r="M78" s="620">
        <f t="shared" si="244"/>
        <v>0</v>
      </c>
      <c r="N78" s="287"/>
      <c r="O78" s="615">
        <f t="shared" si="245"/>
        <v>0</v>
      </c>
      <c r="P78" s="615">
        <f t="shared" si="246"/>
        <v>0</v>
      </c>
      <c r="Q78" s="615">
        <f t="shared" si="247"/>
        <v>0</v>
      </c>
      <c r="R78" s="615">
        <f t="shared" si="248"/>
        <v>0</v>
      </c>
      <c r="S78" s="615">
        <f t="shared" si="249"/>
        <v>0</v>
      </c>
      <c r="T78" s="48"/>
      <c r="U78" s="519">
        <v>0.1</v>
      </c>
      <c r="V78" s="131"/>
      <c r="W78" s="619">
        <f t="shared" si="268"/>
        <v>0.12272400000000001</v>
      </c>
      <c r="X78" s="619">
        <f t="shared" si="234"/>
        <v>0.12272400000000001</v>
      </c>
      <c r="Y78" s="615">
        <f t="shared" si="269"/>
        <v>0.12272400000000001</v>
      </c>
      <c r="Z78" s="615">
        <f t="shared" si="270"/>
        <v>0</v>
      </c>
      <c r="AA78" s="615">
        <f t="shared" si="271"/>
        <v>0</v>
      </c>
      <c r="AB78" s="615">
        <f t="shared" si="272"/>
        <v>0</v>
      </c>
      <c r="AC78" s="615">
        <f t="shared" si="273"/>
        <v>0</v>
      </c>
      <c r="AD78" s="620">
        <f t="shared" si="274"/>
        <v>0</v>
      </c>
      <c r="AE78" s="287"/>
      <c r="AF78" s="615">
        <f t="shared" si="275"/>
        <v>0</v>
      </c>
      <c r="AG78" s="615">
        <f t="shared" si="276"/>
        <v>0</v>
      </c>
      <c r="AH78" s="615">
        <f t="shared" si="277"/>
        <v>0</v>
      </c>
      <c r="AI78" s="615">
        <f t="shared" si="278"/>
        <v>0</v>
      </c>
      <c r="AJ78" s="615">
        <f t="shared" si="279"/>
        <v>0</v>
      </c>
      <c r="AK78" s="339"/>
      <c r="AL78" s="625">
        <f t="shared" si="280"/>
        <v>1</v>
      </c>
      <c r="AM78" s="625">
        <f t="shared" si="281"/>
        <v>0</v>
      </c>
      <c r="AN78" s="625">
        <f t="shared" si="282"/>
        <v>0</v>
      </c>
      <c r="AO78" s="341"/>
      <c r="AP78" s="615">
        <f>COUNTIF('AR | Drawing List'!$H:$H,"AR-T2S-3")</f>
        <v>2</v>
      </c>
      <c r="AQ78" s="616">
        <f>COUNTIFS('AR | Drawing List'!$H:$H,"AR-T2S-3",'AR | Drawing List'!$J:$J,1)</f>
        <v>2</v>
      </c>
      <c r="AR78" s="616">
        <f t="shared" si="238"/>
        <v>0</v>
      </c>
      <c r="AS78" s="616">
        <f>COUNTIFS('AR | Drawing List'!$H:$H,"AR-T2S-3",'AR | Drawing List'!M:M,1)</f>
        <v>0</v>
      </c>
      <c r="AT78" s="616">
        <f>COUNTIFS('AR | Drawing List'!$H:$H,"AR-T2S-3",'AR | Drawing List'!N:N,1)</f>
        <v>0</v>
      </c>
      <c r="AU78" s="616">
        <f>COUNTIFS('AR | Drawing List'!$H:$H,"AR-T2S-3",'AR | Drawing List'!O:O,1)</f>
        <v>0</v>
      </c>
      <c r="AV78" s="616">
        <f>COUNTIFS('AR | Drawing List'!$H:$H,"AR-T2S-3",'AR | Drawing List'!P:P,1)</f>
        <v>0</v>
      </c>
      <c r="AW78" s="328"/>
      <c r="AX78" s="616">
        <f t="shared" si="283"/>
        <v>0</v>
      </c>
      <c r="AY78" s="616">
        <f>COUNTIFS('AR | Drawing List'!$H:$H,"AR-T2S-3",'AR | Drawing List'!R:R,1)</f>
        <v>0</v>
      </c>
      <c r="AZ78" s="616">
        <f>COUNTIFS('AR | Drawing List'!$H:$H,"AR-T2S-3",'AR | Drawing List'!S:S,1)</f>
        <v>0</v>
      </c>
      <c r="BA78" s="616">
        <f>COUNTIFS('AR | Drawing List'!$H:$H,"AR-T2S-3",'AR | Drawing List'!T:T,1)</f>
        <v>0</v>
      </c>
      <c r="BB78" s="616">
        <f>COUNTIFS('AR | Drawing List'!$H:$H,"AR-T2S-3",'AR | Drawing List'!U:U,1)</f>
        <v>0</v>
      </c>
      <c r="BC78" s="359"/>
      <c r="BD78" s="359"/>
      <c r="BE78" s="666">
        <v>0</v>
      </c>
      <c r="BF78" s="343"/>
      <c r="BG78" s="616">
        <f t="shared" si="284"/>
        <v>0</v>
      </c>
      <c r="BH78" s="618">
        <f t="shared" si="235"/>
        <v>0</v>
      </c>
      <c r="BI78" s="615">
        <f t="shared" si="285"/>
        <v>0</v>
      </c>
      <c r="BJ78" s="615">
        <f t="shared" si="286"/>
        <v>0</v>
      </c>
      <c r="BK78" s="615">
        <f t="shared" si="287"/>
        <v>0</v>
      </c>
      <c r="BL78" s="615">
        <f t="shared" si="288"/>
        <v>0</v>
      </c>
      <c r="BM78" s="615">
        <f t="shared" si="289"/>
        <v>0</v>
      </c>
      <c r="BN78" s="615">
        <f t="shared" si="290"/>
        <v>0</v>
      </c>
      <c r="BO78" s="339"/>
      <c r="BP78" s="615">
        <f t="shared" si="291"/>
        <v>0</v>
      </c>
      <c r="BQ78" s="615">
        <f t="shared" si="292"/>
        <v>0</v>
      </c>
      <c r="BR78" s="615">
        <f t="shared" si="293"/>
        <v>0</v>
      </c>
      <c r="BS78" s="615">
        <f t="shared" si="294"/>
        <v>0</v>
      </c>
      <c r="BT78" s="615">
        <f t="shared" si="295"/>
        <v>0</v>
      </c>
      <c r="BU78" s="339"/>
      <c r="BV78" s="635">
        <f t="shared" si="296"/>
        <v>0</v>
      </c>
      <c r="BW78" s="635">
        <f t="shared" si="297"/>
        <v>0</v>
      </c>
      <c r="BX78" s="635">
        <f t="shared" si="298"/>
        <v>0</v>
      </c>
      <c r="BY78" s="347"/>
      <c r="BZ78" s="615">
        <f>COUNTIF('ST | Drawing List'!$H:$H,"ST-T2S-3")</f>
        <v>0</v>
      </c>
      <c r="CA78" s="616">
        <f>COUNTIFS('ST | Drawing List'!$H:$H,"ST-T2S-3",'ST | Drawing List'!$J:$J,1)</f>
        <v>0</v>
      </c>
      <c r="CB78" s="623">
        <f>COUNTIFS('ST | Drawing List'!$H:$H,"ST-T2S-3",'ST | Drawing List'!$L:$L,1)</f>
        <v>0</v>
      </c>
      <c r="CC78" s="616">
        <f>COUNTIFS('ST | Drawing List'!$H:$H,"ST-T2S-3",'ST | Drawing List'!M:M,1)</f>
        <v>0</v>
      </c>
      <c r="CD78" s="616">
        <f>COUNTIFS('ST | Drawing List'!$H:$H,"ST-T2S-3",'ST | Drawing List'!N:N,1)</f>
        <v>0</v>
      </c>
      <c r="CE78" s="616">
        <f>COUNTIFS('ST | Drawing List'!$H:$H,"ST-T2S-3",'ST | Drawing List'!O:O,1)</f>
        <v>0</v>
      </c>
      <c r="CF78" s="616">
        <f>COUNTIFS('ST | Drawing List'!$H:$H,"ST-T2S-3",'ST | Drawing List'!P:P,1)</f>
        <v>0</v>
      </c>
      <c r="CG78" s="532"/>
      <c r="CH78" s="623">
        <f>COUNTIFS('ST | Drawing List'!$H:$H,"ST-T2S-3",'ST | Drawing List'!$Q:$Q,1)</f>
        <v>0</v>
      </c>
      <c r="CI78" s="616">
        <f>COUNTIFS('ST | Drawing List'!$H:$H,"ST-T2S-3",'ST | Drawing List'!R:R,1)</f>
        <v>0</v>
      </c>
      <c r="CJ78" s="616">
        <f>COUNTIFS('ST | Drawing List'!$H:$H,"ST-T2S-3",'ST | Drawing List'!S:S,1)</f>
        <v>0</v>
      </c>
      <c r="CK78" s="616">
        <f>COUNTIFS('ST | Drawing List'!$H:$H,"ST-T2S-3",'ST | Drawing List'!T:T,1)</f>
        <v>0</v>
      </c>
      <c r="CL78" s="616">
        <f>COUNTIFS('ST | Drawing List'!$H:$H,"ST-T2S-3",'ST | Drawing List'!U:U,1)</f>
        <v>0</v>
      </c>
      <c r="CM78" s="343"/>
      <c r="CN78" s="343"/>
      <c r="CO78" s="666">
        <v>0</v>
      </c>
      <c r="CP78" s="343"/>
      <c r="CQ78" s="616">
        <f t="shared" si="299"/>
        <v>0</v>
      </c>
      <c r="CR78" s="618">
        <f t="shared" si="236"/>
        <v>0</v>
      </c>
      <c r="CS78" s="615">
        <f t="shared" si="300"/>
        <v>0</v>
      </c>
      <c r="CT78" s="615">
        <f t="shared" si="301"/>
        <v>0</v>
      </c>
      <c r="CU78" s="615">
        <f t="shared" si="302"/>
        <v>0</v>
      </c>
      <c r="CV78" s="615">
        <f t="shared" si="303"/>
        <v>0</v>
      </c>
      <c r="CW78" s="615">
        <f t="shared" si="304"/>
        <v>0</v>
      </c>
      <c r="CX78" s="615">
        <f t="shared" si="305"/>
        <v>0</v>
      </c>
      <c r="CY78" s="339"/>
      <c r="CZ78" s="615">
        <f t="shared" si="306"/>
        <v>0</v>
      </c>
      <c r="DA78" s="615">
        <f t="shared" si="307"/>
        <v>0</v>
      </c>
      <c r="DB78" s="615">
        <f t="shared" si="308"/>
        <v>0</v>
      </c>
      <c r="DC78" s="615">
        <f t="shared" si="309"/>
        <v>0</v>
      </c>
      <c r="DD78" s="615">
        <f t="shared" si="310"/>
        <v>0</v>
      </c>
      <c r="DE78" s="339"/>
      <c r="DF78" s="625">
        <f t="shared" si="311"/>
        <v>0</v>
      </c>
      <c r="DG78" s="625">
        <f t="shared" si="312"/>
        <v>0</v>
      </c>
      <c r="DH78" s="625">
        <f t="shared" si="313"/>
        <v>0</v>
      </c>
      <c r="DI78" s="347"/>
      <c r="DJ78" s="615">
        <f>COUNTIF('MEP | Drawing List'!$H:$H,"MEP-T2S-6S-3")</f>
        <v>0</v>
      </c>
      <c r="DK78" s="616">
        <f>COUNTIFS('MEP | Drawing List'!$H:$H,"MEP-T2S-6S-3",'MEP | Drawing List'!$J:$J,1)</f>
        <v>0</v>
      </c>
      <c r="DL78" s="616">
        <f>COUNTIFS('MEP | Drawing List'!$H:$H,"MEP-T2S-6S-3",'MEP | Drawing List'!$L:$L,1)</f>
        <v>0</v>
      </c>
      <c r="DM78" s="615">
        <f>COUNTIFS('MEP | Drawing List'!$H:$H,"MEP-T2S-6S-3",'MEP | Drawing List'!M:M,1)</f>
        <v>0</v>
      </c>
      <c r="DN78" s="615">
        <f>COUNTIFS('MEP | Drawing List'!$H:$H,"MEP-T2S-6S-3",'MEP | Drawing List'!N:N,1)</f>
        <v>0</v>
      </c>
      <c r="DO78" s="615">
        <f>COUNTIFS('MEP | Drawing List'!$H:$H,"MEP-T2S-6S-3",'MEP | Drawing List'!O:O,1)</f>
        <v>0</v>
      </c>
      <c r="DP78" s="615">
        <f>COUNTIFS('MEP | Drawing List'!$H:$H,"MEP-T2S-6S-3",'MEP | Drawing List'!P:P,1)</f>
        <v>0</v>
      </c>
      <c r="DQ78" s="339"/>
      <c r="DR78" s="616">
        <f>COUNTIFS('MEP | Drawing List'!$H:$H,"MEP-T2S-6S-3",'MEP | Drawing List'!$Q:$Q,1)</f>
        <v>0</v>
      </c>
      <c r="DS78" s="615">
        <f>COUNTIFS('MEP | Drawing List'!$H:$H,"MEP-T2S-6S-3",'MEP | Drawing List'!R:R,1)</f>
        <v>0</v>
      </c>
      <c r="DT78" s="615">
        <f>COUNTIFS('MEP | Drawing List'!$H:$H,"MEP-T2S-6S-3",'MEP | Drawing List'!S:S,1)</f>
        <v>0</v>
      </c>
      <c r="DU78" s="615">
        <f>COUNTIFS('MEP | Drawing List'!$H:$H,"MEP-T2S-6S-3",'MEP | Drawing List'!T:T,1)</f>
        <v>0</v>
      </c>
      <c r="DV78" s="615">
        <f>COUNTIFS('MEP | Drawing List'!$H:$H,"MEP-T2S-6S-3",'MEP | Drawing List'!U:U,1)</f>
        <v>0</v>
      </c>
      <c r="DW78" s="343"/>
      <c r="DX78" s="343"/>
      <c r="DY78" s="525">
        <v>0</v>
      </c>
      <c r="DZ78" s="343"/>
      <c r="EA78" s="616">
        <f t="shared" si="314"/>
        <v>0</v>
      </c>
      <c r="EB78" s="618">
        <f t="shared" si="237"/>
        <v>0</v>
      </c>
      <c r="EC78" s="615">
        <f t="shared" si="315"/>
        <v>0</v>
      </c>
      <c r="ED78" s="615">
        <f t="shared" si="316"/>
        <v>0</v>
      </c>
      <c r="EE78" s="615">
        <f t="shared" si="317"/>
        <v>0</v>
      </c>
      <c r="EF78" s="615">
        <f t="shared" si="318"/>
        <v>0</v>
      </c>
      <c r="EG78" s="615">
        <f t="shared" si="319"/>
        <v>0</v>
      </c>
      <c r="EH78" s="615">
        <f t="shared" si="320"/>
        <v>0</v>
      </c>
      <c r="EI78" s="339"/>
      <c r="EJ78" s="620">
        <f t="shared" si="323"/>
        <v>0</v>
      </c>
      <c r="EK78" s="615">
        <f t="shared" si="324"/>
        <v>0</v>
      </c>
      <c r="EL78" s="615">
        <f t="shared" si="325"/>
        <v>0</v>
      </c>
      <c r="EM78" s="615">
        <f t="shared" si="326"/>
        <v>0</v>
      </c>
      <c r="EN78" s="615">
        <f t="shared" si="327"/>
        <v>0</v>
      </c>
      <c r="EO78" s="339"/>
      <c r="EP78" s="627">
        <f t="shared" si="328"/>
        <v>0</v>
      </c>
      <c r="EQ78" s="627">
        <f t="shared" si="329"/>
        <v>0</v>
      </c>
      <c r="ER78" s="627">
        <f t="shared" si="330"/>
        <v>0</v>
      </c>
      <c r="ES78" s="83"/>
      <c r="ET78" s="615">
        <f>COUNTIF('LS | Drawing List'!$H:$H,"LS-T2S-3")</f>
        <v>0</v>
      </c>
      <c r="EU78" s="616">
        <f>COUNTIFS('LS | Drawing List'!$H:$H,"LS-T2S-3",'LS | Drawing List'!$J:$J,1)</f>
        <v>0</v>
      </c>
      <c r="EV78" s="616">
        <f>COUNTIFS('LS | Drawing List'!$H:$H,"LS-T2S-3",'LS | Drawing List'!$L:$L,1)</f>
        <v>0</v>
      </c>
      <c r="EW78" s="615">
        <f>COUNTIFS('LS | Drawing List'!$H:$H,"LS-T2S-3",'LS | Drawing List'!M:M,1)</f>
        <v>0</v>
      </c>
      <c r="EX78" s="615">
        <f>COUNTIFS('LS | Drawing List'!$H:$H,"LS-T2S-3",'LS | Drawing List'!N:N,1)</f>
        <v>0</v>
      </c>
      <c r="EY78" s="615">
        <f>COUNTIFS('LS | Drawing List'!$H:$H,"LS-T2S-3",'LS | Drawing List'!O:O,1)</f>
        <v>0</v>
      </c>
      <c r="EZ78" s="615">
        <f>COUNTIFS('LS | Drawing List'!$H:$H,"LS-T2S-3",'LS | Drawing List'!P:P,1)</f>
        <v>0</v>
      </c>
      <c r="FA78" s="81"/>
      <c r="FB78" s="616">
        <f>COUNTIFS('LS | Drawing List'!$H:$H,"LS-T2S-3",'LS | Drawing List'!$Q:$Q,1)</f>
        <v>0</v>
      </c>
      <c r="FC78" s="615">
        <f>COUNTIFS('LS | Drawing List'!$H:$H,"LS-T2S-3",'LS | Drawing List'!R:R,1)</f>
        <v>0</v>
      </c>
      <c r="FD78" s="615">
        <f>COUNTIFS('LS | Drawing List'!$H:$H,"LS-T2S-3",'LS | Drawing List'!S:S,1)</f>
        <v>0</v>
      </c>
      <c r="FE78" s="615">
        <f>COUNTIFS('LS | Drawing List'!$H:$H,"LS-T2S-3",'LS | Drawing List'!T:T,1)</f>
        <v>0</v>
      </c>
      <c r="FF78" s="615">
        <f>COUNTIFS('LS | Drawing List'!$H:$H,"LS-T2S-3",'LS | Drawing List'!U:U,1)</f>
        <v>0</v>
      </c>
      <c r="FG78" s="48"/>
    </row>
    <row r="79" spans="1:163" ht="14.25" hidden="1" outlineLevel="2">
      <c r="A79" s="48"/>
      <c r="B79" s="90" t="s">
        <v>87</v>
      </c>
      <c r="C79" s="277">
        <v>4</v>
      </c>
      <c r="D79" s="273" t="s">
        <v>88</v>
      </c>
      <c r="E79" s="48"/>
      <c r="F79" s="619">
        <f t="shared" si="265"/>
        <v>9.7455923999999999E-2</v>
      </c>
      <c r="G79" s="619">
        <f t="shared" si="266"/>
        <v>9.7455923999999999E-2</v>
      </c>
      <c r="H79" s="615">
        <f t="shared" si="267"/>
        <v>0</v>
      </c>
      <c r="I79" s="615">
        <f t="shared" si="240"/>
        <v>1.0562723999999999E-2</v>
      </c>
      <c r="J79" s="615">
        <f t="shared" si="241"/>
        <v>1.0562723999999999E-2</v>
      </c>
      <c r="K79" s="615">
        <f t="shared" si="242"/>
        <v>0</v>
      </c>
      <c r="L79" s="615">
        <f t="shared" si="243"/>
        <v>0</v>
      </c>
      <c r="M79" s="620">
        <f t="shared" si="244"/>
        <v>0</v>
      </c>
      <c r="N79" s="287"/>
      <c r="O79" s="615">
        <f t="shared" si="245"/>
        <v>1.0562723999999999E-2</v>
      </c>
      <c r="P79" s="615">
        <f t="shared" si="246"/>
        <v>0</v>
      </c>
      <c r="Q79" s="615">
        <f t="shared" si="247"/>
        <v>1.0562723999999999E-2</v>
      </c>
      <c r="R79" s="615">
        <f t="shared" si="248"/>
        <v>0</v>
      </c>
      <c r="S79" s="615">
        <f t="shared" si="249"/>
        <v>0</v>
      </c>
      <c r="T79" s="48"/>
      <c r="U79" s="519">
        <v>0.05</v>
      </c>
      <c r="V79" s="131"/>
      <c r="W79" s="619">
        <f t="shared" si="268"/>
        <v>6.1362000000000007E-2</v>
      </c>
      <c r="X79" s="619">
        <f t="shared" si="234"/>
        <v>6.1362000000000007E-2</v>
      </c>
      <c r="Y79" s="615">
        <f t="shared" si="269"/>
        <v>6.1362000000000007E-2</v>
      </c>
      <c r="Z79" s="615">
        <f t="shared" si="270"/>
        <v>0</v>
      </c>
      <c r="AA79" s="615">
        <f t="shared" si="271"/>
        <v>0</v>
      </c>
      <c r="AB79" s="615">
        <f t="shared" si="272"/>
        <v>0</v>
      </c>
      <c r="AC79" s="615">
        <f t="shared" si="273"/>
        <v>0</v>
      </c>
      <c r="AD79" s="620">
        <f t="shared" si="274"/>
        <v>0</v>
      </c>
      <c r="AE79" s="287"/>
      <c r="AF79" s="615">
        <f t="shared" si="275"/>
        <v>0</v>
      </c>
      <c r="AG79" s="615">
        <f t="shared" si="276"/>
        <v>0</v>
      </c>
      <c r="AH79" s="615">
        <f t="shared" si="277"/>
        <v>0</v>
      </c>
      <c r="AI79" s="615">
        <f t="shared" si="278"/>
        <v>0</v>
      </c>
      <c r="AJ79" s="615">
        <f t="shared" si="279"/>
        <v>0</v>
      </c>
      <c r="AK79" s="339"/>
      <c r="AL79" s="625">
        <f t="shared" si="280"/>
        <v>1</v>
      </c>
      <c r="AM79" s="625">
        <f t="shared" si="281"/>
        <v>0</v>
      </c>
      <c r="AN79" s="625">
        <f t="shared" si="282"/>
        <v>0</v>
      </c>
      <c r="AO79" s="341"/>
      <c r="AP79" s="615">
        <f>COUNTIF('AR | Drawing List'!$H:$H,"AR-T2S-4")</f>
        <v>2</v>
      </c>
      <c r="AQ79" s="616">
        <f>COUNTIFS('AR | Drawing List'!$H:$H,"AR-T2S-4",'AR | Drawing List'!$J:$J,1)</f>
        <v>2</v>
      </c>
      <c r="AR79" s="616">
        <f t="shared" si="238"/>
        <v>0</v>
      </c>
      <c r="AS79" s="616">
        <f>COUNTIFS('AR | Drawing List'!$H:$H,"AR-T2S-4",'AR | Drawing List'!M:M,1)</f>
        <v>0</v>
      </c>
      <c r="AT79" s="616">
        <f>COUNTIFS('AR | Drawing List'!$H:$H,"AR-T2S-4",'AR | Drawing List'!N:N,1)</f>
        <v>0</v>
      </c>
      <c r="AU79" s="616">
        <f>COUNTIFS('AR | Drawing List'!$H:$H,"AR-T2S-4",'AR | Drawing List'!O:O,1)</f>
        <v>0</v>
      </c>
      <c r="AV79" s="616">
        <f>COUNTIFS('AR | Drawing List'!$H:$H,"AR-T2S-4",'AR | Drawing List'!P:P,1)</f>
        <v>0</v>
      </c>
      <c r="AW79" s="328"/>
      <c r="AX79" s="616">
        <f t="shared" si="283"/>
        <v>0</v>
      </c>
      <c r="AY79" s="616">
        <f>COUNTIFS('AR | Drawing List'!$H:$H,"AR-T2S-4",'AR | Drawing List'!R:R,1)</f>
        <v>0</v>
      </c>
      <c r="AZ79" s="616">
        <f>COUNTIFS('AR | Drawing List'!$H:$H,"AR-T2S-4",'AR | Drawing List'!S:S,1)</f>
        <v>0</v>
      </c>
      <c r="BA79" s="616">
        <f>COUNTIFS('AR | Drawing List'!$H:$H,"AR-T2S-4",'AR | Drawing List'!T:T,1)</f>
        <v>0</v>
      </c>
      <c r="BB79" s="616">
        <f>COUNTIFS('AR | Drawing List'!$H:$H,"AR-T2S-4",'AR | Drawing List'!U:U,1)</f>
        <v>0</v>
      </c>
      <c r="BC79" s="359"/>
      <c r="BD79" s="359"/>
      <c r="BE79" s="554">
        <v>0.05</v>
      </c>
      <c r="BF79" s="343"/>
      <c r="BG79" s="616">
        <f t="shared" si="284"/>
        <v>2.55312E-2</v>
      </c>
      <c r="BH79" s="618">
        <f t="shared" si="235"/>
        <v>2.55312E-2</v>
      </c>
      <c r="BI79" s="615">
        <f t="shared" si="285"/>
        <v>2.55312E-2</v>
      </c>
      <c r="BJ79" s="615">
        <f t="shared" si="286"/>
        <v>0</v>
      </c>
      <c r="BK79" s="615">
        <f t="shared" si="287"/>
        <v>0</v>
      </c>
      <c r="BL79" s="615">
        <f t="shared" si="288"/>
        <v>0</v>
      </c>
      <c r="BM79" s="615">
        <f t="shared" si="289"/>
        <v>0</v>
      </c>
      <c r="BN79" s="615">
        <f t="shared" si="290"/>
        <v>0</v>
      </c>
      <c r="BO79" s="339"/>
      <c r="BP79" s="615">
        <f t="shared" si="291"/>
        <v>0</v>
      </c>
      <c r="BQ79" s="615">
        <f t="shared" si="292"/>
        <v>0</v>
      </c>
      <c r="BR79" s="615">
        <f t="shared" si="293"/>
        <v>0</v>
      </c>
      <c r="BS79" s="615">
        <f t="shared" si="294"/>
        <v>0</v>
      </c>
      <c r="BT79" s="615">
        <f t="shared" si="295"/>
        <v>0</v>
      </c>
      <c r="BU79" s="339"/>
      <c r="BV79" s="635">
        <f t="shared" si="296"/>
        <v>1</v>
      </c>
      <c r="BW79" s="635">
        <f t="shared" si="297"/>
        <v>0</v>
      </c>
      <c r="BX79" s="635">
        <f t="shared" si="298"/>
        <v>0</v>
      </c>
      <c r="BY79" s="345"/>
      <c r="BZ79" s="615">
        <f>COUNTIF('ST | Drawing List'!$H:$H,"ST-T2S-4")</f>
        <v>8</v>
      </c>
      <c r="CA79" s="616">
        <f>COUNTIFS('ST | Drawing List'!$H:$H,"ST-T2S-4",'ST | Drawing List'!$J:$J,1)</f>
        <v>8</v>
      </c>
      <c r="CB79" s="623">
        <f>COUNTIFS('ST | Drawing List'!$H:$H,"ST-T2S-4",'ST | Drawing List'!$L:$L,1)</f>
        <v>0</v>
      </c>
      <c r="CC79" s="616">
        <f>COUNTIFS('ST | Drawing List'!$H:$H,"ST-T2S-4",'ST | Drawing List'!M:M,1)</f>
        <v>0</v>
      </c>
      <c r="CD79" s="616">
        <f>COUNTIFS('ST | Drawing List'!$H:$H,"ST-T2S-4",'ST | Drawing List'!N:N,1)</f>
        <v>0</v>
      </c>
      <c r="CE79" s="616">
        <f>COUNTIFS('ST | Drawing List'!$H:$H,"ST-T2S-4",'ST | Drawing List'!O:O,1)</f>
        <v>0</v>
      </c>
      <c r="CF79" s="616">
        <f>COUNTIFS('ST | Drawing List'!$H:$H,"ST-T2S-4",'ST | Drawing List'!P:P,1)</f>
        <v>0</v>
      </c>
      <c r="CG79" s="532"/>
      <c r="CH79" s="623">
        <f>COUNTIFS('ST | Drawing List'!$H:$H,"ST-T2S-4",'ST | Drawing List'!$Q:$Q,1)</f>
        <v>0</v>
      </c>
      <c r="CI79" s="616">
        <f>COUNTIFS('ST | Drawing List'!$H:$H,"ST-T2S-4",'ST | Drawing List'!R:R,1)</f>
        <v>0</v>
      </c>
      <c r="CJ79" s="616">
        <f>COUNTIFS('ST | Drawing List'!$H:$H,"ST-T2S-4",'ST | Drawing List'!S:S,1)</f>
        <v>0</v>
      </c>
      <c r="CK79" s="616">
        <f>COUNTIFS('ST | Drawing List'!$H:$H,"ST-T2S-4",'ST | Drawing List'!T:T,1)</f>
        <v>0</v>
      </c>
      <c r="CL79" s="616">
        <f>COUNTIFS('ST | Drawing List'!$H:$H,"ST-T2S-4",'ST | Drawing List'!U:U,1)</f>
        <v>0</v>
      </c>
      <c r="CM79" s="343"/>
      <c r="CN79" s="343"/>
      <c r="CO79" s="525">
        <v>0.15</v>
      </c>
      <c r="CP79" s="343"/>
      <c r="CQ79" s="616">
        <f t="shared" si="299"/>
        <v>1.0562723999999999E-2</v>
      </c>
      <c r="CR79" s="618">
        <f t="shared" si="236"/>
        <v>1.0562723999999999E-2</v>
      </c>
      <c r="CS79" s="615">
        <f t="shared" si="300"/>
        <v>0</v>
      </c>
      <c r="CT79" s="615">
        <f t="shared" si="301"/>
        <v>1.0562723999999999E-2</v>
      </c>
      <c r="CU79" s="615">
        <f t="shared" si="302"/>
        <v>1.0562723999999999E-2</v>
      </c>
      <c r="CV79" s="615">
        <f t="shared" si="303"/>
        <v>0</v>
      </c>
      <c r="CW79" s="615">
        <f t="shared" si="304"/>
        <v>0</v>
      </c>
      <c r="CX79" s="615">
        <f t="shared" si="305"/>
        <v>0</v>
      </c>
      <c r="CY79" s="339"/>
      <c r="CZ79" s="615">
        <f t="shared" si="306"/>
        <v>1.0562723999999999E-2</v>
      </c>
      <c r="DA79" s="615">
        <f t="shared" si="307"/>
        <v>0</v>
      </c>
      <c r="DB79" s="615">
        <f t="shared" si="308"/>
        <v>1.0562723999999999E-2</v>
      </c>
      <c r="DC79" s="615">
        <f t="shared" si="309"/>
        <v>0</v>
      </c>
      <c r="DD79" s="615">
        <f t="shared" si="310"/>
        <v>0</v>
      </c>
      <c r="DE79" s="339"/>
      <c r="DF79" s="625">
        <f t="shared" si="311"/>
        <v>0.93333333333333335</v>
      </c>
      <c r="DG79" s="625">
        <f t="shared" si="312"/>
        <v>6.6666666666666666E-2</v>
      </c>
      <c r="DH79" s="625">
        <f t="shared" si="313"/>
        <v>6.6666666666666666E-2</v>
      </c>
      <c r="DI79" s="345"/>
      <c r="DJ79" s="615">
        <f>COUNTIF('MEP | Drawing List'!$H:$H,"MEP-T2S-6S-4")</f>
        <v>15</v>
      </c>
      <c r="DK79" s="616">
        <f>COUNTIFS('MEP | Drawing List'!$H:$H,"MEP-T2S-6S-4",'MEP | Drawing List'!$J:$J,1)</f>
        <v>14</v>
      </c>
      <c r="DL79" s="616">
        <f>COUNTIFS('MEP | Drawing List'!$H:$H,"MEP-T2S-6S-4",'MEP | Drawing List'!$L:$L,1)</f>
        <v>1</v>
      </c>
      <c r="DM79" s="615">
        <f>COUNTIFS('MEP | Drawing List'!$H:$H,"MEP-T2S-6S-4",'MEP | Drawing List'!M:M,1)</f>
        <v>1</v>
      </c>
      <c r="DN79" s="615">
        <f>COUNTIFS('MEP | Drawing List'!$H:$H,"MEP-T2S-6S-4",'MEP | Drawing List'!N:N,1)</f>
        <v>0</v>
      </c>
      <c r="DO79" s="615">
        <f>COUNTIFS('MEP | Drawing List'!$H:$H,"MEP-T2S-6S-4",'MEP | Drawing List'!O:O,1)</f>
        <v>0</v>
      </c>
      <c r="DP79" s="615">
        <f>COUNTIFS('MEP | Drawing List'!$H:$H,"MEP-T2S-6S-4",'MEP | Drawing List'!P:P,1)</f>
        <v>0</v>
      </c>
      <c r="DQ79" s="339"/>
      <c r="DR79" s="616">
        <f>COUNTIFS('MEP | Drawing List'!$H:$H,"MEP-T2S-6S-4",'MEP | Drawing List'!$Q:$Q,1)</f>
        <v>1</v>
      </c>
      <c r="DS79" s="615">
        <f>COUNTIFS('MEP | Drawing List'!$H:$H,"MEP-T2S-6S-4",'MEP | Drawing List'!R:R,1)</f>
        <v>0</v>
      </c>
      <c r="DT79" s="615">
        <f>COUNTIFS('MEP | Drawing List'!$H:$H,"MEP-T2S-6S-4",'MEP | Drawing List'!S:S,1)</f>
        <v>1</v>
      </c>
      <c r="DU79" s="615">
        <f>COUNTIFS('MEP | Drawing List'!$H:$H,"MEP-T2S-6S-4",'MEP | Drawing List'!T:T,1)</f>
        <v>0</v>
      </c>
      <c r="DV79" s="615">
        <f>COUNTIFS('MEP | Drawing List'!$H:$H,"MEP-T2S-6S-4",'MEP | Drawing List'!U:U,1)</f>
        <v>0</v>
      </c>
      <c r="DW79" s="343"/>
      <c r="DX79" s="343"/>
      <c r="DY79" s="525">
        <v>0</v>
      </c>
      <c r="DZ79" s="343"/>
      <c r="EA79" s="616">
        <f t="shared" si="314"/>
        <v>0</v>
      </c>
      <c r="EB79" s="618">
        <f t="shared" si="237"/>
        <v>0</v>
      </c>
      <c r="EC79" s="616">
        <f t="shared" si="315"/>
        <v>0</v>
      </c>
      <c r="ED79" s="616">
        <f t="shared" si="316"/>
        <v>0</v>
      </c>
      <c r="EE79" s="616">
        <f t="shared" si="317"/>
        <v>0</v>
      </c>
      <c r="EF79" s="616">
        <f t="shared" si="318"/>
        <v>0</v>
      </c>
      <c r="EG79" s="616">
        <f t="shared" si="319"/>
        <v>0</v>
      </c>
      <c r="EH79" s="616">
        <f t="shared" si="320"/>
        <v>0</v>
      </c>
      <c r="EI79" s="344"/>
      <c r="EJ79" s="616">
        <f t="shared" si="323"/>
        <v>0</v>
      </c>
      <c r="EK79" s="616">
        <f t="shared" si="324"/>
        <v>0</v>
      </c>
      <c r="EL79" s="616">
        <f t="shared" si="325"/>
        <v>0</v>
      </c>
      <c r="EM79" s="616">
        <f t="shared" si="326"/>
        <v>0</v>
      </c>
      <c r="EN79" s="616">
        <f t="shared" si="327"/>
        <v>0</v>
      </c>
      <c r="EO79" s="344"/>
      <c r="EP79" s="627">
        <f t="shared" si="328"/>
        <v>1</v>
      </c>
      <c r="EQ79" s="627">
        <f t="shared" si="329"/>
        <v>0</v>
      </c>
      <c r="ER79" s="627">
        <f t="shared" si="330"/>
        <v>0</v>
      </c>
      <c r="ES79" s="55"/>
      <c r="ET79" s="615">
        <f>COUNTIF('LS | Drawing List'!$H:$H,"LS-T2S-4")</f>
        <v>1</v>
      </c>
      <c r="EU79" s="616">
        <f>COUNTIFS('LS | Drawing List'!$H:$H,"LS-T2S-4",'LS | Drawing List'!$J:$J,1)</f>
        <v>1</v>
      </c>
      <c r="EV79" s="616">
        <f>COUNTIFS('LS | Drawing List'!$H:$H,"LS-T2S-4",'LS | Drawing List'!$L:$L,1)</f>
        <v>0</v>
      </c>
      <c r="EW79" s="615">
        <f>COUNTIFS('LS | Drawing List'!$H:$H,"LS-T2S-4",'LS | Drawing List'!M:M,1)</f>
        <v>0</v>
      </c>
      <c r="EX79" s="615">
        <f>COUNTIFS('LS | Drawing List'!$H:$H,"LS-T2S-4",'LS | Drawing List'!N:N,1)</f>
        <v>0</v>
      </c>
      <c r="EY79" s="615">
        <f>COUNTIFS('LS | Drawing List'!$H:$H,"LS-T2S-4",'LS | Drawing List'!O:O,1)</f>
        <v>0</v>
      </c>
      <c r="EZ79" s="615">
        <f>COUNTIFS('LS | Drawing List'!$H:$H,"LS-T2S-4",'LS | Drawing List'!P:P,1)</f>
        <v>0</v>
      </c>
      <c r="FA79" s="81"/>
      <c r="FB79" s="616">
        <f>COUNTIFS('LS | Drawing List'!$H:$H,"LS-T2S-4",'LS | Drawing List'!$Q:$Q,1)</f>
        <v>0</v>
      </c>
      <c r="FC79" s="615">
        <f>COUNTIFS('LS | Drawing List'!$H:$H,"LS-T2S-4",'LS | Drawing List'!R:R,1)</f>
        <v>0</v>
      </c>
      <c r="FD79" s="615">
        <f>COUNTIFS('LS | Drawing List'!$H:$H,"LS-T2S-4",'LS | Drawing List'!S:S,1)</f>
        <v>0</v>
      </c>
      <c r="FE79" s="615">
        <f>COUNTIFS('LS | Drawing List'!$H:$H,"LS-T2S-4",'LS | Drawing List'!T:T,1)</f>
        <v>0</v>
      </c>
      <c r="FF79" s="615">
        <f>COUNTIFS('LS | Drawing List'!$H:$H,"LS-T2S-4",'LS | Drawing List'!U:U,1)</f>
        <v>0</v>
      </c>
      <c r="FG79" s="48"/>
    </row>
    <row r="80" spans="1:163" s="95" customFormat="1" ht="14.25" hidden="1" outlineLevel="2">
      <c r="A80" s="89"/>
      <c r="B80" s="90" t="s">
        <v>89</v>
      </c>
      <c r="C80" s="277">
        <v>5</v>
      </c>
      <c r="D80" s="273" t="s">
        <v>250</v>
      </c>
      <c r="E80" s="89"/>
      <c r="F80" s="619">
        <f t="shared" si="265"/>
        <v>0.11242440000000001</v>
      </c>
      <c r="G80" s="619">
        <f t="shared" si="266"/>
        <v>0.11242440000000001</v>
      </c>
      <c r="H80" s="615">
        <f t="shared" si="267"/>
        <v>0</v>
      </c>
      <c r="I80" s="615">
        <f t="shared" si="240"/>
        <v>0</v>
      </c>
      <c r="J80" s="615">
        <f t="shared" si="241"/>
        <v>0</v>
      </c>
      <c r="K80" s="615">
        <f t="shared" si="242"/>
        <v>0</v>
      </c>
      <c r="L80" s="615">
        <f t="shared" si="243"/>
        <v>0</v>
      </c>
      <c r="M80" s="620">
        <f t="shared" si="244"/>
        <v>0</v>
      </c>
      <c r="N80" s="287"/>
      <c r="O80" s="615">
        <f t="shared" si="245"/>
        <v>0</v>
      </c>
      <c r="P80" s="615">
        <f t="shared" si="246"/>
        <v>0</v>
      </c>
      <c r="Q80" s="615">
        <f t="shared" si="247"/>
        <v>0</v>
      </c>
      <c r="R80" s="615">
        <f t="shared" si="248"/>
        <v>0</v>
      </c>
      <c r="S80" s="615">
        <f t="shared" si="249"/>
        <v>0</v>
      </c>
      <c r="T80" s="89"/>
      <c r="U80" s="552">
        <v>0.05</v>
      </c>
      <c r="V80" s="133"/>
      <c r="W80" s="628">
        <f t="shared" si="268"/>
        <v>6.1362000000000007E-2</v>
      </c>
      <c r="X80" s="628">
        <f t="shared" si="234"/>
        <v>6.1362000000000007E-2</v>
      </c>
      <c r="Y80" s="620">
        <f t="shared" si="269"/>
        <v>6.1362000000000007E-2</v>
      </c>
      <c r="Z80" s="620">
        <f t="shared" si="270"/>
        <v>0</v>
      </c>
      <c r="AA80" s="620">
        <f t="shared" si="271"/>
        <v>0</v>
      </c>
      <c r="AB80" s="620">
        <f t="shared" si="272"/>
        <v>0</v>
      </c>
      <c r="AC80" s="620">
        <f t="shared" si="273"/>
        <v>0</v>
      </c>
      <c r="AD80" s="620">
        <f t="shared" si="274"/>
        <v>0</v>
      </c>
      <c r="AE80" s="287"/>
      <c r="AF80" s="615">
        <f t="shared" si="275"/>
        <v>0</v>
      </c>
      <c r="AG80" s="615">
        <f t="shared" si="276"/>
        <v>0</v>
      </c>
      <c r="AH80" s="615">
        <f t="shared" si="277"/>
        <v>0</v>
      </c>
      <c r="AI80" s="615">
        <f t="shared" si="278"/>
        <v>0</v>
      </c>
      <c r="AJ80" s="615">
        <f t="shared" si="279"/>
        <v>0</v>
      </c>
      <c r="AK80" s="339"/>
      <c r="AL80" s="627">
        <f t="shared" si="280"/>
        <v>1</v>
      </c>
      <c r="AM80" s="627">
        <f t="shared" si="281"/>
        <v>0</v>
      </c>
      <c r="AN80" s="625">
        <f t="shared" si="282"/>
        <v>0</v>
      </c>
      <c r="AO80" s="364"/>
      <c r="AP80" s="620">
        <f>COUNTIF('AR | Drawing List'!$H:$H,"AR-T2S-5")</f>
        <v>4</v>
      </c>
      <c r="AQ80" s="621">
        <f>COUNTIFS('AR | Drawing List'!$H:$H,"AR-T2S-5",'AR | Drawing List'!$J:$J,1)</f>
        <v>4</v>
      </c>
      <c r="AR80" s="621">
        <f t="shared" si="238"/>
        <v>0</v>
      </c>
      <c r="AS80" s="621">
        <f>COUNTIFS('AR | Drawing List'!$H:$H,"AR-T2S-5",'AR | Drawing List'!M:M,1)</f>
        <v>0</v>
      </c>
      <c r="AT80" s="621">
        <f>COUNTIFS('AR | Drawing List'!$H:$H,"AR-T2S-5",'AR | Drawing List'!N:N,1)</f>
        <v>0</v>
      </c>
      <c r="AU80" s="621">
        <f>COUNTIFS('AR | Drawing List'!$H:$H,"AR-T2S-5",'AR | Drawing List'!O:O,1)</f>
        <v>0</v>
      </c>
      <c r="AV80" s="621">
        <f>COUNTIFS('AR | Drawing List'!$H:$H,"AR-T2S-5",'AR | Drawing List'!P:P,1)</f>
        <v>0</v>
      </c>
      <c r="AW80" s="366"/>
      <c r="AX80" s="621">
        <f t="shared" si="283"/>
        <v>0</v>
      </c>
      <c r="AY80" s="621">
        <f>COUNTIFS('AR | Drawing List'!$H:$H,"AR-T2S-5",'AR | Drawing List'!R:R,1)</f>
        <v>0</v>
      </c>
      <c r="AZ80" s="621">
        <f>COUNTIFS('AR | Drawing List'!$H:$H,"AR-T2S-5",'AR | Drawing List'!S:S,1)</f>
        <v>0</v>
      </c>
      <c r="BA80" s="621">
        <f>COUNTIFS('AR | Drawing List'!$H:$H,"AR-T2S-5",'AR | Drawing List'!T:T,1)</f>
        <v>0</v>
      </c>
      <c r="BB80" s="621">
        <f>COUNTIFS('AR | Drawing List'!$H:$H,"AR-T2S-5",'AR | Drawing List'!U:U,1)</f>
        <v>0</v>
      </c>
      <c r="BC80" s="366"/>
      <c r="BD80" s="366"/>
      <c r="BE80" s="525">
        <v>0.1</v>
      </c>
      <c r="BF80" s="368"/>
      <c r="BG80" s="621">
        <f t="shared" si="284"/>
        <v>5.1062400000000001E-2</v>
      </c>
      <c r="BH80" s="622">
        <f t="shared" si="235"/>
        <v>5.1062400000000001E-2</v>
      </c>
      <c r="BI80" s="620">
        <f t="shared" si="285"/>
        <v>5.1062400000000001E-2</v>
      </c>
      <c r="BJ80" s="620">
        <f t="shared" si="286"/>
        <v>0</v>
      </c>
      <c r="BK80" s="615">
        <f t="shared" si="287"/>
        <v>0</v>
      </c>
      <c r="BL80" s="615">
        <f t="shared" si="288"/>
        <v>0</v>
      </c>
      <c r="BM80" s="615">
        <f t="shared" si="289"/>
        <v>0</v>
      </c>
      <c r="BN80" s="615">
        <f t="shared" si="290"/>
        <v>0</v>
      </c>
      <c r="BO80" s="339"/>
      <c r="BP80" s="615">
        <f t="shared" si="291"/>
        <v>0</v>
      </c>
      <c r="BQ80" s="615">
        <f t="shared" si="292"/>
        <v>0</v>
      </c>
      <c r="BR80" s="615">
        <f t="shared" si="293"/>
        <v>0</v>
      </c>
      <c r="BS80" s="615">
        <f t="shared" si="294"/>
        <v>0</v>
      </c>
      <c r="BT80" s="615">
        <f t="shared" si="295"/>
        <v>0</v>
      </c>
      <c r="BU80" s="339"/>
      <c r="BV80" s="635">
        <f t="shared" si="296"/>
        <v>1</v>
      </c>
      <c r="BW80" s="635">
        <f t="shared" si="297"/>
        <v>0</v>
      </c>
      <c r="BX80" s="635">
        <f t="shared" si="298"/>
        <v>0</v>
      </c>
      <c r="BY80" s="373"/>
      <c r="BZ80" s="620">
        <f>COUNTIF('ST | Drawing List'!$H:$H,"ST-T2S-5")</f>
        <v>18</v>
      </c>
      <c r="CA80" s="621">
        <f>COUNTIFS('ST | Drawing List'!$H:$H,"ST-T2S-5",'ST | Drawing List'!$J:$J,1)</f>
        <v>18</v>
      </c>
      <c r="CB80" s="624">
        <f>COUNTIFS('ST | Drawing List'!$H:$H,"ST-T2S-5",'ST | Drawing List'!$L:$L,1)</f>
        <v>0</v>
      </c>
      <c r="CC80" s="621">
        <f>COUNTIFS('ST | Drawing List'!$H:$H,"ST-T2S-5",'ST | Drawing List'!M:M,1)</f>
        <v>0</v>
      </c>
      <c r="CD80" s="621">
        <f>COUNTIFS('ST | Drawing List'!$H:$H,"ST-T2S-5",'ST | Drawing List'!N:N,1)</f>
        <v>0</v>
      </c>
      <c r="CE80" s="621">
        <f>COUNTIFS('ST | Drawing List'!$H:$H,"ST-T2S-5",'ST | Drawing List'!O:O,1)</f>
        <v>0</v>
      </c>
      <c r="CF80" s="621">
        <f>COUNTIFS('ST | Drawing List'!$H:$H,"ST-T2S-5",'ST | Drawing List'!P:P,1)</f>
        <v>0</v>
      </c>
      <c r="CG80" s="541"/>
      <c r="CH80" s="624">
        <f>COUNTIFS('ST | Drawing List'!$H:$H,"ST-T2S-5",'ST | Drawing List'!$Q:$Q,1)</f>
        <v>0</v>
      </c>
      <c r="CI80" s="621">
        <f>COUNTIFS('ST | Drawing List'!$H:$H,"ST-T2S-5",'ST | Drawing List'!R:R,1)</f>
        <v>0</v>
      </c>
      <c r="CJ80" s="621">
        <f>COUNTIFS('ST | Drawing List'!$H:$H,"ST-T2S-5",'ST | Drawing List'!S:S,1)</f>
        <v>0</v>
      </c>
      <c r="CK80" s="621">
        <f>COUNTIFS('ST | Drawing List'!$H:$H,"ST-T2S-5",'ST | Drawing List'!T:T,1)</f>
        <v>0</v>
      </c>
      <c r="CL80" s="621">
        <f>COUNTIFS('ST | Drawing List'!$H:$H,"ST-T2S-5",'ST | Drawing List'!U:U,1)</f>
        <v>0</v>
      </c>
      <c r="CM80" s="368"/>
      <c r="CN80" s="368"/>
      <c r="CO80" s="666">
        <v>0</v>
      </c>
      <c r="CP80" s="368"/>
      <c r="CQ80" s="621">
        <f t="shared" si="299"/>
        <v>0</v>
      </c>
      <c r="CR80" s="622">
        <f t="shared" si="236"/>
        <v>0</v>
      </c>
      <c r="CS80" s="620">
        <f t="shared" si="300"/>
        <v>0</v>
      </c>
      <c r="CT80" s="615">
        <f t="shared" si="301"/>
        <v>0</v>
      </c>
      <c r="CU80" s="615">
        <f t="shared" si="302"/>
        <v>0</v>
      </c>
      <c r="CV80" s="615">
        <f t="shared" si="303"/>
        <v>0</v>
      </c>
      <c r="CW80" s="615">
        <f t="shared" si="304"/>
        <v>0</v>
      </c>
      <c r="CX80" s="615">
        <f t="shared" si="305"/>
        <v>0</v>
      </c>
      <c r="CY80" s="339"/>
      <c r="CZ80" s="615">
        <f t="shared" si="306"/>
        <v>0</v>
      </c>
      <c r="DA80" s="615">
        <f t="shared" si="307"/>
        <v>0</v>
      </c>
      <c r="DB80" s="615">
        <f t="shared" si="308"/>
        <v>0</v>
      </c>
      <c r="DC80" s="615">
        <f t="shared" si="309"/>
        <v>0</v>
      </c>
      <c r="DD80" s="615">
        <f t="shared" si="310"/>
        <v>0</v>
      </c>
      <c r="DE80" s="339"/>
      <c r="DF80" s="625">
        <f t="shared" si="311"/>
        <v>1</v>
      </c>
      <c r="DG80" s="625">
        <f t="shared" si="312"/>
        <v>0</v>
      </c>
      <c r="DH80" s="625">
        <f t="shared" si="313"/>
        <v>0</v>
      </c>
      <c r="DI80" s="373"/>
      <c r="DJ80" s="620">
        <f>COUNTIF('MEP | Drawing List'!$H:$H,"MEP-T2S-6S-5")</f>
        <v>41</v>
      </c>
      <c r="DK80" s="621">
        <f>COUNTIFS('MEP | Drawing List'!$H:$H,"MEP-T2S-6S-5",'MEP | Drawing List'!$J:$J,1)</f>
        <v>41</v>
      </c>
      <c r="DL80" s="621">
        <f>COUNTIFS('MEP | Drawing List'!$H:$H,"MEP-T2S-6S-5",'MEP | Drawing List'!$L:$L,1)</f>
        <v>0</v>
      </c>
      <c r="DM80" s="620">
        <f>COUNTIFS('MEP | Drawing List'!$H:$H,"MEP-T2S-6S-5",'MEP | Drawing List'!M:M,1)</f>
        <v>0</v>
      </c>
      <c r="DN80" s="620">
        <f>COUNTIFS('MEP | Drawing List'!$H:$H,"MEP-T2S-6S-5",'MEP | Drawing List'!N:N,1)</f>
        <v>0</v>
      </c>
      <c r="DO80" s="620">
        <f>COUNTIFS('MEP | Drawing List'!$H:$H,"MEP-T2S-6S-5",'MEP | Drawing List'!O:O,1)</f>
        <v>0</v>
      </c>
      <c r="DP80" s="620">
        <f>COUNTIFS('MEP | Drawing List'!$H:$H,"MEP-T2S-6S-5",'MEP | Drawing List'!P:P,1)</f>
        <v>0</v>
      </c>
      <c r="DQ80" s="287"/>
      <c r="DR80" s="621">
        <f>COUNTIFS('MEP | Drawing List'!$H:$H,"MEP-T2S-6S-5",'MEP | Drawing List'!$Q:$Q,1)</f>
        <v>0</v>
      </c>
      <c r="DS80" s="620">
        <f>COUNTIFS('MEP | Drawing List'!$H:$H,"MEP-T2S-6S-5",'MEP | Drawing List'!R:R,1)</f>
        <v>0</v>
      </c>
      <c r="DT80" s="620">
        <f>COUNTIFS('MEP | Drawing List'!$H:$H,"MEP-T2S-6S-5",'MEP | Drawing List'!S:S,1)</f>
        <v>0</v>
      </c>
      <c r="DU80" s="620">
        <f>COUNTIFS('MEP | Drawing List'!$H:$H,"MEP-T2S-6S-5",'MEP | Drawing List'!T:T,1)</f>
        <v>0</v>
      </c>
      <c r="DV80" s="620">
        <f>COUNTIFS('MEP | Drawing List'!$H:$H,"MEP-T2S-6S-5",'MEP | Drawing List'!U:U,1)</f>
        <v>0</v>
      </c>
      <c r="DW80" s="368"/>
      <c r="DX80" s="368"/>
      <c r="DY80" s="554">
        <v>0</v>
      </c>
      <c r="DZ80" s="368"/>
      <c r="EA80" s="621">
        <f t="shared" si="314"/>
        <v>0</v>
      </c>
      <c r="EB80" s="622">
        <f t="shared" si="237"/>
        <v>0</v>
      </c>
      <c r="EC80" s="620">
        <f t="shared" si="315"/>
        <v>0</v>
      </c>
      <c r="ED80" s="620">
        <f t="shared" si="316"/>
        <v>0</v>
      </c>
      <c r="EE80" s="615">
        <f t="shared" si="317"/>
        <v>0</v>
      </c>
      <c r="EF80" s="615">
        <f t="shared" si="318"/>
        <v>0</v>
      </c>
      <c r="EG80" s="615">
        <f t="shared" si="319"/>
        <v>0</v>
      </c>
      <c r="EH80" s="615">
        <f t="shared" si="320"/>
        <v>0</v>
      </c>
      <c r="EI80" s="339"/>
      <c r="EJ80" s="620">
        <f t="shared" si="323"/>
        <v>0</v>
      </c>
      <c r="EK80" s="615">
        <f t="shared" si="324"/>
        <v>0</v>
      </c>
      <c r="EL80" s="615">
        <f t="shared" si="325"/>
        <v>0</v>
      </c>
      <c r="EM80" s="615">
        <f t="shared" si="326"/>
        <v>0</v>
      </c>
      <c r="EN80" s="615">
        <f t="shared" si="327"/>
        <v>0</v>
      </c>
      <c r="EO80" s="339"/>
      <c r="EP80" s="627">
        <f t="shared" si="328"/>
        <v>0</v>
      </c>
      <c r="EQ80" s="627">
        <f t="shared" si="329"/>
        <v>0</v>
      </c>
      <c r="ER80" s="627">
        <f t="shared" si="330"/>
        <v>0</v>
      </c>
      <c r="ES80" s="99"/>
      <c r="ET80" s="620">
        <f>COUNTIF('LS | Drawing List'!$H:$H,"LS-T2S-5")</f>
        <v>0</v>
      </c>
      <c r="EU80" s="621">
        <f>COUNTIFS('LS | Drawing List'!$H:$H,"LS-T2S-5",'LS | Drawing List'!$J:$J,1)</f>
        <v>0</v>
      </c>
      <c r="EV80" s="621">
        <f>COUNTIFS('LS | Drawing List'!$H:$H,"LS-T2S-5",'LS | Drawing List'!$L:$L,1)</f>
        <v>0</v>
      </c>
      <c r="EW80" s="620">
        <f>COUNTIFS('LS | Drawing List'!$H:$H,"LS-T2S-5",'LS | Drawing List'!M:M,1)</f>
        <v>0</v>
      </c>
      <c r="EX80" s="620">
        <f>COUNTIFS('LS | Drawing List'!$H:$H,"LS-T2S-5",'LS | Drawing List'!N:N,1)</f>
        <v>0</v>
      </c>
      <c r="EY80" s="620">
        <f>COUNTIFS('LS | Drawing List'!$H:$H,"LS-T2S-5",'LS | Drawing List'!O:O,1)</f>
        <v>0</v>
      </c>
      <c r="EZ80" s="620">
        <f>COUNTIFS('LS | Drawing List'!$H:$H,"LS-T2S-5",'LS | Drawing List'!P:P,1)</f>
        <v>0</v>
      </c>
      <c r="FA80" s="91"/>
      <c r="FB80" s="621">
        <f>COUNTIFS('LS | Drawing List'!$H:$H,"LS-T2S-5",'LS | Drawing List'!$Q:$Q,1)</f>
        <v>0</v>
      </c>
      <c r="FC80" s="620">
        <f>COUNTIFS('LS | Drawing List'!$H:$H,"LS-T2S-5",'LS | Drawing List'!R:R,1)</f>
        <v>0</v>
      </c>
      <c r="FD80" s="620">
        <f>COUNTIFS('LS | Drawing List'!$H:$H,"LS-T2S-5",'LS | Drawing List'!S:S,1)</f>
        <v>0</v>
      </c>
      <c r="FE80" s="620">
        <f>COUNTIFS('LS | Drawing List'!$H:$H,"LS-T2S-5",'LS | Drawing List'!T:T,1)</f>
        <v>0</v>
      </c>
      <c r="FF80" s="620">
        <f>COUNTIFS('LS | Drawing List'!$H:$H,"LS-T2S-5",'LS | Drawing List'!U:U,1)</f>
        <v>0</v>
      </c>
      <c r="FG80" s="89"/>
    </row>
    <row r="81" spans="1:163" ht="14.25" hidden="1" outlineLevel="2">
      <c r="A81" s="48"/>
      <c r="B81" s="90" t="s">
        <v>91</v>
      </c>
      <c r="C81" s="277">
        <v>6</v>
      </c>
      <c r="D81" s="272" t="s">
        <v>64</v>
      </c>
      <c r="E81" s="48"/>
      <c r="F81" s="619">
        <f t="shared" si="265"/>
        <v>0.139418816</v>
      </c>
      <c r="G81" s="619">
        <f t="shared" si="266"/>
        <v>0.139418816</v>
      </c>
      <c r="H81" s="615">
        <f t="shared" si="267"/>
        <v>0</v>
      </c>
      <c r="I81" s="615">
        <f t="shared" si="240"/>
        <v>0.12272400000000001</v>
      </c>
      <c r="J81" s="615">
        <f t="shared" si="241"/>
        <v>0</v>
      </c>
      <c r="K81" s="615">
        <f t="shared" si="242"/>
        <v>0.12272400000000001</v>
      </c>
      <c r="L81" s="615">
        <f t="shared" si="243"/>
        <v>0</v>
      </c>
      <c r="M81" s="620">
        <f t="shared" si="244"/>
        <v>0</v>
      </c>
      <c r="N81" s="287"/>
      <c r="O81" s="615">
        <f t="shared" si="245"/>
        <v>0.12272400000000001</v>
      </c>
      <c r="P81" s="615">
        <f t="shared" si="246"/>
        <v>0</v>
      </c>
      <c r="Q81" s="615">
        <f t="shared" si="247"/>
        <v>0</v>
      </c>
      <c r="R81" s="615">
        <f t="shared" si="248"/>
        <v>0.12272400000000001</v>
      </c>
      <c r="S81" s="615">
        <f t="shared" si="249"/>
        <v>0</v>
      </c>
      <c r="T81" s="48"/>
      <c r="U81" s="519">
        <v>0.1</v>
      </c>
      <c r="V81" s="131"/>
      <c r="W81" s="619">
        <f t="shared" si="268"/>
        <v>0.12272400000000001</v>
      </c>
      <c r="X81" s="619">
        <f t="shared" si="234"/>
        <v>0.12272400000000001</v>
      </c>
      <c r="Y81" s="616">
        <f t="shared" si="269"/>
        <v>0</v>
      </c>
      <c r="Z81" s="616">
        <f t="shared" si="270"/>
        <v>0.12272400000000001</v>
      </c>
      <c r="AA81" s="616">
        <f t="shared" si="271"/>
        <v>0</v>
      </c>
      <c r="AB81" s="616">
        <f t="shared" si="272"/>
        <v>0.12272400000000001</v>
      </c>
      <c r="AC81" s="616">
        <f t="shared" si="273"/>
        <v>0</v>
      </c>
      <c r="AD81" s="620">
        <f t="shared" si="274"/>
        <v>0</v>
      </c>
      <c r="AE81" s="287"/>
      <c r="AF81" s="615">
        <f t="shared" si="275"/>
        <v>0.12272400000000001</v>
      </c>
      <c r="AG81" s="615">
        <f t="shared" si="276"/>
        <v>0</v>
      </c>
      <c r="AH81" s="615">
        <f t="shared" si="277"/>
        <v>0</v>
      </c>
      <c r="AI81" s="615">
        <f t="shared" si="278"/>
        <v>0.12272400000000001</v>
      </c>
      <c r="AJ81" s="615">
        <f t="shared" si="279"/>
        <v>0</v>
      </c>
      <c r="AK81" s="339"/>
      <c r="AL81" s="626">
        <f t="shared" si="280"/>
        <v>0.81481481481481477</v>
      </c>
      <c r="AM81" s="626">
        <f t="shared" si="281"/>
        <v>0.18518518518518517</v>
      </c>
      <c r="AN81" s="625">
        <f t="shared" si="282"/>
        <v>0.18518518518518517</v>
      </c>
      <c r="AO81" s="341"/>
      <c r="AP81" s="615">
        <f>COUNTIF('AR | Drawing List'!$H:$H,"AR-T2S-6")</f>
        <v>27</v>
      </c>
      <c r="AQ81" s="616">
        <f>COUNTIFS('AR | Drawing List'!$H:$H,"AR-T2S-6",'AR | Drawing List'!$J:$J,1)</f>
        <v>22</v>
      </c>
      <c r="AR81" s="616">
        <f t="shared" si="238"/>
        <v>5</v>
      </c>
      <c r="AS81" s="616">
        <f>COUNTIFS('AR | Drawing List'!$H:$H,"AR-T2S-6",'AR | Drawing List'!M:M,1)</f>
        <v>0</v>
      </c>
      <c r="AT81" s="616">
        <f>COUNTIFS('AR | Drawing List'!$H:$H,"AR-T2S-6",'AR | Drawing List'!N:N,1)</f>
        <v>5</v>
      </c>
      <c r="AU81" s="616">
        <f>COUNTIFS('AR | Drawing List'!$H:$H,"AR-T2S-6",'AR | Drawing List'!O:O,1)</f>
        <v>0</v>
      </c>
      <c r="AV81" s="616">
        <f>COUNTIFS('AR | Drawing List'!$H:$H,"AR-T2S-6",'AR | Drawing List'!P:P,1)</f>
        <v>0</v>
      </c>
      <c r="AW81" s="328"/>
      <c r="AX81" s="616">
        <f t="shared" si="283"/>
        <v>5</v>
      </c>
      <c r="AY81" s="616">
        <f>COUNTIFS('AR | Drawing List'!$H:$H,"AR-T2S-6",'AR | Drawing List'!R:R,1)</f>
        <v>0</v>
      </c>
      <c r="AZ81" s="616">
        <f>COUNTIFS('AR | Drawing List'!$H:$H,"AR-T2S-6",'AR | Drawing List'!S:S,1)</f>
        <v>0</v>
      </c>
      <c r="BA81" s="616">
        <f>COUNTIFS('AR | Drawing List'!$H:$H,"AR-T2S-6",'AR | Drawing List'!T:T,1)</f>
        <v>5</v>
      </c>
      <c r="BB81" s="616">
        <f>COUNTIFS('AR | Drawing List'!$H:$H,"AR-T2S-6",'AR | Drawing List'!U:U,1)</f>
        <v>0</v>
      </c>
      <c r="BC81" s="328"/>
      <c r="BD81" s="328"/>
      <c r="BE81" s="666">
        <v>0</v>
      </c>
      <c r="BF81" s="343"/>
      <c r="BG81" s="616">
        <f t="shared" si="284"/>
        <v>0</v>
      </c>
      <c r="BH81" s="618">
        <f t="shared" si="235"/>
        <v>0</v>
      </c>
      <c r="BI81" s="616">
        <f t="shared" si="285"/>
        <v>0</v>
      </c>
      <c r="BJ81" s="616">
        <f t="shared" si="286"/>
        <v>0</v>
      </c>
      <c r="BK81" s="616">
        <f t="shared" si="287"/>
        <v>0</v>
      </c>
      <c r="BL81" s="616">
        <f t="shared" si="288"/>
        <v>0</v>
      </c>
      <c r="BM81" s="616">
        <f t="shared" si="289"/>
        <v>0</v>
      </c>
      <c r="BN81" s="616">
        <f t="shared" si="290"/>
        <v>0</v>
      </c>
      <c r="BO81" s="348"/>
      <c r="BP81" s="615">
        <f t="shared" si="291"/>
        <v>0</v>
      </c>
      <c r="BQ81" s="615">
        <f t="shared" si="292"/>
        <v>0</v>
      </c>
      <c r="BR81" s="615">
        <f t="shared" si="293"/>
        <v>0</v>
      </c>
      <c r="BS81" s="615">
        <f t="shared" si="294"/>
        <v>0</v>
      </c>
      <c r="BT81" s="615">
        <f t="shared" si="295"/>
        <v>0</v>
      </c>
      <c r="BU81" s="339"/>
      <c r="BV81" s="635">
        <f t="shared" si="296"/>
        <v>0</v>
      </c>
      <c r="BW81" s="635">
        <f t="shared" si="297"/>
        <v>0</v>
      </c>
      <c r="BX81" s="635">
        <f t="shared" si="298"/>
        <v>0</v>
      </c>
      <c r="BY81" s="345"/>
      <c r="BZ81" s="615">
        <f>COUNTIF('ST | Drawing List'!$H:$H,"ST-T2S-6")</f>
        <v>0</v>
      </c>
      <c r="CA81" s="616">
        <f>COUNTIFS('ST | Drawing List'!$H:$H,"ST-T2S-6",'ST | Drawing List'!$J:$J,1)</f>
        <v>0</v>
      </c>
      <c r="CB81" s="616">
        <f>COUNTIFS('ST | Drawing List'!$H:$H,"ST-T2S-6",'ST | Drawing List'!$L:$L,1)</f>
        <v>0</v>
      </c>
      <c r="CC81" s="616">
        <f>COUNTIFS('ST | Drawing List'!$H:$H,"ST-T2S-6",'ST | Drawing List'!M:M,1)</f>
        <v>0</v>
      </c>
      <c r="CD81" s="616">
        <f>COUNTIFS('ST | Drawing List'!$H:$H,"ST-T2S-6",'ST | Drawing List'!N:N,1)</f>
        <v>0</v>
      </c>
      <c r="CE81" s="616">
        <f>COUNTIFS('ST | Drawing List'!$H:$H,"ST-T2S-6",'ST | Drawing List'!O:O,1)</f>
        <v>0</v>
      </c>
      <c r="CF81" s="616">
        <f>COUNTIFS('ST | Drawing List'!$H:$H,"ST-T2S-6",'ST | Drawing List'!P:P,1)</f>
        <v>0</v>
      </c>
      <c r="CG81" s="532"/>
      <c r="CH81" s="616">
        <f>COUNTIFS('ST | Drawing List'!$H:$H,"ST-T2S-6",'ST | Drawing List'!$Q:$Q,1)</f>
        <v>0</v>
      </c>
      <c r="CI81" s="616">
        <f>COUNTIFS('ST | Drawing List'!$H:$H,"ST-T2S-6",'ST | Drawing List'!R:R,1)</f>
        <v>0</v>
      </c>
      <c r="CJ81" s="616">
        <f>COUNTIFS('ST | Drawing List'!$H:$H,"ST-T2S-6",'ST | Drawing List'!S:S,1)</f>
        <v>0</v>
      </c>
      <c r="CK81" s="616">
        <f>COUNTIFS('ST | Drawing List'!$H:$H,"ST-T2S-6",'ST | Drawing List'!T:T,1)</f>
        <v>0</v>
      </c>
      <c r="CL81" s="616">
        <f>COUNTIFS('ST | Drawing List'!$H:$H,"ST-T2S-6",'ST | Drawing List'!U:U,1)</f>
        <v>0</v>
      </c>
      <c r="CM81" s="343"/>
      <c r="CN81" s="343"/>
      <c r="CO81" s="523">
        <v>0.1</v>
      </c>
      <c r="CP81" s="343"/>
      <c r="CQ81" s="616">
        <f t="shared" si="299"/>
        <v>7.0418159999999994E-3</v>
      </c>
      <c r="CR81" s="618">
        <f t="shared" si="236"/>
        <v>7.0418159999999994E-3</v>
      </c>
      <c r="CS81" s="616">
        <f t="shared" si="300"/>
        <v>7.0418159999999994E-3</v>
      </c>
      <c r="CT81" s="615">
        <f t="shared" si="301"/>
        <v>0</v>
      </c>
      <c r="CU81" s="615">
        <f t="shared" si="302"/>
        <v>0</v>
      </c>
      <c r="CV81" s="615">
        <f t="shared" si="303"/>
        <v>0</v>
      </c>
      <c r="CW81" s="615">
        <f t="shared" si="304"/>
        <v>0</v>
      </c>
      <c r="CX81" s="615">
        <f t="shared" si="305"/>
        <v>0</v>
      </c>
      <c r="CY81" s="339"/>
      <c r="CZ81" s="615">
        <f t="shared" si="306"/>
        <v>0</v>
      </c>
      <c r="DA81" s="615">
        <f t="shared" si="307"/>
        <v>0</v>
      </c>
      <c r="DB81" s="615">
        <f t="shared" si="308"/>
        <v>0</v>
      </c>
      <c r="DC81" s="615">
        <f t="shared" si="309"/>
        <v>0</v>
      </c>
      <c r="DD81" s="615">
        <f t="shared" si="310"/>
        <v>0</v>
      </c>
      <c r="DE81" s="339"/>
      <c r="DF81" s="625">
        <f t="shared" si="311"/>
        <v>1</v>
      </c>
      <c r="DG81" s="625">
        <f t="shared" si="312"/>
        <v>0</v>
      </c>
      <c r="DH81" s="625">
        <f t="shared" si="313"/>
        <v>0</v>
      </c>
      <c r="DI81" s="345"/>
      <c r="DJ81" s="615">
        <f>COUNTIF('MEP | Drawing List'!$H:$H,"MEP-T2S-6S-6")</f>
        <v>1</v>
      </c>
      <c r="DK81" s="616">
        <f>COUNTIFS('MEP | Drawing List'!$H:$H,"MEP-T2S-6S-6",'MEP | Drawing List'!$J:$J,1)</f>
        <v>1</v>
      </c>
      <c r="DL81" s="616">
        <f>COUNTIFS('MEP | Drawing List'!$H:$H,"MEP-T2S-6S-6",'MEP | Drawing List'!$L:$L,1)</f>
        <v>0</v>
      </c>
      <c r="DM81" s="616">
        <f>COUNTIFS('MEP | Drawing List'!$H:$H,"MEP-T2S-6S-6",'MEP | Drawing List'!M:M,1)</f>
        <v>0</v>
      </c>
      <c r="DN81" s="616">
        <f>COUNTIFS('MEP | Drawing List'!$H:$H,"MEP-T2S-6S-6",'MEP | Drawing List'!N:N,1)</f>
        <v>0</v>
      </c>
      <c r="DO81" s="616">
        <f>COUNTIFS('MEP | Drawing List'!$H:$H,"MEP-T2S-6S-6",'MEP | Drawing List'!O:O,1)</f>
        <v>0</v>
      </c>
      <c r="DP81" s="616">
        <f>COUNTIFS('MEP | Drawing List'!$H:$H,"MEP-T2S-6S-6",'MEP | Drawing List'!P:P,1)</f>
        <v>0</v>
      </c>
      <c r="DQ81" s="348"/>
      <c r="DR81" s="616">
        <f>COUNTIFS('MEP | Drawing List'!$H:$H,"MEP-T2S-6S-6",'MEP | Drawing List'!$Q:$Q,1)</f>
        <v>0</v>
      </c>
      <c r="DS81" s="616">
        <f>COUNTIFS('MEP | Drawing List'!$H:$H,"MEP-T2S-6S-6",'MEP | Drawing List'!R:R,1)</f>
        <v>0</v>
      </c>
      <c r="DT81" s="616">
        <f>COUNTIFS('MEP | Drawing List'!$H:$H,"MEP-T2S-6S-6",'MEP | Drawing List'!S:S,1)</f>
        <v>0</v>
      </c>
      <c r="DU81" s="616">
        <f>COUNTIFS('MEP | Drawing List'!$H:$H,"MEP-T2S-6S-6",'MEP | Drawing List'!T:T,1)</f>
        <v>0</v>
      </c>
      <c r="DV81" s="616">
        <f>COUNTIFS('MEP | Drawing List'!$H:$H,"MEP-T2S-6S-6",'MEP | Drawing List'!U:U,1)</f>
        <v>0</v>
      </c>
      <c r="DW81" s="343"/>
      <c r="DX81" s="343"/>
      <c r="DY81" s="523">
        <v>0.35</v>
      </c>
      <c r="DZ81" s="343"/>
      <c r="EA81" s="616">
        <f t="shared" si="314"/>
        <v>9.6530000000000001E-3</v>
      </c>
      <c r="EB81" s="618">
        <f t="shared" si="237"/>
        <v>9.6530000000000001E-3</v>
      </c>
      <c r="EC81" s="616">
        <f t="shared" si="315"/>
        <v>9.6530000000000001E-3</v>
      </c>
      <c r="ED81" s="616">
        <f t="shared" si="316"/>
        <v>0</v>
      </c>
      <c r="EE81" s="616">
        <f t="shared" si="317"/>
        <v>0</v>
      </c>
      <c r="EF81" s="616">
        <f t="shared" si="318"/>
        <v>0</v>
      </c>
      <c r="EG81" s="616">
        <f t="shared" si="319"/>
        <v>0</v>
      </c>
      <c r="EH81" s="616">
        <f t="shared" si="320"/>
        <v>0</v>
      </c>
      <c r="EI81" s="348"/>
      <c r="EJ81" s="620">
        <f t="shared" si="323"/>
        <v>0</v>
      </c>
      <c r="EK81" s="615">
        <f t="shared" si="324"/>
        <v>0</v>
      </c>
      <c r="EL81" s="615">
        <f t="shared" si="325"/>
        <v>0</v>
      </c>
      <c r="EM81" s="615">
        <f t="shared" si="326"/>
        <v>0</v>
      </c>
      <c r="EN81" s="615">
        <f t="shared" si="327"/>
        <v>0</v>
      </c>
      <c r="EO81" s="339"/>
      <c r="EP81" s="627">
        <f t="shared" si="328"/>
        <v>1</v>
      </c>
      <c r="EQ81" s="627">
        <f t="shared" si="329"/>
        <v>0</v>
      </c>
      <c r="ER81" s="627">
        <f t="shared" si="330"/>
        <v>0</v>
      </c>
      <c r="ES81" s="55"/>
      <c r="ET81" s="615">
        <f>COUNTIF('LS | Drawing List'!$H:$H,"LS-T2S-6")</f>
        <v>9</v>
      </c>
      <c r="EU81" s="616">
        <f>COUNTIFS('LS | Drawing List'!$H:$H,"LS-T2S-6",'LS | Drawing List'!$J:$J,1)</f>
        <v>9</v>
      </c>
      <c r="EV81" s="616">
        <f>COUNTIFS('LS | Drawing List'!$H:$H,"LS-T2S-6",'LS | Drawing List'!$L:$L,1)</f>
        <v>0</v>
      </c>
      <c r="EW81" s="616">
        <f>COUNTIFS('LS | Drawing List'!$H:$H,"LS-T2S-6",'LS | Drawing List'!M:M,1)</f>
        <v>0</v>
      </c>
      <c r="EX81" s="616">
        <f>COUNTIFS('LS | Drawing List'!$H:$H,"LS-T2S-6",'LS | Drawing List'!N:N,1)</f>
        <v>0</v>
      </c>
      <c r="EY81" s="616">
        <f>COUNTIFS('LS | Drawing List'!$H:$H,"LS-T2S-6",'LS | Drawing List'!O:O,1)</f>
        <v>0</v>
      </c>
      <c r="EZ81" s="616">
        <f>COUNTIFS('LS | Drawing List'!$H:$H,"LS-T2S-6",'LS | Drawing List'!P:P,1)</f>
        <v>0</v>
      </c>
      <c r="FA81" s="85"/>
      <c r="FB81" s="616">
        <f>COUNTIFS('LS | Drawing List'!$H:$H,"LS-T2S-6",'LS | Drawing List'!$Q:$Q,1)</f>
        <v>0</v>
      </c>
      <c r="FC81" s="616">
        <f>COUNTIFS('LS | Drawing List'!$H:$H,"LS-T2S-6",'LS | Drawing List'!R:R,1)</f>
        <v>0</v>
      </c>
      <c r="FD81" s="616">
        <f>COUNTIFS('LS | Drawing List'!$H:$H,"LS-T2S-6",'LS | Drawing List'!S:S,1)</f>
        <v>0</v>
      </c>
      <c r="FE81" s="616">
        <f>COUNTIFS('LS | Drawing List'!$H:$H,"LS-T2S-6",'LS | Drawing List'!T:T,1)</f>
        <v>0</v>
      </c>
      <c r="FF81" s="616">
        <f>COUNTIFS('LS | Drawing List'!$H:$H,"LS-T2S-6",'LS | Drawing List'!U:U,1)</f>
        <v>0</v>
      </c>
      <c r="FG81" s="48"/>
    </row>
    <row r="82" spans="1:163" ht="14.25" hidden="1" outlineLevel="2">
      <c r="A82" s="48"/>
      <c r="B82" s="90" t="s">
        <v>92</v>
      </c>
      <c r="C82" s="277">
        <v>7</v>
      </c>
      <c r="D82" s="273" t="s">
        <v>67</v>
      </c>
      <c r="E82" s="48"/>
      <c r="F82" s="619">
        <f t="shared" si="265"/>
        <v>0.122987124</v>
      </c>
      <c r="G82" s="619">
        <f t="shared" si="266"/>
        <v>0.122987124</v>
      </c>
      <c r="H82" s="615">
        <f t="shared" si="267"/>
        <v>0</v>
      </c>
      <c r="I82" s="615">
        <f t="shared" si="240"/>
        <v>0</v>
      </c>
      <c r="J82" s="615">
        <f t="shared" si="241"/>
        <v>0</v>
      </c>
      <c r="K82" s="615">
        <f t="shared" si="242"/>
        <v>0</v>
      </c>
      <c r="L82" s="615">
        <f t="shared" si="243"/>
        <v>0</v>
      </c>
      <c r="M82" s="620">
        <f t="shared" si="244"/>
        <v>0</v>
      </c>
      <c r="N82" s="287"/>
      <c r="O82" s="615">
        <f t="shared" si="245"/>
        <v>0</v>
      </c>
      <c r="P82" s="615">
        <f t="shared" si="246"/>
        <v>0</v>
      </c>
      <c r="Q82" s="615">
        <f t="shared" si="247"/>
        <v>0</v>
      </c>
      <c r="R82" s="615">
        <f t="shared" si="248"/>
        <v>0</v>
      </c>
      <c r="S82" s="615">
        <f t="shared" si="249"/>
        <v>0</v>
      </c>
      <c r="T82" s="48"/>
      <c r="U82" s="519">
        <v>0.05</v>
      </c>
      <c r="V82" s="131"/>
      <c r="W82" s="619">
        <f t="shared" si="268"/>
        <v>6.1362000000000007E-2</v>
      </c>
      <c r="X82" s="619">
        <f t="shared" si="234"/>
        <v>6.1362000000000007E-2</v>
      </c>
      <c r="Y82" s="616">
        <f t="shared" si="269"/>
        <v>6.1362000000000007E-2</v>
      </c>
      <c r="Z82" s="616">
        <f t="shared" si="270"/>
        <v>0</v>
      </c>
      <c r="AA82" s="616">
        <f t="shared" si="271"/>
        <v>0</v>
      </c>
      <c r="AB82" s="616">
        <f t="shared" si="272"/>
        <v>0</v>
      </c>
      <c r="AC82" s="616">
        <f t="shared" si="273"/>
        <v>0</v>
      </c>
      <c r="AD82" s="620">
        <f t="shared" si="274"/>
        <v>0</v>
      </c>
      <c r="AE82" s="287"/>
      <c r="AF82" s="615">
        <f t="shared" si="275"/>
        <v>0</v>
      </c>
      <c r="AG82" s="615">
        <f t="shared" si="276"/>
        <v>0</v>
      </c>
      <c r="AH82" s="615">
        <f t="shared" si="277"/>
        <v>0</v>
      </c>
      <c r="AI82" s="615">
        <f t="shared" si="278"/>
        <v>0</v>
      </c>
      <c r="AJ82" s="615">
        <f t="shared" si="279"/>
        <v>0</v>
      </c>
      <c r="AK82" s="339"/>
      <c r="AL82" s="626">
        <f t="shared" si="280"/>
        <v>1</v>
      </c>
      <c r="AM82" s="626">
        <f t="shared" si="281"/>
        <v>0</v>
      </c>
      <c r="AN82" s="625">
        <f t="shared" si="282"/>
        <v>0</v>
      </c>
      <c r="AO82" s="341"/>
      <c r="AP82" s="615">
        <f>COUNTIF('AR | Drawing List'!$H:$H,"AR-T2S-7")</f>
        <v>1</v>
      </c>
      <c r="AQ82" s="616">
        <f>COUNTIFS('AR | Drawing List'!$H:$H,"AR-T2S-7",'AR | Drawing List'!$J:$J,1)</f>
        <v>1</v>
      </c>
      <c r="AR82" s="616">
        <f t="shared" si="238"/>
        <v>0</v>
      </c>
      <c r="AS82" s="616">
        <f>COUNTIFS('AR | Drawing List'!$H:$H,"AR-T2S-7",'AR | Drawing List'!M:M,1)</f>
        <v>0</v>
      </c>
      <c r="AT82" s="616">
        <f>COUNTIFS('AR | Drawing List'!$H:$H,"AR-T2S-7",'AR | Drawing List'!N:N,1)</f>
        <v>0</v>
      </c>
      <c r="AU82" s="616">
        <f>COUNTIFS('AR | Drawing List'!$H:$H,"AR-T2S-7",'AR | Drawing List'!O:O,1)</f>
        <v>0</v>
      </c>
      <c r="AV82" s="616">
        <f>COUNTIFS('AR | Drawing List'!$H:$H,"AR-T2S-7",'AR | Drawing List'!P:P,1)</f>
        <v>0</v>
      </c>
      <c r="AW82" s="328"/>
      <c r="AX82" s="616">
        <f>SUM(AY82:BB82)</f>
        <v>0</v>
      </c>
      <c r="AY82" s="616">
        <f>COUNTIFS('AR | Drawing List'!$H:$H,"AR-T2S-7",'AR | Drawing List'!R:R,1)</f>
        <v>0</v>
      </c>
      <c r="AZ82" s="616">
        <f>COUNTIFS('AR | Drawing List'!$H:$H,"AR-T2S-7",'AR | Drawing List'!S:S,1)</f>
        <v>0</v>
      </c>
      <c r="BA82" s="616">
        <f>COUNTIFS('AR | Drawing List'!$H:$H,"AR-T2S-7",'AR | Drawing List'!T:T,1)</f>
        <v>0</v>
      </c>
      <c r="BB82" s="616">
        <f>COUNTIFS('AR | Drawing List'!$H:$H,"AR-T2S-7",'AR | Drawing List'!U:U,1)</f>
        <v>0</v>
      </c>
      <c r="BC82" s="328"/>
      <c r="BD82" s="328"/>
      <c r="BE82" s="555">
        <v>0.1</v>
      </c>
      <c r="BF82" s="343"/>
      <c r="BG82" s="616">
        <f t="shared" si="284"/>
        <v>5.1062400000000001E-2</v>
      </c>
      <c r="BH82" s="618">
        <f t="shared" si="235"/>
        <v>5.1062400000000001E-2</v>
      </c>
      <c r="BI82" s="616">
        <f t="shared" si="285"/>
        <v>5.1062400000000001E-2</v>
      </c>
      <c r="BJ82" s="616">
        <f t="shared" si="286"/>
        <v>0</v>
      </c>
      <c r="BK82" s="616">
        <f t="shared" si="287"/>
        <v>0</v>
      </c>
      <c r="BL82" s="616">
        <f t="shared" si="288"/>
        <v>0</v>
      </c>
      <c r="BM82" s="616">
        <f t="shared" si="289"/>
        <v>0</v>
      </c>
      <c r="BN82" s="616">
        <f t="shared" si="290"/>
        <v>0</v>
      </c>
      <c r="BO82" s="348"/>
      <c r="BP82" s="615">
        <f t="shared" si="291"/>
        <v>0</v>
      </c>
      <c r="BQ82" s="615">
        <f t="shared" si="292"/>
        <v>0</v>
      </c>
      <c r="BR82" s="615">
        <f t="shared" si="293"/>
        <v>0</v>
      </c>
      <c r="BS82" s="615">
        <f t="shared" si="294"/>
        <v>0</v>
      </c>
      <c r="BT82" s="615">
        <f t="shared" si="295"/>
        <v>0</v>
      </c>
      <c r="BU82" s="339"/>
      <c r="BV82" s="635">
        <f t="shared" si="296"/>
        <v>1</v>
      </c>
      <c r="BW82" s="635">
        <f t="shared" si="297"/>
        <v>0</v>
      </c>
      <c r="BX82" s="635">
        <f t="shared" si="298"/>
        <v>0</v>
      </c>
      <c r="BY82" s="345"/>
      <c r="BZ82" s="615">
        <f>COUNTIF('ST | Drawing List'!$H:$H,"ST-T2S-7")</f>
        <v>4</v>
      </c>
      <c r="CA82" s="616">
        <f>COUNTIFS('ST | Drawing List'!$H:$H,"ST-T2S-7",'ST | Drawing List'!$J:$J,1)</f>
        <v>4</v>
      </c>
      <c r="CB82" s="616">
        <f>COUNTIFS('ST | Drawing List'!$H:$H,"ST-T2S-7",'ST | Drawing List'!$L:$L,1)</f>
        <v>0</v>
      </c>
      <c r="CC82" s="616">
        <f>COUNTIFS('ST | Drawing List'!$H:$H,"ST-T2S-7",'ST | Drawing List'!M:M,1)</f>
        <v>0</v>
      </c>
      <c r="CD82" s="616">
        <f>COUNTIFS('ST | Drawing List'!$H:$H,"ST-T2S-7",'ST | Drawing List'!N:N,1)</f>
        <v>0</v>
      </c>
      <c r="CE82" s="616">
        <f>COUNTIFS('ST | Drawing List'!$H:$H,"ST-T2S-7",'ST | Drawing List'!O:O,1)</f>
        <v>0</v>
      </c>
      <c r="CF82" s="616">
        <f>COUNTIFS('ST | Drawing List'!$H:$H,"ST-T2S-7",'ST | Drawing List'!P:P,1)</f>
        <v>0</v>
      </c>
      <c r="CG82" s="532"/>
      <c r="CH82" s="616">
        <f>COUNTIFS('ST | Drawing List'!$H:$H,"ST-T2S-7",'ST | Drawing List'!$Q:$Q,1)</f>
        <v>0</v>
      </c>
      <c r="CI82" s="616">
        <f>COUNTIFS('ST | Drawing List'!$H:$H,"ST-T2S-7",'ST | Drawing List'!R:R,1)</f>
        <v>0</v>
      </c>
      <c r="CJ82" s="616">
        <f>COUNTIFS('ST | Drawing List'!$H:$H,"ST-T2S-7",'ST | Drawing List'!S:S,1)</f>
        <v>0</v>
      </c>
      <c r="CK82" s="616">
        <f>COUNTIFS('ST | Drawing List'!$H:$H,"ST-T2S-7",'ST | Drawing List'!T:T,1)</f>
        <v>0</v>
      </c>
      <c r="CL82" s="616">
        <f>COUNTIFS('ST | Drawing List'!$H:$H,"ST-T2S-7",'ST | Drawing List'!U:U,1)</f>
        <v>0</v>
      </c>
      <c r="CM82" s="343"/>
      <c r="CN82" s="343"/>
      <c r="CO82" s="523">
        <v>0.15</v>
      </c>
      <c r="CP82" s="343"/>
      <c r="CQ82" s="616">
        <f t="shared" si="299"/>
        <v>1.0562723999999999E-2</v>
      </c>
      <c r="CR82" s="618">
        <f t="shared" si="236"/>
        <v>1.0562723999999999E-2</v>
      </c>
      <c r="CS82" s="616">
        <f t="shared" si="300"/>
        <v>1.0562723999999999E-2</v>
      </c>
      <c r="CT82" s="615">
        <f t="shared" si="301"/>
        <v>0</v>
      </c>
      <c r="CU82" s="615">
        <f t="shared" si="302"/>
        <v>0</v>
      </c>
      <c r="CV82" s="615">
        <f t="shared" si="303"/>
        <v>0</v>
      </c>
      <c r="CW82" s="615">
        <f t="shared" si="304"/>
        <v>0</v>
      </c>
      <c r="CX82" s="615">
        <f t="shared" si="305"/>
        <v>0</v>
      </c>
      <c r="CY82" s="339"/>
      <c r="CZ82" s="615">
        <f t="shared" si="306"/>
        <v>0</v>
      </c>
      <c r="DA82" s="615">
        <f t="shared" si="307"/>
        <v>0</v>
      </c>
      <c r="DB82" s="615">
        <f t="shared" si="308"/>
        <v>0</v>
      </c>
      <c r="DC82" s="615">
        <f t="shared" si="309"/>
        <v>0</v>
      </c>
      <c r="DD82" s="615">
        <f t="shared" si="310"/>
        <v>0</v>
      </c>
      <c r="DE82" s="339"/>
      <c r="DF82" s="625">
        <f t="shared" si="311"/>
        <v>1</v>
      </c>
      <c r="DG82" s="625">
        <f t="shared" si="312"/>
        <v>0</v>
      </c>
      <c r="DH82" s="625">
        <f t="shared" si="313"/>
        <v>0</v>
      </c>
      <c r="DI82" s="345"/>
      <c r="DJ82" s="615">
        <f>COUNTIF('MEP | Drawing List'!$H:$H,"MEP-T2S-6S-7")</f>
        <v>5</v>
      </c>
      <c r="DK82" s="616">
        <f>COUNTIFS('MEP | Drawing List'!$H:$H,"MEP-T2S-6S-7",'MEP | Drawing List'!$J:$J,1)</f>
        <v>5</v>
      </c>
      <c r="DL82" s="616">
        <f>COUNTIFS('MEP | Drawing List'!$H:$H,"MEP-T2S-6S-7",'MEP | Drawing List'!$L:$L,1)</f>
        <v>0</v>
      </c>
      <c r="DM82" s="616">
        <f>COUNTIFS('MEP | Drawing List'!$H:$H,"MEP-T2S-6S-7",'MEP | Drawing List'!M:M,1)</f>
        <v>0</v>
      </c>
      <c r="DN82" s="616">
        <f>COUNTIFS('MEP | Drawing List'!$H:$H,"MEP-T2S-6S-7",'MEP | Drawing List'!N:N,1)</f>
        <v>0</v>
      </c>
      <c r="DO82" s="616">
        <f>COUNTIFS('MEP | Drawing List'!$H:$H,"MEP-T2S-6S-7",'MEP | Drawing List'!O:O,1)</f>
        <v>0</v>
      </c>
      <c r="DP82" s="616">
        <f>COUNTIFS('MEP | Drawing List'!$H:$H,"MEP-T2S-6S-7",'MEP | Drawing List'!P:P,1)</f>
        <v>0</v>
      </c>
      <c r="DQ82" s="348"/>
      <c r="DR82" s="616">
        <f>COUNTIFS('MEP | Drawing List'!$H:$H,"MEP-T2S-6S-7",'MEP | Drawing List'!$Q:$Q,1)</f>
        <v>0</v>
      </c>
      <c r="DS82" s="616">
        <f>COUNTIFS('MEP | Drawing List'!$H:$H,"MEP-T2S-6S-7",'MEP | Drawing List'!R:R,1)</f>
        <v>0</v>
      </c>
      <c r="DT82" s="616">
        <f>COUNTIFS('MEP | Drawing List'!$H:$H,"MEP-T2S-6S-7",'MEP | Drawing List'!S:S,1)</f>
        <v>0</v>
      </c>
      <c r="DU82" s="616">
        <f>COUNTIFS('MEP | Drawing List'!$H:$H,"MEP-T2S-6S-7",'MEP | Drawing List'!T:T,1)</f>
        <v>0</v>
      </c>
      <c r="DV82" s="616">
        <f>COUNTIFS('MEP | Drawing List'!$H:$H,"MEP-T2S-6S-7",'MEP | Drawing List'!U:U,1)</f>
        <v>0</v>
      </c>
      <c r="DW82" s="343"/>
      <c r="DX82" s="343"/>
      <c r="DY82" s="523">
        <v>0</v>
      </c>
      <c r="DZ82" s="343"/>
      <c r="EA82" s="616">
        <f t="shared" si="314"/>
        <v>0</v>
      </c>
      <c r="EB82" s="618">
        <f t="shared" si="237"/>
        <v>0</v>
      </c>
      <c r="EC82" s="616">
        <f t="shared" si="315"/>
        <v>0</v>
      </c>
      <c r="ED82" s="616">
        <f t="shared" si="316"/>
        <v>0</v>
      </c>
      <c r="EE82" s="616">
        <f t="shared" si="317"/>
        <v>0</v>
      </c>
      <c r="EF82" s="616">
        <f t="shared" si="318"/>
        <v>0</v>
      </c>
      <c r="EG82" s="616">
        <f t="shared" si="319"/>
        <v>0</v>
      </c>
      <c r="EH82" s="616">
        <f t="shared" si="320"/>
        <v>0</v>
      </c>
      <c r="EI82" s="348"/>
      <c r="EJ82" s="620">
        <f t="shared" si="323"/>
        <v>0</v>
      </c>
      <c r="EK82" s="615">
        <f t="shared" si="324"/>
        <v>0</v>
      </c>
      <c r="EL82" s="615">
        <f t="shared" si="325"/>
        <v>0</v>
      </c>
      <c r="EM82" s="615">
        <f t="shared" si="326"/>
        <v>0</v>
      </c>
      <c r="EN82" s="615">
        <f t="shared" si="327"/>
        <v>0</v>
      </c>
      <c r="EO82" s="339"/>
      <c r="EP82" s="627">
        <f t="shared" si="328"/>
        <v>0</v>
      </c>
      <c r="EQ82" s="627">
        <f t="shared" si="329"/>
        <v>0</v>
      </c>
      <c r="ER82" s="627">
        <f t="shared" si="330"/>
        <v>0</v>
      </c>
      <c r="ES82" s="55"/>
      <c r="ET82" s="615">
        <f>COUNTIF('LS | Drawing List'!$H:$H,"LS-T2S-7")</f>
        <v>0</v>
      </c>
      <c r="EU82" s="616">
        <f>COUNTIFS('LS | Drawing List'!$H:$H,"LS-T2S-7",'LS | Drawing List'!$J:$J,1)</f>
        <v>0</v>
      </c>
      <c r="EV82" s="616">
        <f>COUNTIFS('LS | Drawing List'!$H:$H,"LS-T2S-7",'LS | Drawing List'!$L:$L,1)</f>
        <v>0</v>
      </c>
      <c r="EW82" s="616">
        <f>COUNTIFS('LS | Drawing List'!$H:$H,"LS-T2S-7",'LS | Drawing List'!M:M,1)</f>
        <v>0</v>
      </c>
      <c r="EX82" s="616">
        <f>COUNTIFS('LS | Drawing List'!$H:$H,"LS-T2S-7",'LS | Drawing List'!N:N,1)</f>
        <v>0</v>
      </c>
      <c r="EY82" s="616">
        <f>COUNTIFS('LS | Drawing List'!$H:$H,"LS-T2S-7",'LS | Drawing List'!O:O,1)</f>
        <v>0</v>
      </c>
      <c r="EZ82" s="616">
        <f>COUNTIFS('LS | Drawing List'!$H:$H,"LS-T2S-7",'LS | Drawing List'!P:P,1)</f>
        <v>0</v>
      </c>
      <c r="FA82" s="85"/>
      <c r="FB82" s="616">
        <f>COUNTIFS('LS | Drawing List'!$H:$H,"LS-T2S-7",'LS | Drawing List'!$Q:$Q,1)</f>
        <v>0</v>
      </c>
      <c r="FC82" s="616">
        <f>COUNTIFS('LS | Drawing List'!$H:$H,"LS-T2S-7",'LS | Drawing List'!R:R,1)</f>
        <v>0</v>
      </c>
      <c r="FD82" s="616">
        <f>COUNTIFS('LS | Drawing List'!$H:$H,"LS-T2S-7",'LS | Drawing List'!S:S,1)</f>
        <v>0</v>
      </c>
      <c r="FE82" s="616">
        <f>COUNTIFS('LS | Drawing List'!$H:$H,"LS-T2S-7",'LS | Drawing List'!T:T,1)</f>
        <v>0</v>
      </c>
      <c r="FF82" s="616">
        <f>COUNTIFS('LS | Drawing List'!$H:$H,"LS-T2S-7",'LS | Drawing List'!U:U,1)</f>
        <v>0</v>
      </c>
      <c r="FG82" s="48"/>
    </row>
    <row r="83" spans="1:163" ht="14.25" hidden="1" outlineLevel="2">
      <c r="A83" s="48"/>
      <c r="B83" s="90" t="s">
        <v>93</v>
      </c>
      <c r="C83" s="277">
        <v>8</v>
      </c>
      <c r="D83" s="273" t="s">
        <v>69</v>
      </c>
      <c r="E83" s="48"/>
      <c r="F83" s="619">
        <f t="shared" si="265"/>
        <v>0.122987124</v>
      </c>
      <c r="G83" s="619">
        <f t="shared" si="266"/>
        <v>0.122987124</v>
      </c>
      <c r="H83" s="615">
        <f t="shared" si="267"/>
        <v>0</v>
      </c>
      <c r="I83" s="615">
        <f t="shared" si="240"/>
        <v>0</v>
      </c>
      <c r="J83" s="615">
        <f t="shared" si="241"/>
        <v>0</v>
      </c>
      <c r="K83" s="615">
        <f t="shared" si="242"/>
        <v>0</v>
      </c>
      <c r="L83" s="615">
        <f t="shared" si="243"/>
        <v>0</v>
      </c>
      <c r="M83" s="620">
        <f t="shared" si="244"/>
        <v>0</v>
      </c>
      <c r="N83" s="287"/>
      <c r="O83" s="615">
        <f t="shared" si="245"/>
        <v>0</v>
      </c>
      <c r="P83" s="615">
        <f t="shared" si="246"/>
        <v>0</v>
      </c>
      <c r="Q83" s="615">
        <f t="shared" si="247"/>
        <v>0</v>
      </c>
      <c r="R83" s="615">
        <f t="shared" si="248"/>
        <v>0</v>
      </c>
      <c r="S83" s="615">
        <f t="shared" si="249"/>
        <v>0</v>
      </c>
      <c r="T83" s="48"/>
      <c r="U83" s="519">
        <v>0.05</v>
      </c>
      <c r="V83" s="131"/>
      <c r="W83" s="619">
        <f t="shared" si="268"/>
        <v>6.1362000000000007E-2</v>
      </c>
      <c r="X83" s="619">
        <f t="shared" si="234"/>
        <v>6.1362000000000007E-2</v>
      </c>
      <c r="Y83" s="616">
        <f t="shared" si="269"/>
        <v>6.1362000000000007E-2</v>
      </c>
      <c r="Z83" s="616">
        <f t="shared" si="270"/>
        <v>0</v>
      </c>
      <c r="AA83" s="616">
        <f t="shared" si="271"/>
        <v>0</v>
      </c>
      <c r="AB83" s="616">
        <f t="shared" si="272"/>
        <v>0</v>
      </c>
      <c r="AC83" s="616">
        <f t="shared" si="273"/>
        <v>0</v>
      </c>
      <c r="AD83" s="620">
        <f t="shared" si="274"/>
        <v>0</v>
      </c>
      <c r="AE83" s="287"/>
      <c r="AF83" s="615">
        <f t="shared" si="275"/>
        <v>0</v>
      </c>
      <c r="AG83" s="615">
        <f t="shared" si="276"/>
        <v>0</v>
      </c>
      <c r="AH83" s="615">
        <f t="shared" si="277"/>
        <v>0</v>
      </c>
      <c r="AI83" s="615">
        <f t="shared" si="278"/>
        <v>0</v>
      </c>
      <c r="AJ83" s="615">
        <f t="shared" si="279"/>
        <v>0</v>
      </c>
      <c r="AK83" s="339"/>
      <c r="AL83" s="626">
        <f t="shared" si="280"/>
        <v>1</v>
      </c>
      <c r="AM83" s="626">
        <f t="shared" si="281"/>
        <v>0</v>
      </c>
      <c r="AN83" s="625">
        <f t="shared" si="282"/>
        <v>0</v>
      </c>
      <c r="AO83" s="341"/>
      <c r="AP83" s="615">
        <f>COUNTIF('AR | Drawing List'!$H:$H,"AR-T2S-8")</f>
        <v>1</v>
      </c>
      <c r="AQ83" s="616">
        <f>COUNTIFS('AR | Drawing List'!$H:$H,"AR-T2S-8",'AR | Drawing List'!$J:$J,1)</f>
        <v>1</v>
      </c>
      <c r="AR83" s="616">
        <f t="shared" si="238"/>
        <v>0</v>
      </c>
      <c r="AS83" s="616">
        <f>COUNTIFS('AR | Drawing List'!$H:$H,"AR-T2S-8",'AR | Drawing List'!M:M,1)</f>
        <v>0</v>
      </c>
      <c r="AT83" s="616">
        <f>COUNTIFS('AR | Drawing List'!$H:$H,"AR-T2S-8",'AR | Drawing List'!N:N,1)</f>
        <v>0</v>
      </c>
      <c r="AU83" s="616">
        <f>COUNTIFS('AR | Drawing List'!$H:$H,"AR-T2S-8",'AR | Drawing List'!O:O,1)</f>
        <v>0</v>
      </c>
      <c r="AV83" s="616">
        <f>COUNTIFS('AR | Drawing List'!$H:$H,"AR-T2S-8",'AR | Drawing List'!P:P,1)</f>
        <v>0</v>
      </c>
      <c r="AW83" s="328"/>
      <c r="AX83" s="616">
        <f t="shared" ref="AX83:AX84" si="331">SUM(AY83:BB83)</f>
        <v>0</v>
      </c>
      <c r="AY83" s="616">
        <f>COUNTIFS('AR | Drawing List'!$H:$H,"AR-T2S-8",'AR | Drawing List'!R:R,1)</f>
        <v>0</v>
      </c>
      <c r="AZ83" s="616">
        <f>COUNTIFS('AR | Drawing List'!$H:$H,"AR-T2S-8",'AR | Drawing List'!S:S,1)</f>
        <v>0</v>
      </c>
      <c r="BA83" s="616">
        <f>COUNTIFS('AR | Drawing List'!$H:$H,"AR-T2S-8",'AR | Drawing List'!T:T,1)</f>
        <v>0</v>
      </c>
      <c r="BB83" s="616">
        <f>COUNTIFS('AR | Drawing List'!$H:$H,"AR-T2S-8",'AR | Drawing List'!U:U,1)</f>
        <v>0</v>
      </c>
      <c r="BC83" s="359"/>
      <c r="BD83" s="359"/>
      <c r="BE83" s="555">
        <v>0.1</v>
      </c>
      <c r="BF83" s="343"/>
      <c r="BG83" s="616">
        <f t="shared" si="284"/>
        <v>5.1062400000000001E-2</v>
      </c>
      <c r="BH83" s="618">
        <f t="shared" si="235"/>
        <v>5.1062400000000001E-2</v>
      </c>
      <c r="BI83" s="616">
        <f t="shared" si="285"/>
        <v>5.1062400000000001E-2</v>
      </c>
      <c r="BJ83" s="616">
        <f t="shared" si="286"/>
        <v>0</v>
      </c>
      <c r="BK83" s="616">
        <f t="shared" si="287"/>
        <v>0</v>
      </c>
      <c r="BL83" s="616">
        <f t="shared" si="288"/>
        <v>0</v>
      </c>
      <c r="BM83" s="616">
        <f t="shared" si="289"/>
        <v>0</v>
      </c>
      <c r="BN83" s="616">
        <f t="shared" si="290"/>
        <v>0</v>
      </c>
      <c r="BO83" s="348"/>
      <c r="BP83" s="615">
        <f t="shared" si="291"/>
        <v>0</v>
      </c>
      <c r="BQ83" s="615">
        <f t="shared" si="292"/>
        <v>0</v>
      </c>
      <c r="BR83" s="615">
        <f t="shared" si="293"/>
        <v>0</v>
      </c>
      <c r="BS83" s="615">
        <f t="shared" si="294"/>
        <v>0</v>
      </c>
      <c r="BT83" s="615">
        <f t="shared" si="295"/>
        <v>0</v>
      </c>
      <c r="BU83" s="339"/>
      <c r="BV83" s="635">
        <f t="shared" si="296"/>
        <v>1</v>
      </c>
      <c r="BW83" s="635">
        <f t="shared" si="297"/>
        <v>0</v>
      </c>
      <c r="BX83" s="635">
        <f t="shared" si="298"/>
        <v>0</v>
      </c>
      <c r="BY83" s="345"/>
      <c r="BZ83" s="615">
        <f>COUNTIF('ST | Drawing List'!$H:$H,"ST-T2S-8")</f>
        <v>6</v>
      </c>
      <c r="CA83" s="616">
        <f>COUNTIFS('ST | Drawing List'!$H:$H,"ST-T2S-8",'ST | Drawing List'!$J:$J,1)</f>
        <v>6</v>
      </c>
      <c r="CB83" s="616">
        <f>COUNTIFS('ST | Drawing List'!$H:$H,"ST-T2S-8",'ST | Drawing List'!$L:$L,1)</f>
        <v>0</v>
      </c>
      <c r="CC83" s="616">
        <f>COUNTIFS('ST | Drawing List'!$H:$H,"ST-T2S-8",'ST | Drawing List'!M:M,1)</f>
        <v>0</v>
      </c>
      <c r="CD83" s="616">
        <f>COUNTIFS('ST | Drawing List'!$H:$H,"ST-T2S-8",'ST | Drawing List'!N:N,1)</f>
        <v>0</v>
      </c>
      <c r="CE83" s="616">
        <f>COUNTIFS('ST | Drawing List'!$H:$H,"ST-T2S-8",'ST | Drawing List'!O:O,1)</f>
        <v>0</v>
      </c>
      <c r="CF83" s="616">
        <f>COUNTIFS('ST | Drawing List'!$H:$H,"ST-T2S-8",'ST | Drawing List'!P:P,1)</f>
        <v>0</v>
      </c>
      <c r="CG83" s="532"/>
      <c r="CH83" s="616">
        <f>COUNTIFS('ST | Drawing List'!$H:$H,"ST-T2S-8",'ST | Drawing List'!$Q:$Q,1)</f>
        <v>0</v>
      </c>
      <c r="CI83" s="616">
        <f>COUNTIFS('ST | Drawing List'!$H:$H,"ST-T2S-8",'ST | Drawing List'!R:R,1)</f>
        <v>0</v>
      </c>
      <c r="CJ83" s="616">
        <f>COUNTIFS('ST | Drawing List'!$H:$H,"ST-T2S-8",'ST | Drawing List'!S:S,1)</f>
        <v>0</v>
      </c>
      <c r="CK83" s="616">
        <f>COUNTIFS('ST | Drawing List'!$H:$H,"ST-T2S-8",'ST | Drawing List'!T:T,1)</f>
        <v>0</v>
      </c>
      <c r="CL83" s="616">
        <f>COUNTIFS('ST | Drawing List'!$H:$H,"ST-T2S-8",'ST | Drawing List'!U:U,1)</f>
        <v>0</v>
      </c>
      <c r="CM83" s="343"/>
      <c r="CN83" s="343"/>
      <c r="CO83" s="523">
        <v>0.15</v>
      </c>
      <c r="CP83" s="343"/>
      <c r="CQ83" s="616">
        <f t="shared" si="299"/>
        <v>1.0562723999999999E-2</v>
      </c>
      <c r="CR83" s="618">
        <f t="shared" si="236"/>
        <v>1.0562723999999999E-2</v>
      </c>
      <c r="CS83" s="616">
        <f t="shared" si="300"/>
        <v>1.0562723999999999E-2</v>
      </c>
      <c r="CT83" s="615">
        <f t="shared" si="301"/>
        <v>0</v>
      </c>
      <c r="CU83" s="615">
        <f t="shared" si="302"/>
        <v>0</v>
      </c>
      <c r="CV83" s="615">
        <f t="shared" si="303"/>
        <v>0</v>
      </c>
      <c r="CW83" s="615">
        <f t="shared" si="304"/>
        <v>0</v>
      </c>
      <c r="CX83" s="615">
        <f t="shared" si="305"/>
        <v>0</v>
      </c>
      <c r="CY83" s="339"/>
      <c r="CZ83" s="615">
        <f t="shared" si="306"/>
        <v>0</v>
      </c>
      <c r="DA83" s="615">
        <f t="shared" si="307"/>
        <v>0</v>
      </c>
      <c r="DB83" s="615">
        <f t="shared" si="308"/>
        <v>0</v>
      </c>
      <c r="DC83" s="615">
        <f t="shared" si="309"/>
        <v>0</v>
      </c>
      <c r="DD83" s="615">
        <f t="shared" si="310"/>
        <v>0</v>
      </c>
      <c r="DE83" s="339"/>
      <c r="DF83" s="625">
        <f t="shared" si="311"/>
        <v>1</v>
      </c>
      <c r="DG83" s="625">
        <f t="shared" si="312"/>
        <v>0</v>
      </c>
      <c r="DH83" s="625">
        <f t="shared" si="313"/>
        <v>0</v>
      </c>
      <c r="DI83" s="345"/>
      <c r="DJ83" s="615">
        <f>COUNTIF('MEP | Drawing List'!$H:$H,"MEP-T2S-6S-8")</f>
        <v>3</v>
      </c>
      <c r="DK83" s="616">
        <f>COUNTIFS('MEP | Drawing List'!$H:$H,"MEP-T2S-6S-8",'MEP | Drawing List'!$J:$J,1)</f>
        <v>3</v>
      </c>
      <c r="DL83" s="616">
        <f>COUNTIFS('MEP | Drawing List'!$H:$H,"MEP-T2S-6S-8",'MEP | Drawing List'!$L:$L,1)</f>
        <v>0</v>
      </c>
      <c r="DM83" s="616">
        <f>COUNTIFS('MEP | Drawing List'!$H:$H,"MEP-T2S-6S-8",'MEP | Drawing List'!M:M,1)</f>
        <v>0</v>
      </c>
      <c r="DN83" s="616">
        <f>COUNTIFS('MEP | Drawing List'!$H:$H,"MEP-T2S-6S-8",'MEP | Drawing List'!N:N,1)</f>
        <v>0</v>
      </c>
      <c r="DO83" s="616">
        <f>COUNTIFS('MEP | Drawing List'!$H:$H,"MEP-T2S-6S-8",'MEP | Drawing List'!O:O,1)</f>
        <v>0</v>
      </c>
      <c r="DP83" s="616">
        <f>COUNTIFS('MEP | Drawing List'!$H:$H,"MEP-T2S-6S-8",'MEP | Drawing List'!P:P,1)</f>
        <v>0</v>
      </c>
      <c r="DQ83" s="348"/>
      <c r="DR83" s="616">
        <f>COUNTIFS('MEP | Drawing List'!$H:$H,"MEP-T2S-6S-8",'MEP | Drawing List'!$Q:$Q,1)</f>
        <v>0</v>
      </c>
      <c r="DS83" s="616">
        <f>COUNTIFS('MEP | Drawing List'!$H:$H,"MEP-T2S-6S-8",'MEP | Drawing List'!R:R,1)</f>
        <v>0</v>
      </c>
      <c r="DT83" s="616">
        <f>COUNTIFS('MEP | Drawing List'!$H:$H,"MEP-T2S-6S-8",'MEP | Drawing List'!S:S,1)</f>
        <v>0</v>
      </c>
      <c r="DU83" s="616">
        <f>COUNTIFS('MEP | Drawing List'!$H:$H,"MEP-T2S-6S-8",'MEP | Drawing List'!T:T,1)</f>
        <v>0</v>
      </c>
      <c r="DV83" s="616">
        <f>COUNTIFS('MEP | Drawing List'!$H:$H,"MEP-T2S-6S-8",'MEP | Drawing List'!U:U,1)</f>
        <v>0</v>
      </c>
      <c r="DW83" s="343"/>
      <c r="DX83" s="343"/>
      <c r="DY83" s="523">
        <v>0</v>
      </c>
      <c r="DZ83" s="343"/>
      <c r="EA83" s="616">
        <f t="shared" si="314"/>
        <v>0</v>
      </c>
      <c r="EB83" s="618">
        <f t="shared" si="237"/>
        <v>0</v>
      </c>
      <c r="EC83" s="616">
        <f t="shared" si="315"/>
        <v>0</v>
      </c>
      <c r="ED83" s="616">
        <f t="shared" si="316"/>
        <v>0</v>
      </c>
      <c r="EE83" s="616">
        <f t="shared" si="317"/>
        <v>0</v>
      </c>
      <c r="EF83" s="616">
        <f t="shared" si="318"/>
        <v>0</v>
      </c>
      <c r="EG83" s="616">
        <f t="shared" si="319"/>
        <v>0</v>
      </c>
      <c r="EH83" s="616">
        <f t="shared" si="320"/>
        <v>0</v>
      </c>
      <c r="EI83" s="348"/>
      <c r="EJ83" s="620">
        <f t="shared" si="323"/>
        <v>0</v>
      </c>
      <c r="EK83" s="615">
        <f t="shared" si="324"/>
        <v>0</v>
      </c>
      <c r="EL83" s="615">
        <f t="shared" si="325"/>
        <v>0</v>
      </c>
      <c r="EM83" s="615">
        <f t="shared" si="326"/>
        <v>0</v>
      </c>
      <c r="EN83" s="615">
        <f t="shared" si="327"/>
        <v>0</v>
      </c>
      <c r="EO83" s="339"/>
      <c r="EP83" s="627">
        <f t="shared" si="328"/>
        <v>0</v>
      </c>
      <c r="EQ83" s="627">
        <f t="shared" si="329"/>
        <v>0</v>
      </c>
      <c r="ER83" s="627">
        <f t="shared" si="330"/>
        <v>0</v>
      </c>
      <c r="ES83" s="55"/>
      <c r="ET83" s="615">
        <f>COUNTIF('LS | Drawing List'!$H:$H,"LS-T2S-8")</f>
        <v>0</v>
      </c>
      <c r="EU83" s="616">
        <f>COUNTIFS('LS | Drawing List'!$H:$H,"LS-T2S-8",'LS | Drawing List'!$J:$J,1)</f>
        <v>0</v>
      </c>
      <c r="EV83" s="616">
        <f>COUNTIFS('LS | Drawing List'!$H:$H,"LS-T2S-8",'LS | Drawing List'!$L:$L,1)</f>
        <v>0</v>
      </c>
      <c r="EW83" s="616">
        <f>COUNTIFS('LS | Drawing List'!$H:$H,"LS-T2S-8",'LS | Drawing List'!M:M,1)</f>
        <v>0</v>
      </c>
      <c r="EX83" s="616">
        <f>COUNTIFS('LS | Drawing List'!$H:$H,"LS-T2S-8",'LS | Drawing List'!N:N,1)</f>
        <v>0</v>
      </c>
      <c r="EY83" s="616">
        <f>COUNTIFS('LS | Drawing List'!$H:$H,"LS-T2S-8",'LS | Drawing List'!O:O,1)</f>
        <v>0</v>
      </c>
      <c r="EZ83" s="616">
        <f>COUNTIFS('LS | Drawing List'!$H:$H,"LS-T2S-8",'LS | Drawing List'!P:P,1)</f>
        <v>0</v>
      </c>
      <c r="FA83" s="85"/>
      <c r="FB83" s="616">
        <f>COUNTIFS('LS | Drawing List'!$H:$H,"LS-T2S-8",'LS | Drawing List'!$Q:$Q,1)</f>
        <v>0</v>
      </c>
      <c r="FC83" s="616">
        <f>COUNTIFS('LS | Drawing List'!$H:$H,"LS-T2S-8",'LS | Drawing List'!R:R,1)</f>
        <v>0</v>
      </c>
      <c r="FD83" s="616">
        <f>COUNTIFS('LS | Drawing List'!$H:$H,"LS-T2S-8",'LS | Drawing List'!S:S,1)</f>
        <v>0</v>
      </c>
      <c r="FE83" s="616">
        <f>COUNTIFS('LS | Drawing List'!$H:$H,"LS-T2S-8",'LS | Drawing List'!T:T,1)</f>
        <v>0</v>
      </c>
      <c r="FF83" s="616">
        <f>COUNTIFS('LS | Drawing List'!$H:$H,"LS-T2S-8",'LS | Drawing List'!U:U,1)</f>
        <v>0</v>
      </c>
      <c r="FG83" s="48"/>
    </row>
    <row r="84" spans="1:163" ht="14.25" hidden="1" outlineLevel="2">
      <c r="A84" s="48"/>
      <c r="B84" s="90" t="s">
        <v>94</v>
      </c>
      <c r="C84" s="277">
        <v>9</v>
      </c>
      <c r="D84" s="272" t="s">
        <v>71</v>
      </c>
      <c r="E84" s="48"/>
      <c r="F84" s="619">
        <f t="shared" si="265"/>
        <v>6.6878000000000007E-2</v>
      </c>
      <c r="G84" s="619">
        <f t="shared" si="266"/>
        <v>6.6878000000000007E-2</v>
      </c>
      <c r="H84" s="615">
        <f t="shared" si="267"/>
        <v>0</v>
      </c>
      <c r="I84" s="615">
        <f t="shared" si="240"/>
        <v>5.5160000000000009E-3</v>
      </c>
      <c r="J84" s="615">
        <f t="shared" si="241"/>
        <v>5.5160000000000009E-3</v>
      </c>
      <c r="K84" s="615">
        <f t="shared" si="242"/>
        <v>0</v>
      </c>
      <c r="L84" s="615">
        <f t="shared" si="243"/>
        <v>0</v>
      </c>
      <c r="M84" s="620">
        <f t="shared" si="244"/>
        <v>0</v>
      </c>
      <c r="N84" s="287"/>
      <c r="O84" s="615">
        <f t="shared" si="245"/>
        <v>5.5160000000000009E-3</v>
      </c>
      <c r="P84" s="615">
        <f t="shared" si="246"/>
        <v>0</v>
      </c>
      <c r="Q84" s="615">
        <f t="shared" si="247"/>
        <v>5.5160000000000009E-3</v>
      </c>
      <c r="R84" s="615">
        <f t="shared" si="248"/>
        <v>0</v>
      </c>
      <c r="S84" s="615">
        <f t="shared" si="249"/>
        <v>0</v>
      </c>
      <c r="T84" s="48"/>
      <c r="U84" s="519">
        <v>0.05</v>
      </c>
      <c r="V84" s="131"/>
      <c r="W84" s="619">
        <f t="shared" si="268"/>
        <v>6.1362000000000007E-2</v>
      </c>
      <c r="X84" s="619">
        <f t="shared" si="234"/>
        <v>6.1362000000000007E-2</v>
      </c>
      <c r="Y84" s="616">
        <f t="shared" si="269"/>
        <v>6.1362000000000007E-2</v>
      </c>
      <c r="Z84" s="616">
        <f t="shared" si="270"/>
        <v>0</v>
      </c>
      <c r="AA84" s="616">
        <f t="shared" si="271"/>
        <v>0</v>
      </c>
      <c r="AB84" s="616">
        <f t="shared" si="272"/>
        <v>0</v>
      </c>
      <c r="AC84" s="616">
        <f t="shared" si="273"/>
        <v>0</v>
      </c>
      <c r="AD84" s="620">
        <f t="shared" si="274"/>
        <v>0</v>
      </c>
      <c r="AE84" s="287"/>
      <c r="AF84" s="615">
        <f t="shared" si="275"/>
        <v>0</v>
      </c>
      <c r="AG84" s="615">
        <f t="shared" si="276"/>
        <v>0</v>
      </c>
      <c r="AH84" s="615">
        <f t="shared" si="277"/>
        <v>0</v>
      </c>
      <c r="AI84" s="615">
        <f t="shared" si="278"/>
        <v>0</v>
      </c>
      <c r="AJ84" s="615">
        <f t="shared" si="279"/>
        <v>0</v>
      </c>
      <c r="AK84" s="339"/>
      <c r="AL84" s="626">
        <f t="shared" si="280"/>
        <v>1</v>
      </c>
      <c r="AM84" s="626">
        <f t="shared" si="281"/>
        <v>0</v>
      </c>
      <c r="AN84" s="625">
        <f t="shared" si="282"/>
        <v>0</v>
      </c>
      <c r="AO84" s="341"/>
      <c r="AP84" s="615">
        <f>COUNTIF('AR | Drawing List'!$H:$H,"AR-T2S-9")</f>
        <v>3</v>
      </c>
      <c r="AQ84" s="616">
        <f>COUNTIFS('AR | Drawing List'!$H:$H,"AR-T2S-9",'AR | Drawing List'!$J:$J,1)</f>
        <v>3</v>
      </c>
      <c r="AR84" s="616">
        <f t="shared" si="238"/>
        <v>0</v>
      </c>
      <c r="AS84" s="616">
        <f>COUNTIFS('AR | Drawing List'!$H:$H,"AR-T2S-9",'AR | Drawing List'!M:M,1)</f>
        <v>0</v>
      </c>
      <c r="AT84" s="616">
        <f>COUNTIFS('AR | Drawing List'!$H:$H,"AR-T2S-9",'AR | Drawing List'!N:N,1)</f>
        <v>0</v>
      </c>
      <c r="AU84" s="616">
        <f>COUNTIFS('AR | Drawing List'!$H:$H,"AR-T2S-9",'AR | Drawing List'!O:O,1)</f>
        <v>0</v>
      </c>
      <c r="AV84" s="616">
        <f>COUNTIFS('AR | Drawing List'!$H:$H,"AR-T2S-9",'AR | Drawing List'!P:P,1)</f>
        <v>0</v>
      </c>
      <c r="AW84" s="328"/>
      <c r="AX84" s="616">
        <f t="shared" si="331"/>
        <v>0</v>
      </c>
      <c r="AY84" s="616">
        <f>COUNTIFS('AR | Drawing List'!$H:$H,"AR-T2S-9",'AR | Drawing List'!R:R,1)</f>
        <v>0</v>
      </c>
      <c r="AZ84" s="616">
        <f>COUNTIFS('AR | Drawing List'!$H:$H,"AR-T2S-9",'AR | Drawing List'!S:S,1)</f>
        <v>0</v>
      </c>
      <c r="BA84" s="616">
        <f>COUNTIFS('AR | Drawing List'!$H:$H,"AR-T2S-9",'AR | Drawing List'!T:T,1)</f>
        <v>0</v>
      </c>
      <c r="BB84" s="616">
        <f>COUNTIFS('AR | Drawing List'!$H:$H,"AR-T2S-9",'AR | Drawing List'!U:U,1)</f>
        <v>0</v>
      </c>
      <c r="BC84" s="359"/>
      <c r="BD84" s="359"/>
      <c r="BE84" s="666">
        <v>0</v>
      </c>
      <c r="BF84" s="343"/>
      <c r="BG84" s="616">
        <f t="shared" si="284"/>
        <v>0</v>
      </c>
      <c r="BH84" s="618">
        <f t="shared" si="235"/>
        <v>0</v>
      </c>
      <c r="BI84" s="616">
        <f t="shared" si="285"/>
        <v>0</v>
      </c>
      <c r="BJ84" s="616">
        <f t="shared" si="286"/>
        <v>0</v>
      </c>
      <c r="BK84" s="616">
        <f t="shared" si="287"/>
        <v>0</v>
      </c>
      <c r="BL84" s="616">
        <f t="shared" si="288"/>
        <v>0</v>
      </c>
      <c r="BM84" s="616">
        <f t="shared" si="289"/>
        <v>0</v>
      </c>
      <c r="BN84" s="616">
        <f t="shared" si="290"/>
        <v>0</v>
      </c>
      <c r="BO84" s="348"/>
      <c r="BP84" s="615">
        <f t="shared" si="291"/>
        <v>0</v>
      </c>
      <c r="BQ84" s="615">
        <f t="shared" si="292"/>
        <v>0</v>
      </c>
      <c r="BR84" s="615">
        <f t="shared" si="293"/>
        <v>0</v>
      </c>
      <c r="BS84" s="615">
        <f t="shared" si="294"/>
        <v>0</v>
      </c>
      <c r="BT84" s="615">
        <f t="shared" si="295"/>
        <v>0</v>
      </c>
      <c r="BU84" s="339"/>
      <c r="BV84" s="635">
        <f t="shared" si="296"/>
        <v>0</v>
      </c>
      <c r="BW84" s="635">
        <f t="shared" si="297"/>
        <v>0</v>
      </c>
      <c r="BX84" s="635">
        <f t="shared" si="298"/>
        <v>0</v>
      </c>
      <c r="BY84" s="347"/>
      <c r="BZ84" s="615">
        <f>COUNTIF('ST | Drawing List'!$H:$H,"ST-T2S-9")</f>
        <v>0</v>
      </c>
      <c r="CA84" s="616">
        <f>COUNTIFS('ST | Drawing List'!$H:$H,"ST-T2S-9",'ST | Drawing List'!$J:$J,1)</f>
        <v>0</v>
      </c>
      <c r="CB84" s="616">
        <f>COUNTIFS('ST | Drawing List'!$H:$H,"ST-T2S-9",'ST | Drawing List'!$L:$L,1)</f>
        <v>0</v>
      </c>
      <c r="CC84" s="616">
        <f>COUNTIFS('ST | Drawing List'!$H:$H,"ST-T2S-9",'ST | Drawing List'!M:M,1)</f>
        <v>0</v>
      </c>
      <c r="CD84" s="616">
        <f>COUNTIFS('ST | Drawing List'!$H:$H,"ST-T2S-9",'ST | Drawing List'!N:N,1)</f>
        <v>0</v>
      </c>
      <c r="CE84" s="616">
        <f>COUNTIFS('ST | Drawing List'!$H:$H,"ST-T2S-9",'ST | Drawing List'!O:O,1)</f>
        <v>0</v>
      </c>
      <c r="CF84" s="616">
        <f>COUNTIFS('ST | Drawing List'!$H:$H,"ST-T2S-9",'ST | Drawing List'!P:P,1)</f>
        <v>0</v>
      </c>
      <c r="CG84" s="532"/>
      <c r="CH84" s="616">
        <f>COUNTIFS('ST | Drawing List'!$H:$H,"ST-T2S-9",'ST | Drawing List'!$Q:$Q,1)</f>
        <v>0</v>
      </c>
      <c r="CI84" s="616">
        <f>COUNTIFS('ST | Drawing List'!$H:$H,"ST-T2S-9",'ST | Drawing List'!R:R,1)</f>
        <v>0</v>
      </c>
      <c r="CJ84" s="616">
        <f>COUNTIFS('ST | Drawing List'!$H:$H,"ST-T2S-9",'ST | Drawing List'!S:S,1)</f>
        <v>0</v>
      </c>
      <c r="CK84" s="616">
        <f>COUNTIFS('ST | Drawing List'!$H:$H,"ST-T2S-9",'ST | Drawing List'!T:T,1)</f>
        <v>0</v>
      </c>
      <c r="CL84" s="616">
        <f>COUNTIFS('ST | Drawing List'!$H:$H,"ST-T2S-9",'ST | Drawing List'!U:U,1)</f>
        <v>0</v>
      </c>
      <c r="CM84" s="343"/>
      <c r="CN84" s="343"/>
      <c r="CO84" s="666">
        <v>0</v>
      </c>
      <c r="CP84" s="343"/>
      <c r="CQ84" s="616">
        <f t="shared" si="299"/>
        <v>0</v>
      </c>
      <c r="CR84" s="618">
        <f t="shared" si="236"/>
        <v>0</v>
      </c>
      <c r="CS84" s="616">
        <f t="shared" si="300"/>
        <v>0</v>
      </c>
      <c r="CT84" s="615">
        <f t="shared" si="301"/>
        <v>0</v>
      </c>
      <c r="CU84" s="615">
        <f t="shared" si="302"/>
        <v>0</v>
      </c>
      <c r="CV84" s="615">
        <f t="shared" si="303"/>
        <v>0</v>
      </c>
      <c r="CW84" s="615">
        <f t="shared" si="304"/>
        <v>0</v>
      </c>
      <c r="CX84" s="615">
        <f t="shared" si="305"/>
        <v>0</v>
      </c>
      <c r="CY84" s="339"/>
      <c r="CZ84" s="615">
        <f t="shared" si="306"/>
        <v>0</v>
      </c>
      <c r="DA84" s="615">
        <f t="shared" si="307"/>
        <v>0</v>
      </c>
      <c r="DB84" s="615">
        <f t="shared" si="308"/>
        <v>0</v>
      </c>
      <c r="DC84" s="615">
        <f t="shared" si="309"/>
        <v>0</v>
      </c>
      <c r="DD84" s="615">
        <f t="shared" si="310"/>
        <v>0</v>
      </c>
      <c r="DE84" s="339"/>
      <c r="DF84" s="625">
        <f t="shared" si="311"/>
        <v>0</v>
      </c>
      <c r="DG84" s="625">
        <f t="shared" si="312"/>
        <v>0</v>
      </c>
      <c r="DH84" s="625">
        <f t="shared" si="313"/>
        <v>0</v>
      </c>
      <c r="DI84" s="347"/>
      <c r="DJ84" s="615">
        <f>COUNTIF('MEP | Drawing List'!$H:$H,"MEP-T2S-6S-9")</f>
        <v>0</v>
      </c>
      <c r="DK84" s="616">
        <f>COUNTIFS('MEP | Drawing List'!$H:$H,"MEP-T2S-6S-9",'MEP | Drawing List'!$J:$J,1)</f>
        <v>0</v>
      </c>
      <c r="DL84" s="616">
        <f>COUNTIFS('MEP | Drawing List'!$H:$H,"MEP-T2S-6S-9",'MEP | Drawing List'!$L:$L,1)</f>
        <v>0</v>
      </c>
      <c r="DM84" s="616">
        <f>COUNTIFS('MEP | Drawing List'!$H:$H,"MEP-T2S-6S-9",'MEP | Drawing List'!M:M,1)</f>
        <v>0</v>
      </c>
      <c r="DN84" s="616">
        <f>COUNTIFS('MEP | Drawing List'!$H:$H,"MEP-T2S-6S-9",'MEP | Drawing List'!N:N,1)</f>
        <v>0</v>
      </c>
      <c r="DO84" s="616">
        <f>COUNTIFS('MEP | Drawing List'!$H:$H,"MEP-T2S-6S-9",'MEP | Drawing List'!O:O,1)</f>
        <v>0</v>
      </c>
      <c r="DP84" s="616">
        <f>COUNTIFS('MEP | Drawing List'!$H:$H,"MEP-T2S-6S-9",'MEP | Drawing List'!P:P,1)</f>
        <v>0</v>
      </c>
      <c r="DQ84" s="348"/>
      <c r="DR84" s="616">
        <f>COUNTIFS('MEP | Drawing List'!$H:$H,"MEP-T2S-6S-9",'MEP | Drawing List'!$Q:$Q,1)</f>
        <v>0</v>
      </c>
      <c r="DS84" s="616">
        <f>COUNTIFS('MEP | Drawing List'!$H:$H,"MEP-T2S-6S-9",'MEP | Drawing List'!R:R,1)</f>
        <v>0</v>
      </c>
      <c r="DT84" s="616">
        <f>COUNTIFS('MEP | Drawing List'!$H:$H,"MEP-T2S-6S-9",'MEP | Drawing List'!S:S,1)</f>
        <v>0</v>
      </c>
      <c r="DU84" s="616">
        <f>COUNTIFS('MEP | Drawing List'!$H:$H,"MEP-T2S-6S-9",'MEP | Drawing List'!T:T,1)</f>
        <v>0</v>
      </c>
      <c r="DV84" s="616">
        <f>COUNTIFS('MEP | Drawing List'!$H:$H,"MEP-T2S-6S-9",'MEP | Drawing List'!U:U,1)</f>
        <v>0</v>
      </c>
      <c r="DW84" s="343"/>
      <c r="DX84" s="343"/>
      <c r="DY84" s="523">
        <v>0.2</v>
      </c>
      <c r="DZ84" s="343"/>
      <c r="EA84" s="616">
        <f t="shared" si="314"/>
        <v>5.5160000000000009E-3</v>
      </c>
      <c r="EB84" s="618">
        <f t="shared" si="237"/>
        <v>5.5160000000000009E-3</v>
      </c>
      <c r="EC84" s="616">
        <f t="shared" si="315"/>
        <v>0</v>
      </c>
      <c r="ED84" s="616">
        <f t="shared" si="316"/>
        <v>5.5160000000000009E-3</v>
      </c>
      <c r="EE84" s="616">
        <f t="shared" si="317"/>
        <v>5.5160000000000009E-3</v>
      </c>
      <c r="EF84" s="616">
        <f t="shared" si="318"/>
        <v>0</v>
      </c>
      <c r="EG84" s="616">
        <f t="shared" si="319"/>
        <v>0</v>
      </c>
      <c r="EH84" s="616">
        <f t="shared" si="320"/>
        <v>0</v>
      </c>
      <c r="EI84" s="348"/>
      <c r="EJ84" s="620">
        <f t="shared" si="323"/>
        <v>5.5160000000000009E-3</v>
      </c>
      <c r="EK84" s="615">
        <f t="shared" si="324"/>
        <v>0</v>
      </c>
      <c r="EL84" s="615">
        <f t="shared" si="325"/>
        <v>5.5160000000000009E-3</v>
      </c>
      <c r="EM84" s="615">
        <f t="shared" si="326"/>
        <v>0</v>
      </c>
      <c r="EN84" s="615">
        <f t="shared" si="327"/>
        <v>0</v>
      </c>
      <c r="EO84" s="339"/>
      <c r="EP84" s="627">
        <f t="shared" si="328"/>
        <v>0</v>
      </c>
      <c r="EQ84" s="627">
        <f t="shared" si="329"/>
        <v>1</v>
      </c>
      <c r="ER84" s="627">
        <f t="shared" si="330"/>
        <v>1</v>
      </c>
      <c r="ES84" s="83"/>
      <c r="ET84" s="615">
        <f>COUNTIF('LS | Drawing List'!$H:$H,"LS-T2S-9")</f>
        <v>6</v>
      </c>
      <c r="EU84" s="616">
        <f>COUNTIFS('LS | Drawing List'!$H:$H,"LS-T2S-9",'LS | Drawing List'!$J:$J,1)</f>
        <v>0</v>
      </c>
      <c r="EV84" s="616">
        <f>COUNTIFS('LS | Drawing List'!$H:$H,"LS-T2S-9",'LS | Drawing List'!$L:$L,1)</f>
        <v>6</v>
      </c>
      <c r="EW84" s="616">
        <f>COUNTIFS('LS | Drawing List'!$H:$H,"LS-T2S-9",'LS | Drawing List'!M:M,1)</f>
        <v>6</v>
      </c>
      <c r="EX84" s="616">
        <f>COUNTIFS('LS | Drawing List'!$H:$H,"LS-T2S-9",'LS | Drawing List'!N:N,1)</f>
        <v>0</v>
      </c>
      <c r="EY84" s="616">
        <f>COUNTIFS('LS | Drawing List'!$H:$H,"LS-T2S-9",'LS | Drawing List'!O:O,1)</f>
        <v>0</v>
      </c>
      <c r="EZ84" s="616">
        <f>COUNTIFS('LS | Drawing List'!$H:$H,"LS-T2S-9",'LS | Drawing List'!P:P,1)</f>
        <v>0</v>
      </c>
      <c r="FA84" s="85"/>
      <c r="FB84" s="616">
        <f>COUNTIFS('LS | Drawing List'!$H:$H,"LS-T2S-9",'LS | Drawing List'!$Q:$Q,1)</f>
        <v>6</v>
      </c>
      <c r="FC84" s="616">
        <f>COUNTIFS('LS | Drawing List'!$H:$H,"LS-T2S-9",'LS | Drawing List'!R:R,1)</f>
        <v>0</v>
      </c>
      <c r="FD84" s="616">
        <f>COUNTIFS('LS | Drawing List'!$H:$H,"LS-T2S-9",'LS | Drawing List'!S:S,1)</f>
        <v>6</v>
      </c>
      <c r="FE84" s="616">
        <f>COUNTIFS('LS | Drawing List'!$H:$H,"LS-T2S-9",'LS | Drawing List'!T:T,1)</f>
        <v>0</v>
      </c>
      <c r="FF84" s="616">
        <f>COUNTIFS('LS | Drawing List'!$H:$H,"LS-T2S-9",'LS | Drawing List'!U:U,1)</f>
        <v>0</v>
      </c>
      <c r="FG84" s="48"/>
    </row>
    <row r="85" spans="1:163" ht="3" hidden="1" customHeight="1" outlineLevel="1">
      <c r="A85" s="48"/>
      <c r="B85" s="96"/>
      <c r="C85" s="278"/>
      <c r="D85" s="272"/>
      <c r="E85" s="48"/>
      <c r="F85" s="338"/>
      <c r="G85" s="619"/>
      <c r="H85" s="339"/>
      <c r="I85" s="339"/>
      <c r="J85" s="339"/>
      <c r="K85" s="339"/>
      <c r="L85" s="339"/>
      <c r="M85" s="339"/>
      <c r="N85" s="339"/>
      <c r="O85" s="339"/>
      <c r="P85" s="339"/>
      <c r="Q85" s="339"/>
      <c r="R85" s="339"/>
      <c r="S85" s="339"/>
      <c r="T85" s="48"/>
      <c r="U85" s="519"/>
      <c r="V85" s="131"/>
      <c r="W85" s="338"/>
      <c r="X85" s="619">
        <f t="shared" si="234"/>
        <v>0</v>
      </c>
      <c r="Y85" s="339"/>
      <c r="Z85" s="339"/>
      <c r="AA85" s="339"/>
      <c r="AB85" s="339"/>
      <c r="AC85" s="339"/>
      <c r="AD85" s="339"/>
      <c r="AE85" s="339"/>
      <c r="AF85" s="339"/>
      <c r="AG85" s="339"/>
      <c r="AH85" s="339"/>
      <c r="AI85" s="339"/>
      <c r="AJ85" s="339"/>
      <c r="AK85" s="339"/>
      <c r="AL85" s="603"/>
      <c r="AM85" s="603"/>
      <c r="AN85" s="603"/>
      <c r="AO85" s="345"/>
      <c r="AP85" s="359"/>
      <c r="AQ85" s="359"/>
      <c r="AR85" s="359"/>
      <c r="AS85" s="359"/>
      <c r="AT85" s="359"/>
      <c r="AU85" s="359"/>
      <c r="AV85" s="359"/>
      <c r="AW85" s="359"/>
      <c r="AX85" s="359"/>
      <c r="AY85" s="359"/>
      <c r="AZ85" s="359"/>
      <c r="BA85" s="359"/>
      <c r="BB85" s="359"/>
      <c r="BC85" s="359"/>
      <c r="BD85" s="359"/>
      <c r="BE85" s="525"/>
      <c r="BF85" s="343"/>
      <c r="BG85" s="344"/>
      <c r="BH85" s="618">
        <f t="shared" si="235"/>
        <v>0</v>
      </c>
      <c r="BI85" s="339"/>
      <c r="BJ85" s="339"/>
      <c r="BK85" s="339"/>
      <c r="BL85" s="339"/>
      <c r="BM85" s="339"/>
      <c r="BN85" s="339"/>
      <c r="BO85" s="339"/>
      <c r="BP85" s="339"/>
      <c r="BQ85" s="339"/>
      <c r="BR85" s="339"/>
      <c r="BS85" s="339"/>
      <c r="BT85" s="339"/>
      <c r="BU85" s="339"/>
      <c r="BV85" s="525"/>
      <c r="BW85" s="525"/>
      <c r="BX85" s="525"/>
      <c r="BY85" s="345"/>
      <c r="BZ85" s="540"/>
      <c r="CA85" s="540"/>
      <c r="CB85" s="542"/>
      <c r="CC85" s="536"/>
      <c r="CD85" s="536"/>
      <c r="CE85" s="536"/>
      <c r="CF85" s="536"/>
      <c r="CG85" s="536"/>
      <c r="CH85" s="542"/>
      <c r="CI85" s="536"/>
      <c r="CJ85" s="536"/>
      <c r="CK85" s="536"/>
      <c r="CL85" s="536"/>
      <c r="CM85" s="343"/>
      <c r="CN85" s="343"/>
      <c r="CO85" s="525"/>
      <c r="CP85" s="343"/>
      <c r="CQ85" s="344"/>
      <c r="CR85" s="618">
        <f t="shared" si="236"/>
        <v>0</v>
      </c>
      <c r="CS85" s="339"/>
      <c r="CT85" s="339"/>
      <c r="CU85" s="339"/>
      <c r="CV85" s="339"/>
      <c r="CW85" s="339"/>
      <c r="CX85" s="339"/>
      <c r="CY85" s="339"/>
      <c r="CZ85" s="339"/>
      <c r="DA85" s="339"/>
      <c r="DB85" s="339"/>
      <c r="DC85" s="339"/>
      <c r="DD85" s="339"/>
      <c r="DE85" s="339"/>
      <c r="DF85" s="603"/>
      <c r="DG85" s="603"/>
      <c r="DH85" s="603"/>
      <c r="DI85" s="345"/>
      <c r="DJ85" s="359"/>
      <c r="DK85" s="359"/>
      <c r="DL85" s="359"/>
      <c r="DM85" s="339"/>
      <c r="DN85" s="339"/>
      <c r="DO85" s="339"/>
      <c r="DP85" s="339"/>
      <c r="DQ85" s="339"/>
      <c r="DR85" s="359"/>
      <c r="DS85" s="339"/>
      <c r="DT85" s="339"/>
      <c r="DU85" s="339"/>
      <c r="DV85" s="339"/>
      <c r="DW85" s="343"/>
      <c r="DX85" s="343"/>
      <c r="DY85" s="525"/>
      <c r="DZ85" s="343"/>
      <c r="EA85" s="344"/>
      <c r="EB85" s="618">
        <f t="shared" si="237"/>
        <v>0</v>
      </c>
      <c r="EC85" s="81"/>
      <c r="ED85" s="81"/>
      <c r="EE85" s="81"/>
      <c r="EF85" s="81"/>
      <c r="EG85" s="81"/>
      <c r="EH85" s="81"/>
      <c r="EI85" s="81"/>
      <c r="EJ85" s="81"/>
      <c r="EK85" s="81"/>
      <c r="EL85" s="81"/>
      <c r="EM85" s="81"/>
      <c r="EN85" s="81"/>
      <c r="EO85" s="81"/>
      <c r="EP85" s="103"/>
      <c r="EQ85" s="103"/>
      <c r="ER85" s="103"/>
      <c r="ES85" s="55"/>
      <c r="ET85" s="54"/>
      <c r="EU85" s="56"/>
      <c r="EV85" s="56"/>
      <c r="EW85" s="81"/>
      <c r="EX85" s="81"/>
      <c r="EY85" s="81"/>
      <c r="EZ85" s="81"/>
      <c r="FA85" s="81"/>
      <c r="FB85" s="56"/>
      <c r="FC85" s="81"/>
      <c r="FD85" s="81"/>
      <c r="FE85" s="81"/>
      <c r="FF85" s="81"/>
      <c r="FG85" s="48"/>
    </row>
    <row r="86" spans="1:163" ht="14.25" hidden="1" outlineLevel="1" collapsed="1">
      <c r="A86" s="48"/>
      <c r="B86" s="73"/>
      <c r="C86" s="275">
        <v>4</v>
      </c>
      <c r="D86" s="271" t="s">
        <v>95</v>
      </c>
      <c r="E86" s="74"/>
      <c r="F86" s="614">
        <f>W86+BG86+CQ86+EA86</f>
        <v>5.0729227200000002</v>
      </c>
      <c r="G86" s="614">
        <f>X86+BH86+CR86+EB86</f>
        <v>5.0729227200000011</v>
      </c>
      <c r="H86" s="612">
        <f>F86-G86</f>
        <v>0</v>
      </c>
      <c r="I86" s="614">
        <f t="shared" ref="I86:I96" si="332">Z86+BJ86+CT86+ED86</f>
        <v>7.5878400000000013E-2</v>
      </c>
      <c r="J86" s="614">
        <f t="shared" ref="J86:J96" si="333">AA86+BK86+CU86+EE86</f>
        <v>7.5878400000000013E-2</v>
      </c>
      <c r="K86" s="614">
        <f t="shared" ref="K86:K96" si="334">AB86+BL86+CV86+EF86</f>
        <v>0</v>
      </c>
      <c r="L86" s="614">
        <f t="shared" ref="L86:L96" si="335">AC86+BM86+CW86+EG86</f>
        <v>0</v>
      </c>
      <c r="M86" s="614">
        <f t="shared" ref="M86:M96" si="336">AD86+BN86+CX86+EH86</f>
        <v>0</v>
      </c>
      <c r="N86" s="281"/>
      <c r="O86" s="614">
        <f t="shared" ref="O86:O96" si="337">AF86+BP86+CZ86+EJ86</f>
        <v>7.5878400000000013E-2</v>
      </c>
      <c r="P86" s="614">
        <f t="shared" ref="P86:P96" si="338">AG86+BQ86+DA86+EK86</f>
        <v>0</v>
      </c>
      <c r="Q86" s="614">
        <f t="shared" ref="Q86:Q96" si="339">AH86+BR86+DB86+EL86</f>
        <v>7.5878400000000013E-2</v>
      </c>
      <c r="R86" s="614">
        <f t="shared" ref="R86:R96" si="340">AI86+BS86+DC86+EM86</f>
        <v>0</v>
      </c>
      <c r="S86" s="614">
        <f t="shared" ref="S86:S96" si="341">AJ86+BT86+DD86+EN86</f>
        <v>0</v>
      </c>
      <c r="T86" s="74"/>
      <c r="U86" s="656">
        <f>SUM(U87:U96)</f>
        <v>0.5</v>
      </c>
      <c r="V86" s="332"/>
      <c r="W86" s="614">
        <f>U86*(5%*0.64*SUM('BOQ COST'!E10:E12))*1</f>
        <v>3.3054720000000004</v>
      </c>
      <c r="X86" s="614">
        <f t="shared" si="234"/>
        <v>3.3054720000000004</v>
      </c>
      <c r="Y86" s="612">
        <f>SUM(Y87:Y96)</f>
        <v>3.3054720000000004</v>
      </c>
      <c r="Z86" s="612">
        <f>SUM(Z87:Z96)</f>
        <v>0</v>
      </c>
      <c r="AA86" s="612">
        <f t="shared" ref="AA86:AD86" si="342">SUM(AA87:AA96)</f>
        <v>0</v>
      </c>
      <c r="AB86" s="612">
        <f t="shared" si="342"/>
        <v>0</v>
      </c>
      <c r="AC86" s="612">
        <f t="shared" si="342"/>
        <v>0</v>
      </c>
      <c r="AD86" s="612">
        <f t="shared" si="342"/>
        <v>0</v>
      </c>
      <c r="AE86" s="281"/>
      <c r="AF86" s="612">
        <f>SUM(AF87:AF96)</f>
        <v>0</v>
      </c>
      <c r="AG86" s="612">
        <f t="shared" ref="AG86:AJ86" si="343">SUM(AG87:AG96)</f>
        <v>0</v>
      </c>
      <c r="AH86" s="612">
        <f t="shared" si="343"/>
        <v>0</v>
      </c>
      <c r="AI86" s="612">
        <f t="shared" si="343"/>
        <v>0</v>
      </c>
      <c r="AJ86" s="612">
        <f t="shared" si="343"/>
        <v>0</v>
      </c>
      <c r="AK86" s="281"/>
      <c r="AL86" s="605"/>
      <c r="AM86" s="605"/>
      <c r="AN86" s="605"/>
      <c r="AO86" s="612">
        <f t="shared" ref="AO86" si="344">SUM(AO87:AO96)</f>
        <v>0</v>
      </c>
      <c r="AP86" s="612">
        <f t="shared" ref="AP86" si="345">SUM(AP87:AP96)</f>
        <v>58</v>
      </c>
      <c r="AQ86" s="612">
        <f t="shared" ref="AQ86" si="346">SUM(AQ87:AQ96)</f>
        <v>58</v>
      </c>
      <c r="AR86" s="612">
        <f t="shared" si="238"/>
        <v>0</v>
      </c>
      <c r="AS86" s="612">
        <f>SUM(AS87:AS96)</f>
        <v>0</v>
      </c>
      <c r="AT86" s="612">
        <f t="shared" ref="AT86:AX86" si="347">SUM(AT87:AT96)</f>
        <v>0</v>
      </c>
      <c r="AU86" s="612">
        <f t="shared" si="347"/>
        <v>0</v>
      </c>
      <c r="AV86" s="612">
        <f t="shared" si="347"/>
        <v>0</v>
      </c>
      <c r="AW86" s="281"/>
      <c r="AX86" s="612">
        <f t="shared" si="347"/>
        <v>0</v>
      </c>
      <c r="AY86" s="612">
        <f>SUM(AY87:AY96)</f>
        <v>0</v>
      </c>
      <c r="AZ86" s="612">
        <f t="shared" ref="AZ86:BB86" si="348">SUM(AZ87:AZ96)</f>
        <v>0</v>
      </c>
      <c r="BA86" s="612">
        <f t="shared" si="348"/>
        <v>0</v>
      </c>
      <c r="BB86" s="612">
        <f t="shared" si="348"/>
        <v>0</v>
      </c>
      <c r="BC86" s="336"/>
      <c r="BD86" s="336"/>
      <c r="BE86" s="332">
        <f>SUM(BE87:BE96)</f>
        <v>0.55000000000000004</v>
      </c>
      <c r="BF86" s="332"/>
      <c r="BG86" s="614">
        <f>BE86*(3%*0.64*('BOQ COST'!$F$10+'BOQ COST'!$F$11+'BOQ COST'!$F$12))*1</f>
        <v>1.52084592</v>
      </c>
      <c r="BH86" s="614">
        <f t="shared" si="235"/>
        <v>1.5208459200000002</v>
      </c>
      <c r="BI86" s="612">
        <f>SUM(BI87:BI96)</f>
        <v>1.5208459200000002</v>
      </c>
      <c r="BJ86" s="612">
        <f>SUM(BJ87:BJ96)</f>
        <v>0</v>
      </c>
      <c r="BK86" s="612">
        <f t="shared" ref="BK86:CF86" si="349">SUM(BK87:BK96)</f>
        <v>0</v>
      </c>
      <c r="BL86" s="612">
        <f t="shared" si="349"/>
        <v>0</v>
      </c>
      <c r="BM86" s="612">
        <f t="shared" si="349"/>
        <v>0</v>
      </c>
      <c r="BN86" s="612">
        <f t="shared" si="349"/>
        <v>0</v>
      </c>
      <c r="BO86" s="281"/>
      <c r="BP86" s="612">
        <f>SUM(BP87:BP96)</f>
        <v>0</v>
      </c>
      <c r="BQ86" s="612">
        <f t="shared" ref="BQ86:BT86" si="350">SUM(BQ87:BQ96)</f>
        <v>0</v>
      </c>
      <c r="BR86" s="612">
        <f t="shared" si="350"/>
        <v>0</v>
      </c>
      <c r="BS86" s="612">
        <f t="shared" si="350"/>
        <v>0</v>
      </c>
      <c r="BT86" s="612">
        <f t="shared" si="350"/>
        <v>0</v>
      </c>
      <c r="BU86" s="281"/>
      <c r="BV86" s="524"/>
      <c r="BW86" s="524"/>
      <c r="BX86" s="524"/>
      <c r="BY86" s="612">
        <f t="shared" si="349"/>
        <v>0</v>
      </c>
      <c r="BZ86" s="612">
        <f t="shared" si="349"/>
        <v>85</v>
      </c>
      <c r="CA86" s="612">
        <f t="shared" si="349"/>
        <v>85</v>
      </c>
      <c r="CB86" s="612">
        <f t="shared" si="349"/>
        <v>0</v>
      </c>
      <c r="CC86" s="612">
        <f t="shared" si="349"/>
        <v>0</v>
      </c>
      <c r="CD86" s="612">
        <f t="shared" si="349"/>
        <v>0</v>
      </c>
      <c r="CE86" s="612">
        <f t="shared" si="349"/>
        <v>0</v>
      </c>
      <c r="CF86" s="612">
        <f t="shared" si="349"/>
        <v>0</v>
      </c>
      <c r="CG86" s="535"/>
      <c r="CH86" s="612">
        <f t="shared" ref="CH86:CL86" si="351">SUM(CH87:CH96)</f>
        <v>0</v>
      </c>
      <c r="CI86" s="612">
        <f t="shared" si="351"/>
        <v>0</v>
      </c>
      <c r="CJ86" s="612">
        <f t="shared" si="351"/>
        <v>0</v>
      </c>
      <c r="CK86" s="612">
        <f t="shared" si="351"/>
        <v>0</v>
      </c>
      <c r="CL86" s="612">
        <f t="shared" si="351"/>
        <v>0</v>
      </c>
      <c r="CM86" s="332"/>
      <c r="CN86" s="332"/>
      <c r="CO86" s="332">
        <f>SUM(CO87:CO96)</f>
        <v>0.65</v>
      </c>
      <c r="CP86" s="332"/>
      <c r="CQ86" s="614">
        <f>CO86*(2%*0.64*('BOQ COST'!$G$10+'BOQ COST'!$G$11+'BOQ COST'!$G$12))*1</f>
        <v>0.24660480000000001</v>
      </c>
      <c r="CR86" s="614">
        <f t="shared" si="236"/>
        <v>0.24660480000000001</v>
      </c>
      <c r="CS86" s="612">
        <f>SUM(CS87:CS96)</f>
        <v>0.1707264</v>
      </c>
      <c r="CT86" s="612">
        <f>SUM(CT87:CT96)</f>
        <v>7.5878400000000013E-2</v>
      </c>
      <c r="CU86" s="612">
        <f t="shared" ref="CU86:DP86" si="352">SUM(CU87:CU96)</f>
        <v>7.5878400000000013E-2</v>
      </c>
      <c r="CV86" s="612">
        <f t="shared" si="352"/>
        <v>0</v>
      </c>
      <c r="CW86" s="612">
        <f t="shared" si="352"/>
        <v>0</v>
      </c>
      <c r="CX86" s="612">
        <f t="shared" si="352"/>
        <v>0</v>
      </c>
      <c r="CY86" s="281"/>
      <c r="CZ86" s="612">
        <f>SUM(CZ87:CZ96)</f>
        <v>7.5878400000000013E-2</v>
      </c>
      <c r="DA86" s="612">
        <f t="shared" ref="DA86:DD86" si="353">SUM(DA87:DA96)</f>
        <v>0</v>
      </c>
      <c r="DB86" s="612">
        <f t="shared" si="353"/>
        <v>7.5878400000000013E-2</v>
      </c>
      <c r="DC86" s="612">
        <f t="shared" si="353"/>
        <v>0</v>
      </c>
      <c r="DD86" s="612">
        <f t="shared" si="353"/>
        <v>0</v>
      </c>
      <c r="DE86" s="281"/>
      <c r="DF86" s="605"/>
      <c r="DG86" s="605"/>
      <c r="DH86" s="605"/>
      <c r="DI86" s="612">
        <f t="shared" si="352"/>
        <v>0</v>
      </c>
      <c r="DJ86" s="612">
        <f t="shared" si="352"/>
        <v>77</v>
      </c>
      <c r="DK86" s="612">
        <f t="shared" si="352"/>
        <v>76</v>
      </c>
      <c r="DL86" s="612">
        <f t="shared" si="352"/>
        <v>1</v>
      </c>
      <c r="DM86" s="612">
        <f t="shared" si="352"/>
        <v>1</v>
      </c>
      <c r="DN86" s="612">
        <f t="shared" si="352"/>
        <v>0</v>
      </c>
      <c r="DO86" s="612">
        <f t="shared" si="352"/>
        <v>0</v>
      </c>
      <c r="DP86" s="612">
        <f t="shared" si="352"/>
        <v>0</v>
      </c>
      <c r="DQ86" s="281"/>
      <c r="DR86" s="612">
        <f t="shared" ref="DR86:DV86" si="354">SUM(DR87:DR96)</f>
        <v>1</v>
      </c>
      <c r="DS86" s="612">
        <f t="shared" si="354"/>
        <v>0</v>
      </c>
      <c r="DT86" s="612">
        <f t="shared" si="354"/>
        <v>1</v>
      </c>
      <c r="DU86" s="612">
        <f t="shared" si="354"/>
        <v>0</v>
      </c>
      <c r="DV86" s="612">
        <f t="shared" si="354"/>
        <v>0</v>
      </c>
      <c r="DW86" s="332"/>
      <c r="DX86" s="332"/>
      <c r="DY86" s="614">
        <f>SUM(DY87:DY96)</f>
        <v>0</v>
      </c>
      <c r="DZ86" s="332"/>
      <c r="EA86" s="337">
        <v>0</v>
      </c>
      <c r="EB86" s="614">
        <f t="shared" si="237"/>
        <v>0</v>
      </c>
      <c r="EC86" s="608">
        <f>SUM(EC87:EC96)</f>
        <v>0</v>
      </c>
      <c r="ED86" s="608">
        <f>SUM(ED87:ED96)</f>
        <v>0</v>
      </c>
      <c r="EE86" s="608">
        <f t="shared" ref="EE86:EZ86" si="355">SUM(EE87:EE96)</f>
        <v>0</v>
      </c>
      <c r="EF86" s="608">
        <f t="shared" si="355"/>
        <v>0</v>
      </c>
      <c r="EG86" s="608">
        <f t="shared" si="355"/>
        <v>0</v>
      </c>
      <c r="EH86" s="608">
        <f t="shared" si="355"/>
        <v>0</v>
      </c>
      <c r="EI86" s="127"/>
      <c r="EJ86" s="608">
        <f>SUM(EJ87:EJ96)</f>
        <v>0</v>
      </c>
      <c r="EK86" s="608">
        <f t="shared" ref="EK86:EN86" si="356">SUM(EK87:EK96)</f>
        <v>0</v>
      </c>
      <c r="EL86" s="608">
        <f t="shared" si="356"/>
        <v>0</v>
      </c>
      <c r="EM86" s="608">
        <f t="shared" si="356"/>
        <v>0</v>
      </c>
      <c r="EN86" s="608">
        <f t="shared" si="356"/>
        <v>0</v>
      </c>
      <c r="EO86" s="127"/>
      <c r="EP86" s="641"/>
      <c r="EQ86" s="641"/>
      <c r="ER86" s="641"/>
      <c r="ES86" s="608">
        <f t="shared" si="355"/>
        <v>0</v>
      </c>
      <c r="ET86" s="608">
        <f t="shared" si="355"/>
        <v>0</v>
      </c>
      <c r="EU86" s="608">
        <f t="shared" si="355"/>
        <v>0</v>
      </c>
      <c r="EV86" s="608">
        <f t="shared" si="355"/>
        <v>0</v>
      </c>
      <c r="EW86" s="608">
        <f t="shared" si="355"/>
        <v>0</v>
      </c>
      <c r="EX86" s="608">
        <f t="shared" si="355"/>
        <v>0</v>
      </c>
      <c r="EY86" s="608">
        <f t="shared" si="355"/>
        <v>0</v>
      </c>
      <c r="EZ86" s="608">
        <f t="shared" si="355"/>
        <v>0</v>
      </c>
      <c r="FA86" s="127"/>
      <c r="FB86" s="608">
        <f t="shared" ref="FB86:FF86" si="357">SUM(FB87:FB96)</f>
        <v>0</v>
      </c>
      <c r="FC86" s="608">
        <f t="shared" si="357"/>
        <v>0</v>
      </c>
      <c r="FD86" s="608">
        <f t="shared" si="357"/>
        <v>0</v>
      </c>
      <c r="FE86" s="608">
        <f t="shared" si="357"/>
        <v>0</v>
      </c>
      <c r="FF86" s="608">
        <f t="shared" si="357"/>
        <v>0</v>
      </c>
      <c r="FG86" s="48"/>
    </row>
    <row r="87" spans="1:163" ht="14.25" hidden="1" outlineLevel="2">
      <c r="A87" s="48"/>
      <c r="B87" s="87" t="s">
        <v>96</v>
      </c>
      <c r="C87" s="276">
        <v>1</v>
      </c>
      <c r="D87" s="272" t="s">
        <v>52</v>
      </c>
      <c r="E87" s="48"/>
      <c r="F87" s="619">
        <f t="shared" ref="F87:F96" si="358">W87+BG87+CQ87+EA87</f>
        <v>0.47973024000000003</v>
      </c>
      <c r="G87" s="619">
        <f t="shared" ref="G87:G96" si="359">X87+BH87+CR87+EB87</f>
        <v>0.47973024000000003</v>
      </c>
      <c r="H87" s="615">
        <f t="shared" ref="H87:H96" si="360">F87-G87</f>
        <v>0</v>
      </c>
      <c r="I87" s="615">
        <f t="shared" si="332"/>
        <v>0</v>
      </c>
      <c r="J87" s="615">
        <f t="shared" si="333"/>
        <v>0</v>
      </c>
      <c r="K87" s="615">
        <f t="shared" si="334"/>
        <v>0</v>
      </c>
      <c r="L87" s="615">
        <f t="shared" si="335"/>
        <v>0</v>
      </c>
      <c r="M87" s="620">
        <f t="shared" si="336"/>
        <v>0</v>
      </c>
      <c r="N87" s="287"/>
      <c r="O87" s="615">
        <f t="shared" si="337"/>
        <v>0</v>
      </c>
      <c r="P87" s="615">
        <f t="shared" si="338"/>
        <v>0</v>
      </c>
      <c r="Q87" s="615">
        <f t="shared" si="339"/>
        <v>0</v>
      </c>
      <c r="R87" s="615">
        <f t="shared" si="340"/>
        <v>0</v>
      </c>
      <c r="S87" s="615">
        <f t="shared" si="341"/>
        <v>0</v>
      </c>
      <c r="T87" s="48"/>
      <c r="U87" s="519">
        <v>2.5000000000000001E-2</v>
      </c>
      <c r="V87" s="131"/>
      <c r="W87" s="619">
        <f t="shared" ref="W87:W96" si="361">$W$86/$U$86*U87</f>
        <v>0.16527360000000002</v>
      </c>
      <c r="X87" s="619">
        <f t="shared" si="234"/>
        <v>0.16527360000000002</v>
      </c>
      <c r="Y87" s="615">
        <f t="shared" ref="Y87:Y96" si="362">IFERROR(IF(AL87=100%,W87,0),0)</f>
        <v>0.16527360000000002</v>
      </c>
      <c r="Z87" s="615">
        <f t="shared" ref="Z87:Z96" si="363">IFERROR(IF(AND((AL87+AM87)=100%,AL87&lt;1),W87,0),0)</f>
        <v>0</v>
      </c>
      <c r="AA87" s="615">
        <f t="shared" ref="AA87:AA96" si="364">IFERROR(IF(AND((AQ87+AS87)=AP87,Y87=0),W87,0),0)</f>
        <v>0</v>
      </c>
      <c r="AB87" s="615">
        <f t="shared" ref="AB87:AB96" si="365">IFERROR(IF(AND((AQ87+AS87+AT87)=AP87,Y87=0,AA87=0),W87,0),0)</f>
        <v>0</v>
      </c>
      <c r="AC87" s="615">
        <f t="shared" ref="AC87:AC96" si="366">IFERROR(IF(AND((AQ87+AS87+AT87+AU87)=AP87,Y87=0,AA87=0,AB87=0),W87,0),0)</f>
        <v>0</v>
      </c>
      <c r="AD87" s="620">
        <f t="shared" ref="AD87:AD96" si="367">IFERROR(IF(AND((AQ87+AS87+AT87+AU87+AV87)=AP87,Y87=0,AA87=0,AB87=0,AC87=0),W87,0),0)</f>
        <v>0</v>
      </c>
      <c r="AE87" s="287"/>
      <c r="AF87" s="615">
        <f t="shared" ref="AF87:AF96" si="368">IFERROR(IF(AND((AL87+AN87)=100%,AL87&lt;1),W87,0),0)</f>
        <v>0</v>
      </c>
      <c r="AG87" s="615">
        <f t="shared" ref="AG87:AG96" si="369">IFERROR(IF(AND((AQ87+AY87)=AP87,Y87=0),W87,0),0)</f>
        <v>0</v>
      </c>
      <c r="AH87" s="615">
        <f t="shared" ref="AH87:AH96" si="370">IFERROR(IF(AND((AQ87+AY87+AZ87)=AP87,Y87=0,AG87=0),W87,0),0)</f>
        <v>0</v>
      </c>
      <c r="AI87" s="615">
        <f t="shared" ref="AI87:AI96" si="371">IFERROR(IF(AND((AQ87+AY87+AZ87+BA87)=AP87,Y87=0,AG87=0,AH87=0),W87,0),0)</f>
        <v>0</v>
      </c>
      <c r="AJ87" s="615">
        <f t="shared" ref="AJ87:AJ96" si="372">IFERROR(IF(AND((AQ87+AY87+AZ87+BA87+BB87)=AP87,Y87=0,AG87=0,AH87=0,AI87=0),W87,0),0)</f>
        <v>0</v>
      </c>
      <c r="AK87" s="339"/>
      <c r="AL87" s="625">
        <f t="shared" ref="AL87:AL96" si="373">IFERROR(AQ87/AP87,0)</f>
        <v>1</v>
      </c>
      <c r="AM87" s="625">
        <f t="shared" ref="AM87:AM96" si="374">IFERROR(AR87/AP87,0)</f>
        <v>0</v>
      </c>
      <c r="AN87" s="625">
        <f t="shared" ref="AN87:AN96" si="375">IFERROR(AX87/AP87,0)</f>
        <v>0</v>
      </c>
      <c r="AO87" s="345"/>
      <c r="AP87" s="615">
        <f>COUNTIF('AR | Drawing List'!$H:$H,"AR-TXV-1")</f>
        <v>16</v>
      </c>
      <c r="AQ87" s="616">
        <f>COUNTIFS('AR | Drawing List'!$H:$H,"AR-TXV-1",'AR | Drawing List'!$J:$J,1)</f>
        <v>16</v>
      </c>
      <c r="AR87" s="616">
        <f t="shared" si="238"/>
        <v>0</v>
      </c>
      <c r="AS87" s="616">
        <f>COUNTIFS('AR | Drawing List'!$H:$H,"AR-TXV-1",'AR | Drawing List'!M:M,1)</f>
        <v>0</v>
      </c>
      <c r="AT87" s="616">
        <f>COUNTIFS('AR | Drawing List'!$H:$H,"AR-TXV-1",'AR | Drawing List'!N:N,1)</f>
        <v>0</v>
      </c>
      <c r="AU87" s="616">
        <f>COUNTIFS('AR | Drawing List'!$H:$H,"AR-TXV-1",'AR | Drawing List'!O:O,1)</f>
        <v>0</v>
      </c>
      <c r="AV87" s="616">
        <f>COUNTIFS('AR | Drawing List'!$H:$H,"AR-TXV-1",'AR | Drawing List'!P:P,1)</f>
        <v>0</v>
      </c>
      <c r="AW87" s="328"/>
      <c r="AX87" s="616">
        <f t="shared" ref="AX87:AX96" si="376">SUM(AY87:BB87)</f>
        <v>0</v>
      </c>
      <c r="AY87" s="616">
        <f>COUNTIFS('AR | Drawing List'!$H:$H,"AR-TXV-1",'AR | Drawing List'!R:R,1)</f>
        <v>0</v>
      </c>
      <c r="AZ87" s="616">
        <f>COUNTIFS('AR | Drawing List'!$H:$H,"AR-TXV-1",'AR | Drawing List'!S:S,1)</f>
        <v>0</v>
      </c>
      <c r="BA87" s="616">
        <f>COUNTIFS('AR | Drawing List'!$H:$H,"AR-TXV-1",'AR | Drawing List'!T:T,1)</f>
        <v>0</v>
      </c>
      <c r="BB87" s="616">
        <f>COUNTIFS('AR | Drawing List'!$H:$H,"AR-TXV-1",'AR | Drawing List'!U:U,1)</f>
        <v>0</v>
      </c>
      <c r="BC87" s="328"/>
      <c r="BD87" s="328"/>
      <c r="BE87" s="525">
        <v>0.1</v>
      </c>
      <c r="BF87" s="343"/>
      <c r="BG87" s="616">
        <f t="shared" ref="BG87:BG96" si="377">$BG$86/$BE$86*BE87</f>
        <v>0.27651744</v>
      </c>
      <c r="BH87" s="618">
        <f t="shared" si="235"/>
        <v>0.27651744</v>
      </c>
      <c r="BI87" s="615">
        <f t="shared" ref="BI87:BI96" si="378">IFERROR(IF(BV87=100%,BG87,0),0)</f>
        <v>0.27651744</v>
      </c>
      <c r="BJ87" s="615">
        <f t="shared" ref="BJ87:BJ96" si="379">IFERROR(IF(AND((BV87+BW87)=100%,BV87&lt;1),BG87,0),0)</f>
        <v>0</v>
      </c>
      <c r="BK87" s="615">
        <f t="shared" ref="BK87:BK96" si="380">IFERROR(IF(AND((CA87+CC87)=BZ87,BI87=0),BG87,0),0)</f>
        <v>0</v>
      </c>
      <c r="BL87" s="615">
        <f t="shared" ref="BL87:BL96" si="381">IFERROR(IF(AND((CA87+CC87+CD87)=BZ87,BI87=0,BK87=0),BG87,0),0)</f>
        <v>0</v>
      </c>
      <c r="BM87" s="615">
        <f t="shared" ref="BM87:BM96" si="382">IFERROR(IF(AND((CA87+CC87+CD87+CE87)=BZ87,BI87=0,BK87=0,BL87=0),BG87,0),0)</f>
        <v>0</v>
      </c>
      <c r="BN87" s="615">
        <f t="shared" ref="BN87:BN96" si="383">IFERROR(IF(AND((CA87+CC87+CD87+CE87+CF87)=BZ87,BI87=0,BK87=0,BL87=0,BM87=0),BG87,0),0)</f>
        <v>0</v>
      </c>
      <c r="BO87" s="339"/>
      <c r="BP87" s="615">
        <f t="shared" ref="BP87:BP96" si="384">IFERROR(IF(AND((BV87+BX87)=100%,BV87&lt;1),BG87,0),0)</f>
        <v>0</v>
      </c>
      <c r="BQ87" s="615">
        <f t="shared" ref="BQ87:BQ96" si="385">IFERROR(IF(AND((CA87+CI87)=BZ87,BI87=0),BG87,0),0)</f>
        <v>0</v>
      </c>
      <c r="BR87" s="615">
        <f t="shared" ref="BR87:BR96" si="386">IFERROR(IF(AND((CA87+CI87+CJ87)=BZ87,BI87=0,BQ87=0),BG87,0),0)</f>
        <v>0</v>
      </c>
      <c r="BS87" s="615">
        <f t="shared" ref="BS87:BS96" si="387">IFERROR(IF(AND((CA87+CI87+CJ87+CK87)=BZ87,BI87=0,BQ87=0,BR87=0),BG87,0),0)</f>
        <v>0</v>
      </c>
      <c r="BT87" s="615">
        <f t="shared" ref="BT87:BT96" si="388">IFERROR(IF(AND((CA87+CI87+CJ87+CK87+CL87)=BZ87,BI87=0,BQ87=0,BR87=0,BS87=0),BG87,0),0)</f>
        <v>0</v>
      </c>
      <c r="BU87" s="339"/>
      <c r="BV87" s="635">
        <f t="shared" ref="BV87:BV96" si="389">IFERROR(CA87/BZ87,0)</f>
        <v>1</v>
      </c>
      <c r="BW87" s="635">
        <f t="shared" ref="BW87:BW96" si="390">IFERROR(CB87/BZ87,0)</f>
        <v>0</v>
      </c>
      <c r="BX87" s="635">
        <f t="shared" ref="BX87:BX96" si="391">IFERROR(CH87/BZ87,0)</f>
        <v>0</v>
      </c>
      <c r="BY87" s="345"/>
      <c r="BZ87" s="615">
        <f>COUNTIF('ST | Drawing List'!$H:$H,"ST-TXV-1")</f>
        <v>11</v>
      </c>
      <c r="CA87" s="616">
        <f>COUNTIFS('ST | Drawing List'!$H:$H,"ST-TXV-1",'ST | Drawing List'!$J:$J,1)</f>
        <v>11</v>
      </c>
      <c r="CB87" s="623">
        <f>COUNTIFS('ST | Drawing List'!$H:$H,"ST-TXV-1",'ST | Drawing List'!$L:$L,1)</f>
        <v>0</v>
      </c>
      <c r="CC87" s="616">
        <f>COUNTIFS('ST | Drawing List'!$H:$H,"ST-TXV-1",'ST | Drawing List'!M:M,1)</f>
        <v>0</v>
      </c>
      <c r="CD87" s="616">
        <f>COUNTIFS('ST | Drawing List'!$H:$H,"ST-TXV-1",'ST | Drawing List'!N:N,1)</f>
        <v>0</v>
      </c>
      <c r="CE87" s="616">
        <f>COUNTIFS('ST | Drawing List'!$H:$H,"ST-TXV-1",'ST | Drawing List'!O:O,1)</f>
        <v>0</v>
      </c>
      <c r="CF87" s="616">
        <f>COUNTIFS('ST | Drawing List'!$H:$H,"ST-TXV-1",'ST | Drawing List'!P:P,1)</f>
        <v>0</v>
      </c>
      <c r="CG87" s="532"/>
      <c r="CH87" s="623">
        <f>COUNTIFS('ST | Drawing List'!$H:$H,"ST-TXV-1",'ST | Drawing List'!$Q:$Q,1)</f>
        <v>0</v>
      </c>
      <c r="CI87" s="616">
        <f>COUNTIFS('ST | Drawing List'!$H:$H,"ST-TXV-1",'ST | Drawing List'!R:R,1)</f>
        <v>0</v>
      </c>
      <c r="CJ87" s="616">
        <f>COUNTIFS('ST | Drawing List'!$H:$H,"ST-TXV-1",'ST | Drawing List'!S:S,1)</f>
        <v>0</v>
      </c>
      <c r="CK87" s="616">
        <f>COUNTIFS('ST | Drawing List'!$H:$H,"ST-TXV-1",'ST | Drawing List'!T:T,1)</f>
        <v>0</v>
      </c>
      <c r="CL87" s="616">
        <f>COUNTIFS('ST | Drawing List'!$H:$H,"ST-TXV-1",'ST | Drawing List'!U:U,1)</f>
        <v>0</v>
      </c>
      <c r="CM87" s="343"/>
      <c r="CN87" s="343"/>
      <c r="CO87" s="525">
        <v>0.1</v>
      </c>
      <c r="CP87" s="343"/>
      <c r="CQ87" s="616">
        <f t="shared" ref="CQ87:CQ96" si="392">$CQ$86/$CO$86*CO87</f>
        <v>3.7939200000000006E-2</v>
      </c>
      <c r="CR87" s="618">
        <f t="shared" si="236"/>
        <v>3.7939200000000006E-2</v>
      </c>
      <c r="CS87" s="615">
        <f t="shared" ref="CS87:CS96" si="393">IFERROR(IF(DF87=100%,CQ87,0),0)</f>
        <v>3.7939200000000006E-2</v>
      </c>
      <c r="CT87" s="615">
        <f t="shared" ref="CT87:CT96" si="394">IFERROR(IF(AND((DF87+DG87)=100%,DF87&lt;1),CQ87,0),0)</f>
        <v>0</v>
      </c>
      <c r="CU87" s="615">
        <f t="shared" ref="CU87:CU96" si="395">IFERROR(IF(AND((DK87+DM87)=DJ87,CS87=0),CQ87,0),0)</f>
        <v>0</v>
      </c>
      <c r="CV87" s="615">
        <f t="shared" ref="CV87:CV96" si="396">IFERROR(IF(AND((DK87+DM87+DN87)=DJ87,CS87=0,CU87=0),CQ87,0),0)</f>
        <v>0</v>
      </c>
      <c r="CW87" s="615">
        <f t="shared" ref="CW87:CW96" si="397">IFERROR(IF(AND((DK87+DM87+DN87+DO87)=DJ87,CS87=0,CU87=0,CV87=0),CQ87,0),0)</f>
        <v>0</v>
      </c>
      <c r="CX87" s="615">
        <f t="shared" ref="CX87:CX96" si="398">IFERROR(IF(AND((DK87+DM87+DN87+DO87+DP87)=DJ87,CS87=0,CU87=0,CV87=0,CW87=0),CQ87,0),0)</f>
        <v>0</v>
      </c>
      <c r="CY87" s="339"/>
      <c r="CZ87" s="615">
        <f t="shared" ref="CZ87:CZ96" si="399">IFERROR(IF(AND((DF87+DH87)=100%,DF87&lt;1),CQ87,0),0)</f>
        <v>0</v>
      </c>
      <c r="DA87" s="615">
        <f t="shared" ref="DA87:DA96" si="400">IFERROR(IF(AND((DK87+DS87)=DJ87,CS87=0),CQ87,0),0)</f>
        <v>0</v>
      </c>
      <c r="DB87" s="615">
        <f t="shared" ref="DB87:DB96" si="401">IFERROR(IF(AND((DK87+DS87+DT87)=DJ87,CS87=0,DA87=0),CQ87,0),0)</f>
        <v>0</v>
      </c>
      <c r="DC87" s="615">
        <f t="shared" ref="DC87:DC96" si="402">IFERROR(IF(AND((DK87+DS87+DT87+DU87)=DJ87,CS87=0,DA87=0,DB87=0),CQ87,0),0)</f>
        <v>0</v>
      </c>
      <c r="DD87" s="615">
        <f t="shared" ref="DD87:DD96" si="403">IFERROR(IF(AND((DK87+DS87+DT87+DU87+DV87)=DJ87,CS87=0,DA87=0,DB87=0,DC87=0),CQ87,0),0)</f>
        <v>0</v>
      </c>
      <c r="DE87" s="339"/>
      <c r="DF87" s="625">
        <f t="shared" ref="DF87:DF96" si="404">IFERROR(DK87/DJ87,0)</f>
        <v>1</v>
      </c>
      <c r="DG87" s="625">
        <f t="shared" ref="DG87:DG96" si="405">IFERROR(DL87/DJ87,0)</f>
        <v>0</v>
      </c>
      <c r="DH87" s="625">
        <f t="shared" ref="DH87:DH96" si="406">IFERROR(DR87/DJ87,0)</f>
        <v>0</v>
      </c>
      <c r="DI87" s="345"/>
      <c r="DJ87" s="615">
        <f>COUNTIF('MEP | Drawing List'!$H:$H,"MEP-T2V-6V-1")</f>
        <v>2</v>
      </c>
      <c r="DK87" s="616">
        <f>COUNTIFS('MEP | Drawing List'!$H:$H,"MEP-T2V-6V-1",'MEP | Drawing List'!$J:$J,1)</f>
        <v>2</v>
      </c>
      <c r="DL87" s="616">
        <f>COUNTIFS('MEP | Drawing List'!$H:$H,"MEP-T2V-6V-1",'MEP | Drawing List'!$L:$L,1)</f>
        <v>0</v>
      </c>
      <c r="DM87" s="615">
        <f>COUNTIFS('MEP | Drawing List'!$H:$H,"MEP-T2V-6V-1",'MEP | Drawing List'!M:M,1)</f>
        <v>0</v>
      </c>
      <c r="DN87" s="615">
        <f>COUNTIFS('MEP | Drawing List'!$H:$H,"MEP-T2V-6V-1",'MEP | Drawing List'!N:N,1)</f>
        <v>0</v>
      </c>
      <c r="DO87" s="615">
        <f>COUNTIFS('MEP | Drawing List'!$H:$H,"MEP-T2V-6V-1",'MEP | Drawing List'!O:O,1)</f>
        <v>0</v>
      </c>
      <c r="DP87" s="615">
        <f>COUNTIFS('MEP | Drawing List'!$H:$H,"MEP-T2V-6V-1",'MEP | Drawing List'!P:P,1)</f>
        <v>0</v>
      </c>
      <c r="DQ87" s="339"/>
      <c r="DR87" s="616">
        <f>COUNTIFS('MEP | Drawing List'!$H:$H,"MEP-T2V-6V-1",'MEP | Drawing List'!$Q:$Q,1)</f>
        <v>0</v>
      </c>
      <c r="DS87" s="615">
        <f>COUNTIFS('MEP | Drawing List'!$H:$H,"MEP-T2V-6V-1",'MEP | Drawing List'!R:R,1)</f>
        <v>0</v>
      </c>
      <c r="DT87" s="615">
        <f>COUNTIFS('MEP | Drawing List'!$H:$H,"MEP-T2V-6V-1",'MEP | Drawing List'!S:S,1)</f>
        <v>0</v>
      </c>
      <c r="DU87" s="615">
        <f>COUNTIFS('MEP | Drawing List'!$H:$H,"MEP-T2V-6V-1",'MEP | Drawing List'!T:T,1)</f>
        <v>0</v>
      </c>
      <c r="DV87" s="615">
        <f>COUNTIFS('MEP | Drawing List'!$H:$H,"MEP-T2V-6V-1",'MEP | Drawing List'!U:U,1)</f>
        <v>0</v>
      </c>
      <c r="DW87" s="343"/>
      <c r="DX87" s="343"/>
      <c r="DY87" s="525">
        <v>0</v>
      </c>
      <c r="DZ87" s="343"/>
      <c r="EA87" s="344">
        <v>0</v>
      </c>
      <c r="EB87" s="618">
        <f t="shared" si="237"/>
        <v>0</v>
      </c>
      <c r="EC87" s="91"/>
      <c r="ED87" s="91"/>
      <c r="EE87" s="339"/>
      <c r="EF87" s="339"/>
      <c r="EG87" s="339"/>
      <c r="EH87" s="339"/>
      <c r="EI87" s="339"/>
      <c r="EJ87" s="91"/>
      <c r="EK87" s="339"/>
      <c r="EL87" s="339"/>
      <c r="EM87" s="339"/>
      <c r="EN87" s="339"/>
      <c r="EO87" s="339"/>
      <c r="EP87" s="642"/>
      <c r="EQ87" s="642"/>
      <c r="ER87" s="642"/>
      <c r="ES87" s="55"/>
      <c r="ET87" s="615">
        <f>COUNTIF('LS | Drawing List'!$H:$H,"LS-TXV-1")</f>
        <v>0</v>
      </c>
      <c r="EU87" s="616">
        <f>COUNTIFS('LS | Drawing List'!$H:$H,"LS-TXV-1",'LS | Drawing List'!$J:$J,1)</f>
        <v>0</v>
      </c>
      <c r="EV87" s="616">
        <f>COUNTIFS('LS | Drawing List'!$H:$H,"LS-TXV-1",'LS | Drawing List'!$L:$L,1)</f>
        <v>0</v>
      </c>
      <c r="EW87" s="615">
        <f>COUNTIFS('LS | Drawing List'!$H:$H,"LS-TXV-1",'LS | Drawing List'!M:M,1)</f>
        <v>0</v>
      </c>
      <c r="EX87" s="615">
        <f>COUNTIFS('LS | Drawing List'!$H:$H,"LS-TXV-1",'LS | Drawing List'!N:N,1)</f>
        <v>0</v>
      </c>
      <c r="EY87" s="615">
        <f>COUNTIFS('LS | Drawing List'!$H:$H,"LS-TXV-1",'LS | Drawing List'!O:O,1)</f>
        <v>0</v>
      </c>
      <c r="EZ87" s="615">
        <f>COUNTIFS('LS | Drawing List'!$H:$H,"LS-TXV-1",'LS | Drawing List'!P:P,1)</f>
        <v>0</v>
      </c>
      <c r="FA87" s="81"/>
      <c r="FB87" s="616">
        <f>COUNTIFS('LS | Drawing List'!$H:$H,"LS-TXV-1",'LS | Drawing List'!$Q:$Q,1)</f>
        <v>0</v>
      </c>
      <c r="FC87" s="615">
        <f>COUNTIFS('LS | Drawing List'!$H:$H,"LS-TXV-1",'LS | Drawing List'!R:R,1)</f>
        <v>0</v>
      </c>
      <c r="FD87" s="615">
        <f>COUNTIFS('LS | Drawing List'!$H:$H,"LS-TXV-1",'LS | Drawing List'!S:S,1)</f>
        <v>0</v>
      </c>
      <c r="FE87" s="615">
        <f>COUNTIFS('LS | Drawing List'!$H:$H,"LS-TXV-1",'LS | Drawing List'!T:T,1)</f>
        <v>0</v>
      </c>
      <c r="FF87" s="615">
        <f>COUNTIFS('LS | Drawing List'!$H:$H,"LS-TXV-1",'LS | Drawing List'!U:U,1)</f>
        <v>0</v>
      </c>
      <c r="FG87" s="48"/>
    </row>
    <row r="88" spans="1:163" ht="14.25" hidden="1" outlineLevel="2">
      <c r="A88" s="48"/>
      <c r="B88" s="87" t="s">
        <v>97</v>
      </c>
      <c r="C88" s="276">
        <v>2</v>
      </c>
      <c r="D88" s="272" t="s">
        <v>54</v>
      </c>
      <c r="E88" s="48"/>
      <c r="F88" s="619">
        <f t="shared" si="358"/>
        <v>0.60706464000000004</v>
      </c>
      <c r="G88" s="619">
        <f t="shared" si="359"/>
        <v>0.60706464000000004</v>
      </c>
      <c r="H88" s="615">
        <f t="shared" si="360"/>
        <v>0</v>
      </c>
      <c r="I88" s="615">
        <f t="shared" si="332"/>
        <v>0</v>
      </c>
      <c r="J88" s="615">
        <f t="shared" si="333"/>
        <v>0</v>
      </c>
      <c r="K88" s="615">
        <f t="shared" si="334"/>
        <v>0</v>
      </c>
      <c r="L88" s="615">
        <f t="shared" si="335"/>
        <v>0</v>
      </c>
      <c r="M88" s="620">
        <f t="shared" si="336"/>
        <v>0</v>
      </c>
      <c r="N88" s="287"/>
      <c r="O88" s="615">
        <f t="shared" si="337"/>
        <v>0</v>
      </c>
      <c r="P88" s="615">
        <f t="shared" si="338"/>
        <v>0</v>
      </c>
      <c r="Q88" s="615">
        <f t="shared" si="339"/>
        <v>0</v>
      </c>
      <c r="R88" s="615">
        <f t="shared" si="340"/>
        <v>0</v>
      </c>
      <c r="S88" s="615">
        <f t="shared" si="341"/>
        <v>0</v>
      </c>
      <c r="T88" s="48"/>
      <c r="U88" s="519">
        <v>0.05</v>
      </c>
      <c r="V88" s="131"/>
      <c r="W88" s="619">
        <f t="shared" si="361"/>
        <v>0.33054720000000004</v>
      </c>
      <c r="X88" s="619">
        <f t="shared" si="234"/>
        <v>0.33054720000000004</v>
      </c>
      <c r="Y88" s="615">
        <f t="shared" si="362"/>
        <v>0.33054720000000004</v>
      </c>
      <c r="Z88" s="615">
        <f t="shared" si="363"/>
        <v>0</v>
      </c>
      <c r="AA88" s="615">
        <f t="shared" si="364"/>
        <v>0</v>
      </c>
      <c r="AB88" s="615">
        <f t="shared" si="365"/>
        <v>0</v>
      </c>
      <c r="AC88" s="615">
        <f t="shared" si="366"/>
        <v>0</v>
      </c>
      <c r="AD88" s="620">
        <f t="shared" si="367"/>
        <v>0</v>
      </c>
      <c r="AE88" s="287"/>
      <c r="AF88" s="615">
        <f t="shared" si="368"/>
        <v>0</v>
      </c>
      <c r="AG88" s="615">
        <f t="shared" si="369"/>
        <v>0</v>
      </c>
      <c r="AH88" s="615">
        <f t="shared" si="370"/>
        <v>0</v>
      </c>
      <c r="AI88" s="615">
        <f t="shared" si="371"/>
        <v>0</v>
      </c>
      <c r="AJ88" s="615">
        <f t="shared" si="372"/>
        <v>0</v>
      </c>
      <c r="AK88" s="339"/>
      <c r="AL88" s="625">
        <f t="shared" si="373"/>
        <v>1</v>
      </c>
      <c r="AM88" s="625">
        <f t="shared" si="374"/>
        <v>0</v>
      </c>
      <c r="AN88" s="625">
        <f t="shared" si="375"/>
        <v>0</v>
      </c>
      <c r="AO88" s="345"/>
      <c r="AP88" s="615">
        <f>COUNTIF('AR | Drawing List'!$H:$H,"AR-TXV-2")</f>
        <v>3</v>
      </c>
      <c r="AQ88" s="616">
        <f>COUNTIFS('AR | Drawing List'!$H:$H,"AR-TXV-2",'AR | Drawing List'!$J:$J,1)</f>
        <v>3</v>
      </c>
      <c r="AR88" s="616">
        <f t="shared" si="238"/>
        <v>0</v>
      </c>
      <c r="AS88" s="616">
        <f>COUNTIFS('AR | Drawing List'!$H:$H,"AR-TXV-2",'AR | Drawing List'!M:M,1)</f>
        <v>0</v>
      </c>
      <c r="AT88" s="616">
        <f>COUNTIFS('AR | Drawing List'!$H:$H,"AR-TXV-2",'AR | Drawing List'!N:N,1)</f>
        <v>0</v>
      </c>
      <c r="AU88" s="616">
        <f>COUNTIFS('AR | Drawing List'!$H:$H,"AR-TXV-2",'AR | Drawing List'!O:O,1)</f>
        <v>0</v>
      </c>
      <c r="AV88" s="616">
        <f>COUNTIFS('AR | Drawing List'!$H:$H,"AR-TXV-2",'AR | Drawing List'!P:P,1)</f>
        <v>0</v>
      </c>
      <c r="AW88" s="328"/>
      <c r="AX88" s="616">
        <f t="shared" si="376"/>
        <v>0</v>
      </c>
      <c r="AY88" s="616">
        <f>COUNTIFS('AR | Drawing List'!$H:$H,"AR-TXV-2",'AR | Drawing List'!R:R,1)</f>
        <v>0</v>
      </c>
      <c r="AZ88" s="616">
        <f>COUNTIFS('AR | Drawing List'!$H:$H,"AR-TXV-2",'AR | Drawing List'!S:S,1)</f>
        <v>0</v>
      </c>
      <c r="BA88" s="616">
        <f>COUNTIFS('AR | Drawing List'!$H:$H,"AR-TXV-2",'AR | Drawing List'!T:T,1)</f>
        <v>0</v>
      </c>
      <c r="BB88" s="616">
        <f>COUNTIFS('AR | Drawing List'!$H:$H,"AR-TXV-2",'AR | Drawing List'!U:U,1)</f>
        <v>0</v>
      </c>
      <c r="BC88" s="359"/>
      <c r="BD88" s="359"/>
      <c r="BE88" s="525">
        <v>0.1</v>
      </c>
      <c r="BF88" s="343"/>
      <c r="BG88" s="616">
        <f t="shared" si="377"/>
        <v>0.27651744</v>
      </c>
      <c r="BH88" s="618">
        <f t="shared" si="235"/>
        <v>0.27651744</v>
      </c>
      <c r="BI88" s="615">
        <f t="shared" si="378"/>
        <v>0.27651744</v>
      </c>
      <c r="BJ88" s="615">
        <f t="shared" si="379"/>
        <v>0</v>
      </c>
      <c r="BK88" s="615">
        <f t="shared" si="380"/>
        <v>0</v>
      </c>
      <c r="BL88" s="615">
        <f t="shared" si="381"/>
        <v>0</v>
      </c>
      <c r="BM88" s="615">
        <f t="shared" si="382"/>
        <v>0</v>
      </c>
      <c r="BN88" s="615">
        <f t="shared" si="383"/>
        <v>0</v>
      </c>
      <c r="BO88" s="339"/>
      <c r="BP88" s="615">
        <f t="shared" si="384"/>
        <v>0</v>
      </c>
      <c r="BQ88" s="615">
        <f t="shared" si="385"/>
        <v>0</v>
      </c>
      <c r="BR88" s="615">
        <f t="shared" si="386"/>
        <v>0</v>
      </c>
      <c r="BS88" s="615">
        <f t="shared" si="387"/>
        <v>0</v>
      </c>
      <c r="BT88" s="615">
        <f t="shared" si="388"/>
        <v>0</v>
      </c>
      <c r="BU88" s="339"/>
      <c r="BV88" s="635">
        <f t="shared" si="389"/>
        <v>1</v>
      </c>
      <c r="BW88" s="635">
        <f t="shared" si="390"/>
        <v>0</v>
      </c>
      <c r="BX88" s="635">
        <f t="shared" si="391"/>
        <v>0</v>
      </c>
      <c r="BY88" s="345"/>
      <c r="BZ88" s="615">
        <f>COUNTIF('ST | Drawing List'!$H:$H,"ST-TXV-2")</f>
        <v>9</v>
      </c>
      <c r="CA88" s="616">
        <f>COUNTIFS('ST | Drawing List'!$H:$H,"ST-TXV-2",'ST | Drawing List'!$J:$J,1)</f>
        <v>9</v>
      </c>
      <c r="CB88" s="623">
        <f>COUNTIFS('ST | Drawing List'!$H:$H,"ST-TXV-2",'ST | Drawing List'!$L:$L,1)</f>
        <v>0</v>
      </c>
      <c r="CC88" s="616">
        <f>COUNTIFS('ST | Drawing List'!$H:$H,"ST-TXV-2",'ST | Drawing List'!M:M,1)</f>
        <v>0</v>
      </c>
      <c r="CD88" s="616">
        <f>COUNTIFS('ST | Drawing List'!$H:$H,"ST-TXV-2",'ST | Drawing List'!N:N,1)</f>
        <v>0</v>
      </c>
      <c r="CE88" s="616">
        <f>COUNTIFS('ST | Drawing List'!$H:$H,"ST-TXV-2",'ST | Drawing List'!O:O,1)</f>
        <v>0</v>
      </c>
      <c r="CF88" s="616">
        <f>COUNTIFS('ST | Drawing List'!$H:$H,"ST-TXV-2",'ST | Drawing List'!P:P,1)</f>
        <v>0</v>
      </c>
      <c r="CG88" s="532"/>
      <c r="CH88" s="623">
        <f>COUNTIFS('ST | Drawing List'!$H:$H,"ST-TXV-2",'ST | Drawing List'!$Q:$Q,1)</f>
        <v>0</v>
      </c>
      <c r="CI88" s="616">
        <f>COUNTIFS('ST | Drawing List'!$H:$H,"ST-TXV-2",'ST | Drawing List'!R:R,1)</f>
        <v>0</v>
      </c>
      <c r="CJ88" s="616">
        <f>COUNTIFS('ST | Drawing List'!$H:$H,"ST-TXV-2",'ST | Drawing List'!S:S,1)</f>
        <v>0</v>
      </c>
      <c r="CK88" s="616">
        <f>COUNTIFS('ST | Drawing List'!$H:$H,"ST-TXV-2",'ST | Drawing List'!T:T,1)</f>
        <v>0</v>
      </c>
      <c r="CL88" s="616">
        <f>COUNTIFS('ST | Drawing List'!$H:$H,"ST-TXV-2",'ST | Drawing List'!U:U,1)</f>
        <v>0</v>
      </c>
      <c r="CM88" s="343"/>
      <c r="CN88" s="343"/>
      <c r="CO88" s="666">
        <v>0</v>
      </c>
      <c r="CP88" s="343"/>
      <c r="CQ88" s="616">
        <f t="shared" si="392"/>
        <v>0</v>
      </c>
      <c r="CR88" s="618">
        <f t="shared" si="236"/>
        <v>0</v>
      </c>
      <c r="CS88" s="615">
        <f t="shared" si="393"/>
        <v>0</v>
      </c>
      <c r="CT88" s="615">
        <f t="shared" si="394"/>
        <v>0</v>
      </c>
      <c r="CU88" s="615">
        <f t="shared" si="395"/>
        <v>0</v>
      </c>
      <c r="CV88" s="615">
        <f t="shared" si="396"/>
        <v>0</v>
      </c>
      <c r="CW88" s="615">
        <f t="shared" si="397"/>
        <v>0</v>
      </c>
      <c r="CX88" s="615">
        <f t="shared" si="398"/>
        <v>0</v>
      </c>
      <c r="CY88" s="339"/>
      <c r="CZ88" s="615">
        <f t="shared" si="399"/>
        <v>0</v>
      </c>
      <c r="DA88" s="615">
        <f t="shared" si="400"/>
        <v>0</v>
      </c>
      <c r="DB88" s="615">
        <f t="shared" si="401"/>
        <v>0</v>
      </c>
      <c r="DC88" s="615">
        <f t="shared" si="402"/>
        <v>0</v>
      </c>
      <c r="DD88" s="615">
        <f t="shared" si="403"/>
        <v>0</v>
      </c>
      <c r="DE88" s="339"/>
      <c r="DF88" s="625">
        <f t="shared" si="404"/>
        <v>1</v>
      </c>
      <c r="DG88" s="625">
        <f t="shared" si="405"/>
        <v>0</v>
      </c>
      <c r="DH88" s="625">
        <f t="shared" si="406"/>
        <v>0</v>
      </c>
      <c r="DI88" s="345"/>
      <c r="DJ88" s="615">
        <f>COUNTIF('MEP | Drawing List'!$H:$H,"MEP-T2V-6V-2")</f>
        <v>1</v>
      </c>
      <c r="DK88" s="616">
        <f>COUNTIFS('MEP | Drawing List'!$H:$H,"MEP-T2V-6V-2",'MEP | Drawing List'!$J:$J,1)</f>
        <v>1</v>
      </c>
      <c r="DL88" s="616">
        <f>COUNTIFS('MEP | Drawing List'!$H:$H,"MEP-T2V-6V-2",'MEP | Drawing List'!$L:$L,1)</f>
        <v>0</v>
      </c>
      <c r="DM88" s="615">
        <f>COUNTIFS('MEP | Drawing List'!$H:$H,"MEP-T2V-6V-2",'MEP | Drawing List'!M:M,1)</f>
        <v>0</v>
      </c>
      <c r="DN88" s="615">
        <f>COUNTIFS('MEP | Drawing List'!$H:$H,"MEP-T2V-6V-2",'MEP | Drawing List'!N:N,1)</f>
        <v>0</v>
      </c>
      <c r="DO88" s="615">
        <f>COUNTIFS('MEP | Drawing List'!$H:$H,"MEP-T2V-6V-2",'MEP | Drawing List'!O:O,1)</f>
        <v>0</v>
      </c>
      <c r="DP88" s="615">
        <f>COUNTIFS('MEP | Drawing List'!$H:$H,"MEP-T2V-6V-2",'MEP | Drawing List'!P:P,1)</f>
        <v>0</v>
      </c>
      <c r="DQ88" s="339"/>
      <c r="DR88" s="616">
        <f>COUNTIFS('MEP | Drawing List'!$H:$H,"MEP-T2V-6V-2",'MEP | Drawing List'!$Q:$Q,1)</f>
        <v>0</v>
      </c>
      <c r="DS88" s="615">
        <f>COUNTIFS('MEP | Drawing List'!$H:$H,"MEP-T2V-6V-2",'MEP | Drawing List'!R:R,1)</f>
        <v>0</v>
      </c>
      <c r="DT88" s="615">
        <f>COUNTIFS('MEP | Drawing List'!$H:$H,"MEP-T2V-6V-2",'MEP | Drawing List'!S:S,1)</f>
        <v>0</v>
      </c>
      <c r="DU88" s="615">
        <f>COUNTIFS('MEP | Drawing List'!$H:$H,"MEP-T2V-6V-2",'MEP | Drawing List'!T:T,1)</f>
        <v>0</v>
      </c>
      <c r="DV88" s="615">
        <f>COUNTIFS('MEP | Drawing List'!$H:$H,"MEP-T2V-6V-2",'MEP | Drawing List'!U:U,1)</f>
        <v>0</v>
      </c>
      <c r="DW88" s="343"/>
      <c r="DX88" s="343"/>
      <c r="DY88" s="525">
        <v>0</v>
      </c>
      <c r="DZ88" s="343"/>
      <c r="EA88" s="344">
        <v>0</v>
      </c>
      <c r="EB88" s="618">
        <f t="shared" si="237"/>
        <v>0</v>
      </c>
      <c r="EC88" s="85"/>
      <c r="ED88" s="85"/>
      <c r="EE88" s="339"/>
      <c r="EF88" s="339"/>
      <c r="EG88" s="339"/>
      <c r="EH88" s="339"/>
      <c r="EI88" s="339"/>
      <c r="EJ88" s="85"/>
      <c r="EK88" s="339"/>
      <c r="EL88" s="339"/>
      <c r="EM88" s="339"/>
      <c r="EN88" s="339"/>
      <c r="EO88" s="339"/>
      <c r="EP88" s="639"/>
      <c r="EQ88" s="639"/>
      <c r="ER88" s="639"/>
      <c r="ES88" s="55"/>
      <c r="ET88" s="615">
        <f>COUNTIF('LS | Drawing List'!$H:$H,"LS-TXV-2")</f>
        <v>0</v>
      </c>
      <c r="EU88" s="616">
        <f>COUNTIFS('LS | Drawing List'!$H:$H,"LS-TXV-2",'LS | Drawing List'!$J:$J,1)</f>
        <v>0</v>
      </c>
      <c r="EV88" s="616">
        <f>COUNTIFS('LS | Drawing List'!$H:$H,"LS-TXV-2",'LS | Drawing List'!$L:$L,1)</f>
        <v>0</v>
      </c>
      <c r="EW88" s="615">
        <f>COUNTIFS('LS | Drawing List'!$H:$H,"LS-TXV-2",'LS | Drawing List'!M:M,1)</f>
        <v>0</v>
      </c>
      <c r="EX88" s="615">
        <f>COUNTIFS('LS | Drawing List'!$H:$H,"LS-TXV-2",'LS | Drawing List'!N:N,1)</f>
        <v>0</v>
      </c>
      <c r="EY88" s="615">
        <f>COUNTIFS('LS | Drawing List'!$H:$H,"LS-TXV-2",'LS | Drawing List'!O:O,1)</f>
        <v>0</v>
      </c>
      <c r="EZ88" s="615">
        <f>COUNTIFS('LS | Drawing List'!$H:$H,"LS-TXV-2",'LS | Drawing List'!P:P,1)</f>
        <v>0</v>
      </c>
      <c r="FA88" s="81"/>
      <c r="FB88" s="616">
        <f>COUNTIFS('LS | Drawing List'!$H:$H,"LS-TXV-2",'LS | Drawing List'!$Q:$Q,1)</f>
        <v>0</v>
      </c>
      <c r="FC88" s="615">
        <f>COUNTIFS('LS | Drawing List'!$H:$H,"LS-TXV-2",'LS | Drawing List'!R:R,1)</f>
        <v>0</v>
      </c>
      <c r="FD88" s="615">
        <f>COUNTIFS('LS | Drawing List'!$H:$H,"LS-TXV-2",'LS | Drawing List'!S:S,1)</f>
        <v>0</v>
      </c>
      <c r="FE88" s="615">
        <f>COUNTIFS('LS | Drawing List'!$H:$H,"LS-TXV-2",'LS | Drawing List'!T:T,1)</f>
        <v>0</v>
      </c>
      <c r="FF88" s="615">
        <f>COUNTIFS('LS | Drawing List'!$H:$H,"LS-TXV-2",'LS | Drawing List'!U:U,1)</f>
        <v>0</v>
      </c>
      <c r="FG88" s="48"/>
    </row>
    <row r="89" spans="1:163" ht="14.25" hidden="1" outlineLevel="2">
      <c r="A89" s="48"/>
      <c r="B89" s="87" t="s">
        <v>98</v>
      </c>
      <c r="C89" s="276">
        <v>3</v>
      </c>
      <c r="D89" s="272" t="s">
        <v>56</v>
      </c>
      <c r="E89" s="48"/>
      <c r="F89" s="619">
        <f t="shared" si="358"/>
        <v>0.33054720000000004</v>
      </c>
      <c r="G89" s="619">
        <f t="shared" si="359"/>
        <v>0.33054720000000004</v>
      </c>
      <c r="H89" s="615">
        <f t="shared" si="360"/>
        <v>0</v>
      </c>
      <c r="I89" s="615">
        <f t="shared" si="332"/>
        <v>0</v>
      </c>
      <c r="J89" s="615">
        <f t="shared" si="333"/>
        <v>0</v>
      </c>
      <c r="K89" s="615">
        <f t="shared" si="334"/>
        <v>0</v>
      </c>
      <c r="L89" s="615">
        <f t="shared" si="335"/>
        <v>0</v>
      </c>
      <c r="M89" s="620">
        <f t="shared" si="336"/>
        <v>0</v>
      </c>
      <c r="N89" s="287"/>
      <c r="O89" s="615">
        <f t="shared" si="337"/>
        <v>0</v>
      </c>
      <c r="P89" s="615">
        <f t="shared" si="338"/>
        <v>0</v>
      </c>
      <c r="Q89" s="615">
        <f t="shared" si="339"/>
        <v>0</v>
      </c>
      <c r="R89" s="615">
        <f t="shared" si="340"/>
        <v>0</v>
      </c>
      <c r="S89" s="615">
        <f t="shared" si="341"/>
        <v>0</v>
      </c>
      <c r="T89" s="48"/>
      <c r="U89" s="519">
        <v>0.05</v>
      </c>
      <c r="V89" s="131"/>
      <c r="W89" s="619">
        <f t="shared" si="361"/>
        <v>0.33054720000000004</v>
      </c>
      <c r="X89" s="619">
        <f t="shared" si="234"/>
        <v>0.33054720000000004</v>
      </c>
      <c r="Y89" s="615">
        <f t="shared" si="362"/>
        <v>0.33054720000000004</v>
      </c>
      <c r="Z89" s="615">
        <f t="shared" si="363"/>
        <v>0</v>
      </c>
      <c r="AA89" s="615">
        <f t="shared" si="364"/>
        <v>0</v>
      </c>
      <c r="AB89" s="615">
        <f t="shared" si="365"/>
        <v>0</v>
      </c>
      <c r="AC89" s="615">
        <f t="shared" si="366"/>
        <v>0</v>
      </c>
      <c r="AD89" s="620">
        <f t="shared" si="367"/>
        <v>0</v>
      </c>
      <c r="AE89" s="287"/>
      <c r="AF89" s="615">
        <f t="shared" si="368"/>
        <v>0</v>
      </c>
      <c r="AG89" s="615">
        <f t="shared" si="369"/>
        <v>0</v>
      </c>
      <c r="AH89" s="615">
        <f t="shared" si="370"/>
        <v>0</v>
      </c>
      <c r="AI89" s="615">
        <f t="shared" si="371"/>
        <v>0</v>
      </c>
      <c r="AJ89" s="615">
        <f t="shared" si="372"/>
        <v>0</v>
      </c>
      <c r="AK89" s="339"/>
      <c r="AL89" s="625">
        <f t="shared" si="373"/>
        <v>1</v>
      </c>
      <c r="AM89" s="625">
        <f t="shared" si="374"/>
        <v>0</v>
      </c>
      <c r="AN89" s="625">
        <f t="shared" si="375"/>
        <v>0</v>
      </c>
      <c r="AO89" s="345"/>
      <c r="AP89" s="615">
        <f>COUNTIF('AR | Drawing List'!$H:$H,"AR-TXV-3")</f>
        <v>3</v>
      </c>
      <c r="AQ89" s="616">
        <f>COUNTIFS('AR | Drawing List'!$H:$H,"AR-TXV-3",'AR | Drawing List'!$J:$J,1)</f>
        <v>3</v>
      </c>
      <c r="AR89" s="616">
        <f t="shared" si="238"/>
        <v>0</v>
      </c>
      <c r="AS89" s="616">
        <f>COUNTIFS('AR | Drawing List'!$H:$H,"AR-TXV-3",'AR | Drawing List'!M:M,1)</f>
        <v>0</v>
      </c>
      <c r="AT89" s="616">
        <f>COUNTIFS('AR | Drawing List'!$H:$H,"AR-TXV-3",'AR | Drawing List'!N:N,1)</f>
        <v>0</v>
      </c>
      <c r="AU89" s="616">
        <f>COUNTIFS('AR | Drawing List'!$H:$H,"AR-TXV-3",'AR | Drawing List'!O:O,1)</f>
        <v>0</v>
      </c>
      <c r="AV89" s="616">
        <f>COUNTIFS('AR | Drawing List'!$H:$H,"AR-TXV-3",'AR | Drawing List'!P:P,1)</f>
        <v>0</v>
      </c>
      <c r="AW89" s="328"/>
      <c r="AX89" s="616">
        <f t="shared" si="376"/>
        <v>0</v>
      </c>
      <c r="AY89" s="616">
        <f>COUNTIFS('AR | Drawing List'!$H:$H,"AR-TXV-3",'AR | Drawing List'!R:R,1)</f>
        <v>0</v>
      </c>
      <c r="AZ89" s="616">
        <f>COUNTIFS('AR | Drawing List'!$H:$H,"AR-TXV-3",'AR | Drawing List'!S:S,1)</f>
        <v>0</v>
      </c>
      <c r="BA89" s="616">
        <f>COUNTIFS('AR | Drawing List'!$H:$H,"AR-TXV-3",'AR | Drawing List'!T:T,1)</f>
        <v>0</v>
      </c>
      <c r="BB89" s="616">
        <f>COUNTIFS('AR | Drawing List'!$H:$H,"AR-TXV-3",'AR | Drawing List'!U:U,1)</f>
        <v>0</v>
      </c>
      <c r="BC89" s="359"/>
      <c r="BD89" s="359"/>
      <c r="BE89" s="666">
        <v>0</v>
      </c>
      <c r="BF89" s="343"/>
      <c r="BG89" s="616">
        <f t="shared" si="377"/>
        <v>0</v>
      </c>
      <c r="BH89" s="618">
        <f t="shared" si="235"/>
        <v>0</v>
      </c>
      <c r="BI89" s="615">
        <f t="shared" si="378"/>
        <v>0</v>
      </c>
      <c r="BJ89" s="615">
        <f t="shared" si="379"/>
        <v>0</v>
      </c>
      <c r="BK89" s="615">
        <f t="shared" si="380"/>
        <v>0</v>
      </c>
      <c r="BL89" s="615">
        <f t="shared" si="381"/>
        <v>0</v>
      </c>
      <c r="BM89" s="615">
        <f t="shared" si="382"/>
        <v>0</v>
      </c>
      <c r="BN89" s="615">
        <f t="shared" si="383"/>
        <v>0</v>
      </c>
      <c r="BO89" s="339"/>
      <c r="BP89" s="615">
        <f t="shared" si="384"/>
        <v>0</v>
      </c>
      <c r="BQ89" s="615">
        <f t="shared" si="385"/>
        <v>0</v>
      </c>
      <c r="BR89" s="615">
        <f t="shared" si="386"/>
        <v>0</v>
      </c>
      <c r="BS89" s="615">
        <f t="shared" si="387"/>
        <v>0</v>
      </c>
      <c r="BT89" s="615">
        <f t="shared" si="388"/>
        <v>0</v>
      </c>
      <c r="BU89" s="339"/>
      <c r="BV89" s="635">
        <f t="shared" si="389"/>
        <v>0</v>
      </c>
      <c r="BW89" s="635">
        <f t="shared" si="390"/>
        <v>0</v>
      </c>
      <c r="BX89" s="635">
        <f t="shared" si="391"/>
        <v>0</v>
      </c>
      <c r="BY89" s="347"/>
      <c r="BZ89" s="615">
        <f>COUNTIF('ST | Drawing List'!$H:$H,"ST-TXV-3")</f>
        <v>0</v>
      </c>
      <c r="CA89" s="616">
        <f>COUNTIFS('ST | Drawing List'!$H:$H,"ST-TXV-3",'ST | Drawing List'!$J:$J,1)</f>
        <v>0</v>
      </c>
      <c r="CB89" s="623">
        <f>COUNTIFS('ST | Drawing List'!$H:$H,"ST-TXV-3",'ST | Drawing List'!$L:$L,1)</f>
        <v>0</v>
      </c>
      <c r="CC89" s="616">
        <f>COUNTIFS('ST | Drawing List'!$H:$H,"ST-TXV-3",'ST | Drawing List'!M:M,1)</f>
        <v>0</v>
      </c>
      <c r="CD89" s="616">
        <f>COUNTIFS('ST | Drawing List'!$H:$H,"ST-TXV-3",'ST | Drawing List'!N:N,1)</f>
        <v>0</v>
      </c>
      <c r="CE89" s="616">
        <f>COUNTIFS('ST | Drawing List'!$H:$H,"ST-TXV-3",'ST | Drawing List'!O:O,1)</f>
        <v>0</v>
      </c>
      <c r="CF89" s="616">
        <f>COUNTIFS('ST | Drawing List'!$H:$H,"ST-TXV-3",'ST | Drawing List'!P:P,1)</f>
        <v>0</v>
      </c>
      <c r="CG89" s="532"/>
      <c r="CH89" s="623">
        <f>COUNTIFS('ST | Drawing List'!$H:$H,"ST-TXV-3",'ST | Drawing List'!$Q:$Q,1)</f>
        <v>0</v>
      </c>
      <c r="CI89" s="616">
        <f>COUNTIFS('ST | Drawing List'!$H:$H,"ST-TXV-3",'ST | Drawing List'!R:R,1)</f>
        <v>0</v>
      </c>
      <c r="CJ89" s="616">
        <f>COUNTIFS('ST | Drawing List'!$H:$H,"ST-TXV-3",'ST | Drawing List'!S:S,1)</f>
        <v>0</v>
      </c>
      <c r="CK89" s="616">
        <f>COUNTIFS('ST | Drawing List'!$H:$H,"ST-TXV-3",'ST | Drawing List'!T:T,1)</f>
        <v>0</v>
      </c>
      <c r="CL89" s="616">
        <f>COUNTIFS('ST | Drawing List'!$H:$H,"ST-TXV-3",'ST | Drawing List'!U:U,1)</f>
        <v>0</v>
      </c>
      <c r="CM89" s="343"/>
      <c r="CN89" s="343"/>
      <c r="CO89" s="666">
        <v>0</v>
      </c>
      <c r="CP89" s="343"/>
      <c r="CQ89" s="616">
        <f t="shared" si="392"/>
        <v>0</v>
      </c>
      <c r="CR89" s="618">
        <f t="shared" si="236"/>
        <v>0</v>
      </c>
      <c r="CS89" s="615">
        <f t="shared" si="393"/>
        <v>0</v>
      </c>
      <c r="CT89" s="615">
        <f t="shared" si="394"/>
        <v>0</v>
      </c>
      <c r="CU89" s="615">
        <f t="shared" si="395"/>
        <v>0</v>
      </c>
      <c r="CV89" s="615">
        <f t="shared" si="396"/>
        <v>0</v>
      </c>
      <c r="CW89" s="615">
        <f t="shared" si="397"/>
        <v>0</v>
      </c>
      <c r="CX89" s="615">
        <f t="shared" si="398"/>
        <v>0</v>
      </c>
      <c r="CY89" s="339"/>
      <c r="CZ89" s="615">
        <f t="shared" si="399"/>
        <v>0</v>
      </c>
      <c r="DA89" s="615">
        <f t="shared" si="400"/>
        <v>0</v>
      </c>
      <c r="DB89" s="615">
        <f t="shared" si="401"/>
        <v>0</v>
      </c>
      <c r="DC89" s="615">
        <f t="shared" si="402"/>
        <v>0</v>
      </c>
      <c r="DD89" s="615">
        <f t="shared" si="403"/>
        <v>0</v>
      </c>
      <c r="DE89" s="339"/>
      <c r="DF89" s="625">
        <f t="shared" si="404"/>
        <v>0</v>
      </c>
      <c r="DG89" s="625">
        <f t="shared" si="405"/>
        <v>0</v>
      </c>
      <c r="DH89" s="625">
        <f t="shared" si="406"/>
        <v>0</v>
      </c>
      <c r="DI89" s="347"/>
      <c r="DJ89" s="615">
        <f>COUNTIF('MEP | Drawing List'!$H:$H,"MEP-T2V-6V-3")</f>
        <v>0</v>
      </c>
      <c r="DK89" s="616">
        <f>COUNTIFS('MEP | Drawing List'!$H:$H,"MEP-T2V-6V-3",'MEP | Drawing List'!$J:$J,1)</f>
        <v>0</v>
      </c>
      <c r="DL89" s="616">
        <f>COUNTIFS('MEP | Drawing List'!$H:$H,"MEP-T2V-6V-3",'MEP | Drawing List'!$L:$L,1)</f>
        <v>0</v>
      </c>
      <c r="DM89" s="615">
        <f>COUNTIFS('MEP | Drawing List'!$H:$H,"MEP-T2V-6V-3",'MEP | Drawing List'!M:M,1)</f>
        <v>0</v>
      </c>
      <c r="DN89" s="615">
        <f>COUNTIFS('MEP | Drawing List'!$H:$H,"MEP-T2V-6V-3",'MEP | Drawing List'!N:N,1)</f>
        <v>0</v>
      </c>
      <c r="DO89" s="615">
        <f>COUNTIFS('MEP | Drawing List'!$H:$H,"MEP-T2V-6V-3",'MEP | Drawing List'!O:O,1)</f>
        <v>0</v>
      </c>
      <c r="DP89" s="615">
        <f>COUNTIFS('MEP | Drawing List'!$H:$H,"MEP-T2V-6V-3",'MEP | Drawing List'!P:P,1)</f>
        <v>0</v>
      </c>
      <c r="DQ89" s="339"/>
      <c r="DR89" s="616">
        <f>COUNTIFS('MEP | Drawing List'!$H:$H,"MEP-T2V-6V-3",'MEP | Drawing List'!$Q:$Q,1)</f>
        <v>0</v>
      </c>
      <c r="DS89" s="615">
        <f>COUNTIFS('MEP | Drawing List'!$H:$H,"MEP-T2V-6V-3",'MEP | Drawing List'!R:R,1)</f>
        <v>0</v>
      </c>
      <c r="DT89" s="615">
        <f>COUNTIFS('MEP | Drawing List'!$H:$H,"MEP-T2V-6V-3",'MEP | Drawing List'!S:S,1)</f>
        <v>0</v>
      </c>
      <c r="DU89" s="615">
        <f>COUNTIFS('MEP | Drawing List'!$H:$H,"MEP-T2V-6V-3",'MEP | Drawing List'!T:T,1)</f>
        <v>0</v>
      </c>
      <c r="DV89" s="615">
        <f>COUNTIFS('MEP | Drawing List'!$H:$H,"MEP-T2V-6V-3",'MEP | Drawing List'!U:U,1)</f>
        <v>0</v>
      </c>
      <c r="DW89" s="343"/>
      <c r="DX89" s="343"/>
      <c r="DY89" s="525">
        <v>0</v>
      </c>
      <c r="DZ89" s="343"/>
      <c r="EA89" s="344">
        <v>0</v>
      </c>
      <c r="EB89" s="618">
        <f t="shared" si="237"/>
        <v>0</v>
      </c>
      <c r="EC89" s="81"/>
      <c r="ED89" s="81"/>
      <c r="EE89" s="339"/>
      <c r="EF89" s="339"/>
      <c r="EG89" s="339"/>
      <c r="EH89" s="339"/>
      <c r="EI89" s="339"/>
      <c r="EJ89" s="81"/>
      <c r="EK89" s="339"/>
      <c r="EL89" s="339"/>
      <c r="EM89" s="339"/>
      <c r="EN89" s="339"/>
      <c r="EO89" s="339"/>
      <c r="EP89" s="103"/>
      <c r="EQ89" s="103"/>
      <c r="ER89" s="103"/>
      <c r="ES89" s="83"/>
      <c r="ET89" s="615">
        <f>COUNTIF('LS | Drawing List'!$H:$H,"LS-TXV-3")</f>
        <v>0</v>
      </c>
      <c r="EU89" s="616">
        <f>COUNTIFS('LS | Drawing List'!$H:$H,"LS-TXV-3",'LS | Drawing List'!$J:$J,1)</f>
        <v>0</v>
      </c>
      <c r="EV89" s="616">
        <f>COUNTIFS('LS | Drawing List'!$H:$H,"LS-TXV-3",'LS | Drawing List'!$L:$L,1)</f>
        <v>0</v>
      </c>
      <c r="EW89" s="615">
        <f>COUNTIFS('LS | Drawing List'!$H:$H,"LS-TXV-3",'LS | Drawing List'!M:M,1)</f>
        <v>0</v>
      </c>
      <c r="EX89" s="615">
        <f>COUNTIFS('LS | Drawing List'!$H:$H,"LS-TXV-3",'LS | Drawing List'!N:N,1)</f>
        <v>0</v>
      </c>
      <c r="EY89" s="615">
        <f>COUNTIFS('LS | Drawing List'!$H:$H,"LS-TXV-3",'LS | Drawing List'!O:O,1)</f>
        <v>0</v>
      </c>
      <c r="EZ89" s="615">
        <f>COUNTIFS('LS | Drawing List'!$H:$H,"LS-TXV-3",'LS | Drawing List'!P:P,1)</f>
        <v>0</v>
      </c>
      <c r="FA89" s="81"/>
      <c r="FB89" s="616">
        <f>COUNTIFS('LS | Drawing List'!$H:$H,"LS-TXV-3",'LS | Drawing List'!$Q:$Q,1)</f>
        <v>0</v>
      </c>
      <c r="FC89" s="615">
        <f>COUNTIFS('LS | Drawing List'!$H:$H,"LS-TXV-3",'LS | Drawing List'!R:R,1)</f>
        <v>0</v>
      </c>
      <c r="FD89" s="615">
        <f>COUNTIFS('LS | Drawing List'!$H:$H,"LS-TXV-3",'LS | Drawing List'!S:S,1)</f>
        <v>0</v>
      </c>
      <c r="FE89" s="615">
        <f>COUNTIFS('LS | Drawing List'!$H:$H,"LS-TXV-3",'LS | Drawing List'!T:T,1)</f>
        <v>0</v>
      </c>
      <c r="FF89" s="615">
        <f>COUNTIFS('LS | Drawing List'!$H:$H,"LS-TXV-3",'LS | Drawing List'!U:U,1)</f>
        <v>0</v>
      </c>
      <c r="FG89" s="48"/>
    </row>
    <row r="90" spans="1:163" ht="14.25" hidden="1" outlineLevel="2">
      <c r="A90" s="48"/>
      <c r="B90" s="87" t="s">
        <v>99</v>
      </c>
      <c r="C90" s="276">
        <v>4</v>
      </c>
      <c r="D90" s="272" t="s">
        <v>58</v>
      </c>
      <c r="E90" s="48"/>
      <c r="F90" s="619">
        <f t="shared" si="358"/>
        <v>0.66397344000000003</v>
      </c>
      <c r="G90" s="619">
        <f t="shared" si="359"/>
        <v>0.66397344000000003</v>
      </c>
      <c r="H90" s="615">
        <f t="shared" si="360"/>
        <v>0</v>
      </c>
      <c r="I90" s="615">
        <f t="shared" si="332"/>
        <v>0</v>
      </c>
      <c r="J90" s="615">
        <f t="shared" si="333"/>
        <v>0</v>
      </c>
      <c r="K90" s="615">
        <f t="shared" si="334"/>
        <v>0</v>
      </c>
      <c r="L90" s="615">
        <f t="shared" si="335"/>
        <v>0</v>
      </c>
      <c r="M90" s="620">
        <f t="shared" si="336"/>
        <v>0</v>
      </c>
      <c r="N90" s="287"/>
      <c r="O90" s="615">
        <f t="shared" si="337"/>
        <v>0</v>
      </c>
      <c r="P90" s="615">
        <f t="shared" si="338"/>
        <v>0</v>
      </c>
      <c r="Q90" s="615">
        <f t="shared" si="339"/>
        <v>0</v>
      </c>
      <c r="R90" s="615">
        <f t="shared" si="340"/>
        <v>0</v>
      </c>
      <c r="S90" s="615">
        <f t="shared" si="341"/>
        <v>0</v>
      </c>
      <c r="T90" s="48"/>
      <c r="U90" s="519">
        <v>0.05</v>
      </c>
      <c r="V90" s="131"/>
      <c r="W90" s="619">
        <f t="shared" si="361"/>
        <v>0.33054720000000004</v>
      </c>
      <c r="X90" s="619">
        <f t="shared" si="234"/>
        <v>0.33054720000000004</v>
      </c>
      <c r="Y90" s="615">
        <f t="shared" si="362"/>
        <v>0.33054720000000004</v>
      </c>
      <c r="Z90" s="615">
        <f t="shared" si="363"/>
        <v>0</v>
      </c>
      <c r="AA90" s="615">
        <f t="shared" si="364"/>
        <v>0</v>
      </c>
      <c r="AB90" s="615">
        <f t="shared" si="365"/>
        <v>0</v>
      </c>
      <c r="AC90" s="615">
        <f t="shared" si="366"/>
        <v>0</v>
      </c>
      <c r="AD90" s="620">
        <f t="shared" si="367"/>
        <v>0</v>
      </c>
      <c r="AE90" s="287"/>
      <c r="AF90" s="615">
        <f t="shared" si="368"/>
        <v>0</v>
      </c>
      <c r="AG90" s="615">
        <f t="shared" si="369"/>
        <v>0</v>
      </c>
      <c r="AH90" s="615">
        <f t="shared" si="370"/>
        <v>0</v>
      </c>
      <c r="AI90" s="615">
        <f t="shared" si="371"/>
        <v>0</v>
      </c>
      <c r="AJ90" s="615">
        <f t="shared" si="372"/>
        <v>0</v>
      </c>
      <c r="AK90" s="339"/>
      <c r="AL90" s="625">
        <f t="shared" si="373"/>
        <v>1</v>
      </c>
      <c r="AM90" s="625">
        <f t="shared" si="374"/>
        <v>0</v>
      </c>
      <c r="AN90" s="625">
        <f t="shared" si="375"/>
        <v>0</v>
      </c>
      <c r="AO90" s="345"/>
      <c r="AP90" s="615">
        <f>COUNTIF('AR | Drawing List'!$H:$H,"AR-TXV-4")</f>
        <v>3</v>
      </c>
      <c r="AQ90" s="616">
        <f>COUNTIFS('AR | Drawing List'!$H:$H,"AR-TXV-4",'AR | Drawing List'!$J:$J,1)</f>
        <v>3</v>
      </c>
      <c r="AR90" s="616">
        <f t="shared" si="238"/>
        <v>0</v>
      </c>
      <c r="AS90" s="616">
        <f>COUNTIFS('AR | Drawing List'!$H:$H,"AR-TXV-4",'AR | Drawing List'!M:M,1)</f>
        <v>0</v>
      </c>
      <c r="AT90" s="616">
        <f>COUNTIFS('AR | Drawing List'!$H:$H,"AR-TXV-4",'AR | Drawing List'!N:N,1)</f>
        <v>0</v>
      </c>
      <c r="AU90" s="616">
        <f>COUNTIFS('AR | Drawing List'!$H:$H,"AR-TXV-4",'AR | Drawing List'!O:O,1)</f>
        <v>0</v>
      </c>
      <c r="AV90" s="616">
        <f>COUNTIFS('AR | Drawing List'!$H:$H,"AR-TXV-4",'AR | Drawing List'!P:P,1)</f>
        <v>0</v>
      </c>
      <c r="AW90" s="328"/>
      <c r="AX90" s="616">
        <f t="shared" si="376"/>
        <v>0</v>
      </c>
      <c r="AY90" s="616">
        <f>COUNTIFS('AR | Drawing List'!$H:$H,"AR-TXV-4",'AR | Drawing List'!R:R,1)</f>
        <v>0</v>
      </c>
      <c r="AZ90" s="616">
        <f>COUNTIFS('AR | Drawing List'!$H:$H,"AR-TXV-4",'AR | Drawing List'!S:S,1)</f>
        <v>0</v>
      </c>
      <c r="BA90" s="616">
        <f>COUNTIFS('AR | Drawing List'!$H:$H,"AR-TXV-4",'AR | Drawing List'!T:T,1)</f>
        <v>0</v>
      </c>
      <c r="BB90" s="616">
        <f>COUNTIFS('AR | Drawing List'!$H:$H,"AR-TXV-4",'AR | Drawing List'!U:U,1)</f>
        <v>0</v>
      </c>
      <c r="BC90" s="359"/>
      <c r="BD90" s="359"/>
      <c r="BE90" s="523">
        <v>0.1</v>
      </c>
      <c r="BF90" s="343"/>
      <c r="BG90" s="616">
        <f t="shared" si="377"/>
        <v>0.27651744</v>
      </c>
      <c r="BH90" s="618">
        <f t="shared" si="235"/>
        <v>0.27651744</v>
      </c>
      <c r="BI90" s="615">
        <f t="shared" si="378"/>
        <v>0.27651744</v>
      </c>
      <c r="BJ90" s="615">
        <f t="shared" si="379"/>
        <v>0</v>
      </c>
      <c r="BK90" s="615">
        <f t="shared" si="380"/>
        <v>0</v>
      </c>
      <c r="BL90" s="615">
        <f t="shared" si="381"/>
        <v>0</v>
      </c>
      <c r="BM90" s="615">
        <f t="shared" si="382"/>
        <v>0</v>
      </c>
      <c r="BN90" s="615">
        <f t="shared" si="383"/>
        <v>0</v>
      </c>
      <c r="BO90" s="339"/>
      <c r="BP90" s="615">
        <f t="shared" si="384"/>
        <v>0</v>
      </c>
      <c r="BQ90" s="615">
        <f t="shared" si="385"/>
        <v>0</v>
      </c>
      <c r="BR90" s="615">
        <f t="shared" si="386"/>
        <v>0</v>
      </c>
      <c r="BS90" s="615">
        <f t="shared" si="387"/>
        <v>0</v>
      </c>
      <c r="BT90" s="615">
        <f t="shared" si="388"/>
        <v>0</v>
      </c>
      <c r="BU90" s="339"/>
      <c r="BV90" s="635">
        <f t="shared" si="389"/>
        <v>1</v>
      </c>
      <c r="BW90" s="635">
        <f t="shared" si="390"/>
        <v>0</v>
      </c>
      <c r="BX90" s="635">
        <f t="shared" si="391"/>
        <v>0</v>
      </c>
      <c r="BY90" s="341"/>
      <c r="BZ90" s="615">
        <f>COUNTIF('ST | Drawing List'!$H:$H,"ST-TXV-4")</f>
        <v>5</v>
      </c>
      <c r="CA90" s="616">
        <f>COUNTIFS('ST | Drawing List'!$H:$H,"ST-TXV-4",'ST | Drawing List'!$J:$J,1)</f>
        <v>5</v>
      </c>
      <c r="CB90" s="623">
        <f>COUNTIFS('ST | Drawing List'!$H:$H,"ST-TXV-4",'ST | Drawing List'!$L:$L,1)</f>
        <v>0</v>
      </c>
      <c r="CC90" s="616">
        <f>COUNTIFS('ST | Drawing List'!$H:$H,"ST-TXV-4",'ST | Drawing List'!M:M,1)</f>
        <v>0</v>
      </c>
      <c r="CD90" s="616">
        <f>COUNTIFS('ST | Drawing List'!$H:$H,"ST-TXV-4",'ST | Drawing List'!N:N,1)</f>
        <v>0</v>
      </c>
      <c r="CE90" s="616">
        <f>COUNTIFS('ST | Drawing List'!$H:$H,"ST-TXV-4",'ST | Drawing List'!O:O,1)</f>
        <v>0</v>
      </c>
      <c r="CF90" s="616">
        <f>COUNTIFS('ST | Drawing List'!$H:$H,"ST-TXV-4",'ST | Drawing List'!P:P,1)</f>
        <v>0</v>
      </c>
      <c r="CG90" s="532"/>
      <c r="CH90" s="623">
        <f>COUNTIFS('ST | Drawing List'!$H:$H,"ST-TXV-4",'ST | Drawing List'!$Q:$Q,1)</f>
        <v>0</v>
      </c>
      <c r="CI90" s="616">
        <f>COUNTIFS('ST | Drawing List'!$H:$H,"ST-TXV-4",'ST | Drawing List'!R:R,1)</f>
        <v>0</v>
      </c>
      <c r="CJ90" s="616">
        <f>COUNTIFS('ST | Drawing List'!$H:$H,"ST-TXV-4",'ST | Drawing List'!S:S,1)</f>
        <v>0</v>
      </c>
      <c r="CK90" s="616">
        <f>COUNTIFS('ST | Drawing List'!$H:$H,"ST-TXV-4",'ST | Drawing List'!T:T,1)</f>
        <v>0</v>
      </c>
      <c r="CL90" s="616">
        <f>COUNTIFS('ST | Drawing List'!$H:$H,"ST-TXV-4",'ST | Drawing List'!U:U,1)</f>
        <v>0</v>
      </c>
      <c r="CM90" s="343"/>
      <c r="CN90" s="343"/>
      <c r="CO90" s="523">
        <v>0.15</v>
      </c>
      <c r="CP90" s="343"/>
      <c r="CQ90" s="616">
        <f t="shared" si="392"/>
        <v>5.6908799999999996E-2</v>
      </c>
      <c r="CR90" s="618">
        <f t="shared" si="236"/>
        <v>5.6908799999999996E-2</v>
      </c>
      <c r="CS90" s="615">
        <f t="shared" si="393"/>
        <v>5.6908799999999996E-2</v>
      </c>
      <c r="CT90" s="615">
        <f t="shared" si="394"/>
        <v>0</v>
      </c>
      <c r="CU90" s="615">
        <f t="shared" si="395"/>
        <v>0</v>
      </c>
      <c r="CV90" s="615">
        <f t="shared" si="396"/>
        <v>0</v>
      </c>
      <c r="CW90" s="615">
        <f t="shared" si="397"/>
        <v>0</v>
      </c>
      <c r="CX90" s="615">
        <f t="shared" si="398"/>
        <v>0</v>
      </c>
      <c r="CY90" s="339"/>
      <c r="CZ90" s="615">
        <f t="shared" si="399"/>
        <v>0</v>
      </c>
      <c r="DA90" s="615">
        <f t="shared" si="400"/>
        <v>0</v>
      </c>
      <c r="DB90" s="615">
        <f t="shared" si="401"/>
        <v>0</v>
      </c>
      <c r="DC90" s="615">
        <f t="shared" si="402"/>
        <v>0</v>
      </c>
      <c r="DD90" s="615">
        <f t="shared" si="403"/>
        <v>0</v>
      </c>
      <c r="DE90" s="339"/>
      <c r="DF90" s="625">
        <f t="shared" si="404"/>
        <v>1</v>
      </c>
      <c r="DG90" s="625">
        <f t="shared" si="405"/>
        <v>0</v>
      </c>
      <c r="DH90" s="625">
        <f t="shared" si="406"/>
        <v>0</v>
      </c>
      <c r="DI90" s="341"/>
      <c r="DJ90" s="615">
        <f>COUNTIF('MEP | Drawing List'!$H:$H,"MEP-T2V-6V-4")</f>
        <v>23</v>
      </c>
      <c r="DK90" s="616">
        <f>COUNTIFS('MEP | Drawing List'!$H:$H,"MEP-T2V-6V-4",'MEP | Drawing List'!$J:$J,1)</f>
        <v>23</v>
      </c>
      <c r="DL90" s="616">
        <f>COUNTIFS('MEP | Drawing List'!$H:$H,"MEP-T2V-6V-4",'MEP | Drawing List'!$L:$L,1)</f>
        <v>0</v>
      </c>
      <c r="DM90" s="615">
        <f>COUNTIFS('MEP | Drawing List'!$H:$H,"MEP-T2V-6V-4",'MEP | Drawing List'!M:M,1)</f>
        <v>0</v>
      </c>
      <c r="DN90" s="615">
        <f>COUNTIFS('MEP | Drawing List'!$H:$H,"MEP-T2V-6V-4",'MEP | Drawing List'!N:N,1)</f>
        <v>0</v>
      </c>
      <c r="DO90" s="615">
        <f>COUNTIFS('MEP | Drawing List'!$H:$H,"MEP-T2V-6V-4",'MEP | Drawing List'!O:O,1)</f>
        <v>0</v>
      </c>
      <c r="DP90" s="615">
        <f>COUNTIFS('MEP | Drawing List'!$H:$H,"MEP-T2V-6V-4",'MEP | Drawing List'!P:P,1)</f>
        <v>0</v>
      </c>
      <c r="DQ90" s="339"/>
      <c r="DR90" s="616">
        <f>COUNTIFS('MEP | Drawing List'!$H:$H,"MEP-T2V-6V-4",'MEP | Drawing List'!$Q:$Q,1)</f>
        <v>0</v>
      </c>
      <c r="DS90" s="615">
        <f>COUNTIFS('MEP | Drawing List'!$H:$H,"MEP-T2V-6V-4",'MEP | Drawing List'!R:R,1)</f>
        <v>0</v>
      </c>
      <c r="DT90" s="615">
        <f>COUNTIFS('MEP | Drawing List'!$H:$H,"MEP-T2V-6V-4",'MEP | Drawing List'!S:S,1)</f>
        <v>0</v>
      </c>
      <c r="DU90" s="615">
        <f>COUNTIFS('MEP | Drawing List'!$H:$H,"MEP-T2V-6V-4",'MEP | Drawing List'!T:T,1)</f>
        <v>0</v>
      </c>
      <c r="DV90" s="615">
        <f>COUNTIFS('MEP | Drawing List'!$H:$H,"MEP-T2V-6V-4",'MEP | Drawing List'!U:U,1)</f>
        <v>0</v>
      </c>
      <c r="DW90" s="343"/>
      <c r="DX90" s="343"/>
      <c r="DY90" s="525">
        <v>0</v>
      </c>
      <c r="DZ90" s="343"/>
      <c r="EA90" s="344">
        <v>0</v>
      </c>
      <c r="EB90" s="618">
        <f t="shared" si="237"/>
        <v>0</v>
      </c>
      <c r="EC90" s="81"/>
      <c r="ED90" s="81"/>
      <c r="EE90" s="339"/>
      <c r="EF90" s="339"/>
      <c r="EG90" s="339"/>
      <c r="EH90" s="339"/>
      <c r="EI90" s="339"/>
      <c r="EJ90" s="81"/>
      <c r="EK90" s="339"/>
      <c r="EL90" s="339"/>
      <c r="EM90" s="339"/>
      <c r="EN90" s="339"/>
      <c r="EO90" s="339"/>
      <c r="EP90" s="103"/>
      <c r="EQ90" s="103"/>
      <c r="ER90" s="103"/>
      <c r="ES90" s="82"/>
      <c r="ET90" s="615">
        <f>COUNTIF('LS | Drawing List'!$H:$H,"LS-TXV-4")</f>
        <v>0</v>
      </c>
      <c r="EU90" s="616">
        <f>COUNTIFS('LS | Drawing List'!$H:$H,"LS-TXV-4",'LS | Drawing List'!$J:$J,1)</f>
        <v>0</v>
      </c>
      <c r="EV90" s="616">
        <f>COUNTIFS('LS | Drawing List'!$H:$H,"LS-TXV-4",'LS | Drawing List'!$L:$L,1)</f>
        <v>0</v>
      </c>
      <c r="EW90" s="615">
        <f>COUNTIFS('LS | Drawing List'!$H:$H,"LS-TXV-4",'LS | Drawing List'!M:M,1)</f>
        <v>0</v>
      </c>
      <c r="EX90" s="615">
        <f>COUNTIFS('LS | Drawing List'!$H:$H,"LS-TXV-4",'LS | Drawing List'!N:N,1)</f>
        <v>0</v>
      </c>
      <c r="EY90" s="615">
        <f>COUNTIFS('LS | Drawing List'!$H:$H,"LS-TXV-4",'LS | Drawing List'!O:O,1)</f>
        <v>0</v>
      </c>
      <c r="EZ90" s="615">
        <f>COUNTIFS('LS | Drawing List'!$H:$H,"LS-TXV-4",'LS | Drawing List'!P:P,1)</f>
        <v>0</v>
      </c>
      <c r="FA90" s="81"/>
      <c r="FB90" s="616">
        <f>COUNTIFS('LS | Drawing List'!$H:$H,"LS-TXV-4",'LS | Drawing List'!$Q:$Q,1)</f>
        <v>0</v>
      </c>
      <c r="FC90" s="615">
        <f>COUNTIFS('LS | Drawing List'!$H:$H,"LS-TXV-4",'LS | Drawing List'!R:R,1)</f>
        <v>0</v>
      </c>
      <c r="FD90" s="615">
        <f>COUNTIFS('LS | Drawing List'!$H:$H,"LS-TXV-4",'LS | Drawing List'!S:S,1)</f>
        <v>0</v>
      </c>
      <c r="FE90" s="615">
        <f>COUNTIFS('LS | Drawing List'!$H:$H,"LS-TXV-4",'LS | Drawing List'!T:T,1)</f>
        <v>0</v>
      </c>
      <c r="FF90" s="615">
        <f>COUNTIFS('LS | Drawing List'!$H:$H,"LS-TXV-4",'LS | Drawing List'!U:U,1)</f>
        <v>0</v>
      </c>
      <c r="FG90" s="48"/>
    </row>
    <row r="91" spans="1:163" ht="14.25" hidden="1" outlineLevel="2">
      <c r="A91" s="48"/>
      <c r="B91" s="87" t="s">
        <v>100</v>
      </c>
      <c r="C91" s="276">
        <v>5</v>
      </c>
      <c r="D91" s="273" t="s">
        <v>60</v>
      </c>
      <c r="E91" s="48"/>
      <c r="F91" s="619">
        <f t="shared" si="358"/>
        <v>0.30353232000000002</v>
      </c>
      <c r="G91" s="619">
        <f t="shared" si="359"/>
        <v>0.30353232000000002</v>
      </c>
      <c r="H91" s="615">
        <f t="shared" si="360"/>
        <v>0</v>
      </c>
      <c r="I91" s="615">
        <f t="shared" si="332"/>
        <v>0</v>
      </c>
      <c r="J91" s="615">
        <f t="shared" si="333"/>
        <v>0</v>
      </c>
      <c r="K91" s="615">
        <f t="shared" si="334"/>
        <v>0</v>
      </c>
      <c r="L91" s="615">
        <f t="shared" si="335"/>
        <v>0</v>
      </c>
      <c r="M91" s="620">
        <f t="shared" si="336"/>
        <v>0</v>
      </c>
      <c r="N91" s="287"/>
      <c r="O91" s="615">
        <f t="shared" si="337"/>
        <v>0</v>
      </c>
      <c r="P91" s="615">
        <f t="shared" si="338"/>
        <v>0</v>
      </c>
      <c r="Q91" s="615">
        <f t="shared" si="339"/>
        <v>0</v>
      </c>
      <c r="R91" s="615">
        <f t="shared" si="340"/>
        <v>0</v>
      </c>
      <c r="S91" s="615">
        <f t="shared" si="341"/>
        <v>0</v>
      </c>
      <c r="T91" s="48"/>
      <c r="U91" s="519">
        <v>2.5000000000000001E-2</v>
      </c>
      <c r="V91" s="131"/>
      <c r="W91" s="619">
        <f t="shared" si="361"/>
        <v>0.16527360000000002</v>
      </c>
      <c r="X91" s="619">
        <f t="shared" si="234"/>
        <v>0.16527360000000002</v>
      </c>
      <c r="Y91" s="615">
        <f t="shared" si="362"/>
        <v>0.16527360000000002</v>
      </c>
      <c r="Z91" s="615">
        <f t="shared" si="363"/>
        <v>0</v>
      </c>
      <c r="AA91" s="615">
        <f t="shared" si="364"/>
        <v>0</v>
      </c>
      <c r="AB91" s="615">
        <f t="shared" si="365"/>
        <v>0</v>
      </c>
      <c r="AC91" s="615">
        <f t="shared" si="366"/>
        <v>0</v>
      </c>
      <c r="AD91" s="620">
        <f t="shared" si="367"/>
        <v>0</v>
      </c>
      <c r="AE91" s="287"/>
      <c r="AF91" s="615">
        <f t="shared" si="368"/>
        <v>0</v>
      </c>
      <c r="AG91" s="615">
        <f t="shared" si="369"/>
        <v>0</v>
      </c>
      <c r="AH91" s="615">
        <f t="shared" si="370"/>
        <v>0</v>
      </c>
      <c r="AI91" s="615">
        <f t="shared" si="371"/>
        <v>0</v>
      </c>
      <c r="AJ91" s="615">
        <f t="shared" si="372"/>
        <v>0</v>
      </c>
      <c r="AK91" s="339"/>
      <c r="AL91" s="625">
        <f t="shared" si="373"/>
        <v>1</v>
      </c>
      <c r="AM91" s="625">
        <f t="shared" si="374"/>
        <v>0</v>
      </c>
      <c r="AN91" s="625">
        <f t="shared" si="375"/>
        <v>0</v>
      </c>
      <c r="AO91" s="345"/>
      <c r="AP91" s="615">
        <f>COUNTIF('AR | Drawing List'!$H:$H,"AR-TXV-5")</f>
        <v>8</v>
      </c>
      <c r="AQ91" s="616">
        <f>COUNTIFS('AR | Drawing List'!$H:$H,"AR-TXV-5",'AR | Drawing List'!$J:$J,1)</f>
        <v>8</v>
      </c>
      <c r="AR91" s="616">
        <f t="shared" si="238"/>
        <v>0</v>
      </c>
      <c r="AS91" s="616">
        <f>COUNTIFS('AR | Drawing List'!$H:$H,"AR-TXV-5",'AR | Drawing List'!M:M,1)</f>
        <v>0</v>
      </c>
      <c r="AT91" s="616">
        <f>COUNTIFS('AR | Drawing List'!$H:$H,"AR-TXV-5",'AR | Drawing List'!N:N,1)</f>
        <v>0</v>
      </c>
      <c r="AU91" s="616">
        <f>COUNTIFS('AR | Drawing List'!$H:$H,"AR-TXV-5",'AR | Drawing List'!O:O,1)</f>
        <v>0</v>
      </c>
      <c r="AV91" s="616">
        <f>COUNTIFS('AR | Drawing List'!$H:$H,"AR-TXV-5",'AR | Drawing List'!P:P,1)</f>
        <v>0</v>
      </c>
      <c r="AW91" s="328"/>
      <c r="AX91" s="616">
        <f t="shared" si="376"/>
        <v>0</v>
      </c>
      <c r="AY91" s="616">
        <f>COUNTIFS('AR | Drawing List'!$H:$H,"AR-TXV-5",'AR | Drawing List'!R:R,1)</f>
        <v>0</v>
      </c>
      <c r="AZ91" s="616">
        <f>COUNTIFS('AR | Drawing List'!$H:$H,"AR-TXV-5",'AR | Drawing List'!S:S,1)</f>
        <v>0</v>
      </c>
      <c r="BA91" s="616">
        <f>COUNTIFS('AR | Drawing List'!$H:$H,"AR-TXV-5",'AR | Drawing List'!T:T,1)</f>
        <v>0</v>
      </c>
      <c r="BB91" s="616">
        <f>COUNTIFS('AR | Drawing List'!$H:$H,"AR-TXV-5",'AR | Drawing List'!U:U,1)</f>
        <v>0</v>
      </c>
      <c r="BC91" s="328"/>
      <c r="BD91" s="328"/>
      <c r="BE91" s="523">
        <v>0.05</v>
      </c>
      <c r="BF91" s="343"/>
      <c r="BG91" s="616">
        <f t="shared" si="377"/>
        <v>0.13825872</v>
      </c>
      <c r="BH91" s="618">
        <f t="shared" si="235"/>
        <v>0.13825872</v>
      </c>
      <c r="BI91" s="615">
        <f t="shared" si="378"/>
        <v>0.13825872</v>
      </c>
      <c r="BJ91" s="615">
        <f t="shared" si="379"/>
        <v>0</v>
      </c>
      <c r="BK91" s="615">
        <f t="shared" si="380"/>
        <v>0</v>
      </c>
      <c r="BL91" s="615">
        <f t="shared" si="381"/>
        <v>0</v>
      </c>
      <c r="BM91" s="615">
        <f t="shared" si="382"/>
        <v>0</v>
      </c>
      <c r="BN91" s="615">
        <f t="shared" si="383"/>
        <v>0</v>
      </c>
      <c r="BO91" s="339"/>
      <c r="BP91" s="615">
        <f t="shared" si="384"/>
        <v>0</v>
      </c>
      <c r="BQ91" s="615">
        <f t="shared" si="385"/>
        <v>0</v>
      </c>
      <c r="BR91" s="615">
        <f t="shared" si="386"/>
        <v>0</v>
      </c>
      <c r="BS91" s="615">
        <f t="shared" si="387"/>
        <v>0</v>
      </c>
      <c r="BT91" s="615">
        <f t="shared" si="388"/>
        <v>0</v>
      </c>
      <c r="BU91" s="339"/>
      <c r="BV91" s="635">
        <f t="shared" si="389"/>
        <v>1</v>
      </c>
      <c r="BW91" s="635">
        <f t="shared" si="390"/>
        <v>0</v>
      </c>
      <c r="BX91" s="635">
        <f t="shared" si="391"/>
        <v>0</v>
      </c>
      <c r="BY91" s="341"/>
      <c r="BZ91" s="615">
        <f>COUNTIF('ST | Drawing List'!$H:$H,"ST-TXV-5")</f>
        <v>23</v>
      </c>
      <c r="CA91" s="616">
        <f>COUNTIFS('ST | Drawing List'!$H:$H,"ST-TXV-5",'ST | Drawing List'!$J:$J,1)</f>
        <v>23</v>
      </c>
      <c r="CB91" s="623">
        <f>COUNTIFS('ST | Drawing List'!$H:$H,"ST-TXV-5",'ST | Drawing List'!$L:$L,1)</f>
        <v>0</v>
      </c>
      <c r="CC91" s="616">
        <f>COUNTIFS('ST | Drawing List'!$H:$H,"ST-TXV-5",'ST | Drawing List'!M:M,1)</f>
        <v>0</v>
      </c>
      <c r="CD91" s="616">
        <f>COUNTIFS('ST | Drawing List'!$H:$H,"ST-TXV-5",'ST | Drawing List'!N:N,1)</f>
        <v>0</v>
      </c>
      <c r="CE91" s="616">
        <f>COUNTIFS('ST | Drawing List'!$H:$H,"ST-TXV-5",'ST | Drawing List'!O:O,1)</f>
        <v>0</v>
      </c>
      <c r="CF91" s="616">
        <f>COUNTIFS('ST | Drawing List'!$H:$H,"ST-TXV-5",'ST | Drawing List'!P:P,1)</f>
        <v>0</v>
      </c>
      <c r="CG91" s="532"/>
      <c r="CH91" s="623">
        <f>COUNTIFS('ST | Drawing List'!$H:$H,"ST-TXV-5",'ST | Drawing List'!$Q:$Q,1)</f>
        <v>0</v>
      </c>
      <c r="CI91" s="616">
        <f>COUNTIFS('ST | Drawing List'!$H:$H,"ST-TXV-5",'ST | Drawing List'!R:R,1)</f>
        <v>0</v>
      </c>
      <c r="CJ91" s="616">
        <f>COUNTIFS('ST | Drawing List'!$H:$H,"ST-TXV-5",'ST | Drawing List'!S:S,1)</f>
        <v>0</v>
      </c>
      <c r="CK91" s="616">
        <f>COUNTIFS('ST | Drawing List'!$H:$H,"ST-TXV-5",'ST | Drawing List'!T:T,1)</f>
        <v>0</v>
      </c>
      <c r="CL91" s="616">
        <f>COUNTIFS('ST | Drawing List'!$H:$H,"ST-TXV-5",'ST | Drawing List'!U:U,1)</f>
        <v>0</v>
      </c>
      <c r="CM91" s="343"/>
      <c r="CN91" s="343"/>
      <c r="CO91" s="666">
        <v>0</v>
      </c>
      <c r="CP91" s="343"/>
      <c r="CQ91" s="616">
        <f t="shared" si="392"/>
        <v>0</v>
      </c>
      <c r="CR91" s="618">
        <f t="shared" si="236"/>
        <v>0</v>
      </c>
      <c r="CS91" s="615">
        <f t="shared" si="393"/>
        <v>0</v>
      </c>
      <c r="CT91" s="615">
        <f t="shared" si="394"/>
        <v>0</v>
      </c>
      <c r="CU91" s="615">
        <f t="shared" si="395"/>
        <v>0</v>
      </c>
      <c r="CV91" s="615">
        <f t="shared" si="396"/>
        <v>0</v>
      </c>
      <c r="CW91" s="615">
        <f t="shared" si="397"/>
        <v>0</v>
      </c>
      <c r="CX91" s="615">
        <f t="shared" si="398"/>
        <v>0</v>
      </c>
      <c r="CY91" s="339"/>
      <c r="CZ91" s="615">
        <f t="shared" si="399"/>
        <v>0</v>
      </c>
      <c r="DA91" s="615">
        <f t="shared" si="400"/>
        <v>0</v>
      </c>
      <c r="DB91" s="615">
        <f t="shared" si="401"/>
        <v>0</v>
      </c>
      <c r="DC91" s="615">
        <f t="shared" si="402"/>
        <v>0</v>
      </c>
      <c r="DD91" s="615">
        <f t="shared" si="403"/>
        <v>0</v>
      </c>
      <c r="DE91" s="339"/>
      <c r="DF91" s="625">
        <f t="shared" si="404"/>
        <v>0</v>
      </c>
      <c r="DG91" s="625">
        <f t="shared" si="405"/>
        <v>0</v>
      </c>
      <c r="DH91" s="625">
        <f t="shared" si="406"/>
        <v>0</v>
      </c>
      <c r="DI91" s="341"/>
      <c r="DJ91" s="615">
        <f>COUNTIF('MEP | Drawing List'!$H:$H,"MEP-T2V-6V-5")</f>
        <v>0</v>
      </c>
      <c r="DK91" s="616">
        <f>COUNTIFS('MEP | Drawing List'!$H:$H,"MEP-T2V-6V-5",'MEP | Drawing List'!$J:$J,1)</f>
        <v>0</v>
      </c>
      <c r="DL91" s="616">
        <f>COUNTIFS('MEP | Drawing List'!$H:$H,"MEP-T2V-6V-5",'MEP | Drawing List'!$L:$L,1)</f>
        <v>0</v>
      </c>
      <c r="DM91" s="615">
        <f>COUNTIFS('MEP | Drawing List'!$H:$H,"MEP-T2V-6V-5",'MEP | Drawing List'!M:M,1)</f>
        <v>0</v>
      </c>
      <c r="DN91" s="615">
        <f>COUNTIFS('MEP | Drawing List'!$H:$H,"MEP-T2V-6V-5",'MEP | Drawing List'!N:N,1)</f>
        <v>0</v>
      </c>
      <c r="DO91" s="615">
        <f>COUNTIFS('MEP | Drawing List'!$H:$H,"MEP-T2V-6V-5",'MEP | Drawing List'!O:O,1)</f>
        <v>0</v>
      </c>
      <c r="DP91" s="615">
        <f>COUNTIFS('MEP | Drawing List'!$H:$H,"MEP-T2V-6V-5",'MEP | Drawing List'!P:P,1)</f>
        <v>0</v>
      </c>
      <c r="DQ91" s="339"/>
      <c r="DR91" s="616">
        <f>COUNTIFS('MEP | Drawing List'!$H:$H,"MEP-T2V-6V-5",'MEP | Drawing List'!$Q:$Q,1)</f>
        <v>0</v>
      </c>
      <c r="DS91" s="615">
        <f>COUNTIFS('MEP | Drawing List'!$H:$H,"MEP-T2V-6V-5",'MEP | Drawing List'!R:R,1)</f>
        <v>0</v>
      </c>
      <c r="DT91" s="615">
        <f>COUNTIFS('MEP | Drawing List'!$H:$H,"MEP-T2V-6V-5",'MEP | Drawing List'!S:S,1)</f>
        <v>0</v>
      </c>
      <c r="DU91" s="615">
        <f>COUNTIFS('MEP | Drawing List'!$H:$H,"MEP-T2V-6V-5",'MEP | Drawing List'!T:T,1)</f>
        <v>0</v>
      </c>
      <c r="DV91" s="615">
        <f>COUNTIFS('MEP | Drawing List'!$H:$H,"MEP-T2V-6V-5",'MEP | Drawing List'!U:U,1)</f>
        <v>0</v>
      </c>
      <c r="DW91" s="343"/>
      <c r="DX91" s="343"/>
      <c r="DY91" s="525">
        <v>0</v>
      </c>
      <c r="DZ91" s="343"/>
      <c r="EA91" s="344">
        <v>0</v>
      </c>
      <c r="EB91" s="618">
        <f t="shared" si="237"/>
        <v>0</v>
      </c>
      <c r="EC91" s="91"/>
      <c r="ED91" s="91"/>
      <c r="EE91" s="339"/>
      <c r="EF91" s="339"/>
      <c r="EG91" s="339"/>
      <c r="EH91" s="339"/>
      <c r="EI91" s="339"/>
      <c r="EJ91" s="91"/>
      <c r="EK91" s="339"/>
      <c r="EL91" s="339"/>
      <c r="EM91" s="339"/>
      <c r="EN91" s="339"/>
      <c r="EO91" s="339"/>
      <c r="EP91" s="642"/>
      <c r="EQ91" s="642"/>
      <c r="ER91" s="642"/>
      <c r="ES91" s="82"/>
      <c r="ET91" s="615">
        <f>COUNTIF('LS | Drawing List'!$H:$H,"LS-TXV-5")</f>
        <v>0</v>
      </c>
      <c r="EU91" s="616">
        <f>COUNTIFS('LS | Drawing List'!$H:$H,"LS-TXV-5",'LS | Drawing List'!$J:$J,1)</f>
        <v>0</v>
      </c>
      <c r="EV91" s="616">
        <f>COUNTIFS('LS | Drawing List'!$H:$H,"LS-TXV-5",'LS | Drawing List'!$L:$L,1)</f>
        <v>0</v>
      </c>
      <c r="EW91" s="615">
        <f>COUNTIFS('LS | Drawing List'!$H:$H,"LS-TXV-5",'LS | Drawing List'!M:M,1)</f>
        <v>0</v>
      </c>
      <c r="EX91" s="615">
        <f>COUNTIFS('LS | Drawing List'!$H:$H,"LS-TXV-5",'LS | Drawing List'!N:N,1)</f>
        <v>0</v>
      </c>
      <c r="EY91" s="615">
        <f>COUNTIFS('LS | Drawing List'!$H:$H,"LS-TXV-5",'LS | Drawing List'!O:O,1)</f>
        <v>0</v>
      </c>
      <c r="EZ91" s="615">
        <f>COUNTIFS('LS | Drawing List'!$H:$H,"LS-TXV-5",'LS | Drawing List'!P:P,1)</f>
        <v>0</v>
      </c>
      <c r="FA91" s="81"/>
      <c r="FB91" s="616">
        <f>COUNTIFS('LS | Drawing List'!$H:$H,"LS-TXV-5",'LS | Drawing List'!$Q:$Q,1)</f>
        <v>0</v>
      </c>
      <c r="FC91" s="615">
        <f>COUNTIFS('LS | Drawing List'!$H:$H,"LS-TXV-5",'LS | Drawing List'!R:R,1)</f>
        <v>0</v>
      </c>
      <c r="FD91" s="615">
        <f>COUNTIFS('LS | Drawing List'!$H:$H,"LS-TXV-5",'LS | Drawing List'!S:S,1)</f>
        <v>0</v>
      </c>
      <c r="FE91" s="615">
        <f>COUNTIFS('LS | Drawing List'!$H:$H,"LS-TXV-5",'LS | Drawing List'!T:T,1)</f>
        <v>0</v>
      </c>
      <c r="FF91" s="615">
        <f>COUNTIFS('LS | Drawing List'!$H:$H,"LS-TXV-5",'LS | Drawing List'!U:U,1)</f>
        <v>0</v>
      </c>
      <c r="FG91" s="48"/>
    </row>
    <row r="92" spans="1:163" s="95" customFormat="1" ht="14.25" hidden="1" outlineLevel="2">
      <c r="A92" s="89"/>
      <c r="B92" s="87" t="s">
        <v>101</v>
      </c>
      <c r="C92" s="277">
        <v>6</v>
      </c>
      <c r="D92" s="273" t="s">
        <v>62</v>
      </c>
      <c r="E92" s="89"/>
      <c r="F92" s="619">
        <f t="shared" si="358"/>
        <v>0.30353232000000002</v>
      </c>
      <c r="G92" s="619">
        <f t="shared" si="359"/>
        <v>0.30353232000000002</v>
      </c>
      <c r="H92" s="615">
        <f t="shared" si="360"/>
        <v>0</v>
      </c>
      <c r="I92" s="615">
        <f t="shared" si="332"/>
        <v>0</v>
      </c>
      <c r="J92" s="615">
        <f t="shared" si="333"/>
        <v>0</v>
      </c>
      <c r="K92" s="615">
        <f t="shared" si="334"/>
        <v>0</v>
      </c>
      <c r="L92" s="615">
        <f t="shared" si="335"/>
        <v>0</v>
      </c>
      <c r="M92" s="620">
        <f t="shared" si="336"/>
        <v>0</v>
      </c>
      <c r="N92" s="287"/>
      <c r="O92" s="615">
        <f t="shared" si="337"/>
        <v>0</v>
      </c>
      <c r="P92" s="615">
        <f t="shared" si="338"/>
        <v>0</v>
      </c>
      <c r="Q92" s="615">
        <f t="shared" si="339"/>
        <v>0</v>
      </c>
      <c r="R92" s="615">
        <f t="shared" si="340"/>
        <v>0</v>
      </c>
      <c r="S92" s="615">
        <f t="shared" si="341"/>
        <v>0</v>
      </c>
      <c r="T92" s="89"/>
      <c r="U92" s="552">
        <v>2.5000000000000001E-2</v>
      </c>
      <c r="V92" s="133"/>
      <c r="W92" s="628">
        <f t="shared" si="361"/>
        <v>0.16527360000000002</v>
      </c>
      <c r="X92" s="628">
        <f t="shared" si="234"/>
        <v>0.16527360000000002</v>
      </c>
      <c r="Y92" s="620">
        <f t="shared" si="362"/>
        <v>0.16527360000000002</v>
      </c>
      <c r="Z92" s="620">
        <f t="shared" si="363"/>
        <v>0</v>
      </c>
      <c r="AA92" s="620">
        <f t="shared" si="364"/>
        <v>0</v>
      </c>
      <c r="AB92" s="620">
        <f t="shared" si="365"/>
        <v>0</v>
      </c>
      <c r="AC92" s="620">
        <f t="shared" si="366"/>
        <v>0</v>
      </c>
      <c r="AD92" s="620">
        <f t="shared" si="367"/>
        <v>0</v>
      </c>
      <c r="AE92" s="287"/>
      <c r="AF92" s="615">
        <f t="shared" si="368"/>
        <v>0</v>
      </c>
      <c r="AG92" s="615">
        <f t="shared" si="369"/>
        <v>0</v>
      </c>
      <c r="AH92" s="615">
        <f t="shared" si="370"/>
        <v>0</v>
      </c>
      <c r="AI92" s="615">
        <f t="shared" si="371"/>
        <v>0</v>
      </c>
      <c r="AJ92" s="615">
        <f t="shared" si="372"/>
        <v>0</v>
      </c>
      <c r="AK92" s="339"/>
      <c r="AL92" s="627">
        <f t="shared" si="373"/>
        <v>1</v>
      </c>
      <c r="AM92" s="627">
        <f t="shared" si="374"/>
        <v>0</v>
      </c>
      <c r="AN92" s="625">
        <f t="shared" si="375"/>
        <v>0</v>
      </c>
      <c r="AO92" s="373"/>
      <c r="AP92" s="620">
        <f>COUNTIF('AR | Drawing List'!$H:$H,"AR-TXV-6")</f>
        <v>7</v>
      </c>
      <c r="AQ92" s="621">
        <f>COUNTIFS('AR | Drawing List'!$H:$H,"AR-TXV-6",'AR | Drawing List'!$J:$J,1)</f>
        <v>7</v>
      </c>
      <c r="AR92" s="621">
        <f t="shared" si="238"/>
        <v>0</v>
      </c>
      <c r="AS92" s="621">
        <f>COUNTIFS('AR | Drawing List'!$H:$H,"AR-TXV-6",'AR | Drawing List'!M:M,1)</f>
        <v>0</v>
      </c>
      <c r="AT92" s="621">
        <f>COUNTIFS('AR | Drawing List'!$H:$H,"AR-TXV-6",'AR | Drawing List'!N:N,1)</f>
        <v>0</v>
      </c>
      <c r="AU92" s="621">
        <f>COUNTIFS('AR | Drawing List'!$H:$H,"AR-TXV-6",'AR | Drawing List'!O:O,1)</f>
        <v>0</v>
      </c>
      <c r="AV92" s="621">
        <f>COUNTIFS('AR | Drawing List'!$H:$H,"AR-TXV-6",'AR | Drawing List'!P:P,1)</f>
        <v>0</v>
      </c>
      <c r="AW92" s="366"/>
      <c r="AX92" s="621">
        <f t="shared" si="376"/>
        <v>0</v>
      </c>
      <c r="AY92" s="621">
        <f>COUNTIFS('AR | Drawing List'!$H:$H,"AR-TXV-6",'AR | Drawing List'!R:R,1)</f>
        <v>0</v>
      </c>
      <c r="AZ92" s="621">
        <f>COUNTIFS('AR | Drawing List'!$H:$H,"AR-TXV-6",'AR | Drawing List'!S:S,1)</f>
        <v>0</v>
      </c>
      <c r="BA92" s="621">
        <f>COUNTIFS('AR | Drawing List'!$H:$H,"AR-TXV-6",'AR | Drawing List'!T:T,1)</f>
        <v>0</v>
      </c>
      <c r="BB92" s="621">
        <f>COUNTIFS('AR | Drawing List'!$H:$H,"AR-TXV-6",'AR | Drawing List'!U:U,1)</f>
        <v>0</v>
      </c>
      <c r="BC92" s="366"/>
      <c r="BD92" s="366"/>
      <c r="BE92" s="523">
        <v>0.05</v>
      </c>
      <c r="BF92" s="368"/>
      <c r="BG92" s="621">
        <f t="shared" si="377"/>
        <v>0.13825872</v>
      </c>
      <c r="BH92" s="622">
        <f t="shared" si="235"/>
        <v>0.13825872</v>
      </c>
      <c r="BI92" s="620">
        <f t="shared" si="378"/>
        <v>0.13825872</v>
      </c>
      <c r="BJ92" s="620">
        <f t="shared" si="379"/>
        <v>0</v>
      </c>
      <c r="BK92" s="615">
        <f t="shared" si="380"/>
        <v>0</v>
      </c>
      <c r="BL92" s="615">
        <f t="shared" si="381"/>
        <v>0</v>
      </c>
      <c r="BM92" s="615">
        <f t="shared" si="382"/>
        <v>0</v>
      </c>
      <c r="BN92" s="615">
        <f t="shared" si="383"/>
        <v>0</v>
      </c>
      <c r="BO92" s="339"/>
      <c r="BP92" s="615">
        <f t="shared" si="384"/>
        <v>0</v>
      </c>
      <c r="BQ92" s="615">
        <f t="shared" si="385"/>
        <v>0</v>
      </c>
      <c r="BR92" s="615">
        <f t="shared" si="386"/>
        <v>0</v>
      </c>
      <c r="BS92" s="615">
        <f t="shared" si="387"/>
        <v>0</v>
      </c>
      <c r="BT92" s="615">
        <f t="shared" si="388"/>
        <v>0</v>
      </c>
      <c r="BU92" s="339"/>
      <c r="BV92" s="635">
        <f t="shared" si="389"/>
        <v>1</v>
      </c>
      <c r="BW92" s="635">
        <f t="shared" si="390"/>
        <v>0</v>
      </c>
      <c r="BX92" s="635">
        <f t="shared" si="391"/>
        <v>0</v>
      </c>
      <c r="BY92" s="364"/>
      <c r="BZ92" s="620">
        <f>COUNTIF('ST | Drawing List'!$H:$H,"ST-TXV-6")</f>
        <v>17</v>
      </c>
      <c r="CA92" s="621">
        <f>COUNTIFS('ST | Drawing List'!$H:$H,"ST-TXV-6",'ST | Drawing List'!$J:$J,1)</f>
        <v>17</v>
      </c>
      <c r="CB92" s="624">
        <f>COUNTIFS('ST | Drawing List'!$H:$H,"ST-TXV-6",'ST | Drawing List'!$L:$L,1)</f>
        <v>0</v>
      </c>
      <c r="CC92" s="621">
        <f>COUNTIFS('ST | Drawing List'!$H:$H,"ST-TXV-6",'ST | Drawing List'!M:M,1)</f>
        <v>0</v>
      </c>
      <c r="CD92" s="621">
        <f>COUNTIFS('ST | Drawing List'!$H:$H,"ST-TXV-6",'ST | Drawing List'!N:N,1)</f>
        <v>0</v>
      </c>
      <c r="CE92" s="621">
        <f>COUNTIFS('ST | Drawing List'!$H:$H,"ST-TXV-6",'ST | Drawing List'!O:O,1)</f>
        <v>0</v>
      </c>
      <c r="CF92" s="621">
        <f>COUNTIFS('ST | Drawing List'!$H:$H,"ST-TXV-6",'ST | Drawing List'!P:P,1)</f>
        <v>0</v>
      </c>
      <c r="CG92" s="541"/>
      <c r="CH92" s="624">
        <f>COUNTIFS('ST | Drawing List'!$H:$H,"ST-TXV-6",'ST | Drawing List'!$Q:$Q,1)</f>
        <v>0</v>
      </c>
      <c r="CI92" s="621">
        <f>COUNTIFS('ST | Drawing List'!$H:$H,"ST-TXV-6",'ST | Drawing List'!R:R,1)</f>
        <v>0</v>
      </c>
      <c r="CJ92" s="621">
        <f>COUNTIFS('ST | Drawing List'!$H:$H,"ST-TXV-6",'ST | Drawing List'!S:S,1)</f>
        <v>0</v>
      </c>
      <c r="CK92" s="621">
        <f>COUNTIFS('ST | Drawing List'!$H:$H,"ST-TXV-6",'ST | Drawing List'!T:T,1)</f>
        <v>0</v>
      </c>
      <c r="CL92" s="621">
        <f>COUNTIFS('ST | Drawing List'!$H:$H,"ST-TXV-6",'ST | Drawing List'!U:U,1)</f>
        <v>0</v>
      </c>
      <c r="CM92" s="368"/>
      <c r="CN92" s="368"/>
      <c r="CO92" s="666">
        <v>0</v>
      </c>
      <c r="CP92" s="368"/>
      <c r="CQ92" s="621">
        <f t="shared" si="392"/>
        <v>0</v>
      </c>
      <c r="CR92" s="622">
        <f t="shared" si="236"/>
        <v>0</v>
      </c>
      <c r="CS92" s="620">
        <f t="shared" si="393"/>
        <v>0</v>
      </c>
      <c r="CT92" s="615">
        <f t="shared" si="394"/>
        <v>0</v>
      </c>
      <c r="CU92" s="615">
        <f t="shared" si="395"/>
        <v>0</v>
      </c>
      <c r="CV92" s="615">
        <f t="shared" si="396"/>
        <v>0</v>
      </c>
      <c r="CW92" s="615">
        <f t="shared" si="397"/>
        <v>0</v>
      </c>
      <c r="CX92" s="615">
        <f t="shared" si="398"/>
        <v>0</v>
      </c>
      <c r="CY92" s="339"/>
      <c r="CZ92" s="615">
        <f t="shared" si="399"/>
        <v>0</v>
      </c>
      <c r="DA92" s="615">
        <f t="shared" si="400"/>
        <v>0</v>
      </c>
      <c r="DB92" s="615">
        <f t="shared" si="401"/>
        <v>0</v>
      </c>
      <c r="DC92" s="615">
        <f t="shared" si="402"/>
        <v>0</v>
      </c>
      <c r="DD92" s="615">
        <f t="shared" si="403"/>
        <v>0</v>
      </c>
      <c r="DE92" s="339"/>
      <c r="DF92" s="625">
        <f t="shared" si="404"/>
        <v>0</v>
      </c>
      <c r="DG92" s="625">
        <f t="shared" si="405"/>
        <v>0</v>
      </c>
      <c r="DH92" s="625">
        <f t="shared" si="406"/>
        <v>0</v>
      </c>
      <c r="DI92" s="364"/>
      <c r="DJ92" s="620">
        <f>COUNTIF('MEP | Drawing List'!$H:$H,"MEP-T2V-6V-6")</f>
        <v>0</v>
      </c>
      <c r="DK92" s="621">
        <f>COUNTIFS('MEP | Drawing List'!$H:$H,"MEP-T2V-6V-6",'MEP | Drawing List'!$J:$J,1)</f>
        <v>0</v>
      </c>
      <c r="DL92" s="621">
        <f>COUNTIFS('MEP | Drawing List'!$H:$H,"MEP-T2V-6V-6",'MEP | Drawing List'!$L:$L,1)</f>
        <v>0</v>
      </c>
      <c r="DM92" s="620">
        <f>COUNTIFS('MEP | Drawing List'!$H:$H,"MEP-T2V-6V-6",'MEP | Drawing List'!M:M,1)</f>
        <v>0</v>
      </c>
      <c r="DN92" s="620">
        <f>COUNTIFS('MEP | Drawing List'!$H:$H,"MEP-T2V-6V-6",'MEP | Drawing List'!N:N,1)</f>
        <v>0</v>
      </c>
      <c r="DO92" s="620">
        <f>COUNTIFS('MEP | Drawing List'!$H:$H,"MEP-T2V-6V-6",'MEP | Drawing List'!O:O,1)</f>
        <v>0</v>
      </c>
      <c r="DP92" s="620">
        <f>COUNTIFS('MEP | Drawing List'!$H:$H,"MEP-T2V-6V-6",'MEP | Drawing List'!P:P,1)</f>
        <v>0</v>
      </c>
      <c r="DQ92" s="287"/>
      <c r="DR92" s="621">
        <f>COUNTIFS('MEP | Drawing List'!$H:$H,"MEP-T2V-6V-6",'MEP | Drawing List'!$Q:$Q,1)</f>
        <v>0</v>
      </c>
      <c r="DS92" s="620">
        <f>COUNTIFS('MEP | Drawing List'!$H:$H,"MEP-T2V-6V-6",'MEP | Drawing List'!R:R,1)</f>
        <v>0</v>
      </c>
      <c r="DT92" s="620">
        <f>COUNTIFS('MEP | Drawing List'!$H:$H,"MEP-T2V-6V-6",'MEP | Drawing List'!S:S,1)</f>
        <v>0</v>
      </c>
      <c r="DU92" s="620">
        <f>COUNTIFS('MEP | Drawing List'!$H:$H,"MEP-T2V-6V-6",'MEP | Drawing List'!T:T,1)</f>
        <v>0</v>
      </c>
      <c r="DV92" s="620">
        <f>COUNTIFS('MEP | Drawing List'!$H:$H,"MEP-T2V-6V-6",'MEP | Drawing List'!U:U,1)</f>
        <v>0</v>
      </c>
      <c r="DW92" s="368"/>
      <c r="DX92" s="368"/>
      <c r="DY92" s="554">
        <v>0</v>
      </c>
      <c r="DZ92" s="368"/>
      <c r="EA92" s="344">
        <v>0</v>
      </c>
      <c r="EB92" s="622">
        <f t="shared" si="237"/>
        <v>0</v>
      </c>
      <c r="EC92" s="91"/>
      <c r="ED92" s="91"/>
      <c r="EE92" s="339"/>
      <c r="EF92" s="339"/>
      <c r="EG92" s="339"/>
      <c r="EH92" s="339"/>
      <c r="EI92" s="339"/>
      <c r="EJ92" s="91"/>
      <c r="EK92" s="339"/>
      <c r="EL92" s="339"/>
      <c r="EM92" s="339"/>
      <c r="EN92" s="339"/>
      <c r="EO92" s="339"/>
      <c r="EP92" s="642"/>
      <c r="EQ92" s="642"/>
      <c r="ER92" s="642"/>
      <c r="ES92" s="92"/>
      <c r="ET92" s="620">
        <f>COUNTIF('LS | Drawing List'!$H:$H,"LS-TXV-6")</f>
        <v>0</v>
      </c>
      <c r="EU92" s="621">
        <f>COUNTIFS('LS | Drawing List'!$H:$H,"LS-TXV-6",'LS | Drawing List'!$J:$J,1)</f>
        <v>0</v>
      </c>
      <c r="EV92" s="621">
        <f>COUNTIFS('LS | Drawing List'!$H:$H,"LS-TXV-6",'LS | Drawing List'!$L:$L,1)</f>
        <v>0</v>
      </c>
      <c r="EW92" s="620">
        <f>COUNTIFS('LS | Drawing List'!$H:$H,"LS-TXV-6",'LS | Drawing List'!M:M,1)</f>
        <v>0</v>
      </c>
      <c r="EX92" s="620">
        <f>COUNTIFS('LS | Drawing List'!$H:$H,"LS-TXV-6",'LS | Drawing List'!N:N,1)</f>
        <v>0</v>
      </c>
      <c r="EY92" s="620">
        <f>COUNTIFS('LS | Drawing List'!$H:$H,"LS-TXV-6",'LS | Drawing List'!O:O,1)</f>
        <v>0</v>
      </c>
      <c r="EZ92" s="620">
        <f>COUNTIFS('LS | Drawing List'!$H:$H,"LS-TXV-6",'LS | Drawing List'!P:P,1)</f>
        <v>0</v>
      </c>
      <c r="FA92" s="91"/>
      <c r="FB92" s="621">
        <f>COUNTIFS('LS | Drawing List'!$H:$H,"LS-TXV-6",'LS | Drawing List'!$Q:$Q,1)</f>
        <v>0</v>
      </c>
      <c r="FC92" s="620">
        <f>COUNTIFS('LS | Drawing List'!$H:$H,"LS-TXV-6",'LS | Drawing List'!R:R,1)</f>
        <v>0</v>
      </c>
      <c r="FD92" s="620">
        <f>COUNTIFS('LS | Drawing List'!$H:$H,"LS-TXV-6",'LS | Drawing List'!S:S,1)</f>
        <v>0</v>
      </c>
      <c r="FE92" s="620">
        <f>COUNTIFS('LS | Drawing List'!$H:$H,"LS-TXV-6",'LS | Drawing List'!T:T,1)</f>
        <v>0</v>
      </c>
      <c r="FF92" s="620">
        <f>COUNTIFS('LS | Drawing List'!$H:$H,"LS-TXV-6",'LS | Drawing List'!U:U,1)</f>
        <v>0</v>
      </c>
      <c r="FG92" s="89"/>
    </row>
    <row r="93" spans="1:163" ht="14.25" hidden="1" outlineLevel="2">
      <c r="A93" s="48"/>
      <c r="B93" s="87" t="s">
        <v>102</v>
      </c>
      <c r="C93" s="276">
        <v>7</v>
      </c>
      <c r="D93" s="272" t="s">
        <v>64</v>
      </c>
      <c r="E93" s="48"/>
      <c r="F93" s="619">
        <f t="shared" si="358"/>
        <v>0.73697280000000009</v>
      </c>
      <c r="G93" s="619">
        <f t="shared" si="359"/>
        <v>0.73697280000000009</v>
      </c>
      <c r="H93" s="615">
        <f t="shared" si="360"/>
        <v>0</v>
      </c>
      <c r="I93" s="615">
        <f t="shared" si="332"/>
        <v>7.5878400000000013E-2</v>
      </c>
      <c r="J93" s="615">
        <f t="shared" si="333"/>
        <v>7.5878400000000013E-2</v>
      </c>
      <c r="K93" s="615">
        <f t="shared" si="334"/>
        <v>0</v>
      </c>
      <c r="L93" s="615">
        <f t="shared" si="335"/>
        <v>0</v>
      </c>
      <c r="M93" s="620">
        <f t="shared" si="336"/>
        <v>0</v>
      </c>
      <c r="N93" s="287"/>
      <c r="O93" s="615">
        <f t="shared" si="337"/>
        <v>7.5878400000000013E-2</v>
      </c>
      <c r="P93" s="615">
        <f t="shared" si="338"/>
        <v>0</v>
      </c>
      <c r="Q93" s="615">
        <f t="shared" si="339"/>
        <v>7.5878400000000013E-2</v>
      </c>
      <c r="R93" s="615">
        <f t="shared" si="340"/>
        <v>0</v>
      </c>
      <c r="S93" s="615">
        <f t="shared" si="341"/>
        <v>0</v>
      </c>
      <c r="T93" s="48"/>
      <c r="U93" s="519">
        <v>0.1</v>
      </c>
      <c r="V93" s="131"/>
      <c r="W93" s="619">
        <f t="shared" si="361"/>
        <v>0.66109440000000008</v>
      </c>
      <c r="X93" s="619">
        <f t="shared" si="234"/>
        <v>0.66109440000000008</v>
      </c>
      <c r="Y93" s="615">
        <f t="shared" si="362"/>
        <v>0.66109440000000008</v>
      </c>
      <c r="Z93" s="615">
        <f t="shared" si="363"/>
        <v>0</v>
      </c>
      <c r="AA93" s="615">
        <f t="shared" si="364"/>
        <v>0</v>
      </c>
      <c r="AB93" s="615">
        <f t="shared" si="365"/>
        <v>0</v>
      </c>
      <c r="AC93" s="615">
        <f t="shared" si="366"/>
        <v>0</v>
      </c>
      <c r="AD93" s="620">
        <f t="shared" si="367"/>
        <v>0</v>
      </c>
      <c r="AE93" s="287"/>
      <c r="AF93" s="615">
        <f t="shared" si="368"/>
        <v>0</v>
      </c>
      <c r="AG93" s="615">
        <f t="shared" si="369"/>
        <v>0</v>
      </c>
      <c r="AH93" s="615">
        <f t="shared" si="370"/>
        <v>0</v>
      </c>
      <c r="AI93" s="615">
        <f t="shared" si="371"/>
        <v>0</v>
      </c>
      <c r="AJ93" s="615">
        <f t="shared" si="372"/>
        <v>0</v>
      </c>
      <c r="AK93" s="339"/>
      <c r="AL93" s="625">
        <f t="shared" si="373"/>
        <v>1</v>
      </c>
      <c r="AM93" s="625">
        <f t="shared" si="374"/>
        <v>0</v>
      </c>
      <c r="AN93" s="625">
        <f t="shared" si="375"/>
        <v>0</v>
      </c>
      <c r="AO93" s="345"/>
      <c r="AP93" s="615">
        <f>COUNTIF('AR | Drawing List'!$H:$H,"AR-TXV-7")</f>
        <v>11</v>
      </c>
      <c r="AQ93" s="616">
        <f>COUNTIFS('AR | Drawing List'!$H:$H,"AR-TXV-7",'AR | Drawing List'!$J:$J,1)</f>
        <v>11</v>
      </c>
      <c r="AR93" s="616">
        <f t="shared" si="238"/>
        <v>0</v>
      </c>
      <c r="AS93" s="616">
        <f>COUNTIFS('AR | Drawing List'!$H:$H,"AR-TXV-7",'AR | Drawing List'!M:M,1)</f>
        <v>0</v>
      </c>
      <c r="AT93" s="616">
        <f>COUNTIFS('AR | Drawing List'!$H:$H,"AR-TXV-7",'AR | Drawing List'!N:N,1)</f>
        <v>0</v>
      </c>
      <c r="AU93" s="616">
        <f>COUNTIFS('AR | Drawing List'!$H:$H,"AR-TXV-7",'AR | Drawing List'!O:O,1)</f>
        <v>0</v>
      </c>
      <c r="AV93" s="616">
        <f>COUNTIFS('AR | Drawing List'!$H:$H,"AR-TXV-7",'AR | Drawing List'!P:P,1)</f>
        <v>0</v>
      </c>
      <c r="AW93" s="328"/>
      <c r="AX93" s="616">
        <f t="shared" si="376"/>
        <v>0</v>
      </c>
      <c r="AY93" s="616">
        <f>COUNTIFS('AR | Drawing List'!$H:$H,"AR-TXV-7",'AR | Drawing List'!R:R,1)</f>
        <v>0</v>
      </c>
      <c r="AZ93" s="616">
        <f>COUNTIFS('AR | Drawing List'!$H:$H,"AR-TXV-7",'AR | Drawing List'!S:S,1)</f>
        <v>0</v>
      </c>
      <c r="BA93" s="616">
        <f>COUNTIFS('AR | Drawing List'!$H:$H,"AR-TXV-7",'AR | Drawing List'!T:T,1)</f>
        <v>0</v>
      </c>
      <c r="BB93" s="616">
        <f>COUNTIFS('AR | Drawing List'!$H:$H,"AR-TXV-7",'AR | Drawing List'!U:U,1)</f>
        <v>0</v>
      </c>
      <c r="BC93" s="328"/>
      <c r="BD93" s="328"/>
      <c r="BE93" s="666">
        <v>0</v>
      </c>
      <c r="BF93" s="343"/>
      <c r="BG93" s="616">
        <f t="shared" si="377"/>
        <v>0</v>
      </c>
      <c r="BH93" s="618">
        <f t="shared" si="235"/>
        <v>0</v>
      </c>
      <c r="BI93" s="615">
        <f t="shared" si="378"/>
        <v>0</v>
      </c>
      <c r="BJ93" s="615">
        <f t="shared" si="379"/>
        <v>0</v>
      </c>
      <c r="BK93" s="615">
        <f t="shared" si="380"/>
        <v>0</v>
      </c>
      <c r="BL93" s="615">
        <f t="shared" si="381"/>
        <v>0</v>
      </c>
      <c r="BM93" s="615">
        <f t="shared" si="382"/>
        <v>0</v>
      </c>
      <c r="BN93" s="615">
        <f t="shared" si="383"/>
        <v>0</v>
      </c>
      <c r="BO93" s="339"/>
      <c r="BP93" s="615">
        <f t="shared" si="384"/>
        <v>0</v>
      </c>
      <c r="BQ93" s="615">
        <f t="shared" si="385"/>
        <v>0</v>
      </c>
      <c r="BR93" s="615">
        <f t="shared" si="386"/>
        <v>0</v>
      </c>
      <c r="BS93" s="615">
        <f t="shared" si="387"/>
        <v>0</v>
      </c>
      <c r="BT93" s="615">
        <f t="shared" si="388"/>
        <v>0</v>
      </c>
      <c r="BU93" s="339"/>
      <c r="BV93" s="635">
        <f t="shared" si="389"/>
        <v>0</v>
      </c>
      <c r="BW93" s="635">
        <f t="shared" si="390"/>
        <v>0</v>
      </c>
      <c r="BX93" s="635">
        <f t="shared" si="391"/>
        <v>0</v>
      </c>
      <c r="BY93" s="341"/>
      <c r="BZ93" s="615">
        <f>COUNTIF('ST | Drawing List'!$H:$H,"ST-TXV-7")</f>
        <v>0</v>
      </c>
      <c r="CA93" s="616">
        <f>COUNTIFS('ST | Drawing List'!$H:$H,"ST-TXV-7",'ST | Drawing List'!$J:$J,1)</f>
        <v>0</v>
      </c>
      <c r="CB93" s="623">
        <f>COUNTIFS('ST | Drawing List'!$H:$H,"ST-TXV-7",'ST | Drawing List'!$L:$L,1)</f>
        <v>0</v>
      </c>
      <c r="CC93" s="616">
        <f>COUNTIFS('ST | Drawing List'!$H:$H,"ST-TXV-7",'ST | Drawing List'!M:M,1)</f>
        <v>0</v>
      </c>
      <c r="CD93" s="616">
        <f>COUNTIFS('ST | Drawing List'!$H:$H,"ST-TXV-7",'ST | Drawing List'!N:N,1)</f>
        <v>0</v>
      </c>
      <c r="CE93" s="616">
        <f>COUNTIFS('ST | Drawing List'!$H:$H,"ST-TXV-7",'ST | Drawing List'!O:O,1)</f>
        <v>0</v>
      </c>
      <c r="CF93" s="616">
        <f>COUNTIFS('ST | Drawing List'!$H:$H,"ST-TXV-7",'ST | Drawing List'!P:P,1)</f>
        <v>0</v>
      </c>
      <c r="CG93" s="532"/>
      <c r="CH93" s="623">
        <f>COUNTIFS('ST | Drawing List'!$H:$H,"ST-TXV-7",'ST | Drawing List'!$Q:$Q,1)</f>
        <v>0</v>
      </c>
      <c r="CI93" s="616">
        <f>COUNTIFS('ST | Drawing List'!$H:$H,"ST-TXV-7",'ST | Drawing List'!R:R,1)</f>
        <v>0</v>
      </c>
      <c r="CJ93" s="616">
        <f>COUNTIFS('ST | Drawing List'!$H:$H,"ST-TXV-7",'ST | Drawing List'!S:S,1)</f>
        <v>0</v>
      </c>
      <c r="CK93" s="616">
        <f>COUNTIFS('ST | Drawing List'!$H:$H,"ST-TXV-7",'ST | Drawing List'!T:T,1)</f>
        <v>0</v>
      </c>
      <c r="CL93" s="616">
        <f>COUNTIFS('ST | Drawing List'!$H:$H,"ST-TXV-7",'ST | Drawing List'!U:U,1)</f>
        <v>0</v>
      </c>
      <c r="CM93" s="343"/>
      <c r="CN93" s="343"/>
      <c r="CO93" s="554">
        <v>0.2</v>
      </c>
      <c r="CP93" s="343"/>
      <c r="CQ93" s="616">
        <f t="shared" si="392"/>
        <v>7.5878400000000013E-2</v>
      </c>
      <c r="CR93" s="618">
        <f t="shared" si="236"/>
        <v>7.5878400000000013E-2</v>
      </c>
      <c r="CS93" s="615">
        <f t="shared" si="393"/>
        <v>0</v>
      </c>
      <c r="CT93" s="615">
        <f t="shared" si="394"/>
        <v>7.5878400000000013E-2</v>
      </c>
      <c r="CU93" s="615">
        <f t="shared" si="395"/>
        <v>7.5878400000000013E-2</v>
      </c>
      <c r="CV93" s="615">
        <f t="shared" si="396"/>
        <v>0</v>
      </c>
      <c r="CW93" s="615">
        <f t="shared" si="397"/>
        <v>0</v>
      </c>
      <c r="CX93" s="615">
        <f t="shared" si="398"/>
        <v>0</v>
      </c>
      <c r="CY93" s="339"/>
      <c r="CZ93" s="615">
        <f t="shared" si="399"/>
        <v>7.5878400000000013E-2</v>
      </c>
      <c r="DA93" s="615">
        <f t="shared" si="400"/>
        <v>0</v>
      </c>
      <c r="DB93" s="615">
        <f t="shared" si="401"/>
        <v>7.5878400000000013E-2</v>
      </c>
      <c r="DC93" s="615">
        <f t="shared" si="402"/>
        <v>0</v>
      </c>
      <c r="DD93" s="615">
        <f t="shared" si="403"/>
        <v>0</v>
      </c>
      <c r="DE93" s="339"/>
      <c r="DF93" s="625">
        <f t="shared" si="404"/>
        <v>0.97222222222222221</v>
      </c>
      <c r="DG93" s="625">
        <f t="shared" si="405"/>
        <v>2.7777777777777776E-2</v>
      </c>
      <c r="DH93" s="625">
        <f t="shared" si="406"/>
        <v>2.7777777777777776E-2</v>
      </c>
      <c r="DI93" s="341"/>
      <c r="DJ93" s="615">
        <f>COUNTIF('MEP | Drawing List'!$H:$H,"MEP-T2V-6V-7")</f>
        <v>36</v>
      </c>
      <c r="DK93" s="616">
        <f>COUNTIFS('MEP | Drawing List'!$H:$H,"MEP-T2V-6V-7",'MEP | Drawing List'!$J:$J,1)</f>
        <v>35</v>
      </c>
      <c r="DL93" s="616">
        <f>COUNTIFS('MEP | Drawing List'!$H:$H,"MEP-T2V-6V-7",'MEP | Drawing List'!$L:$L,1)</f>
        <v>1</v>
      </c>
      <c r="DM93" s="615">
        <f>COUNTIFS('MEP | Drawing List'!$H:$H,"MEP-T2V-6V-7",'MEP | Drawing List'!M:M,1)</f>
        <v>1</v>
      </c>
      <c r="DN93" s="615">
        <f>COUNTIFS('MEP | Drawing List'!$H:$H,"MEP-T2V-6V-7",'MEP | Drawing List'!N:N,1)</f>
        <v>0</v>
      </c>
      <c r="DO93" s="615">
        <f>COUNTIFS('MEP | Drawing List'!$H:$H,"MEP-T2V-6V-7",'MEP | Drawing List'!O:O,1)</f>
        <v>0</v>
      </c>
      <c r="DP93" s="615">
        <f>COUNTIFS('MEP | Drawing List'!$H:$H,"MEP-T2V-6V-7",'MEP | Drawing List'!P:P,1)</f>
        <v>0</v>
      </c>
      <c r="DQ93" s="339"/>
      <c r="DR93" s="616">
        <f>COUNTIFS('MEP | Drawing List'!$H:$H,"MEP-T2V-6V-7",'MEP | Drawing List'!$Q:$Q,1)</f>
        <v>1</v>
      </c>
      <c r="DS93" s="615">
        <f>COUNTIFS('MEP | Drawing List'!$H:$H,"MEP-T2V-6V-7",'MEP | Drawing List'!R:R,1)</f>
        <v>0</v>
      </c>
      <c r="DT93" s="615">
        <f>COUNTIFS('MEP | Drawing List'!$H:$H,"MEP-T2V-6V-7",'MEP | Drawing List'!S:S,1)</f>
        <v>1</v>
      </c>
      <c r="DU93" s="615">
        <f>COUNTIFS('MEP | Drawing List'!$H:$H,"MEP-T2V-6V-7",'MEP | Drawing List'!T:T,1)</f>
        <v>0</v>
      </c>
      <c r="DV93" s="615">
        <f>COUNTIFS('MEP | Drawing List'!$H:$H,"MEP-T2V-6V-7",'MEP | Drawing List'!U:U,1)</f>
        <v>0</v>
      </c>
      <c r="DW93" s="343"/>
      <c r="DX93" s="343"/>
      <c r="DY93" s="525">
        <v>0</v>
      </c>
      <c r="DZ93" s="343"/>
      <c r="EA93" s="344">
        <v>0</v>
      </c>
      <c r="EB93" s="618">
        <f t="shared" si="237"/>
        <v>0</v>
      </c>
      <c r="EC93" s="81"/>
      <c r="ED93" s="81"/>
      <c r="EE93" s="339"/>
      <c r="EF93" s="339"/>
      <c r="EG93" s="339"/>
      <c r="EH93" s="339"/>
      <c r="EI93" s="339"/>
      <c r="EJ93" s="81"/>
      <c r="EK93" s="339"/>
      <c r="EL93" s="339"/>
      <c r="EM93" s="339"/>
      <c r="EN93" s="339"/>
      <c r="EO93" s="339"/>
      <c r="EP93" s="103"/>
      <c r="EQ93" s="103"/>
      <c r="ER93" s="103"/>
      <c r="ES93" s="82"/>
      <c r="ET93" s="615">
        <f>COUNTIF('LS | Drawing List'!$H:$H,"LS-TXV-7")</f>
        <v>0</v>
      </c>
      <c r="EU93" s="616">
        <f>COUNTIFS('LS | Drawing List'!$H:$H,"LS-TXV-7",'LS | Drawing List'!$J:$J,1)</f>
        <v>0</v>
      </c>
      <c r="EV93" s="616">
        <f>COUNTIFS('LS | Drawing List'!$H:$H,"LS-TXV-7",'LS | Drawing List'!$L:$L,1)</f>
        <v>0</v>
      </c>
      <c r="EW93" s="615">
        <f>COUNTIFS('LS | Drawing List'!$H:$H,"LS-TXV-7",'LS | Drawing List'!M:M,1)</f>
        <v>0</v>
      </c>
      <c r="EX93" s="615">
        <f>COUNTIFS('LS | Drawing List'!$H:$H,"LS-TXV-7",'LS | Drawing List'!N:N,1)</f>
        <v>0</v>
      </c>
      <c r="EY93" s="615">
        <f>COUNTIFS('LS | Drawing List'!$H:$H,"LS-TXV-7",'LS | Drawing List'!O:O,1)</f>
        <v>0</v>
      </c>
      <c r="EZ93" s="615">
        <f>COUNTIFS('LS | Drawing List'!$H:$H,"LS-TXV-7",'LS | Drawing List'!P:P,1)</f>
        <v>0</v>
      </c>
      <c r="FA93" s="81"/>
      <c r="FB93" s="616">
        <f>COUNTIFS('LS | Drawing List'!$H:$H,"LS-TXV-7",'LS | Drawing List'!$Q:$Q,1)</f>
        <v>0</v>
      </c>
      <c r="FC93" s="615">
        <f>COUNTIFS('LS | Drawing List'!$H:$H,"LS-TXV-7",'LS | Drawing List'!R:R,1)</f>
        <v>0</v>
      </c>
      <c r="FD93" s="615">
        <f>COUNTIFS('LS | Drawing List'!$H:$H,"LS-TXV-7",'LS | Drawing List'!S:S,1)</f>
        <v>0</v>
      </c>
      <c r="FE93" s="615">
        <f>COUNTIFS('LS | Drawing List'!$H:$H,"LS-TXV-7",'LS | Drawing List'!T:T,1)</f>
        <v>0</v>
      </c>
      <c r="FF93" s="615">
        <f>COUNTIFS('LS | Drawing List'!$H:$H,"LS-TXV-7",'LS | Drawing List'!U:U,1)</f>
        <v>0</v>
      </c>
      <c r="FG93" s="48"/>
    </row>
    <row r="94" spans="1:163" ht="14.25" hidden="1" outlineLevel="2">
      <c r="A94" s="48"/>
      <c r="B94" s="87" t="s">
        <v>103</v>
      </c>
      <c r="C94" s="276">
        <v>8</v>
      </c>
      <c r="D94" s="272" t="s">
        <v>67</v>
      </c>
      <c r="E94" s="48"/>
      <c r="F94" s="619">
        <f t="shared" si="358"/>
        <v>0.46880592000000004</v>
      </c>
      <c r="G94" s="619">
        <f t="shared" si="359"/>
        <v>0.46880592000000004</v>
      </c>
      <c r="H94" s="615">
        <f t="shared" si="360"/>
        <v>0</v>
      </c>
      <c r="I94" s="615">
        <f t="shared" si="332"/>
        <v>0</v>
      </c>
      <c r="J94" s="615">
        <f t="shared" si="333"/>
        <v>0</v>
      </c>
      <c r="K94" s="615">
        <f t="shared" si="334"/>
        <v>0</v>
      </c>
      <c r="L94" s="615">
        <f t="shared" si="335"/>
        <v>0</v>
      </c>
      <c r="M94" s="620">
        <f t="shared" si="336"/>
        <v>0</v>
      </c>
      <c r="N94" s="287"/>
      <c r="O94" s="615">
        <f t="shared" si="337"/>
        <v>0</v>
      </c>
      <c r="P94" s="615">
        <f t="shared" si="338"/>
        <v>0</v>
      </c>
      <c r="Q94" s="615">
        <f t="shared" si="339"/>
        <v>0</v>
      </c>
      <c r="R94" s="615">
        <f t="shared" si="340"/>
        <v>0</v>
      </c>
      <c r="S94" s="615">
        <f t="shared" si="341"/>
        <v>0</v>
      </c>
      <c r="T94" s="48"/>
      <c r="U94" s="519">
        <v>0.05</v>
      </c>
      <c r="V94" s="131"/>
      <c r="W94" s="619">
        <f t="shared" si="361"/>
        <v>0.33054720000000004</v>
      </c>
      <c r="X94" s="619">
        <f t="shared" si="234"/>
        <v>0.33054720000000004</v>
      </c>
      <c r="Y94" s="615">
        <f t="shared" si="362"/>
        <v>0.33054720000000004</v>
      </c>
      <c r="Z94" s="615">
        <f t="shared" si="363"/>
        <v>0</v>
      </c>
      <c r="AA94" s="615">
        <f t="shared" si="364"/>
        <v>0</v>
      </c>
      <c r="AB94" s="615">
        <f t="shared" si="365"/>
        <v>0</v>
      </c>
      <c r="AC94" s="615">
        <f t="shared" si="366"/>
        <v>0</v>
      </c>
      <c r="AD94" s="620">
        <f t="shared" si="367"/>
        <v>0</v>
      </c>
      <c r="AE94" s="287"/>
      <c r="AF94" s="615">
        <f t="shared" si="368"/>
        <v>0</v>
      </c>
      <c r="AG94" s="615">
        <f t="shared" si="369"/>
        <v>0</v>
      </c>
      <c r="AH94" s="615">
        <f t="shared" si="370"/>
        <v>0</v>
      </c>
      <c r="AI94" s="615">
        <f t="shared" si="371"/>
        <v>0</v>
      </c>
      <c r="AJ94" s="615">
        <f t="shared" si="372"/>
        <v>0</v>
      </c>
      <c r="AK94" s="339"/>
      <c r="AL94" s="625">
        <f t="shared" si="373"/>
        <v>1</v>
      </c>
      <c r="AM94" s="625">
        <f t="shared" si="374"/>
        <v>0</v>
      </c>
      <c r="AN94" s="625">
        <f t="shared" si="375"/>
        <v>0</v>
      </c>
      <c r="AO94" s="345"/>
      <c r="AP94" s="615">
        <f>COUNTIF('AR | Drawing List'!$H:$H,"AR-TXV-8")</f>
        <v>3</v>
      </c>
      <c r="AQ94" s="616">
        <f>COUNTIFS('AR | Drawing List'!$H:$H,"AR-TXV-8",'AR | Drawing List'!$J:$J,1)</f>
        <v>3</v>
      </c>
      <c r="AR94" s="616">
        <f t="shared" si="238"/>
        <v>0</v>
      </c>
      <c r="AS94" s="616">
        <f>COUNTIFS('AR | Drawing List'!$H:$H,"AR-TXV-8",'AR | Drawing List'!M:M,1)</f>
        <v>0</v>
      </c>
      <c r="AT94" s="616">
        <f>COUNTIFS('AR | Drawing List'!$H:$H,"AR-TXV-8",'AR | Drawing List'!N:N,1)</f>
        <v>0</v>
      </c>
      <c r="AU94" s="616">
        <f>COUNTIFS('AR | Drawing List'!$H:$H,"AR-TXV-8",'AR | Drawing List'!O:O,1)</f>
        <v>0</v>
      </c>
      <c r="AV94" s="616">
        <f>COUNTIFS('AR | Drawing List'!$H:$H,"AR-TXV-8",'AR | Drawing List'!P:P,1)</f>
        <v>0</v>
      </c>
      <c r="AW94" s="328"/>
      <c r="AX94" s="616">
        <f t="shared" si="376"/>
        <v>0</v>
      </c>
      <c r="AY94" s="616">
        <f>COUNTIFS('AR | Drawing List'!$H:$H,"AR-TXV-8",'AR | Drawing List'!R:R,1)</f>
        <v>0</v>
      </c>
      <c r="AZ94" s="616">
        <f>COUNTIFS('AR | Drawing List'!$H:$H,"AR-TXV-8",'AR | Drawing List'!S:S,1)</f>
        <v>0</v>
      </c>
      <c r="BA94" s="616">
        <f>COUNTIFS('AR | Drawing List'!$H:$H,"AR-TXV-8",'AR | Drawing List'!T:T,1)</f>
        <v>0</v>
      </c>
      <c r="BB94" s="616">
        <f>COUNTIFS('AR | Drawing List'!$H:$H,"AR-TXV-8",'AR | Drawing List'!U:U,1)</f>
        <v>0</v>
      </c>
      <c r="BC94" s="328"/>
      <c r="BD94" s="328"/>
      <c r="BE94" s="525">
        <v>0.05</v>
      </c>
      <c r="BF94" s="343"/>
      <c r="BG94" s="616">
        <f t="shared" si="377"/>
        <v>0.13825872</v>
      </c>
      <c r="BH94" s="618">
        <f t="shared" si="235"/>
        <v>0.13825872</v>
      </c>
      <c r="BI94" s="615">
        <f t="shared" si="378"/>
        <v>0.13825872</v>
      </c>
      <c r="BJ94" s="615">
        <f t="shared" si="379"/>
        <v>0</v>
      </c>
      <c r="BK94" s="615">
        <f t="shared" si="380"/>
        <v>0</v>
      </c>
      <c r="BL94" s="615">
        <f t="shared" si="381"/>
        <v>0</v>
      </c>
      <c r="BM94" s="615">
        <f t="shared" si="382"/>
        <v>0</v>
      </c>
      <c r="BN94" s="615">
        <f t="shared" si="383"/>
        <v>0</v>
      </c>
      <c r="BO94" s="339"/>
      <c r="BP94" s="615">
        <f t="shared" si="384"/>
        <v>0</v>
      </c>
      <c r="BQ94" s="615">
        <f t="shared" si="385"/>
        <v>0</v>
      </c>
      <c r="BR94" s="615">
        <f t="shared" si="386"/>
        <v>0</v>
      </c>
      <c r="BS94" s="615">
        <f t="shared" si="387"/>
        <v>0</v>
      </c>
      <c r="BT94" s="615">
        <f t="shared" si="388"/>
        <v>0</v>
      </c>
      <c r="BU94" s="339"/>
      <c r="BV94" s="635">
        <f t="shared" si="389"/>
        <v>1</v>
      </c>
      <c r="BW94" s="635">
        <f t="shared" si="390"/>
        <v>0</v>
      </c>
      <c r="BX94" s="635">
        <f t="shared" si="391"/>
        <v>0</v>
      </c>
      <c r="BY94" s="341"/>
      <c r="BZ94" s="615">
        <f>COUNTIF('ST | Drawing List'!$H:$H,"ST-TXV-8")</f>
        <v>10</v>
      </c>
      <c r="CA94" s="616">
        <f>COUNTIFS('ST | Drawing List'!$H:$H,"ST-TXV-8",'ST | Drawing List'!$J:$J,1)</f>
        <v>10</v>
      </c>
      <c r="CB94" s="623">
        <f>COUNTIFS('ST | Drawing List'!$H:$H,"ST-TXV-8",'ST | Drawing List'!$L:$L,1)</f>
        <v>0</v>
      </c>
      <c r="CC94" s="616">
        <f>COUNTIFS('ST | Drawing List'!$H:$H,"ST-TXV-8",'ST | Drawing List'!M:M,1)</f>
        <v>0</v>
      </c>
      <c r="CD94" s="616">
        <f>COUNTIFS('ST | Drawing List'!$H:$H,"ST-TXV-8",'ST | Drawing List'!N:N,1)</f>
        <v>0</v>
      </c>
      <c r="CE94" s="616">
        <f>COUNTIFS('ST | Drawing List'!$H:$H,"ST-TXV-8",'ST | Drawing List'!O:O,1)</f>
        <v>0</v>
      </c>
      <c r="CF94" s="616">
        <f>COUNTIFS('ST | Drawing List'!$H:$H,"ST-TXV-8",'ST | Drawing List'!P:P,1)</f>
        <v>0</v>
      </c>
      <c r="CG94" s="532"/>
      <c r="CH94" s="623">
        <f>COUNTIFS('ST | Drawing List'!$H:$H,"ST-TXV-8",'ST | Drawing List'!$Q:$Q,1)</f>
        <v>0</v>
      </c>
      <c r="CI94" s="616">
        <f>COUNTIFS('ST | Drawing List'!$H:$H,"ST-TXV-8",'ST | Drawing List'!R:R,1)</f>
        <v>0</v>
      </c>
      <c r="CJ94" s="616">
        <f>COUNTIFS('ST | Drawing List'!$H:$H,"ST-TXV-8",'ST | Drawing List'!S:S,1)</f>
        <v>0</v>
      </c>
      <c r="CK94" s="616">
        <f>COUNTIFS('ST | Drawing List'!$H:$H,"ST-TXV-8",'ST | Drawing List'!T:T,1)</f>
        <v>0</v>
      </c>
      <c r="CL94" s="616">
        <f>COUNTIFS('ST | Drawing List'!$H:$H,"ST-TXV-8",'ST | Drawing List'!U:U,1)</f>
        <v>0</v>
      </c>
      <c r="CM94" s="343"/>
      <c r="CN94" s="343"/>
      <c r="CO94" s="666">
        <v>0</v>
      </c>
      <c r="CP94" s="343"/>
      <c r="CQ94" s="616">
        <f t="shared" si="392"/>
        <v>0</v>
      </c>
      <c r="CR94" s="618">
        <f t="shared" si="236"/>
        <v>0</v>
      </c>
      <c r="CS94" s="615">
        <f t="shared" si="393"/>
        <v>0</v>
      </c>
      <c r="CT94" s="615">
        <f t="shared" si="394"/>
        <v>0</v>
      </c>
      <c r="CU94" s="615">
        <f t="shared" si="395"/>
        <v>0</v>
      </c>
      <c r="CV94" s="615">
        <f t="shared" si="396"/>
        <v>0</v>
      </c>
      <c r="CW94" s="615">
        <f t="shared" si="397"/>
        <v>0</v>
      </c>
      <c r="CX94" s="615">
        <f t="shared" si="398"/>
        <v>0</v>
      </c>
      <c r="CY94" s="339"/>
      <c r="CZ94" s="615">
        <f t="shared" si="399"/>
        <v>0</v>
      </c>
      <c r="DA94" s="615">
        <f t="shared" si="400"/>
        <v>0</v>
      </c>
      <c r="DB94" s="615">
        <f t="shared" si="401"/>
        <v>0</v>
      </c>
      <c r="DC94" s="615">
        <f t="shared" si="402"/>
        <v>0</v>
      </c>
      <c r="DD94" s="615">
        <f t="shared" si="403"/>
        <v>0</v>
      </c>
      <c r="DE94" s="339"/>
      <c r="DF94" s="625">
        <f t="shared" si="404"/>
        <v>0</v>
      </c>
      <c r="DG94" s="625">
        <f t="shared" si="405"/>
        <v>0</v>
      </c>
      <c r="DH94" s="625">
        <f t="shared" si="406"/>
        <v>0</v>
      </c>
      <c r="DI94" s="341"/>
      <c r="DJ94" s="615">
        <f>COUNTIF('MEP | Drawing List'!$H:$H,"MEP-T2V-6V-8")</f>
        <v>0</v>
      </c>
      <c r="DK94" s="616">
        <f>COUNTIFS('MEP | Drawing List'!$H:$H,"MEP-T2V-6V-8",'MEP | Drawing List'!$J:$J,1)</f>
        <v>0</v>
      </c>
      <c r="DL94" s="616">
        <f>COUNTIFS('MEP | Drawing List'!$H:$H,"MEP-T2V-6V-8",'MEP | Drawing List'!$L:$L,1)</f>
        <v>0</v>
      </c>
      <c r="DM94" s="615">
        <f>COUNTIFS('MEP | Drawing List'!$H:$H,"MEP-T2V-6V-8",'MEP | Drawing List'!M:M,1)</f>
        <v>0</v>
      </c>
      <c r="DN94" s="615">
        <f>COUNTIFS('MEP | Drawing List'!$H:$H,"MEP-T2V-6V-8",'MEP | Drawing List'!N:N,1)</f>
        <v>0</v>
      </c>
      <c r="DO94" s="615">
        <f>COUNTIFS('MEP | Drawing List'!$H:$H,"MEP-T2V-6V-8",'MEP | Drawing List'!O:O,1)</f>
        <v>0</v>
      </c>
      <c r="DP94" s="615">
        <f>COUNTIFS('MEP | Drawing List'!$H:$H,"MEP-T2V-6V-8",'MEP | Drawing List'!P:P,1)</f>
        <v>0</v>
      </c>
      <c r="DQ94" s="339"/>
      <c r="DR94" s="616">
        <f>COUNTIFS('MEP | Drawing List'!$H:$H,"MEP-T2V-6V-8",'MEP | Drawing List'!$Q:$Q,1)</f>
        <v>0</v>
      </c>
      <c r="DS94" s="615">
        <f>COUNTIFS('MEP | Drawing List'!$H:$H,"MEP-T2V-6V-8",'MEP | Drawing List'!R:R,1)</f>
        <v>0</v>
      </c>
      <c r="DT94" s="615">
        <f>COUNTIFS('MEP | Drawing List'!$H:$H,"MEP-T2V-6V-8",'MEP | Drawing List'!S:S,1)</f>
        <v>0</v>
      </c>
      <c r="DU94" s="615">
        <f>COUNTIFS('MEP | Drawing List'!$H:$H,"MEP-T2V-6V-8",'MEP | Drawing List'!T:T,1)</f>
        <v>0</v>
      </c>
      <c r="DV94" s="615">
        <f>COUNTIFS('MEP | Drawing List'!$H:$H,"MEP-T2V-6V-8",'MEP | Drawing List'!U:U,1)</f>
        <v>0</v>
      </c>
      <c r="DW94" s="343"/>
      <c r="DX94" s="343"/>
      <c r="DY94" s="525">
        <v>0</v>
      </c>
      <c r="DZ94" s="343"/>
      <c r="EA94" s="344">
        <v>0</v>
      </c>
      <c r="EB94" s="618">
        <f t="shared" si="237"/>
        <v>0</v>
      </c>
      <c r="EC94" s="85"/>
      <c r="ED94" s="85"/>
      <c r="EE94" s="339"/>
      <c r="EF94" s="339"/>
      <c r="EG94" s="339"/>
      <c r="EH94" s="339"/>
      <c r="EI94" s="339"/>
      <c r="EJ94" s="85"/>
      <c r="EK94" s="339"/>
      <c r="EL94" s="339"/>
      <c r="EM94" s="339"/>
      <c r="EN94" s="339"/>
      <c r="EO94" s="339"/>
      <c r="EP94" s="639"/>
      <c r="EQ94" s="639"/>
      <c r="ER94" s="639"/>
      <c r="ES94" s="82"/>
      <c r="ET94" s="615">
        <f>COUNTIF('LS | Drawing List'!$H:$H,"LS-TXV-8")</f>
        <v>0</v>
      </c>
      <c r="EU94" s="616">
        <f>COUNTIFS('LS | Drawing List'!$H:$H,"LS-TXV-8",'LS | Drawing List'!$J:$J,1)</f>
        <v>0</v>
      </c>
      <c r="EV94" s="616">
        <f>COUNTIFS('LS | Drawing List'!$H:$H,"LS-TXV-8",'LS | Drawing List'!$L:$L,1)</f>
        <v>0</v>
      </c>
      <c r="EW94" s="615">
        <f>COUNTIFS('LS | Drawing List'!$H:$H,"LS-TXV-8",'LS | Drawing List'!M:M,1)</f>
        <v>0</v>
      </c>
      <c r="EX94" s="615">
        <f>COUNTIFS('LS | Drawing List'!$H:$H,"LS-TXV-8",'LS | Drawing List'!N:N,1)</f>
        <v>0</v>
      </c>
      <c r="EY94" s="615">
        <f>COUNTIFS('LS | Drawing List'!$H:$H,"LS-TXV-8",'LS | Drawing List'!O:O,1)</f>
        <v>0</v>
      </c>
      <c r="EZ94" s="615">
        <f>COUNTIFS('LS | Drawing List'!$H:$H,"LS-TXV-8",'LS | Drawing List'!P:P,1)</f>
        <v>0</v>
      </c>
      <c r="FA94" s="81"/>
      <c r="FB94" s="616">
        <f>COUNTIFS('LS | Drawing List'!$H:$H,"LS-TXV-8",'LS | Drawing List'!$Q:$Q,1)</f>
        <v>0</v>
      </c>
      <c r="FC94" s="615">
        <f>COUNTIFS('LS | Drawing List'!$H:$H,"LS-TXV-8",'LS | Drawing List'!R:R,1)</f>
        <v>0</v>
      </c>
      <c r="FD94" s="615">
        <f>COUNTIFS('LS | Drawing List'!$H:$H,"LS-TXV-8",'LS | Drawing List'!S:S,1)</f>
        <v>0</v>
      </c>
      <c r="FE94" s="615">
        <f>COUNTIFS('LS | Drawing List'!$H:$H,"LS-TXV-8",'LS | Drawing List'!T:T,1)</f>
        <v>0</v>
      </c>
      <c r="FF94" s="615">
        <f>COUNTIFS('LS | Drawing List'!$H:$H,"LS-TXV-8",'LS | Drawing List'!U:U,1)</f>
        <v>0</v>
      </c>
      <c r="FG94" s="48"/>
    </row>
    <row r="95" spans="1:163" ht="14.25" hidden="1" outlineLevel="2">
      <c r="A95" s="48"/>
      <c r="B95" s="87" t="s">
        <v>104</v>
      </c>
      <c r="C95" s="276">
        <v>9</v>
      </c>
      <c r="D95" s="272" t="s">
        <v>69</v>
      </c>
      <c r="E95" s="48"/>
      <c r="F95" s="619">
        <f t="shared" si="358"/>
        <v>0.51766944000000004</v>
      </c>
      <c r="G95" s="619">
        <f t="shared" si="359"/>
        <v>0.51766944000000004</v>
      </c>
      <c r="H95" s="615">
        <f t="shared" si="360"/>
        <v>0</v>
      </c>
      <c r="I95" s="615">
        <f t="shared" si="332"/>
        <v>0</v>
      </c>
      <c r="J95" s="615">
        <f t="shared" si="333"/>
        <v>0</v>
      </c>
      <c r="K95" s="615">
        <f t="shared" si="334"/>
        <v>0</v>
      </c>
      <c r="L95" s="615">
        <f t="shared" si="335"/>
        <v>0</v>
      </c>
      <c r="M95" s="620">
        <f t="shared" si="336"/>
        <v>0</v>
      </c>
      <c r="N95" s="287"/>
      <c r="O95" s="615">
        <f t="shared" si="337"/>
        <v>0</v>
      </c>
      <c r="P95" s="615">
        <f t="shared" si="338"/>
        <v>0</v>
      </c>
      <c r="Q95" s="615">
        <f t="shared" si="339"/>
        <v>0</v>
      </c>
      <c r="R95" s="615">
        <f t="shared" si="340"/>
        <v>0</v>
      </c>
      <c r="S95" s="615">
        <f t="shared" si="341"/>
        <v>0</v>
      </c>
      <c r="T95" s="48"/>
      <c r="U95" s="519">
        <v>2.5000000000000001E-2</v>
      </c>
      <c r="V95" s="131"/>
      <c r="W95" s="619">
        <f t="shared" si="361"/>
        <v>0.16527360000000002</v>
      </c>
      <c r="X95" s="619">
        <f t="shared" si="234"/>
        <v>0.16527360000000002</v>
      </c>
      <c r="Y95" s="615">
        <f t="shared" si="362"/>
        <v>0.16527360000000002</v>
      </c>
      <c r="Z95" s="615">
        <f t="shared" si="363"/>
        <v>0</v>
      </c>
      <c r="AA95" s="615">
        <f t="shared" si="364"/>
        <v>0</v>
      </c>
      <c r="AB95" s="615">
        <f t="shared" si="365"/>
        <v>0</v>
      </c>
      <c r="AC95" s="615">
        <f t="shared" si="366"/>
        <v>0</v>
      </c>
      <c r="AD95" s="620">
        <f t="shared" si="367"/>
        <v>0</v>
      </c>
      <c r="AE95" s="287"/>
      <c r="AF95" s="615">
        <f t="shared" si="368"/>
        <v>0</v>
      </c>
      <c r="AG95" s="615">
        <f t="shared" si="369"/>
        <v>0</v>
      </c>
      <c r="AH95" s="615">
        <f t="shared" si="370"/>
        <v>0</v>
      </c>
      <c r="AI95" s="615">
        <f t="shared" si="371"/>
        <v>0</v>
      </c>
      <c r="AJ95" s="615">
        <f t="shared" si="372"/>
        <v>0</v>
      </c>
      <c r="AK95" s="339"/>
      <c r="AL95" s="625">
        <f t="shared" si="373"/>
        <v>1</v>
      </c>
      <c r="AM95" s="625">
        <f t="shared" si="374"/>
        <v>0</v>
      </c>
      <c r="AN95" s="625">
        <f t="shared" si="375"/>
        <v>0</v>
      </c>
      <c r="AO95" s="345"/>
      <c r="AP95" s="615">
        <f>COUNTIF('AR | Drawing List'!$H:$H,"AR-TXV-9")</f>
        <v>2</v>
      </c>
      <c r="AQ95" s="616">
        <f>COUNTIFS('AR | Drawing List'!$H:$H,"AR-TXV-9",'AR | Drawing List'!$J:$J,1)</f>
        <v>2</v>
      </c>
      <c r="AR95" s="616">
        <f t="shared" si="238"/>
        <v>0</v>
      </c>
      <c r="AS95" s="616">
        <f>COUNTIFS('AR | Drawing List'!$H:$H,"AR-TXV-9",'AR | Drawing List'!M:M,1)</f>
        <v>0</v>
      </c>
      <c r="AT95" s="616">
        <f>COUNTIFS('AR | Drawing List'!$H:$H,"AR-TXV-9",'AR | Drawing List'!N:N,1)</f>
        <v>0</v>
      </c>
      <c r="AU95" s="616">
        <f>COUNTIFS('AR | Drawing List'!$H:$H,"AR-TXV-9",'AR | Drawing List'!O:O,1)</f>
        <v>0</v>
      </c>
      <c r="AV95" s="616">
        <f>COUNTIFS('AR | Drawing List'!$H:$H,"AR-TXV-9",'AR | Drawing List'!P:P,1)</f>
        <v>0</v>
      </c>
      <c r="AW95" s="328"/>
      <c r="AX95" s="616">
        <f t="shared" si="376"/>
        <v>0</v>
      </c>
      <c r="AY95" s="616">
        <f>COUNTIFS('AR | Drawing List'!$H:$H,"AR-TXV-9",'AR | Drawing List'!R:R,1)</f>
        <v>0</v>
      </c>
      <c r="AZ95" s="616">
        <f>COUNTIFS('AR | Drawing List'!$H:$H,"AR-TXV-9",'AR | Drawing List'!S:S,1)</f>
        <v>0</v>
      </c>
      <c r="BA95" s="616">
        <f>COUNTIFS('AR | Drawing List'!$H:$H,"AR-TXV-9",'AR | Drawing List'!T:T,1)</f>
        <v>0</v>
      </c>
      <c r="BB95" s="616">
        <f>COUNTIFS('AR | Drawing List'!$H:$H,"AR-TXV-9",'AR | Drawing List'!U:U,1)</f>
        <v>0</v>
      </c>
      <c r="BC95" s="328"/>
      <c r="BD95" s="328"/>
      <c r="BE95" s="554">
        <v>0.1</v>
      </c>
      <c r="BF95" s="343"/>
      <c r="BG95" s="616">
        <f t="shared" si="377"/>
        <v>0.27651744</v>
      </c>
      <c r="BH95" s="618">
        <f t="shared" si="235"/>
        <v>0.27651744</v>
      </c>
      <c r="BI95" s="615">
        <f t="shared" si="378"/>
        <v>0.27651744</v>
      </c>
      <c r="BJ95" s="615">
        <f t="shared" si="379"/>
        <v>0</v>
      </c>
      <c r="BK95" s="615">
        <f t="shared" si="380"/>
        <v>0</v>
      </c>
      <c r="BL95" s="615">
        <f t="shared" si="381"/>
        <v>0</v>
      </c>
      <c r="BM95" s="615">
        <f t="shared" si="382"/>
        <v>0</v>
      </c>
      <c r="BN95" s="615">
        <f t="shared" si="383"/>
        <v>0</v>
      </c>
      <c r="BO95" s="339"/>
      <c r="BP95" s="615">
        <f t="shared" si="384"/>
        <v>0</v>
      </c>
      <c r="BQ95" s="615">
        <f t="shared" si="385"/>
        <v>0</v>
      </c>
      <c r="BR95" s="615">
        <f t="shared" si="386"/>
        <v>0</v>
      </c>
      <c r="BS95" s="615">
        <f t="shared" si="387"/>
        <v>0</v>
      </c>
      <c r="BT95" s="615">
        <f t="shared" si="388"/>
        <v>0</v>
      </c>
      <c r="BU95" s="339"/>
      <c r="BV95" s="635">
        <f t="shared" si="389"/>
        <v>1</v>
      </c>
      <c r="BW95" s="635">
        <f t="shared" si="390"/>
        <v>0</v>
      </c>
      <c r="BX95" s="635">
        <f t="shared" si="391"/>
        <v>0</v>
      </c>
      <c r="BY95" s="341"/>
      <c r="BZ95" s="615">
        <f>COUNTIF('ST | Drawing List'!$H:$H,"ST-TXV-9")</f>
        <v>10</v>
      </c>
      <c r="CA95" s="616">
        <f>COUNTIFS('ST | Drawing List'!$H:$H,"ST-TXV-9",'ST | Drawing List'!$J:$J,1)</f>
        <v>10</v>
      </c>
      <c r="CB95" s="623">
        <f>COUNTIFS('ST | Drawing List'!$H:$H,"ST-TXV-9",'ST | Drawing List'!$L:$L,1)</f>
        <v>0</v>
      </c>
      <c r="CC95" s="616">
        <f>COUNTIFS('ST | Drawing List'!$H:$H,"ST-TXV-9",'ST | Drawing List'!M:M,1)</f>
        <v>0</v>
      </c>
      <c r="CD95" s="616">
        <f>COUNTIFS('ST | Drawing List'!$H:$H,"ST-TXV-9",'ST | Drawing List'!N:N,1)</f>
        <v>0</v>
      </c>
      <c r="CE95" s="616">
        <f>COUNTIFS('ST | Drawing List'!$H:$H,"ST-TXV-9",'ST | Drawing List'!O:O,1)</f>
        <v>0</v>
      </c>
      <c r="CF95" s="616">
        <f>COUNTIFS('ST | Drawing List'!$H:$H,"ST-TXV-9",'ST | Drawing List'!P:P,1)</f>
        <v>0</v>
      </c>
      <c r="CG95" s="532"/>
      <c r="CH95" s="623">
        <f>COUNTIFS('ST | Drawing List'!$H:$H,"ST-TXV-9",'ST | Drawing List'!$Q:$Q,1)</f>
        <v>0</v>
      </c>
      <c r="CI95" s="616">
        <f>COUNTIFS('ST | Drawing List'!$H:$H,"ST-TXV-9",'ST | Drawing List'!R:R,1)</f>
        <v>0</v>
      </c>
      <c r="CJ95" s="616">
        <f>COUNTIFS('ST | Drawing List'!$H:$H,"ST-TXV-9",'ST | Drawing List'!S:S,1)</f>
        <v>0</v>
      </c>
      <c r="CK95" s="616">
        <f>COUNTIFS('ST | Drawing List'!$H:$H,"ST-TXV-9",'ST | Drawing List'!T:T,1)</f>
        <v>0</v>
      </c>
      <c r="CL95" s="616">
        <f>COUNTIFS('ST | Drawing List'!$H:$H,"ST-TXV-9",'ST | Drawing List'!U:U,1)</f>
        <v>0</v>
      </c>
      <c r="CM95" s="343"/>
      <c r="CN95" s="343"/>
      <c r="CO95" s="525">
        <v>0.2</v>
      </c>
      <c r="CP95" s="343"/>
      <c r="CQ95" s="616">
        <f t="shared" si="392"/>
        <v>7.5878400000000013E-2</v>
      </c>
      <c r="CR95" s="618">
        <f t="shared" si="236"/>
        <v>7.5878400000000013E-2</v>
      </c>
      <c r="CS95" s="615">
        <f t="shared" si="393"/>
        <v>7.5878400000000013E-2</v>
      </c>
      <c r="CT95" s="615">
        <f t="shared" si="394"/>
        <v>0</v>
      </c>
      <c r="CU95" s="615">
        <f t="shared" si="395"/>
        <v>0</v>
      </c>
      <c r="CV95" s="615">
        <f t="shared" si="396"/>
        <v>0</v>
      </c>
      <c r="CW95" s="615">
        <f t="shared" si="397"/>
        <v>0</v>
      </c>
      <c r="CX95" s="615">
        <f t="shared" si="398"/>
        <v>0</v>
      </c>
      <c r="CY95" s="339"/>
      <c r="CZ95" s="615">
        <f t="shared" si="399"/>
        <v>0</v>
      </c>
      <c r="DA95" s="615">
        <f t="shared" si="400"/>
        <v>0</v>
      </c>
      <c r="DB95" s="615">
        <f t="shared" si="401"/>
        <v>0</v>
      </c>
      <c r="DC95" s="615">
        <f t="shared" si="402"/>
        <v>0</v>
      </c>
      <c r="DD95" s="615">
        <f t="shared" si="403"/>
        <v>0</v>
      </c>
      <c r="DE95" s="339"/>
      <c r="DF95" s="625">
        <f t="shared" si="404"/>
        <v>1</v>
      </c>
      <c r="DG95" s="625">
        <f t="shared" si="405"/>
        <v>0</v>
      </c>
      <c r="DH95" s="625">
        <f t="shared" si="406"/>
        <v>0</v>
      </c>
      <c r="DI95" s="341"/>
      <c r="DJ95" s="615">
        <f>COUNTIF('MEP | Drawing List'!$H:$H,"MEP-T2V-6V-9")</f>
        <v>15</v>
      </c>
      <c r="DK95" s="616">
        <f>COUNTIFS('MEP | Drawing List'!$H:$H,"MEP-T2V-6V-9",'MEP | Drawing List'!$J:$J,1)</f>
        <v>15</v>
      </c>
      <c r="DL95" s="616">
        <f>COUNTIFS('MEP | Drawing List'!$H:$H,"MEP-T2V-6V-9",'MEP | Drawing List'!$L:$L,1)</f>
        <v>0</v>
      </c>
      <c r="DM95" s="615">
        <f>COUNTIFS('MEP | Drawing List'!$H:$H,"MEP-T2V-6V-9",'MEP | Drawing List'!M:M,1)</f>
        <v>0</v>
      </c>
      <c r="DN95" s="615">
        <f>COUNTIFS('MEP | Drawing List'!$H:$H,"MEP-T2V-6V-9",'MEP | Drawing List'!N:N,1)</f>
        <v>0</v>
      </c>
      <c r="DO95" s="615">
        <f>COUNTIFS('MEP | Drawing List'!$H:$H,"MEP-T2V-6V-9",'MEP | Drawing List'!O:O,1)</f>
        <v>0</v>
      </c>
      <c r="DP95" s="615">
        <f>COUNTIFS('MEP | Drawing List'!$H:$H,"MEP-T2V-6V-9",'MEP | Drawing List'!P:P,1)</f>
        <v>0</v>
      </c>
      <c r="DQ95" s="339"/>
      <c r="DR95" s="616">
        <f>COUNTIFS('MEP | Drawing List'!$H:$H,"MEP-T2V-6V-9",'MEP | Drawing List'!$Q:$Q,1)</f>
        <v>0</v>
      </c>
      <c r="DS95" s="615">
        <f>COUNTIFS('MEP | Drawing List'!$H:$H,"MEP-T2V-6V-9",'MEP | Drawing List'!R:R,1)</f>
        <v>0</v>
      </c>
      <c r="DT95" s="615">
        <f>COUNTIFS('MEP | Drawing List'!$H:$H,"MEP-T2V-6V-9",'MEP | Drawing List'!S:S,1)</f>
        <v>0</v>
      </c>
      <c r="DU95" s="615">
        <f>COUNTIFS('MEP | Drawing List'!$H:$H,"MEP-T2V-6V-9",'MEP | Drawing List'!T:T,1)</f>
        <v>0</v>
      </c>
      <c r="DV95" s="615">
        <f>COUNTIFS('MEP | Drawing List'!$H:$H,"MEP-T2V-6V-9",'MEP | Drawing List'!U:U,1)</f>
        <v>0</v>
      </c>
      <c r="DW95" s="343"/>
      <c r="DX95" s="343"/>
      <c r="DY95" s="525">
        <v>0</v>
      </c>
      <c r="DZ95" s="343"/>
      <c r="EA95" s="344">
        <v>0</v>
      </c>
      <c r="EB95" s="618">
        <f t="shared" si="237"/>
        <v>0</v>
      </c>
      <c r="EC95" s="81"/>
      <c r="ED95" s="81"/>
      <c r="EE95" s="339"/>
      <c r="EF95" s="339"/>
      <c r="EG95" s="339"/>
      <c r="EH95" s="339"/>
      <c r="EI95" s="339"/>
      <c r="EJ95" s="81"/>
      <c r="EK95" s="339"/>
      <c r="EL95" s="339"/>
      <c r="EM95" s="339"/>
      <c r="EN95" s="339"/>
      <c r="EO95" s="339"/>
      <c r="EP95" s="103"/>
      <c r="EQ95" s="103"/>
      <c r="ER95" s="103"/>
      <c r="ES95" s="82"/>
      <c r="ET95" s="615">
        <f>COUNTIF('LS | Drawing List'!$H:$H,"LS-TXV-9")</f>
        <v>0</v>
      </c>
      <c r="EU95" s="616">
        <f>COUNTIFS('LS | Drawing List'!$H:$H,"LS-TXV-9",'LS | Drawing List'!$J:$J,1)</f>
        <v>0</v>
      </c>
      <c r="EV95" s="616">
        <f>COUNTIFS('LS | Drawing List'!$H:$H,"LS-TXV-9",'LS | Drawing List'!$L:$L,1)</f>
        <v>0</v>
      </c>
      <c r="EW95" s="615">
        <f>COUNTIFS('LS | Drawing List'!$H:$H,"LS-TXV-9",'LS | Drawing List'!M:M,1)</f>
        <v>0</v>
      </c>
      <c r="EX95" s="615">
        <f>COUNTIFS('LS | Drawing List'!$H:$H,"LS-TXV-9",'LS | Drawing List'!N:N,1)</f>
        <v>0</v>
      </c>
      <c r="EY95" s="615">
        <f>COUNTIFS('LS | Drawing List'!$H:$H,"LS-TXV-9",'LS | Drawing List'!O:O,1)</f>
        <v>0</v>
      </c>
      <c r="EZ95" s="615">
        <f>COUNTIFS('LS | Drawing List'!$H:$H,"LS-TXV-9",'LS | Drawing List'!P:P,1)</f>
        <v>0</v>
      </c>
      <c r="FA95" s="81"/>
      <c r="FB95" s="616">
        <f>COUNTIFS('LS | Drawing List'!$H:$H,"LS-TXV-9",'LS | Drawing List'!$Q:$Q,1)</f>
        <v>0</v>
      </c>
      <c r="FC95" s="615">
        <f>COUNTIFS('LS | Drawing List'!$H:$H,"LS-TXV-9",'LS | Drawing List'!R:R,1)</f>
        <v>0</v>
      </c>
      <c r="FD95" s="615">
        <f>COUNTIFS('LS | Drawing List'!$H:$H,"LS-TXV-9",'LS | Drawing List'!S:S,1)</f>
        <v>0</v>
      </c>
      <c r="FE95" s="615">
        <f>COUNTIFS('LS | Drawing List'!$H:$H,"LS-TXV-9",'LS | Drawing List'!T:T,1)</f>
        <v>0</v>
      </c>
      <c r="FF95" s="615">
        <f>COUNTIFS('LS | Drawing List'!$H:$H,"LS-TXV-9",'LS | Drawing List'!U:U,1)</f>
        <v>0</v>
      </c>
      <c r="FG95" s="48"/>
    </row>
    <row r="96" spans="1:163" ht="14.25" hidden="1" outlineLevel="2">
      <c r="A96" s="48"/>
      <c r="B96" s="87" t="s">
        <v>105</v>
      </c>
      <c r="C96" s="276">
        <v>10</v>
      </c>
      <c r="D96" s="272" t="s">
        <v>71</v>
      </c>
      <c r="E96" s="48"/>
      <c r="F96" s="619">
        <f t="shared" si="358"/>
        <v>0.66109440000000008</v>
      </c>
      <c r="G96" s="619">
        <f t="shared" si="359"/>
        <v>0.66109440000000008</v>
      </c>
      <c r="H96" s="615">
        <f t="shared" si="360"/>
        <v>0</v>
      </c>
      <c r="I96" s="615">
        <f t="shared" si="332"/>
        <v>0</v>
      </c>
      <c r="J96" s="615">
        <f t="shared" si="333"/>
        <v>0</v>
      </c>
      <c r="K96" s="615">
        <f t="shared" si="334"/>
        <v>0</v>
      </c>
      <c r="L96" s="615">
        <f t="shared" si="335"/>
        <v>0</v>
      </c>
      <c r="M96" s="620">
        <f t="shared" si="336"/>
        <v>0</v>
      </c>
      <c r="N96" s="287"/>
      <c r="O96" s="615">
        <f t="shared" si="337"/>
        <v>0</v>
      </c>
      <c r="P96" s="615">
        <f t="shared" si="338"/>
        <v>0</v>
      </c>
      <c r="Q96" s="615">
        <f t="shared" si="339"/>
        <v>0</v>
      </c>
      <c r="R96" s="615">
        <f t="shared" si="340"/>
        <v>0</v>
      </c>
      <c r="S96" s="615">
        <f t="shared" si="341"/>
        <v>0</v>
      </c>
      <c r="T96" s="48"/>
      <c r="U96" s="519">
        <v>0.1</v>
      </c>
      <c r="V96" s="131"/>
      <c r="W96" s="619">
        <f t="shared" si="361"/>
        <v>0.66109440000000008</v>
      </c>
      <c r="X96" s="619">
        <f t="shared" si="234"/>
        <v>0.66109440000000008</v>
      </c>
      <c r="Y96" s="615">
        <f t="shared" si="362"/>
        <v>0.66109440000000008</v>
      </c>
      <c r="Z96" s="615">
        <f t="shared" si="363"/>
        <v>0</v>
      </c>
      <c r="AA96" s="615">
        <f t="shared" si="364"/>
        <v>0</v>
      </c>
      <c r="AB96" s="615">
        <f t="shared" si="365"/>
        <v>0</v>
      </c>
      <c r="AC96" s="615">
        <f t="shared" si="366"/>
        <v>0</v>
      </c>
      <c r="AD96" s="620">
        <f t="shared" si="367"/>
        <v>0</v>
      </c>
      <c r="AE96" s="287"/>
      <c r="AF96" s="615">
        <f t="shared" si="368"/>
        <v>0</v>
      </c>
      <c r="AG96" s="615">
        <f t="shared" si="369"/>
        <v>0</v>
      </c>
      <c r="AH96" s="615">
        <f t="shared" si="370"/>
        <v>0</v>
      </c>
      <c r="AI96" s="615">
        <f t="shared" si="371"/>
        <v>0</v>
      </c>
      <c r="AJ96" s="615">
        <f t="shared" si="372"/>
        <v>0</v>
      </c>
      <c r="AK96" s="339"/>
      <c r="AL96" s="625">
        <f t="shared" si="373"/>
        <v>1</v>
      </c>
      <c r="AM96" s="625">
        <f t="shared" si="374"/>
        <v>0</v>
      </c>
      <c r="AN96" s="625">
        <f t="shared" si="375"/>
        <v>0</v>
      </c>
      <c r="AO96" s="345"/>
      <c r="AP96" s="615">
        <f>COUNTIF('AR | Drawing List'!$H:$H,"AR-TXV-10")</f>
        <v>2</v>
      </c>
      <c r="AQ96" s="616">
        <f>COUNTIFS('AR | Drawing List'!$H:$H,"AR-TXV-10",'AR | Drawing List'!$J:$J,1)</f>
        <v>2</v>
      </c>
      <c r="AR96" s="616">
        <f t="shared" si="238"/>
        <v>0</v>
      </c>
      <c r="AS96" s="616">
        <f>COUNTIFS('AR | Drawing List'!$H:$H,"AR-TXV-10",'AR | Drawing List'!M:M,1)</f>
        <v>0</v>
      </c>
      <c r="AT96" s="616">
        <f>COUNTIFS('AR | Drawing List'!$H:$H,"AR-TXV-10",'AR | Drawing List'!N:N,1)</f>
        <v>0</v>
      </c>
      <c r="AU96" s="616">
        <f>COUNTIFS('AR | Drawing List'!$H:$H,"AR-TXV-10",'AR | Drawing List'!O:O,1)</f>
        <v>0</v>
      </c>
      <c r="AV96" s="616">
        <f>COUNTIFS('AR | Drawing List'!$H:$H,"AR-TXV-10",'AR | Drawing List'!P:P,1)</f>
        <v>0</v>
      </c>
      <c r="AW96" s="328"/>
      <c r="AX96" s="616">
        <f t="shared" si="376"/>
        <v>0</v>
      </c>
      <c r="AY96" s="616">
        <f>COUNTIFS('AR | Drawing List'!$H:$H,"AR-TXV-10",'AR | Drawing List'!R:R,1)</f>
        <v>0</v>
      </c>
      <c r="AZ96" s="616">
        <f>COUNTIFS('AR | Drawing List'!$H:$H,"AR-TXV-10",'AR | Drawing List'!S:S,1)</f>
        <v>0</v>
      </c>
      <c r="BA96" s="616">
        <f>COUNTIFS('AR | Drawing List'!$H:$H,"AR-TXV-10",'AR | Drawing List'!T:T,1)</f>
        <v>0</v>
      </c>
      <c r="BB96" s="616">
        <f>COUNTIFS('AR | Drawing List'!$H:$H,"AR-TXV-10",'AR | Drawing List'!U:U,1)</f>
        <v>0</v>
      </c>
      <c r="BC96" s="328"/>
      <c r="BD96" s="328"/>
      <c r="BE96" s="666">
        <v>0</v>
      </c>
      <c r="BF96" s="343"/>
      <c r="BG96" s="616">
        <f t="shared" si="377"/>
        <v>0</v>
      </c>
      <c r="BH96" s="618">
        <f t="shared" si="235"/>
        <v>0</v>
      </c>
      <c r="BI96" s="615">
        <f t="shared" si="378"/>
        <v>0</v>
      </c>
      <c r="BJ96" s="615">
        <f t="shared" si="379"/>
        <v>0</v>
      </c>
      <c r="BK96" s="615">
        <f t="shared" si="380"/>
        <v>0</v>
      </c>
      <c r="BL96" s="615">
        <f t="shared" si="381"/>
        <v>0</v>
      </c>
      <c r="BM96" s="615">
        <f t="shared" si="382"/>
        <v>0</v>
      </c>
      <c r="BN96" s="615">
        <f t="shared" si="383"/>
        <v>0</v>
      </c>
      <c r="BO96" s="339"/>
      <c r="BP96" s="615">
        <f t="shared" si="384"/>
        <v>0</v>
      </c>
      <c r="BQ96" s="615">
        <f t="shared" si="385"/>
        <v>0</v>
      </c>
      <c r="BR96" s="615">
        <f t="shared" si="386"/>
        <v>0</v>
      </c>
      <c r="BS96" s="615">
        <f t="shared" si="387"/>
        <v>0</v>
      </c>
      <c r="BT96" s="615">
        <f t="shared" si="388"/>
        <v>0</v>
      </c>
      <c r="BU96" s="339"/>
      <c r="BV96" s="635">
        <f t="shared" si="389"/>
        <v>0</v>
      </c>
      <c r="BW96" s="635">
        <f t="shared" si="390"/>
        <v>0</v>
      </c>
      <c r="BX96" s="635">
        <f t="shared" si="391"/>
        <v>0</v>
      </c>
      <c r="BY96" s="341"/>
      <c r="BZ96" s="615">
        <f>COUNTIF('ST | Drawing List'!$H:$H,"ST-TXV-10")</f>
        <v>0</v>
      </c>
      <c r="CA96" s="616">
        <f>COUNTIFS('ST | Drawing List'!$H:$H,"ST-TXV-10",'ST | Drawing List'!$J:$J,1)</f>
        <v>0</v>
      </c>
      <c r="CB96" s="623">
        <f>COUNTIFS('ST | Drawing List'!$H:$H,"ST-TXV-10",'ST | Drawing List'!$L:$L,1)</f>
        <v>0</v>
      </c>
      <c r="CC96" s="616">
        <f>COUNTIFS('ST | Drawing List'!$H:$H,"ST-TXV-10",'ST | Drawing List'!M:M,1)</f>
        <v>0</v>
      </c>
      <c r="CD96" s="616">
        <f>COUNTIFS('ST | Drawing List'!$H:$H,"ST-TXV-10",'ST | Drawing List'!N:N,1)</f>
        <v>0</v>
      </c>
      <c r="CE96" s="616">
        <f>COUNTIFS('ST | Drawing List'!$H:$H,"ST-TXV-10",'ST | Drawing List'!O:O,1)</f>
        <v>0</v>
      </c>
      <c r="CF96" s="616">
        <f>COUNTIFS('ST | Drawing List'!$H:$H,"ST-TXV-10",'ST | Drawing List'!P:P,1)</f>
        <v>0</v>
      </c>
      <c r="CG96" s="532"/>
      <c r="CH96" s="623">
        <f>COUNTIFS('ST | Drawing List'!$H:$H,"ST-TXV-10",'ST | Drawing List'!$Q:$Q,1)</f>
        <v>0</v>
      </c>
      <c r="CI96" s="616">
        <f>COUNTIFS('ST | Drawing List'!$H:$H,"ST-TXV-10",'ST | Drawing List'!R:R,1)</f>
        <v>0</v>
      </c>
      <c r="CJ96" s="616">
        <f>COUNTIFS('ST | Drawing List'!$H:$H,"ST-TXV-10",'ST | Drawing List'!S:S,1)</f>
        <v>0</v>
      </c>
      <c r="CK96" s="616">
        <f>COUNTIFS('ST | Drawing List'!$H:$H,"ST-TXV-10",'ST | Drawing List'!T:T,1)</f>
        <v>0</v>
      </c>
      <c r="CL96" s="616">
        <f>COUNTIFS('ST | Drawing List'!$H:$H,"ST-TXV-10",'ST | Drawing List'!U:U,1)</f>
        <v>0</v>
      </c>
      <c r="CM96" s="343"/>
      <c r="CN96" s="343"/>
      <c r="CO96" s="666">
        <v>0</v>
      </c>
      <c r="CP96" s="343"/>
      <c r="CQ96" s="616">
        <f t="shared" si="392"/>
        <v>0</v>
      </c>
      <c r="CR96" s="618">
        <f t="shared" si="236"/>
        <v>0</v>
      </c>
      <c r="CS96" s="615">
        <f t="shared" si="393"/>
        <v>0</v>
      </c>
      <c r="CT96" s="615">
        <f t="shared" si="394"/>
        <v>0</v>
      </c>
      <c r="CU96" s="615">
        <f t="shared" si="395"/>
        <v>0</v>
      </c>
      <c r="CV96" s="615">
        <f t="shared" si="396"/>
        <v>0</v>
      </c>
      <c r="CW96" s="615">
        <f t="shared" si="397"/>
        <v>0</v>
      </c>
      <c r="CX96" s="615">
        <f t="shared" si="398"/>
        <v>0</v>
      </c>
      <c r="CY96" s="339"/>
      <c r="CZ96" s="615">
        <f t="shared" si="399"/>
        <v>0</v>
      </c>
      <c r="DA96" s="615">
        <f t="shared" si="400"/>
        <v>0</v>
      </c>
      <c r="DB96" s="615">
        <f t="shared" si="401"/>
        <v>0</v>
      </c>
      <c r="DC96" s="615">
        <f t="shared" si="402"/>
        <v>0</v>
      </c>
      <c r="DD96" s="615">
        <f t="shared" si="403"/>
        <v>0</v>
      </c>
      <c r="DE96" s="339"/>
      <c r="DF96" s="625">
        <f t="shared" si="404"/>
        <v>0</v>
      </c>
      <c r="DG96" s="625">
        <f t="shared" si="405"/>
        <v>0</v>
      </c>
      <c r="DH96" s="625">
        <f t="shared" si="406"/>
        <v>0</v>
      </c>
      <c r="DI96" s="341"/>
      <c r="DJ96" s="615">
        <f>COUNTIF('MEP | Drawing List'!$H:$H,"MEP-T2V-6V-10")</f>
        <v>0</v>
      </c>
      <c r="DK96" s="616">
        <f>COUNTIFS('MEP | Drawing List'!$H:$H,"MEP-T2V-6V-10",'MEP | Drawing List'!$J:$J,1)</f>
        <v>0</v>
      </c>
      <c r="DL96" s="616">
        <f>COUNTIFS('MEP | Drawing List'!$H:$H,"MEP-T2V-6V-10",'MEP | Drawing List'!$L:$L,1)</f>
        <v>0</v>
      </c>
      <c r="DM96" s="615">
        <f>COUNTIFS('MEP | Drawing List'!$H:$H,"MEP-T2V-6V-10",'MEP | Drawing List'!M:M,1)</f>
        <v>0</v>
      </c>
      <c r="DN96" s="615">
        <f>COUNTIFS('MEP | Drawing List'!$H:$H,"MEP-T2V-6V-10",'MEP | Drawing List'!N:N,1)</f>
        <v>0</v>
      </c>
      <c r="DO96" s="615">
        <f>COUNTIFS('MEP | Drawing List'!$H:$H,"MEP-T2V-6V-10",'MEP | Drawing List'!O:O,1)</f>
        <v>0</v>
      </c>
      <c r="DP96" s="615">
        <f>COUNTIFS('MEP | Drawing List'!$H:$H,"MEP-T2V-6V-10",'MEP | Drawing List'!P:P,1)</f>
        <v>0</v>
      </c>
      <c r="DQ96" s="339"/>
      <c r="DR96" s="616">
        <f>COUNTIFS('MEP | Drawing List'!$H:$H,"MEP-T2V-6V-10",'MEP | Drawing List'!$Q:$Q,1)</f>
        <v>0</v>
      </c>
      <c r="DS96" s="615">
        <f>COUNTIFS('MEP | Drawing List'!$H:$H,"MEP-T2V-6V-10",'MEP | Drawing List'!R:R,1)</f>
        <v>0</v>
      </c>
      <c r="DT96" s="615">
        <f>COUNTIFS('MEP | Drawing List'!$H:$H,"MEP-T2V-6V-10",'MEP | Drawing List'!S:S,1)</f>
        <v>0</v>
      </c>
      <c r="DU96" s="615">
        <f>COUNTIFS('MEP | Drawing List'!$H:$H,"MEP-T2V-6V-10",'MEP | Drawing List'!T:T,1)</f>
        <v>0</v>
      </c>
      <c r="DV96" s="615">
        <f>COUNTIFS('MEP | Drawing List'!$H:$H,"MEP-T2V-6V-10",'MEP | Drawing List'!U:U,1)</f>
        <v>0</v>
      </c>
      <c r="DW96" s="343"/>
      <c r="DX96" s="343"/>
      <c r="DY96" s="525">
        <v>0</v>
      </c>
      <c r="DZ96" s="343"/>
      <c r="EA96" s="344">
        <v>0</v>
      </c>
      <c r="EB96" s="618">
        <f t="shared" si="237"/>
        <v>0</v>
      </c>
      <c r="EC96" s="81"/>
      <c r="ED96" s="81"/>
      <c r="EE96" s="339"/>
      <c r="EF96" s="339"/>
      <c r="EG96" s="339"/>
      <c r="EH96" s="339"/>
      <c r="EI96" s="339"/>
      <c r="EJ96" s="81"/>
      <c r="EK96" s="339"/>
      <c r="EL96" s="339"/>
      <c r="EM96" s="339"/>
      <c r="EN96" s="339"/>
      <c r="EO96" s="339"/>
      <c r="EP96" s="103"/>
      <c r="EQ96" s="103"/>
      <c r="ER96" s="103"/>
      <c r="ES96" s="82"/>
      <c r="ET96" s="615">
        <f>COUNTIF('LS | Drawing List'!$H:$H,"LS-TXV-10")</f>
        <v>0</v>
      </c>
      <c r="EU96" s="616">
        <f>COUNTIFS('LS | Drawing List'!$H:$H,"LS-TXV-10",'LS | Drawing List'!$J:$J,1)</f>
        <v>0</v>
      </c>
      <c r="EV96" s="616">
        <f>COUNTIFS('LS | Drawing List'!$H:$H,"LS-TXV-10",'LS | Drawing List'!$L:$L,1)</f>
        <v>0</v>
      </c>
      <c r="EW96" s="615">
        <f>COUNTIFS('LS | Drawing List'!$H:$H,"LS-TXV-10",'LS | Drawing List'!M:M,1)</f>
        <v>0</v>
      </c>
      <c r="EX96" s="615">
        <f>COUNTIFS('LS | Drawing List'!$H:$H,"LS-TXV-10",'LS | Drawing List'!N:N,1)</f>
        <v>0</v>
      </c>
      <c r="EY96" s="615">
        <f>COUNTIFS('LS | Drawing List'!$H:$H,"LS-TXV-10",'LS | Drawing List'!O:O,1)</f>
        <v>0</v>
      </c>
      <c r="EZ96" s="615">
        <f>COUNTIFS('LS | Drawing List'!$H:$H,"LS-TXV-10",'LS | Drawing List'!P:P,1)</f>
        <v>0</v>
      </c>
      <c r="FA96" s="81"/>
      <c r="FB96" s="616">
        <f>COUNTIFS('LS | Drawing List'!$H:$H,"LS-TXV-10",'LS | Drawing List'!$Q:$Q,1)</f>
        <v>0</v>
      </c>
      <c r="FC96" s="615">
        <f>COUNTIFS('LS | Drawing List'!$H:$H,"LS-TXV-10",'LS | Drawing List'!R:R,1)</f>
        <v>0</v>
      </c>
      <c r="FD96" s="615">
        <f>COUNTIFS('LS | Drawing List'!$H:$H,"LS-TXV-10",'LS | Drawing List'!S:S,1)</f>
        <v>0</v>
      </c>
      <c r="FE96" s="615">
        <f>COUNTIFS('LS | Drawing List'!$H:$H,"LS-TXV-10",'LS | Drawing List'!T:T,1)</f>
        <v>0</v>
      </c>
      <c r="FF96" s="615">
        <f>COUNTIFS('LS | Drawing List'!$H:$H,"LS-TXV-10",'LS | Drawing List'!U:U,1)</f>
        <v>0</v>
      </c>
      <c r="FG96" s="48"/>
    </row>
    <row r="97" spans="1:163" ht="3" hidden="1" customHeight="1" outlineLevel="1">
      <c r="A97" s="48"/>
      <c r="B97" s="96"/>
      <c r="C97" s="278"/>
      <c r="D97" s="272"/>
      <c r="E97" s="48"/>
      <c r="F97" s="338"/>
      <c r="G97" s="619"/>
      <c r="H97" s="339"/>
      <c r="I97" s="339"/>
      <c r="J97" s="339"/>
      <c r="K97" s="339"/>
      <c r="L97" s="339"/>
      <c r="M97" s="339"/>
      <c r="N97" s="339"/>
      <c r="O97" s="339"/>
      <c r="P97" s="339"/>
      <c r="Q97" s="339"/>
      <c r="R97" s="339"/>
      <c r="S97" s="339"/>
      <c r="T97" s="48"/>
      <c r="U97" s="519"/>
      <c r="V97" s="131"/>
      <c r="W97" s="338"/>
      <c r="X97" s="619">
        <f t="shared" si="234"/>
        <v>0</v>
      </c>
      <c r="Y97" s="339"/>
      <c r="Z97" s="339"/>
      <c r="AA97" s="339"/>
      <c r="AB97" s="339"/>
      <c r="AC97" s="339"/>
      <c r="AD97" s="339"/>
      <c r="AE97" s="339"/>
      <c r="AF97" s="339"/>
      <c r="AG97" s="339"/>
      <c r="AH97" s="339"/>
      <c r="AI97" s="339"/>
      <c r="AJ97" s="339"/>
      <c r="AK97" s="339"/>
      <c r="AL97" s="603"/>
      <c r="AM97" s="603"/>
      <c r="AN97" s="603"/>
      <c r="AO97" s="341"/>
      <c r="AP97" s="359"/>
      <c r="AQ97" s="328"/>
      <c r="AR97" s="328"/>
      <c r="AS97" s="328"/>
      <c r="AT97" s="328"/>
      <c r="AU97" s="328"/>
      <c r="AV97" s="328"/>
      <c r="AW97" s="328"/>
      <c r="AX97" s="328"/>
      <c r="AY97" s="328"/>
      <c r="AZ97" s="328"/>
      <c r="BA97" s="328"/>
      <c r="BB97" s="328"/>
      <c r="BC97" s="328"/>
      <c r="BD97" s="328"/>
      <c r="BE97" s="525"/>
      <c r="BF97" s="343"/>
      <c r="BG97" s="344"/>
      <c r="BH97" s="618">
        <f t="shared" si="235"/>
        <v>0</v>
      </c>
      <c r="BI97" s="339"/>
      <c r="BJ97" s="339"/>
      <c r="BK97" s="339"/>
      <c r="BL97" s="339"/>
      <c r="BM97" s="339"/>
      <c r="BN97" s="339"/>
      <c r="BO97" s="339"/>
      <c r="BP97" s="339"/>
      <c r="BQ97" s="339"/>
      <c r="BR97" s="339"/>
      <c r="BS97" s="339"/>
      <c r="BT97" s="339"/>
      <c r="BU97" s="339"/>
      <c r="BV97" s="525"/>
      <c r="BW97" s="525"/>
      <c r="BX97" s="525"/>
      <c r="BY97" s="341"/>
      <c r="BZ97" s="540"/>
      <c r="CA97" s="532"/>
      <c r="CB97" s="539"/>
      <c r="CC97" s="536"/>
      <c r="CD97" s="536"/>
      <c r="CE97" s="536"/>
      <c r="CF97" s="536"/>
      <c r="CG97" s="536"/>
      <c r="CH97" s="539"/>
      <c r="CI97" s="536"/>
      <c r="CJ97" s="536"/>
      <c r="CK97" s="536"/>
      <c r="CL97" s="536"/>
      <c r="CM97" s="343"/>
      <c r="CN97" s="343"/>
      <c r="CO97" s="525"/>
      <c r="CP97" s="343"/>
      <c r="CQ97" s="344"/>
      <c r="CR97" s="618">
        <f t="shared" si="236"/>
        <v>0</v>
      </c>
      <c r="CS97" s="339"/>
      <c r="CT97" s="339"/>
      <c r="CU97" s="339"/>
      <c r="CV97" s="339"/>
      <c r="CW97" s="339"/>
      <c r="CX97" s="339"/>
      <c r="CY97" s="339"/>
      <c r="CZ97" s="339"/>
      <c r="DA97" s="339"/>
      <c r="DB97" s="339"/>
      <c r="DC97" s="339"/>
      <c r="DD97" s="339"/>
      <c r="DE97" s="339"/>
      <c r="DF97" s="603"/>
      <c r="DG97" s="603"/>
      <c r="DH97" s="603"/>
      <c r="DI97" s="341"/>
      <c r="DJ97" s="359"/>
      <c r="DK97" s="328"/>
      <c r="DL97" s="328"/>
      <c r="DM97" s="339"/>
      <c r="DN97" s="339"/>
      <c r="DO97" s="339"/>
      <c r="DP97" s="339"/>
      <c r="DQ97" s="339"/>
      <c r="DR97" s="328"/>
      <c r="DS97" s="339"/>
      <c r="DT97" s="339"/>
      <c r="DU97" s="339"/>
      <c r="DV97" s="339"/>
      <c r="DW97" s="343"/>
      <c r="DX97" s="343"/>
      <c r="DY97" s="525"/>
      <c r="DZ97" s="343"/>
      <c r="EA97" s="344"/>
      <c r="EB97" s="618">
        <f t="shared" si="237"/>
        <v>0</v>
      </c>
      <c r="EC97" s="81"/>
      <c r="ED97" s="81"/>
      <c r="EE97" s="615">
        <f>IFERROR(IF(AND((EU97+EW97)=ET97,EC97=0),EA97,0),0)</f>
        <v>0</v>
      </c>
      <c r="EF97" s="615">
        <f>IFERROR(IF(AND((EU97+EW97+EX97)=ET97,EC97=0,EE97=0),EA97,0),0)</f>
        <v>0</v>
      </c>
      <c r="EG97" s="615">
        <f>IFERROR(IF(AND((EU97+EW97+EX97+EY97)=ET97,EC97=0,EE97=0,EF97=0),EA97,0),0)</f>
        <v>0</v>
      </c>
      <c r="EH97" s="615">
        <f>IFERROR(IF(AND((EU97+EW97+EX97+EY97+EZ97)=ET97,EC97=0,EE97=0,EF97=0,EG97=0),EA97,0),0)</f>
        <v>0</v>
      </c>
      <c r="EI97" s="339"/>
      <c r="EJ97" s="81"/>
      <c r="EK97" s="615">
        <f>IFERROR(IF(AND((EZ97+FC97)=EY97,EH97=0),EG97,0),0)</f>
        <v>0</v>
      </c>
      <c r="EL97" s="615">
        <f>IFERROR(IF(AND((EZ97+FC97+FD97)=EY97,EH97=0,EK97=0),EG97,0),0)</f>
        <v>0</v>
      </c>
      <c r="EM97" s="615">
        <f>IFERROR(IF(AND((EZ97+FC97+FD97+FE97)=EY97,EH97=0,EK97=0,EL97=0),EG97,0),0)</f>
        <v>0</v>
      </c>
      <c r="EN97" s="615">
        <f>IFERROR(IF(AND((EZ97+FC97+FD97+FE97+FF97)=EY97,EH97=0,EK97=0,EL97=0,EM97=0),EG97,0),0)</f>
        <v>0</v>
      </c>
      <c r="EO97" s="339"/>
      <c r="EP97" s="103"/>
      <c r="EQ97" s="103"/>
      <c r="ER97" s="103"/>
      <c r="ES97" s="82"/>
      <c r="ET97" s="56"/>
      <c r="EU97" s="71"/>
      <c r="EV97" s="71"/>
      <c r="EW97" s="81"/>
      <c r="EX97" s="81"/>
      <c r="EY97" s="81"/>
      <c r="EZ97" s="81"/>
      <c r="FA97" s="81"/>
      <c r="FB97" s="71"/>
      <c r="FC97" s="81"/>
      <c r="FD97" s="81"/>
      <c r="FE97" s="81"/>
      <c r="FF97" s="81"/>
      <c r="FG97" s="48"/>
    </row>
    <row r="98" spans="1:163" ht="14.25" hidden="1" outlineLevel="1" collapsed="1">
      <c r="A98" s="48"/>
      <c r="B98" s="73"/>
      <c r="C98" s="275">
        <v>5</v>
      </c>
      <c r="D98" s="271" t="s">
        <v>106</v>
      </c>
      <c r="E98" s="74"/>
      <c r="F98" s="614">
        <f>W98+BG98+CQ98+EA98</f>
        <v>2.8990260299999999</v>
      </c>
      <c r="G98" s="614">
        <f>X98+BH98+CR98+EB98</f>
        <v>2.8990260300000004</v>
      </c>
      <c r="H98" s="612">
        <f>F98-G98</f>
        <v>0</v>
      </c>
      <c r="I98" s="614">
        <f t="shared" ref="I98:I107" si="407">Z98+BJ98+CT98+ED98</f>
        <v>4.8559199999999997E-2</v>
      </c>
      <c r="J98" s="614">
        <f t="shared" ref="J98:J107" si="408">AA98+BK98+CU98+EE98</f>
        <v>4.8559199999999997E-2</v>
      </c>
      <c r="K98" s="614">
        <f t="shared" ref="K98:K107" si="409">AB98+BL98+CV98+EF98</f>
        <v>0</v>
      </c>
      <c r="L98" s="614">
        <f t="shared" ref="L98:L107" si="410">AC98+BM98+CW98+EG98</f>
        <v>0</v>
      </c>
      <c r="M98" s="614">
        <f t="shared" ref="M98:M107" si="411">AD98+BN98+CX98+EH98</f>
        <v>0</v>
      </c>
      <c r="N98" s="281"/>
      <c r="O98" s="614">
        <f t="shared" ref="O98:O107" si="412">AF98+BP98+CZ98+EJ98</f>
        <v>4.8559199999999997E-2</v>
      </c>
      <c r="P98" s="614">
        <f t="shared" ref="P98:P107" si="413">AG98+BQ98+DA98+EK98</f>
        <v>0</v>
      </c>
      <c r="Q98" s="614">
        <f t="shared" ref="Q98:Q107" si="414">AH98+BR98+DB98+EL98</f>
        <v>4.8559199999999997E-2</v>
      </c>
      <c r="R98" s="614">
        <f t="shared" ref="R98:R107" si="415">AI98+BS98+DC98+EM98</f>
        <v>0</v>
      </c>
      <c r="S98" s="614">
        <f t="shared" ref="S98:S107" si="416">AJ98+BT98+DD98+EN98</f>
        <v>0</v>
      </c>
      <c r="T98" s="74"/>
      <c r="U98" s="332">
        <f>SUM(U99:U107)</f>
        <v>0.5</v>
      </c>
      <c r="V98" s="332"/>
      <c r="W98" s="614">
        <f>U98*(5%*0.36*(SUM('BOQ COST'!E10:E12)))*1</f>
        <v>1.8593279999999999</v>
      </c>
      <c r="X98" s="614">
        <f t="shared" si="234"/>
        <v>1.8593280000000001</v>
      </c>
      <c r="Y98" s="612">
        <f t="shared" ref="Y98:AD98" si="417">SUM(Y99:Y107)</f>
        <v>1.8593280000000001</v>
      </c>
      <c r="Z98" s="612">
        <f t="shared" si="417"/>
        <v>0</v>
      </c>
      <c r="AA98" s="612">
        <f t="shared" si="417"/>
        <v>0</v>
      </c>
      <c r="AB98" s="612">
        <f t="shared" si="417"/>
        <v>0</v>
      </c>
      <c r="AC98" s="612">
        <f t="shared" si="417"/>
        <v>0</v>
      </c>
      <c r="AD98" s="612">
        <f t="shared" si="417"/>
        <v>0</v>
      </c>
      <c r="AE98" s="281"/>
      <c r="AF98" s="612">
        <f t="shared" ref="AF98:AJ98" si="418">SUM(AF99:AF107)</f>
        <v>0</v>
      </c>
      <c r="AG98" s="612">
        <f t="shared" si="418"/>
        <v>0</v>
      </c>
      <c r="AH98" s="612">
        <f t="shared" si="418"/>
        <v>0</v>
      </c>
      <c r="AI98" s="612">
        <f t="shared" si="418"/>
        <v>0</v>
      </c>
      <c r="AJ98" s="612">
        <f t="shared" si="418"/>
        <v>0</v>
      </c>
      <c r="AK98" s="281"/>
      <c r="AL98" s="605"/>
      <c r="AM98" s="605"/>
      <c r="AN98" s="605"/>
      <c r="AO98" s="612">
        <f>SUM(AO99:AO107)</f>
        <v>0</v>
      </c>
      <c r="AP98" s="612">
        <f>SUM(AP99:AP107)</f>
        <v>43</v>
      </c>
      <c r="AQ98" s="612">
        <f>SUM(AQ99:AQ107)</f>
        <v>43</v>
      </c>
      <c r="AR98" s="612">
        <f t="shared" si="238"/>
        <v>0</v>
      </c>
      <c r="AS98" s="612">
        <f t="shared" ref="AS98:BB98" si="419">SUM(AS99:AS107)</f>
        <v>0</v>
      </c>
      <c r="AT98" s="612">
        <f t="shared" si="419"/>
        <v>0</v>
      </c>
      <c r="AU98" s="612">
        <f t="shared" si="419"/>
        <v>0</v>
      </c>
      <c r="AV98" s="612">
        <f t="shared" si="419"/>
        <v>0</v>
      </c>
      <c r="AW98" s="281"/>
      <c r="AX98" s="612">
        <f t="shared" si="419"/>
        <v>0</v>
      </c>
      <c r="AY98" s="612">
        <f t="shared" si="419"/>
        <v>0</v>
      </c>
      <c r="AZ98" s="612">
        <f t="shared" si="419"/>
        <v>0</v>
      </c>
      <c r="BA98" s="612">
        <f t="shared" si="419"/>
        <v>0</v>
      </c>
      <c r="BB98" s="612">
        <f t="shared" si="419"/>
        <v>0</v>
      </c>
      <c r="BC98" s="336"/>
      <c r="BD98" s="336"/>
      <c r="BE98" s="332">
        <f>SUM(BE99:BE107)</f>
        <v>0.54999999999999993</v>
      </c>
      <c r="BF98" s="332"/>
      <c r="BG98" s="614">
        <f>BE98*(3%*0.36*('BOQ COST'!$F$10+'BOQ COST'!$F$11+'BOQ COST'!$F$12))*1</f>
        <v>0.85547582999999983</v>
      </c>
      <c r="BH98" s="614">
        <f t="shared" si="235"/>
        <v>0.85547583000000005</v>
      </c>
      <c r="BI98" s="612">
        <f t="shared" ref="BI98:BN98" si="420">SUM(BI99:BI107)</f>
        <v>0.85547583000000005</v>
      </c>
      <c r="BJ98" s="612">
        <f t="shared" si="420"/>
        <v>0</v>
      </c>
      <c r="BK98" s="612">
        <f t="shared" si="420"/>
        <v>0</v>
      </c>
      <c r="BL98" s="612">
        <f t="shared" si="420"/>
        <v>0</v>
      </c>
      <c r="BM98" s="612">
        <f t="shared" si="420"/>
        <v>0</v>
      </c>
      <c r="BN98" s="612">
        <f t="shared" si="420"/>
        <v>0</v>
      </c>
      <c r="BO98" s="281"/>
      <c r="BP98" s="612">
        <f t="shared" ref="BP98:BT98" si="421">SUM(BP99:BP107)</f>
        <v>0</v>
      </c>
      <c r="BQ98" s="612">
        <f t="shared" si="421"/>
        <v>0</v>
      </c>
      <c r="BR98" s="612">
        <f t="shared" si="421"/>
        <v>0</v>
      </c>
      <c r="BS98" s="612">
        <f t="shared" si="421"/>
        <v>0</v>
      </c>
      <c r="BT98" s="612">
        <f t="shared" si="421"/>
        <v>0</v>
      </c>
      <c r="BU98" s="281"/>
      <c r="BV98" s="524"/>
      <c r="BW98" s="524"/>
      <c r="BX98" s="524"/>
      <c r="BY98" s="612">
        <f t="shared" ref="BY98:CF98" si="422">SUM(BY99:BY107)</f>
        <v>0</v>
      </c>
      <c r="BZ98" s="612">
        <f t="shared" si="422"/>
        <v>47</v>
      </c>
      <c r="CA98" s="612">
        <f t="shared" si="422"/>
        <v>47</v>
      </c>
      <c r="CB98" s="612">
        <f t="shared" si="422"/>
        <v>0</v>
      </c>
      <c r="CC98" s="612">
        <f t="shared" si="422"/>
        <v>0</v>
      </c>
      <c r="CD98" s="612">
        <f t="shared" si="422"/>
        <v>0</v>
      </c>
      <c r="CE98" s="612">
        <f t="shared" si="422"/>
        <v>0</v>
      </c>
      <c r="CF98" s="612">
        <f t="shared" si="422"/>
        <v>0</v>
      </c>
      <c r="CG98" s="535"/>
      <c r="CH98" s="612">
        <f t="shared" ref="CH98:CL98" si="423">SUM(CH99:CH107)</f>
        <v>0</v>
      </c>
      <c r="CI98" s="612">
        <f t="shared" si="423"/>
        <v>0</v>
      </c>
      <c r="CJ98" s="612">
        <f t="shared" si="423"/>
        <v>0</v>
      </c>
      <c r="CK98" s="612">
        <f t="shared" si="423"/>
        <v>0</v>
      </c>
      <c r="CL98" s="612">
        <f t="shared" si="423"/>
        <v>0</v>
      </c>
      <c r="CM98" s="332"/>
      <c r="CN98" s="332"/>
      <c r="CO98" s="332">
        <f>SUM(CO99:CO107)</f>
        <v>0.65</v>
      </c>
      <c r="CP98" s="332"/>
      <c r="CQ98" s="614">
        <f>CO98*(2%*0.36*('BOQ COST'!$G$10+'BOQ COST'!$G$11+'BOQ COST'!$G$12))*1</f>
        <v>0.13871519999999998</v>
      </c>
      <c r="CR98" s="614">
        <f t="shared" si="236"/>
        <v>0.13871519999999996</v>
      </c>
      <c r="CS98" s="612">
        <f t="shared" ref="CS98:CX98" si="424">SUM(CS99:CS107)</f>
        <v>0.10670399999999997</v>
      </c>
      <c r="CT98" s="612">
        <f t="shared" si="424"/>
        <v>3.201119999999999E-2</v>
      </c>
      <c r="CU98" s="612">
        <f t="shared" si="424"/>
        <v>3.201119999999999E-2</v>
      </c>
      <c r="CV98" s="612">
        <f t="shared" si="424"/>
        <v>0</v>
      </c>
      <c r="CW98" s="612">
        <f t="shared" si="424"/>
        <v>0</v>
      </c>
      <c r="CX98" s="612">
        <f t="shared" si="424"/>
        <v>0</v>
      </c>
      <c r="CY98" s="281"/>
      <c r="CZ98" s="612">
        <f t="shared" ref="CZ98:DD98" si="425">SUM(CZ99:CZ107)</f>
        <v>3.201119999999999E-2</v>
      </c>
      <c r="DA98" s="612">
        <f t="shared" si="425"/>
        <v>0</v>
      </c>
      <c r="DB98" s="612">
        <f t="shared" si="425"/>
        <v>3.201119999999999E-2</v>
      </c>
      <c r="DC98" s="612">
        <f t="shared" si="425"/>
        <v>0</v>
      </c>
      <c r="DD98" s="612">
        <f t="shared" si="425"/>
        <v>0</v>
      </c>
      <c r="DE98" s="281"/>
      <c r="DF98" s="605"/>
      <c r="DG98" s="605"/>
      <c r="DH98" s="605"/>
      <c r="DI98" s="612">
        <f t="shared" ref="DI98:DP98" si="426">SUM(DI99:DI107)</f>
        <v>0</v>
      </c>
      <c r="DJ98" s="612">
        <f t="shared" si="426"/>
        <v>66</v>
      </c>
      <c r="DK98" s="612">
        <f t="shared" si="426"/>
        <v>65</v>
      </c>
      <c r="DL98" s="612">
        <f t="shared" si="426"/>
        <v>1</v>
      </c>
      <c r="DM98" s="612">
        <f t="shared" si="426"/>
        <v>1</v>
      </c>
      <c r="DN98" s="612">
        <f t="shared" si="426"/>
        <v>0</v>
      </c>
      <c r="DO98" s="612">
        <f t="shared" si="426"/>
        <v>0</v>
      </c>
      <c r="DP98" s="612">
        <f t="shared" si="426"/>
        <v>0</v>
      </c>
      <c r="DQ98" s="281"/>
      <c r="DR98" s="612">
        <f t="shared" ref="DR98:DV98" si="427">SUM(DR99:DR107)</f>
        <v>1</v>
      </c>
      <c r="DS98" s="612">
        <f t="shared" si="427"/>
        <v>0</v>
      </c>
      <c r="DT98" s="612">
        <f t="shared" si="427"/>
        <v>1</v>
      </c>
      <c r="DU98" s="612">
        <f t="shared" si="427"/>
        <v>0</v>
      </c>
      <c r="DV98" s="612">
        <f t="shared" si="427"/>
        <v>0</v>
      </c>
      <c r="DW98" s="332"/>
      <c r="DX98" s="332"/>
      <c r="DY98" s="332">
        <f>SUM(DY99:DY107)</f>
        <v>0.55000000000000004</v>
      </c>
      <c r="DZ98" s="332"/>
      <c r="EA98" s="612">
        <f>DY98*(7%*('BOQ COST'!H10+'BOQ COST'!H11+'BOQ COST'!H12))*1</f>
        <v>4.5507000000000006E-2</v>
      </c>
      <c r="EB98" s="614">
        <f t="shared" si="237"/>
        <v>4.5507000000000006E-2</v>
      </c>
      <c r="EC98" s="612">
        <f t="shared" ref="EC98:EH98" si="428">SUM(EC99:EC107)</f>
        <v>2.8959000000000002E-2</v>
      </c>
      <c r="ED98" s="612">
        <f t="shared" si="428"/>
        <v>1.6548000000000004E-2</v>
      </c>
      <c r="EE98" s="612">
        <f t="shared" si="428"/>
        <v>1.6548000000000004E-2</v>
      </c>
      <c r="EF98" s="612">
        <f t="shared" si="428"/>
        <v>0</v>
      </c>
      <c r="EG98" s="612">
        <f t="shared" si="428"/>
        <v>0</v>
      </c>
      <c r="EH98" s="612">
        <f t="shared" si="428"/>
        <v>0</v>
      </c>
      <c r="EI98" s="337"/>
      <c r="EJ98" s="612">
        <f t="shared" ref="EJ98:EN98" si="429">SUM(EJ99:EJ107)</f>
        <v>1.6548000000000004E-2</v>
      </c>
      <c r="EK98" s="612">
        <f t="shared" si="429"/>
        <v>0</v>
      </c>
      <c r="EL98" s="612">
        <f t="shared" si="429"/>
        <v>1.6548000000000004E-2</v>
      </c>
      <c r="EM98" s="612">
        <f t="shared" si="429"/>
        <v>0</v>
      </c>
      <c r="EN98" s="612">
        <f t="shared" si="429"/>
        <v>0</v>
      </c>
      <c r="EO98" s="337"/>
      <c r="EP98" s="605"/>
      <c r="EQ98" s="605"/>
      <c r="ER98" s="605"/>
      <c r="ES98" s="612">
        <f t="shared" ref="ES98:EZ98" si="430">SUM(ES99:ES107)</f>
        <v>0</v>
      </c>
      <c r="ET98" s="612">
        <f t="shared" si="430"/>
        <v>15</v>
      </c>
      <c r="EU98" s="612">
        <f t="shared" si="430"/>
        <v>9</v>
      </c>
      <c r="EV98" s="612">
        <f t="shared" si="430"/>
        <v>6</v>
      </c>
      <c r="EW98" s="612">
        <f t="shared" si="430"/>
        <v>6</v>
      </c>
      <c r="EX98" s="612">
        <f t="shared" si="430"/>
        <v>0</v>
      </c>
      <c r="EY98" s="612">
        <f t="shared" si="430"/>
        <v>0</v>
      </c>
      <c r="EZ98" s="612">
        <f t="shared" si="430"/>
        <v>0</v>
      </c>
      <c r="FA98" s="337"/>
      <c r="FB98" s="612">
        <f t="shared" ref="FB98:FF98" si="431">SUM(FB99:FB107)</f>
        <v>6</v>
      </c>
      <c r="FC98" s="612">
        <f t="shared" si="431"/>
        <v>0</v>
      </c>
      <c r="FD98" s="612">
        <f t="shared" si="431"/>
        <v>6</v>
      </c>
      <c r="FE98" s="612">
        <f t="shared" si="431"/>
        <v>0</v>
      </c>
      <c r="FF98" s="612">
        <f t="shared" si="431"/>
        <v>0</v>
      </c>
      <c r="FG98" s="48"/>
    </row>
    <row r="99" spans="1:163" ht="14.25" hidden="1" outlineLevel="2">
      <c r="A99" s="48"/>
      <c r="B99" s="87" t="s">
        <v>107</v>
      </c>
      <c r="C99" s="276">
        <v>1</v>
      </c>
      <c r="D99" s="272" t="s">
        <v>52</v>
      </c>
      <c r="E99" s="48"/>
      <c r="F99" s="619">
        <f t="shared" ref="F99:F107" si="432">W99+BG99+CQ99+EA99</f>
        <v>0.36281466000000001</v>
      </c>
      <c r="G99" s="619">
        <f t="shared" ref="G99:G107" si="433">X99+BH99+CR99+EB99</f>
        <v>0.36281466000000001</v>
      </c>
      <c r="H99" s="615">
        <f t="shared" ref="H99:H107" si="434">F99-G99</f>
        <v>0</v>
      </c>
      <c r="I99" s="615">
        <f t="shared" si="407"/>
        <v>0</v>
      </c>
      <c r="J99" s="615">
        <f t="shared" si="408"/>
        <v>0</v>
      </c>
      <c r="K99" s="615">
        <f t="shared" si="409"/>
        <v>0</v>
      </c>
      <c r="L99" s="615">
        <f t="shared" si="410"/>
        <v>0</v>
      </c>
      <c r="M99" s="620">
        <f t="shared" si="411"/>
        <v>0</v>
      </c>
      <c r="N99" s="287"/>
      <c r="O99" s="615">
        <f t="shared" si="412"/>
        <v>0</v>
      </c>
      <c r="P99" s="615">
        <f t="shared" si="413"/>
        <v>0</v>
      </c>
      <c r="Q99" s="615">
        <f t="shared" si="414"/>
        <v>0</v>
      </c>
      <c r="R99" s="615">
        <f t="shared" si="415"/>
        <v>0</v>
      </c>
      <c r="S99" s="615">
        <f t="shared" si="416"/>
        <v>0</v>
      </c>
      <c r="T99" s="48"/>
      <c r="U99" s="552">
        <v>0.05</v>
      </c>
      <c r="V99" s="131"/>
      <c r="W99" s="619">
        <f t="shared" ref="W99:W107" si="435">$W$98/$U$98*U99</f>
        <v>0.18593280000000001</v>
      </c>
      <c r="X99" s="619">
        <f t="shared" si="234"/>
        <v>0.18593280000000001</v>
      </c>
      <c r="Y99" s="615">
        <f t="shared" ref="Y99:Y107" si="436">IFERROR(IF(AL99=100%,W99,0),0)</f>
        <v>0.18593280000000001</v>
      </c>
      <c r="Z99" s="615">
        <f t="shared" ref="Z99:Z107" si="437">IFERROR(IF(AND((AL99+AM99)=100%,AL99&lt;1),W99,0),0)</f>
        <v>0</v>
      </c>
      <c r="AA99" s="615">
        <f t="shared" ref="AA99:AA107" si="438">IFERROR(IF(AND((AQ99+AS99)=AP99,Y99=0),W99,0),0)</f>
        <v>0</v>
      </c>
      <c r="AB99" s="615">
        <f t="shared" ref="AB99:AB107" si="439">IFERROR(IF(AND((AQ99+AS99+AT99)=AP99,Y99=0,AA99=0),W99,0),0)</f>
        <v>0</v>
      </c>
      <c r="AC99" s="615">
        <f t="shared" ref="AC99:AC107" si="440">IFERROR(IF(AND((AQ99+AS99+AT99+AU99)=AP99,Y99=0,AA99=0,AB99=0),W99,0),0)</f>
        <v>0</v>
      </c>
      <c r="AD99" s="620">
        <f t="shared" ref="AD99:AD107" si="441">IFERROR(IF(AND((AQ99+AS99+AT99+AU99+AV99)=AP99,Y99=0,AA99=0,AB99=0,AC99=0),W99,0),0)</f>
        <v>0</v>
      </c>
      <c r="AE99" s="287"/>
      <c r="AF99" s="615">
        <f t="shared" ref="AF99:AF107" si="442">IFERROR(IF(AND((AL99+AN99)=100%,AL99&lt;1),W99,0),0)</f>
        <v>0</v>
      </c>
      <c r="AG99" s="615">
        <f t="shared" ref="AG99:AG107" si="443">IFERROR(IF(AND((AQ99+AY99)=AP99,Y99=0),W99,0),0)</f>
        <v>0</v>
      </c>
      <c r="AH99" s="615">
        <f t="shared" ref="AH99:AH107" si="444">IFERROR(IF(AND((AQ99+AY99+AZ99)=AP99,Y99=0,AG99=0),W99,0),0)</f>
        <v>0</v>
      </c>
      <c r="AI99" s="615">
        <f t="shared" ref="AI99:AI107" si="445">IFERROR(IF(AND((AQ99+AY99+AZ99+BA99)=AP99,Y99=0,AG99=0,AH99=0),W99,0),0)</f>
        <v>0</v>
      </c>
      <c r="AJ99" s="615">
        <f t="shared" ref="AJ99:AJ107" si="446">IFERROR(IF(AND((AQ99+AY99+AZ99+BA99+BB99)=AP99,Y99=0,AG99=0,AH99=0,AI99=0),W99,0),0)</f>
        <v>0</v>
      </c>
      <c r="AK99" s="339"/>
      <c r="AL99" s="625">
        <f t="shared" ref="AL99:AL107" si="447">IFERROR(AQ99/AP99,0)</f>
        <v>1</v>
      </c>
      <c r="AM99" s="625">
        <f t="shared" ref="AM99:AM107" si="448">IFERROR(AR99/AP99,0)</f>
        <v>0</v>
      </c>
      <c r="AN99" s="625">
        <f t="shared" ref="AN99:AN107" si="449">IFERROR(AX99/AP99,0)</f>
        <v>0</v>
      </c>
      <c r="AO99" s="341"/>
      <c r="AP99" s="615">
        <f>COUNTIF('AR | Drawing List'!$H:$H,"AR-TXS-1")</f>
        <v>22</v>
      </c>
      <c r="AQ99" s="616">
        <f>COUNTIFS('AR | Drawing List'!$H:$H,"AR-TXS-1",'AR | Drawing List'!$J:$J,1)</f>
        <v>22</v>
      </c>
      <c r="AR99" s="616">
        <f t="shared" si="238"/>
        <v>0</v>
      </c>
      <c r="AS99" s="616">
        <f>COUNTIFS('AR | Drawing List'!$H:$H,"AR-TXS-1",'AR | Drawing List'!M:M,1)</f>
        <v>0</v>
      </c>
      <c r="AT99" s="616">
        <f>COUNTIFS('AR | Drawing List'!$H:$H,"AR-TXS-1",'AR | Drawing List'!N:N,1)</f>
        <v>0</v>
      </c>
      <c r="AU99" s="616">
        <f>COUNTIFS('AR | Drawing List'!$H:$H,"AR-TXS-1",'AR | Drawing List'!O:O,1)</f>
        <v>0</v>
      </c>
      <c r="AV99" s="616">
        <f>COUNTIFS('AR | Drawing List'!$H:$H,"AR-TXS-1",'AR | Drawing List'!P:P,1)</f>
        <v>0</v>
      </c>
      <c r="AW99" s="328"/>
      <c r="AX99" s="616">
        <f t="shared" ref="AX99:AX106" si="450">SUM(AY99:BB99)</f>
        <v>0</v>
      </c>
      <c r="AY99" s="616">
        <f>COUNTIFS('AR | Drawing List'!$H:$H,"AR-TXS-1",'AR | Drawing List'!R:R,1)</f>
        <v>0</v>
      </c>
      <c r="AZ99" s="616">
        <f>COUNTIFS('AR | Drawing List'!$H:$H,"AR-TXS-1",'AR | Drawing List'!S:S,1)</f>
        <v>0</v>
      </c>
      <c r="BA99" s="616">
        <f>COUNTIFS('AR | Drawing List'!$H:$H,"AR-TXS-1",'AR | Drawing List'!T:T,1)</f>
        <v>0</v>
      </c>
      <c r="BB99" s="616">
        <f>COUNTIFS('AR | Drawing List'!$H:$H,"AR-TXS-1",'AR | Drawing List'!U:U,1)</f>
        <v>0</v>
      </c>
      <c r="BC99" s="328"/>
      <c r="BD99" s="328"/>
      <c r="BE99" s="554">
        <v>0.1</v>
      </c>
      <c r="BF99" s="343"/>
      <c r="BG99" s="616">
        <f t="shared" ref="BG99:BG107" si="451">$BG$98/$BE$98*BE99</f>
        <v>0.15554106000000001</v>
      </c>
      <c r="BH99" s="618">
        <f t="shared" si="235"/>
        <v>0.15554106000000001</v>
      </c>
      <c r="BI99" s="615">
        <f t="shared" ref="BI99:BI107" si="452">IFERROR(IF(BV99=100%,BG99,0),0)</f>
        <v>0.15554106000000001</v>
      </c>
      <c r="BJ99" s="615">
        <f t="shared" ref="BJ99:BJ107" si="453">IFERROR(IF(AND((BV99+BW99)=100%,BV99&lt;1),BG99,0),0)</f>
        <v>0</v>
      </c>
      <c r="BK99" s="615">
        <f t="shared" ref="BK99:BK107" si="454">IFERROR(IF(AND((CA99+CC99)=BZ99,BI99=0),BG99,0),0)</f>
        <v>0</v>
      </c>
      <c r="BL99" s="615">
        <f t="shared" ref="BL99:BL107" si="455">IFERROR(IF(AND((CA99+CC99+CD99)=BZ99,BI99=0,BK99=0),BG99,0),0)</f>
        <v>0</v>
      </c>
      <c r="BM99" s="615">
        <f t="shared" ref="BM99:BM107" si="456">IFERROR(IF(AND((CA99+CC99+CD99+CE99)=BZ99,BI99=0,BK99=0,BL99=0),BG99,0),0)</f>
        <v>0</v>
      </c>
      <c r="BN99" s="615">
        <f t="shared" ref="BN99:BN107" si="457">IFERROR(IF(AND((CA99+CC99+CD99+CE99+CF99)=BZ99,BI99=0,BK99=0,BL99=0,BM99=0),BG99,0),0)</f>
        <v>0</v>
      </c>
      <c r="BO99" s="339"/>
      <c r="BP99" s="615">
        <f t="shared" ref="BP99:BP107" si="458">IFERROR(IF(AND((BV99+BX99)=100%,BV99&lt;1),BG99,0),0)</f>
        <v>0</v>
      </c>
      <c r="BQ99" s="615">
        <f t="shared" ref="BQ99:BQ107" si="459">IFERROR(IF(AND((CA99+CI99)=BZ99,BI99=0),BG99,0),0)</f>
        <v>0</v>
      </c>
      <c r="BR99" s="615">
        <f t="shared" ref="BR99:BR107" si="460">IFERROR(IF(AND((CA99+CI99+CJ99)=BZ99,BI99=0,BQ99=0),BG99,0),0)</f>
        <v>0</v>
      </c>
      <c r="BS99" s="615">
        <f t="shared" ref="BS99:BS107" si="461">IFERROR(IF(AND((CA99+CI99+CJ99+CK99)=BZ99,BI99=0,BQ99=0,BR99=0),BG99,0),0)</f>
        <v>0</v>
      </c>
      <c r="BT99" s="615">
        <f t="shared" ref="BT99:BT107" si="462">IFERROR(IF(AND((CA99+CI99+CJ99+CK99+CL99)=BZ99,BI99=0,BQ99=0,BR99=0,BS99=0),BG99,0),0)</f>
        <v>0</v>
      </c>
      <c r="BU99" s="339"/>
      <c r="BV99" s="635">
        <f t="shared" ref="BV99:BV107" si="463">IFERROR(CA99/BZ99,0)</f>
        <v>1</v>
      </c>
      <c r="BW99" s="635">
        <f t="shared" ref="BW99:BW107" si="464">IFERROR(CB99/BZ99,0)</f>
        <v>0</v>
      </c>
      <c r="BX99" s="635">
        <f t="shared" ref="BX99:BX107" si="465">IFERROR(CH99/BZ99,0)</f>
        <v>0</v>
      </c>
      <c r="BY99" s="341"/>
      <c r="BZ99" s="615">
        <f>COUNTIF('ST | Drawing List'!$H:$H,"ST-TXS-1")</f>
        <v>10</v>
      </c>
      <c r="CA99" s="616">
        <f>COUNTIFS('ST | Drawing List'!$H:$H,"ST-TXS-1",'ST | Drawing List'!$J:$J,1)</f>
        <v>10</v>
      </c>
      <c r="CB99" s="623">
        <f>COUNTIFS('ST | Drawing List'!$H:$H,"ST-TXS-1",'ST | Drawing List'!$L:$L,1)</f>
        <v>0</v>
      </c>
      <c r="CC99" s="616">
        <f>COUNTIFS('ST | Drawing List'!$H:$H,"ST-TXS-1",'ST | Drawing List'!M:M,1)</f>
        <v>0</v>
      </c>
      <c r="CD99" s="616">
        <f>COUNTIFS('ST | Drawing List'!$H:$H,"ST-TXS-1",'ST | Drawing List'!N:N,1)</f>
        <v>0</v>
      </c>
      <c r="CE99" s="616">
        <f>COUNTIFS('ST | Drawing List'!$H:$H,"ST-TXS-1",'ST | Drawing List'!O:O,1)</f>
        <v>0</v>
      </c>
      <c r="CF99" s="616">
        <f>COUNTIFS('ST | Drawing List'!$H:$H,"ST-TXS-1",'ST | Drawing List'!P:P,1)</f>
        <v>0</v>
      </c>
      <c r="CG99" s="532"/>
      <c r="CH99" s="623">
        <f>COUNTIFS('ST | Drawing List'!$H:$H,"ST-TXS-1",'ST | Drawing List'!$Q:$Q,1)</f>
        <v>0</v>
      </c>
      <c r="CI99" s="616">
        <f>COUNTIFS('ST | Drawing List'!$H:$H,"ST-TXS-1",'ST | Drawing List'!R:R,1)</f>
        <v>0</v>
      </c>
      <c r="CJ99" s="616">
        <f>COUNTIFS('ST | Drawing List'!$H:$H,"ST-TXS-1",'ST | Drawing List'!S:S,1)</f>
        <v>0</v>
      </c>
      <c r="CK99" s="616">
        <f>COUNTIFS('ST | Drawing List'!$H:$H,"ST-TXS-1",'ST | Drawing List'!T:T,1)</f>
        <v>0</v>
      </c>
      <c r="CL99" s="616">
        <f>COUNTIFS('ST | Drawing List'!$H:$H,"ST-TXS-1",'ST | Drawing List'!U:U,1)</f>
        <v>0</v>
      </c>
      <c r="CM99" s="343"/>
      <c r="CN99" s="343"/>
      <c r="CO99" s="525">
        <v>0.1</v>
      </c>
      <c r="CP99" s="343"/>
      <c r="CQ99" s="616">
        <f t="shared" ref="CQ99:CQ107" si="466">$CQ$98/$CO$98*CO99</f>
        <v>2.1340799999999997E-2</v>
      </c>
      <c r="CR99" s="618">
        <f t="shared" si="236"/>
        <v>2.1340799999999997E-2</v>
      </c>
      <c r="CS99" s="615">
        <f t="shared" ref="CS99:CS107" si="467">IFERROR(IF(DF99=100%,CQ99,0),0)</f>
        <v>2.1340799999999997E-2</v>
      </c>
      <c r="CT99" s="615">
        <f t="shared" ref="CT99:CT107" si="468">IFERROR(IF(AND((DF99+DG99)=100%,DF99&lt;1),CQ99,0),0)</f>
        <v>0</v>
      </c>
      <c r="CU99" s="615">
        <f t="shared" ref="CU99:CU107" si="469">IFERROR(IF(AND((DK99+DM99)=DJ99,CS99=0),CQ99,0),0)</f>
        <v>0</v>
      </c>
      <c r="CV99" s="615">
        <f t="shared" ref="CV99:CV107" si="470">IFERROR(IF(AND((DK99+DM99+DN99)=DJ99,CS99=0,CU99=0),CQ99,0),0)</f>
        <v>0</v>
      </c>
      <c r="CW99" s="615">
        <f t="shared" ref="CW99:CW107" si="471">IFERROR(IF(AND((DK99+DM99+DN99+DO99)=DJ99,CS99=0,CU99=0,CV99=0),CQ99,0),0)</f>
        <v>0</v>
      </c>
      <c r="CX99" s="615">
        <f t="shared" ref="CX99:CX107" si="472">IFERROR(IF(AND((DK99+DM99+DN99+DO99+DP99)=DJ99,CS99=0,CU99=0,CV99=0,CW99=0),CQ99,0),0)</f>
        <v>0</v>
      </c>
      <c r="CY99" s="339"/>
      <c r="CZ99" s="615">
        <f t="shared" ref="CZ99:CZ107" si="473">IFERROR(IF(AND((DF99+DH99)=100%,DF99&lt;1),CQ99,0),0)</f>
        <v>0</v>
      </c>
      <c r="DA99" s="615">
        <f t="shared" ref="DA99:DA107" si="474">IFERROR(IF(AND((DK99+DS99)=DJ99,CS99=0),CQ99,0),0)</f>
        <v>0</v>
      </c>
      <c r="DB99" s="615">
        <f t="shared" ref="DB99:DB107" si="475">IFERROR(IF(AND((DK99+DS99+DT99)=DJ99,CS99=0,DA99=0),CQ99,0),0)</f>
        <v>0</v>
      </c>
      <c r="DC99" s="615">
        <f t="shared" ref="DC99:DC107" si="476">IFERROR(IF(AND((DK99+DS99+DT99+DU99)=DJ99,CS99=0,DA99=0,DB99=0),CQ99,0),0)</f>
        <v>0</v>
      </c>
      <c r="DD99" s="615">
        <f t="shared" ref="DD99:DD107" si="477">IFERROR(IF(AND((DK99+DS99+DT99+DU99+DV99)=DJ99,CS99=0,DA99=0,DB99=0,DC99=0),CQ99,0),0)</f>
        <v>0</v>
      </c>
      <c r="DE99" s="339"/>
      <c r="DF99" s="625">
        <f t="shared" ref="DF99:DF107" si="478">IFERROR(DK99/DJ99,0)</f>
        <v>1</v>
      </c>
      <c r="DG99" s="625">
        <f t="shared" ref="DG99:DG107" si="479">IFERROR(DL99/DJ99,0)</f>
        <v>0</v>
      </c>
      <c r="DH99" s="625">
        <f t="shared" ref="DH99:DH107" si="480">IFERROR(DR99/DJ99,0)</f>
        <v>0</v>
      </c>
      <c r="DI99" s="341"/>
      <c r="DJ99" s="615">
        <f>COUNTIF('MEP | Drawing List'!$H:$H,"MEP-T2S-6S-1")</f>
        <v>1</v>
      </c>
      <c r="DK99" s="616">
        <f>COUNTIFS('MEP | Drawing List'!$H:$H,"MEP-T2S-6S-1",'MEP | Drawing List'!$J:$J,1)</f>
        <v>1</v>
      </c>
      <c r="DL99" s="616">
        <f>COUNTIFS('MEP | Drawing List'!$H:$H,"MEP-T2S-6S-1",'MEP | Drawing List'!$L:$L,1)</f>
        <v>0</v>
      </c>
      <c r="DM99" s="615">
        <f>COUNTIFS('MEP | Drawing List'!$H:$H,"MEP-T2S-6S-1",'MEP | Drawing List'!M:M,1)</f>
        <v>0</v>
      </c>
      <c r="DN99" s="615">
        <f>COUNTIFS('MEP | Drawing List'!$H:$H,"MEP-T2S-6S-1",'MEP | Drawing List'!N:N,1)</f>
        <v>0</v>
      </c>
      <c r="DO99" s="615">
        <f>COUNTIFS('MEP | Drawing List'!$H:$H,"MEP-T2S-6S-1",'MEP | Drawing List'!O:O,1)</f>
        <v>0</v>
      </c>
      <c r="DP99" s="615">
        <f>COUNTIFS('MEP | Drawing List'!$H:$H,"MEP-T2S-6S-1",'MEP | Drawing List'!P:P,1)</f>
        <v>0</v>
      </c>
      <c r="DQ99" s="339"/>
      <c r="DR99" s="616">
        <f>COUNTIFS('MEP | Drawing List'!$H:$H,"MEP-T2S-6S-1",'MEP | Drawing List'!$Q:$Q,1)</f>
        <v>0</v>
      </c>
      <c r="DS99" s="615">
        <f>COUNTIFS('MEP | Drawing List'!$H:$H,"MEP-T2S-6S-1",'MEP | Drawing List'!R:R,1)</f>
        <v>0</v>
      </c>
      <c r="DT99" s="615">
        <f>COUNTIFS('MEP | Drawing List'!$H:$H,"MEP-T2S-6S-1",'MEP | Drawing List'!S:S,1)</f>
        <v>0</v>
      </c>
      <c r="DU99" s="615">
        <f>COUNTIFS('MEP | Drawing List'!$H:$H,"MEP-T2S-6S-1",'MEP | Drawing List'!T:T,1)</f>
        <v>0</v>
      </c>
      <c r="DV99" s="615">
        <f>COUNTIFS('MEP | Drawing List'!$H:$H,"MEP-T2S-6S-1",'MEP | Drawing List'!U:U,1)</f>
        <v>0</v>
      </c>
      <c r="DW99" s="343"/>
      <c r="DX99" s="343"/>
      <c r="DY99" s="554">
        <v>0</v>
      </c>
      <c r="DZ99" s="343"/>
      <c r="EA99" s="616">
        <f t="shared" ref="EA99:EA107" si="481">$EA$98/$DY$98*DY99</f>
        <v>0</v>
      </c>
      <c r="EB99" s="618">
        <f t="shared" si="237"/>
        <v>0</v>
      </c>
      <c r="EC99" s="615">
        <f t="shared" ref="EC99:EC107" si="482">IFERROR(IF(EP99=100%,EA99,0),0)</f>
        <v>0</v>
      </c>
      <c r="ED99" s="615">
        <f t="shared" ref="ED99:ED107" si="483">IFERROR(IF(AND((EP99+EQ99)=100%,EP99&lt;1),EA99,0),0)</f>
        <v>0</v>
      </c>
      <c r="EE99" s="615">
        <f t="shared" ref="EE99:EE107" si="484">IFERROR(IF(AND((EU99+EW99)=ET99,EC99=0),EA99,0),0)</f>
        <v>0</v>
      </c>
      <c r="EF99" s="615">
        <f t="shared" ref="EF99:EF107" si="485">IFERROR(IF(AND((EU99+EW99+EX99)=ET99,EC99=0,EE99=0),EA99,0),0)</f>
        <v>0</v>
      </c>
      <c r="EG99" s="615">
        <f t="shared" ref="EG99:EG107" si="486">IFERROR(IF(AND((EU99+EW99+EX99+EY99)=ET99,EC99=0,EE99=0,EF99=0),EA99,0),0)</f>
        <v>0</v>
      </c>
      <c r="EH99" s="615">
        <f t="shared" ref="EH99:EH107" si="487">IFERROR(IF(AND((EU99+EW99+EX99+EY99+EZ99)=ET99,EC99=0,EE99=0,EF99=0,EG99=0),EA99,0),0)</f>
        <v>0</v>
      </c>
      <c r="EI99" s="339"/>
      <c r="EJ99" s="620">
        <f t="shared" ref="EJ99:EJ107" si="488">IFERROR(IF(AND((EP99+ER99)=100%,EP99&lt;1),EA99,0),0)</f>
        <v>0</v>
      </c>
      <c r="EK99" s="615">
        <f t="shared" ref="EK99:EK107" si="489">IFERROR(IF(AND((EU99+FC99)=ET99,EC99=0),EA99,0),0)</f>
        <v>0</v>
      </c>
      <c r="EL99" s="615">
        <f t="shared" ref="EL99:EL107" si="490">IFERROR(IF(AND((EU99+FC99+FD99)=ET99,EC99=0,EK99=0),EA99,0),0)</f>
        <v>0</v>
      </c>
      <c r="EM99" s="615">
        <f t="shared" ref="EM99:EM107" si="491">IFERROR(IF(AND((EU99+FC99+FD99+FE99)=ET99,EC99=0,EK99=0,EL99=0),EA99,0),0)</f>
        <v>0</v>
      </c>
      <c r="EN99" s="615">
        <f t="shared" ref="EN99:EN107" si="492">IFERROR(IF(AND((EU99+FC99+FD99+FE99+FF99)=ET99,EC99=0,EK99=0,EL99=0,EM99=0),EA99,0),0)</f>
        <v>0</v>
      </c>
      <c r="EO99" s="339"/>
      <c r="EP99" s="627">
        <f t="shared" ref="EP99:EP107" si="493">IFERROR(EU99/ET99,0)</f>
        <v>0</v>
      </c>
      <c r="EQ99" s="627">
        <f t="shared" ref="EQ99:EQ107" si="494">IFERROR(EV99/ET99,0)</f>
        <v>0</v>
      </c>
      <c r="ER99" s="627">
        <f t="shared" ref="ER99:ER107" si="495">IFERROR(FB99/ET99,0)</f>
        <v>0</v>
      </c>
      <c r="ES99" s="82"/>
      <c r="ET99" s="615">
        <f>COUNTIF('LS | Drawing List'!$H:$H,"LS-TXS-1")</f>
        <v>0</v>
      </c>
      <c r="EU99" s="616">
        <f>COUNTIFS('LS | Drawing List'!$H:$H,"LS-TXS-1",'LS | Drawing List'!$J:$J,1)</f>
        <v>0</v>
      </c>
      <c r="EV99" s="616">
        <f>COUNTIFS('LS | Drawing List'!$H:$H,"LS-TXS-1",'LS | Drawing List'!$L:$L,1)</f>
        <v>0</v>
      </c>
      <c r="EW99" s="615">
        <f>COUNTIFS('LS | Drawing List'!$H:$H,"LS-TXS-1",'LS | Drawing List'!M:M,1)</f>
        <v>0</v>
      </c>
      <c r="EX99" s="615">
        <f>COUNTIFS('LS | Drawing List'!$H:$H,"LS-TXS-1",'LS | Drawing List'!N:N,1)</f>
        <v>0</v>
      </c>
      <c r="EY99" s="615">
        <f>COUNTIFS('LS | Drawing List'!$H:$H,"LS-TXS-1",'LS | Drawing List'!O:O,1)</f>
        <v>0</v>
      </c>
      <c r="EZ99" s="615">
        <f>COUNTIFS('LS | Drawing List'!$H:$H,"LS-TXS-1",'LS | Drawing List'!P:P,1)</f>
        <v>0</v>
      </c>
      <c r="FA99" s="81"/>
      <c r="FB99" s="616">
        <f>COUNTIFS('LS | Drawing List'!$H:$H,"LS-TXS-1",'LS | Drawing List'!$Q:$Q,1)</f>
        <v>0</v>
      </c>
      <c r="FC99" s="615">
        <f>COUNTIFS('LS | Drawing List'!$H:$H,"LS-TXS-1",'LS | Drawing List'!R:R,1)</f>
        <v>0</v>
      </c>
      <c r="FD99" s="615">
        <f>COUNTIFS('LS | Drawing List'!$H:$H,"LS-TXS-1",'LS | Drawing List'!S:S,1)</f>
        <v>0</v>
      </c>
      <c r="FE99" s="615">
        <f>COUNTIFS('LS | Drawing List'!$H:$H,"LS-TXS-1",'LS | Drawing List'!T:T,1)</f>
        <v>0</v>
      </c>
      <c r="FF99" s="615">
        <f>COUNTIFS('LS | Drawing List'!$H:$H,"LS-TXS-1",'LS | Drawing List'!U:U,1)</f>
        <v>0</v>
      </c>
      <c r="FG99" s="48"/>
    </row>
    <row r="100" spans="1:163" ht="14.25" hidden="1" outlineLevel="2">
      <c r="A100" s="48"/>
      <c r="B100" s="87" t="s">
        <v>108</v>
      </c>
      <c r="C100" s="276">
        <v>2</v>
      </c>
      <c r="D100" s="272" t="s">
        <v>54</v>
      </c>
      <c r="E100" s="48"/>
      <c r="F100" s="619">
        <f t="shared" si="432"/>
        <v>0.15554106000000001</v>
      </c>
      <c r="G100" s="619">
        <f t="shared" si="433"/>
        <v>0.15554106000000001</v>
      </c>
      <c r="H100" s="615">
        <f t="shared" si="434"/>
        <v>0</v>
      </c>
      <c r="I100" s="615">
        <f t="shared" si="407"/>
        <v>0</v>
      </c>
      <c r="J100" s="615">
        <f t="shared" si="408"/>
        <v>0</v>
      </c>
      <c r="K100" s="615">
        <f t="shared" si="409"/>
        <v>0</v>
      </c>
      <c r="L100" s="615">
        <f t="shared" si="410"/>
        <v>0</v>
      </c>
      <c r="M100" s="620">
        <f t="shared" si="411"/>
        <v>0</v>
      </c>
      <c r="N100" s="287"/>
      <c r="O100" s="615">
        <f t="shared" si="412"/>
        <v>0</v>
      </c>
      <c r="P100" s="615">
        <f t="shared" si="413"/>
        <v>0</v>
      </c>
      <c r="Q100" s="615">
        <f t="shared" si="414"/>
        <v>0</v>
      </c>
      <c r="R100" s="615">
        <f t="shared" si="415"/>
        <v>0</v>
      </c>
      <c r="S100" s="615">
        <f t="shared" si="416"/>
        <v>0</v>
      </c>
      <c r="T100" s="48"/>
      <c r="U100" s="519">
        <v>0</v>
      </c>
      <c r="V100" s="131"/>
      <c r="W100" s="619">
        <f t="shared" si="435"/>
        <v>0</v>
      </c>
      <c r="X100" s="619">
        <f t="shared" si="234"/>
        <v>0</v>
      </c>
      <c r="Y100" s="615">
        <f t="shared" si="436"/>
        <v>0</v>
      </c>
      <c r="Z100" s="615">
        <f t="shared" si="437"/>
        <v>0</v>
      </c>
      <c r="AA100" s="615">
        <f t="shared" si="438"/>
        <v>0</v>
      </c>
      <c r="AB100" s="615">
        <f t="shared" si="439"/>
        <v>0</v>
      </c>
      <c r="AC100" s="615">
        <f t="shared" si="440"/>
        <v>0</v>
      </c>
      <c r="AD100" s="620">
        <f t="shared" si="441"/>
        <v>0</v>
      </c>
      <c r="AE100" s="287"/>
      <c r="AF100" s="615">
        <f t="shared" si="442"/>
        <v>0</v>
      </c>
      <c r="AG100" s="615">
        <f t="shared" si="443"/>
        <v>0</v>
      </c>
      <c r="AH100" s="615">
        <f t="shared" si="444"/>
        <v>0</v>
      </c>
      <c r="AI100" s="615">
        <f t="shared" si="445"/>
        <v>0</v>
      </c>
      <c r="AJ100" s="615">
        <f t="shared" si="446"/>
        <v>0</v>
      </c>
      <c r="AK100" s="339"/>
      <c r="AL100" s="625">
        <f t="shared" si="447"/>
        <v>0</v>
      </c>
      <c r="AM100" s="625">
        <f t="shared" si="448"/>
        <v>0</v>
      </c>
      <c r="AN100" s="625">
        <f t="shared" si="449"/>
        <v>0</v>
      </c>
      <c r="AO100" s="341"/>
      <c r="AP100" s="615">
        <f>COUNTIF('AR | Drawing List'!$H:$H,"AR-TXS-2")</f>
        <v>0</v>
      </c>
      <c r="AQ100" s="616">
        <f>COUNTIFS('AR | Drawing List'!$H:$H,"AR-TXS-2",'AR | Drawing List'!$J:$J,1)</f>
        <v>0</v>
      </c>
      <c r="AR100" s="616">
        <f t="shared" si="238"/>
        <v>0</v>
      </c>
      <c r="AS100" s="616">
        <f>COUNTIFS('AR | Drawing List'!$H:$H,"AR-TXS-2",'AR | Drawing List'!M:M,1)</f>
        <v>0</v>
      </c>
      <c r="AT100" s="616">
        <f>COUNTIFS('AR | Drawing List'!$H:$H,"AR-TXS-2",'AR | Drawing List'!N:N,1)</f>
        <v>0</v>
      </c>
      <c r="AU100" s="616">
        <f>COUNTIFS('AR | Drawing List'!$H:$H,"AR-TXS-2",'AR | Drawing List'!O:O,1)</f>
        <v>0</v>
      </c>
      <c r="AV100" s="616">
        <f>COUNTIFS('AR | Drawing List'!$H:$H,"AR-TXS-2",'AR | Drawing List'!P:P,1)</f>
        <v>0</v>
      </c>
      <c r="AW100" s="328"/>
      <c r="AX100" s="616">
        <f t="shared" si="450"/>
        <v>0</v>
      </c>
      <c r="AY100" s="616">
        <f>COUNTIFS('AR | Drawing List'!$H:$H,"AR-TXS-2",'AR | Drawing List'!R:R,1)</f>
        <v>0</v>
      </c>
      <c r="AZ100" s="616">
        <f>COUNTIFS('AR | Drawing List'!$H:$H,"AR-TXS-2",'AR | Drawing List'!S:S,1)</f>
        <v>0</v>
      </c>
      <c r="BA100" s="616">
        <f>COUNTIFS('AR | Drawing List'!$H:$H,"AR-TXS-2",'AR | Drawing List'!T:T,1)</f>
        <v>0</v>
      </c>
      <c r="BB100" s="616">
        <f>COUNTIFS('AR | Drawing List'!$H:$H,"AR-TXS-2",'AR | Drawing List'!U:U,1)</f>
        <v>0</v>
      </c>
      <c r="BC100" s="359"/>
      <c r="BD100" s="359"/>
      <c r="BE100" s="525">
        <v>0.1</v>
      </c>
      <c r="BF100" s="343"/>
      <c r="BG100" s="616">
        <f t="shared" si="451"/>
        <v>0.15554106000000001</v>
      </c>
      <c r="BH100" s="618">
        <f t="shared" si="235"/>
        <v>0.15554106000000001</v>
      </c>
      <c r="BI100" s="615">
        <f t="shared" si="452"/>
        <v>0.15554106000000001</v>
      </c>
      <c r="BJ100" s="615">
        <f t="shared" si="453"/>
        <v>0</v>
      </c>
      <c r="BK100" s="615">
        <f t="shared" si="454"/>
        <v>0</v>
      </c>
      <c r="BL100" s="615">
        <f t="shared" si="455"/>
        <v>0</v>
      </c>
      <c r="BM100" s="615">
        <f t="shared" si="456"/>
        <v>0</v>
      </c>
      <c r="BN100" s="615">
        <f t="shared" si="457"/>
        <v>0</v>
      </c>
      <c r="BO100" s="339"/>
      <c r="BP100" s="615">
        <f t="shared" si="458"/>
        <v>0</v>
      </c>
      <c r="BQ100" s="615">
        <f t="shared" si="459"/>
        <v>0</v>
      </c>
      <c r="BR100" s="615">
        <f t="shared" si="460"/>
        <v>0</v>
      </c>
      <c r="BS100" s="615">
        <f t="shared" si="461"/>
        <v>0</v>
      </c>
      <c r="BT100" s="615">
        <f t="shared" si="462"/>
        <v>0</v>
      </c>
      <c r="BU100" s="339"/>
      <c r="BV100" s="635">
        <f t="shared" si="463"/>
        <v>1</v>
      </c>
      <c r="BW100" s="635">
        <f t="shared" si="464"/>
        <v>0</v>
      </c>
      <c r="BX100" s="635">
        <f t="shared" si="465"/>
        <v>0</v>
      </c>
      <c r="BY100" s="345"/>
      <c r="BZ100" s="615">
        <f>COUNTIF('ST | Drawing List'!$H:$H,"ST-TXS-2")</f>
        <v>2</v>
      </c>
      <c r="CA100" s="616">
        <f>COUNTIFS('ST | Drawing List'!$H:$H,"ST-TXS-2",'ST | Drawing List'!$J:$J,1)</f>
        <v>2</v>
      </c>
      <c r="CB100" s="623">
        <f>COUNTIFS('ST | Drawing List'!$H:$H,"ST-TXS-2",'ST | Drawing List'!$L:$L,1)</f>
        <v>0</v>
      </c>
      <c r="CC100" s="616">
        <f>COUNTIFS('ST | Drawing List'!$H:$H,"ST-TXS-2",'ST | Drawing List'!M:M,1)</f>
        <v>0</v>
      </c>
      <c r="CD100" s="616">
        <f>COUNTIFS('ST | Drawing List'!$H:$H,"ST-TXS-2",'ST | Drawing List'!N:N,1)</f>
        <v>0</v>
      </c>
      <c r="CE100" s="616">
        <f>COUNTIFS('ST | Drawing List'!$H:$H,"ST-TXS-2",'ST | Drawing List'!O:O,1)</f>
        <v>0</v>
      </c>
      <c r="CF100" s="616">
        <f>COUNTIFS('ST | Drawing List'!$H:$H,"ST-TXS-2",'ST | Drawing List'!P:P,1)</f>
        <v>0</v>
      </c>
      <c r="CG100" s="532"/>
      <c r="CH100" s="623">
        <f>COUNTIFS('ST | Drawing List'!$H:$H,"ST-TXS-2",'ST | Drawing List'!$Q:$Q,1)</f>
        <v>0</v>
      </c>
      <c r="CI100" s="616">
        <f>COUNTIFS('ST | Drawing List'!$H:$H,"ST-TXS-2",'ST | Drawing List'!R:R,1)</f>
        <v>0</v>
      </c>
      <c r="CJ100" s="616">
        <f>COUNTIFS('ST | Drawing List'!$H:$H,"ST-TXS-2",'ST | Drawing List'!S:S,1)</f>
        <v>0</v>
      </c>
      <c r="CK100" s="616">
        <f>COUNTIFS('ST | Drawing List'!$H:$H,"ST-TXS-2",'ST | Drawing List'!T:T,1)</f>
        <v>0</v>
      </c>
      <c r="CL100" s="616">
        <f>COUNTIFS('ST | Drawing List'!$H:$H,"ST-TXS-2",'ST | Drawing List'!U:U,1)</f>
        <v>0</v>
      </c>
      <c r="CM100" s="343"/>
      <c r="CN100" s="343"/>
      <c r="CO100" s="666">
        <v>0</v>
      </c>
      <c r="CP100" s="343"/>
      <c r="CQ100" s="616">
        <f t="shared" si="466"/>
        <v>0</v>
      </c>
      <c r="CR100" s="618">
        <f t="shared" si="236"/>
        <v>0</v>
      </c>
      <c r="CS100" s="615">
        <f t="shared" si="467"/>
        <v>0</v>
      </c>
      <c r="CT100" s="615">
        <f t="shared" si="468"/>
        <v>0</v>
      </c>
      <c r="CU100" s="615">
        <f t="shared" si="469"/>
        <v>0</v>
      </c>
      <c r="CV100" s="615">
        <f t="shared" si="470"/>
        <v>0</v>
      </c>
      <c r="CW100" s="615">
        <f t="shared" si="471"/>
        <v>0</v>
      </c>
      <c r="CX100" s="615">
        <f t="shared" si="472"/>
        <v>0</v>
      </c>
      <c r="CY100" s="339"/>
      <c r="CZ100" s="615">
        <f t="shared" si="473"/>
        <v>0</v>
      </c>
      <c r="DA100" s="615">
        <f t="shared" si="474"/>
        <v>0</v>
      </c>
      <c r="DB100" s="615">
        <f t="shared" si="475"/>
        <v>0</v>
      </c>
      <c r="DC100" s="615">
        <f t="shared" si="476"/>
        <v>0</v>
      </c>
      <c r="DD100" s="615">
        <f t="shared" si="477"/>
        <v>0</v>
      </c>
      <c r="DE100" s="339"/>
      <c r="DF100" s="625">
        <f t="shared" si="478"/>
        <v>0</v>
      </c>
      <c r="DG100" s="625">
        <f t="shared" si="479"/>
        <v>0</v>
      </c>
      <c r="DH100" s="625">
        <f t="shared" si="480"/>
        <v>0</v>
      </c>
      <c r="DI100" s="345"/>
      <c r="DJ100" s="615">
        <f>COUNTIF('MEP | Drawing List'!$H:$H,"MEP-T2S-6S-2")</f>
        <v>0</v>
      </c>
      <c r="DK100" s="616">
        <f>COUNTIFS('MEP | Drawing List'!$H:$H,"MEP-T2S-6S-2",'MEP | Drawing List'!$J:$J,1)</f>
        <v>0</v>
      </c>
      <c r="DL100" s="616">
        <f>COUNTIFS('MEP | Drawing List'!$H:$H,"MEP-T2S-6S-2",'MEP | Drawing List'!$L:$L,1)</f>
        <v>0</v>
      </c>
      <c r="DM100" s="615">
        <f>COUNTIFS('MEP | Drawing List'!$H:$H,"MEP-T2S-6S-2",'MEP | Drawing List'!M:M,1)</f>
        <v>0</v>
      </c>
      <c r="DN100" s="615">
        <f>COUNTIFS('MEP | Drawing List'!$H:$H,"MEP-T2S-6S-2",'MEP | Drawing List'!N:N,1)</f>
        <v>0</v>
      </c>
      <c r="DO100" s="615">
        <f>COUNTIFS('MEP | Drawing List'!$H:$H,"MEP-T2S-6S-2",'MEP | Drawing List'!O:O,1)</f>
        <v>0</v>
      </c>
      <c r="DP100" s="615">
        <f>COUNTIFS('MEP | Drawing List'!$H:$H,"MEP-T2S-6S-2",'MEP | Drawing List'!P:P,1)</f>
        <v>0</v>
      </c>
      <c r="DQ100" s="339"/>
      <c r="DR100" s="616">
        <f>COUNTIFS('MEP | Drawing List'!$H:$H,"MEP-T2S-6S-2",'MEP | Drawing List'!$Q:$Q,1)</f>
        <v>0</v>
      </c>
      <c r="DS100" s="615">
        <f>COUNTIFS('MEP | Drawing List'!$H:$H,"MEP-T2S-6S-2",'MEP | Drawing List'!R:R,1)</f>
        <v>0</v>
      </c>
      <c r="DT100" s="615">
        <f>COUNTIFS('MEP | Drawing List'!$H:$H,"MEP-T2S-6S-2",'MEP | Drawing List'!S:S,1)</f>
        <v>0</v>
      </c>
      <c r="DU100" s="615">
        <f>COUNTIFS('MEP | Drawing List'!$H:$H,"MEP-T2S-6S-2",'MEP | Drawing List'!T:T,1)</f>
        <v>0</v>
      </c>
      <c r="DV100" s="615">
        <f>COUNTIFS('MEP | Drawing List'!$H:$H,"MEP-T2S-6S-2",'MEP | Drawing List'!U:U,1)</f>
        <v>0</v>
      </c>
      <c r="DW100" s="343"/>
      <c r="DX100" s="343"/>
      <c r="DY100" s="523">
        <v>0</v>
      </c>
      <c r="DZ100" s="343"/>
      <c r="EA100" s="616">
        <f t="shared" si="481"/>
        <v>0</v>
      </c>
      <c r="EB100" s="618">
        <f t="shared" si="237"/>
        <v>0</v>
      </c>
      <c r="EC100" s="615">
        <f t="shared" si="482"/>
        <v>0</v>
      </c>
      <c r="ED100" s="615">
        <f t="shared" si="483"/>
        <v>0</v>
      </c>
      <c r="EE100" s="615">
        <f t="shared" si="484"/>
        <v>0</v>
      </c>
      <c r="EF100" s="615">
        <f t="shared" si="485"/>
        <v>0</v>
      </c>
      <c r="EG100" s="615">
        <f t="shared" si="486"/>
        <v>0</v>
      </c>
      <c r="EH100" s="615">
        <f t="shared" si="487"/>
        <v>0</v>
      </c>
      <c r="EI100" s="339"/>
      <c r="EJ100" s="620">
        <f t="shared" si="488"/>
        <v>0</v>
      </c>
      <c r="EK100" s="615">
        <f t="shared" si="489"/>
        <v>0</v>
      </c>
      <c r="EL100" s="615">
        <f t="shared" si="490"/>
        <v>0</v>
      </c>
      <c r="EM100" s="615">
        <f t="shared" si="491"/>
        <v>0</v>
      </c>
      <c r="EN100" s="615">
        <f t="shared" si="492"/>
        <v>0</v>
      </c>
      <c r="EO100" s="339"/>
      <c r="EP100" s="627">
        <f t="shared" si="493"/>
        <v>0</v>
      </c>
      <c r="EQ100" s="627">
        <f t="shared" si="494"/>
        <v>0</v>
      </c>
      <c r="ER100" s="627">
        <f t="shared" si="495"/>
        <v>0</v>
      </c>
      <c r="ES100" s="55"/>
      <c r="ET100" s="615">
        <f>COUNTIF('LS | Drawing List'!$H:$H,"LS-TXS-2")</f>
        <v>0</v>
      </c>
      <c r="EU100" s="616">
        <f>COUNTIFS('LS | Drawing List'!$H:$H,"LS-TXS-2",'LS | Drawing List'!$J:$J,1)</f>
        <v>0</v>
      </c>
      <c r="EV100" s="616">
        <f>COUNTIFS('LS | Drawing List'!$H:$H,"LS-TXS-2",'LS | Drawing List'!$L:$L,1)</f>
        <v>0</v>
      </c>
      <c r="EW100" s="615">
        <f>COUNTIFS('LS | Drawing List'!$H:$H,"LS-TXS-2",'LS | Drawing List'!M:M,1)</f>
        <v>0</v>
      </c>
      <c r="EX100" s="615">
        <f>COUNTIFS('LS | Drawing List'!$H:$H,"LS-TXS-2",'LS | Drawing List'!N:N,1)</f>
        <v>0</v>
      </c>
      <c r="EY100" s="615">
        <f>COUNTIFS('LS | Drawing List'!$H:$H,"LS-TXS-2",'LS | Drawing List'!O:O,1)</f>
        <v>0</v>
      </c>
      <c r="EZ100" s="615">
        <f>COUNTIFS('LS | Drawing List'!$H:$H,"LS-TXS-2",'LS | Drawing List'!P:P,1)</f>
        <v>0</v>
      </c>
      <c r="FA100" s="81"/>
      <c r="FB100" s="616">
        <f>COUNTIFS('LS | Drawing List'!$H:$H,"LS-TXS-2",'LS | Drawing List'!$Q:$Q,1)</f>
        <v>0</v>
      </c>
      <c r="FC100" s="615">
        <f>COUNTIFS('LS | Drawing List'!$H:$H,"LS-TXS-2",'LS | Drawing List'!R:R,1)</f>
        <v>0</v>
      </c>
      <c r="FD100" s="615">
        <f>COUNTIFS('LS | Drawing List'!$H:$H,"LS-TXS-2",'LS | Drawing List'!S:S,1)</f>
        <v>0</v>
      </c>
      <c r="FE100" s="615">
        <f>COUNTIFS('LS | Drawing List'!$H:$H,"LS-TXS-2",'LS | Drawing List'!T:T,1)</f>
        <v>0</v>
      </c>
      <c r="FF100" s="615">
        <f>COUNTIFS('LS | Drawing List'!$H:$H,"LS-TXS-2",'LS | Drawing List'!U:U,1)</f>
        <v>0</v>
      </c>
      <c r="FG100" s="48"/>
    </row>
    <row r="101" spans="1:163" ht="14.25" hidden="1" outlineLevel="2">
      <c r="A101" s="48"/>
      <c r="B101" s="87" t="s">
        <v>109</v>
      </c>
      <c r="C101" s="276">
        <v>3</v>
      </c>
      <c r="D101" s="272" t="s">
        <v>56</v>
      </c>
      <c r="E101" s="48"/>
      <c r="F101" s="619">
        <f t="shared" si="432"/>
        <v>0.37186560000000002</v>
      </c>
      <c r="G101" s="619">
        <f t="shared" si="433"/>
        <v>0.37186560000000002</v>
      </c>
      <c r="H101" s="615">
        <f t="shared" si="434"/>
        <v>0</v>
      </c>
      <c r="I101" s="615">
        <f t="shared" si="407"/>
        <v>0</v>
      </c>
      <c r="J101" s="615">
        <f t="shared" si="408"/>
        <v>0</v>
      </c>
      <c r="K101" s="615">
        <f t="shared" si="409"/>
        <v>0</v>
      </c>
      <c r="L101" s="615">
        <f t="shared" si="410"/>
        <v>0</v>
      </c>
      <c r="M101" s="620">
        <f t="shared" si="411"/>
        <v>0</v>
      </c>
      <c r="N101" s="287"/>
      <c r="O101" s="615">
        <f t="shared" si="412"/>
        <v>0</v>
      </c>
      <c r="P101" s="615">
        <f t="shared" si="413"/>
        <v>0</v>
      </c>
      <c r="Q101" s="615">
        <f t="shared" si="414"/>
        <v>0</v>
      </c>
      <c r="R101" s="615">
        <f t="shared" si="415"/>
        <v>0</v>
      </c>
      <c r="S101" s="615">
        <f t="shared" si="416"/>
        <v>0</v>
      </c>
      <c r="T101" s="48"/>
      <c r="U101" s="519">
        <v>0.1</v>
      </c>
      <c r="V101" s="131"/>
      <c r="W101" s="619">
        <f t="shared" si="435"/>
        <v>0.37186560000000002</v>
      </c>
      <c r="X101" s="619">
        <f t="shared" si="234"/>
        <v>0.37186560000000002</v>
      </c>
      <c r="Y101" s="615">
        <f t="shared" si="436"/>
        <v>0.37186560000000002</v>
      </c>
      <c r="Z101" s="615">
        <f t="shared" si="437"/>
        <v>0</v>
      </c>
      <c r="AA101" s="615">
        <f t="shared" si="438"/>
        <v>0</v>
      </c>
      <c r="AB101" s="615">
        <f t="shared" si="439"/>
        <v>0</v>
      </c>
      <c r="AC101" s="615">
        <f t="shared" si="440"/>
        <v>0</v>
      </c>
      <c r="AD101" s="620">
        <f t="shared" si="441"/>
        <v>0</v>
      </c>
      <c r="AE101" s="287"/>
      <c r="AF101" s="615">
        <f t="shared" si="442"/>
        <v>0</v>
      </c>
      <c r="AG101" s="615">
        <f t="shared" si="443"/>
        <v>0</v>
      </c>
      <c r="AH101" s="615">
        <f t="shared" si="444"/>
        <v>0</v>
      </c>
      <c r="AI101" s="615">
        <f t="shared" si="445"/>
        <v>0</v>
      </c>
      <c r="AJ101" s="615">
        <f t="shared" si="446"/>
        <v>0</v>
      </c>
      <c r="AK101" s="339"/>
      <c r="AL101" s="625">
        <f t="shared" si="447"/>
        <v>1</v>
      </c>
      <c r="AM101" s="625">
        <f t="shared" si="448"/>
        <v>0</v>
      </c>
      <c r="AN101" s="625">
        <f t="shared" si="449"/>
        <v>0</v>
      </c>
      <c r="AO101" s="341"/>
      <c r="AP101" s="615">
        <f>COUNTIF('AR | Drawing List'!$H:$H,"AR-TXS-3")</f>
        <v>2</v>
      </c>
      <c r="AQ101" s="616">
        <f>COUNTIFS('AR | Drawing List'!$H:$H,"AR-TXS-3",'AR | Drawing List'!$J:$J,1)</f>
        <v>2</v>
      </c>
      <c r="AR101" s="616">
        <f t="shared" si="238"/>
        <v>0</v>
      </c>
      <c r="AS101" s="616">
        <f>COUNTIFS('AR | Drawing List'!$H:$H,"AR-TXS-3",'AR | Drawing List'!M:M,1)</f>
        <v>0</v>
      </c>
      <c r="AT101" s="616">
        <f>COUNTIFS('AR | Drawing List'!$H:$H,"AR-TXS-3",'AR | Drawing List'!N:N,1)</f>
        <v>0</v>
      </c>
      <c r="AU101" s="616">
        <f>COUNTIFS('AR | Drawing List'!$H:$H,"AR-TXS-3",'AR | Drawing List'!O:O,1)</f>
        <v>0</v>
      </c>
      <c r="AV101" s="616">
        <f>COUNTIFS('AR | Drawing List'!$H:$H,"AR-TXS-3",'AR | Drawing List'!P:P,1)</f>
        <v>0</v>
      </c>
      <c r="AW101" s="328"/>
      <c r="AX101" s="616">
        <f t="shared" si="450"/>
        <v>0</v>
      </c>
      <c r="AY101" s="616">
        <f>COUNTIFS('AR | Drawing List'!$H:$H,"AR-TXS-3",'AR | Drawing List'!R:R,1)</f>
        <v>0</v>
      </c>
      <c r="AZ101" s="616">
        <f>COUNTIFS('AR | Drawing List'!$H:$H,"AR-TXS-3",'AR | Drawing List'!S:S,1)</f>
        <v>0</v>
      </c>
      <c r="BA101" s="616">
        <f>COUNTIFS('AR | Drawing List'!$H:$H,"AR-TXS-3",'AR | Drawing List'!T:T,1)</f>
        <v>0</v>
      </c>
      <c r="BB101" s="616">
        <f>COUNTIFS('AR | Drawing List'!$H:$H,"AR-TXS-3",'AR | Drawing List'!U:U,1)</f>
        <v>0</v>
      </c>
      <c r="BC101" s="359"/>
      <c r="BD101" s="359"/>
      <c r="BE101" s="666">
        <v>0</v>
      </c>
      <c r="BF101" s="343"/>
      <c r="BG101" s="616">
        <f t="shared" si="451"/>
        <v>0</v>
      </c>
      <c r="BH101" s="618">
        <f t="shared" si="235"/>
        <v>0</v>
      </c>
      <c r="BI101" s="615">
        <f t="shared" si="452"/>
        <v>0</v>
      </c>
      <c r="BJ101" s="615">
        <f t="shared" si="453"/>
        <v>0</v>
      </c>
      <c r="BK101" s="615">
        <f t="shared" si="454"/>
        <v>0</v>
      </c>
      <c r="BL101" s="615">
        <f t="shared" si="455"/>
        <v>0</v>
      </c>
      <c r="BM101" s="615">
        <f t="shared" si="456"/>
        <v>0</v>
      </c>
      <c r="BN101" s="615">
        <f t="shared" si="457"/>
        <v>0</v>
      </c>
      <c r="BO101" s="339"/>
      <c r="BP101" s="615">
        <f t="shared" si="458"/>
        <v>0</v>
      </c>
      <c r="BQ101" s="615">
        <f t="shared" si="459"/>
        <v>0</v>
      </c>
      <c r="BR101" s="615">
        <f t="shared" si="460"/>
        <v>0</v>
      </c>
      <c r="BS101" s="615">
        <f t="shared" si="461"/>
        <v>0</v>
      </c>
      <c r="BT101" s="615">
        <f t="shared" si="462"/>
        <v>0</v>
      </c>
      <c r="BU101" s="339"/>
      <c r="BV101" s="635">
        <f t="shared" si="463"/>
        <v>0</v>
      </c>
      <c r="BW101" s="635">
        <f t="shared" si="464"/>
        <v>0</v>
      </c>
      <c r="BX101" s="635">
        <f t="shared" si="465"/>
        <v>0</v>
      </c>
      <c r="BY101" s="347"/>
      <c r="BZ101" s="615">
        <f>COUNTIF('ST | Drawing List'!$H:$H,"ST-TXS-3")</f>
        <v>0</v>
      </c>
      <c r="CA101" s="616">
        <f>COUNTIFS('ST | Drawing List'!$H:$H,"ST-TXS-3",'ST | Drawing List'!$J:$J,1)</f>
        <v>0</v>
      </c>
      <c r="CB101" s="623">
        <f>COUNTIFS('ST | Drawing List'!$H:$H,"ST-TXS-3",'ST | Drawing List'!$L:$L,1)</f>
        <v>0</v>
      </c>
      <c r="CC101" s="616">
        <f>COUNTIFS('ST | Drawing List'!$H:$H,"ST-TXS-3",'ST | Drawing List'!M:M,1)</f>
        <v>0</v>
      </c>
      <c r="CD101" s="616">
        <f>COUNTIFS('ST | Drawing List'!$H:$H,"ST-TXS-3",'ST | Drawing List'!N:N,1)</f>
        <v>0</v>
      </c>
      <c r="CE101" s="616">
        <f>COUNTIFS('ST | Drawing List'!$H:$H,"ST-TXS-3",'ST | Drawing List'!O:O,1)</f>
        <v>0</v>
      </c>
      <c r="CF101" s="616">
        <f>COUNTIFS('ST | Drawing List'!$H:$H,"ST-TXS-3",'ST | Drawing List'!P:P,1)</f>
        <v>0</v>
      </c>
      <c r="CG101" s="532"/>
      <c r="CH101" s="623">
        <f>COUNTIFS('ST | Drawing List'!$H:$H,"ST-TXS-3",'ST | Drawing List'!$Q:$Q,1)</f>
        <v>0</v>
      </c>
      <c r="CI101" s="616">
        <f>COUNTIFS('ST | Drawing List'!$H:$H,"ST-TXS-3",'ST | Drawing List'!R:R,1)</f>
        <v>0</v>
      </c>
      <c r="CJ101" s="616">
        <f>COUNTIFS('ST | Drawing List'!$H:$H,"ST-TXS-3",'ST | Drawing List'!S:S,1)</f>
        <v>0</v>
      </c>
      <c r="CK101" s="616">
        <f>COUNTIFS('ST | Drawing List'!$H:$H,"ST-TXS-3",'ST | Drawing List'!T:T,1)</f>
        <v>0</v>
      </c>
      <c r="CL101" s="616">
        <f>COUNTIFS('ST | Drawing List'!$H:$H,"ST-TXS-3",'ST | Drawing List'!U:U,1)</f>
        <v>0</v>
      </c>
      <c r="CM101" s="343"/>
      <c r="CN101" s="343"/>
      <c r="CO101" s="666">
        <v>0</v>
      </c>
      <c r="CP101" s="343"/>
      <c r="CQ101" s="616">
        <f t="shared" si="466"/>
        <v>0</v>
      </c>
      <c r="CR101" s="618">
        <f t="shared" si="236"/>
        <v>0</v>
      </c>
      <c r="CS101" s="615">
        <f t="shared" si="467"/>
        <v>0</v>
      </c>
      <c r="CT101" s="615">
        <f t="shared" si="468"/>
        <v>0</v>
      </c>
      <c r="CU101" s="615">
        <f t="shared" si="469"/>
        <v>0</v>
      </c>
      <c r="CV101" s="615">
        <f t="shared" si="470"/>
        <v>0</v>
      </c>
      <c r="CW101" s="615">
        <f t="shared" si="471"/>
        <v>0</v>
      </c>
      <c r="CX101" s="615">
        <f t="shared" si="472"/>
        <v>0</v>
      </c>
      <c r="CY101" s="339"/>
      <c r="CZ101" s="615">
        <f t="shared" si="473"/>
        <v>0</v>
      </c>
      <c r="DA101" s="615">
        <f t="shared" si="474"/>
        <v>0</v>
      </c>
      <c r="DB101" s="615">
        <f t="shared" si="475"/>
        <v>0</v>
      </c>
      <c r="DC101" s="615">
        <f t="shared" si="476"/>
        <v>0</v>
      </c>
      <c r="DD101" s="615">
        <f t="shared" si="477"/>
        <v>0</v>
      </c>
      <c r="DE101" s="339"/>
      <c r="DF101" s="625">
        <f t="shared" si="478"/>
        <v>0</v>
      </c>
      <c r="DG101" s="625">
        <f t="shared" si="479"/>
        <v>0</v>
      </c>
      <c r="DH101" s="625">
        <f t="shared" si="480"/>
        <v>0</v>
      </c>
      <c r="DI101" s="347"/>
      <c r="DJ101" s="615">
        <f>COUNTIF('MEP | Drawing List'!$H:$H,"MEP-T2S-6S-3")</f>
        <v>0</v>
      </c>
      <c r="DK101" s="616">
        <f>COUNTIFS('MEP | Drawing List'!$H:$H,"MEP-T2S-6S-3",'MEP | Drawing List'!$J:$J,1)</f>
        <v>0</v>
      </c>
      <c r="DL101" s="616">
        <f>COUNTIFS('MEP | Drawing List'!$H:$H,"MEP-T2S-6S-3",'MEP | Drawing List'!$L:$L,1)</f>
        <v>0</v>
      </c>
      <c r="DM101" s="615">
        <f>COUNTIFS('MEP | Drawing List'!$H:$H,"MEP-T2S-6S-3",'MEP | Drawing List'!M:M,1)</f>
        <v>0</v>
      </c>
      <c r="DN101" s="615">
        <f>COUNTIFS('MEP | Drawing List'!$H:$H,"MEP-T2S-6S-3",'MEP | Drawing List'!N:N,1)</f>
        <v>0</v>
      </c>
      <c r="DO101" s="615">
        <f>COUNTIFS('MEP | Drawing List'!$H:$H,"MEP-T2S-6S-3",'MEP | Drawing List'!O:O,1)</f>
        <v>0</v>
      </c>
      <c r="DP101" s="615">
        <f>COUNTIFS('MEP | Drawing List'!$H:$H,"MEP-T2S-6S-3",'MEP | Drawing List'!P:P,1)</f>
        <v>0</v>
      </c>
      <c r="DQ101" s="339"/>
      <c r="DR101" s="616">
        <f>COUNTIFS('MEP | Drawing List'!$H:$H,"MEP-T2S-6S-3",'MEP | Drawing List'!$Q:$Q,1)</f>
        <v>0</v>
      </c>
      <c r="DS101" s="615">
        <f>COUNTIFS('MEP | Drawing List'!$H:$H,"MEP-T2S-6S-3",'MEP | Drawing List'!R:R,1)</f>
        <v>0</v>
      </c>
      <c r="DT101" s="615">
        <f>COUNTIFS('MEP | Drawing List'!$H:$H,"MEP-T2S-6S-3",'MEP | Drawing List'!S:S,1)</f>
        <v>0</v>
      </c>
      <c r="DU101" s="615">
        <f>COUNTIFS('MEP | Drawing List'!$H:$H,"MEP-T2S-6S-3",'MEP | Drawing List'!T:T,1)</f>
        <v>0</v>
      </c>
      <c r="DV101" s="615">
        <f>COUNTIFS('MEP | Drawing List'!$H:$H,"MEP-T2S-6S-3",'MEP | Drawing List'!U:U,1)</f>
        <v>0</v>
      </c>
      <c r="DW101" s="343"/>
      <c r="DX101" s="343"/>
      <c r="DY101" s="525">
        <v>0</v>
      </c>
      <c r="DZ101" s="343"/>
      <c r="EA101" s="616">
        <f t="shared" si="481"/>
        <v>0</v>
      </c>
      <c r="EB101" s="618">
        <f t="shared" si="237"/>
        <v>0</v>
      </c>
      <c r="EC101" s="615">
        <f t="shared" si="482"/>
        <v>0</v>
      </c>
      <c r="ED101" s="615">
        <f t="shared" si="483"/>
        <v>0</v>
      </c>
      <c r="EE101" s="615">
        <f t="shared" si="484"/>
        <v>0</v>
      </c>
      <c r="EF101" s="615">
        <f t="shared" si="485"/>
        <v>0</v>
      </c>
      <c r="EG101" s="615">
        <f t="shared" si="486"/>
        <v>0</v>
      </c>
      <c r="EH101" s="615">
        <f t="shared" si="487"/>
        <v>0</v>
      </c>
      <c r="EI101" s="339"/>
      <c r="EJ101" s="620">
        <f t="shared" si="488"/>
        <v>0</v>
      </c>
      <c r="EK101" s="615">
        <f t="shared" si="489"/>
        <v>0</v>
      </c>
      <c r="EL101" s="615">
        <f t="shared" si="490"/>
        <v>0</v>
      </c>
      <c r="EM101" s="615">
        <f t="shared" si="491"/>
        <v>0</v>
      </c>
      <c r="EN101" s="615">
        <f t="shared" si="492"/>
        <v>0</v>
      </c>
      <c r="EO101" s="339"/>
      <c r="EP101" s="627">
        <f t="shared" si="493"/>
        <v>0</v>
      </c>
      <c r="EQ101" s="627">
        <f t="shared" si="494"/>
        <v>0</v>
      </c>
      <c r="ER101" s="627">
        <f t="shared" si="495"/>
        <v>0</v>
      </c>
      <c r="ES101" s="83"/>
      <c r="ET101" s="615">
        <f>COUNTIF('LS | Drawing List'!$H:$H,"LS-TXS-3")</f>
        <v>0</v>
      </c>
      <c r="EU101" s="616">
        <f>COUNTIFS('LS | Drawing List'!$H:$H,"LS-TXS-3",'LS | Drawing List'!$J:$J,1)</f>
        <v>0</v>
      </c>
      <c r="EV101" s="616">
        <f>COUNTIFS('LS | Drawing List'!$H:$H,"LS-TXS-3",'LS | Drawing List'!$L:$L,1)</f>
        <v>0</v>
      </c>
      <c r="EW101" s="615">
        <f>COUNTIFS('LS | Drawing List'!$H:$H,"LS-TXS-3",'LS | Drawing List'!M:M,1)</f>
        <v>0</v>
      </c>
      <c r="EX101" s="615">
        <f>COUNTIFS('LS | Drawing List'!$H:$H,"LS-TXS-3",'LS | Drawing List'!N:N,1)</f>
        <v>0</v>
      </c>
      <c r="EY101" s="615">
        <f>COUNTIFS('LS | Drawing List'!$H:$H,"LS-TXS-3",'LS | Drawing List'!O:O,1)</f>
        <v>0</v>
      </c>
      <c r="EZ101" s="615">
        <f>COUNTIFS('LS | Drawing List'!$H:$H,"LS-TXS-3",'LS | Drawing List'!P:P,1)</f>
        <v>0</v>
      </c>
      <c r="FA101" s="81"/>
      <c r="FB101" s="616">
        <f>COUNTIFS('LS | Drawing List'!$H:$H,"LS-TXS-3",'LS | Drawing List'!$Q:$Q,1)</f>
        <v>0</v>
      </c>
      <c r="FC101" s="615">
        <f>COUNTIFS('LS | Drawing List'!$H:$H,"LS-TXS-3",'LS | Drawing List'!R:R,1)</f>
        <v>0</v>
      </c>
      <c r="FD101" s="615">
        <f>COUNTIFS('LS | Drawing List'!$H:$H,"LS-TXS-3",'LS | Drawing List'!S:S,1)</f>
        <v>0</v>
      </c>
      <c r="FE101" s="615">
        <f>COUNTIFS('LS | Drawing List'!$H:$H,"LS-TXS-3",'LS | Drawing List'!T:T,1)</f>
        <v>0</v>
      </c>
      <c r="FF101" s="615">
        <f>COUNTIFS('LS | Drawing List'!$H:$H,"LS-TXS-3",'LS | Drawing List'!U:U,1)</f>
        <v>0</v>
      </c>
      <c r="FG101" s="48"/>
    </row>
    <row r="102" spans="1:163" ht="14.25" hidden="1" outlineLevel="2">
      <c r="A102" s="48"/>
      <c r="B102" s="87" t="s">
        <v>110</v>
      </c>
      <c r="C102" s="276">
        <v>4</v>
      </c>
      <c r="D102" s="272" t="s">
        <v>88</v>
      </c>
      <c r="E102" s="48"/>
      <c r="F102" s="619">
        <f t="shared" si="432"/>
        <v>0.29571453000000003</v>
      </c>
      <c r="G102" s="619">
        <f t="shared" si="433"/>
        <v>0.29571453000000003</v>
      </c>
      <c r="H102" s="615">
        <f t="shared" si="434"/>
        <v>0</v>
      </c>
      <c r="I102" s="615">
        <f t="shared" si="407"/>
        <v>3.201119999999999E-2</v>
      </c>
      <c r="J102" s="615">
        <f t="shared" si="408"/>
        <v>3.201119999999999E-2</v>
      </c>
      <c r="K102" s="615">
        <f t="shared" si="409"/>
        <v>0</v>
      </c>
      <c r="L102" s="615">
        <f t="shared" si="410"/>
        <v>0</v>
      </c>
      <c r="M102" s="620">
        <f t="shared" si="411"/>
        <v>0</v>
      </c>
      <c r="N102" s="287"/>
      <c r="O102" s="615">
        <f t="shared" si="412"/>
        <v>3.201119999999999E-2</v>
      </c>
      <c r="P102" s="615">
        <f t="shared" si="413"/>
        <v>0</v>
      </c>
      <c r="Q102" s="615">
        <f t="shared" si="414"/>
        <v>3.201119999999999E-2</v>
      </c>
      <c r="R102" s="615">
        <f t="shared" si="415"/>
        <v>0</v>
      </c>
      <c r="S102" s="615">
        <f t="shared" si="416"/>
        <v>0</v>
      </c>
      <c r="T102" s="48"/>
      <c r="U102" s="519">
        <v>0.05</v>
      </c>
      <c r="V102" s="131"/>
      <c r="W102" s="619">
        <f t="shared" si="435"/>
        <v>0.18593280000000001</v>
      </c>
      <c r="X102" s="619">
        <f t="shared" si="234"/>
        <v>0.18593280000000001</v>
      </c>
      <c r="Y102" s="616">
        <f t="shared" si="436"/>
        <v>0.18593280000000001</v>
      </c>
      <c r="Z102" s="616">
        <f t="shared" si="437"/>
        <v>0</v>
      </c>
      <c r="AA102" s="616">
        <f t="shared" si="438"/>
        <v>0</v>
      </c>
      <c r="AB102" s="616">
        <f t="shared" si="439"/>
        <v>0</v>
      </c>
      <c r="AC102" s="616">
        <f t="shared" si="440"/>
        <v>0</v>
      </c>
      <c r="AD102" s="620">
        <f t="shared" si="441"/>
        <v>0</v>
      </c>
      <c r="AE102" s="287"/>
      <c r="AF102" s="615">
        <f t="shared" si="442"/>
        <v>0</v>
      </c>
      <c r="AG102" s="615">
        <f t="shared" si="443"/>
        <v>0</v>
      </c>
      <c r="AH102" s="615">
        <f t="shared" si="444"/>
        <v>0</v>
      </c>
      <c r="AI102" s="615">
        <f t="shared" si="445"/>
        <v>0</v>
      </c>
      <c r="AJ102" s="615">
        <f t="shared" si="446"/>
        <v>0</v>
      </c>
      <c r="AK102" s="339"/>
      <c r="AL102" s="626">
        <f t="shared" si="447"/>
        <v>1</v>
      </c>
      <c r="AM102" s="626">
        <f t="shared" si="448"/>
        <v>0</v>
      </c>
      <c r="AN102" s="625">
        <f t="shared" si="449"/>
        <v>0</v>
      </c>
      <c r="AO102" s="341"/>
      <c r="AP102" s="615">
        <f>COUNTIF('AR | Drawing List'!$H:$H,"AR-TXS-4")</f>
        <v>4</v>
      </c>
      <c r="AQ102" s="616">
        <f>COUNTIFS('AR | Drawing List'!$H:$H,"AR-TXS-4",'AR | Drawing List'!$J:$J,1)</f>
        <v>4</v>
      </c>
      <c r="AR102" s="616">
        <f t="shared" si="238"/>
        <v>0</v>
      </c>
      <c r="AS102" s="616">
        <f>COUNTIFS('AR | Drawing List'!$H:$H,"AR-TXS-4",'AR | Drawing List'!M:M,1)</f>
        <v>0</v>
      </c>
      <c r="AT102" s="616">
        <f>COUNTIFS('AR | Drawing List'!$H:$H,"AR-TXS-4",'AR | Drawing List'!N:N,1)</f>
        <v>0</v>
      </c>
      <c r="AU102" s="616">
        <f>COUNTIFS('AR | Drawing List'!$H:$H,"AR-TXS-4",'AR | Drawing List'!O:O,1)</f>
        <v>0</v>
      </c>
      <c r="AV102" s="616">
        <f>COUNTIFS('AR | Drawing List'!$H:$H,"AR-TXS-4",'AR | Drawing List'!P:P,1)</f>
        <v>0</v>
      </c>
      <c r="AW102" s="328"/>
      <c r="AX102" s="616">
        <f t="shared" si="450"/>
        <v>0</v>
      </c>
      <c r="AY102" s="616">
        <f>COUNTIFS('AR | Drawing List'!$H:$H,"AR-TXS-4",'AR | Drawing List'!R:R,1)</f>
        <v>0</v>
      </c>
      <c r="AZ102" s="616">
        <f>COUNTIFS('AR | Drawing List'!$H:$H,"AR-TXS-4",'AR | Drawing List'!S:S,1)</f>
        <v>0</v>
      </c>
      <c r="BA102" s="616">
        <f>COUNTIFS('AR | Drawing List'!$H:$H,"AR-TXS-4",'AR | Drawing List'!T:T,1)</f>
        <v>0</v>
      </c>
      <c r="BB102" s="616">
        <f>COUNTIFS('AR | Drawing List'!$H:$H,"AR-TXS-4",'AR | Drawing List'!U:U,1)</f>
        <v>0</v>
      </c>
      <c r="BC102" s="328"/>
      <c r="BD102" s="328"/>
      <c r="BE102" s="554">
        <v>0.05</v>
      </c>
      <c r="BF102" s="343"/>
      <c r="BG102" s="616">
        <f t="shared" si="451"/>
        <v>7.7770530000000004E-2</v>
      </c>
      <c r="BH102" s="618">
        <f t="shared" si="235"/>
        <v>7.7770530000000004E-2</v>
      </c>
      <c r="BI102" s="616">
        <f t="shared" si="452"/>
        <v>7.7770530000000004E-2</v>
      </c>
      <c r="BJ102" s="616">
        <f t="shared" si="453"/>
        <v>0</v>
      </c>
      <c r="BK102" s="616">
        <f t="shared" si="454"/>
        <v>0</v>
      </c>
      <c r="BL102" s="616">
        <f t="shared" si="455"/>
        <v>0</v>
      </c>
      <c r="BM102" s="616">
        <f t="shared" si="456"/>
        <v>0</v>
      </c>
      <c r="BN102" s="616">
        <f t="shared" si="457"/>
        <v>0</v>
      </c>
      <c r="BO102" s="348"/>
      <c r="BP102" s="615">
        <f t="shared" si="458"/>
        <v>0</v>
      </c>
      <c r="BQ102" s="615">
        <f t="shared" si="459"/>
        <v>0</v>
      </c>
      <c r="BR102" s="615">
        <f t="shared" si="460"/>
        <v>0</v>
      </c>
      <c r="BS102" s="615">
        <f t="shared" si="461"/>
        <v>0</v>
      </c>
      <c r="BT102" s="615">
        <f t="shared" si="462"/>
        <v>0</v>
      </c>
      <c r="BU102" s="339"/>
      <c r="BV102" s="635">
        <f t="shared" si="463"/>
        <v>1</v>
      </c>
      <c r="BW102" s="635">
        <f t="shared" si="464"/>
        <v>0</v>
      </c>
      <c r="BX102" s="635">
        <f t="shared" si="465"/>
        <v>0</v>
      </c>
      <c r="BY102" s="345"/>
      <c r="BZ102" s="615">
        <f>COUNTIF('ST | Drawing List'!$H:$H,"ST-TXS-4")</f>
        <v>8</v>
      </c>
      <c r="CA102" s="616">
        <f>COUNTIFS('ST | Drawing List'!$H:$H,"ST-TXS-4",'ST | Drawing List'!$J:$J,1)</f>
        <v>8</v>
      </c>
      <c r="CB102" s="616">
        <f>COUNTIFS('ST | Drawing List'!$H:$H,"ST-TXS-4",'ST | Drawing List'!$L:$L,1)</f>
        <v>0</v>
      </c>
      <c r="CC102" s="616">
        <f>COUNTIFS('ST | Drawing List'!$H:$H,"ST-TXS-4",'ST | Drawing List'!M:M,1)</f>
        <v>0</v>
      </c>
      <c r="CD102" s="616">
        <f>COUNTIFS('ST | Drawing List'!$H:$H,"ST-TXS-4",'ST | Drawing List'!N:N,1)</f>
        <v>0</v>
      </c>
      <c r="CE102" s="616">
        <f>COUNTIFS('ST | Drawing List'!$H:$H,"ST-TXS-4",'ST | Drawing List'!O:O,1)</f>
        <v>0</v>
      </c>
      <c r="CF102" s="616">
        <f>COUNTIFS('ST | Drawing List'!$H:$H,"ST-TXS-4",'ST | Drawing List'!P:P,1)</f>
        <v>0</v>
      </c>
      <c r="CG102" s="532"/>
      <c r="CH102" s="616">
        <f>COUNTIFS('ST | Drawing List'!$H:$H,"ST-TXS-4",'ST | Drawing List'!$Q:$Q,1)</f>
        <v>0</v>
      </c>
      <c r="CI102" s="616">
        <f>COUNTIFS('ST | Drawing List'!$H:$H,"ST-TXS-4",'ST | Drawing List'!R:R,1)</f>
        <v>0</v>
      </c>
      <c r="CJ102" s="616">
        <f>COUNTIFS('ST | Drawing List'!$H:$H,"ST-TXS-4",'ST | Drawing List'!S:S,1)</f>
        <v>0</v>
      </c>
      <c r="CK102" s="616">
        <f>COUNTIFS('ST | Drawing List'!$H:$H,"ST-TXS-4",'ST | Drawing List'!T:T,1)</f>
        <v>0</v>
      </c>
      <c r="CL102" s="616">
        <f>COUNTIFS('ST | Drawing List'!$H:$H,"ST-TXS-4",'ST | Drawing List'!U:U,1)</f>
        <v>0</v>
      </c>
      <c r="CM102" s="343"/>
      <c r="CN102" s="343"/>
      <c r="CO102" s="523">
        <v>0.15</v>
      </c>
      <c r="CP102" s="343"/>
      <c r="CQ102" s="616">
        <f t="shared" si="466"/>
        <v>3.201119999999999E-2</v>
      </c>
      <c r="CR102" s="618">
        <f t="shared" si="236"/>
        <v>3.201119999999999E-2</v>
      </c>
      <c r="CS102" s="616">
        <f t="shared" si="467"/>
        <v>0</v>
      </c>
      <c r="CT102" s="615">
        <f t="shared" si="468"/>
        <v>3.201119999999999E-2</v>
      </c>
      <c r="CU102" s="615">
        <f t="shared" si="469"/>
        <v>3.201119999999999E-2</v>
      </c>
      <c r="CV102" s="615">
        <f t="shared" si="470"/>
        <v>0</v>
      </c>
      <c r="CW102" s="615">
        <f t="shared" si="471"/>
        <v>0</v>
      </c>
      <c r="CX102" s="615">
        <f t="shared" si="472"/>
        <v>0</v>
      </c>
      <c r="CY102" s="339"/>
      <c r="CZ102" s="615">
        <f t="shared" si="473"/>
        <v>3.201119999999999E-2</v>
      </c>
      <c r="DA102" s="615">
        <f t="shared" si="474"/>
        <v>0</v>
      </c>
      <c r="DB102" s="615">
        <f t="shared" si="475"/>
        <v>3.201119999999999E-2</v>
      </c>
      <c r="DC102" s="615">
        <f t="shared" si="476"/>
        <v>0</v>
      </c>
      <c r="DD102" s="615">
        <f t="shared" si="477"/>
        <v>0</v>
      </c>
      <c r="DE102" s="339"/>
      <c r="DF102" s="625">
        <f t="shared" si="478"/>
        <v>0.93333333333333335</v>
      </c>
      <c r="DG102" s="625">
        <f t="shared" si="479"/>
        <v>6.6666666666666666E-2</v>
      </c>
      <c r="DH102" s="625">
        <f t="shared" si="480"/>
        <v>6.6666666666666666E-2</v>
      </c>
      <c r="DI102" s="345"/>
      <c r="DJ102" s="615">
        <f>COUNTIF('MEP | Drawing List'!$H:$H,"MEP-T2S-6S-4")</f>
        <v>15</v>
      </c>
      <c r="DK102" s="616">
        <f>COUNTIFS('MEP | Drawing List'!$H:$H,"MEP-T2S-6S-4",'MEP | Drawing List'!$J:$J,1)</f>
        <v>14</v>
      </c>
      <c r="DL102" s="616">
        <f>COUNTIFS('MEP | Drawing List'!$H:$H,"MEP-T2S-6S-4",'MEP | Drawing List'!$L:$L,1)</f>
        <v>1</v>
      </c>
      <c r="DM102" s="616">
        <f>COUNTIFS('MEP | Drawing List'!$H:$H,"MEP-T2S-6S-4",'MEP | Drawing List'!M:M,1)</f>
        <v>1</v>
      </c>
      <c r="DN102" s="616">
        <f>COUNTIFS('MEP | Drawing List'!$H:$H,"MEP-T2S-6S-4",'MEP | Drawing List'!N:N,1)</f>
        <v>0</v>
      </c>
      <c r="DO102" s="616">
        <f>COUNTIFS('MEP | Drawing List'!$H:$H,"MEP-T2S-6S-4",'MEP | Drawing List'!O:O,1)</f>
        <v>0</v>
      </c>
      <c r="DP102" s="616">
        <f>COUNTIFS('MEP | Drawing List'!$H:$H,"MEP-T2S-6S-4",'MEP | Drawing List'!P:P,1)</f>
        <v>0</v>
      </c>
      <c r="DQ102" s="348"/>
      <c r="DR102" s="616">
        <f>COUNTIFS('MEP | Drawing List'!$H:$H,"MEP-T2S-6S-4",'MEP | Drawing List'!$Q:$Q,1)</f>
        <v>1</v>
      </c>
      <c r="DS102" s="616">
        <f>COUNTIFS('MEP | Drawing List'!$H:$H,"MEP-T2S-6S-4",'MEP | Drawing List'!R:R,1)</f>
        <v>0</v>
      </c>
      <c r="DT102" s="616">
        <f>COUNTIFS('MEP | Drawing List'!$H:$H,"MEP-T2S-6S-4",'MEP | Drawing List'!S:S,1)</f>
        <v>1</v>
      </c>
      <c r="DU102" s="616">
        <f>COUNTIFS('MEP | Drawing List'!$H:$H,"MEP-T2S-6S-4",'MEP | Drawing List'!T:T,1)</f>
        <v>0</v>
      </c>
      <c r="DV102" s="616">
        <f>COUNTIFS('MEP | Drawing List'!$H:$H,"MEP-T2S-6S-4",'MEP | Drawing List'!U:U,1)</f>
        <v>0</v>
      </c>
      <c r="DW102" s="343"/>
      <c r="DX102" s="343"/>
      <c r="DY102" s="525">
        <v>0</v>
      </c>
      <c r="DZ102" s="343"/>
      <c r="EA102" s="616">
        <f t="shared" si="481"/>
        <v>0</v>
      </c>
      <c r="EB102" s="618">
        <f t="shared" si="237"/>
        <v>0</v>
      </c>
      <c r="EC102" s="616">
        <f t="shared" si="482"/>
        <v>0</v>
      </c>
      <c r="ED102" s="616">
        <f t="shared" si="483"/>
        <v>0</v>
      </c>
      <c r="EE102" s="615">
        <f t="shared" si="484"/>
        <v>0</v>
      </c>
      <c r="EF102" s="615">
        <f t="shared" si="485"/>
        <v>0</v>
      </c>
      <c r="EG102" s="615">
        <f t="shared" si="486"/>
        <v>0</v>
      </c>
      <c r="EH102" s="615">
        <f t="shared" si="487"/>
        <v>0</v>
      </c>
      <c r="EI102" s="339"/>
      <c r="EJ102" s="620">
        <f t="shared" si="488"/>
        <v>0</v>
      </c>
      <c r="EK102" s="615">
        <f t="shared" si="489"/>
        <v>0</v>
      </c>
      <c r="EL102" s="615">
        <f t="shared" si="490"/>
        <v>0</v>
      </c>
      <c r="EM102" s="615">
        <f t="shared" si="491"/>
        <v>0</v>
      </c>
      <c r="EN102" s="615">
        <f t="shared" si="492"/>
        <v>0</v>
      </c>
      <c r="EO102" s="339"/>
      <c r="EP102" s="627">
        <f t="shared" si="493"/>
        <v>0</v>
      </c>
      <c r="EQ102" s="627">
        <f t="shared" si="494"/>
        <v>0</v>
      </c>
      <c r="ER102" s="627">
        <f t="shared" si="495"/>
        <v>0</v>
      </c>
      <c r="ES102" s="55"/>
      <c r="ET102" s="615">
        <f>COUNTIF('LS | Drawing List'!$H:$H,"LS-TXS-4")</f>
        <v>0</v>
      </c>
      <c r="EU102" s="616">
        <f>COUNTIFS('LS | Drawing List'!$H:$H,"LS-TXS-4",'LS | Drawing List'!$J:$J,1)</f>
        <v>0</v>
      </c>
      <c r="EV102" s="616">
        <f>COUNTIFS('LS | Drawing List'!$H:$H,"LS-TXS-4",'LS | Drawing List'!$L:$L,1)</f>
        <v>0</v>
      </c>
      <c r="EW102" s="616">
        <f>COUNTIFS('LS | Drawing List'!$H:$H,"LS-TXS-4",'LS | Drawing List'!M:M,1)</f>
        <v>0</v>
      </c>
      <c r="EX102" s="616">
        <f>COUNTIFS('LS | Drawing List'!$H:$H,"LS-TXS-4",'LS | Drawing List'!N:N,1)</f>
        <v>0</v>
      </c>
      <c r="EY102" s="616">
        <f>COUNTIFS('LS | Drawing List'!$H:$H,"LS-TXS-4",'LS | Drawing List'!O:O,1)</f>
        <v>0</v>
      </c>
      <c r="EZ102" s="616">
        <f>COUNTIFS('LS | Drawing List'!$H:$H,"LS-TXS-4",'LS | Drawing List'!P:P,1)</f>
        <v>0</v>
      </c>
      <c r="FA102" s="85"/>
      <c r="FB102" s="616">
        <f>COUNTIFS('LS | Drawing List'!$H:$H,"LS-TXS-4",'LS | Drawing List'!$Q:$Q,1)</f>
        <v>0</v>
      </c>
      <c r="FC102" s="616">
        <f>COUNTIFS('LS | Drawing List'!$H:$H,"LS-TXS-4",'LS | Drawing List'!R:R,1)</f>
        <v>0</v>
      </c>
      <c r="FD102" s="616">
        <f>COUNTIFS('LS | Drawing List'!$H:$H,"LS-TXS-4",'LS | Drawing List'!S:S,1)</f>
        <v>0</v>
      </c>
      <c r="FE102" s="616">
        <f>COUNTIFS('LS | Drawing List'!$H:$H,"LS-TXS-4",'LS | Drawing List'!T:T,1)</f>
        <v>0</v>
      </c>
      <c r="FF102" s="616">
        <f>COUNTIFS('LS | Drawing List'!$H:$H,"LS-TXS-4",'LS | Drawing List'!U:U,1)</f>
        <v>0</v>
      </c>
      <c r="FG102" s="48"/>
    </row>
    <row r="103" spans="1:163" ht="14.25" hidden="1" outlineLevel="2">
      <c r="A103" s="48"/>
      <c r="B103" s="87" t="s">
        <v>111</v>
      </c>
      <c r="C103" s="276">
        <v>5</v>
      </c>
      <c r="D103" s="272" t="s">
        <v>250</v>
      </c>
      <c r="E103" s="48"/>
      <c r="F103" s="619">
        <f t="shared" si="432"/>
        <v>0.34147386000000002</v>
      </c>
      <c r="G103" s="619">
        <f t="shared" si="433"/>
        <v>0.34147386000000002</v>
      </c>
      <c r="H103" s="615">
        <f t="shared" si="434"/>
        <v>0</v>
      </c>
      <c r="I103" s="615">
        <f t="shared" si="407"/>
        <v>0</v>
      </c>
      <c r="J103" s="615">
        <f t="shared" si="408"/>
        <v>0</v>
      </c>
      <c r="K103" s="615">
        <f t="shared" si="409"/>
        <v>0</v>
      </c>
      <c r="L103" s="615">
        <f t="shared" si="410"/>
        <v>0</v>
      </c>
      <c r="M103" s="620">
        <f t="shared" si="411"/>
        <v>0</v>
      </c>
      <c r="N103" s="287"/>
      <c r="O103" s="615">
        <f t="shared" si="412"/>
        <v>0</v>
      </c>
      <c r="P103" s="615">
        <f t="shared" si="413"/>
        <v>0</v>
      </c>
      <c r="Q103" s="615">
        <f t="shared" si="414"/>
        <v>0</v>
      </c>
      <c r="R103" s="615">
        <f t="shared" si="415"/>
        <v>0</v>
      </c>
      <c r="S103" s="615">
        <f t="shared" si="416"/>
        <v>0</v>
      </c>
      <c r="T103" s="48"/>
      <c r="U103" s="552">
        <v>0.05</v>
      </c>
      <c r="V103" s="131"/>
      <c r="W103" s="619">
        <f t="shared" si="435"/>
        <v>0.18593280000000001</v>
      </c>
      <c r="X103" s="619">
        <f t="shared" si="234"/>
        <v>0.18593280000000001</v>
      </c>
      <c r="Y103" s="616">
        <f t="shared" si="436"/>
        <v>0.18593280000000001</v>
      </c>
      <c r="Z103" s="616">
        <f t="shared" si="437"/>
        <v>0</v>
      </c>
      <c r="AA103" s="616">
        <f t="shared" si="438"/>
        <v>0</v>
      </c>
      <c r="AB103" s="616">
        <f t="shared" si="439"/>
        <v>0</v>
      </c>
      <c r="AC103" s="616">
        <f t="shared" si="440"/>
        <v>0</v>
      </c>
      <c r="AD103" s="620">
        <f t="shared" si="441"/>
        <v>0</v>
      </c>
      <c r="AE103" s="287"/>
      <c r="AF103" s="615">
        <f t="shared" si="442"/>
        <v>0</v>
      </c>
      <c r="AG103" s="615">
        <f t="shared" si="443"/>
        <v>0</v>
      </c>
      <c r="AH103" s="615">
        <f t="shared" si="444"/>
        <v>0</v>
      </c>
      <c r="AI103" s="615">
        <f t="shared" si="445"/>
        <v>0</v>
      </c>
      <c r="AJ103" s="615">
        <f t="shared" si="446"/>
        <v>0</v>
      </c>
      <c r="AK103" s="339"/>
      <c r="AL103" s="626">
        <f t="shared" si="447"/>
        <v>1</v>
      </c>
      <c r="AM103" s="626">
        <f t="shared" si="448"/>
        <v>0</v>
      </c>
      <c r="AN103" s="625">
        <f t="shared" si="449"/>
        <v>0</v>
      </c>
      <c r="AO103" s="341"/>
      <c r="AP103" s="615">
        <f>COUNTIF('AR | Drawing List'!$H:$H,"AR-TXS-5")</f>
        <v>5</v>
      </c>
      <c r="AQ103" s="616">
        <f>COUNTIFS('AR | Drawing List'!$H:$H,"AR-TXS-5",'AR | Drawing List'!$J:$J,1)</f>
        <v>5</v>
      </c>
      <c r="AR103" s="616">
        <f t="shared" si="238"/>
        <v>0</v>
      </c>
      <c r="AS103" s="616">
        <f>COUNTIFS('AR | Drawing List'!$H:$H,"AR-TXS-5",'AR | Drawing List'!M:M,1)</f>
        <v>0</v>
      </c>
      <c r="AT103" s="616">
        <f>COUNTIFS('AR | Drawing List'!$H:$H,"AR-TXS-5",'AR | Drawing List'!N:N,1)</f>
        <v>0</v>
      </c>
      <c r="AU103" s="616">
        <f>COUNTIFS('AR | Drawing List'!$H:$H,"AR-TXS-5",'AR | Drawing List'!O:O,1)</f>
        <v>0</v>
      </c>
      <c r="AV103" s="616">
        <f>COUNTIFS('AR | Drawing List'!$H:$H,"AR-TXS-5",'AR | Drawing List'!P:P,1)</f>
        <v>0</v>
      </c>
      <c r="AW103" s="328"/>
      <c r="AX103" s="616">
        <f t="shared" si="450"/>
        <v>0</v>
      </c>
      <c r="AY103" s="616">
        <f>COUNTIFS('AR | Drawing List'!$H:$H,"AR-TXS-5",'AR | Drawing List'!R:R,1)</f>
        <v>0</v>
      </c>
      <c r="AZ103" s="616">
        <f>COUNTIFS('AR | Drawing List'!$H:$H,"AR-TXS-5",'AR | Drawing List'!S:S,1)</f>
        <v>0</v>
      </c>
      <c r="BA103" s="616">
        <f>COUNTIFS('AR | Drawing List'!$H:$H,"AR-TXS-5",'AR | Drawing List'!T:T,1)</f>
        <v>0</v>
      </c>
      <c r="BB103" s="616">
        <f>COUNTIFS('AR | Drawing List'!$H:$H,"AR-TXS-5",'AR | Drawing List'!U:U,1)</f>
        <v>0</v>
      </c>
      <c r="BC103" s="328"/>
      <c r="BD103" s="328"/>
      <c r="BE103" s="525">
        <v>0.1</v>
      </c>
      <c r="BF103" s="343"/>
      <c r="BG103" s="616">
        <f t="shared" si="451"/>
        <v>0.15554106000000001</v>
      </c>
      <c r="BH103" s="618">
        <f t="shared" si="235"/>
        <v>0.15554106000000001</v>
      </c>
      <c r="BI103" s="616">
        <f t="shared" si="452"/>
        <v>0.15554106000000001</v>
      </c>
      <c r="BJ103" s="616">
        <f t="shared" si="453"/>
        <v>0</v>
      </c>
      <c r="BK103" s="616">
        <f t="shared" si="454"/>
        <v>0</v>
      </c>
      <c r="BL103" s="616">
        <f t="shared" si="455"/>
        <v>0</v>
      </c>
      <c r="BM103" s="616">
        <f t="shared" si="456"/>
        <v>0</v>
      </c>
      <c r="BN103" s="616">
        <f t="shared" si="457"/>
        <v>0</v>
      </c>
      <c r="BO103" s="348"/>
      <c r="BP103" s="615">
        <f t="shared" si="458"/>
        <v>0</v>
      </c>
      <c r="BQ103" s="615">
        <f t="shared" si="459"/>
        <v>0</v>
      </c>
      <c r="BR103" s="615">
        <f t="shared" si="460"/>
        <v>0</v>
      </c>
      <c r="BS103" s="615">
        <f t="shared" si="461"/>
        <v>0</v>
      </c>
      <c r="BT103" s="615">
        <f t="shared" si="462"/>
        <v>0</v>
      </c>
      <c r="BU103" s="339"/>
      <c r="BV103" s="635">
        <f t="shared" si="463"/>
        <v>1</v>
      </c>
      <c r="BW103" s="635">
        <f t="shared" si="464"/>
        <v>0</v>
      </c>
      <c r="BX103" s="635">
        <f t="shared" si="465"/>
        <v>0</v>
      </c>
      <c r="BY103" s="345"/>
      <c r="BZ103" s="615">
        <f>COUNTIF('ST | Drawing List'!$H:$H,"ST-TXS-5")</f>
        <v>17</v>
      </c>
      <c r="CA103" s="616">
        <f>COUNTIFS('ST | Drawing List'!$H:$H,"ST-TXS-5",'ST | Drawing List'!$J:$J,1)</f>
        <v>17</v>
      </c>
      <c r="CB103" s="616">
        <f>COUNTIFS('ST | Drawing List'!$H:$H,"ST-TXS-5",'ST | Drawing List'!$L:$L,1)</f>
        <v>0</v>
      </c>
      <c r="CC103" s="616">
        <f>COUNTIFS('ST | Drawing List'!$H:$H,"ST-TXS-5",'ST | Drawing List'!M:M,1)</f>
        <v>0</v>
      </c>
      <c r="CD103" s="616">
        <f>COUNTIFS('ST | Drawing List'!$H:$H,"ST-TXS-5",'ST | Drawing List'!N:N,1)</f>
        <v>0</v>
      </c>
      <c r="CE103" s="616">
        <f>COUNTIFS('ST | Drawing List'!$H:$H,"ST-TXS-5",'ST | Drawing List'!O:O,1)</f>
        <v>0</v>
      </c>
      <c r="CF103" s="616">
        <f>COUNTIFS('ST | Drawing List'!$H:$H,"ST-TXS-5",'ST | Drawing List'!P:P,1)</f>
        <v>0</v>
      </c>
      <c r="CG103" s="532"/>
      <c r="CH103" s="616">
        <f>COUNTIFS('ST | Drawing List'!$H:$H,"ST-TXS-5",'ST | Drawing List'!$Q:$Q,1)</f>
        <v>0</v>
      </c>
      <c r="CI103" s="616">
        <f>COUNTIFS('ST | Drawing List'!$H:$H,"ST-TXS-5",'ST | Drawing List'!R:R,1)</f>
        <v>0</v>
      </c>
      <c r="CJ103" s="616">
        <f>COUNTIFS('ST | Drawing List'!$H:$H,"ST-TXS-5",'ST | Drawing List'!S:S,1)</f>
        <v>0</v>
      </c>
      <c r="CK103" s="616">
        <f>COUNTIFS('ST | Drawing List'!$H:$H,"ST-TXS-5",'ST | Drawing List'!T:T,1)</f>
        <v>0</v>
      </c>
      <c r="CL103" s="616">
        <f>COUNTIFS('ST | Drawing List'!$H:$H,"ST-TXS-5",'ST | Drawing List'!U:U,1)</f>
        <v>0</v>
      </c>
      <c r="CM103" s="343"/>
      <c r="CN103" s="343"/>
      <c r="CO103" s="666">
        <v>0</v>
      </c>
      <c r="CP103" s="343"/>
      <c r="CQ103" s="616">
        <f t="shared" si="466"/>
        <v>0</v>
      </c>
      <c r="CR103" s="618">
        <f t="shared" si="236"/>
        <v>0</v>
      </c>
      <c r="CS103" s="616">
        <f t="shared" si="467"/>
        <v>0</v>
      </c>
      <c r="CT103" s="615">
        <f t="shared" si="468"/>
        <v>0</v>
      </c>
      <c r="CU103" s="615">
        <f t="shared" si="469"/>
        <v>0</v>
      </c>
      <c r="CV103" s="615">
        <f t="shared" si="470"/>
        <v>0</v>
      </c>
      <c r="CW103" s="615">
        <f t="shared" si="471"/>
        <v>0</v>
      </c>
      <c r="CX103" s="615">
        <f t="shared" si="472"/>
        <v>0</v>
      </c>
      <c r="CY103" s="339"/>
      <c r="CZ103" s="615">
        <f t="shared" si="473"/>
        <v>0</v>
      </c>
      <c r="DA103" s="615">
        <f t="shared" si="474"/>
        <v>0</v>
      </c>
      <c r="DB103" s="615">
        <f t="shared" si="475"/>
        <v>0</v>
      </c>
      <c r="DC103" s="615">
        <f t="shared" si="476"/>
        <v>0</v>
      </c>
      <c r="DD103" s="615">
        <f t="shared" si="477"/>
        <v>0</v>
      </c>
      <c r="DE103" s="339"/>
      <c r="DF103" s="625">
        <f t="shared" si="478"/>
        <v>1</v>
      </c>
      <c r="DG103" s="625">
        <f t="shared" si="479"/>
        <v>0</v>
      </c>
      <c r="DH103" s="625">
        <f t="shared" si="480"/>
        <v>0</v>
      </c>
      <c r="DI103" s="345"/>
      <c r="DJ103" s="615">
        <f>COUNTIF('MEP | Drawing List'!$H:$H,"MEP-T2S-6S-5")</f>
        <v>41</v>
      </c>
      <c r="DK103" s="616">
        <f>COUNTIFS('MEP | Drawing List'!$H:$H,"MEP-T2S-6S-5",'MEP | Drawing List'!$J:$J,1)</f>
        <v>41</v>
      </c>
      <c r="DL103" s="616">
        <f>COUNTIFS('MEP | Drawing List'!$H:$H,"MEP-T2S-6S-5",'MEP | Drawing List'!$L:$L,1)</f>
        <v>0</v>
      </c>
      <c r="DM103" s="616">
        <f>COUNTIFS('MEP | Drawing List'!$H:$H,"MEP-T2S-6S-5",'MEP | Drawing List'!M:M,1)</f>
        <v>0</v>
      </c>
      <c r="DN103" s="616">
        <f>COUNTIFS('MEP | Drawing List'!$H:$H,"MEP-T2S-6S-5",'MEP | Drawing List'!N:N,1)</f>
        <v>0</v>
      </c>
      <c r="DO103" s="616">
        <f>COUNTIFS('MEP | Drawing List'!$H:$H,"MEP-T2S-6S-5",'MEP | Drawing List'!O:O,1)</f>
        <v>0</v>
      </c>
      <c r="DP103" s="616">
        <f>COUNTIFS('MEP | Drawing List'!$H:$H,"MEP-T2S-6S-5",'MEP | Drawing List'!P:P,1)</f>
        <v>0</v>
      </c>
      <c r="DQ103" s="348"/>
      <c r="DR103" s="616">
        <f>COUNTIFS('MEP | Drawing List'!$H:$H,"MEP-T2S-6S-5",'MEP | Drawing List'!$Q:$Q,1)</f>
        <v>0</v>
      </c>
      <c r="DS103" s="616">
        <f>COUNTIFS('MEP | Drawing List'!$H:$H,"MEP-T2S-6S-5",'MEP | Drawing List'!R:R,1)</f>
        <v>0</v>
      </c>
      <c r="DT103" s="616">
        <f>COUNTIFS('MEP | Drawing List'!$H:$H,"MEP-T2S-6S-5",'MEP | Drawing List'!S:S,1)</f>
        <v>0</v>
      </c>
      <c r="DU103" s="616">
        <f>COUNTIFS('MEP | Drawing List'!$H:$H,"MEP-T2S-6S-5",'MEP | Drawing List'!T:T,1)</f>
        <v>0</v>
      </c>
      <c r="DV103" s="616">
        <f>COUNTIFS('MEP | Drawing List'!$H:$H,"MEP-T2S-6S-5",'MEP | Drawing List'!U:U,1)</f>
        <v>0</v>
      </c>
      <c r="DW103" s="343"/>
      <c r="DX103" s="343"/>
      <c r="DY103" s="554">
        <v>0</v>
      </c>
      <c r="DZ103" s="343"/>
      <c r="EA103" s="616">
        <f t="shared" si="481"/>
        <v>0</v>
      </c>
      <c r="EB103" s="618">
        <f t="shared" si="237"/>
        <v>0</v>
      </c>
      <c r="EC103" s="616">
        <f t="shared" si="482"/>
        <v>0</v>
      </c>
      <c r="ED103" s="616">
        <f t="shared" si="483"/>
        <v>0</v>
      </c>
      <c r="EE103" s="615">
        <f t="shared" si="484"/>
        <v>0</v>
      </c>
      <c r="EF103" s="615">
        <f t="shared" si="485"/>
        <v>0</v>
      </c>
      <c r="EG103" s="615">
        <f t="shared" si="486"/>
        <v>0</v>
      </c>
      <c r="EH103" s="615">
        <f t="shared" si="487"/>
        <v>0</v>
      </c>
      <c r="EI103" s="339"/>
      <c r="EJ103" s="620">
        <f t="shared" si="488"/>
        <v>0</v>
      </c>
      <c r="EK103" s="615">
        <f t="shared" si="489"/>
        <v>0</v>
      </c>
      <c r="EL103" s="615">
        <f t="shared" si="490"/>
        <v>0</v>
      </c>
      <c r="EM103" s="615">
        <f t="shared" si="491"/>
        <v>0</v>
      </c>
      <c r="EN103" s="615">
        <f t="shared" si="492"/>
        <v>0</v>
      </c>
      <c r="EO103" s="339"/>
      <c r="EP103" s="627">
        <f t="shared" si="493"/>
        <v>0</v>
      </c>
      <c r="EQ103" s="627">
        <f t="shared" si="494"/>
        <v>0</v>
      </c>
      <c r="ER103" s="627">
        <f t="shared" si="495"/>
        <v>0</v>
      </c>
      <c r="ES103" s="55"/>
      <c r="ET103" s="615">
        <f>COUNTIF('LS | Drawing List'!$H:$H,"LS-TXS-5")</f>
        <v>0</v>
      </c>
      <c r="EU103" s="616">
        <f>COUNTIFS('LS | Drawing List'!$H:$H,"LS-TXS-5",'LS | Drawing List'!$J:$J,1)</f>
        <v>0</v>
      </c>
      <c r="EV103" s="616">
        <f>COUNTIFS('LS | Drawing List'!$H:$H,"LS-TXS-5",'LS | Drawing List'!$L:$L,1)</f>
        <v>0</v>
      </c>
      <c r="EW103" s="616">
        <f>COUNTIFS('LS | Drawing List'!$H:$H,"LS-TXS-5",'LS | Drawing List'!M:M,1)</f>
        <v>0</v>
      </c>
      <c r="EX103" s="616">
        <f>COUNTIFS('LS | Drawing List'!$H:$H,"LS-TXS-5",'LS | Drawing List'!N:N,1)</f>
        <v>0</v>
      </c>
      <c r="EY103" s="616">
        <f>COUNTIFS('LS | Drawing List'!$H:$H,"LS-TXS-5",'LS | Drawing List'!O:O,1)</f>
        <v>0</v>
      </c>
      <c r="EZ103" s="616">
        <f>COUNTIFS('LS | Drawing List'!$H:$H,"LS-TXS-5",'LS | Drawing List'!P:P,1)</f>
        <v>0</v>
      </c>
      <c r="FA103" s="85"/>
      <c r="FB103" s="616">
        <f>COUNTIFS('LS | Drawing List'!$H:$H,"LS-TXS-5",'LS | Drawing List'!$Q:$Q,1)</f>
        <v>0</v>
      </c>
      <c r="FC103" s="616">
        <f>COUNTIFS('LS | Drawing List'!$H:$H,"LS-TXS-5",'LS | Drawing List'!R:R,1)</f>
        <v>0</v>
      </c>
      <c r="FD103" s="616">
        <f>COUNTIFS('LS | Drawing List'!$H:$H,"LS-TXS-5",'LS | Drawing List'!S:S,1)</f>
        <v>0</v>
      </c>
      <c r="FE103" s="616">
        <f>COUNTIFS('LS | Drawing List'!$H:$H,"LS-TXS-5",'LS | Drawing List'!T:T,1)</f>
        <v>0</v>
      </c>
      <c r="FF103" s="616">
        <f>COUNTIFS('LS | Drawing List'!$H:$H,"LS-TXS-5",'LS | Drawing List'!U:U,1)</f>
        <v>0</v>
      </c>
      <c r="FG103" s="48"/>
    </row>
    <row r="104" spans="1:163" ht="14.25" hidden="1" outlineLevel="2">
      <c r="A104" s="48"/>
      <c r="B104" s="87" t="s">
        <v>112</v>
      </c>
      <c r="C104" s="276">
        <v>6</v>
      </c>
      <c r="D104" s="272" t="s">
        <v>64</v>
      </c>
      <c r="E104" s="48"/>
      <c r="F104" s="619">
        <f t="shared" si="432"/>
        <v>0.42216540000000002</v>
      </c>
      <c r="G104" s="619">
        <f t="shared" si="433"/>
        <v>0.42216540000000002</v>
      </c>
      <c r="H104" s="615">
        <f t="shared" si="434"/>
        <v>0</v>
      </c>
      <c r="I104" s="615">
        <f t="shared" si="407"/>
        <v>0</v>
      </c>
      <c r="J104" s="615">
        <f t="shared" si="408"/>
        <v>0</v>
      </c>
      <c r="K104" s="615">
        <f t="shared" si="409"/>
        <v>0</v>
      </c>
      <c r="L104" s="615">
        <f t="shared" si="410"/>
        <v>0</v>
      </c>
      <c r="M104" s="620">
        <f t="shared" si="411"/>
        <v>0</v>
      </c>
      <c r="N104" s="287"/>
      <c r="O104" s="615">
        <f t="shared" si="412"/>
        <v>0</v>
      </c>
      <c r="P104" s="615">
        <f t="shared" si="413"/>
        <v>0</v>
      </c>
      <c r="Q104" s="615">
        <f t="shared" si="414"/>
        <v>0</v>
      </c>
      <c r="R104" s="615">
        <f t="shared" si="415"/>
        <v>0</v>
      </c>
      <c r="S104" s="615">
        <f t="shared" si="416"/>
        <v>0</v>
      </c>
      <c r="T104" s="48"/>
      <c r="U104" s="519">
        <v>0.1</v>
      </c>
      <c r="V104" s="131"/>
      <c r="W104" s="619">
        <f t="shared" si="435"/>
        <v>0.37186560000000002</v>
      </c>
      <c r="X104" s="619">
        <f t="shared" si="234"/>
        <v>0.37186560000000002</v>
      </c>
      <c r="Y104" s="616">
        <f t="shared" si="436"/>
        <v>0.37186560000000002</v>
      </c>
      <c r="Z104" s="616">
        <f t="shared" si="437"/>
        <v>0</v>
      </c>
      <c r="AA104" s="616">
        <f t="shared" si="438"/>
        <v>0</v>
      </c>
      <c r="AB104" s="616">
        <f t="shared" si="439"/>
        <v>0</v>
      </c>
      <c r="AC104" s="616">
        <f t="shared" si="440"/>
        <v>0</v>
      </c>
      <c r="AD104" s="620">
        <f t="shared" si="441"/>
        <v>0</v>
      </c>
      <c r="AE104" s="287"/>
      <c r="AF104" s="615">
        <f t="shared" si="442"/>
        <v>0</v>
      </c>
      <c r="AG104" s="615">
        <f t="shared" si="443"/>
        <v>0</v>
      </c>
      <c r="AH104" s="615">
        <f t="shared" si="444"/>
        <v>0</v>
      </c>
      <c r="AI104" s="615">
        <f t="shared" si="445"/>
        <v>0</v>
      </c>
      <c r="AJ104" s="615">
        <f t="shared" si="446"/>
        <v>0</v>
      </c>
      <c r="AK104" s="339"/>
      <c r="AL104" s="626">
        <f t="shared" si="447"/>
        <v>1</v>
      </c>
      <c r="AM104" s="626">
        <f t="shared" si="448"/>
        <v>0</v>
      </c>
      <c r="AN104" s="625">
        <f t="shared" si="449"/>
        <v>0</v>
      </c>
      <c r="AO104" s="341"/>
      <c r="AP104" s="615">
        <f>COUNTIF('AR | Drawing List'!$H:$H,"AR-TXS-6")</f>
        <v>7</v>
      </c>
      <c r="AQ104" s="616">
        <f>COUNTIFS('AR | Drawing List'!$H:$H,"AR-TXS-6",'AR | Drawing List'!$J:$J,1)</f>
        <v>7</v>
      </c>
      <c r="AR104" s="616">
        <f t="shared" si="238"/>
        <v>0</v>
      </c>
      <c r="AS104" s="616">
        <f>COUNTIFS('AR | Drawing List'!$H:$H,"AR-TXS-6",'AR | Drawing List'!M:M,1)</f>
        <v>0</v>
      </c>
      <c r="AT104" s="616">
        <f>COUNTIFS('AR | Drawing List'!$H:$H,"AR-TXS-6",'AR | Drawing List'!N:N,1)</f>
        <v>0</v>
      </c>
      <c r="AU104" s="616">
        <f>COUNTIFS('AR | Drawing List'!$H:$H,"AR-TXS-6",'AR | Drawing List'!O:O,1)</f>
        <v>0</v>
      </c>
      <c r="AV104" s="616">
        <f>COUNTIFS('AR | Drawing List'!$H:$H,"AR-TXS-6",'AR | Drawing List'!P:P,1)</f>
        <v>0</v>
      </c>
      <c r="AW104" s="328"/>
      <c r="AX104" s="616">
        <f t="shared" si="450"/>
        <v>0</v>
      </c>
      <c r="AY104" s="616">
        <f>COUNTIFS('AR | Drawing List'!$H:$H,"AR-TXS-6",'AR | Drawing List'!R:R,1)</f>
        <v>0</v>
      </c>
      <c r="AZ104" s="616">
        <f>COUNTIFS('AR | Drawing List'!$H:$H,"AR-TXS-6",'AR | Drawing List'!S:S,1)</f>
        <v>0</v>
      </c>
      <c r="BA104" s="616">
        <f>COUNTIFS('AR | Drawing List'!$H:$H,"AR-TXS-6",'AR | Drawing List'!T:T,1)</f>
        <v>0</v>
      </c>
      <c r="BB104" s="616">
        <f>COUNTIFS('AR | Drawing List'!$H:$H,"AR-TXS-6",'AR | Drawing List'!U:U,1)</f>
        <v>0</v>
      </c>
      <c r="BC104" s="328"/>
      <c r="BD104" s="328"/>
      <c r="BE104" s="666">
        <v>0</v>
      </c>
      <c r="BF104" s="343"/>
      <c r="BG104" s="616">
        <f t="shared" si="451"/>
        <v>0</v>
      </c>
      <c r="BH104" s="618">
        <f t="shared" si="235"/>
        <v>0</v>
      </c>
      <c r="BI104" s="616">
        <f t="shared" si="452"/>
        <v>0</v>
      </c>
      <c r="BJ104" s="616">
        <f t="shared" si="453"/>
        <v>0</v>
      </c>
      <c r="BK104" s="616">
        <f t="shared" si="454"/>
        <v>0</v>
      </c>
      <c r="BL104" s="616">
        <f t="shared" si="455"/>
        <v>0</v>
      </c>
      <c r="BM104" s="616">
        <f t="shared" si="456"/>
        <v>0</v>
      </c>
      <c r="BN104" s="616">
        <f t="shared" si="457"/>
        <v>0</v>
      </c>
      <c r="BO104" s="348"/>
      <c r="BP104" s="615">
        <f t="shared" si="458"/>
        <v>0</v>
      </c>
      <c r="BQ104" s="615">
        <f t="shared" si="459"/>
        <v>0</v>
      </c>
      <c r="BR104" s="615">
        <f t="shared" si="460"/>
        <v>0</v>
      </c>
      <c r="BS104" s="615">
        <f t="shared" si="461"/>
        <v>0</v>
      </c>
      <c r="BT104" s="615">
        <f t="shared" si="462"/>
        <v>0</v>
      </c>
      <c r="BU104" s="339"/>
      <c r="BV104" s="635">
        <f t="shared" si="463"/>
        <v>0</v>
      </c>
      <c r="BW104" s="635">
        <f t="shared" si="464"/>
        <v>0</v>
      </c>
      <c r="BX104" s="635">
        <f t="shared" si="465"/>
        <v>0</v>
      </c>
      <c r="BY104" s="345"/>
      <c r="BZ104" s="615">
        <f>COUNTIF('ST | Drawing List'!$H:$H,"ST-TXS-6")</f>
        <v>0</v>
      </c>
      <c r="CA104" s="616">
        <f>COUNTIFS('ST | Drawing List'!$H:$H,"ST-TXS-6",'ST | Drawing List'!$J:$J,1)</f>
        <v>0</v>
      </c>
      <c r="CB104" s="616">
        <f>COUNTIFS('ST | Drawing List'!$H:$H,"ST-TXS-6",'ST | Drawing List'!$L:$L,1)</f>
        <v>0</v>
      </c>
      <c r="CC104" s="616">
        <f>COUNTIFS('ST | Drawing List'!$H:$H,"ST-TXS-6",'ST | Drawing List'!M:M,1)</f>
        <v>0</v>
      </c>
      <c r="CD104" s="616">
        <f>COUNTIFS('ST | Drawing List'!$H:$H,"ST-TXS-6",'ST | Drawing List'!N:N,1)</f>
        <v>0</v>
      </c>
      <c r="CE104" s="616">
        <f>COUNTIFS('ST | Drawing List'!$H:$H,"ST-TXS-6",'ST | Drawing List'!O:O,1)</f>
        <v>0</v>
      </c>
      <c r="CF104" s="616">
        <f>COUNTIFS('ST | Drawing List'!$H:$H,"ST-TXS-6",'ST | Drawing List'!P:P,1)</f>
        <v>0</v>
      </c>
      <c r="CG104" s="532"/>
      <c r="CH104" s="616">
        <f>COUNTIFS('ST | Drawing List'!$H:$H,"ST-TXS-6",'ST | Drawing List'!$Q:$Q,1)</f>
        <v>0</v>
      </c>
      <c r="CI104" s="616">
        <f>COUNTIFS('ST | Drawing List'!$H:$H,"ST-TXS-6",'ST | Drawing List'!R:R,1)</f>
        <v>0</v>
      </c>
      <c r="CJ104" s="616">
        <f>COUNTIFS('ST | Drawing List'!$H:$H,"ST-TXS-6",'ST | Drawing List'!S:S,1)</f>
        <v>0</v>
      </c>
      <c r="CK104" s="616">
        <f>COUNTIFS('ST | Drawing List'!$H:$H,"ST-TXS-6",'ST | Drawing List'!T:T,1)</f>
        <v>0</v>
      </c>
      <c r="CL104" s="616">
        <f>COUNTIFS('ST | Drawing List'!$H:$H,"ST-TXS-6",'ST | Drawing List'!U:U,1)</f>
        <v>0</v>
      </c>
      <c r="CM104" s="343"/>
      <c r="CN104" s="343"/>
      <c r="CO104" s="523">
        <v>0.1</v>
      </c>
      <c r="CP104" s="343"/>
      <c r="CQ104" s="616">
        <f t="shared" si="466"/>
        <v>2.1340799999999997E-2</v>
      </c>
      <c r="CR104" s="618">
        <f t="shared" si="236"/>
        <v>2.1340799999999997E-2</v>
      </c>
      <c r="CS104" s="616">
        <f t="shared" si="467"/>
        <v>2.1340799999999997E-2</v>
      </c>
      <c r="CT104" s="615">
        <f t="shared" si="468"/>
        <v>0</v>
      </c>
      <c r="CU104" s="615">
        <f t="shared" si="469"/>
        <v>0</v>
      </c>
      <c r="CV104" s="615">
        <f t="shared" si="470"/>
        <v>0</v>
      </c>
      <c r="CW104" s="615">
        <f t="shared" si="471"/>
        <v>0</v>
      </c>
      <c r="CX104" s="615">
        <f t="shared" si="472"/>
        <v>0</v>
      </c>
      <c r="CY104" s="339"/>
      <c r="CZ104" s="615">
        <f t="shared" si="473"/>
        <v>0</v>
      </c>
      <c r="DA104" s="615">
        <f t="shared" si="474"/>
        <v>0</v>
      </c>
      <c r="DB104" s="615">
        <f t="shared" si="475"/>
        <v>0</v>
      </c>
      <c r="DC104" s="615">
        <f t="shared" si="476"/>
        <v>0</v>
      </c>
      <c r="DD104" s="615">
        <f t="shared" si="477"/>
        <v>0</v>
      </c>
      <c r="DE104" s="339"/>
      <c r="DF104" s="625">
        <f t="shared" si="478"/>
        <v>1</v>
      </c>
      <c r="DG104" s="625">
        <f t="shared" si="479"/>
        <v>0</v>
      </c>
      <c r="DH104" s="625">
        <f t="shared" si="480"/>
        <v>0</v>
      </c>
      <c r="DI104" s="345"/>
      <c r="DJ104" s="615">
        <f>COUNTIF('MEP | Drawing List'!$H:$H,"MEP-T2S-6S-6")</f>
        <v>1</v>
      </c>
      <c r="DK104" s="616">
        <f>COUNTIFS('MEP | Drawing List'!$H:$H,"MEP-T2S-6S-6",'MEP | Drawing List'!$J:$J,1)</f>
        <v>1</v>
      </c>
      <c r="DL104" s="616">
        <f>COUNTIFS('MEP | Drawing List'!$H:$H,"MEP-T2S-6S-6",'MEP | Drawing List'!$L:$L,1)</f>
        <v>0</v>
      </c>
      <c r="DM104" s="616">
        <f>COUNTIFS('MEP | Drawing List'!$H:$H,"MEP-T2S-6S-6",'MEP | Drawing List'!M:M,1)</f>
        <v>0</v>
      </c>
      <c r="DN104" s="616">
        <f>COUNTIFS('MEP | Drawing List'!$H:$H,"MEP-T2S-6S-6",'MEP | Drawing List'!N:N,1)</f>
        <v>0</v>
      </c>
      <c r="DO104" s="616">
        <f>COUNTIFS('MEP | Drawing List'!$H:$H,"MEP-T2S-6S-6",'MEP | Drawing List'!O:O,1)</f>
        <v>0</v>
      </c>
      <c r="DP104" s="616">
        <f>COUNTIFS('MEP | Drawing List'!$H:$H,"MEP-T2S-6S-6",'MEP | Drawing List'!P:P,1)</f>
        <v>0</v>
      </c>
      <c r="DQ104" s="348"/>
      <c r="DR104" s="616">
        <f>COUNTIFS('MEP | Drawing List'!$H:$H,"MEP-T2S-6S-6",'MEP | Drawing List'!$Q:$Q,1)</f>
        <v>0</v>
      </c>
      <c r="DS104" s="616">
        <f>COUNTIFS('MEP | Drawing List'!$H:$H,"MEP-T2S-6S-6",'MEP | Drawing List'!R:R,1)</f>
        <v>0</v>
      </c>
      <c r="DT104" s="616">
        <f>COUNTIFS('MEP | Drawing List'!$H:$H,"MEP-T2S-6S-6",'MEP | Drawing List'!S:S,1)</f>
        <v>0</v>
      </c>
      <c r="DU104" s="616">
        <f>COUNTIFS('MEP | Drawing List'!$H:$H,"MEP-T2S-6S-6",'MEP | Drawing List'!T:T,1)</f>
        <v>0</v>
      </c>
      <c r="DV104" s="616">
        <f>COUNTIFS('MEP | Drawing List'!$H:$H,"MEP-T2S-6S-6",'MEP | Drawing List'!U:U,1)</f>
        <v>0</v>
      </c>
      <c r="DW104" s="343"/>
      <c r="DX104" s="343"/>
      <c r="DY104" s="523">
        <v>0.35</v>
      </c>
      <c r="DZ104" s="343"/>
      <c r="EA104" s="616">
        <f t="shared" si="481"/>
        <v>2.8959000000000002E-2</v>
      </c>
      <c r="EB104" s="618">
        <f t="shared" si="237"/>
        <v>2.8959000000000002E-2</v>
      </c>
      <c r="EC104" s="616">
        <f t="shared" si="482"/>
        <v>2.8959000000000002E-2</v>
      </c>
      <c r="ED104" s="616">
        <f t="shared" si="483"/>
        <v>0</v>
      </c>
      <c r="EE104" s="616">
        <f t="shared" si="484"/>
        <v>0</v>
      </c>
      <c r="EF104" s="616">
        <f t="shared" si="485"/>
        <v>0</v>
      </c>
      <c r="EG104" s="616">
        <f t="shared" si="486"/>
        <v>0</v>
      </c>
      <c r="EH104" s="616">
        <f t="shared" si="487"/>
        <v>0</v>
      </c>
      <c r="EI104" s="348"/>
      <c r="EJ104" s="620">
        <f t="shared" si="488"/>
        <v>0</v>
      </c>
      <c r="EK104" s="615">
        <f t="shared" si="489"/>
        <v>0</v>
      </c>
      <c r="EL104" s="615">
        <f t="shared" si="490"/>
        <v>0</v>
      </c>
      <c r="EM104" s="615">
        <f t="shared" si="491"/>
        <v>0</v>
      </c>
      <c r="EN104" s="615">
        <f t="shared" si="492"/>
        <v>0</v>
      </c>
      <c r="EO104" s="339"/>
      <c r="EP104" s="627">
        <f t="shared" si="493"/>
        <v>1</v>
      </c>
      <c r="EQ104" s="627">
        <f t="shared" si="494"/>
        <v>0</v>
      </c>
      <c r="ER104" s="627">
        <f t="shared" si="495"/>
        <v>0</v>
      </c>
      <c r="ES104" s="55"/>
      <c r="ET104" s="615">
        <f>COUNTIF('LS | Drawing List'!$H:$H,"LS-TXS-6")</f>
        <v>9</v>
      </c>
      <c r="EU104" s="616">
        <f>COUNTIFS('LS | Drawing List'!$H:$H,"LS-TXS-6",'LS | Drawing List'!$J:$J,1)</f>
        <v>9</v>
      </c>
      <c r="EV104" s="616">
        <f>COUNTIFS('LS | Drawing List'!$H:$H,"LS-TXS-6",'LS | Drawing List'!$L:$L,1)</f>
        <v>0</v>
      </c>
      <c r="EW104" s="616">
        <f>COUNTIFS('LS | Drawing List'!$H:$H,"LS-TXS-6",'LS | Drawing List'!M:M,1)</f>
        <v>0</v>
      </c>
      <c r="EX104" s="616">
        <f>COUNTIFS('LS | Drawing List'!$H:$H,"LS-TXS-6",'LS | Drawing List'!N:N,1)</f>
        <v>0</v>
      </c>
      <c r="EY104" s="616">
        <f>COUNTIFS('LS | Drawing List'!$H:$H,"LS-TXS-6",'LS | Drawing List'!O:O,1)</f>
        <v>0</v>
      </c>
      <c r="EZ104" s="616">
        <f>COUNTIFS('LS | Drawing List'!$H:$H,"LS-TXS-6",'LS | Drawing List'!P:P,1)</f>
        <v>0</v>
      </c>
      <c r="FA104" s="85"/>
      <c r="FB104" s="616">
        <f>COUNTIFS('LS | Drawing List'!$H:$H,"LS-TXS-6",'LS | Drawing List'!$Q:$Q,1)</f>
        <v>0</v>
      </c>
      <c r="FC104" s="616">
        <f>COUNTIFS('LS | Drawing List'!$H:$H,"LS-TXS-6",'LS | Drawing List'!R:R,1)</f>
        <v>0</v>
      </c>
      <c r="FD104" s="616">
        <f>COUNTIFS('LS | Drawing List'!$H:$H,"LS-TXS-6",'LS | Drawing List'!S:S,1)</f>
        <v>0</v>
      </c>
      <c r="FE104" s="616">
        <f>COUNTIFS('LS | Drawing List'!$H:$H,"LS-TXS-6",'LS | Drawing List'!T:T,1)</f>
        <v>0</v>
      </c>
      <c r="FF104" s="616">
        <f>COUNTIFS('LS | Drawing List'!$H:$H,"LS-TXS-6",'LS | Drawing List'!U:U,1)</f>
        <v>0</v>
      </c>
      <c r="FG104" s="48"/>
    </row>
    <row r="105" spans="1:163" ht="14.25" hidden="1" outlineLevel="2">
      <c r="A105" s="48"/>
      <c r="B105" s="87" t="s">
        <v>113</v>
      </c>
      <c r="C105" s="276">
        <v>7</v>
      </c>
      <c r="D105" s="272" t="s">
        <v>67</v>
      </c>
      <c r="E105" s="48"/>
      <c r="F105" s="619">
        <f t="shared" si="432"/>
        <v>0.28051866000000003</v>
      </c>
      <c r="G105" s="619">
        <f t="shared" si="433"/>
        <v>0.28051866000000003</v>
      </c>
      <c r="H105" s="615">
        <f t="shared" si="434"/>
        <v>0</v>
      </c>
      <c r="I105" s="615">
        <f t="shared" si="407"/>
        <v>0</v>
      </c>
      <c r="J105" s="615">
        <f t="shared" si="408"/>
        <v>0</v>
      </c>
      <c r="K105" s="615">
        <f t="shared" si="409"/>
        <v>0</v>
      </c>
      <c r="L105" s="615">
        <f t="shared" si="410"/>
        <v>0</v>
      </c>
      <c r="M105" s="620">
        <f t="shared" si="411"/>
        <v>0</v>
      </c>
      <c r="N105" s="287"/>
      <c r="O105" s="615">
        <f t="shared" si="412"/>
        <v>0</v>
      </c>
      <c r="P105" s="615">
        <f t="shared" si="413"/>
        <v>0</v>
      </c>
      <c r="Q105" s="615">
        <f t="shared" si="414"/>
        <v>0</v>
      </c>
      <c r="R105" s="615">
        <f t="shared" si="415"/>
        <v>0</v>
      </c>
      <c r="S105" s="615">
        <f t="shared" si="416"/>
        <v>0</v>
      </c>
      <c r="T105" s="48"/>
      <c r="U105" s="519">
        <v>2.5000000000000001E-2</v>
      </c>
      <c r="V105" s="131"/>
      <c r="W105" s="619">
        <f t="shared" si="435"/>
        <v>9.2966400000000005E-2</v>
      </c>
      <c r="X105" s="619">
        <f t="shared" si="234"/>
        <v>9.2966400000000005E-2</v>
      </c>
      <c r="Y105" s="616">
        <f t="shared" si="436"/>
        <v>9.2966400000000005E-2</v>
      </c>
      <c r="Z105" s="616">
        <f t="shared" si="437"/>
        <v>0</v>
      </c>
      <c r="AA105" s="616">
        <f t="shared" si="438"/>
        <v>0</v>
      </c>
      <c r="AB105" s="616">
        <f t="shared" si="439"/>
        <v>0</v>
      </c>
      <c r="AC105" s="616">
        <f t="shared" si="440"/>
        <v>0</v>
      </c>
      <c r="AD105" s="620">
        <f t="shared" si="441"/>
        <v>0</v>
      </c>
      <c r="AE105" s="287"/>
      <c r="AF105" s="615">
        <f t="shared" si="442"/>
        <v>0</v>
      </c>
      <c r="AG105" s="615">
        <f t="shared" si="443"/>
        <v>0</v>
      </c>
      <c r="AH105" s="615">
        <f t="shared" si="444"/>
        <v>0</v>
      </c>
      <c r="AI105" s="615">
        <f t="shared" si="445"/>
        <v>0</v>
      </c>
      <c r="AJ105" s="615">
        <f t="shared" si="446"/>
        <v>0</v>
      </c>
      <c r="AK105" s="339"/>
      <c r="AL105" s="626">
        <f t="shared" si="447"/>
        <v>1</v>
      </c>
      <c r="AM105" s="626">
        <f t="shared" si="448"/>
        <v>0</v>
      </c>
      <c r="AN105" s="625">
        <f t="shared" si="449"/>
        <v>0</v>
      </c>
      <c r="AO105" s="341"/>
      <c r="AP105" s="615">
        <f>COUNTIF('AR | Drawing List'!$H:$H,"AR-TXS-7")</f>
        <v>1</v>
      </c>
      <c r="AQ105" s="616">
        <f>COUNTIFS('AR | Drawing List'!$H:$H,"AR-TXS-7",'AR | Drawing List'!$J:$J,1)</f>
        <v>1</v>
      </c>
      <c r="AR105" s="616">
        <f t="shared" si="238"/>
        <v>0</v>
      </c>
      <c r="AS105" s="616">
        <f>COUNTIFS('AR | Drawing List'!$H:$H,"AR-TXS-7",'AR | Drawing List'!M:M,1)</f>
        <v>0</v>
      </c>
      <c r="AT105" s="616">
        <f>COUNTIFS('AR | Drawing List'!$H:$H,"AR-TXS-7",'AR | Drawing List'!N:N,1)</f>
        <v>0</v>
      </c>
      <c r="AU105" s="616">
        <f>COUNTIFS('AR | Drawing List'!$H:$H,"AR-TXS-7",'AR | Drawing List'!O:O,1)</f>
        <v>0</v>
      </c>
      <c r="AV105" s="616">
        <f>COUNTIFS('AR | Drawing List'!$H:$H,"AR-TXS-7",'AR | Drawing List'!P:P,1)</f>
        <v>0</v>
      </c>
      <c r="AW105" s="328"/>
      <c r="AX105" s="616">
        <f t="shared" si="450"/>
        <v>0</v>
      </c>
      <c r="AY105" s="616">
        <f>COUNTIFS('AR | Drawing List'!$H:$H,"AR-TXS-7",'AR | Drawing List'!R:R,1)</f>
        <v>0</v>
      </c>
      <c r="AZ105" s="616">
        <f>COUNTIFS('AR | Drawing List'!$H:$H,"AR-TXS-7",'AR | Drawing List'!S:S,1)</f>
        <v>0</v>
      </c>
      <c r="BA105" s="616">
        <f>COUNTIFS('AR | Drawing List'!$H:$H,"AR-TXS-7",'AR | Drawing List'!T:T,1)</f>
        <v>0</v>
      </c>
      <c r="BB105" s="616">
        <f>COUNTIFS('AR | Drawing List'!$H:$H,"AR-TXS-7",'AR | Drawing List'!U:U,1)</f>
        <v>0</v>
      </c>
      <c r="BC105" s="328"/>
      <c r="BD105" s="328"/>
      <c r="BE105" s="555">
        <v>0.1</v>
      </c>
      <c r="BF105" s="343"/>
      <c r="BG105" s="616">
        <f t="shared" si="451"/>
        <v>0.15554106000000001</v>
      </c>
      <c r="BH105" s="618">
        <f t="shared" si="235"/>
        <v>0.15554106000000001</v>
      </c>
      <c r="BI105" s="616">
        <f t="shared" si="452"/>
        <v>0.15554106000000001</v>
      </c>
      <c r="BJ105" s="616">
        <f t="shared" si="453"/>
        <v>0</v>
      </c>
      <c r="BK105" s="616">
        <f t="shared" si="454"/>
        <v>0</v>
      </c>
      <c r="BL105" s="616">
        <f t="shared" si="455"/>
        <v>0</v>
      </c>
      <c r="BM105" s="616">
        <f t="shared" si="456"/>
        <v>0</v>
      </c>
      <c r="BN105" s="616">
        <f t="shared" si="457"/>
        <v>0</v>
      </c>
      <c r="BO105" s="348"/>
      <c r="BP105" s="615">
        <f t="shared" si="458"/>
        <v>0</v>
      </c>
      <c r="BQ105" s="615">
        <f t="shared" si="459"/>
        <v>0</v>
      </c>
      <c r="BR105" s="615">
        <f t="shared" si="460"/>
        <v>0</v>
      </c>
      <c r="BS105" s="615">
        <f t="shared" si="461"/>
        <v>0</v>
      </c>
      <c r="BT105" s="615">
        <f t="shared" si="462"/>
        <v>0</v>
      </c>
      <c r="BU105" s="339"/>
      <c r="BV105" s="635">
        <f t="shared" si="463"/>
        <v>1</v>
      </c>
      <c r="BW105" s="635">
        <f t="shared" si="464"/>
        <v>0</v>
      </c>
      <c r="BX105" s="635">
        <f t="shared" si="465"/>
        <v>0</v>
      </c>
      <c r="BY105" s="345"/>
      <c r="BZ105" s="615">
        <f>COUNTIF('ST | Drawing List'!$H:$H,"ST-TXS-7")</f>
        <v>4</v>
      </c>
      <c r="CA105" s="616">
        <f>COUNTIFS('ST | Drawing List'!$H:$H,"ST-TXS-7",'ST | Drawing List'!$J:$J,1)</f>
        <v>4</v>
      </c>
      <c r="CB105" s="616">
        <f>COUNTIFS('ST | Drawing List'!$H:$H,"ST-TXS-7",'ST | Drawing List'!$L:$L,1)</f>
        <v>0</v>
      </c>
      <c r="CC105" s="616">
        <f>COUNTIFS('ST | Drawing List'!$H:$H,"ST-TXS-7",'ST | Drawing List'!M:M,1)</f>
        <v>0</v>
      </c>
      <c r="CD105" s="616">
        <f>COUNTIFS('ST | Drawing List'!$H:$H,"ST-TXS-7",'ST | Drawing List'!N:N,1)</f>
        <v>0</v>
      </c>
      <c r="CE105" s="616">
        <f>COUNTIFS('ST | Drawing List'!$H:$H,"ST-TXS-7",'ST | Drawing List'!O:O,1)</f>
        <v>0</v>
      </c>
      <c r="CF105" s="616">
        <f>COUNTIFS('ST | Drawing List'!$H:$H,"ST-TXS-7",'ST | Drawing List'!P:P,1)</f>
        <v>0</v>
      </c>
      <c r="CG105" s="532"/>
      <c r="CH105" s="616">
        <f>COUNTIFS('ST | Drawing List'!$H:$H,"ST-TXS-7",'ST | Drawing List'!$Q:$Q,1)</f>
        <v>0</v>
      </c>
      <c r="CI105" s="616">
        <f>COUNTIFS('ST | Drawing List'!$H:$H,"ST-TXS-7",'ST | Drawing List'!R:R,1)</f>
        <v>0</v>
      </c>
      <c r="CJ105" s="616">
        <f>COUNTIFS('ST | Drawing List'!$H:$H,"ST-TXS-7",'ST | Drawing List'!S:S,1)</f>
        <v>0</v>
      </c>
      <c r="CK105" s="616">
        <f>COUNTIFS('ST | Drawing List'!$H:$H,"ST-TXS-7",'ST | Drawing List'!T:T,1)</f>
        <v>0</v>
      </c>
      <c r="CL105" s="616">
        <f>COUNTIFS('ST | Drawing List'!$H:$H,"ST-TXS-7",'ST | Drawing List'!U:U,1)</f>
        <v>0</v>
      </c>
      <c r="CM105" s="343"/>
      <c r="CN105" s="343"/>
      <c r="CO105" s="523">
        <v>0.15</v>
      </c>
      <c r="CP105" s="343"/>
      <c r="CQ105" s="616">
        <f t="shared" si="466"/>
        <v>3.201119999999999E-2</v>
      </c>
      <c r="CR105" s="618">
        <f t="shared" si="236"/>
        <v>3.201119999999999E-2</v>
      </c>
      <c r="CS105" s="616">
        <f t="shared" si="467"/>
        <v>3.201119999999999E-2</v>
      </c>
      <c r="CT105" s="615">
        <f t="shared" si="468"/>
        <v>0</v>
      </c>
      <c r="CU105" s="615">
        <f t="shared" si="469"/>
        <v>0</v>
      </c>
      <c r="CV105" s="615">
        <f t="shared" si="470"/>
        <v>0</v>
      </c>
      <c r="CW105" s="615">
        <f t="shared" si="471"/>
        <v>0</v>
      </c>
      <c r="CX105" s="615">
        <f t="shared" si="472"/>
        <v>0</v>
      </c>
      <c r="CY105" s="339"/>
      <c r="CZ105" s="615">
        <f t="shared" si="473"/>
        <v>0</v>
      </c>
      <c r="DA105" s="615">
        <f t="shared" si="474"/>
        <v>0</v>
      </c>
      <c r="DB105" s="615">
        <f t="shared" si="475"/>
        <v>0</v>
      </c>
      <c r="DC105" s="615">
        <f t="shared" si="476"/>
        <v>0</v>
      </c>
      <c r="DD105" s="615">
        <f t="shared" si="477"/>
        <v>0</v>
      </c>
      <c r="DE105" s="339"/>
      <c r="DF105" s="625">
        <f t="shared" si="478"/>
        <v>1</v>
      </c>
      <c r="DG105" s="625">
        <f t="shared" si="479"/>
        <v>0</v>
      </c>
      <c r="DH105" s="625">
        <f t="shared" si="480"/>
        <v>0</v>
      </c>
      <c r="DI105" s="345"/>
      <c r="DJ105" s="615">
        <f>COUNTIF('MEP | Drawing List'!$H:$H,"MEP-T2S-6S-7")</f>
        <v>5</v>
      </c>
      <c r="DK105" s="616">
        <f>COUNTIFS('MEP | Drawing List'!$H:$H,"MEP-T2S-6S-7",'MEP | Drawing List'!$J:$J,1)</f>
        <v>5</v>
      </c>
      <c r="DL105" s="616">
        <f>COUNTIFS('MEP | Drawing List'!$H:$H,"MEP-T2S-6S-7",'MEP | Drawing List'!$L:$L,1)</f>
        <v>0</v>
      </c>
      <c r="DM105" s="616">
        <f>COUNTIFS('MEP | Drawing List'!$H:$H,"MEP-T2S-6S-7",'MEP | Drawing List'!M:M,1)</f>
        <v>0</v>
      </c>
      <c r="DN105" s="616">
        <f>COUNTIFS('MEP | Drawing List'!$H:$H,"MEP-T2S-6S-7",'MEP | Drawing List'!N:N,1)</f>
        <v>0</v>
      </c>
      <c r="DO105" s="616">
        <f>COUNTIFS('MEP | Drawing List'!$H:$H,"MEP-T2S-6S-7",'MEP | Drawing List'!O:O,1)</f>
        <v>0</v>
      </c>
      <c r="DP105" s="616">
        <f>COUNTIFS('MEP | Drawing List'!$H:$H,"MEP-T2S-6S-7",'MEP | Drawing List'!P:P,1)</f>
        <v>0</v>
      </c>
      <c r="DQ105" s="348"/>
      <c r="DR105" s="616">
        <f>COUNTIFS('MEP | Drawing List'!$H:$H,"MEP-T2S-6S-7",'MEP | Drawing List'!$Q:$Q,1)</f>
        <v>0</v>
      </c>
      <c r="DS105" s="616">
        <f>COUNTIFS('MEP | Drawing List'!$H:$H,"MEP-T2S-6S-7",'MEP | Drawing List'!R:R,1)</f>
        <v>0</v>
      </c>
      <c r="DT105" s="616">
        <f>COUNTIFS('MEP | Drawing List'!$H:$H,"MEP-T2S-6S-7",'MEP | Drawing List'!S:S,1)</f>
        <v>0</v>
      </c>
      <c r="DU105" s="616">
        <f>COUNTIFS('MEP | Drawing List'!$H:$H,"MEP-T2S-6S-7",'MEP | Drawing List'!T:T,1)</f>
        <v>0</v>
      </c>
      <c r="DV105" s="616">
        <f>COUNTIFS('MEP | Drawing List'!$H:$H,"MEP-T2S-6S-7",'MEP | Drawing List'!U:U,1)</f>
        <v>0</v>
      </c>
      <c r="DW105" s="343"/>
      <c r="DX105" s="343"/>
      <c r="DY105" s="523">
        <v>0</v>
      </c>
      <c r="DZ105" s="343"/>
      <c r="EA105" s="616">
        <f t="shared" si="481"/>
        <v>0</v>
      </c>
      <c r="EB105" s="618">
        <f t="shared" si="237"/>
        <v>0</v>
      </c>
      <c r="EC105" s="616">
        <f t="shared" si="482"/>
        <v>0</v>
      </c>
      <c r="ED105" s="616">
        <f t="shared" si="483"/>
        <v>0</v>
      </c>
      <c r="EE105" s="616">
        <f t="shared" si="484"/>
        <v>0</v>
      </c>
      <c r="EF105" s="616">
        <f t="shared" si="485"/>
        <v>0</v>
      </c>
      <c r="EG105" s="616">
        <f t="shared" si="486"/>
        <v>0</v>
      </c>
      <c r="EH105" s="616">
        <f t="shared" si="487"/>
        <v>0</v>
      </c>
      <c r="EI105" s="348"/>
      <c r="EJ105" s="620">
        <f t="shared" si="488"/>
        <v>0</v>
      </c>
      <c r="EK105" s="615">
        <f t="shared" si="489"/>
        <v>0</v>
      </c>
      <c r="EL105" s="615">
        <f t="shared" si="490"/>
        <v>0</v>
      </c>
      <c r="EM105" s="615">
        <f t="shared" si="491"/>
        <v>0</v>
      </c>
      <c r="EN105" s="615">
        <f t="shared" si="492"/>
        <v>0</v>
      </c>
      <c r="EO105" s="339"/>
      <c r="EP105" s="627">
        <f t="shared" si="493"/>
        <v>0</v>
      </c>
      <c r="EQ105" s="627">
        <f t="shared" si="494"/>
        <v>0</v>
      </c>
      <c r="ER105" s="627">
        <f t="shared" si="495"/>
        <v>0</v>
      </c>
      <c r="ES105" s="55"/>
      <c r="ET105" s="615">
        <f>COUNTIF('LS | Drawing List'!$H:$H,"LS-TXS-7")</f>
        <v>0</v>
      </c>
      <c r="EU105" s="616">
        <f>COUNTIFS('LS | Drawing List'!$H:$H,"LS-TXS-7",'LS | Drawing List'!$J:$J,1)</f>
        <v>0</v>
      </c>
      <c r="EV105" s="616">
        <f>COUNTIFS('LS | Drawing List'!$H:$H,"LS-TXS-7",'LS | Drawing List'!$L:$L,1)</f>
        <v>0</v>
      </c>
      <c r="EW105" s="616">
        <f>COUNTIFS('LS | Drawing List'!$H:$H,"LS-TXS-7",'LS | Drawing List'!M:M,1)</f>
        <v>0</v>
      </c>
      <c r="EX105" s="616">
        <f>COUNTIFS('LS | Drawing List'!$H:$H,"LS-TXS-7",'LS | Drawing List'!N:N,1)</f>
        <v>0</v>
      </c>
      <c r="EY105" s="616">
        <f>COUNTIFS('LS | Drawing List'!$H:$H,"LS-TXS-7",'LS | Drawing List'!O:O,1)</f>
        <v>0</v>
      </c>
      <c r="EZ105" s="616">
        <f>COUNTIFS('LS | Drawing List'!$H:$H,"LS-TXS-7",'LS | Drawing List'!P:P,1)</f>
        <v>0</v>
      </c>
      <c r="FA105" s="85"/>
      <c r="FB105" s="616">
        <f>COUNTIFS('LS | Drawing List'!$H:$H,"LS-TXS-7",'LS | Drawing List'!$Q:$Q,1)</f>
        <v>0</v>
      </c>
      <c r="FC105" s="616">
        <f>COUNTIFS('LS | Drawing List'!$H:$H,"LS-TXS-7",'LS | Drawing List'!R:R,1)</f>
        <v>0</v>
      </c>
      <c r="FD105" s="616">
        <f>COUNTIFS('LS | Drawing List'!$H:$H,"LS-TXS-7",'LS | Drawing List'!S:S,1)</f>
        <v>0</v>
      </c>
      <c r="FE105" s="616">
        <f>COUNTIFS('LS | Drawing List'!$H:$H,"LS-TXS-7",'LS | Drawing List'!T:T,1)</f>
        <v>0</v>
      </c>
      <c r="FF105" s="616">
        <f>COUNTIFS('LS | Drawing List'!$H:$H,"LS-TXS-7",'LS | Drawing List'!U:U,1)</f>
        <v>0</v>
      </c>
      <c r="FG105" s="48"/>
    </row>
    <row r="106" spans="1:163" ht="14.25" hidden="1" outlineLevel="2">
      <c r="A106" s="48"/>
      <c r="B106" s="87" t="s">
        <v>114</v>
      </c>
      <c r="C106" s="276">
        <v>8</v>
      </c>
      <c r="D106" s="272" t="s">
        <v>69</v>
      </c>
      <c r="E106" s="48"/>
      <c r="F106" s="619">
        <f t="shared" si="432"/>
        <v>0.28051866000000003</v>
      </c>
      <c r="G106" s="619">
        <f t="shared" si="433"/>
        <v>0.28051866000000003</v>
      </c>
      <c r="H106" s="615">
        <f t="shared" si="434"/>
        <v>0</v>
      </c>
      <c r="I106" s="615">
        <f t="shared" si="407"/>
        <v>0</v>
      </c>
      <c r="J106" s="615">
        <f t="shared" si="408"/>
        <v>0</v>
      </c>
      <c r="K106" s="615">
        <f t="shared" si="409"/>
        <v>0</v>
      </c>
      <c r="L106" s="615">
        <f t="shared" si="410"/>
        <v>0</v>
      </c>
      <c r="M106" s="620">
        <f t="shared" si="411"/>
        <v>0</v>
      </c>
      <c r="N106" s="287"/>
      <c r="O106" s="615">
        <f t="shared" si="412"/>
        <v>0</v>
      </c>
      <c r="P106" s="615">
        <f t="shared" si="413"/>
        <v>0</v>
      </c>
      <c r="Q106" s="615">
        <f t="shared" si="414"/>
        <v>0</v>
      </c>
      <c r="R106" s="615">
        <f t="shared" si="415"/>
        <v>0</v>
      </c>
      <c r="S106" s="615">
        <f t="shared" si="416"/>
        <v>0</v>
      </c>
      <c r="T106" s="48"/>
      <c r="U106" s="519">
        <v>2.5000000000000001E-2</v>
      </c>
      <c r="V106" s="131"/>
      <c r="W106" s="619">
        <f t="shared" si="435"/>
        <v>9.2966400000000005E-2</v>
      </c>
      <c r="X106" s="619">
        <f t="shared" si="234"/>
        <v>9.2966400000000005E-2</v>
      </c>
      <c r="Y106" s="616">
        <f t="shared" si="436"/>
        <v>9.2966400000000005E-2</v>
      </c>
      <c r="Z106" s="616">
        <f t="shared" si="437"/>
        <v>0</v>
      </c>
      <c r="AA106" s="616">
        <f t="shared" si="438"/>
        <v>0</v>
      </c>
      <c r="AB106" s="616">
        <f t="shared" si="439"/>
        <v>0</v>
      </c>
      <c r="AC106" s="616">
        <f t="shared" si="440"/>
        <v>0</v>
      </c>
      <c r="AD106" s="620">
        <f t="shared" si="441"/>
        <v>0</v>
      </c>
      <c r="AE106" s="287"/>
      <c r="AF106" s="615">
        <f t="shared" si="442"/>
        <v>0</v>
      </c>
      <c r="AG106" s="615">
        <f t="shared" si="443"/>
        <v>0</v>
      </c>
      <c r="AH106" s="615">
        <f t="shared" si="444"/>
        <v>0</v>
      </c>
      <c r="AI106" s="615">
        <f t="shared" si="445"/>
        <v>0</v>
      </c>
      <c r="AJ106" s="615">
        <f t="shared" si="446"/>
        <v>0</v>
      </c>
      <c r="AK106" s="339"/>
      <c r="AL106" s="626">
        <f t="shared" si="447"/>
        <v>1</v>
      </c>
      <c r="AM106" s="626">
        <f t="shared" si="448"/>
        <v>0</v>
      </c>
      <c r="AN106" s="625">
        <f t="shared" si="449"/>
        <v>0</v>
      </c>
      <c r="AO106" s="341"/>
      <c r="AP106" s="615">
        <f>COUNTIF('AR | Drawing List'!$H:$H,"AR-TXS-8")</f>
        <v>1</v>
      </c>
      <c r="AQ106" s="616">
        <f>COUNTIFS('AR | Drawing List'!$H:$H,"AR-TXS-8",'AR | Drawing List'!$J:$J,1)</f>
        <v>1</v>
      </c>
      <c r="AR106" s="616">
        <f t="shared" si="238"/>
        <v>0</v>
      </c>
      <c r="AS106" s="616">
        <f>COUNTIFS('AR | Drawing List'!$H:$H,"AR-TXS-8",'AR | Drawing List'!M:M,1)</f>
        <v>0</v>
      </c>
      <c r="AT106" s="616">
        <f>COUNTIFS('AR | Drawing List'!$H:$H,"AR-TXS-8",'AR | Drawing List'!N:N,1)</f>
        <v>0</v>
      </c>
      <c r="AU106" s="616">
        <f>COUNTIFS('AR | Drawing List'!$H:$H,"AR-TXS-8",'AR | Drawing List'!O:O,1)</f>
        <v>0</v>
      </c>
      <c r="AV106" s="616">
        <f>COUNTIFS('AR | Drawing List'!$H:$H,"AR-TXS-8",'AR | Drawing List'!P:P,1)</f>
        <v>0</v>
      </c>
      <c r="AW106" s="328"/>
      <c r="AX106" s="616">
        <f t="shared" si="450"/>
        <v>0</v>
      </c>
      <c r="AY106" s="616">
        <f>COUNTIFS('AR | Drawing List'!$H:$H,"AR-TXS-8",'AR | Drawing List'!R:R,1)</f>
        <v>0</v>
      </c>
      <c r="AZ106" s="616">
        <f>COUNTIFS('AR | Drawing List'!$H:$H,"AR-TXS-8",'AR | Drawing List'!S:S,1)</f>
        <v>0</v>
      </c>
      <c r="BA106" s="616">
        <f>COUNTIFS('AR | Drawing List'!$H:$H,"AR-TXS-8",'AR | Drawing List'!T:T,1)</f>
        <v>0</v>
      </c>
      <c r="BB106" s="616">
        <f>COUNTIFS('AR | Drawing List'!$H:$H,"AR-TXS-8",'AR | Drawing List'!U:U,1)</f>
        <v>0</v>
      </c>
      <c r="BC106" s="359"/>
      <c r="BD106" s="359"/>
      <c r="BE106" s="555">
        <v>0.1</v>
      </c>
      <c r="BF106" s="343"/>
      <c r="BG106" s="616">
        <f t="shared" si="451"/>
        <v>0.15554106000000001</v>
      </c>
      <c r="BH106" s="618">
        <f t="shared" si="235"/>
        <v>0.15554106000000001</v>
      </c>
      <c r="BI106" s="616">
        <f t="shared" si="452"/>
        <v>0.15554106000000001</v>
      </c>
      <c r="BJ106" s="616">
        <f t="shared" si="453"/>
        <v>0</v>
      </c>
      <c r="BK106" s="616">
        <f t="shared" si="454"/>
        <v>0</v>
      </c>
      <c r="BL106" s="616">
        <f t="shared" si="455"/>
        <v>0</v>
      </c>
      <c r="BM106" s="616">
        <f t="shared" si="456"/>
        <v>0</v>
      </c>
      <c r="BN106" s="616">
        <f t="shared" si="457"/>
        <v>0</v>
      </c>
      <c r="BO106" s="348"/>
      <c r="BP106" s="615">
        <f t="shared" si="458"/>
        <v>0</v>
      </c>
      <c r="BQ106" s="615">
        <f t="shared" si="459"/>
        <v>0</v>
      </c>
      <c r="BR106" s="615">
        <f t="shared" si="460"/>
        <v>0</v>
      </c>
      <c r="BS106" s="615">
        <f t="shared" si="461"/>
        <v>0</v>
      </c>
      <c r="BT106" s="615">
        <f t="shared" si="462"/>
        <v>0</v>
      </c>
      <c r="BU106" s="339"/>
      <c r="BV106" s="635">
        <f t="shared" si="463"/>
        <v>1</v>
      </c>
      <c r="BW106" s="635">
        <f t="shared" si="464"/>
        <v>0</v>
      </c>
      <c r="BX106" s="635">
        <f t="shared" si="465"/>
        <v>0</v>
      </c>
      <c r="BY106" s="345"/>
      <c r="BZ106" s="615">
        <f>COUNTIF('ST | Drawing List'!$H:$H,"ST-TXS-8")</f>
        <v>6</v>
      </c>
      <c r="CA106" s="616">
        <f>COUNTIFS('ST | Drawing List'!$H:$H,"ST-TXS-8",'ST | Drawing List'!$J:$J,1)</f>
        <v>6</v>
      </c>
      <c r="CB106" s="616">
        <f>COUNTIFS('ST | Drawing List'!$H:$H,"ST-TXS-8",'ST | Drawing List'!$L:$L,1)</f>
        <v>0</v>
      </c>
      <c r="CC106" s="616">
        <f>COUNTIFS('ST | Drawing List'!$H:$H,"ST-TXS-8",'ST | Drawing List'!M:M,1)</f>
        <v>0</v>
      </c>
      <c r="CD106" s="616">
        <f>COUNTIFS('ST | Drawing List'!$H:$H,"ST-TXS-8",'ST | Drawing List'!N:N,1)</f>
        <v>0</v>
      </c>
      <c r="CE106" s="616">
        <f>COUNTIFS('ST | Drawing List'!$H:$H,"ST-TXS-8",'ST | Drawing List'!O:O,1)</f>
        <v>0</v>
      </c>
      <c r="CF106" s="616">
        <f>COUNTIFS('ST | Drawing List'!$H:$H,"ST-TXS-8",'ST | Drawing List'!P:P,1)</f>
        <v>0</v>
      </c>
      <c r="CG106" s="532"/>
      <c r="CH106" s="616">
        <f>COUNTIFS('ST | Drawing List'!$H:$H,"ST-TXS-8",'ST | Drawing List'!$Q:$Q,1)</f>
        <v>0</v>
      </c>
      <c r="CI106" s="616">
        <f>COUNTIFS('ST | Drawing List'!$H:$H,"ST-TXS-8",'ST | Drawing List'!R:R,1)</f>
        <v>0</v>
      </c>
      <c r="CJ106" s="616">
        <f>COUNTIFS('ST | Drawing List'!$H:$H,"ST-TXS-8",'ST | Drawing List'!S:S,1)</f>
        <v>0</v>
      </c>
      <c r="CK106" s="616">
        <f>COUNTIFS('ST | Drawing List'!$H:$H,"ST-TXS-8",'ST | Drawing List'!T:T,1)</f>
        <v>0</v>
      </c>
      <c r="CL106" s="616">
        <f>COUNTIFS('ST | Drawing List'!$H:$H,"ST-TXS-8",'ST | Drawing List'!U:U,1)</f>
        <v>0</v>
      </c>
      <c r="CM106" s="343"/>
      <c r="CN106" s="343"/>
      <c r="CO106" s="523">
        <v>0.15</v>
      </c>
      <c r="CP106" s="343"/>
      <c r="CQ106" s="616">
        <f t="shared" si="466"/>
        <v>3.201119999999999E-2</v>
      </c>
      <c r="CR106" s="618">
        <f t="shared" si="236"/>
        <v>3.201119999999999E-2</v>
      </c>
      <c r="CS106" s="616">
        <f t="shared" si="467"/>
        <v>3.201119999999999E-2</v>
      </c>
      <c r="CT106" s="615">
        <f t="shared" si="468"/>
        <v>0</v>
      </c>
      <c r="CU106" s="615">
        <f t="shared" si="469"/>
        <v>0</v>
      </c>
      <c r="CV106" s="615">
        <f t="shared" si="470"/>
        <v>0</v>
      </c>
      <c r="CW106" s="615">
        <f t="shared" si="471"/>
        <v>0</v>
      </c>
      <c r="CX106" s="615">
        <f t="shared" si="472"/>
        <v>0</v>
      </c>
      <c r="CY106" s="339"/>
      <c r="CZ106" s="615">
        <f t="shared" si="473"/>
        <v>0</v>
      </c>
      <c r="DA106" s="615">
        <f t="shared" si="474"/>
        <v>0</v>
      </c>
      <c r="DB106" s="615">
        <f t="shared" si="475"/>
        <v>0</v>
      </c>
      <c r="DC106" s="615">
        <f t="shared" si="476"/>
        <v>0</v>
      </c>
      <c r="DD106" s="615">
        <f t="shared" si="477"/>
        <v>0</v>
      </c>
      <c r="DE106" s="339"/>
      <c r="DF106" s="625">
        <f t="shared" si="478"/>
        <v>1</v>
      </c>
      <c r="DG106" s="625">
        <f t="shared" si="479"/>
        <v>0</v>
      </c>
      <c r="DH106" s="625">
        <f t="shared" si="480"/>
        <v>0</v>
      </c>
      <c r="DI106" s="345"/>
      <c r="DJ106" s="615">
        <f>COUNTIF('MEP | Drawing List'!$H:$H,"MEP-T2S-6S-8")</f>
        <v>3</v>
      </c>
      <c r="DK106" s="616">
        <f>COUNTIFS('MEP | Drawing List'!$H:$H,"MEP-T2S-6S-8",'MEP | Drawing List'!$J:$J,1)</f>
        <v>3</v>
      </c>
      <c r="DL106" s="616">
        <f>COUNTIFS('MEP | Drawing List'!$H:$H,"MEP-T2S-6S-8",'MEP | Drawing List'!$L:$L,1)</f>
        <v>0</v>
      </c>
      <c r="DM106" s="616">
        <f>COUNTIFS('MEP | Drawing List'!$H:$H,"MEP-T2S-6S-8",'MEP | Drawing List'!M:M,1)</f>
        <v>0</v>
      </c>
      <c r="DN106" s="616">
        <f>COUNTIFS('MEP | Drawing List'!$H:$H,"MEP-T2S-6S-8",'MEP | Drawing List'!N:N,1)</f>
        <v>0</v>
      </c>
      <c r="DO106" s="616">
        <f>COUNTIFS('MEP | Drawing List'!$H:$H,"MEP-T2S-6S-8",'MEP | Drawing List'!O:O,1)</f>
        <v>0</v>
      </c>
      <c r="DP106" s="616">
        <f>COUNTIFS('MEP | Drawing List'!$H:$H,"MEP-T2S-6S-8",'MEP | Drawing List'!P:P,1)</f>
        <v>0</v>
      </c>
      <c r="DQ106" s="348"/>
      <c r="DR106" s="616">
        <f>COUNTIFS('MEP | Drawing List'!$H:$H,"MEP-T2S-6S-8",'MEP | Drawing List'!$Q:$Q,1)</f>
        <v>0</v>
      </c>
      <c r="DS106" s="616">
        <f>COUNTIFS('MEP | Drawing List'!$H:$H,"MEP-T2S-6S-8",'MEP | Drawing List'!R:R,1)</f>
        <v>0</v>
      </c>
      <c r="DT106" s="616">
        <f>COUNTIFS('MEP | Drawing List'!$H:$H,"MEP-T2S-6S-8",'MEP | Drawing List'!S:S,1)</f>
        <v>0</v>
      </c>
      <c r="DU106" s="616">
        <f>COUNTIFS('MEP | Drawing List'!$H:$H,"MEP-T2S-6S-8",'MEP | Drawing List'!T:T,1)</f>
        <v>0</v>
      </c>
      <c r="DV106" s="616">
        <f>COUNTIFS('MEP | Drawing List'!$H:$H,"MEP-T2S-6S-8",'MEP | Drawing List'!U:U,1)</f>
        <v>0</v>
      </c>
      <c r="DW106" s="343"/>
      <c r="DX106" s="343"/>
      <c r="DY106" s="523">
        <v>0</v>
      </c>
      <c r="DZ106" s="343"/>
      <c r="EA106" s="616">
        <f t="shared" si="481"/>
        <v>0</v>
      </c>
      <c r="EB106" s="618">
        <f t="shared" si="237"/>
        <v>0</v>
      </c>
      <c r="EC106" s="616">
        <f t="shared" si="482"/>
        <v>0</v>
      </c>
      <c r="ED106" s="616">
        <f t="shared" si="483"/>
        <v>0</v>
      </c>
      <c r="EE106" s="616">
        <f t="shared" si="484"/>
        <v>0</v>
      </c>
      <c r="EF106" s="616">
        <f t="shared" si="485"/>
        <v>0</v>
      </c>
      <c r="EG106" s="616">
        <f t="shared" si="486"/>
        <v>0</v>
      </c>
      <c r="EH106" s="616">
        <f t="shared" si="487"/>
        <v>0</v>
      </c>
      <c r="EI106" s="348"/>
      <c r="EJ106" s="620">
        <f t="shared" si="488"/>
        <v>0</v>
      </c>
      <c r="EK106" s="615">
        <f t="shared" si="489"/>
        <v>0</v>
      </c>
      <c r="EL106" s="615">
        <f t="shared" si="490"/>
        <v>0</v>
      </c>
      <c r="EM106" s="615">
        <f t="shared" si="491"/>
        <v>0</v>
      </c>
      <c r="EN106" s="615">
        <f t="shared" si="492"/>
        <v>0</v>
      </c>
      <c r="EO106" s="339"/>
      <c r="EP106" s="627">
        <f t="shared" si="493"/>
        <v>0</v>
      </c>
      <c r="EQ106" s="627">
        <f t="shared" si="494"/>
        <v>0</v>
      </c>
      <c r="ER106" s="627">
        <f t="shared" si="495"/>
        <v>0</v>
      </c>
      <c r="ES106" s="55"/>
      <c r="ET106" s="615">
        <f>COUNTIF('LS | Drawing List'!$H:$H,"LS-TXS-8")</f>
        <v>0</v>
      </c>
      <c r="EU106" s="616">
        <f>COUNTIFS('LS | Drawing List'!$H:$H,"LS-TXS-8",'LS | Drawing List'!$J:$J,1)</f>
        <v>0</v>
      </c>
      <c r="EV106" s="616">
        <f>COUNTIFS('LS | Drawing List'!$H:$H,"LS-TXS-8",'LS | Drawing List'!$L:$L,1)</f>
        <v>0</v>
      </c>
      <c r="EW106" s="616">
        <f>COUNTIFS('LS | Drawing List'!$H:$H,"LS-TXS-8",'LS | Drawing List'!M:M,1)</f>
        <v>0</v>
      </c>
      <c r="EX106" s="616">
        <f>COUNTIFS('LS | Drawing List'!$H:$H,"LS-TXS-8",'LS | Drawing List'!N:N,1)</f>
        <v>0</v>
      </c>
      <c r="EY106" s="616">
        <f>COUNTIFS('LS | Drawing List'!$H:$H,"LS-TXS-8",'LS | Drawing List'!O:O,1)</f>
        <v>0</v>
      </c>
      <c r="EZ106" s="616">
        <f>COUNTIFS('LS | Drawing List'!$H:$H,"LS-TXS-8",'LS | Drawing List'!P:P,1)</f>
        <v>0</v>
      </c>
      <c r="FA106" s="85"/>
      <c r="FB106" s="616">
        <f>COUNTIFS('LS | Drawing List'!$H:$H,"LS-TXS-8",'LS | Drawing List'!$Q:$Q,1)</f>
        <v>0</v>
      </c>
      <c r="FC106" s="616">
        <f>COUNTIFS('LS | Drawing List'!$H:$H,"LS-TXS-8",'LS | Drawing List'!R:R,1)</f>
        <v>0</v>
      </c>
      <c r="FD106" s="616">
        <f>COUNTIFS('LS | Drawing List'!$H:$H,"LS-TXS-8",'LS | Drawing List'!S:S,1)</f>
        <v>0</v>
      </c>
      <c r="FE106" s="616">
        <f>COUNTIFS('LS | Drawing List'!$H:$H,"LS-TXS-8",'LS | Drawing List'!T:T,1)</f>
        <v>0</v>
      </c>
      <c r="FF106" s="616">
        <f>COUNTIFS('LS | Drawing List'!$H:$H,"LS-TXS-8",'LS | Drawing List'!U:U,1)</f>
        <v>0</v>
      </c>
      <c r="FG106" s="48"/>
    </row>
    <row r="107" spans="1:163" ht="14.25" hidden="1" outlineLevel="2">
      <c r="A107" s="48"/>
      <c r="B107" s="87" t="s">
        <v>115</v>
      </c>
      <c r="C107" s="276">
        <v>9</v>
      </c>
      <c r="D107" s="272" t="s">
        <v>71</v>
      </c>
      <c r="E107" s="48"/>
      <c r="F107" s="619">
        <f t="shared" si="432"/>
        <v>0.38841360000000003</v>
      </c>
      <c r="G107" s="619">
        <f t="shared" si="433"/>
        <v>0.38841360000000003</v>
      </c>
      <c r="H107" s="615">
        <f t="shared" si="434"/>
        <v>0</v>
      </c>
      <c r="I107" s="615">
        <f t="shared" si="407"/>
        <v>1.6548000000000004E-2</v>
      </c>
      <c r="J107" s="615">
        <f t="shared" si="408"/>
        <v>1.6548000000000004E-2</v>
      </c>
      <c r="K107" s="615">
        <f t="shared" si="409"/>
        <v>0</v>
      </c>
      <c r="L107" s="615">
        <f t="shared" si="410"/>
        <v>0</v>
      </c>
      <c r="M107" s="620">
        <f t="shared" si="411"/>
        <v>0</v>
      </c>
      <c r="N107" s="287"/>
      <c r="O107" s="615">
        <f t="shared" si="412"/>
        <v>1.6548000000000004E-2</v>
      </c>
      <c r="P107" s="615">
        <f t="shared" si="413"/>
        <v>0</v>
      </c>
      <c r="Q107" s="615">
        <f t="shared" si="414"/>
        <v>1.6548000000000004E-2</v>
      </c>
      <c r="R107" s="615">
        <f t="shared" si="415"/>
        <v>0</v>
      </c>
      <c r="S107" s="615">
        <f t="shared" si="416"/>
        <v>0</v>
      </c>
      <c r="T107" s="48"/>
      <c r="U107" s="519">
        <v>0.1</v>
      </c>
      <c r="V107" s="131"/>
      <c r="W107" s="619">
        <f t="shared" si="435"/>
        <v>0.37186560000000002</v>
      </c>
      <c r="X107" s="619">
        <f t="shared" si="234"/>
        <v>0.37186560000000002</v>
      </c>
      <c r="Y107" s="616">
        <f t="shared" si="436"/>
        <v>0.37186560000000002</v>
      </c>
      <c r="Z107" s="616">
        <f t="shared" si="437"/>
        <v>0</v>
      </c>
      <c r="AA107" s="616">
        <f t="shared" si="438"/>
        <v>0</v>
      </c>
      <c r="AB107" s="616">
        <f t="shared" si="439"/>
        <v>0</v>
      </c>
      <c r="AC107" s="616">
        <f t="shared" si="440"/>
        <v>0</v>
      </c>
      <c r="AD107" s="620">
        <f t="shared" si="441"/>
        <v>0</v>
      </c>
      <c r="AE107" s="287"/>
      <c r="AF107" s="615">
        <f t="shared" si="442"/>
        <v>0</v>
      </c>
      <c r="AG107" s="615">
        <f t="shared" si="443"/>
        <v>0</v>
      </c>
      <c r="AH107" s="615">
        <f t="shared" si="444"/>
        <v>0</v>
      </c>
      <c r="AI107" s="615">
        <f t="shared" si="445"/>
        <v>0</v>
      </c>
      <c r="AJ107" s="615">
        <f t="shared" si="446"/>
        <v>0</v>
      </c>
      <c r="AK107" s="339"/>
      <c r="AL107" s="626">
        <f t="shared" si="447"/>
        <v>1</v>
      </c>
      <c r="AM107" s="626">
        <f t="shared" si="448"/>
        <v>0</v>
      </c>
      <c r="AN107" s="625">
        <f t="shared" si="449"/>
        <v>0</v>
      </c>
      <c r="AO107" s="341"/>
      <c r="AP107" s="615">
        <f>COUNTIF('AR | Drawing List'!$H:$H,"AR-TXS-9")</f>
        <v>1</v>
      </c>
      <c r="AQ107" s="616">
        <f>COUNTIFS('AR | Drawing List'!$H:$H,"AR-TXS-9",'AR | Drawing List'!$J:$J,1)</f>
        <v>1</v>
      </c>
      <c r="AR107" s="616">
        <f>SUM(AS107:AV107)</f>
        <v>0</v>
      </c>
      <c r="AS107" s="616">
        <f>COUNTIFS('AR | Drawing List'!$H:$H,"AR-TXS-9",'AR | Drawing List'!M:M,1)</f>
        <v>0</v>
      </c>
      <c r="AT107" s="616">
        <f>COUNTIFS('AR | Drawing List'!$H:$H,"AR-TXS-9",'AR | Drawing List'!N:N,1)</f>
        <v>0</v>
      </c>
      <c r="AU107" s="616">
        <f>COUNTIFS('AR | Drawing List'!$H:$H,"AR-TXS-9",'AR | Drawing List'!O:O,1)</f>
        <v>0</v>
      </c>
      <c r="AV107" s="616">
        <f>COUNTIFS('AR | Drawing List'!$H:$H,"AR-TXS-9",'AR | Drawing List'!P:P,1)</f>
        <v>0</v>
      </c>
      <c r="AW107" s="328"/>
      <c r="AX107" s="616">
        <f>SUM(AY107:BB107)</f>
        <v>0</v>
      </c>
      <c r="AY107" s="616">
        <f>COUNTIFS('AR | Drawing List'!$H:$H,"AR-TXS-9",'AR | Drawing List'!R:R,1)</f>
        <v>0</v>
      </c>
      <c r="AZ107" s="616">
        <f>COUNTIFS('AR | Drawing List'!$H:$H,"AR-TXS-9",'AR | Drawing List'!S:S,1)</f>
        <v>0</v>
      </c>
      <c r="BA107" s="616">
        <f>COUNTIFS('AR | Drawing List'!$H:$H,"AR-TXS-9",'AR | Drawing List'!T:T,1)</f>
        <v>0</v>
      </c>
      <c r="BB107" s="616">
        <f>COUNTIFS('AR | Drawing List'!$H:$H,"AR-TXS-9",'AR | Drawing List'!U:U,1)</f>
        <v>0</v>
      </c>
      <c r="BC107" s="359"/>
      <c r="BD107" s="359"/>
      <c r="BE107" s="666">
        <v>0</v>
      </c>
      <c r="BF107" s="343"/>
      <c r="BG107" s="616">
        <f t="shared" si="451"/>
        <v>0</v>
      </c>
      <c r="BH107" s="618">
        <f t="shared" si="235"/>
        <v>0</v>
      </c>
      <c r="BI107" s="616">
        <f t="shared" si="452"/>
        <v>0</v>
      </c>
      <c r="BJ107" s="616">
        <f t="shared" si="453"/>
        <v>0</v>
      </c>
      <c r="BK107" s="616">
        <f t="shared" si="454"/>
        <v>0</v>
      </c>
      <c r="BL107" s="616">
        <f t="shared" si="455"/>
        <v>0</v>
      </c>
      <c r="BM107" s="616">
        <f t="shared" si="456"/>
        <v>0</v>
      </c>
      <c r="BN107" s="616">
        <f t="shared" si="457"/>
        <v>0</v>
      </c>
      <c r="BO107" s="348"/>
      <c r="BP107" s="615">
        <f t="shared" si="458"/>
        <v>0</v>
      </c>
      <c r="BQ107" s="615">
        <f t="shared" si="459"/>
        <v>0</v>
      </c>
      <c r="BR107" s="615">
        <f t="shared" si="460"/>
        <v>0</v>
      </c>
      <c r="BS107" s="615">
        <f t="shared" si="461"/>
        <v>0</v>
      </c>
      <c r="BT107" s="615">
        <f t="shared" si="462"/>
        <v>0</v>
      </c>
      <c r="BU107" s="339"/>
      <c r="BV107" s="635">
        <f t="shared" si="463"/>
        <v>0</v>
      </c>
      <c r="BW107" s="635">
        <f t="shared" si="464"/>
        <v>0</v>
      </c>
      <c r="BX107" s="635">
        <f t="shared" si="465"/>
        <v>0</v>
      </c>
      <c r="BY107" s="347"/>
      <c r="BZ107" s="615">
        <f>COUNTIF('ST | Drawing List'!$H:$H,"ST-TXS-9")</f>
        <v>0</v>
      </c>
      <c r="CA107" s="616">
        <f>COUNTIFS('ST | Drawing List'!$H:$H,"ST-TXS-9",'ST | Drawing List'!$J:$J,1)</f>
        <v>0</v>
      </c>
      <c r="CB107" s="616">
        <f>COUNTIFS('ST | Drawing List'!$H:$H,"ST-TXS-9",'ST | Drawing List'!$L:$L,1)</f>
        <v>0</v>
      </c>
      <c r="CC107" s="616">
        <f>COUNTIFS('ST | Drawing List'!$H:$H,"ST-TXS-9",'ST | Drawing List'!M:M,1)</f>
        <v>0</v>
      </c>
      <c r="CD107" s="616">
        <f>COUNTIFS('ST | Drawing List'!$H:$H,"ST-TXS-9",'ST | Drawing List'!N:N,1)</f>
        <v>0</v>
      </c>
      <c r="CE107" s="616">
        <f>COUNTIFS('ST | Drawing List'!$H:$H,"ST-TXS-9",'ST | Drawing List'!O:O,1)</f>
        <v>0</v>
      </c>
      <c r="CF107" s="616">
        <f>COUNTIFS('ST | Drawing List'!$H:$H,"ST-TXS-9",'ST | Drawing List'!P:P,1)</f>
        <v>0</v>
      </c>
      <c r="CG107" s="532"/>
      <c r="CH107" s="616">
        <f>COUNTIFS('ST | Drawing List'!$H:$H,"ST-TXS-9",'ST | Drawing List'!$Q:$Q,1)</f>
        <v>0</v>
      </c>
      <c r="CI107" s="616">
        <f>COUNTIFS('ST | Drawing List'!$H:$H,"ST-TXS-9",'ST | Drawing List'!R:R,1)</f>
        <v>0</v>
      </c>
      <c r="CJ107" s="616">
        <f>COUNTIFS('ST | Drawing List'!$H:$H,"ST-TXS-9",'ST | Drawing List'!S:S,1)</f>
        <v>0</v>
      </c>
      <c r="CK107" s="616">
        <f>COUNTIFS('ST | Drawing List'!$H:$H,"ST-TXS-9",'ST | Drawing List'!T:T,1)</f>
        <v>0</v>
      </c>
      <c r="CL107" s="616">
        <f>COUNTIFS('ST | Drawing List'!$H:$H,"ST-TXS-9",'ST | Drawing List'!U:U,1)</f>
        <v>0</v>
      </c>
      <c r="CM107" s="343"/>
      <c r="CN107" s="343"/>
      <c r="CO107" s="666">
        <v>0</v>
      </c>
      <c r="CP107" s="343"/>
      <c r="CQ107" s="616">
        <f t="shared" si="466"/>
        <v>0</v>
      </c>
      <c r="CR107" s="618">
        <f t="shared" si="236"/>
        <v>0</v>
      </c>
      <c r="CS107" s="616">
        <f t="shared" si="467"/>
        <v>0</v>
      </c>
      <c r="CT107" s="615">
        <f t="shared" si="468"/>
        <v>0</v>
      </c>
      <c r="CU107" s="615">
        <f t="shared" si="469"/>
        <v>0</v>
      </c>
      <c r="CV107" s="615">
        <f t="shared" si="470"/>
        <v>0</v>
      </c>
      <c r="CW107" s="615">
        <f t="shared" si="471"/>
        <v>0</v>
      </c>
      <c r="CX107" s="615">
        <f t="shared" si="472"/>
        <v>0</v>
      </c>
      <c r="CY107" s="339"/>
      <c r="CZ107" s="615">
        <f t="shared" si="473"/>
        <v>0</v>
      </c>
      <c r="DA107" s="615">
        <f t="shared" si="474"/>
        <v>0</v>
      </c>
      <c r="DB107" s="615">
        <f t="shared" si="475"/>
        <v>0</v>
      </c>
      <c r="DC107" s="615">
        <f t="shared" si="476"/>
        <v>0</v>
      </c>
      <c r="DD107" s="615">
        <f t="shared" si="477"/>
        <v>0</v>
      </c>
      <c r="DE107" s="339"/>
      <c r="DF107" s="625">
        <f t="shared" si="478"/>
        <v>0</v>
      </c>
      <c r="DG107" s="625">
        <f t="shared" si="479"/>
        <v>0</v>
      </c>
      <c r="DH107" s="625">
        <f t="shared" si="480"/>
        <v>0</v>
      </c>
      <c r="DI107" s="347"/>
      <c r="DJ107" s="615">
        <f>COUNTIF('MEP | Drawing List'!$H:$H,"MEP-T2S-6S-9")</f>
        <v>0</v>
      </c>
      <c r="DK107" s="616">
        <f>COUNTIFS('MEP | Drawing List'!$H:$H,"MEP-T2S-6S-9",'MEP | Drawing List'!$J:$J,1)</f>
        <v>0</v>
      </c>
      <c r="DL107" s="616">
        <f>COUNTIFS('MEP | Drawing List'!$H:$H,"MEP-T2S-6S-9",'MEP | Drawing List'!$L:$L,1)</f>
        <v>0</v>
      </c>
      <c r="DM107" s="616">
        <f>COUNTIFS('MEP | Drawing List'!$H:$H,"MEP-T2S-6S-9",'MEP | Drawing List'!M:M,1)</f>
        <v>0</v>
      </c>
      <c r="DN107" s="616">
        <f>COUNTIFS('MEP | Drawing List'!$H:$H,"MEP-T2S-6S-9",'MEP | Drawing List'!N:N,1)</f>
        <v>0</v>
      </c>
      <c r="DO107" s="616">
        <f>COUNTIFS('MEP | Drawing List'!$H:$H,"MEP-T2S-6S-9",'MEP | Drawing List'!O:O,1)</f>
        <v>0</v>
      </c>
      <c r="DP107" s="616">
        <f>COUNTIFS('MEP | Drawing List'!$H:$H,"MEP-T2S-6S-9",'MEP | Drawing List'!P:P,1)</f>
        <v>0</v>
      </c>
      <c r="DQ107" s="348"/>
      <c r="DR107" s="616">
        <f>COUNTIFS('MEP | Drawing List'!$H:$H,"MEP-T2S-6S-9",'MEP | Drawing List'!$Q:$Q,1)</f>
        <v>0</v>
      </c>
      <c r="DS107" s="616">
        <f>COUNTIFS('MEP | Drawing List'!$H:$H,"MEP-T2S-6S-9",'MEP | Drawing List'!R:R,1)</f>
        <v>0</v>
      </c>
      <c r="DT107" s="616">
        <f>COUNTIFS('MEP | Drawing List'!$H:$H,"MEP-T2S-6S-9",'MEP | Drawing List'!S:S,1)</f>
        <v>0</v>
      </c>
      <c r="DU107" s="616">
        <f>COUNTIFS('MEP | Drawing List'!$H:$H,"MEP-T2S-6S-9",'MEP | Drawing List'!T:T,1)</f>
        <v>0</v>
      </c>
      <c r="DV107" s="616">
        <f>COUNTIFS('MEP | Drawing List'!$H:$H,"MEP-T2S-6S-9",'MEP | Drawing List'!U:U,1)</f>
        <v>0</v>
      </c>
      <c r="DW107" s="343"/>
      <c r="DX107" s="343"/>
      <c r="DY107" s="523">
        <v>0.2</v>
      </c>
      <c r="DZ107" s="343"/>
      <c r="EA107" s="616">
        <f t="shared" si="481"/>
        <v>1.6548000000000004E-2</v>
      </c>
      <c r="EB107" s="618">
        <f t="shared" si="237"/>
        <v>1.6548000000000004E-2</v>
      </c>
      <c r="EC107" s="616">
        <f t="shared" si="482"/>
        <v>0</v>
      </c>
      <c r="ED107" s="616">
        <f t="shared" si="483"/>
        <v>1.6548000000000004E-2</v>
      </c>
      <c r="EE107" s="616">
        <f t="shared" si="484"/>
        <v>1.6548000000000004E-2</v>
      </c>
      <c r="EF107" s="616">
        <f t="shared" si="485"/>
        <v>0</v>
      </c>
      <c r="EG107" s="616">
        <f t="shared" si="486"/>
        <v>0</v>
      </c>
      <c r="EH107" s="616">
        <f t="shared" si="487"/>
        <v>0</v>
      </c>
      <c r="EI107" s="348"/>
      <c r="EJ107" s="620">
        <f t="shared" si="488"/>
        <v>1.6548000000000004E-2</v>
      </c>
      <c r="EK107" s="615">
        <f t="shared" si="489"/>
        <v>0</v>
      </c>
      <c r="EL107" s="615">
        <f t="shared" si="490"/>
        <v>1.6548000000000004E-2</v>
      </c>
      <c r="EM107" s="615">
        <f t="shared" si="491"/>
        <v>0</v>
      </c>
      <c r="EN107" s="615">
        <f t="shared" si="492"/>
        <v>0</v>
      </c>
      <c r="EO107" s="339"/>
      <c r="EP107" s="627">
        <f t="shared" si="493"/>
        <v>0</v>
      </c>
      <c r="EQ107" s="627">
        <f t="shared" si="494"/>
        <v>1</v>
      </c>
      <c r="ER107" s="627">
        <f t="shared" si="495"/>
        <v>1</v>
      </c>
      <c r="ES107" s="83"/>
      <c r="ET107" s="615">
        <f>COUNTIF('LS | Drawing List'!$H:$H,"LS-TXS-9")</f>
        <v>6</v>
      </c>
      <c r="EU107" s="616">
        <f>COUNTIFS('LS | Drawing List'!$H:$H,"LS-TXS-9",'LS | Drawing List'!$J:$J,1)</f>
        <v>0</v>
      </c>
      <c r="EV107" s="616">
        <f>COUNTIFS('LS | Drawing List'!$H:$H,"LS-TXS-9",'LS | Drawing List'!$L:$L,1)</f>
        <v>6</v>
      </c>
      <c r="EW107" s="616">
        <f>COUNTIFS('LS | Drawing List'!$H:$H,"LS-TXS-9",'LS | Drawing List'!M:M,1)</f>
        <v>6</v>
      </c>
      <c r="EX107" s="616">
        <f>COUNTIFS('LS | Drawing List'!$H:$H,"LS-TXS-9",'LS | Drawing List'!N:N,1)</f>
        <v>0</v>
      </c>
      <c r="EY107" s="616">
        <f>COUNTIFS('LS | Drawing List'!$H:$H,"LS-TXS-9",'LS | Drawing List'!O:O,1)</f>
        <v>0</v>
      </c>
      <c r="EZ107" s="616">
        <f>COUNTIFS('LS | Drawing List'!$H:$H,"LS-TXS-9",'LS | Drawing List'!P:P,1)</f>
        <v>0</v>
      </c>
      <c r="FA107" s="85"/>
      <c r="FB107" s="616">
        <f>COUNTIFS('LS | Drawing List'!$H:$H,"LS-TXS-9",'LS | Drawing List'!$Q:$Q,1)</f>
        <v>6</v>
      </c>
      <c r="FC107" s="616">
        <f>COUNTIFS('LS | Drawing List'!$H:$H,"LS-TXS-9",'LS | Drawing List'!R:R,1)</f>
        <v>0</v>
      </c>
      <c r="FD107" s="616">
        <f>COUNTIFS('LS | Drawing List'!$H:$H,"LS-TXS-9",'LS | Drawing List'!S:S,1)</f>
        <v>6</v>
      </c>
      <c r="FE107" s="616">
        <f>COUNTIFS('LS | Drawing List'!$H:$H,"LS-TXS-9",'LS | Drawing List'!T:T,1)</f>
        <v>0</v>
      </c>
      <c r="FF107" s="616">
        <f>COUNTIFS('LS | Drawing List'!$H:$H,"LS-TXS-9",'LS | Drawing List'!U:U,1)</f>
        <v>0</v>
      </c>
      <c r="FG107" s="48"/>
    </row>
    <row r="108" spans="1:163" ht="3" hidden="1" customHeight="1" outlineLevel="1">
      <c r="A108" s="48"/>
      <c r="B108" s="96"/>
      <c r="C108" s="278"/>
      <c r="D108" s="272"/>
      <c r="E108" s="48"/>
      <c r="F108" s="338"/>
      <c r="G108" s="619"/>
      <c r="H108" s="339"/>
      <c r="I108" s="339"/>
      <c r="J108" s="339"/>
      <c r="K108" s="339"/>
      <c r="L108" s="339"/>
      <c r="M108" s="339"/>
      <c r="N108" s="339"/>
      <c r="O108" s="339"/>
      <c r="P108" s="339"/>
      <c r="Q108" s="339"/>
      <c r="R108" s="339"/>
      <c r="S108" s="339"/>
      <c r="T108" s="48"/>
      <c r="U108" s="519"/>
      <c r="V108" s="131"/>
      <c r="W108" s="338"/>
      <c r="X108" s="619">
        <f t="shared" si="234"/>
        <v>0</v>
      </c>
      <c r="Y108" s="339"/>
      <c r="Z108" s="339"/>
      <c r="AA108" s="339"/>
      <c r="AB108" s="339"/>
      <c r="AC108" s="339"/>
      <c r="AD108" s="339"/>
      <c r="AE108" s="339"/>
      <c r="AF108" s="339"/>
      <c r="AG108" s="339"/>
      <c r="AH108" s="339"/>
      <c r="AI108" s="339"/>
      <c r="AJ108" s="339"/>
      <c r="AK108" s="339"/>
      <c r="AL108" s="603"/>
      <c r="AM108" s="603"/>
      <c r="AN108" s="603"/>
      <c r="AO108" s="345"/>
      <c r="AP108" s="359"/>
      <c r="AQ108" s="359"/>
      <c r="AR108" s="359"/>
      <c r="AS108" s="359"/>
      <c r="AT108" s="359"/>
      <c r="AU108" s="359"/>
      <c r="AV108" s="359"/>
      <c r="AW108" s="359"/>
      <c r="AX108" s="359"/>
      <c r="AY108" s="359"/>
      <c r="AZ108" s="359"/>
      <c r="BA108" s="359"/>
      <c r="BB108" s="359"/>
      <c r="BC108" s="359"/>
      <c r="BD108" s="359"/>
      <c r="BE108" s="525"/>
      <c r="BF108" s="343"/>
      <c r="BG108" s="344"/>
      <c r="BH108" s="618">
        <f t="shared" si="235"/>
        <v>0</v>
      </c>
      <c r="BI108" s="339"/>
      <c r="BJ108" s="339"/>
      <c r="BK108" s="339"/>
      <c r="BL108" s="339"/>
      <c r="BM108" s="339"/>
      <c r="BN108" s="339"/>
      <c r="BO108" s="339"/>
      <c r="BP108" s="339"/>
      <c r="BQ108" s="339"/>
      <c r="BR108" s="339"/>
      <c r="BS108" s="339"/>
      <c r="BT108" s="339"/>
      <c r="BU108" s="339"/>
      <c r="BV108" s="525"/>
      <c r="BW108" s="525"/>
      <c r="BX108" s="525"/>
      <c r="BY108" s="345"/>
      <c r="BZ108" s="540"/>
      <c r="CA108" s="540"/>
      <c r="CB108" s="542"/>
      <c r="CC108" s="536"/>
      <c r="CD108" s="536"/>
      <c r="CE108" s="536"/>
      <c r="CF108" s="536"/>
      <c r="CG108" s="536"/>
      <c r="CH108" s="542"/>
      <c r="CI108" s="536"/>
      <c r="CJ108" s="536"/>
      <c r="CK108" s="536"/>
      <c r="CL108" s="536"/>
      <c r="CM108" s="343"/>
      <c r="CN108" s="343"/>
      <c r="CO108" s="525"/>
      <c r="CP108" s="343"/>
      <c r="CQ108" s="344"/>
      <c r="CR108" s="618">
        <f t="shared" si="236"/>
        <v>0</v>
      </c>
      <c r="CS108" s="339"/>
      <c r="CT108" s="339"/>
      <c r="CU108" s="339"/>
      <c r="CV108" s="339"/>
      <c r="CW108" s="339"/>
      <c r="CX108" s="339"/>
      <c r="CY108" s="339"/>
      <c r="CZ108" s="339"/>
      <c r="DA108" s="339"/>
      <c r="DB108" s="339"/>
      <c r="DC108" s="339"/>
      <c r="DD108" s="339"/>
      <c r="DE108" s="339"/>
      <c r="DF108" s="603"/>
      <c r="DG108" s="603"/>
      <c r="DH108" s="603"/>
      <c r="DI108" s="345"/>
      <c r="DJ108" s="359"/>
      <c r="DK108" s="359"/>
      <c r="DL108" s="359"/>
      <c r="DM108" s="339"/>
      <c r="DN108" s="339"/>
      <c r="DO108" s="339"/>
      <c r="DP108" s="339"/>
      <c r="DQ108" s="339"/>
      <c r="DR108" s="359"/>
      <c r="DS108" s="339"/>
      <c r="DT108" s="339"/>
      <c r="DU108" s="339"/>
      <c r="DV108" s="339"/>
      <c r="DW108" s="343"/>
      <c r="DX108" s="343"/>
      <c r="DY108" s="525"/>
      <c r="DZ108" s="343"/>
      <c r="EA108" s="344"/>
      <c r="EB108" s="618">
        <f t="shared" si="237"/>
        <v>0</v>
      </c>
      <c r="EC108" s="81"/>
      <c r="ED108" s="81"/>
      <c r="EE108" s="81"/>
      <c r="EF108" s="81"/>
      <c r="EG108" s="81"/>
      <c r="EH108" s="81"/>
      <c r="EI108" s="81"/>
      <c r="EJ108" s="81"/>
      <c r="EK108" s="81"/>
      <c r="EL108" s="81"/>
      <c r="EM108" s="81"/>
      <c r="EN108" s="81"/>
      <c r="EO108" s="81"/>
      <c r="EP108" s="103"/>
      <c r="EQ108" s="103"/>
      <c r="ER108" s="103"/>
      <c r="ES108" s="55"/>
      <c r="ET108" s="56"/>
      <c r="EU108" s="56"/>
      <c r="EV108" s="56"/>
      <c r="EW108" s="81"/>
      <c r="EX108" s="81"/>
      <c r="EY108" s="81"/>
      <c r="EZ108" s="81"/>
      <c r="FA108" s="81"/>
      <c r="FB108" s="56"/>
      <c r="FC108" s="81"/>
      <c r="FD108" s="81"/>
      <c r="FE108" s="81"/>
      <c r="FF108" s="81"/>
      <c r="FG108" s="48"/>
    </row>
    <row r="109" spans="1:163" ht="14.25" hidden="1" outlineLevel="1" collapsed="1">
      <c r="A109" s="48"/>
      <c r="B109" s="73"/>
      <c r="C109" s="275">
        <v>6</v>
      </c>
      <c r="D109" s="271" t="s">
        <v>116</v>
      </c>
      <c r="E109" s="74"/>
      <c r="F109" s="614">
        <f>W109+BG109+CQ109+EA109</f>
        <v>1.6985721600000003</v>
      </c>
      <c r="G109" s="614">
        <f>X109+BH109+CR109+EB109</f>
        <v>1.6985721600000003</v>
      </c>
      <c r="H109" s="612">
        <f>F109-G109</f>
        <v>0</v>
      </c>
      <c r="I109" s="614">
        <f t="shared" ref="I109:I119" si="496">Z109+BJ109+CT109+ED109</f>
        <v>2.5292800000000004E-2</v>
      </c>
      <c r="J109" s="614">
        <f t="shared" ref="J109:J119" si="497">AA109+BK109+CU109+EE109</f>
        <v>2.5292800000000004E-2</v>
      </c>
      <c r="K109" s="614">
        <f t="shared" ref="K109:K119" si="498">AB109+BL109+CV109+EF109</f>
        <v>0</v>
      </c>
      <c r="L109" s="614">
        <f t="shared" ref="L109:L119" si="499">AC109+BM109+CW109+EG109</f>
        <v>0</v>
      </c>
      <c r="M109" s="614">
        <f t="shared" ref="M109:M119" si="500">AD109+BN109+CX109+EH109</f>
        <v>0</v>
      </c>
      <c r="N109" s="281"/>
      <c r="O109" s="614">
        <f t="shared" ref="O109:O119" si="501">AF109+BP109+CZ109+EJ109</f>
        <v>2.5292800000000004E-2</v>
      </c>
      <c r="P109" s="614">
        <f t="shared" ref="P109:P119" si="502">AG109+BQ109+DA109+EK109</f>
        <v>0</v>
      </c>
      <c r="Q109" s="614">
        <f t="shared" ref="Q109:Q119" si="503">AH109+BR109+DB109+EL109</f>
        <v>2.5292800000000004E-2</v>
      </c>
      <c r="R109" s="614">
        <f t="shared" ref="R109:R119" si="504">AI109+BS109+DC109+EM109</f>
        <v>0</v>
      </c>
      <c r="S109" s="614">
        <f t="shared" ref="S109:S119" si="505">AJ109+BT109+DD109+EN109</f>
        <v>0</v>
      </c>
      <c r="T109" s="74"/>
      <c r="U109" s="332">
        <f>SUM(U110:U119)</f>
        <v>0.5</v>
      </c>
      <c r="V109" s="332"/>
      <c r="W109" s="614">
        <f>U109*(5%*'BOQ COST'!E13*0.64)*1</f>
        <v>1.1081600000000003</v>
      </c>
      <c r="X109" s="614">
        <f t="shared" si="234"/>
        <v>1.1081600000000003</v>
      </c>
      <c r="Y109" s="612">
        <f>SUM(Y110:Y119)</f>
        <v>1.1081600000000003</v>
      </c>
      <c r="Z109" s="612">
        <f>SUM(Z110:Z119)</f>
        <v>0</v>
      </c>
      <c r="AA109" s="612">
        <f t="shared" ref="AA109:AD109" si="506">SUM(AA110:AA119)</f>
        <v>0</v>
      </c>
      <c r="AB109" s="612">
        <f t="shared" si="506"/>
        <v>0</v>
      </c>
      <c r="AC109" s="612">
        <f t="shared" si="506"/>
        <v>0</v>
      </c>
      <c r="AD109" s="612">
        <f t="shared" si="506"/>
        <v>0</v>
      </c>
      <c r="AE109" s="281"/>
      <c r="AF109" s="612">
        <f>SUM(AF110:AF119)</f>
        <v>0</v>
      </c>
      <c r="AG109" s="612">
        <f t="shared" ref="AG109:AJ109" si="507">SUM(AG110:AG119)</f>
        <v>0</v>
      </c>
      <c r="AH109" s="612">
        <f t="shared" si="507"/>
        <v>0</v>
      </c>
      <c r="AI109" s="612">
        <f t="shared" si="507"/>
        <v>0</v>
      </c>
      <c r="AJ109" s="612">
        <f t="shared" si="507"/>
        <v>0</v>
      </c>
      <c r="AK109" s="281"/>
      <c r="AL109" s="605"/>
      <c r="AM109" s="605"/>
      <c r="AN109" s="605"/>
      <c r="AO109" s="612">
        <f t="shared" ref="AO109" si="508">SUM(AO110:AO119)</f>
        <v>0</v>
      </c>
      <c r="AP109" s="612">
        <f t="shared" ref="AP109" si="509">SUM(AP110:AP119)</f>
        <v>70</v>
      </c>
      <c r="AQ109" s="612">
        <f t="shared" ref="AQ109" si="510">SUM(AQ110:AQ119)</f>
        <v>70</v>
      </c>
      <c r="AR109" s="612">
        <f t="shared" si="238"/>
        <v>0</v>
      </c>
      <c r="AS109" s="612">
        <f>SUM(AS110:AS119)</f>
        <v>0</v>
      </c>
      <c r="AT109" s="612">
        <f t="shared" ref="AT109:AX109" si="511">SUM(AT110:AT119)</f>
        <v>0</v>
      </c>
      <c r="AU109" s="612">
        <f t="shared" si="511"/>
        <v>0</v>
      </c>
      <c r="AV109" s="612">
        <f t="shared" si="511"/>
        <v>0</v>
      </c>
      <c r="AW109" s="281"/>
      <c r="AX109" s="612">
        <f t="shared" si="511"/>
        <v>0</v>
      </c>
      <c r="AY109" s="612">
        <f>SUM(AY110:AY119)</f>
        <v>0</v>
      </c>
      <c r="AZ109" s="612">
        <f t="shared" ref="AZ109:BB109" si="512">SUM(AZ110:AZ119)</f>
        <v>0</v>
      </c>
      <c r="BA109" s="612">
        <f t="shared" si="512"/>
        <v>0</v>
      </c>
      <c r="BB109" s="612">
        <f t="shared" si="512"/>
        <v>0</v>
      </c>
      <c r="BC109" s="336"/>
      <c r="BD109" s="336"/>
      <c r="BE109" s="332">
        <f>SUM(BE110:BE119)</f>
        <v>0.55000000000000004</v>
      </c>
      <c r="BF109" s="332"/>
      <c r="BG109" s="614">
        <f>BE109*(3%*'BOQ COST'!$F$13*0.64)*1</f>
        <v>0.50821055999999998</v>
      </c>
      <c r="BH109" s="614">
        <f t="shared" si="235"/>
        <v>0.50821055999999998</v>
      </c>
      <c r="BI109" s="612">
        <f>SUM(BI110:BI119)</f>
        <v>0.50821055999999998</v>
      </c>
      <c r="BJ109" s="612">
        <f>SUM(BJ110:BJ119)</f>
        <v>0</v>
      </c>
      <c r="BK109" s="612">
        <f t="shared" ref="BK109:CF109" si="513">SUM(BK110:BK119)</f>
        <v>0</v>
      </c>
      <c r="BL109" s="612">
        <f t="shared" si="513"/>
        <v>0</v>
      </c>
      <c r="BM109" s="612">
        <f t="shared" si="513"/>
        <v>0</v>
      </c>
      <c r="BN109" s="612">
        <f t="shared" si="513"/>
        <v>0</v>
      </c>
      <c r="BO109" s="281"/>
      <c r="BP109" s="612">
        <f>SUM(BP110:BP119)</f>
        <v>0</v>
      </c>
      <c r="BQ109" s="612">
        <f t="shared" ref="BQ109:BT109" si="514">SUM(BQ110:BQ119)</f>
        <v>0</v>
      </c>
      <c r="BR109" s="612">
        <f t="shared" si="514"/>
        <v>0</v>
      </c>
      <c r="BS109" s="612">
        <f t="shared" si="514"/>
        <v>0</v>
      </c>
      <c r="BT109" s="612">
        <f t="shared" si="514"/>
        <v>0</v>
      </c>
      <c r="BU109" s="281"/>
      <c r="BV109" s="524"/>
      <c r="BW109" s="524"/>
      <c r="BX109" s="524"/>
      <c r="BY109" s="612">
        <f t="shared" si="513"/>
        <v>0</v>
      </c>
      <c r="BZ109" s="612">
        <f t="shared" si="513"/>
        <v>84</v>
      </c>
      <c r="CA109" s="612">
        <f t="shared" si="513"/>
        <v>84</v>
      </c>
      <c r="CB109" s="612">
        <f t="shared" si="513"/>
        <v>0</v>
      </c>
      <c r="CC109" s="612">
        <f t="shared" si="513"/>
        <v>0</v>
      </c>
      <c r="CD109" s="612">
        <f t="shared" si="513"/>
        <v>0</v>
      </c>
      <c r="CE109" s="612">
        <f t="shared" si="513"/>
        <v>0</v>
      </c>
      <c r="CF109" s="612">
        <f t="shared" si="513"/>
        <v>0</v>
      </c>
      <c r="CG109" s="535"/>
      <c r="CH109" s="612">
        <f t="shared" ref="CH109:CL109" si="515">SUM(CH110:CH119)</f>
        <v>0</v>
      </c>
      <c r="CI109" s="612">
        <f t="shared" si="515"/>
        <v>0</v>
      </c>
      <c r="CJ109" s="612">
        <f t="shared" si="515"/>
        <v>0</v>
      </c>
      <c r="CK109" s="612">
        <f t="shared" si="515"/>
        <v>0</v>
      </c>
      <c r="CL109" s="612">
        <f t="shared" si="515"/>
        <v>0</v>
      </c>
      <c r="CM109" s="332"/>
      <c r="CN109" s="332"/>
      <c r="CO109" s="332">
        <f>SUM(CO110:CO119)</f>
        <v>0.65</v>
      </c>
      <c r="CP109" s="332"/>
      <c r="CQ109" s="614">
        <f>CO109*(2%*'BOQ COST'!$G$13*0.64)*1</f>
        <v>8.2201600000000014E-2</v>
      </c>
      <c r="CR109" s="614">
        <f t="shared" si="236"/>
        <v>8.2201600000000014E-2</v>
      </c>
      <c r="CS109" s="612">
        <f>SUM(CS110:CS119)</f>
        <v>5.6908800000000009E-2</v>
      </c>
      <c r="CT109" s="612">
        <f>SUM(CT110:CT119)</f>
        <v>2.5292800000000004E-2</v>
      </c>
      <c r="CU109" s="612">
        <f t="shared" ref="CU109:DP109" si="516">SUM(CU110:CU119)</f>
        <v>2.5292800000000004E-2</v>
      </c>
      <c r="CV109" s="612">
        <f t="shared" si="516"/>
        <v>0</v>
      </c>
      <c r="CW109" s="612">
        <f t="shared" si="516"/>
        <v>0</v>
      </c>
      <c r="CX109" s="612">
        <f t="shared" si="516"/>
        <v>0</v>
      </c>
      <c r="CY109" s="281"/>
      <c r="CZ109" s="612">
        <f>SUM(CZ110:CZ119)</f>
        <v>2.5292800000000004E-2</v>
      </c>
      <c r="DA109" s="612">
        <f t="shared" ref="DA109:DD109" si="517">SUM(DA110:DA119)</f>
        <v>0</v>
      </c>
      <c r="DB109" s="612">
        <f t="shared" si="517"/>
        <v>2.5292800000000004E-2</v>
      </c>
      <c r="DC109" s="612">
        <f t="shared" si="517"/>
        <v>0</v>
      </c>
      <c r="DD109" s="612">
        <f t="shared" si="517"/>
        <v>0</v>
      </c>
      <c r="DE109" s="281"/>
      <c r="DF109" s="605"/>
      <c r="DG109" s="605"/>
      <c r="DH109" s="605"/>
      <c r="DI109" s="612">
        <f t="shared" si="516"/>
        <v>0</v>
      </c>
      <c r="DJ109" s="612">
        <f t="shared" si="516"/>
        <v>77</v>
      </c>
      <c r="DK109" s="612">
        <f t="shared" si="516"/>
        <v>76</v>
      </c>
      <c r="DL109" s="612">
        <f t="shared" si="516"/>
        <v>1</v>
      </c>
      <c r="DM109" s="612">
        <f t="shared" si="516"/>
        <v>1</v>
      </c>
      <c r="DN109" s="612">
        <f t="shared" si="516"/>
        <v>0</v>
      </c>
      <c r="DO109" s="612">
        <f t="shared" si="516"/>
        <v>0</v>
      </c>
      <c r="DP109" s="612">
        <f t="shared" si="516"/>
        <v>0</v>
      </c>
      <c r="DQ109" s="281"/>
      <c r="DR109" s="612">
        <f t="shared" ref="DR109:DV109" si="518">SUM(DR110:DR119)</f>
        <v>1</v>
      </c>
      <c r="DS109" s="612">
        <f t="shared" si="518"/>
        <v>0</v>
      </c>
      <c r="DT109" s="612">
        <f t="shared" si="518"/>
        <v>1</v>
      </c>
      <c r="DU109" s="612">
        <f t="shared" si="518"/>
        <v>0</v>
      </c>
      <c r="DV109" s="612">
        <f t="shared" si="518"/>
        <v>0</v>
      </c>
      <c r="DW109" s="332"/>
      <c r="DX109" s="332"/>
      <c r="DY109" s="614">
        <f>SUM(DY110:DY119)</f>
        <v>0</v>
      </c>
      <c r="DZ109" s="332"/>
      <c r="EA109" s="612">
        <f>DY109*(7%*'BOQ COST'!$H$13)*1</f>
        <v>0</v>
      </c>
      <c r="EB109" s="614">
        <f t="shared" si="237"/>
        <v>0</v>
      </c>
      <c r="EC109" s="612">
        <f>SUM(EC110:EC119)</f>
        <v>0</v>
      </c>
      <c r="ED109" s="612">
        <f>SUM(ED110:ED119)</f>
        <v>0</v>
      </c>
      <c r="EE109" s="612">
        <f t="shared" ref="EE109:EZ109" si="519">SUM(EE110:EE119)</f>
        <v>0</v>
      </c>
      <c r="EF109" s="612">
        <f t="shared" si="519"/>
        <v>0</v>
      </c>
      <c r="EG109" s="612">
        <f t="shared" si="519"/>
        <v>0</v>
      </c>
      <c r="EH109" s="612">
        <f t="shared" si="519"/>
        <v>0</v>
      </c>
      <c r="EI109" s="150"/>
      <c r="EJ109" s="612">
        <f>SUM(EJ110:EJ119)</f>
        <v>0</v>
      </c>
      <c r="EK109" s="612">
        <f t="shared" ref="EK109:EN109" si="520">SUM(EK110:EK119)</f>
        <v>0</v>
      </c>
      <c r="EL109" s="612">
        <f t="shared" si="520"/>
        <v>0</v>
      </c>
      <c r="EM109" s="612">
        <f t="shared" si="520"/>
        <v>0</v>
      </c>
      <c r="EN109" s="612">
        <f t="shared" si="520"/>
        <v>0</v>
      </c>
      <c r="EO109" s="150"/>
      <c r="EP109" s="643"/>
      <c r="EQ109" s="643"/>
      <c r="ER109" s="643"/>
      <c r="ES109" s="612">
        <f t="shared" si="519"/>
        <v>0</v>
      </c>
      <c r="ET109" s="612">
        <f t="shared" si="519"/>
        <v>0</v>
      </c>
      <c r="EU109" s="612">
        <f t="shared" si="519"/>
        <v>0</v>
      </c>
      <c r="EV109" s="612">
        <f t="shared" si="519"/>
        <v>0</v>
      </c>
      <c r="EW109" s="612">
        <f t="shared" si="519"/>
        <v>0</v>
      </c>
      <c r="EX109" s="612">
        <f t="shared" si="519"/>
        <v>0</v>
      </c>
      <c r="EY109" s="612">
        <f t="shared" si="519"/>
        <v>0</v>
      </c>
      <c r="EZ109" s="612">
        <f t="shared" si="519"/>
        <v>0</v>
      </c>
      <c r="FA109" s="150"/>
      <c r="FB109" s="612">
        <f t="shared" ref="FB109:FF109" si="521">SUM(FB110:FB119)</f>
        <v>0</v>
      </c>
      <c r="FC109" s="612">
        <f t="shared" si="521"/>
        <v>0</v>
      </c>
      <c r="FD109" s="612">
        <f t="shared" si="521"/>
        <v>0</v>
      </c>
      <c r="FE109" s="612">
        <f t="shared" si="521"/>
        <v>0</v>
      </c>
      <c r="FF109" s="612">
        <f t="shared" si="521"/>
        <v>0</v>
      </c>
      <c r="FG109" s="48"/>
    </row>
    <row r="110" spans="1:163" ht="14.25" hidden="1" outlineLevel="2">
      <c r="A110" s="48"/>
      <c r="B110" s="87" t="s">
        <v>117</v>
      </c>
      <c r="C110" s="276">
        <v>1</v>
      </c>
      <c r="D110" s="272" t="s">
        <v>52</v>
      </c>
      <c r="E110" s="48"/>
      <c r="F110" s="619">
        <f t="shared" ref="F110:F119" si="522">W110+BG110+CQ110+EA110</f>
        <v>0.16045632000000001</v>
      </c>
      <c r="G110" s="619">
        <f t="shared" ref="G110:G119" si="523">X110+BH110+CR110+EB110</f>
        <v>0.16045632000000001</v>
      </c>
      <c r="H110" s="615">
        <f t="shared" ref="H110:H119" si="524">F110-G110</f>
        <v>0</v>
      </c>
      <c r="I110" s="615">
        <f t="shared" si="496"/>
        <v>0</v>
      </c>
      <c r="J110" s="615">
        <f t="shared" si="497"/>
        <v>0</v>
      </c>
      <c r="K110" s="615">
        <f t="shared" si="498"/>
        <v>0</v>
      </c>
      <c r="L110" s="615">
        <f t="shared" si="499"/>
        <v>0</v>
      </c>
      <c r="M110" s="620">
        <f t="shared" si="500"/>
        <v>0</v>
      </c>
      <c r="N110" s="287"/>
      <c r="O110" s="615">
        <f t="shared" si="501"/>
        <v>0</v>
      </c>
      <c r="P110" s="615">
        <f t="shared" si="502"/>
        <v>0</v>
      </c>
      <c r="Q110" s="615">
        <f t="shared" si="503"/>
        <v>0</v>
      </c>
      <c r="R110" s="615">
        <f t="shared" si="504"/>
        <v>0</v>
      </c>
      <c r="S110" s="615">
        <f t="shared" si="505"/>
        <v>0</v>
      </c>
      <c r="T110" s="48"/>
      <c r="U110" s="519">
        <v>2.5000000000000001E-2</v>
      </c>
      <c r="V110" s="131"/>
      <c r="W110" s="619">
        <f t="shared" ref="W110:W119" si="525">$W$109/$U$109*U110</f>
        <v>5.5408000000000013E-2</v>
      </c>
      <c r="X110" s="619">
        <f t="shared" si="234"/>
        <v>5.5408000000000013E-2</v>
      </c>
      <c r="Y110" s="615">
        <f t="shared" ref="Y110:Y119" si="526">IFERROR(IF(AL110=100%,W110,0),0)</f>
        <v>5.5408000000000013E-2</v>
      </c>
      <c r="Z110" s="615">
        <f t="shared" ref="Z110:Z119" si="527">IFERROR(IF(AND((AL110+AM110)=100%,AL110&lt;1),W110,0),0)</f>
        <v>0</v>
      </c>
      <c r="AA110" s="615">
        <f t="shared" ref="AA110:AA119" si="528">IFERROR(IF(AND((AQ110+AS110)=AP110,Y110=0),W110,0),0)</f>
        <v>0</v>
      </c>
      <c r="AB110" s="615">
        <f t="shared" ref="AB110:AB119" si="529">IFERROR(IF(AND((AQ110+AS110+AT110)=AP110,Y110=0,AA110=0),W110,0),0)</f>
        <v>0</v>
      </c>
      <c r="AC110" s="615">
        <f t="shared" ref="AC110:AC119" si="530">IFERROR(IF(AND((AQ110+AS110+AT110+AU110)=AP110,Y110=0,AA110=0,AB110=0),W110,0),0)</f>
        <v>0</v>
      </c>
      <c r="AD110" s="620">
        <f t="shared" ref="AD110:AD119" si="531">IFERROR(IF(AND((AQ110+AS110+AT110+AU110+AV110)=AP110,Y110=0,AA110=0,AB110=0,AC110=0),W110,0),0)</f>
        <v>0</v>
      </c>
      <c r="AE110" s="287"/>
      <c r="AF110" s="615">
        <f t="shared" ref="AF110:AF119" si="532">IFERROR(IF(AND((AL110+AN110)=100%,AL110&lt;1),W110,0),0)</f>
        <v>0</v>
      </c>
      <c r="AG110" s="615">
        <f t="shared" ref="AG110:AG119" si="533">IFERROR(IF(AND((AQ110+AY110)=AP110,Y110=0),W110,0),0)</f>
        <v>0</v>
      </c>
      <c r="AH110" s="615">
        <f t="shared" ref="AH110:AH119" si="534">IFERROR(IF(AND((AQ110+AY110+AZ110)=AP110,Y110=0,AG110=0),W110,0),0)</f>
        <v>0</v>
      </c>
      <c r="AI110" s="615">
        <f t="shared" ref="AI110:AI119" si="535">IFERROR(IF(AND((AQ110+AY110+AZ110+BA110)=AP110,Y110=0,AG110=0,AH110=0),W110,0),0)</f>
        <v>0</v>
      </c>
      <c r="AJ110" s="615">
        <f t="shared" ref="AJ110:AJ119" si="536">IFERROR(IF(AND((AQ110+AY110+AZ110+BA110+BB110)=AP110,Y110=0,AG110=0,AH110=0,AI110=0),W110,0),0)</f>
        <v>0</v>
      </c>
      <c r="AK110" s="339"/>
      <c r="AL110" s="625">
        <f t="shared" ref="AL110:AL119" si="537">IFERROR(AQ110/AP110,0)</f>
        <v>1</v>
      </c>
      <c r="AM110" s="625">
        <f t="shared" ref="AM110:AM119" si="538">IFERROR(AR110/AP110,0)</f>
        <v>0</v>
      </c>
      <c r="AN110" s="625">
        <f t="shared" ref="AN110:AN119" si="539">IFERROR(AX110/AP110,0)</f>
        <v>0</v>
      </c>
      <c r="AO110" s="345"/>
      <c r="AP110" s="615">
        <f>COUNTIF('AR | Drawing List'!$H:$H,"AR-T6V-1")</f>
        <v>28</v>
      </c>
      <c r="AQ110" s="616">
        <f>COUNTIFS('AR | Drawing List'!$H:$H,"AR-T6V-1",'AR | Drawing List'!$J:$J,1)</f>
        <v>28</v>
      </c>
      <c r="AR110" s="616">
        <f t="shared" si="238"/>
        <v>0</v>
      </c>
      <c r="AS110" s="616">
        <f>COUNTIFS('AR | Drawing List'!$H:$H,"AR-T6V-1",'AR | Drawing List'!M:M,1)</f>
        <v>0</v>
      </c>
      <c r="AT110" s="616">
        <f>COUNTIFS('AR | Drawing List'!$H:$H,"AR-T6V-1",'AR | Drawing List'!N:N,1)</f>
        <v>0</v>
      </c>
      <c r="AU110" s="616">
        <f>COUNTIFS('AR | Drawing List'!$H:$H,"AR-T6V-1",'AR | Drawing List'!O:O,1)</f>
        <v>0</v>
      </c>
      <c r="AV110" s="616">
        <f>COUNTIFS('AR | Drawing List'!$H:$H,"AR-T6V-1",'AR | Drawing List'!P:P,1)</f>
        <v>0</v>
      </c>
      <c r="AW110" s="328"/>
      <c r="AX110" s="616">
        <f t="shared" ref="AX110:AX130" si="540">SUM(AY110:BB110)</f>
        <v>0</v>
      </c>
      <c r="AY110" s="616">
        <f>COUNTIFS('AR | Drawing List'!$H:$H,"AR-T6V-1",'AR | Drawing List'!R:R,1)</f>
        <v>0</v>
      </c>
      <c r="AZ110" s="616">
        <f>COUNTIFS('AR | Drawing List'!$H:$H,"AR-T6V-1",'AR | Drawing List'!S:S,1)</f>
        <v>0</v>
      </c>
      <c r="BA110" s="616">
        <f>COUNTIFS('AR | Drawing List'!$H:$H,"AR-T6V-1",'AR | Drawing List'!T:T,1)</f>
        <v>0</v>
      </c>
      <c r="BB110" s="616">
        <f>COUNTIFS('AR | Drawing List'!$H:$H,"AR-T6V-1",'AR | Drawing List'!U:U,1)</f>
        <v>0</v>
      </c>
      <c r="BC110" s="328"/>
      <c r="BD110" s="328"/>
      <c r="BE110" s="525">
        <v>0.1</v>
      </c>
      <c r="BF110" s="343"/>
      <c r="BG110" s="616">
        <f t="shared" ref="BG110:BG119" si="541">$BG$109/$BE$109*BE110</f>
        <v>9.2401919999999999E-2</v>
      </c>
      <c r="BH110" s="618">
        <f t="shared" si="235"/>
        <v>9.2401919999999999E-2</v>
      </c>
      <c r="BI110" s="615">
        <f t="shared" ref="BI110:BI119" si="542">IFERROR(IF(BV110=100%,BG110,0),0)</f>
        <v>9.2401919999999999E-2</v>
      </c>
      <c r="BJ110" s="615">
        <f t="shared" ref="BJ110:BJ119" si="543">IFERROR(IF(AND((BV110+BW110)=100%,BV110&lt;1),BG110,0),0)</f>
        <v>0</v>
      </c>
      <c r="BK110" s="615">
        <f t="shared" ref="BK110:BK119" si="544">IFERROR(IF(AND((CA110+CC110)=BZ110,BI110=0),BG110,0),0)</f>
        <v>0</v>
      </c>
      <c r="BL110" s="615">
        <f t="shared" ref="BL110:BL119" si="545">IFERROR(IF(AND((CA110+CC110+CD110)=BZ110,BI110=0,BK110=0),BG110,0),0)</f>
        <v>0</v>
      </c>
      <c r="BM110" s="615">
        <f t="shared" ref="BM110:BM119" si="546">IFERROR(IF(AND((CA110+CC110+CD110+CE110)=BZ110,BI110=0,BK110=0,BL110=0),BG110,0),0)</f>
        <v>0</v>
      </c>
      <c r="BN110" s="615">
        <f t="shared" ref="BN110:BN119" si="547">IFERROR(IF(AND((CA110+CC110+CD110+CE110+CF110)=BZ110,BI110=0,BK110=0,BL110=0,BM110=0),BG110,0),0)</f>
        <v>0</v>
      </c>
      <c r="BO110" s="339"/>
      <c r="BP110" s="615">
        <f t="shared" ref="BP110:BP119" si="548">IFERROR(IF(AND((BV110+BX110)=100%,BV110&lt;1),BG110,0),0)</f>
        <v>0</v>
      </c>
      <c r="BQ110" s="615">
        <f t="shared" ref="BQ110:BQ119" si="549">IFERROR(IF(AND((CA110+CI110)=BZ110,BI110=0),BG110,0),0)</f>
        <v>0</v>
      </c>
      <c r="BR110" s="615">
        <f t="shared" ref="BR110:BR119" si="550">IFERROR(IF(AND((CA110+CI110+CJ110)=BZ110,BI110=0,BQ110=0),BG110,0),0)</f>
        <v>0</v>
      </c>
      <c r="BS110" s="615">
        <f t="shared" ref="BS110:BS119" si="551">IFERROR(IF(AND((CA110+CI110+CJ110+CK110)=BZ110,BI110=0,BQ110=0,BR110=0),BG110,0),0)</f>
        <v>0</v>
      </c>
      <c r="BT110" s="615">
        <f t="shared" ref="BT110:BT119" si="552">IFERROR(IF(AND((CA110+CI110+CJ110+CK110+CL110)=BZ110,BI110=0,BQ110=0,BR110=0,BS110=0),BG110,0),0)</f>
        <v>0</v>
      </c>
      <c r="BU110" s="339"/>
      <c r="BV110" s="635">
        <f t="shared" ref="BV110:BV119" si="553">IFERROR(CA110/BZ110,0)</f>
        <v>1</v>
      </c>
      <c r="BW110" s="635">
        <f t="shared" ref="BW110:BW119" si="554">IFERROR(CB110/BZ110,0)</f>
        <v>0</v>
      </c>
      <c r="BX110" s="635">
        <f t="shared" ref="BX110:BX119" si="555">IFERROR(CH110/BZ110,0)</f>
        <v>0</v>
      </c>
      <c r="BY110" s="345"/>
      <c r="BZ110" s="615">
        <f>COUNTIF('ST | Drawing List'!$H:$H,"ST-T6V-1")</f>
        <v>11</v>
      </c>
      <c r="CA110" s="616">
        <f>COUNTIFS('ST | Drawing List'!$H:$H,"ST-T6V-1",'ST | Drawing List'!$J:$J,1)</f>
        <v>11</v>
      </c>
      <c r="CB110" s="623">
        <f>COUNTIFS('ST | Drawing List'!$H:$H,"ST-T6V-1",'ST | Drawing List'!$L:$L,1)</f>
        <v>0</v>
      </c>
      <c r="CC110" s="616">
        <f>COUNTIFS('ST | Drawing List'!$H:$H,"ST-T6V-1",'ST | Drawing List'!M:M,1)</f>
        <v>0</v>
      </c>
      <c r="CD110" s="616">
        <f>COUNTIFS('ST | Drawing List'!$H:$H,"ST-T6V-1",'ST | Drawing List'!N:N,1)</f>
        <v>0</v>
      </c>
      <c r="CE110" s="616">
        <f>COUNTIFS('ST | Drawing List'!$H:$H,"ST-T6V-1",'ST | Drawing List'!O:O,1)</f>
        <v>0</v>
      </c>
      <c r="CF110" s="616">
        <f>COUNTIFS('ST | Drawing List'!$H:$H,"ST-T6V-1",'ST | Drawing List'!P:P,1)</f>
        <v>0</v>
      </c>
      <c r="CG110" s="532"/>
      <c r="CH110" s="623">
        <f>COUNTIFS('ST | Drawing List'!$H:$H,"ST-T6V-1",'ST | Drawing List'!$Q:$Q,1)</f>
        <v>0</v>
      </c>
      <c r="CI110" s="616">
        <f>COUNTIFS('ST | Drawing List'!$H:$H,"ST-T6V-1",'ST | Drawing List'!R:R,1)</f>
        <v>0</v>
      </c>
      <c r="CJ110" s="616">
        <f>COUNTIFS('ST | Drawing List'!$H:$H,"ST-T6V-1",'ST | Drawing List'!S:S,1)</f>
        <v>0</v>
      </c>
      <c r="CK110" s="616">
        <f>COUNTIFS('ST | Drawing List'!$H:$H,"ST-T6V-1",'ST | Drawing List'!T:T,1)</f>
        <v>0</v>
      </c>
      <c r="CL110" s="616">
        <f>COUNTIFS('ST | Drawing List'!$H:$H,"ST-T6V-1",'ST | Drawing List'!U:U,1)</f>
        <v>0</v>
      </c>
      <c r="CM110" s="343"/>
      <c r="CN110" s="343"/>
      <c r="CO110" s="525">
        <v>0.1</v>
      </c>
      <c r="CP110" s="343"/>
      <c r="CQ110" s="616">
        <f t="shared" ref="CQ110:CQ119" si="556">$CQ$109/$CO$109*CO110</f>
        <v>1.2646400000000002E-2</v>
      </c>
      <c r="CR110" s="618">
        <f t="shared" si="236"/>
        <v>1.2646400000000002E-2</v>
      </c>
      <c r="CS110" s="615">
        <f t="shared" ref="CS110:CS119" si="557">IFERROR(IF(DF110=100%,CQ110,0),0)</f>
        <v>1.2646400000000002E-2</v>
      </c>
      <c r="CT110" s="615">
        <f t="shared" ref="CT110:CT119" si="558">IFERROR(IF(AND((DF110+DG110)=100%,DF110&lt;1),CQ110,0),0)</f>
        <v>0</v>
      </c>
      <c r="CU110" s="615">
        <f t="shared" ref="CU110:CU119" si="559">IFERROR(IF(AND((DK110+DM110)=DJ110,CS110=0),CQ110,0),0)</f>
        <v>0</v>
      </c>
      <c r="CV110" s="615">
        <f t="shared" ref="CV110:CV119" si="560">IFERROR(IF(AND((DK110+DM110+DN110)=DJ110,CS110=0,CU110=0),CQ110,0),0)</f>
        <v>0</v>
      </c>
      <c r="CW110" s="615">
        <f t="shared" ref="CW110:CW119" si="561">IFERROR(IF(AND((DK110+DM110+DN110+DO110)=DJ110,CS110=0,CU110=0,CV110=0),CQ110,0),0)</f>
        <v>0</v>
      </c>
      <c r="CX110" s="615">
        <f t="shared" ref="CX110:CX119" si="562">IFERROR(IF(AND((DK110+DM110+DN110+DO110+DP110)=DJ110,CS110=0,CU110=0,CV110=0,CW110=0),CQ110,0),0)</f>
        <v>0</v>
      </c>
      <c r="CY110" s="339"/>
      <c r="CZ110" s="615">
        <f t="shared" ref="CZ110:CZ119" si="563">IFERROR(IF(AND((DF110+DH110)=100%,DF110&lt;1),CQ110,0),0)</f>
        <v>0</v>
      </c>
      <c r="DA110" s="615">
        <f t="shared" ref="DA110:DA119" si="564">IFERROR(IF(AND((DK110+DS110)=DJ110,CS110=0),CQ110,0),0)</f>
        <v>0</v>
      </c>
      <c r="DB110" s="615">
        <f t="shared" ref="DB110:DB119" si="565">IFERROR(IF(AND((DK110+DS110+DT110)=DJ110,CS110=0,DA110=0),CQ110,0),0)</f>
        <v>0</v>
      </c>
      <c r="DC110" s="615">
        <f t="shared" ref="DC110:DC119" si="566">IFERROR(IF(AND((DK110+DS110+DT110+DU110)=DJ110,CS110=0,DA110=0,DB110=0),CQ110,0),0)</f>
        <v>0</v>
      </c>
      <c r="DD110" s="615">
        <f t="shared" ref="DD110:DD119" si="567">IFERROR(IF(AND((DK110+DS110+DT110+DU110+DV110)=DJ110,CS110=0,DA110=0,DB110=0,DC110=0),CQ110,0),0)</f>
        <v>0</v>
      </c>
      <c r="DE110" s="339"/>
      <c r="DF110" s="625">
        <f t="shared" ref="DF110:DF119" si="568">IFERROR(DK110/DJ110,0)</f>
        <v>1</v>
      </c>
      <c r="DG110" s="625">
        <f t="shared" ref="DG110:DG119" si="569">IFERROR(DL110/DJ110,0)</f>
        <v>0</v>
      </c>
      <c r="DH110" s="625">
        <f t="shared" ref="DH110:DH119" si="570">IFERROR(DR110/DJ110,0)</f>
        <v>0</v>
      </c>
      <c r="DI110" s="345"/>
      <c r="DJ110" s="615">
        <f>COUNTIF('MEP | Drawing List'!$H:$H,"MEP-T2V-6V-1")</f>
        <v>2</v>
      </c>
      <c r="DK110" s="616">
        <f>COUNTIFS('MEP | Drawing List'!$H:$H,"MEP-T2V-6V-1",'MEP | Drawing List'!$J:$J,1)</f>
        <v>2</v>
      </c>
      <c r="DL110" s="616">
        <f>COUNTIFS('MEP | Drawing List'!$H:$H,"MEP-T2V-6V-1",'MEP | Drawing List'!$L:$L,1)</f>
        <v>0</v>
      </c>
      <c r="DM110" s="615">
        <f>COUNTIFS('MEP | Drawing List'!$H:$H,"MEP-T2V-6V-1",'MEP | Drawing List'!M:M,1)</f>
        <v>0</v>
      </c>
      <c r="DN110" s="615">
        <f>COUNTIFS('MEP | Drawing List'!$H:$H,"MEP-T2V-6V-1",'MEP | Drawing List'!N:N,1)</f>
        <v>0</v>
      </c>
      <c r="DO110" s="615">
        <f>COUNTIFS('MEP | Drawing List'!$H:$H,"MEP-T2V-6V-1",'MEP | Drawing List'!O:O,1)</f>
        <v>0</v>
      </c>
      <c r="DP110" s="615">
        <f>COUNTIFS('MEP | Drawing List'!$H:$H,"MEP-T2V-6V-1",'MEP | Drawing List'!P:P,1)</f>
        <v>0</v>
      </c>
      <c r="DQ110" s="339"/>
      <c r="DR110" s="616">
        <f>COUNTIFS('MEP | Drawing List'!$H:$H,"MEP-T2V-6V-1",'MEP | Drawing List'!$Q:$Q,1)</f>
        <v>0</v>
      </c>
      <c r="DS110" s="615">
        <f>COUNTIFS('MEP | Drawing List'!$H:$H,"MEP-T2V-6V-1",'MEP | Drawing List'!R:R,1)</f>
        <v>0</v>
      </c>
      <c r="DT110" s="615">
        <f>COUNTIFS('MEP | Drawing List'!$H:$H,"MEP-T2V-6V-1",'MEP | Drawing List'!S:S,1)</f>
        <v>0</v>
      </c>
      <c r="DU110" s="615">
        <f>COUNTIFS('MEP | Drawing List'!$H:$H,"MEP-T2V-6V-1",'MEP | Drawing List'!T:T,1)</f>
        <v>0</v>
      </c>
      <c r="DV110" s="615">
        <f>COUNTIFS('MEP | Drawing List'!$H:$H,"MEP-T2V-6V-1",'MEP | Drawing List'!U:U,1)</f>
        <v>0</v>
      </c>
      <c r="DW110" s="343"/>
      <c r="DX110" s="343"/>
      <c r="DY110" s="525">
        <v>0</v>
      </c>
      <c r="DZ110" s="343"/>
      <c r="EA110" s="344">
        <v>0</v>
      </c>
      <c r="EB110" s="618">
        <f t="shared" si="237"/>
        <v>0</v>
      </c>
      <c r="EC110" s="81"/>
      <c r="ED110" s="81"/>
      <c r="EE110" s="339"/>
      <c r="EF110" s="339"/>
      <c r="EG110" s="339"/>
      <c r="EH110" s="339"/>
      <c r="EI110" s="339"/>
      <c r="EJ110" s="81"/>
      <c r="EK110" s="339"/>
      <c r="EL110" s="339"/>
      <c r="EM110" s="339"/>
      <c r="EN110" s="339"/>
      <c r="EO110" s="339"/>
      <c r="EP110" s="103"/>
      <c r="EQ110" s="103"/>
      <c r="ER110" s="103"/>
      <c r="ES110" s="55"/>
      <c r="ET110" s="615">
        <f>COUNTIF('LS | Drawing List'!$H:$H,"LS-T6V-1")</f>
        <v>0</v>
      </c>
      <c r="EU110" s="616">
        <f>COUNTIFS('LS | Drawing List'!$H:$H,"LS-T6V-1",'LS | Drawing List'!$J:$J,1)</f>
        <v>0</v>
      </c>
      <c r="EV110" s="616">
        <f>COUNTIFS('LS | Drawing List'!$H:$H,"LS-T6V-1",'LS | Drawing List'!$L:$L,1)</f>
        <v>0</v>
      </c>
      <c r="EW110" s="615">
        <f>COUNTIFS('LS | Drawing List'!$H:$H,"LS-T6V-1",'LS | Drawing List'!M:M,1)</f>
        <v>0</v>
      </c>
      <c r="EX110" s="615">
        <f>COUNTIFS('LS | Drawing List'!$H:$H,"LS-T6V-1",'LS | Drawing List'!N:N,1)</f>
        <v>0</v>
      </c>
      <c r="EY110" s="615">
        <f>COUNTIFS('LS | Drawing List'!$H:$H,"LS-T6V-1",'LS | Drawing List'!O:O,1)</f>
        <v>0</v>
      </c>
      <c r="EZ110" s="615">
        <f>COUNTIFS('LS | Drawing List'!$H:$H,"LS-T6V-1",'LS | Drawing List'!P:P,1)</f>
        <v>0</v>
      </c>
      <c r="FA110" s="81"/>
      <c r="FB110" s="616">
        <f>COUNTIFS('LS | Drawing List'!$H:$H,"LS-T6V-1",'LS | Drawing List'!$Q:$Q,1)</f>
        <v>0</v>
      </c>
      <c r="FC110" s="615">
        <f>COUNTIFS('LS | Drawing List'!$H:$H,"LS-T6V-1",'LS | Drawing List'!R:R,1)</f>
        <v>0</v>
      </c>
      <c r="FD110" s="615">
        <f>COUNTIFS('LS | Drawing List'!$H:$H,"LS-T6V-1",'LS | Drawing List'!S:S,1)</f>
        <v>0</v>
      </c>
      <c r="FE110" s="615">
        <f>COUNTIFS('LS | Drawing List'!$H:$H,"LS-T6V-1",'LS | Drawing List'!T:T,1)</f>
        <v>0</v>
      </c>
      <c r="FF110" s="615">
        <f>COUNTIFS('LS | Drawing List'!$H:$H,"LS-T6V-1",'LS | Drawing List'!U:U,1)</f>
        <v>0</v>
      </c>
      <c r="FG110" s="48"/>
    </row>
    <row r="111" spans="1:163" ht="14.25" hidden="1" outlineLevel="2">
      <c r="A111" s="48"/>
      <c r="B111" s="87" t="s">
        <v>118</v>
      </c>
      <c r="C111" s="276">
        <v>2</v>
      </c>
      <c r="D111" s="272" t="s">
        <v>54</v>
      </c>
      <c r="E111" s="48"/>
      <c r="F111" s="619">
        <f t="shared" si="522"/>
        <v>0.20321792000000002</v>
      </c>
      <c r="G111" s="619">
        <f t="shared" si="523"/>
        <v>0.20321792000000002</v>
      </c>
      <c r="H111" s="615">
        <f t="shared" si="524"/>
        <v>0</v>
      </c>
      <c r="I111" s="615">
        <f t="shared" si="496"/>
        <v>0</v>
      </c>
      <c r="J111" s="615">
        <f t="shared" si="497"/>
        <v>0</v>
      </c>
      <c r="K111" s="615">
        <f t="shared" si="498"/>
        <v>0</v>
      </c>
      <c r="L111" s="615">
        <f t="shared" si="499"/>
        <v>0</v>
      </c>
      <c r="M111" s="620">
        <f t="shared" si="500"/>
        <v>0</v>
      </c>
      <c r="N111" s="287"/>
      <c r="O111" s="615">
        <f t="shared" si="501"/>
        <v>0</v>
      </c>
      <c r="P111" s="615">
        <f t="shared" si="502"/>
        <v>0</v>
      </c>
      <c r="Q111" s="615">
        <f t="shared" si="503"/>
        <v>0</v>
      </c>
      <c r="R111" s="615">
        <f t="shared" si="504"/>
        <v>0</v>
      </c>
      <c r="S111" s="615">
        <f t="shared" si="505"/>
        <v>0</v>
      </c>
      <c r="T111" s="48"/>
      <c r="U111" s="519">
        <v>0.05</v>
      </c>
      <c r="V111" s="131"/>
      <c r="W111" s="619">
        <f t="shared" si="525"/>
        <v>0.11081600000000003</v>
      </c>
      <c r="X111" s="619">
        <f t="shared" si="234"/>
        <v>0.11081600000000003</v>
      </c>
      <c r="Y111" s="615">
        <f t="shared" si="526"/>
        <v>0.11081600000000003</v>
      </c>
      <c r="Z111" s="615">
        <f t="shared" si="527"/>
        <v>0</v>
      </c>
      <c r="AA111" s="615">
        <f t="shared" si="528"/>
        <v>0</v>
      </c>
      <c r="AB111" s="615">
        <f t="shared" si="529"/>
        <v>0</v>
      </c>
      <c r="AC111" s="615">
        <f t="shared" si="530"/>
        <v>0</v>
      </c>
      <c r="AD111" s="620">
        <f t="shared" si="531"/>
        <v>0</v>
      </c>
      <c r="AE111" s="287"/>
      <c r="AF111" s="615">
        <f t="shared" si="532"/>
        <v>0</v>
      </c>
      <c r="AG111" s="615">
        <f t="shared" si="533"/>
        <v>0</v>
      </c>
      <c r="AH111" s="615">
        <f t="shared" si="534"/>
        <v>0</v>
      </c>
      <c r="AI111" s="615">
        <f t="shared" si="535"/>
        <v>0</v>
      </c>
      <c r="AJ111" s="615">
        <f t="shared" si="536"/>
        <v>0</v>
      </c>
      <c r="AK111" s="339"/>
      <c r="AL111" s="625">
        <f t="shared" si="537"/>
        <v>1</v>
      </c>
      <c r="AM111" s="625">
        <f t="shared" si="538"/>
        <v>0</v>
      </c>
      <c r="AN111" s="625">
        <f t="shared" si="539"/>
        <v>0</v>
      </c>
      <c r="AO111" s="345"/>
      <c r="AP111" s="615">
        <f>COUNTIF('AR | Drawing List'!$H:$H,"AR-T6V-2")</f>
        <v>3</v>
      </c>
      <c r="AQ111" s="616">
        <f>COUNTIFS('AR | Drawing List'!$H:$H,"AR-T6V-2",'AR | Drawing List'!$J:$J,1)</f>
        <v>3</v>
      </c>
      <c r="AR111" s="616">
        <f t="shared" si="238"/>
        <v>0</v>
      </c>
      <c r="AS111" s="616">
        <f>COUNTIFS('AR | Drawing List'!$H:$H,"AR-T6V-2",'AR | Drawing List'!M:M,1)</f>
        <v>0</v>
      </c>
      <c r="AT111" s="616">
        <f>COUNTIFS('AR | Drawing List'!$H:$H,"AR-T6V-2",'AR | Drawing List'!N:N,1)</f>
        <v>0</v>
      </c>
      <c r="AU111" s="616">
        <f>COUNTIFS('AR | Drawing List'!$H:$H,"AR-T6V-2",'AR | Drawing List'!O:O,1)</f>
        <v>0</v>
      </c>
      <c r="AV111" s="616">
        <f>COUNTIFS('AR | Drawing List'!$H:$H,"AR-T6V-2",'AR | Drawing List'!P:P,1)</f>
        <v>0</v>
      </c>
      <c r="AW111" s="328"/>
      <c r="AX111" s="616">
        <f t="shared" si="540"/>
        <v>0</v>
      </c>
      <c r="AY111" s="616">
        <f>COUNTIFS('AR | Drawing List'!$H:$H,"AR-T6V-2",'AR | Drawing List'!R:R,1)</f>
        <v>0</v>
      </c>
      <c r="AZ111" s="616">
        <f>COUNTIFS('AR | Drawing List'!$H:$H,"AR-T6V-2",'AR | Drawing List'!S:S,1)</f>
        <v>0</v>
      </c>
      <c r="BA111" s="616">
        <f>COUNTIFS('AR | Drawing List'!$H:$H,"AR-T6V-2",'AR | Drawing List'!T:T,1)</f>
        <v>0</v>
      </c>
      <c r="BB111" s="616">
        <f>COUNTIFS('AR | Drawing List'!$H:$H,"AR-T6V-2",'AR | Drawing List'!U:U,1)</f>
        <v>0</v>
      </c>
      <c r="BC111" s="328"/>
      <c r="BD111" s="328"/>
      <c r="BE111" s="525">
        <v>0.1</v>
      </c>
      <c r="BF111" s="343"/>
      <c r="BG111" s="616">
        <f t="shared" si="541"/>
        <v>9.2401919999999999E-2</v>
      </c>
      <c r="BH111" s="618">
        <f t="shared" si="235"/>
        <v>9.2401919999999999E-2</v>
      </c>
      <c r="BI111" s="615">
        <f t="shared" si="542"/>
        <v>9.2401919999999999E-2</v>
      </c>
      <c r="BJ111" s="615">
        <f t="shared" si="543"/>
        <v>0</v>
      </c>
      <c r="BK111" s="615">
        <f t="shared" si="544"/>
        <v>0</v>
      </c>
      <c r="BL111" s="615">
        <f t="shared" si="545"/>
        <v>0</v>
      </c>
      <c r="BM111" s="615">
        <f t="shared" si="546"/>
        <v>0</v>
      </c>
      <c r="BN111" s="615">
        <f t="shared" si="547"/>
        <v>0</v>
      </c>
      <c r="BO111" s="339"/>
      <c r="BP111" s="615">
        <f t="shared" si="548"/>
        <v>0</v>
      </c>
      <c r="BQ111" s="615">
        <f t="shared" si="549"/>
        <v>0</v>
      </c>
      <c r="BR111" s="615">
        <f t="shared" si="550"/>
        <v>0</v>
      </c>
      <c r="BS111" s="615">
        <f t="shared" si="551"/>
        <v>0</v>
      </c>
      <c r="BT111" s="615">
        <f t="shared" si="552"/>
        <v>0</v>
      </c>
      <c r="BU111" s="339"/>
      <c r="BV111" s="635">
        <f t="shared" si="553"/>
        <v>1</v>
      </c>
      <c r="BW111" s="635">
        <f t="shared" si="554"/>
        <v>0</v>
      </c>
      <c r="BX111" s="635">
        <f t="shared" si="555"/>
        <v>0</v>
      </c>
      <c r="BY111" s="345"/>
      <c r="BZ111" s="615">
        <f>COUNTIF('ST | Drawing List'!$H:$H,"ST-T6V-2")</f>
        <v>7</v>
      </c>
      <c r="CA111" s="616">
        <f>COUNTIFS('ST | Drawing List'!$H:$H,"ST-T6V-2",'ST | Drawing List'!$J:$J,1)</f>
        <v>7</v>
      </c>
      <c r="CB111" s="623">
        <f>COUNTIFS('ST | Drawing List'!$H:$H,"ST-T6V-2",'ST | Drawing List'!$L:$L,1)</f>
        <v>0</v>
      </c>
      <c r="CC111" s="616">
        <f>COUNTIFS('ST | Drawing List'!$H:$H,"ST-T6V-2",'ST | Drawing List'!M:M,1)</f>
        <v>0</v>
      </c>
      <c r="CD111" s="616">
        <f>COUNTIFS('ST | Drawing List'!$H:$H,"ST-T6V-2",'ST | Drawing List'!N:N,1)</f>
        <v>0</v>
      </c>
      <c r="CE111" s="616">
        <f>COUNTIFS('ST | Drawing List'!$H:$H,"ST-T6V-2",'ST | Drawing List'!O:O,1)</f>
        <v>0</v>
      </c>
      <c r="CF111" s="616">
        <f>COUNTIFS('ST | Drawing List'!$H:$H,"ST-T6V-2",'ST | Drawing List'!P:P,1)</f>
        <v>0</v>
      </c>
      <c r="CG111" s="532"/>
      <c r="CH111" s="623">
        <f>COUNTIFS('ST | Drawing List'!$H:$H,"ST-T6V-2",'ST | Drawing List'!$Q:$Q,1)</f>
        <v>0</v>
      </c>
      <c r="CI111" s="616">
        <f>COUNTIFS('ST | Drawing List'!$H:$H,"ST-T6V-2",'ST | Drawing List'!R:R,1)</f>
        <v>0</v>
      </c>
      <c r="CJ111" s="616">
        <f>COUNTIFS('ST | Drawing List'!$H:$H,"ST-T6V-2",'ST | Drawing List'!S:S,1)</f>
        <v>0</v>
      </c>
      <c r="CK111" s="616">
        <f>COUNTIFS('ST | Drawing List'!$H:$H,"ST-T6V-2",'ST | Drawing List'!T:T,1)</f>
        <v>0</v>
      </c>
      <c r="CL111" s="616">
        <f>COUNTIFS('ST | Drawing List'!$H:$H,"ST-T6V-2",'ST | Drawing List'!U:U,1)</f>
        <v>0</v>
      </c>
      <c r="CM111" s="343"/>
      <c r="CN111" s="343"/>
      <c r="CO111" s="666">
        <v>0</v>
      </c>
      <c r="CP111" s="343"/>
      <c r="CQ111" s="616">
        <f t="shared" si="556"/>
        <v>0</v>
      </c>
      <c r="CR111" s="618">
        <f t="shared" si="236"/>
        <v>0</v>
      </c>
      <c r="CS111" s="615">
        <f t="shared" si="557"/>
        <v>0</v>
      </c>
      <c r="CT111" s="615">
        <f t="shared" si="558"/>
        <v>0</v>
      </c>
      <c r="CU111" s="615">
        <f t="shared" si="559"/>
        <v>0</v>
      </c>
      <c r="CV111" s="615">
        <f t="shared" si="560"/>
        <v>0</v>
      </c>
      <c r="CW111" s="615">
        <f t="shared" si="561"/>
        <v>0</v>
      </c>
      <c r="CX111" s="615">
        <f t="shared" si="562"/>
        <v>0</v>
      </c>
      <c r="CY111" s="339"/>
      <c r="CZ111" s="615">
        <f t="shared" si="563"/>
        <v>0</v>
      </c>
      <c r="DA111" s="615">
        <f t="shared" si="564"/>
        <v>0</v>
      </c>
      <c r="DB111" s="615">
        <f t="shared" si="565"/>
        <v>0</v>
      </c>
      <c r="DC111" s="615">
        <f t="shared" si="566"/>
        <v>0</v>
      </c>
      <c r="DD111" s="615">
        <f t="shared" si="567"/>
        <v>0</v>
      </c>
      <c r="DE111" s="339"/>
      <c r="DF111" s="625">
        <f t="shared" si="568"/>
        <v>1</v>
      </c>
      <c r="DG111" s="625">
        <f t="shared" si="569"/>
        <v>0</v>
      </c>
      <c r="DH111" s="625">
        <f t="shared" si="570"/>
        <v>0</v>
      </c>
      <c r="DI111" s="345"/>
      <c r="DJ111" s="615">
        <f>COUNTIF('MEP | Drawing List'!$H:$H,"MEP-T2V-6V-2")</f>
        <v>1</v>
      </c>
      <c r="DK111" s="616">
        <f>COUNTIFS('MEP | Drawing List'!$H:$H,"MEP-T2V-6V-2",'MEP | Drawing List'!$J:$J,1)</f>
        <v>1</v>
      </c>
      <c r="DL111" s="616">
        <f>COUNTIFS('MEP | Drawing List'!$H:$H,"MEP-T2V-6V-2",'MEP | Drawing List'!$L:$L,1)</f>
        <v>0</v>
      </c>
      <c r="DM111" s="615">
        <f>COUNTIFS('MEP | Drawing List'!$H:$H,"MEP-T2V-6V-2",'MEP | Drawing List'!M:M,1)</f>
        <v>0</v>
      </c>
      <c r="DN111" s="615">
        <f>COUNTIFS('MEP | Drawing List'!$H:$H,"MEP-T2V-6V-2",'MEP | Drawing List'!N:N,1)</f>
        <v>0</v>
      </c>
      <c r="DO111" s="615">
        <f>COUNTIFS('MEP | Drawing List'!$H:$H,"MEP-T2V-6V-2",'MEP | Drawing List'!O:O,1)</f>
        <v>0</v>
      </c>
      <c r="DP111" s="615">
        <f>COUNTIFS('MEP | Drawing List'!$H:$H,"MEP-T2V-6V-2",'MEP | Drawing List'!P:P,1)</f>
        <v>0</v>
      </c>
      <c r="DQ111" s="339"/>
      <c r="DR111" s="616">
        <f>COUNTIFS('MEP | Drawing List'!$H:$H,"MEP-T2V-6V-2",'MEP | Drawing List'!$Q:$Q,1)</f>
        <v>0</v>
      </c>
      <c r="DS111" s="615">
        <f>COUNTIFS('MEP | Drawing List'!$H:$H,"MEP-T2V-6V-2",'MEP | Drawing List'!R:R,1)</f>
        <v>0</v>
      </c>
      <c r="DT111" s="615">
        <f>COUNTIFS('MEP | Drawing List'!$H:$H,"MEP-T2V-6V-2",'MEP | Drawing List'!S:S,1)</f>
        <v>0</v>
      </c>
      <c r="DU111" s="615">
        <f>COUNTIFS('MEP | Drawing List'!$H:$H,"MEP-T2V-6V-2",'MEP | Drawing List'!T:T,1)</f>
        <v>0</v>
      </c>
      <c r="DV111" s="615">
        <f>COUNTIFS('MEP | Drawing List'!$H:$H,"MEP-T2V-6V-2",'MEP | Drawing List'!U:U,1)</f>
        <v>0</v>
      </c>
      <c r="DW111" s="343"/>
      <c r="DX111" s="343"/>
      <c r="DY111" s="525">
        <v>0</v>
      </c>
      <c r="DZ111" s="343"/>
      <c r="EA111" s="344">
        <v>0</v>
      </c>
      <c r="EB111" s="618">
        <f t="shared" si="237"/>
        <v>0</v>
      </c>
      <c r="EC111" s="81"/>
      <c r="ED111" s="81"/>
      <c r="EE111" s="339"/>
      <c r="EF111" s="339"/>
      <c r="EG111" s="339"/>
      <c r="EH111" s="339"/>
      <c r="EI111" s="339"/>
      <c r="EJ111" s="81"/>
      <c r="EK111" s="339"/>
      <c r="EL111" s="339"/>
      <c r="EM111" s="339"/>
      <c r="EN111" s="339"/>
      <c r="EO111" s="339"/>
      <c r="EP111" s="103"/>
      <c r="EQ111" s="103"/>
      <c r="ER111" s="103"/>
      <c r="ES111" s="55"/>
      <c r="ET111" s="615">
        <f>COUNTIF('LS | Drawing List'!$H:$H,"LS-T6V-2")</f>
        <v>0</v>
      </c>
      <c r="EU111" s="616">
        <f>COUNTIFS('LS | Drawing List'!$H:$H,"LS-T6V-2",'LS | Drawing List'!$J:$J,1)</f>
        <v>0</v>
      </c>
      <c r="EV111" s="616">
        <f>COUNTIFS('LS | Drawing List'!$H:$H,"LS-T6V-2",'LS | Drawing List'!$L:$L,1)</f>
        <v>0</v>
      </c>
      <c r="EW111" s="615">
        <f>COUNTIFS('LS | Drawing List'!$H:$H,"LS-T6V-2",'LS | Drawing List'!M:M,1)</f>
        <v>0</v>
      </c>
      <c r="EX111" s="615">
        <f>COUNTIFS('LS | Drawing List'!$H:$H,"LS-T6V-2",'LS | Drawing List'!N:N,1)</f>
        <v>0</v>
      </c>
      <c r="EY111" s="615">
        <f>COUNTIFS('LS | Drawing List'!$H:$H,"LS-T6V-2",'LS | Drawing List'!O:O,1)</f>
        <v>0</v>
      </c>
      <c r="EZ111" s="615">
        <f>COUNTIFS('LS | Drawing List'!$H:$H,"LS-T6V-2",'LS | Drawing List'!P:P,1)</f>
        <v>0</v>
      </c>
      <c r="FA111" s="81"/>
      <c r="FB111" s="616">
        <f>COUNTIFS('LS | Drawing List'!$H:$H,"LS-T6V-2",'LS | Drawing List'!$Q:$Q,1)</f>
        <v>0</v>
      </c>
      <c r="FC111" s="615">
        <f>COUNTIFS('LS | Drawing List'!$H:$H,"LS-T6V-2",'LS | Drawing List'!R:R,1)</f>
        <v>0</v>
      </c>
      <c r="FD111" s="615">
        <f>COUNTIFS('LS | Drawing List'!$H:$H,"LS-T6V-2",'LS | Drawing List'!S:S,1)</f>
        <v>0</v>
      </c>
      <c r="FE111" s="615">
        <f>COUNTIFS('LS | Drawing List'!$H:$H,"LS-T6V-2",'LS | Drawing List'!T:T,1)</f>
        <v>0</v>
      </c>
      <c r="FF111" s="615">
        <f>COUNTIFS('LS | Drawing List'!$H:$H,"LS-T6V-2",'LS | Drawing List'!U:U,1)</f>
        <v>0</v>
      </c>
      <c r="FG111" s="48"/>
    </row>
    <row r="112" spans="1:163" ht="14.25" hidden="1" outlineLevel="2">
      <c r="A112" s="48"/>
      <c r="B112" s="87" t="s">
        <v>119</v>
      </c>
      <c r="C112" s="276">
        <v>3</v>
      </c>
      <c r="D112" s="272" t="s">
        <v>56</v>
      </c>
      <c r="E112" s="48"/>
      <c r="F112" s="619">
        <f t="shared" si="522"/>
        <v>0.11081600000000003</v>
      </c>
      <c r="G112" s="619">
        <f t="shared" si="523"/>
        <v>0.11081600000000003</v>
      </c>
      <c r="H112" s="615">
        <f t="shared" si="524"/>
        <v>0</v>
      </c>
      <c r="I112" s="615">
        <f t="shared" si="496"/>
        <v>0</v>
      </c>
      <c r="J112" s="615">
        <f t="shared" si="497"/>
        <v>0</v>
      </c>
      <c r="K112" s="615">
        <f t="shared" si="498"/>
        <v>0</v>
      </c>
      <c r="L112" s="615">
        <f t="shared" si="499"/>
        <v>0</v>
      </c>
      <c r="M112" s="620">
        <f t="shared" si="500"/>
        <v>0</v>
      </c>
      <c r="N112" s="287"/>
      <c r="O112" s="615">
        <f t="shared" si="501"/>
        <v>0</v>
      </c>
      <c r="P112" s="615">
        <f t="shared" si="502"/>
        <v>0</v>
      </c>
      <c r="Q112" s="615">
        <f t="shared" si="503"/>
        <v>0</v>
      </c>
      <c r="R112" s="615">
        <f t="shared" si="504"/>
        <v>0</v>
      </c>
      <c r="S112" s="615">
        <f t="shared" si="505"/>
        <v>0</v>
      </c>
      <c r="T112" s="48"/>
      <c r="U112" s="519">
        <v>0.05</v>
      </c>
      <c r="V112" s="131"/>
      <c r="W112" s="619">
        <f t="shared" si="525"/>
        <v>0.11081600000000003</v>
      </c>
      <c r="X112" s="619">
        <f t="shared" si="234"/>
        <v>0.11081600000000003</v>
      </c>
      <c r="Y112" s="615">
        <f t="shared" si="526"/>
        <v>0.11081600000000003</v>
      </c>
      <c r="Z112" s="615">
        <f t="shared" si="527"/>
        <v>0</v>
      </c>
      <c r="AA112" s="615">
        <f t="shared" si="528"/>
        <v>0</v>
      </c>
      <c r="AB112" s="615">
        <f t="shared" si="529"/>
        <v>0</v>
      </c>
      <c r="AC112" s="615">
        <f t="shared" si="530"/>
        <v>0</v>
      </c>
      <c r="AD112" s="620">
        <f t="shared" si="531"/>
        <v>0</v>
      </c>
      <c r="AE112" s="287"/>
      <c r="AF112" s="615">
        <f t="shared" si="532"/>
        <v>0</v>
      </c>
      <c r="AG112" s="615">
        <f t="shared" si="533"/>
        <v>0</v>
      </c>
      <c r="AH112" s="615">
        <f t="shared" si="534"/>
        <v>0</v>
      </c>
      <c r="AI112" s="615">
        <f t="shared" si="535"/>
        <v>0</v>
      </c>
      <c r="AJ112" s="615">
        <f t="shared" si="536"/>
        <v>0</v>
      </c>
      <c r="AK112" s="339"/>
      <c r="AL112" s="625">
        <f t="shared" si="537"/>
        <v>1</v>
      </c>
      <c r="AM112" s="625">
        <f t="shared" si="538"/>
        <v>0</v>
      </c>
      <c r="AN112" s="625">
        <f t="shared" si="539"/>
        <v>0</v>
      </c>
      <c r="AO112" s="345"/>
      <c r="AP112" s="615">
        <f>COUNTIF('AR | Drawing List'!$H:$H,"AR-T6V-3")</f>
        <v>2</v>
      </c>
      <c r="AQ112" s="616">
        <f>COUNTIFS('AR | Drawing List'!$H:$H,"AR-T6V-3",'AR | Drawing List'!$J:$J,1)</f>
        <v>2</v>
      </c>
      <c r="AR112" s="616">
        <f t="shared" si="238"/>
        <v>0</v>
      </c>
      <c r="AS112" s="616">
        <f>COUNTIFS('AR | Drawing List'!$H:$H,"AR-T6V-3",'AR | Drawing List'!M:M,1)</f>
        <v>0</v>
      </c>
      <c r="AT112" s="616">
        <f>COUNTIFS('AR | Drawing List'!$H:$H,"AR-T6V-3",'AR | Drawing List'!N:N,1)</f>
        <v>0</v>
      </c>
      <c r="AU112" s="616">
        <f>COUNTIFS('AR | Drawing List'!$H:$H,"AR-T6V-3",'AR | Drawing List'!O:O,1)</f>
        <v>0</v>
      </c>
      <c r="AV112" s="616">
        <f>COUNTIFS('AR | Drawing List'!$H:$H,"AR-T6V-3",'AR | Drawing List'!P:P,1)</f>
        <v>0</v>
      </c>
      <c r="AW112" s="328"/>
      <c r="AX112" s="616">
        <f t="shared" si="540"/>
        <v>0</v>
      </c>
      <c r="AY112" s="616">
        <f>COUNTIFS('AR | Drawing List'!$H:$H,"AR-T6V-3",'AR | Drawing List'!R:R,1)</f>
        <v>0</v>
      </c>
      <c r="AZ112" s="616">
        <f>COUNTIFS('AR | Drawing List'!$H:$H,"AR-T6V-3",'AR | Drawing List'!S:S,1)</f>
        <v>0</v>
      </c>
      <c r="BA112" s="616">
        <f>COUNTIFS('AR | Drawing List'!$H:$H,"AR-T6V-3",'AR | Drawing List'!T:T,1)</f>
        <v>0</v>
      </c>
      <c r="BB112" s="616">
        <f>COUNTIFS('AR | Drawing List'!$H:$H,"AR-T6V-3",'AR | Drawing List'!U:U,1)</f>
        <v>0</v>
      </c>
      <c r="BC112" s="328"/>
      <c r="BD112" s="328"/>
      <c r="BE112" s="666">
        <v>0</v>
      </c>
      <c r="BF112" s="343"/>
      <c r="BG112" s="616">
        <f t="shared" si="541"/>
        <v>0</v>
      </c>
      <c r="BH112" s="618">
        <f t="shared" si="235"/>
        <v>0</v>
      </c>
      <c r="BI112" s="615">
        <f t="shared" si="542"/>
        <v>0</v>
      </c>
      <c r="BJ112" s="615">
        <f t="shared" si="543"/>
        <v>0</v>
      </c>
      <c r="BK112" s="615">
        <f t="shared" si="544"/>
        <v>0</v>
      </c>
      <c r="BL112" s="615">
        <f t="shared" si="545"/>
        <v>0</v>
      </c>
      <c r="BM112" s="615">
        <f t="shared" si="546"/>
        <v>0</v>
      </c>
      <c r="BN112" s="615">
        <f t="shared" si="547"/>
        <v>0</v>
      </c>
      <c r="BO112" s="339"/>
      <c r="BP112" s="615">
        <f t="shared" si="548"/>
        <v>0</v>
      </c>
      <c r="BQ112" s="615">
        <f t="shared" si="549"/>
        <v>0</v>
      </c>
      <c r="BR112" s="615">
        <f t="shared" si="550"/>
        <v>0</v>
      </c>
      <c r="BS112" s="615">
        <f t="shared" si="551"/>
        <v>0</v>
      </c>
      <c r="BT112" s="615">
        <f t="shared" si="552"/>
        <v>0</v>
      </c>
      <c r="BU112" s="339"/>
      <c r="BV112" s="635">
        <f t="shared" si="553"/>
        <v>0</v>
      </c>
      <c r="BW112" s="635">
        <f t="shared" si="554"/>
        <v>0</v>
      </c>
      <c r="BX112" s="635">
        <f t="shared" si="555"/>
        <v>0</v>
      </c>
      <c r="BY112" s="345"/>
      <c r="BZ112" s="615">
        <f>COUNTIF('ST | Drawing List'!$H:$H,"ST-T6V-3")</f>
        <v>0</v>
      </c>
      <c r="CA112" s="616">
        <f>COUNTIFS('ST | Drawing List'!$H:$H,"ST-T6V-3",'ST | Drawing List'!$J:$J,1)</f>
        <v>0</v>
      </c>
      <c r="CB112" s="623">
        <f>COUNTIFS('ST | Drawing List'!$H:$H,"ST-T6V-3",'ST | Drawing List'!$L:$L,1)</f>
        <v>0</v>
      </c>
      <c r="CC112" s="616">
        <f>COUNTIFS('ST | Drawing List'!$H:$H,"ST-T6V-3",'ST | Drawing List'!M:M,1)</f>
        <v>0</v>
      </c>
      <c r="CD112" s="616">
        <f>COUNTIFS('ST | Drawing List'!$H:$H,"ST-T6V-3",'ST | Drawing List'!N:N,1)</f>
        <v>0</v>
      </c>
      <c r="CE112" s="616">
        <f>COUNTIFS('ST | Drawing List'!$H:$H,"ST-T6V-3",'ST | Drawing List'!O:O,1)</f>
        <v>0</v>
      </c>
      <c r="CF112" s="616">
        <f>COUNTIFS('ST | Drawing List'!$H:$H,"ST-T6V-3",'ST | Drawing List'!P:P,1)</f>
        <v>0</v>
      </c>
      <c r="CG112" s="532"/>
      <c r="CH112" s="623">
        <f>COUNTIFS('ST | Drawing List'!$H:$H,"ST-T6V-3",'ST | Drawing List'!$Q:$Q,1)</f>
        <v>0</v>
      </c>
      <c r="CI112" s="616">
        <f>COUNTIFS('ST | Drawing List'!$H:$H,"ST-T6V-3",'ST | Drawing List'!R:R,1)</f>
        <v>0</v>
      </c>
      <c r="CJ112" s="616">
        <f>COUNTIFS('ST | Drawing List'!$H:$H,"ST-T6V-3",'ST | Drawing List'!S:S,1)</f>
        <v>0</v>
      </c>
      <c r="CK112" s="616">
        <f>COUNTIFS('ST | Drawing List'!$H:$H,"ST-T6V-3",'ST | Drawing List'!T:T,1)</f>
        <v>0</v>
      </c>
      <c r="CL112" s="616">
        <f>COUNTIFS('ST | Drawing List'!$H:$H,"ST-T6V-3",'ST | Drawing List'!U:U,1)</f>
        <v>0</v>
      </c>
      <c r="CM112" s="343"/>
      <c r="CN112" s="343"/>
      <c r="CO112" s="666">
        <v>0</v>
      </c>
      <c r="CP112" s="343"/>
      <c r="CQ112" s="616">
        <f t="shared" si="556"/>
        <v>0</v>
      </c>
      <c r="CR112" s="618">
        <f t="shared" si="236"/>
        <v>0</v>
      </c>
      <c r="CS112" s="615">
        <f t="shared" si="557"/>
        <v>0</v>
      </c>
      <c r="CT112" s="615">
        <f t="shared" si="558"/>
        <v>0</v>
      </c>
      <c r="CU112" s="615">
        <f t="shared" si="559"/>
        <v>0</v>
      </c>
      <c r="CV112" s="615">
        <f t="shared" si="560"/>
        <v>0</v>
      </c>
      <c r="CW112" s="615">
        <f t="shared" si="561"/>
        <v>0</v>
      </c>
      <c r="CX112" s="615">
        <f t="shared" si="562"/>
        <v>0</v>
      </c>
      <c r="CY112" s="339"/>
      <c r="CZ112" s="615">
        <f t="shared" si="563"/>
        <v>0</v>
      </c>
      <c r="DA112" s="615">
        <f t="shared" si="564"/>
        <v>0</v>
      </c>
      <c r="DB112" s="615">
        <f t="shared" si="565"/>
        <v>0</v>
      </c>
      <c r="DC112" s="615">
        <f t="shared" si="566"/>
        <v>0</v>
      </c>
      <c r="DD112" s="615">
        <f t="shared" si="567"/>
        <v>0</v>
      </c>
      <c r="DE112" s="339"/>
      <c r="DF112" s="625">
        <f t="shared" si="568"/>
        <v>0</v>
      </c>
      <c r="DG112" s="625">
        <f t="shared" si="569"/>
        <v>0</v>
      </c>
      <c r="DH112" s="625">
        <f t="shared" si="570"/>
        <v>0</v>
      </c>
      <c r="DI112" s="345"/>
      <c r="DJ112" s="615">
        <f>COUNTIF('MEP | Drawing List'!$H:$H,"MEP-T2V-6V-3")</f>
        <v>0</v>
      </c>
      <c r="DK112" s="616">
        <f>COUNTIFS('MEP | Drawing List'!$H:$H,"MEP-T2V-6V-3",'MEP | Drawing List'!$J:$J,1)</f>
        <v>0</v>
      </c>
      <c r="DL112" s="616">
        <f>COUNTIFS('MEP | Drawing List'!$H:$H,"MEP-T2V-6V-3",'MEP | Drawing List'!$L:$L,1)</f>
        <v>0</v>
      </c>
      <c r="DM112" s="615">
        <f>COUNTIFS('MEP | Drawing List'!$H:$H,"MEP-T2V-6V-3",'MEP | Drawing List'!M:M,1)</f>
        <v>0</v>
      </c>
      <c r="DN112" s="615">
        <f>COUNTIFS('MEP | Drawing List'!$H:$H,"MEP-T2V-6V-3",'MEP | Drawing List'!N:N,1)</f>
        <v>0</v>
      </c>
      <c r="DO112" s="615">
        <f>COUNTIFS('MEP | Drawing List'!$H:$H,"MEP-T2V-6V-3",'MEP | Drawing List'!O:O,1)</f>
        <v>0</v>
      </c>
      <c r="DP112" s="615">
        <f>COUNTIFS('MEP | Drawing List'!$H:$H,"MEP-T2V-6V-3",'MEP | Drawing List'!P:P,1)</f>
        <v>0</v>
      </c>
      <c r="DQ112" s="339"/>
      <c r="DR112" s="616">
        <f>COUNTIFS('MEP | Drawing List'!$H:$H,"MEP-T2V-6V-3",'MEP | Drawing List'!$Q:$Q,1)</f>
        <v>0</v>
      </c>
      <c r="DS112" s="615">
        <f>COUNTIFS('MEP | Drawing List'!$H:$H,"MEP-T2V-6V-3",'MEP | Drawing List'!R:R,1)</f>
        <v>0</v>
      </c>
      <c r="DT112" s="615">
        <f>COUNTIFS('MEP | Drawing List'!$H:$H,"MEP-T2V-6V-3",'MEP | Drawing List'!S:S,1)</f>
        <v>0</v>
      </c>
      <c r="DU112" s="615">
        <f>COUNTIFS('MEP | Drawing List'!$H:$H,"MEP-T2V-6V-3",'MEP | Drawing List'!T:T,1)</f>
        <v>0</v>
      </c>
      <c r="DV112" s="615">
        <f>COUNTIFS('MEP | Drawing List'!$H:$H,"MEP-T2V-6V-3",'MEP | Drawing List'!U:U,1)</f>
        <v>0</v>
      </c>
      <c r="DW112" s="343"/>
      <c r="DX112" s="343"/>
      <c r="DY112" s="525">
        <v>0</v>
      </c>
      <c r="DZ112" s="343"/>
      <c r="EA112" s="344">
        <v>0</v>
      </c>
      <c r="EB112" s="618">
        <f t="shared" si="237"/>
        <v>0</v>
      </c>
      <c r="EC112" s="81"/>
      <c r="ED112" s="81"/>
      <c r="EE112" s="339"/>
      <c r="EF112" s="339"/>
      <c r="EG112" s="339"/>
      <c r="EH112" s="339"/>
      <c r="EI112" s="339"/>
      <c r="EJ112" s="81"/>
      <c r="EK112" s="339"/>
      <c r="EL112" s="339"/>
      <c r="EM112" s="339"/>
      <c r="EN112" s="339"/>
      <c r="EO112" s="339"/>
      <c r="EP112" s="103"/>
      <c r="EQ112" s="103"/>
      <c r="ER112" s="103"/>
      <c r="ES112" s="55"/>
      <c r="ET112" s="615">
        <f>COUNTIF('LS | Drawing List'!$H:$H,"LS-T6V-3")</f>
        <v>0</v>
      </c>
      <c r="EU112" s="616">
        <f>COUNTIFS('LS | Drawing List'!$H:$H,"LS-T6V-3",'LS | Drawing List'!$J:$J,1)</f>
        <v>0</v>
      </c>
      <c r="EV112" s="616">
        <f>COUNTIFS('LS | Drawing List'!$H:$H,"LS-T6V-3",'LS | Drawing List'!$L:$L,1)</f>
        <v>0</v>
      </c>
      <c r="EW112" s="615">
        <f>COUNTIFS('LS | Drawing List'!$H:$H,"LS-T6V-3",'LS | Drawing List'!M:M,1)</f>
        <v>0</v>
      </c>
      <c r="EX112" s="615">
        <f>COUNTIFS('LS | Drawing List'!$H:$H,"LS-T6V-3",'LS | Drawing List'!N:N,1)</f>
        <v>0</v>
      </c>
      <c r="EY112" s="615">
        <f>COUNTIFS('LS | Drawing List'!$H:$H,"LS-T6V-3",'LS | Drawing List'!O:O,1)</f>
        <v>0</v>
      </c>
      <c r="EZ112" s="615">
        <f>COUNTIFS('LS | Drawing List'!$H:$H,"LS-T6V-3",'LS | Drawing List'!P:P,1)</f>
        <v>0</v>
      </c>
      <c r="FA112" s="81"/>
      <c r="FB112" s="616">
        <f>COUNTIFS('LS | Drawing List'!$H:$H,"LS-T6V-3",'LS | Drawing List'!$Q:$Q,1)</f>
        <v>0</v>
      </c>
      <c r="FC112" s="615">
        <f>COUNTIFS('LS | Drawing List'!$H:$H,"LS-T6V-3",'LS | Drawing List'!R:R,1)</f>
        <v>0</v>
      </c>
      <c r="FD112" s="615">
        <f>COUNTIFS('LS | Drawing List'!$H:$H,"LS-T6V-3",'LS | Drawing List'!S:S,1)</f>
        <v>0</v>
      </c>
      <c r="FE112" s="615">
        <f>COUNTIFS('LS | Drawing List'!$H:$H,"LS-T6V-3",'LS | Drawing List'!T:T,1)</f>
        <v>0</v>
      </c>
      <c r="FF112" s="615">
        <f>COUNTIFS('LS | Drawing List'!$H:$H,"LS-T6V-3",'LS | Drawing List'!U:U,1)</f>
        <v>0</v>
      </c>
      <c r="FG112" s="48"/>
    </row>
    <row r="113" spans="1:163" ht="14.25" hidden="1" outlineLevel="2">
      <c r="A113" s="48"/>
      <c r="B113" s="87" t="s">
        <v>120</v>
      </c>
      <c r="C113" s="276">
        <v>4</v>
      </c>
      <c r="D113" s="272" t="s">
        <v>58</v>
      </c>
      <c r="E113" s="48"/>
      <c r="F113" s="619">
        <f t="shared" si="522"/>
        <v>0.22218752000000003</v>
      </c>
      <c r="G113" s="619">
        <f t="shared" si="523"/>
        <v>0.22218752000000003</v>
      </c>
      <c r="H113" s="615">
        <f t="shared" si="524"/>
        <v>0</v>
      </c>
      <c r="I113" s="615">
        <f t="shared" si="496"/>
        <v>0</v>
      </c>
      <c r="J113" s="615">
        <f t="shared" si="497"/>
        <v>0</v>
      </c>
      <c r="K113" s="615">
        <f t="shared" si="498"/>
        <v>0</v>
      </c>
      <c r="L113" s="615">
        <f t="shared" si="499"/>
        <v>0</v>
      </c>
      <c r="M113" s="620">
        <f t="shared" si="500"/>
        <v>0</v>
      </c>
      <c r="N113" s="287"/>
      <c r="O113" s="615">
        <f t="shared" si="501"/>
        <v>0</v>
      </c>
      <c r="P113" s="615">
        <f t="shared" si="502"/>
        <v>0</v>
      </c>
      <c r="Q113" s="615">
        <f t="shared" si="503"/>
        <v>0</v>
      </c>
      <c r="R113" s="615">
        <f t="shared" si="504"/>
        <v>0</v>
      </c>
      <c r="S113" s="615">
        <f t="shared" si="505"/>
        <v>0</v>
      </c>
      <c r="T113" s="48"/>
      <c r="U113" s="519">
        <v>0.05</v>
      </c>
      <c r="V113" s="131"/>
      <c r="W113" s="619">
        <f t="shared" si="525"/>
        <v>0.11081600000000003</v>
      </c>
      <c r="X113" s="619">
        <f t="shared" si="234"/>
        <v>0.11081600000000003</v>
      </c>
      <c r="Y113" s="615">
        <f t="shared" si="526"/>
        <v>0.11081600000000003</v>
      </c>
      <c r="Z113" s="615">
        <f t="shared" si="527"/>
        <v>0</v>
      </c>
      <c r="AA113" s="615">
        <f t="shared" si="528"/>
        <v>0</v>
      </c>
      <c r="AB113" s="615">
        <f t="shared" si="529"/>
        <v>0</v>
      </c>
      <c r="AC113" s="615">
        <f t="shared" si="530"/>
        <v>0</v>
      </c>
      <c r="AD113" s="620">
        <f t="shared" si="531"/>
        <v>0</v>
      </c>
      <c r="AE113" s="287"/>
      <c r="AF113" s="615">
        <f t="shared" si="532"/>
        <v>0</v>
      </c>
      <c r="AG113" s="615">
        <f t="shared" si="533"/>
        <v>0</v>
      </c>
      <c r="AH113" s="615">
        <f t="shared" si="534"/>
        <v>0</v>
      </c>
      <c r="AI113" s="615">
        <f t="shared" si="535"/>
        <v>0</v>
      </c>
      <c r="AJ113" s="615">
        <f t="shared" si="536"/>
        <v>0</v>
      </c>
      <c r="AK113" s="339"/>
      <c r="AL113" s="625">
        <f t="shared" si="537"/>
        <v>1</v>
      </c>
      <c r="AM113" s="625">
        <f t="shared" si="538"/>
        <v>0</v>
      </c>
      <c r="AN113" s="625">
        <f t="shared" si="539"/>
        <v>0</v>
      </c>
      <c r="AO113" s="345"/>
      <c r="AP113" s="615">
        <f>COUNTIF('AR | Drawing List'!$H:$H,"AR-T6V-4")</f>
        <v>2</v>
      </c>
      <c r="AQ113" s="616">
        <f>COUNTIFS('AR | Drawing List'!$H:$H,"AR-T6V-4",'AR | Drawing List'!$J:$J,1)</f>
        <v>2</v>
      </c>
      <c r="AR113" s="616">
        <f t="shared" si="238"/>
        <v>0</v>
      </c>
      <c r="AS113" s="616">
        <f>COUNTIFS('AR | Drawing List'!$H:$H,"AR-T6V-4",'AR | Drawing List'!M:M,1)</f>
        <v>0</v>
      </c>
      <c r="AT113" s="616">
        <f>COUNTIFS('AR | Drawing List'!$H:$H,"AR-T6V-4",'AR | Drawing List'!N:N,1)</f>
        <v>0</v>
      </c>
      <c r="AU113" s="616">
        <f>COUNTIFS('AR | Drawing List'!$H:$H,"AR-T6V-4",'AR | Drawing List'!O:O,1)</f>
        <v>0</v>
      </c>
      <c r="AV113" s="616">
        <f>COUNTIFS('AR | Drawing List'!$H:$H,"AR-T6V-4",'AR | Drawing List'!P:P,1)</f>
        <v>0</v>
      </c>
      <c r="AW113" s="328"/>
      <c r="AX113" s="616">
        <f t="shared" si="540"/>
        <v>0</v>
      </c>
      <c r="AY113" s="616">
        <f>COUNTIFS('AR | Drawing List'!$H:$H,"AR-T6V-4",'AR | Drawing List'!R:R,1)</f>
        <v>0</v>
      </c>
      <c r="AZ113" s="616">
        <f>COUNTIFS('AR | Drawing List'!$H:$H,"AR-T6V-4",'AR | Drawing List'!S:S,1)</f>
        <v>0</v>
      </c>
      <c r="BA113" s="616">
        <f>COUNTIFS('AR | Drawing List'!$H:$H,"AR-T6V-4",'AR | Drawing List'!T:T,1)</f>
        <v>0</v>
      </c>
      <c r="BB113" s="616">
        <f>COUNTIFS('AR | Drawing List'!$H:$H,"AR-T6V-4",'AR | Drawing List'!U:U,1)</f>
        <v>0</v>
      </c>
      <c r="BC113" s="328"/>
      <c r="BD113" s="328"/>
      <c r="BE113" s="523">
        <v>0.1</v>
      </c>
      <c r="BF113" s="343"/>
      <c r="BG113" s="616">
        <f t="shared" si="541"/>
        <v>9.2401919999999999E-2</v>
      </c>
      <c r="BH113" s="618">
        <f t="shared" si="235"/>
        <v>9.2401919999999999E-2</v>
      </c>
      <c r="BI113" s="615">
        <f t="shared" si="542"/>
        <v>9.2401919999999999E-2</v>
      </c>
      <c r="BJ113" s="615">
        <f t="shared" si="543"/>
        <v>0</v>
      </c>
      <c r="BK113" s="615">
        <f t="shared" si="544"/>
        <v>0</v>
      </c>
      <c r="BL113" s="615">
        <f t="shared" si="545"/>
        <v>0</v>
      </c>
      <c r="BM113" s="615">
        <f t="shared" si="546"/>
        <v>0</v>
      </c>
      <c r="BN113" s="615">
        <f t="shared" si="547"/>
        <v>0</v>
      </c>
      <c r="BO113" s="339"/>
      <c r="BP113" s="615">
        <f t="shared" si="548"/>
        <v>0</v>
      </c>
      <c r="BQ113" s="615">
        <f t="shared" si="549"/>
        <v>0</v>
      </c>
      <c r="BR113" s="615">
        <f t="shared" si="550"/>
        <v>0</v>
      </c>
      <c r="BS113" s="615">
        <f t="shared" si="551"/>
        <v>0</v>
      </c>
      <c r="BT113" s="615">
        <f t="shared" si="552"/>
        <v>0</v>
      </c>
      <c r="BU113" s="339"/>
      <c r="BV113" s="635">
        <f t="shared" si="553"/>
        <v>1</v>
      </c>
      <c r="BW113" s="635">
        <f t="shared" si="554"/>
        <v>0</v>
      </c>
      <c r="BX113" s="635">
        <f t="shared" si="555"/>
        <v>0</v>
      </c>
      <c r="BY113" s="345"/>
      <c r="BZ113" s="615">
        <f>COUNTIF('ST | Drawing List'!$H:$H,"ST-T6V-4")</f>
        <v>6</v>
      </c>
      <c r="CA113" s="616">
        <f>COUNTIFS('ST | Drawing List'!$H:$H,"ST-T6V-4",'ST | Drawing List'!$J:$J,1)</f>
        <v>6</v>
      </c>
      <c r="CB113" s="623">
        <f>COUNTIFS('ST | Drawing List'!$H:$H,"ST-T6V-4",'ST | Drawing List'!$L:$L,1)</f>
        <v>0</v>
      </c>
      <c r="CC113" s="616">
        <f>COUNTIFS('ST | Drawing List'!$H:$H,"ST-T6V-4",'ST | Drawing List'!M:M,1)</f>
        <v>0</v>
      </c>
      <c r="CD113" s="616">
        <f>COUNTIFS('ST | Drawing List'!$H:$H,"ST-T6V-4",'ST | Drawing List'!N:N,1)</f>
        <v>0</v>
      </c>
      <c r="CE113" s="616">
        <f>COUNTIFS('ST | Drawing List'!$H:$H,"ST-T6V-4",'ST | Drawing List'!O:O,1)</f>
        <v>0</v>
      </c>
      <c r="CF113" s="616">
        <f>COUNTIFS('ST | Drawing List'!$H:$H,"ST-T6V-4",'ST | Drawing List'!P:P,1)</f>
        <v>0</v>
      </c>
      <c r="CG113" s="532"/>
      <c r="CH113" s="623">
        <f>COUNTIFS('ST | Drawing List'!$H:$H,"ST-T6V-4",'ST | Drawing List'!$Q:$Q,1)</f>
        <v>0</v>
      </c>
      <c r="CI113" s="616">
        <f>COUNTIFS('ST | Drawing List'!$H:$H,"ST-T6V-4",'ST | Drawing List'!R:R,1)</f>
        <v>0</v>
      </c>
      <c r="CJ113" s="616">
        <f>COUNTIFS('ST | Drawing List'!$H:$H,"ST-T6V-4",'ST | Drawing List'!S:S,1)</f>
        <v>0</v>
      </c>
      <c r="CK113" s="616">
        <f>COUNTIFS('ST | Drawing List'!$H:$H,"ST-T6V-4",'ST | Drawing List'!T:T,1)</f>
        <v>0</v>
      </c>
      <c r="CL113" s="616">
        <f>COUNTIFS('ST | Drawing List'!$H:$H,"ST-T6V-4",'ST | Drawing List'!U:U,1)</f>
        <v>0</v>
      </c>
      <c r="CM113" s="343"/>
      <c r="CN113" s="343"/>
      <c r="CO113" s="523">
        <v>0.15</v>
      </c>
      <c r="CP113" s="343"/>
      <c r="CQ113" s="616">
        <f t="shared" si="556"/>
        <v>1.8969600000000003E-2</v>
      </c>
      <c r="CR113" s="618">
        <f t="shared" si="236"/>
        <v>1.8969600000000003E-2</v>
      </c>
      <c r="CS113" s="615">
        <f t="shared" si="557"/>
        <v>1.8969600000000003E-2</v>
      </c>
      <c r="CT113" s="615">
        <f t="shared" si="558"/>
        <v>0</v>
      </c>
      <c r="CU113" s="615">
        <f t="shared" si="559"/>
        <v>0</v>
      </c>
      <c r="CV113" s="615">
        <f t="shared" si="560"/>
        <v>0</v>
      </c>
      <c r="CW113" s="615">
        <f t="shared" si="561"/>
        <v>0</v>
      </c>
      <c r="CX113" s="615">
        <f t="shared" si="562"/>
        <v>0</v>
      </c>
      <c r="CY113" s="339"/>
      <c r="CZ113" s="615">
        <f t="shared" si="563"/>
        <v>0</v>
      </c>
      <c r="DA113" s="615">
        <f t="shared" si="564"/>
        <v>0</v>
      </c>
      <c r="DB113" s="615">
        <f t="shared" si="565"/>
        <v>0</v>
      </c>
      <c r="DC113" s="615">
        <f t="shared" si="566"/>
        <v>0</v>
      </c>
      <c r="DD113" s="615">
        <f t="shared" si="567"/>
        <v>0</v>
      </c>
      <c r="DE113" s="339"/>
      <c r="DF113" s="625">
        <f t="shared" si="568"/>
        <v>1</v>
      </c>
      <c r="DG113" s="625">
        <f t="shared" si="569"/>
        <v>0</v>
      </c>
      <c r="DH113" s="625">
        <f t="shared" si="570"/>
        <v>0</v>
      </c>
      <c r="DI113" s="345"/>
      <c r="DJ113" s="615">
        <f>COUNTIF('MEP | Drawing List'!$H:$H,"MEP-T2V-6V-4")</f>
        <v>23</v>
      </c>
      <c r="DK113" s="616">
        <f>COUNTIFS('MEP | Drawing List'!$H:$H,"MEP-T2V-6V-4",'MEP | Drawing List'!$J:$J,1)</f>
        <v>23</v>
      </c>
      <c r="DL113" s="616">
        <f>COUNTIFS('MEP | Drawing List'!$H:$H,"MEP-T2V-6V-4",'MEP | Drawing List'!$L:$L,1)</f>
        <v>0</v>
      </c>
      <c r="DM113" s="615">
        <f>COUNTIFS('MEP | Drawing List'!$H:$H,"MEP-T2V-6V-4",'MEP | Drawing List'!M:M,1)</f>
        <v>0</v>
      </c>
      <c r="DN113" s="615">
        <f>COUNTIFS('MEP | Drawing List'!$H:$H,"MEP-T2V-6V-4",'MEP | Drawing List'!N:N,1)</f>
        <v>0</v>
      </c>
      <c r="DO113" s="615">
        <f>COUNTIFS('MEP | Drawing List'!$H:$H,"MEP-T2V-6V-4",'MEP | Drawing List'!O:O,1)</f>
        <v>0</v>
      </c>
      <c r="DP113" s="615">
        <f>COUNTIFS('MEP | Drawing List'!$H:$H,"MEP-T2V-6V-4",'MEP | Drawing List'!P:P,1)</f>
        <v>0</v>
      </c>
      <c r="DQ113" s="339"/>
      <c r="DR113" s="616">
        <f>COUNTIFS('MEP | Drawing List'!$H:$H,"MEP-T2V-6V-4",'MEP | Drawing List'!$Q:$Q,1)</f>
        <v>0</v>
      </c>
      <c r="DS113" s="615">
        <f>COUNTIFS('MEP | Drawing List'!$H:$H,"MEP-T2V-6V-4",'MEP | Drawing List'!R:R,1)</f>
        <v>0</v>
      </c>
      <c r="DT113" s="615">
        <f>COUNTIFS('MEP | Drawing List'!$H:$H,"MEP-T2V-6V-4",'MEP | Drawing List'!S:S,1)</f>
        <v>0</v>
      </c>
      <c r="DU113" s="615">
        <f>COUNTIFS('MEP | Drawing List'!$H:$H,"MEP-T2V-6V-4",'MEP | Drawing List'!T:T,1)</f>
        <v>0</v>
      </c>
      <c r="DV113" s="615">
        <f>COUNTIFS('MEP | Drawing List'!$H:$H,"MEP-T2V-6V-4",'MEP | Drawing List'!U:U,1)</f>
        <v>0</v>
      </c>
      <c r="DW113" s="343"/>
      <c r="DX113" s="343"/>
      <c r="DY113" s="525">
        <v>0</v>
      </c>
      <c r="DZ113" s="343"/>
      <c r="EA113" s="344">
        <v>0</v>
      </c>
      <c r="EB113" s="618">
        <f t="shared" si="237"/>
        <v>0</v>
      </c>
      <c r="EC113" s="85"/>
      <c r="ED113" s="85"/>
      <c r="EE113" s="339"/>
      <c r="EF113" s="339"/>
      <c r="EG113" s="339"/>
      <c r="EH113" s="339"/>
      <c r="EI113" s="339"/>
      <c r="EJ113" s="85"/>
      <c r="EK113" s="339"/>
      <c r="EL113" s="339"/>
      <c r="EM113" s="339"/>
      <c r="EN113" s="339"/>
      <c r="EO113" s="339"/>
      <c r="EP113" s="639"/>
      <c r="EQ113" s="639"/>
      <c r="ER113" s="639"/>
      <c r="ES113" s="55"/>
      <c r="ET113" s="615">
        <f>COUNTIF('LS | Drawing List'!$H:$H,"LS-T6V-4")</f>
        <v>0</v>
      </c>
      <c r="EU113" s="616">
        <f>COUNTIFS('LS | Drawing List'!$H:$H,"LS-T6V-4",'LS | Drawing List'!$J:$J,1)</f>
        <v>0</v>
      </c>
      <c r="EV113" s="616">
        <f>COUNTIFS('LS | Drawing List'!$H:$H,"LS-T6V-4",'LS | Drawing List'!$L:$L,1)</f>
        <v>0</v>
      </c>
      <c r="EW113" s="615">
        <f>COUNTIFS('LS | Drawing List'!$H:$H,"LS-T6V-4",'LS | Drawing List'!M:M,1)</f>
        <v>0</v>
      </c>
      <c r="EX113" s="615">
        <f>COUNTIFS('LS | Drawing List'!$H:$H,"LS-T6V-4",'LS | Drawing List'!N:N,1)</f>
        <v>0</v>
      </c>
      <c r="EY113" s="615">
        <f>COUNTIFS('LS | Drawing List'!$H:$H,"LS-T6V-4",'LS | Drawing List'!O:O,1)</f>
        <v>0</v>
      </c>
      <c r="EZ113" s="615">
        <f>COUNTIFS('LS | Drawing List'!$H:$H,"LS-T6V-4",'LS | Drawing List'!P:P,1)</f>
        <v>0</v>
      </c>
      <c r="FA113" s="81"/>
      <c r="FB113" s="616">
        <f>COUNTIFS('LS | Drawing List'!$H:$H,"LS-T6V-4",'LS | Drawing List'!$Q:$Q,1)</f>
        <v>0</v>
      </c>
      <c r="FC113" s="615">
        <f>COUNTIFS('LS | Drawing List'!$H:$H,"LS-T6V-4",'LS | Drawing List'!R:R,1)</f>
        <v>0</v>
      </c>
      <c r="FD113" s="615">
        <f>COUNTIFS('LS | Drawing List'!$H:$H,"LS-T6V-4",'LS | Drawing List'!S:S,1)</f>
        <v>0</v>
      </c>
      <c r="FE113" s="615">
        <f>COUNTIFS('LS | Drawing List'!$H:$H,"LS-T6V-4",'LS | Drawing List'!T:T,1)</f>
        <v>0</v>
      </c>
      <c r="FF113" s="615">
        <f>COUNTIFS('LS | Drawing List'!$H:$H,"LS-T6V-4",'LS | Drawing List'!U:U,1)</f>
        <v>0</v>
      </c>
      <c r="FG113" s="48"/>
    </row>
    <row r="114" spans="1:163" s="95" customFormat="1" ht="14.25" hidden="1" outlineLevel="2">
      <c r="A114" s="89"/>
      <c r="B114" s="87" t="s">
        <v>121</v>
      </c>
      <c r="C114" s="277">
        <v>5</v>
      </c>
      <c r="D114" s="273" t="s">
        <v>60</v>
      </c>
      <c r="E114" s="89"/>
      <c r="F114" s="619">
        <f t="shared" si="522"/>
        <v>0.10160896000000001</v>
      </c>
      <c r="G114" s="619">
        <f t="shared" si="523"/>
        <v>0.10160896000000001</v>
      </c>
      <c r="H114" s="615">
        <f t="shared" si="524"/>
        <v>0</v>
      </c>
      <c r="I114" s="615">
        <f t="shared" si="496"/>
        <v>0</v>
      </c>
      <c r="J114" s="615">
        <f t="shared" si="497"/>
        <v>0</v>
      </c>
      <c r="K114" s="615">
        <f t="shared" si="498"/>
        <v>0</v>
      </c>
      <c r="L114" s="615">
        <f t="shared" si="499"/>
        <v>0</v>
      </c>
      <c r="M114" s="620">
        <f t="shared" si="500"/>
        <v>0</v>
      </c>
      <c r="N114" s="287"/>
      <c r="O114" s="615">
        <f t="shared" si="501"/>
        <v>0</v>
      </c>
      <c r="P114" s="615">
        <f t="shared" si="502"/>
        <v>0</v>
      </c>
      <c r="Q114" s="615">
        <f t="shared" si="503"/>
        <v>0</v>
      </c>
      <c r="R114" s="615">
        <f t="shared" si="504"/>
        <v>0</v>
      </c>
      <c r="S114" s="615">
        <f t="shared" si="505"/>
        <v>0</v>
      </c>
      <c r="T114" s="89"/>
      <c r="U114" s="519">
        <v>2.5000000000000001E-2</v>
      </c>
      <c r="V114" s="133"/>
      <c r="W114" s="628">
        <f t="shared" si="525"/>
        <v>5.5408000000000013E-2</v>
      </c>
      <c r="X114" s="628">
        <f t="shared" si="234"/>
        <v>5.5408000000000013E-2</v>
      </c>
      <c r="Y114" s="620">
        <f t="shared" si="526"/>
        <v>5.5408000000000013E-2</v>
      </c>
      <c r="Z114" s="620">
        <f t="shared" si="527"/>
        <v>0</v>
      </c>
      <c r="AA114" s="620">
        <f t="shared" si="528"/>
        <v>0</v>
      </c>
      <c r="AB114" s="620">
        <f t="shared" si="529"/>
        <v>0</v>
      </c>
      <c r="AC114" s="620">
        <f t="shared" si="530"/>
        <v>0</v>
      </c>
      <c r="AD114" s="620">
        <f t="shared" si="531"/>
        <v>0</v>
      </c>
      <c r="AE114" s="287"/>
      <c r="AF114" s="615">
        <f t="shared" si="532"/>
        <v>0</v>
      </c>
      <c r="AG114" s="615">
        <f t="shared" si="533"/>
        <v>0</v>
      </c>
      <c r="AH114" s="615">
        <f t="shared" si="534"/>
        <v>0</v>
      </c>
      <c r="AI114" s="615">
        <f t="shared" si="535"/>
        <v>0</v>
      </c>
      <c r="AJ114" s="615">
        <f t="shared" si="536"/>
        <v>0</v>
      </c>
      <c r="AK114" s="339"/>
      <c r="AL114" s="627">
        <f t="shared" si="537"/>
        <v>1</v>
      </c>
      <c r="AM114" s="627">
        <f t="shared" si="538"/>
        <v>0</v>
      </c>
      <c r="AN114" s="625">
        <f t="shared" si="539"/>
        <v>0</v>
      </c>
      <c r="AO114" s="373"/>
      <c r="AP114" s="620">
        <f>COUNTIF('AR | Drawing List'!$H:$H,"AR-T6V-5")</f>
        <v>1</v>
      </c>
      <c r="AQ114" s="621">
        <f>COUNTIFS('AR | Drawing List'!$H:$H,"AR-T6V-5",'AR | Drawing List'!$J:$J,1)</f>
        <v>1</v>
      </c>
      <c r="AR114" s="621">
        <f t="shared" si="238"/>
        <v>0</v>
      </c>
      <c r="AS114" s="621">
        <f>COUNTIFS('AR | Drawing List'!$H:$H,"AR-T6V-5",'AR | Drawing List'!M:M,1)</f>
        <v>0</v>
      </c>
      <c r="AT114" s="621">
        <f>COUNTIFS('AR | Drawing List'!$H:$H,"AR-T6V-5",'AR | Drawing List'!N:N,1)</f>
        <v>0</v>
      </c>
      <c r="AU114" s="621">
        <f>COUNTIFS('AR | Drawing List'!$H:$H,"AR-T6V-5",'AR | Drawing List'!O:O,1)</f>
        <v>0</v>
      </c>
      <c r="AV114" s="621">
        <f>COUNTIFS('AR | Drawing List'!$H:$H,"AR-T6V-5",'AR | Drawing List'!P:P,1)</f>
        <v>0</v>
      </c>
      <c r="AW114" s="366"/>
      <c r="AX114" s="621">
        <f t="shared" si="540"/>
        <v>0</v>
      </c>
      <c r="AY114" s="621">
        <f>COUNTIFS('AR | Drawing List'!$H:$H,"AR-T6V-5",'AR | Drawing List'!R:R,1)</f>
        <v>0</v>
      </c>
      <c r="AZ114" s="621">
        <f>COUNTIFS('AR | Drawing List'!$H:$H,"AR-T6V-5",'AR | Drawing List'!S:S,1)</f>
        <v>0</v>
      </c>
      <c r="BA114" s="621">
        <f>COUNTIFS('AR | Drawing List'!$H:$H,"AR-T6V-5",'AR | Drawing List'!T:T,1)</f>
        <v>0</v>
      </c>
      <c r="BB114" s="621">
        <f>COUNTIFS('AR | Drawing List'!$H:$H,"AR-T6V-5",'AR | Drawing List'!U:U,1)</f>
        <v>0</v>
      </c>
      <c r="BC114" s="366"/>
      <c r="BD114" s="366"/>
      <c r="BE114" s="523">
        <v>0.05</v>
      </c>
      <c r="BF114" s="368"/>
      <c r="BG114" s="621">
        <f t="shared" si="541"/>
        <v>4.6200959999999999E-2</v>
      </c>
      <c r="BH114" s="622">
        <f t="shared" si="235"/>
        <v>4.6200959999999999E-2</v>
      </c>
      <c r="BI114" s="620">
        <f t="shared" si="542"/>
        <v>4.6200959999999999E-2</v>
      </c>
      <c r="BJ114" s="620">
        <f t="shared" si="543"/>
        <v>0</v>
      </c>
      <c r="BK114" s="615">
        <f t="shared" si="544"/>
        <v>0</v>
      </c>
      <c r="BL114" s="615">
        <f t="shared" si="545"/>
        <v>0</v>
      </c>
      <c r="BM114" s="615">
        <f t="shared" si="546"/>
        <v>0</v>
      </c>
      <c r="BN114" s="615">
        <f t="shared" si="547"/>
        <v>0</v>
      </c>
      <c r="BO114" s="339"/>
      <c r="BP114" s="615">
        <f t="shared" si="548"/>
        <v>0</v>
      </c>
      <c r="BQ114" s="615">
        <f t="shared" si="549"/>
        <v>0</v>
      </c>
      <c r="BR114" s="615">
        <f t="shared" si="550"/>
        <v>0</v>
      </c>
      <c r="BS114" s="615">
        <f t="shared" si="551"/>
        <v>0</v>
      </c>
      <c r="BT114" s="615">
        <f t="shared" si="552"/>
        <v>0</v>
      </c>
      <c r="BU114" s="339"/>
      <c r="BV114" s="635">
        <f t="shared" si="553"/>
        <v>1</v>
      </c>
      <c r="BW114" s="635">
        <f t="shared" si="554"/>
        <v>0</v>
      </c>
      <c r="BX114" s="635">
        <f t="shared" si="555"/>
        <v>0</v>
      </c>
      <c r="BY114" s="373"/>
      <c r="BZ114" s="620">
        <f>COUNTIF('ST | Drawing List'!$H:$H,"ST-T6V-5")</f>
        <v>23</v>
      </c>
      <c r="CA114" s="621">
        <f>COUNTIFS('ST | Drawing List'!$H:$H,"ST-T6V-5",'ST | Drawing List'!$J:$J,1)</f>
        <v>23</v>
      </c>
      <c r="CB114" s="624">
        <f>COUNTIFS('ST | Drawing List'!$H:$H,"ST-T6V-5",'ST | Drawing List'!$L:$L,1)</f>
        <v>0</v>
      </c>
      <c r="CC114" s="621">
        <f>COUNTIFS('ST | Drawing List'!$H:$H,"ST-T6V-5",'ST | Drawing List'!M:M,1)</f>
        <v>0</v>
      </c>
      <c r="CD114" s="621">
        <f>COUNTIFS('ST | Drawing List'!$H:$H,"ST-T6V-5",'ST | Drawing List'!N:N,1)</f>
        <v>0</v>
      </c>
      <c r="CE114" s="621">
        <f>COUNTIFS('ST | Drawing List'!$H:$H,"ST-T6V-5",'ST | Drawing List'!O:O,1)</f>
        <v>0</v>
      </c>
      <c r="CF114" s="621">
        <f>COUNTIFS('ST | Drawing List'!$H:$H,"ST-T6V-5",'ST | Drawing List'!P:P,1)</f>
        <v>0</v>
      </c>
      <c r="CG114" s="541"/>
      <c r="CH114" s="624">
        <f>COUNTIFS('ST | Drawing List'!$H:$H,"ST-T6V-5",'ST | Drawing List'!$Q:$Q,1)</f>
        <v>0</v>
      </c>
      <c r="CI114" s="621">
        <f>COUNTIFS('ST | Drawing List'!$H:$H,"ST-T6V-5",'ST | Drawing List'!R:R,1)</f>
        <v>0</v>
      </c>
      <c r="CJ114" s="621">
        <f>COUNTIFS('ST | Drawing List'!$H:$H,"ST-T6V-5",'ST | Drawing List'!S:S,1)</f>
        <v>0</v>
      </c>
      <c r="CK114" s="621">
        <f>COUNTIFS('ST | Drawing List'!$H:$H,"ST-T6V-5",'ST | Drawing List'!T:T,1)</f>
        <v>0</v>
      </c>
      <c r="CL114" s="621">
        <f>COUNTIFS('ST | Drawing List'!$H:$H,"ST-T6V-5",'ST | Drawing List'!U:U,1)</f>
        <v>0</v>
      </c>
      <c r="CM114" s="368"/>
      <c r="CN114" s="368"/>
      <c r="CO114" s="666">
        <v>0</v>
      </c>
      <c r="CP114" s="368"/>
      <c r="CQ114" s="621">
        <f t="shared" si="556"/>
        <v>0</v>
      </c>
      <c r="CR114" s="622">
        <f t="shared" si="236"/>
        <v>0</v>
      </c>
      <c r="CS114" s="620">
        <f t="shared" si="557"/>
        <v>0</v>
      </c>
      <c r="CT114" s="615">
        <f t="shared" si="558"/>
        <v>0</v>
      </c>
      <c r="CU114" s="615">
        <f t="shared" si="559"/>
        <v>0</v>
      </c>
      <c r="CV114" s="615">
        <f t="shared" si="560"/>
        <v>0</v>
      </c>
      <c r="CW114" s="615">
        <f t="shared" si="561"/>
        <v>0</v>
      </c>
      <c r="CX114" s="615">
        <f t="shared" si="562"/>
        <v>0</v>
      </c>
      <c r="CY114" s="339"/>
      <c r="CZ114" s="615">
        <f t="shared" si="563"/>
        <v>0</v>
      </c>
      <c r="DA114" s="615">
        <f t="shared" si="564"/>
        <v>0</v>
      </c>
      <c r="DB114" s="615">
        <f t="shared" si="565"/>
        <v>0</v>
      </c>
      <c r="DC114" s="615">
        <f t="shared" si="566"/>
        <v>0</v>
      </c>
      <c r="DD114" s="615">
        <f t="shared" si="567"/>
        <v>0</v>
      </c>
      <c r="DE114" s="339"/>
      <c r="DF114" s="625">
        <f t="shared" si="568"/>
        <v>0</v>
      </c>
      <c r="DG114" s="625">
        <f t="shared" si="569"/>
        <v>0</v>
      </c>
      <c r="DH114" s="625">
        <f t="shared" si="570"/>
        <v>0</v>
      </c>
      <c r="DI114" s="373"/>
      <c r="DJ114" s="620">
        <f>COUNTIF('MEP | Drawing List'!$H:$H,"MEP-T2V-6V-5")</f>
        <v>0</v>
      </c>
      <c r="DK114" s="621">
        <f>COUNTIFS('MEP | Drawing List'!$H:$H,"MEP-T2V-6V-5",'MEP | Drawing List'!$J:$J,1)</f>
        <v>0</v>
      </c>
      <c r="DL114" s="621">
        <f>COUNTIFS('MEP | Drawing List'!$H:$H,"MEP-T2V-6V-5",'MEP | Drawing List'!$L:$L,1)</f>
        <v>0</v>
      </c>
      <c r="DM114" s="620">
        <f>COUNTIFS('MEP | Drawing List'!$H:$H,"MEP-T2V-6V-5",'MEP | Drawing List'!M:M,1)</f>
        <v>0</v>
      </c>
      <c r="DN114" s="620">
        <f>COUNTIFS('MEP | Drawing List'!$H:$H,"MEP-T2V-6V-5",'MEP | Drawing List'!N:N,1)</f>
        <v>0</v>
      </c>
      <c r="DO114" s="620">
        <f>COUNTIFS('MEP | Drawing List'!$H:$H,"MEP-T2V-6V-5",'MEP | Drawing List'!O:O,1)</f>
        <v>0</v>
      </c>
      <c r="DP114" s="620">
        <f>COUNTIFS('MEP | Drawing List'!$H:$H,"MEP-T2V-6V-5",'MEP | Drawing List'!P:P,1)</f>
        <v>0</v>
      </c>
      <c r="DQ114" s="287"/>
      <c r="DR114" s="621">
        <f>COUNTIFS('MEP | Drawing List'!$H:$H,"MEP-T2V-6V-5",'MEP | Drawing List'!$Q:$Q,1)</f>
        <v>0</v>
      </c>
      <c r="DS114" s="620">
        <f>COUNTIFS('MEP | Drawing List'!$H:$H,"MEP-T2V-6V-5",'MEP | Drawing List'!R:R,1)</f>
        <v>0</v>
      </c>
      <c r="DT114" s="620">
        <f>COUNTIFS('MEP | Drawing List'!$H:$H,"MEP-T2V-6V-5",'MEP | Drawing List'!S:S,1)</f>
        <v>0</v>
      </c>
      <c r="DU114" s="620">
        <f>COUNTIFS('MEP | Drawing List'!$H:$H,"MEP-T2V-6V-5",'MEP | Drawing List'!T:T,1)</f>
        <v>0</v>
      </c>
      <c r="DV114" s="620">
        <f>COUNTIFS('MEP | Drawing List'!$H:$H,"MEP-T2V-6V-5",'MEP | Drawing List'!U:U,1)</f>
        <v>0</v>
      </c>
      <c r="DW114" s="368"/>
      <c r="DX114" s="368"/>
      <c r="DY114" s="554">
        <v>0</v>
      </c>
      <c r="DZ114" s="368"/>
      <c r="EA114" s="344">
        <v>0</v>
      </c>
      <c r="EB114" s="622">
        <f t="shared" si="237"/>
        <v>0</v>
      </c>
      <c r="EC114" s="85"/>
      <c r="ED114" s="85"/>
      <c r="EE114" s="339"/>
      <c r="EF114" s="339"/>
      <c r="EG114" s="339"/>
      <c r="EH114" s="339"/>
      <c r="EI114" s="339"/>
      <c r="EJ114" s="85"/>
      <c r="EK114" s="339"/>
      <c r="EL114" s="339"/>
      <c r="EM114" s="339"/>
      <c r="EN114" s="339"/>
      <c r="EO114" s="339"/>
      <c r="EP114" s="639"/>
      <c r="EQ114" s="639"/>
      <c r="ER114" s="639"/>
      <c r="ES114" s="99"/>
      <c r="ET114" s="620">
        <f>COUNTIF('LS | Drawing List'!$H:$H,"LS-T6V-5")</f>
        <v>0</v>
      </c>
      <c r="EU114" s="621">
        <f>COUNTIFS('LS | Drawing List'!$H:$H,"LS-T6V-5",'LS | Drawing List'!$J:$J,1)</f>
        <v>0</v>
      </c>
      <c r="EV114" s="621">
        <f>COUNTIFS('LS | Drawing List'!$H:$H,"LS-T6V-5",'LS | Drawing List'!$L:$L,1)</f>
        <v>0</v>
      </c>
      <c r="EW114" s="620">
        <f>COUNTIFS('LS | Drawing List'!$H:$H,"LS-T6V-5",'LS | Drawing List'!M:M,1)</f>
        <v>0</v>
      </c>
      <c r="EX114" s="620">
        <f>COUNTIFS('LS | Drawing List'!$H:$H,"LS-T6V-5",'LS | Drawing List'!N:N,1)</f>
        <v>0</v>
      </c>
      <c r="EY114" s="620">
        <f>COUNTIFS('LS | Drawing List'!$H:$H,"LS-T6V-5",'LS | Drawing List'!O:O,1)</f>
        <v>0</v>
      </c>
      <c r="EZ114" s="620">
        <f>COUNTIFS('LS | Drawing List'!$H:$H,"LS-T6V-5",'LS | Drawing List'!P:P,1)</f>
        <v>0</v>
      </c>
      <c r="FA114" s="91"/>
      <c r="FB114" s="621">
        <f>COUNTIFS('LS | Drawing List'!$H:$H,"LS-T6V-5",'LS | Drawing List'!$Q:$Q,1)</f>
        <v>0</v>
      </c>
      <c r="FC114" s="620">
        <f>COUNTIFS('LS | Drawing List'!$H:$H,"LS-T6V-5",'LS | Drawing List'!R:R,1)</f>
        <v>0</v>
      </c>
      <c r="FD114" s="620">
        <f>COUNTIFS('LS | Drawing List'!$H:$H,"LS-T6V-5",'LS | Drawing List'!S:S,1)</f>
        <v>0</v>
      </c>
      <c r="FE114" s="620">
        <f>COUNTIFS('LS | Drawing List'!$H:$H,"LS-T6V-5",'LS | Drawing List'!T:T,1)</f>
        <v>0</v>
      </c>
      <c r="FF114" s="620">
        <f>COUNTIFS('LS | Drawing List'!$H:$H,"LS-T6V-5",'LS | Drawing List'!U:U,1)</f>
        <v>0</v>
      </c>
      <c r="FG114" s="89"/>
    </row>
    <row r="115" spans="1:163" s="95" customFormat="1" ht="14.25" hidden="1" outlineLevel="2">
      <c r="A115" s="89"/>
      <c r="B115" s="87" t="s">
        <v>122</v>
      </c>
      <c r="C115" s="277">
        <v>6</v>
      </c>
      <c r="D115" s="273" t="s">
        <v>62</v>
      </c>
      <c r="E115" s="89"/>
      <c r="F115" s="619">
        <f t="shared" si="522"/>
        <v>0.10160896000000001</v>
      </c>
      <c r="G115" s="619">
        <f t="shared" si="523"/>
        <v>0.10160896000000001</v>
      </c>
      <c r="H115" s="615">
        <f t="shared" si="524"/>
        <v>0</v>
      </c>
      <c r="I115" s="615">
        <f t="shared" si="496"/>
        <v>0</v>
      </c>
      <c r="J115" s="615">
        <f t="shared" si="497"/>
        <v>0</v>
      </c>
      <c r="K115" s="615">
        <f t="shared" si="498"/>
        <v>0</v>
      </c>
      <c r="L115" s="615">
        <f t="shared" si="499"/>
        <v>0</v>
      </c>
      <c r="M115" s="620">
        <f t="shared" si="500"/>
        <v>0</v>
      </c>
      <c r="N115" s="287"/>
      <c r="O115" s="615">
        <f t="shared" si="501"/>
        <v>0</v>
      </c>
      <c r="P115" s="615">
        <f t="shared" si="502"/>
        <v>0</v>
      </c>
      <c r="Q115" s="615">
        <f t="shared" si="503"/>
        <v>0</v>
      </c>
      <c r="R115" s="615">
        <f t="shared" si="504"/>
        <v>0</v>
      </c>
      <c r="S115" s="615">
        <f t="shared" si="505"/>
        <v>0</v>
      </c>
      <c r="T115" s="89"/>
      <c r="U115" s="552">
        <v>2.5000000000000001E-2</v>
      </c>
      <c r="V115" s="133"/>
      <c r="W115" s="628">
        <f t="shared" si="525"/>
        <v>5.5408000000000013E-2</v>
      </c>
      <c r="X115" s="628">
        <f t="shared" si="234"/>
        <v>5.5408000000000013E-2</v>
      </c>
      <c r="Y115" s="620">
        <f t="shared" si="526"/>
        <v>5.5408000000000013E-2</v>
      </c>
      <c r="Z115" s="620">
        <f t="shared" si="527"/>
        <v>0</v>
      </c>
      <c r="AA115" s="620">
        <f t="shared" si="528"/>
        <v>0</v>
      </c>
      <c r="AB115" s="620">
        <f t="shared" si="529"/>
        <v>0</v>
      </c>
      <c r="AC115" s="620">
        <f t="shared" si="530"/>
        <v>0</v>
      </c>
      <c r="AD115" s="620">
        <f t="shared" si="531"/>
        <v>0</v>
      </c>
      <c r="AE115" s="287"/>
      <c r="AF115" s="615">
        <f t="shared" si="532"/>
        <v>0</v>
      </c>
      <c r="AG115" s="615">
        <f t="shared" si="533"/>
        <v>0</v>
      </c>
      <c r="AH115" s="615">
        <f t="shared" si="534"/>
        <v>0</v>
      </c>
      <c r="AI115" s="615">
        <f t="shared" si="535"/>
        <v>0</v>
      </c>
      <c r="AJ115" s="615">
        <f t="shared" si="536"/>
        <v>0</v>
      </c>
      <c r="AK115" s="339"/>
      <c r="AL115" s="627">
        <f t="shared" si="537"/>
        <v>1</v>
      </c>
      <c r="AM115" s="627">
        <f t="shared" si="538"/>
        <v>0</v>
      </c>
      <c r="AN115" s="625">
        <f t="shared" si="539"/>
        <v>0</v>
      </c>
      <c r="AO115" s="373"/>
      <c r="AP115" s="620">
        <f>COUNTIF('AR | Drawing List'!$H:$H,"AR-T6V-6")</f>
        <v>1</v>
      </c>
      <c r="AQ115" s="621">
        <f>COUNTIFS('AR | Drawing List'!$H:$H,"AR-T6V-6",'AR | Drawing List'!$J:$J,1)</f>
        <v>1</v>
      </c>
      <c r="AR115" s="621">
        <f t="shared" si="238"/>
        <v>0</v>
      </c>
      <c r="AS115" s="621">
        <f>COUNTIFS('AR | Drawing List'!$H:$H,"AR-T6V-6",'AR | Drawing List'!M:M,1)</f>
        <v>0</v>
      </c>
      <c r="AT115" s="621">
        <f>COUNTIFS('AR | Drawing List'!$H:$H,"AR-T6V-6",'AR | Drawing List'!N:N,1)</f>
        <v>0</v>
      </c>
      <c r="AU115" s="621">
        <f>COUNTIFS('AR | Drawing List'!$H:$H,"AR-T6V-6",'AR | Drawing List'!O:O,1)</f>
        <v>0</v>
      </c>
      <c r="AV115" s="621">
        <f>COUNTIFS('AR | Drawing List'!$H:$H,"AR-T6V-6",'AR | Drawing List'!P:P,1)</f>
        <v>0</v>
      </c>
      <c r="AW115" s="366"/>
      <c r="AX115" s="621">
        <f t="shared" si="540"/>
        <v>0</v>
      </c>
      <c r="AY115" s="621">
        <f>COUNTIFS('AR | Drawing List'!$H:$H,"AR-T6V-6",'AR | Drawing List'!R:R,1)</f>
        <v>0</v>
      </c>
      <c r="AZ115" s="621">
        <f>COUNTIFS('AR | Drawing List'!$H:$H,"AR-T6V-6",'AR | Drawing List'!S:S,1)</f>
        <v>0</v>
      </c>
      <c r="BA115" s="621">
        <f>COUNTIFS('AR | Drawing List'!$H:$H,"AR-T6V-6",'AR | Drawing List'!T:T,1)</f>
        <v>0</v>
      </c>
      <c r="BB115" s="621">
        <f>COUNTIFS('AR | Drawing List'!$H:$H,"AR-T6V-6",'AR | Drawing List'!U:U,1)</f>
        <v>0</v>
      </c>
      <c r="BC115" s="365"/>
      <c r="BD115" s="365"/>
      <c r="BE115" s="523">
        <v>0.05</v>
      </c>
      <c r="BF115" s="368"/>
      <c r="BG115" s="621">
        <f t="shared" si="541"/>
        <v>4.6200959999999999E-2</v>
      </c>
      <c r="BH115" s="622">
        <f t="shared" si="235"/>
        <v>4.6200959999999999E-2</v>
      </c>
      <c r="BI115" s="620">
        <f t="shared" si="542"/>
        <v>4.6200959999999999E-2</v>
      </c>
      <c r="BJ115" s="620">
        <f t="shared" si="543"/>
        <v>0</v>
      </c>
      <c r="BK115" s="615">
        <f t="shared" si="544"/>
        <v>0</v>
      </c>
      <c r="BL115" s="615">
        <f t="shared" si="545"/>
        <v>0</v>
      </c>
      <c r="BM115" s="615">
        <f t="shared" si="546"/>
        <v>0</v>
      </c>
      <c r="BN115" s="615">
        <f t="shared" si="547"/>
        <v>0</v>
      </c>
      <c r="BO115" s="339"/>
      <c r="BP115" s="615">
        <f t="shared" si="548"/>
        <v>0</v>
      </c>
      <c r="BQ115" s="615">
        <f t="shared" si="549"/>
        <v>0</v>
      </c>
      <c r="BR115" s="615">
        <f t="shared" si="550"/>
        <v>0</v>
      </c>
      <c r="BS115" s="615">
        <f t="shared" si="551"/>
        <v>0</v>
      </c>
      <c r="BT115" s="615">
        <f t="shared" si="552"/>
        <v>0</v>
      </c>
      <c r="BU115" s="339"/>
      <c r="BV115" s="635">
        <f t="shared" si="553"/>
        <v>1</v>
      </c>
      <c r="BW115" s="635">
        <f t="shared" si="554"/>
        <v>0</v>
      </c>
      <c r="BX115" s="635">
        <f t="shared" si="555"/>
        <v>0</v>
      </c>
      <c r="BY115" s="373"/>
      <c r="BZ115" s="620">
        <f>COUNTIF('ST | Drawing List'!$H:$H,"ST-T6V-6")</f>
        <v>16</v>
      </c>
      <c r="CA115" s="621">
        <f>COUNTIFS('ST | Drawing List'!$H:$H,"ST-T6V-6",'ST | Drawing List'!$J:$J,1)</f>
        <v>16</v>
      </c>
      <c r="CB115" s="624">
        <f>COUNTIFS('ST | Drawing List'!$H:$H,"ST-T6V-6",'ST | Drawing List'!$L:$L,1)</f>
        <v>0</v>
      </c>
      <c r="CC115" s="621">
        <f>COUNTIFS('ST | Drawing List'!$H:$H,"ST-T6V-6",'ST | Drawing List'!M:M,1)</f>
        <v>0</v>
      </c>
      <c r="CD115" s="621">
        <f>COUNTIFS('ST | Drawing List'!$H:$H,"ST-T6V-6",'ST | Drawing List'!N:N,1)</f>
        <v>0</v>
      </c>
      <c r="CE115" s="621">
        <f>COUNTIFS('ST | Drawing List'!$H:$H,"ST-T6V-6",'ST | Drawing List'!O:O,1)</f>
        <v>0</v>
      </c>
      <c r="CF115" s="621">
        <f>COUNTIFS('ST | Drawing List'!$H:$H,"ST-T6V-6",'ST | Drawing List'!P:P,1)</f>
        <v>0</v>
      </c>
      <c r="CG115" s="541"/>
      <c r="CH115" s="624">
        <f>COUNTIFS('ST | Drawing List'!$H:$H,"ST-T6V-6",'ST | Drawing List'!$Q:$Q,1)</f>
        <v>0</v>
      </c>
      <c r="CI115" s="621">
        <f>COUNTIFS('ST | Drawing List'!$H:$H,"ST-T6V-6",'ST | Drawing List'!R:R,1)</f>
        <v>0</v>
      </c>
      <c r="CJ115" s="621">
        <f>COUNTIFS('ST | Drawing List'!$H:$H,"ST-T6V-6",'ST | Drawing List'!S:S,1)</f>
        <v>0</v>
      </c>
      <c r="CK115" s="621">
        <f>COUNTIFS('ST | Drawing List'!$H:$H,"ST-T6V-6",'ST | Drawing List'!T:T,1)</f>
        <v>0</v>
      </c>
      <c r="CL115" s="621">
        <f>COUNTIFS('ST | Drawing List'!$H:$H,"ST-T6V-6",'ST | Drawing List'!U:U,1)</f>
        <v>0</v>
      </c>
      <c r="CM115" s="368"/>
      <c r="CN115" s="368"/>
      <c r="CO115" s="666">
        <v>0</v>
      </c>
      <c r="CP115" s="368"/>
      <c r="CQ115" s="621">
        <f t="shared" si="556"/>
        <v>0</v>
      </c>
      <c r="CR115" s="622">
        <f t="shared" si="236"/>
        <v>0</v>
      </c>
      <c r="CS115" s="620">
        <f t="shared" si="557"/>
        <v>0</v>
      </c>
      <c r="CT115" s="615">
        <f t="shared" si="558"/>
        <v>0</v>
      </c>
      <c r="CU115" s="615">
        <f t="shared" si="559"/>
        <v>0</v>
      </c>
      <c r="CV115" s="615">
        <f t="shared" si="560"/>
        <v>0</v>
      </c>
      <c r="CW115" s="615">
        <f t="shared" si="561"/>
        <v>0</v>
      </c>
      <c r="CX115" s="615">
        <f t="shared" si="562"/>
        <v>0</v>
      </c>
      <c r="CY115" s="339"/>
      <c r="CZ115" s="615">
        <f t="shared" si="563"/>
        <v>0</v>
      </c>
      <c r="DA115" s="615">
        <f t="shared" si="564"/>
        <v>0</v>
      </c>
      <c r="DB115" s="615">
        <f t="shared" si="565"/>
        <v>0</v>
      </c>
      <c r="DC115" s="615">
        <f t="shared" si="566"/>
        <v>0</v>
      </c>
      <c r="DD115" s="615">
        <f t="shared" si="567"/>
        <v>0</v>
      </c>
      <c r="DE115" s="339"/>
      <c r="DF115" s="625">
        <f t="shared" si="568"/>
        <v>0</v>
      </c>
      <c r="DG115" s="625">
        <f t="shared" si="569"/>
        <v>0</v>
      </c>
      <c r="DH115" s="625">
        <f t="shared" si="570"/>
        <v>0</v>
      </c>
      <c r="DI115" s="373"/>
      <c r="DJ115" s="620">
        <f>COUNTIF('MEP | Drawing List'!$H:$H,"MEP-T2V-6V-6")</f>
        <v>0</v>
      </c>
      <c r="DK115" s="621">
        <f>COUNTIFS('MEP | Drawing List'!$H:$H,"MEP-T2V-6V-6",'MEP | Drawing List'!$J:$J,1)</f>
        <v>0</v>
      </c>
      <c r="DL115" s="621">
        <f>COUNTIFS('MEP | Drawing List'!$H:$H,"MEP-T2V-6V-6",'MEP | Drawing List'!$L:$L,1)</f>
        <v>0</v>
      </c>
      <c r="DM115" s="620">
        <f>COUNTIFS('MEP | Drawing List'!$H:$H,"MEP-T2V-6V-6",'MEP | Drawing List'!M:M,1)</f>
        <v>0</v>
      </c>
      <c r="DN115" s="620">
        <f>COUNTIFS('MEP | Drawing List'!$H:$H,"MEP-T2V-6V-6",'MEP | Drawing List'!N:N,1)</f>
        <v>0</v>
      </c>
      <c r="DO115" s="620">
        <f>COUNTIFS('MEP | Drawing List'!$H:$H,"MEP-T2V-6V-6",'MEP | Drawing List'!O:O,1)</f>
        <v>0</v>
      </c>
      <c r="DP115" s="620">
        <f>COUNTIFS('MEP | Drawing List'!$H:$H,"MEP-T2V-6V-6",'MEP | Drawing List'!P:P,1)</f>
        <v>0</v>
      </c>
      <c r="DQ115" s="287"/>
      <c r="DR115" s="621">
        <f>COUNTIFS('MEP | Drawing List'!$H:$H,"MEP-T2V-6V-6",'MEP | Drawing List'!$Q:$Q,1)</f>
        <v>0</v>
      </c>
      <c r="DS115" s="620">
        <f>COUNTIFS('MEP | Drawing List'!$H:$H,"MEP-T2V-6V-6",'MEP | Drawing List'!R:R,1)</f>
        <v>0</v>
      </c>
      <c r="DT115" s="620">
        <f>COUNTIFS('MEP | Drawing List'!$H:$H,"MEP-T2V-6V-6",'MEP | Drawing List'!S:S,1)</f>
        <v>0</v>
      </c>
      <c r="DU115" s="620">
        <f>COUNTIFS('MEP | Drawing List'!$H:$H,"MEP-T2V-6V-6",'MEP | Drawing List'!T:T,1)</f>
        <v>0</v>
      </c>
      <c r="DV115" s="620">
        <f>COUNTIFS('MEP | Drawing List'!$H:$H,"MEP-T2V-6V-6",'MEP | Drawing List'!U:U,1)</f>
        <v>0</v>
      </c>
      <c r="DW115" s="368"/>
      <c r="DX115" s="368"/>
      <c r="DY115" s="554">
        <v>0</v>
      </c>
      <c r="DZ115" s="368"/>
      <c r="EA115" s="344">
        <v>0</v>
      </c>
      <c r="EB115" s="622">
        <f t="shared" si="237"/>
        <v>0</v>
      </c>
      <c r="EC115" s="85"/>
      <c r="ED115" s="85"/>
      <c r="EE115" s="339"/>
      <c r="EF115" s="339"/>
      <c r="EG115" s="339"/>
      <c r="EH115" s="339"/>
      <c r="EI115" s="339"/>
      <c r="EJ115" s="85"/>
      <c r="EK115" s="339"/>
      <c r="EL115" s="339"/>
      <c r="EM115" s="339"/>
      <c r="EN115" s="339"/>
      <c r="EO115" s="339"/>
      <c r="EP115" s="639"/>
      <c r="EQ115" s="639"/>
      <c r="ER115" s="639"/>
      <c r="ES115" s="99"/>
      <c r="ET115" s="620">
        <f>COUNTIF('LS | Drawing List'!$H:$H,"LS-T6V-6")</f>
        <v>0</v>
      </c>
      <c r="EU115" s="621">
        <f>COUNTIFS('LS | Drawing List'!$H:$H,"LS-T6V-6",'LS | Drawing List'!$J:$J,1)</f>
        <v>0</v>
      </c>
      <c r="EV115" s="621">
        <f>COUNTIFS('LS | Drawing List'!$H:$H,"LS-T6V-6",'LS | Drawing List'!$L:$L,1)</f>
        <v>0</v>
      </c>
      <c r="EW115" s="620">
        <f>COUNTIFS('LS | Drawing List'!$H:$H,"LS-T6V-6",'LS | Drawing List'!M:M,1)</f>
        <v>0</v>
      </c>
      <c r="EX115" s="620">
        <f>COUNTIFS('LS | Drawing List'!$H:$H,"LS-T6V-6",'LS | Drawing List'!N:N,1)</f>
        <v>0</v>
      </c>
      <c r="EY115" s="620">
        <f>COUNTIFS('LS | Drawing List'!$H:$H,"LS-T6V-6",'LS | Drawing List'!O:O,1)</f>
        <v>0</v>
      </c>
      <c r="EZ115" s="620">
        <f>COUNTIFS('LS | Drawing List'!$H:$H,"LS-T6V-6",'LS | Drawing List'!P:P,1)</f>
        <v>0</v>
      </c>
      <c r="FA115" s="91"/>
      <c r="FB115" s="621">
        <f>COUNTIFS('LS | Drawing List'!$H:$H,"LS-T6V-6",'LS | Drawing List'!$Q:$Q,1)</f>
        <v>0</v>
      </c>
      <c r="FC115" s="620">
        <f>COUNTIFS('LS | Drawing List'!$H:$H,"LS-T6V-6",'LS | Drawing List'!R:R,1)</f>
        <v>0</v>
      </c>
      <c r="FD115" s="620">
        <f>COUNTIFS('LS | Drawing List'!$H:$H,"LS-T6V-6",'LS | Drawing List'!S:S,1)</f>
        <v>0</v>
      </c>
      <c r="FE115" s="620">
        <f>COUNTIFS('LS | Drawing List'!$H:$H,"LS-T6V-6",'LS | Drawing List'!T:T,1)</f>
        <v>0</v>
      </c>
      <c r="FF115" s="620">
        <f>COUNTIFS('LS | Drawing List'!$H:$H,"LS-T6V-6",'LS | Drawing List'!U:U,1)</f>
        <v>0</v>
      </c>
      <c r="FG115" s="89"/>
    </row>
    <row r="116" spans="1:163" ht="14.25" hidden="1" outlineLevel="2">
      <c r="A116" s="48"/>
      <c r="B116" s="87" t="s">
        <v>123</v>
      </c>
      <c r="C116" s="276">
        <v>7</v>
      </c>
      <c r="D116" s="272" t="s">
        <v>64</v>
      </c>
      <c r="E116" s="48"/>
      <c r="F116" s="619">
        <f t="shared" si="522"/>
        <v>0.24692480000000006</v>
      </c>
      <c r="G116" s="619">
        <f t="shared" si="523"/>
        <v>0.24692480000000006</v>
      </c>
      <c r="H116" s="615">
        <f t="shared" si="524"/>
        <v>0</v>
      </c>
      <c r="I116" s="615">
        <f t="shared" si="496"/>
        <v>2.5292800000000004E-2</v>
      </c>
      <c r="J116" s="615">
        <f t="shared" si="497"/>
        <v>2.5292800000000004E-2</v>
      </c>
      <c r="K116" s="615">
        <f t="shared" si="498"/>
        <v>0</v>
      </c>
      <c r="L116" s="615">
        <f t="shared" si="499"/>
        <v>0</v>
      </c>
      <c r="M116" s="620">
        <f t="shared" si="500"/>
        <v>0</v>
      </c>
      <c r="N116" s="287"/>
      <c r="O116" s="615">
        <f t="shared" si="501"/>
        <v>2.5292800000000004E-2</v>
      </c>
      <c r="P116" s="615">
        <f t="shared" si="502"/>
        <v>0</v>
      </c>
      <c r="Q116" s="615">
        <f t="shared" si="503"/>
        <v>2.5292800000000004E-2</v>
      </c>
      <c r="R116" s="615">
        <f t="shared" si="504"/>
        <v>0</v>
      </c>
      <c r="S116" s="615">
        <f t="shared" si="505"/>
        <v>0</v>
      </c>
      <c r="T116" s="48"/>
      <c r="U116" s="519">
        <v>0.1</v>
      </c>
      <c r="V116" s="131"/>
      <c r="W116" s="619">
        <f t="shared" si="525"/>
        <v>0.22163200000000005</v>
      </c>
      <c r="X116" s="619">
        <f t="shared" si="234"/>
        <v>0.22163200000000005</v>
      </c>
      <c r="Y116" s="615">
        <f t="shared" si="526"/>
        <v>0.22163200000000005</v>
      </c>
      <c r="Z116" s="620">
        <f t="shared" si="527"/>
        <v>0</v>
      </c>
      <c r="AA116" s="620">
        <f t="shared" si="528"/>
        <v>0</v>
      </c>
      <c r="AB116" s="615">
        <f t="shared" si="529"/>
        <v>0</v>
      </c>
      <c r="AC116" s="615">
        <f t="shared" si="530"/>
        <v>0</v>
      </c>
      <c r="AD116" s="620">
        <f t="shared" si="531"/>
        <v>0</v>
      </c>
      <c r="AE116" s="287"/>
      <c r="AF116" s="615">
        <f t="shared" si="532"/>
        <v>0</v>
      </c>
      <c r="AG116" s="615">
        <f t="shared" si="533"/>
        <v>0</v>
      </c>
      <c r="AH116" s="615">
        <f t="shared" si="534"/>
        <v>0</v>
      </c>
      <c r="AI116" s="615">
        <f t="shared" si="535"/>
        <v>0</v>
      </c>
      <c r="AJ116" s="615">
        <f t="shared" si="536"/>
        <v>0</v>
      </c>
      <c r="AK116" s="339"/>
      <c r="AL116" s="625">
        <f t="shared" si="537"/>
        <v>1</v>
      </c>
      <c r="AM116" s="625">
        <f t="shared" si="538"/>
        <v>0</v>
      </c>
      <c r="AN116" s="625">
        <f t="shared" si="539"/>
        <v>0</v>
      </c>
      <c r="AO116" s="345"/>
      <c r="AP116" s="615">
        <f>COUNTIF('AR | Drawing List'!$H:$H,"AR-T6V-7")</f>
        <v>23</v>
      </c>
      <c r="AQ116" s="616">
        <f>COUNTIFS('AR | Drawing List'!$H:$H,"AR-T6V-7",'AR | Drawing List'!$J:$J,1)</f>
        <v>23</v>
      </c>
      <c r="AR116" s="616">
        <f t="shared" si="238"/>
        <v>0</v>
      </c>
      <c r="AS116" s="616">
        <f>COUNTIFS('AR | Drawing List'!$H:$H,"AR-T6V-7",'AR | Drawing List'!M:M,1)</f>
        <v>0</v>
      </c>
      <c r="AT116" s="616">
        <f>COUNTIFS('AR | Drawing List'!$H:$H,"AR-T6V-7",'AR | Drawing List'!N:N,1)</f>
        <v>0</v>
      </c>
      <c r="AU116" s="616">
        <f>COUNTIFS('AR | Drawing List'!$H:$H,"AR-T6V-7",'AR | Drawing List'!O:O,1)</f>
        <v>0</v>
      </c>
      <c r="AV116" s="616">
        <f>COUNTIFS('AR | Drawing List'!$H:$H,"AR-T6V-7",'AR | Drawing List'!P:P,1)</f>
        <v>0</v>
      </c>
      <c r="AW116" s="328"/>
      <c r="AX116" s="616">
        <f t="shared" si="540"/>
        <v>0</v>
      </c>
      <c r="AY116" s="616">
        <f>COUNTIFS('AR | Drawing List'!$H:$H,"AR-T6V-7",'AR | Drawing List'!R:R,1)</f>
        <v>0</v>
      </c>
      <c r="AZ116" s="616">
        <f>COUNTIFS('AR | Drawing List'!$H:$H,"AR-T6V-7",'AR | Drawing List'!S:S,1)</f>
        <v>0</v>
      </c>
      <c r="BA116" s="616">
        <f>COUNTIFS('AR | Drawing List'!$H:$H,"AR-T6V-7",'AR | Drawing List'!T:T,1)</f>
        <v>0</v>
      </c>
      <c r="BB116" s="616">
        <f>COUNTIFS('AR | Drawing List'!$H:$H,"AR-T6V-7",'AR | Drawing List'!U:U,1)</f>
        <v>0</v>
      </c>
      <c r="BC116" s="359"/>
      <c r="BD116" s="359"/>
      <c r="BE116" s="666">
        <v>0</v>
      </c>
      <c r="BF116" s="343"/>
      <c r="BG116" s="616">
        <f t="shared" si="541"/>
        <v>0</v>
      </c>
      <c r="BH116" s="618">
        <f t="shared" si="235"/>
        <v>0</v>
      </c>
      <c r="BI116" s="615">
        <f t="shared" si="542"/>
        <v>0</v>
      </c>
      <c r="BJ116" s="615">
        <f t="shared" si="543"/>
        <v>0</v>
      </c>
      <c r="BK116" s="615">
        <f t="shared" si="544"/>
        <v>0</v>
      </c>
      <c r="BL116" s="615">
        <f t="shared" si="545"/>
        <v>0</v>
      </c>
      <c r="BM116" s="615">
        <f t="shared" si="546"/>
        <v>0</v>
      </c>
      <c r="BN116" s="615">
        <f t="shared" si="547"/>
        <v>0</v>
      </c>
      <c r="BO116" s="339"/>
      <c r="BP116" s="615">
        <f t="shared" si="548"/>
        <v>0</v>
      </c>
      <c r="BQ116" s="615">
        <f t="shared" si="549"/>
        <v>0</v>
      </c>
      <c r="BR116" s="615">
        <f t="shared" si="550"/>
        <v>0</v>
      </c>
      <c r="BS116" s="615">
        <f t="shared" si="551"/>
        <v>0</v>
      </c>
      <c r="BT116" s="615">
        <f t="shared" si="552"/>
        <v>0</v>
      </c>
      <c r="BU116" s="339"/>
      <c r="BV116" s="635">
        <f t="shared" si="553"/>
        <v>0</v>
      </c>
      <c r="BW116" s="635">
        <f t="shared" si="554"/>
        <v>0</v>
      </c>
      <c r="BX116" s="635">
        <f t="shared" si="555"/>
        <v>0</v>
      </c>
      <c r="BY116" s="347"/>
      <c r="BZ116" s="615">
        <f>COUNTIF('ST | Drawing List'!$H:$H,"ST-T6V-7")</f>
        <v>0</v>
      </c>
      <c r="CA116" s="616">
        <f>COUNTIFS('ST | Drawing List'!$H:$H,"ST-T6V-7",'ST | Drawing List'!$J:$J,1)</f>
        <v>0</v>
      </c>
      <c r="CB116" s="623">
        <f>COUNTIFS('ST | Drawing List'!$H:$H,"ST-T6V-7",'ST | Drawing List'!$L:$L,1)</f>
        <v>0</v>
      </c>
      <c r="CC116" s="616">
        <f>COUNTIFS('ST | Drawing List'!$H:$H,"ST-T6V-7",'ST | Drawing List'!M:M,1)</f>
        <v>0</v>
      </c>
      <c r="CD116" s="616">
        <f>COUNTIFS('ST | Drawing List'!$H:$H,"ST-T6V-7",'ST | Drawing List'!N:N,1)</f>
        <v>0</v>
      </c>
      <c r="CE116" s="616">
        <f>COUNTIFS('ST | Drawing List'!$H:$H,"ST-T6V-7",'ST | Drawing List'!O:O,1)</f>
        <v>0</v>
      </c>
      <c r="CF116" s="616">
        <f>COUNTIFS('ST | Drawing List'!$H:$H,"ST-T6V-7",'ST | Drawing List'!P:P,1)</f>
        <v>0</v>
      </c>
      <c r="CG116" s="532"/>
      <c r="CH116" s="623">
        <f>COUNTIFS('ST | Drawing List'!$H:$H,"ST-T6V-7",'ST | Drawing List'!$Q:$Q,1)</f>
        <v>0</v>
      </c>
      <c r="CI116" s="616">
        <f>COUNTIFS('ST | Drawing List'!$H:$H,"ST-T6V-7",'ST | Drawing List'!R:R,1)</f>
        <v>0</v>
      </c>
      <c r="CJ116" s="616">
        <f>COUNTIFS('ST | Drawing List'!$H:$H,"ST-T6V-7",'ST | Drawing List'!S:S,1)</f>
        <v>0</v>
      </c>
      <c r="CK116" s="616">
        <f>COUNTIFS('ST | Drawing List'!$H:$H,"ST-T6V-7",'ST | Drawing List'!T:T,1)</f>
        <v>0</v>
      </c>
      <c r="CL116" s="616">
        <f>COUNTIFS('ST | Drawing List'!$H:$H,"ST-T6V-7",'ST | Drawing List'!U:U,1)</f>
        <v>0</v>
      </c>
      <c r="CM116" s="343"/>
      <c r="CN116" s="343"/>
      <c r="CO116" s="554">
        <v>0.2</v>
      </c>
      <c r="CP116" s="343"/>
      <c r="CQ116" s="616">
        <f t="shared" si="556"/>
        <v>2.5292800000000004E-2</v>
      </c>
      <c r="CR116" s="618">
        <f t="shared" si="236"/>
        <v>2.5292800000000004E-2</v>
      </c>
      <c r="CS116" s="615">
        <f t="shared" si="557"/>
        <v>0</v>
      </c>
      <c r="CT116" s="615">
        <f t="shared" si="558"/>
        <v>2.5292800000000004E-2</v>
      </c>
      <c r="CU116" s="615">
        <f t="shared" si="559"/>
        <v>2.5292800000000004E-2</v>
      </c>
      <c r="CV116" s="615">
        <f t="shared" si="560"/>
        <v>0</v>
      </c>
      <c r="CW116" s="615">
        <f t="shared" si="561"/>
        <v>0</v>
      </c>
      <c r="CX116" s="615">
        <f t="shared" si="562"/>
        <v>0</v>
      </c>
      <c r="CY116" s="339"/>
      <c r="CZ116" s="615">
        <f t="shared" si="563"/>
        <v>2.5292800000000004E-2</v>
      </c>
      <c r="DA116" s="615">
        <f t="shared" si="564"/>
        <v>0</v>
      </c>
      <c r="DB116" s="615">
        <f t="shared" si="565"/>
        <v>2.5292800000000004E-2</v>
      </c>
      <c r="DC116" s="615">
        <f t="shared" si="566"/>
        <v>0</v>
      </c>
      <c r="DD116" s="615">
        <f t="shared" si="567"/>
        <v>0</v>
      </c>
      <c r="DE116" s="339"/>
      <c r="DF116" s="625">
        <f t="shared" si="568"/>
        <v>0.97222222222222221</v>
      </c>
      <c r="DG116" s="625">
        <f t="shared" si="569"/>
        <v>2.7777777777777776E-2</v>
      </c>
      <c r="DH116" s="625">
        <f t="shared" si="570"/>
        <v>2.7777777777777776E-2</v>
      </c>
      <c r="DI116" s="347"/>
      <c r="DJ116" s="615">
        <f>COUNTIF('MEP | Drawing List'!$H:$H,"MEP-T2V-6V-7")</f>
        <v>36</v>
      </c>
      <c r="DK116" s="616">
        <f>COUNTIFS('MEP | Drawing List'!$H:$H,"MEP-T2V-6V-7",'MEP | Drawing List'!$J:$J,1)</f>
        <v>35</v>
      </c>
      <c r="DL116" s="616">
        <f>COUNTIFS('MEP | Drawing List'!$H:$H,"MEP-T2V-6V-7",'MEP | Drawing List'!$L:$L,1)</f>
        <v>1</v>
      </c>
      <c r="DM116" s="615">
        <f>COUNTIFS('MEP | Drawing List'!$H:$H,"MEP-T2V-6V-7",'MEP | Drawing List'!M:M,1)</f>
        <v>1</v>
      </c>
      <c r="DN116" s="615">
        <f>COUNTIFS('MEP | Drawing List'!$H:$H,"MEP-T2V-6V-7",'MEP | Drawing List'!N:N,1)</f>
        <v>0</v>
      </c>
      <c r="DO116" s="615">
        <f>COUNTIFS('MEP | Drawing List'!$H:$H,"MEP-T2V-6V-7",'MEP | Drawing List'!O:O,1)</f>
        <v>0</v>
      </c>
      <c r="DP116" s="615">
        <f>COUNTIFS('MEP | Drawing List'!$H:$H,"MEP-T2V-6V-7",'MEP | Drawing List'!P:P,1)</f>
        <v>0</v>
      </c>
      <c r="DQ116" s="339"/>
      <c r="DR116" s="616">
        <f>COUNTIFS('MEP | Drawing List'!$H:$H,"MEP-T2V-6V-7",'MEP | Drawing List'!$Q:$Q,1)</f>
        <v>1</v>
      </c>
      <c r="DS116" s="615">
        <f>COUNTIFS('MEP | Drawing List'!$H:$H,"MEP-T2V-6V-7",'MEP | Drawing List'!R:R,1)</f>
        <v>0</v>
      </c>
      <c r="DT116" s="615">
        <f>COUNTIFS('MEP | Drawing List'!$H:$H,"MEP-T2V-6V-7",'MEP | Drawing List'!S:S,1)</f>
        <v>1</v>
      </c>
      <c r="DU116" s="615">
        <f>COUNTIFS('MEP | Drawing List'!$H:$H,"MEP-T2V-6V-7",'MEP | Drawing List'!T:T,1)</f>
        <v>0</v>
      </c>
      <c r="DV116" s="615">
        <f>COUNTIFS('MEP | Drawing List'!$H:$H,"MEP-T2V-6V-7",'MEP | Drawing List'!U:U,1)</f>
        <v>0</v>
      </c>
      <c r="DW116" s="343"/>
      <c r="DX116" s="343"/>
      <c r="DY116" s="525">
        <v>0</v>
      </c>
      <c r="DZ116" s="343"/>
      <c r="EA116" s="344">
        <v>0</v>
      </c>
      <c r="EB116" s="618">
        <f t="shared" si="237"/>
        <v>0</v>
      </c>
      <c r="EC116" s="81"/>
      <c r="ED116" s="81"/>
      <c r="EE116" s="339"/>
      <c r="EF116" s="339"/>
      <c r="EG116" s="339"/>
      <c r="EH116" s="339"/>
      <c r="EI116" s="339"/>
      <c r="EJ116" s="81"/>
      <c r="EK116" s="339"/>
      <c r="EL116" s="339"/>
      <c r="EM116" s="339"/>
      <c r="EN116" s="339"/>
      <c r="EO116" s="339"/>
      <c r="EP116" s="103"/>
      <c r="EQ116" s="103"/>
      <c r="ER116" s="103"/>
      <c r="ES116" s="83"/>
      <c r="ET116" s="615">
        <f>COUNTIF('LS | Drawing List'!$H:$H,"LS-T6V-7")</f>
        <v>0</v>
      </c>
      <c r="EU116" s="616">
        <f>COUNTIFS('LS | Drawing List'!$H:$H,"LS-T6V-7",'LS | Drawing List'!$J:$J,1)</f>
        <v>0</v>
      </c>
      <c r="EV116" s="616">
        <f>COUNTIFS('LS | Drawing List'!$H:$H,"LS-T6V-7",'LS | Drawing List'!$L:$L,1)</f>
        <v>0</v>
      </c>
      <c r="EW116" s="615">
        <f>COUNTIFS('LS | Drawing List'!$H:$H,"LS-T6V-7",'LS | Drawing List'!M:M,1)</f>
        <v>0</v>
      </c>
      <c r="EX116" s="615">
        <f>COUNTIFS('LS | Drawing List'!$H:$H,"LS-T6V-7",'LS | Drawing List'!N:N,1)</f>
        <v>0</v>
      </c>
      <c r="EY116" s="615">
        <f>COUNTIFS('LS | Drawing List'!$H:$H,"LS-T6V-7",'LS | Drawing List'!O:O,1)</f>
        <v>0</v>
      </c>
      <c r="EZ116" s="615">
        <f>COUNTIFS('LS | Drawing List'!$H:$H,"LS-T6V-7",'LS | Drawing List'!P:P,1)</f>
        <v>0</v>
      </c>
      <c r="FA116" s="81"/>
      <c r="FB116" s="616">
        <f>COUNTIFS('LS | Drawing List'!$H:$H,"LS-T6V-7",'LS | Drawing List'!$Q:$Q,1)</f>
        <v>0</v>
      </c>
      <c r="FC116" s="615">
        <f>COUNTIFS('LS | Drawing List'!$H:$H,"LS-T6V-7",'LS | Drawing List'!R:R,1)</f>
        <v>0</v>
      </c>
      <c r="FD116" s="615">
        <f>COUNTIFS('LS | Drawing List'!$H:$H,"LS-T6V-7",'LS | Drawing List'!S:S,1)</f>
        <v>0</v>
      </c>
      <c r="FE116" s="615">
        <f>COUNTIFS('LS | Drawing List'!$H:$H,"LS-T6V-7",'LS | Drawing List'!T:T,1)</f>
        <v>0</v>
      </c>
      <c r="FF116" s="615">
        <f>COUNTIFS('LS | Drawing List'!$H:$H,"LS-T6V-7",'LS | Drawing List'!U:U,1)</f>
        <v>0</v>
      </c>
      <c r="FG116" s="48"/>
    </row>
    <row r="117" spans="1:163" ht="14.25" hidden="1" outlineLevel="2">
      <c r="A117" s="48"/>
      <c r="B117" s="87" t="s">
        <v>124</v>
      </c>
      <c r="C117" s="276">
        <v>8</v>
      </c>
      <c r="D117" s="272" t="s">
        <v>67</v>
      </c>
      <c r="E117" s="48"/>
      <c r="F117" s="619">
        <f t="shared" si="522"/>
        <v>0.15701696000000004</v>
      </c>
      <c r="G117" s="619">
        <f t="shared" si="523"/>
        <v>0.15701696000000004</v>
      </c>
      <c r="H117" s="615">
        <f t="shared" si="524"/>
        <v>0</v>
      </c>
      <c r="I117" s="615">
        <f t="shared" si="496"/>
        <v>0</v>
      </c>
      <c r="J117" s="615">
        <f t="shared" si="497"/>
        <v>0</v>
      </c>
      <c r="K117" s="615">
        <f t="shared" si="498"/>
        <v>0</v>
      </c>
      <c r="L117" s="615">
        <f t="shared" si="499"/>
        <v>0</v>
      </c>
      <c r="M117" s="620">
        <f t="shared" si="500"/>
        <v>0</v>
      </c>
      <c r="N117" s="287"/>
      <c r="O117" s="615">
        <f t="shared" si="501"/>
        <v>0</v>
      </c>
      <c r="P117" s="615">
        <f t="shared" si="502"/>
        <v>0</v>
      </c>
      <c r="Q117" s="615">
        <f t="shared" si="503"/>
        <v>0</v>
      </c>
      <c r="R117" s="615">
        <f t="shared" si="504"/>
        <v>0</v>
      </c>
      <c r="S117" s="615">
        <f t="shared" si="505"/>
        <v>0</v>
      </c>
      <c r="T117" s="48"/>
      <c r="U117" s="519">
        <v>0.05</v>
      </c>
      <c r="V117" s="131"/>
      <c r="W117" s="619">
        <f t="shared" si="525"/>
        <v>0.11081600000000003</v>
      </c>
      <c r="X117" s="619">
        <f t="shared" si="234"/>
        <v>0.11081600000000003</v>
      </c>
      <c r="Y117" s="615">
        <f t="shared" si="526"/>
        <v>0.11081600000000003</v>
      </c>
      <c r="Z117" s="620">
        <f t="shared" si="527"/>
        <v>0</v>
      </c>
      <c r="AA117" s="620">
        <f t="shared" si="528"/>
        <v>0</v>
      </c>
      <c r="AB117" s="615">
        <f t="shared" si="529"/>
        <v>0</v>
      </c>
      <c r="AC117" s="615">
        <f t="shared" si="530"/>
        <v>0</v>
      </c>
      <c r="AD117" s="620">
        <f t="shared" si="531"/>
        <v>0</v>
      </c>
      <c r="AE117" s="287"/>
      <c r="AF117" s="615">
        <f t="shared" si="532"/>
        <v>0</v>
      </c>
      <c r="AG117" s="615">
        <f t="shared" si="533"/>
        <v>0</v>
      </c>
      <c r="AH117" s="615">
        <f t="shared" si="534"/>
        <v>0</v>
      </c>
      <c r="AI117" s="615">
        <f t="shared" si="535"/>
        <v>0</v>
      </c>
      <c r="AJ117" s="615">
        <f t="shared" si="536"/>
        <v>0</v>
      </c>
      <c r="AK117" s="339"/>
      <c r="AL117" s="625">
        <f t="shared" si="537"/>
        <v>1</v>
      </c>
      <c r="AM117" s="625">
        <f t="shared" si="538"/>
        <v>0</v>
      </c>
      <c r="AN117" s="625">
        <f t="shared" si="539"/>
        <v>0</v>
      </c>
      <c r="AO117" s="345"/>
      <c r="AP117" s="615">
        <f>COUNTIF('AR | Drawing List'!$H:$H,"AR-T6V-8")</f>
        <v>3</v>
      </c>
      <c r="AQ117" s="616">
        <f>COUNTIFS('AR | Drawing List'!$H:$H,"AR-T6V-8",'AR | Drawing List'!$J:$J,1)</f>
        <v>3</v>
      </c>
      <c r="AR117" s="616">
        <f t="shared" si="238"/>
        <v>0</v>
      </c>
      <c r="AS117" s="616">
        <f>COUNTIFS('AR | Drawing List'!$H:$H,"AR-T6V-8",'AR | Drawing List'!M:M,1)</f>
        <v>0</v>
      </c>
      <c r="AT117" s="616">
        <f>COUNTIFS('AR | Drawing List'!$H:$H,"AR-T6V-8",'AR | Drawing List'!N:N,1)</f>
        <v>0</v>
      </c>
      <c r="AU117" s="616">
        <f>COUNTIFS('AR | Drawing List'!$H:$H,"AR-T6V-8",'AR | Drawing List'!O:O,1)</f>
        <v>0</v>
      </c>
      <c r="AV117" s="616">
        <f>COUNTIFS('AR | Drawing List'!$H:$H,"AR-T6V-8",'AR | Drawing List'!P:P,1)</f>
        <v>0</v>
      </c>
      <c r="AW117" s="328"/>
      <c r="AX117" s="616">
        <f t="shared" si="540"/>
        <v>0</v>
      </c>
      <c r="AY117" s="616">
        <f>COUNTIFS('AR | Drawing List'!$H:$H,"AR-T6V-8",'AR | Drawing List'!R:R,1)</f>
        <v>0</v>
      </c>
      <c r="AZ117" s="616">
        <f>COUNTIFS('AR | Drawing List'!$H:$H,"AR-T6V-8",'AR | Drawing List'!S:S,1)</f>
        <v>0</v>
      </c>
      <c r="BA117" s="616">
        <f>COUNTIFS('AR | Drawing List'!$H:$H,"AR-T6V-8",'AR | Drawing List'!T:T,1)</f>
        <v>0</v>
      </c>
      <c r="BB117" s="616">
        <f>COUNTIFS('AR | Drawing List'!$H:$H,"AR-T6V-8",'AR | Drawing List'!U:U,1)</f>
        <v>0</v>
      </c>
      <c r="BC117" s="359"/>
      <c r="BD117" s="359"/>
      <c r="BE117" s="525">
        <v>0.05</v>
      </c>
      <c r="BF117" s="343"/>
      <c r="BG117" s="616">
        <f t="shared" si="541"/>
        <v>4.6200959999999999E-2</v>
      </c>
      <c r="BH117" s="618">
        <f t="shared" si="235"/>
        <v>4.6200959999999999E-2</v>
      </c>
      <c r="BI117" s="615">
        <f t="shared" si="542"/>
        <v>4.6200959999999999E-2</v>
      </c>
      <c r="BJ117" s="615">
        <f t="shared" si="543"/>
        <v>0</v>
      </c>
      <c r="BK117" s="615">
        <f t="shared" si="544"/>
        <v>0</v>
      </c>
      <c r="BL117" s="615">
        <f t="shared" si="545"/>
        <v>0</v>
      </c>
      <c r="BM117" s="615">
        <f t="shared" si="546"/>
        <v>0</v>
      </c>
      <c r="BN117" s="615">
        <f t="shared" si="547"/>
        <v>0</v>
      </c>
      <c r="BO117" s="339"/>
      <c r="BP117" s="615">
        <f t="shared" si="548"/>
        <v>0</v>
      </c>
      <c r="BQ117" s="615">
        <f t="shared" si="549"/>
        <v>0</v>
      </c>
      <c r="BR117" s="615">
        <f t="shared" si="550"/>
        <v>0</v>
      </c>
      <c r="BS117" s="615">
        <f t="shared" si="551"/>
        <v>0</v>
      </c>
      <c r="BT117" s="615">
        <f t="shared" si="552"/>
        <v>0</v>
      </c>
      <c r="BU117" s="339"/>
      <c r="BV117" s="635">
        <f t="shared" si="553"/>
        <v>1</v>
      </c>
      <c r="BW117" s="635">
        <f t="shared" si="554"/>
        <v>0</v>
      </c>
      <c r="BX117" s="635">
        <f t="shared" si="555"/>
        <v>0</v>
      </c>
      <c r="BY117" s="341"/>
      <c r="BZ117" s="615">
        <f>COUNTIF('ST | Drawing List'!$H:$H,"ST-T6V-8")</f>
        <v>13</v>
      </c>
      <c r="CA117" s="616">
        <f>COUNTIFS('ST | Drawing List'!$H:$H,"ST-T6V-8",'ST | Drawing List'!$J:$J,1)</f>
        <v>13</v>
      </c>
      <c r="CB117" s="623">
        <f>COUNTIFS('ST | Drawing List'!$H:$H,"ST-T6V-8",'ST | Drawing List'!$L:$L,1)</f>
        <v>0</v>
      </c>
      <c r="CC117" s="616">
        <f>COUNTIFS('ST | Drawing List'!$H:$H,"ST-T6V-8",'ST | Drawing List'!M:M,1)</f>
        <v>0</v>
      </c>
      <c r="CD117" s="616">
        <f>COUNTIFS('ST | Drawing List'!$H:$H,"ST-T6V-8",'ST | Drawing List'!N:N,1)</f>
        <v>0</v>
      </c>
      <c r="CE117" s="616">
        <f>COUNTIFS('ST | Drawing List'!$H:$H,"ST-T6V-8",'ST | Drawing List'!O:O,1)</f>
        <v>0</v>
      </c>
      <c r="CF117" s="616">
        <f>COUNTIFS('ST | Drawing List'!$H:$H,"ST-T6V-8",'ST | Drawing List'!P:P,1)</f>
        <v>0</v>
      </c>
      <c r="CG117" s="532"/>
      <c r="CH117" s="623">
        <f>COUNTIFS('ST | Drawing List'!$H:$H,"ST-T6V-8",'ST | Drawing List'!$Q:$Q,1)</f>
        <v>0</v>
      </c>
      <c r="CI117" s="616">
        <f>COUNTIFS('ST | Drawing List'!$H:$H,"ST-T6V-8",'ST | Drawing List'!R:R,1)</f>
        <v>0</v>
      </c>
      <c r="CJ117" s="616">
        <f>COUNTIFS('ST | Drawing List'!$H:$H,"ST-T6V-8",'ST | Drawing List'!S:S,1)</f>
        <v>0</v>
      </c>
      <c r="CK117" s="616">
        <f>COUNTIFS('ST | Drawing List'!$H:$H,"ST-T6V-8",'ST | Drawing List'!T:T,1)</f>
        <v>0</v>
      </c>
      <c r="CL117" s="616">
        <f>COUNTIFS('ST | Drawing List'!$H:$H,"ST-T6V-8",'ST | Drawing List'!U:U,1)</f>
        <v>0</v>
      </c>
      <c r="CM117" s="343"/>
      <c r="CN117" s="343"/>
      <c r="CO117" s="666">
        <v>0</v>
      </c>
      <c r="CP117" s="343"/>
      <c r="CQ117" s="616">
        <f t="shared" si="556"/>
        <v>0</v>
      </c>
      <c r="CR117" s="618">
        <f t="shared" si="236"/>
        <v>0</v>
      </c>
      <c r="CS117" s="615">
        <f t="shared" si="557"/>
        <v>0</v>
      </c>
      <c r="CT117" s="615">
        <f t="shared" si="558"/>
        <v>0</v>
      </c>
      <c r="CU117" s="615">
        <f t="shared" si="559"/>
        <v>0</v>
      </c>
      <c r="CV117" s="615">
        <f t="shared" si="560"/>
        <v>0</v>
      </c>
      <c r="CW117" s="615">
        <f t="shared" si="561"/>
        <v>0</v>
      </c>
      <c r="CX117" s="615">
        <f t="shared" si="562"/>
        <v>0</v>
      </c>
      <c r="CY117" s="339"/>
      <c r="CZ117" s="615">
        <f t="shared" si="563"/>
        <v>0</v>
      </c>
      <c r="DA117" s="615">
        <f t="shared" si="564"/>
        <v>0</v>
      </c>
      <c r="DB117" s="615">
        <f t="shared" si="565"/>
        <v>0</v>
      </c>
      <c r="DC117" s="615">
        <f t="shared" si="566"/>
        <v>0</v>
      </c>
      <c r="DD117" s="615">
        <f t="shared" si="567"/>
        <v>0</v>
      </c>
      <c r="DE117" s="339"/>
      <c r="DF117" s="625">
        <f t="shared" si="568"/>
        <v>0</v>
      </c>
      <c r="DG117" s="625">
        <f t="shared" si="569"/>
        <v>0</v>
      </c>
      <c r="DH117" s="625">
        <f t="shared" si="570"/>
        <v>0</v>
      </c>
      <c r="DI117" s="341"/>
      <c r="DJ117" s="615">
        <f>COUNTIF('MEP | Drawing List'!$H:$H,"MEP-T2V-6V-8")</f>
        <v>0</v>
      </c>
      <c r="DK117" s="616">
        <f>COUNTIFS('MEP | Drawing List'!$H:$H,"MEP-T2V-6V-8",'MEP | Drawing List'!$J:$J,1)</f>
        <v>0</v>
      </c>
      <c r="DL117" s="616">
        <f>COUNTIFS('MEP | Drawing List'!$H:$H,"MEP-T2V-6V-8",'MEP | Drawing List'!$L:$L,1)</f>
        <v>0</v>
      </c>
      <c r="DM117" s="615">
        <f>COUNTIFS('MEP | Drawing List'!$H:$H,"MEP-T2V-6V-8",'MEP | Drawing List'!M:M,1)</f>
        <v>0</v>
      </c>
      <c r="DN117" s="615">
        <f>COUNTIFS('MEP | Drawing List'!$H:$H,"MEP-T2V-6V-8",'MEP | Drawing List'!N:N,1)</f>
        <v>0</v>
      </c>
      <c r="DO117" s="615">
        <f>COUNTIFS('MEP | Drawing List'!$H:$H,"MEP-T2V-6V-8",'MEP | Drawing List'!O:O,1)</f>
        <v>0</v>
      </c>
      <c r="DP117" s="615">
        <f>COUNTIFS('MEP | Drawing List'!$H:$H,"MEP-T2V-6V-8",'MEP | Drawing List'!P:P,1)</f>
        <v>0</v>
      </c>
      <c r="DQ117" s="339"/>
      <c r="DR117" s="616">
        <f>COUNTIFS('MEP | Drawing List'!$H:$H,"MEP-T2V-6V-8",'MEP | Drawing List'!$Q:$Q,1)</f>
        <v>0</v>
      </c>
      <c r="DS117" s="615">
        <f>COUNTIFS('MEP | Drawing List'!$H:$H,"MEP-T2V-6V-8",'MEP | Drawing List'!R:R,1)</f>
        <v>0</v>
      </c>
      <c r="DT117" s="615">
        <f>COUNTIFS('MEP | Drawing List'!$H:$H,"MEP-T2V-6V-8",'MEP | Drawing List'!S:S,1)</f>
        <v>0</v>
      </c>
      <c r="DU117" s="615">
        <f>COUNTIFS('MEP | Drawing List'!$H:$H,"MEP-T2V-6V-8",'MEP | Drawing List'!T:T,1)</f>
        <v>0</v>
      </c>
      <c r="DV117" s="615">
        <f>COUNTIFS('MEP | Drawing List'!$H:$H,"MEP-T2V-6V-8",'MEP | Drawing List'!U:U,1)</f>
        <v>0</v>
      </c>
      <c r="DW117" s="343"/>
      <c r="DX117" s="343"/>
      <c r="DY117" s="525">
        <v>0</v>
      </c>
      <c r="DZ117" s="343"/>
      <c r="EA117" s="344">
        <v>0</v>
      </c>
      <c r="EB117" s="618">
        <f t="shared" si="237"/>
        <v>0</v>
      </c>
      <c r="EC117" s="81"/>
      <c r="ED117" s="81"/>
      <c r="EE117" s="339"/>
      <c r="EF117" s="339"/>
      <c r="EG117" s="339"/>
      <c r="EH117" s="339"/>
      <c r="EI117" s="339"/>
      <c r="EJ117" s="81"/>
      <c r="EK117" s="339"/>
      <c r="EL117" s="339"/>
      <c r="EM117" s="339"/>
      <c r="EN117" s="339"/>
      <c r="EO117" s="339"/>
      <c r="EP117" s="103"/>
      <c r="EQ117" s="103"/>
      <c r="ER117" s="103"/>
      <c r="ES117" s="82"/>
      <c r="ET117" s="615">
        <f>COUNTIF('LS | Drawing List'!$H:$H,"LS-T6V-8")</f>
        <v>0</v>
      </c>
      <c r="EU117" s="616">
        <f>COUNTIFS('LS | Drawing List'!$H:$H,"LS-T6V-8",'LS | Drawing List'!$J:$J,1)</f>
        <v>0</v>
      </c>
      <c r="EV117" s="616">
        <f>COUNTIFS('LS | Drawing List'!$H:$H,"LS-T6V-8",'LS | Drawing List'!$L:$L,1)</f>
        <v>0</v>
      </c>
      <c r="EW117" s="615">
        <f>COUNTIFS('LS | Drawing List'!$H:$H,"LS-T6V-8",'LS | Drawing List'!M:M,1)</f>
        <v>0</v>
      </c>
      <c r="EX117" s="615">
        <f>COUNTIFS('LS | Drawing List'!$H:$H,"LS-T6V-8",'LS | Drawing List'!N:N,1)</f>
        <v>0</v>
      </c>
      <c r="EY117" s="615">
        <f>COUNTIFS('LS | Drawing List'!$H:$H,"LS-T6V-8",'LS | Drawing List'!O:O,1)</f>
        <v>0</v>
      </c>
      <c r="EZ117" s="615">
        <f>COUNTIFS('LS | Drawing List'!$H:$H,"LS-T6V-8",'LS | Drawing List'!P:P,1)</f>
        <v>0</v>
      </c>
      <c r="FA117" s="81"/>
      <c r="FB117" s="616">
        <f>COUNTIFS('LS | Drawing List'!$H:$H,"LS-T6V-8",'LS | Drawing List'!$Q:$Q,1)</f>
        <v>0</v>
      </c>
      <c r="FC117" s="615">
        <f>COUNTIFS('LS | Drawing List'!$H:$H,"LS-T6V-8",'LS | Drawing List'!R:R,1)</f>
        <v>0</v>
      </c>
      <c r="FD117" s="615">
        <f>COUNTIFS('LS | Drawing List'!$H:$H,"LS-T6V-8",'LS | Drawing List'!S:S,1)</f>
        <v>0</v>
      </c>
      <c r="FE117" s="615">
        <f>COUNTIFS('LS | Drawing List'!$H:$H,"LS-T6V-8",'LS | Drawing List'!T:T,1)</f>
        <v>0</v>
      </c>
      <c r="FF117" s="615">
        <f>COUNTIFS('LS | Drawing List'!$H:$H,"LS-T6V-8",'LS | Drawing List'!U:U,1)</f>
        <v>0</v>
      </c>
      <c r="FG117" s="48"/>
    </row>
    <row r="118" spans="1:163" ht="14.25" hidden="1" outlineLevel="2">
      <c r="A118" s="48"/>
      <c r="B118" s="87" t="s">
        <v>125</v>
      </c>
      <c r="C118" s="276">
        <v>9</v>
      </c>
      <c r="D118" s="272" t="s">
        <v>69</v>
      </c>
      <c r="E118" s="48"/>
      <c r="F118" s="619">
        <f t="shared" si="522"/>
        <v>0.17310272000000002</v>
      </c>
      <c r="G118" s="619">
        <f t="shared" si="523"/>
        <v>0.17310272000000002</v>
      </c>
      <c r="H118" s="615">
        <f t="shared" si="524"/>
        <v>0</v>
      </c>
      <c r="I118" s="615">
        <f t="shared" si="496"/>
        <v>0</v>
      </c>
      <c r="J118" s="615">
        <f t="shared" si="497"/>
        <v>0</v>
      </c>
      <c r="K118" s="615">
        <f t="shared" si="498"/>
        <v>0</v>
      </c>
      <c r="L118" s="615">
        <f t="shared" si="499"/>
        <v>0</v>
      </c>
      <c r="M118" s="620">
        <f t="shared" si="500"/>
        <v>0</v>
      </c>
      <c r="N118" s="287"/>
      <c r="O118" s="615">
        <f t="shared" si="501"/>
        <v>0</v>
      </c>
      <c r="P118" s="615">
        <f t="shared" si="502"/>
        <v>0</v>
      </c>
      <c r="Q118" s="615">
        <f t="shared" si="503"/>
        <v>0</v>
      </c>
      <c r="R118" s="615">
        <f t="shared" si="504"/>
        <v>0</v>
      </c>
      <c r="S118" s="615">
        <f t="shared" si="505"/>
        <v>0</v>
      </c>
      <c r="T118" s="48"/>
      <c r="U118" s="519">
        <v>2.5000000000000001E-2</v>
      </c>
      <c r="V118" s="131"/>
      <c r="W118" s="619">
        <f t="shared" si="525"/>
        <v>5.5408000000000013E-2</v>
      </c>
      <c r="X118" s="619">
        <f t="shared" si="234"/>
        <v>5.5408000000000013E-2</v>
      </c>
      <c r="Y118" s="615">
        <f t="shared" si="526"/>
        <v>5.5408000000000013E-2</v>
      </c>
      <c r="Z118" s="620">
        <f t="shared" si="527"/>
        <v>0</v>
      </c>
      <c r="AA118" s="620">
        <f t="shared" si="528"/>
        <v>0</v>
      </c>
      <c r="AB118" s="615">
        <f t="shared" si="529"/>
        <v>0</v>
      </c>
      <c r="AC118" s="615">
        <f t="shared" si="530"/>
        <v>0</v>
      </c>
      <c r="AD118" s="620">
        <f t="shared" si="531"/>
        <v>0</v>
      </c>
      <c r="AE118" s="287"/>
      <c r="AF118" s="615">
        <f t="shared" si="532"/>
        <v>0</v>
      </c>
      <c r="AG118" s="615">
        <f t="shared" si="533"/>
        <v>0</v>
      </c>
      <c r="AH118" s="615">
        <f t="shared" si="534"/>
        <v>0</v>
      </c>
      <c r="AI118" s="615">
        <f t="shared" si="535"/>
        <v>0</v>
      </c>
      <c r="AJ118" s="615">
        <f t="shared" si="536"/>
        <v>0</v>
      </c>
      <c r="AK118" s="339"/>
      <c r="AL118" s="625">
        <f t="shared" si="537"/>
        <v>1</v>
      </c>
      <c r="AM118" s="625">
        <f t="shared" si="538"/>
        <v>0</v>
      </c>
      <c r="AN118" s="625">
        <f t="shared" si="539"/>
        <v>0</v>
      </c>
      <c r="AO118" s="345"/>
      <c r="AP118" s="615">
        <f>COUNTIF('AR | Drawing List'!$H:$H,"AR-T6V-9")</f>
        <v>2</v>
      </c>
      <c r="AQ118" s="616">
        <f>COUNTIFS('AR | Drawing List'!$H:$H,"AR-T6V-9",'AR | Drawing List'!$J:$J,1)</f>
        <v>2</v>
      </c>
      <c r="AR118" s="616">
        <f t="shared" si="238"/>
        <v>0</v>
      </c>
      <c r="AS118" s="616">
        <f>COUNTIFS('AR | Drawing List'!$H:$H,"AR-T6V-9",'AR | Drawing List'!M:M,1)</f>
        <v>0</v>
      </c>
      <c r="AT118" s="616">
        <f>COUNTIFS('AR | Drawing List'!$H:$H,"AR-T6V-9",'AR | Drawing List'!N:N,1)</f>
        <v>0</v>
      </c>
      <c r="AU118" s="616">
        <f>COUNTIFS('AR | Drawing List'!$H:$H,"AR-T6V-9",'AR | Drawing List'!O:O,1)</f>
        <v>0</v>
      </c>
      <c r="AV118" s="616">
        <f>COUNTIFS('AR | Drawing List'!$H:$H,"AR-T6V-9",'AR | Drawing List'!P:P,1)</f>
        <v>0</v>
      </c>
      <c r="AW118" s="328"/>
      <c r="AX118" s="616">
        <f t="shared" si="540"/>
        <v>0</v>
      </c>
      <c r="AY118" s="616">
        <f>COUNTIFS('AR | Drawing List'!$H:$H,"AR-T6V-9",'AR | Drawing List'!R:R,1)</f>
        <v>0</v>
      </c>
      <c r="AZ118" s="616">
        <f>COUNTIFS('AR | Drawing List'!$H:$H,"AR-T6V-9",'AR | Drawing List'!S:S,1)</f>
        <v>0</v>
      </c>
      <c r="BA118" s="616">
        <f>COUNTIFS('AR | Drawing List'!$H:$H,"AR-T6V-9",'AR | Drawing List'!T:T,1)</f>
        <v>0</v>
      </c>
      <c r="BB118" s="616">
        <f>COUNTIFS('AR | Drawing List'!$H:$H,"AR-T6V-9",'AR | Drawing List'!U:U,1)</f>
        <v>0</v>
      </c>
      <c r="BC118" s="328"/>
      <c r="BD118" s="328"/>
      <c r="BE118" s="554">
        <v>0.1</v>
      </c>
      <c r="BF118" s="343"/>
      <c r="BG118" s="616">
        <f t="shared" si="541"/>
        <v>9.2401919999999999E-2</v>
      </c>
      <c r="BH118" s="618">
        <f t="shared" si="235"/>
        <v>9.2401919999999999E-2</v>
      </c>
      <c r="BI118" s="615">
        <f t="shared" si="542"/>
        <v>9.2401919999999999E-2</v>
      </c>
      <c r="BJ118" s="615">
        <f t="shared" si="543"/>
        <v>0</v>
      </c>
      <c r="BK118" s="615">
        <f t="shared" si="544"/>
        <v>0</v>
      </c>
      <c r="BL118" s="615">
        <f t="shared" si="545"/>
        <v>0</v>
      </c>
      <c r="BM118" s="615">
        <f t="shared" si="546"/>
        <v>0</v>
      </c>
      <c r="BN118" s="615">
        <f t="shared" si="547"/>
        <v>0</v>
      </c>
      <c r="BO118" s="339"/>
      <c r="BP118" s="615">
        <f t="shared" si="548"/>
        <v>0</v>
      </c>
      <c r="BQ118" s="615">
        <f t="shared" si="549"/>
        <v>0</v>
      </c>
      <c r="BR118" s="615">
        <f t="shared" si="550"/>
        <v>0</v>
      </c>
      <c r="BS118" s="615">
        <f t="shared" si="551"/>
        <v>0</v>
      </c>
      <c r="BT118" s="615">
        <f t="shared" si="552"/>
        <v>0</v>
      </c>
      <c r="BU118" s="339"/>
      <c r="BV118" s="635">
        <f t="shared" si="553"/>
        <v>1</v>
      </c>
      <c r="BW118" s="635">
        <f t="shared" si="554"/>
        <v>0</v>
      </c>
      <c r="BX118" s="635">
        <f t="shared" si="555"/>
        <v>0</v>
      </c>
      <c r="BY118" s="341"/>
      <c r="BZ118" s="615">
        <f>COUNTIF('ST | Drawing List'!$H:$H,"ST-T6V-9")</f>
        <v>8</v>
      </c>
      <c r="CA118" s="616">
        <f>COUNTIFS('ST | Drawing List'!$H:$H,"ST-T6V-9",'ST | Drawing List'!$J:$J,1)</f>
        <v>8</v>
      </c>
      <c r="CB118" s="623">
        <f>COUNTIFS('ST | Drawing List'!$H:$H,"ST-T6V-9",'ST | Drawing List'!$L:$L,1)</f>
        <v>0</v>
      </c>
      <c r="CC118" s="616">
        <f>COUNTIFS('ST | Drawing List'!$H:$H,"ST-T6V-9",'ST | Drawing List'!M:M,1)</f>
        <v>0</v>
      </c>
      <c r="CD118" s="616">
        <f>COUNTIFS('ST | Drawing List'!$H:$H,"ST-T6V-9",'ST | Drawing List'!N:N,1)</f>
        <v>0</v>
      </c>
      <c r="CE118" s="616">
        <f>COUNTIFS('ST | Drawing List'!$H:$H,"ST-T6V-9",'ST | Drawing List'!O:O,1)</f>
        <v>0</v>
      </c>
      <c r="CF118" s="616">
        <f>COUNTIFS('ST | Drawing List'!$H:$H,"ST-T6V-9",'ST | Drawing List'!P:P,1)</f>
        <v>0</v>
      </c>
      <c r="CG118" s="532"/>
      <c r="CH118" s="623">
        <f>COUNTIFS('ST | Drawing List'!$H:$H,"ST-T6V-9",'ST | Drawing List'!$Q:$Q,1)</f>
        <v>0</v>
      </c>
      <c r="CI118" s="616">
        <f>COUNTIFS('ST | Drawing List'!$H:$H,"ST-T6V-9",'ST | Drawing List'!R:R,1)</f>
        <v>0</v>
      </c>
      <c r="CJ118" s="616">
        <f>COUNTIFS('ST | Drawing List'!$H:$H,"ST-T6V-9",'ST | Drawing List'!S:S,1)</f>
        <v>0</v>
      </c>
      <c r="CK118" s="616">
        <f>COUNTIFS('ST | Drawing List'!$H:$H,"ST-T6V-9",'ST | Drawing List'!T:T,1)</f>
        <v>0</v>
      </c>
      <c r="CL118" s="616">
        <f>COUNTIFS('ST | Drawing List'!$H:$H,"ST-T6V-9",'ST | Drawing List'!U:U,1)</f>
        <v>0</v>
      </c>
      <c r="CM118" s="343"/>
      <c r="CN118" s="343"/>
      <c r="CO118" s="525">
        <v>0.2</v>
      </c>
      <c r="CP118" s="343"/>
      <c r="CQ118" s="616">
        <f t="shared" si="556"/>
        <v>2.5292800000000004E-2</v>
      </c>
      <c r="CR118" s="618">
        <f t="shared" si="236"/>
        <v>2.5292800000000004E-2</v>
      </c>
      <c r="CS118" s="615">
        <f t="shared" si="557"/>
        <v>2.5292800000000004E-2</v>
      </c>
      <c r="CT118" s="615">
        <f t="shared" si="558"/>
        <v>0</v>
      </c>
      <c r="CU118" s="615">
        <f t="shared" si="559"/>
        <v>0</v>
      </c>
      <c r="CV118" s="615">
        <f t="shared" si="560"/>
        <v>0</v>
      </c>
      <c r="CW118" s="615">
        <f t="shared" si="561"/>
        <v>0</v>
      </c>
      <c r="CX118" s="615">
        <f t="shared" si="562"/>
        <v>0</v>
      </c>
      <c r="CY118" s="339"/>
      <c r="CZ118" s="615">
        <f t="shared" si="563"/>
        <v>0</v>
      </c>
      <c r="DA118" s="615">
        <f t="shared" si="564"/>
        <v>0</v>
      </c>
      <c r="DB118" s="615">
        <f t="shared" si="565"/>
        <v>0</v>
      </c>
      <c r="DC118" s="615">
        <f t="shared" si="566"/>
        <v>0</v>
      </c>
      <c r="DD118" s="615">
        <f t="shared" si="567"/>
        <v>0</v>
      </c>
      <c r="DE118" s="339"/>
      <c r="DF118" s="625">
        <f t="shared" si="568"/>
        <v>1</v>
      </c>
      <c r="DG118" s="625">
        <f t="shared" si="569"/>
        <v>0</v>
      </c>
      <c r="DH118" s="625">
        <f t="shared" si="570"/>
        <v>0</v>
      </c>
      <c r="DI118" s="341"/>
      <c r="DJ118" s="615">
        <f>COUNTIF('MEP | Drawing List'!$H:$H,"MEP-T2V-6V-9")</f>
        <v>15</v>
      </c>
      <c r="DK118" s="616">
        <f>COUNTIFS('MEP | Drawing List'!$H:$H,"MEP-T2V-6V-9",'MEP | Drawing List'!$J:$J,1)</f>
        <v>15</v>
      </c>
      <c r="DL118" s="616">
        <f>COUNTIFS('MEP | Drawing List'!$H:$H,"MEP-T2V-6V-9",'MEP | Drawing List'!$L:$L,1)</f>
        <v>0</v>
      </c>
      <c r="DM118" s="615">
        <f>COUNTIFS('MEP | Drawing List'!$H:$H,"MEP-T2V-6V-9",'MEP | Drawing List'!M:M,1)</f>
        <v>0</v>
      </c>
      <c r="DN118" s="615">
        <f>COUNTIFS('MEP | Drawing List'!$H:$H,"MEP-T2V-6V-9",'MEP | Drawing List'!N:N,1)</f>
        <v>0</v>
      </c>
      <c r="DO118" s="615">
        <f>COUNTIFS('MEP | Drawing List'!$H:$H,"MEP-T2V-6V-9",'MEP | Drawing List'!O:O,1)</f>
        <v>0</v>
      </c>
      <c r="DP118" s="615">
        <f>COUNTIFS('MEP | Drawing List'!$H:$H,"MEP-T2V-6V-9",'MEP | Drawing List'!P:P,1)</f>
        <v>0</v>
      </c>
      <c r="DQ118" s="339"/>
      <c r="DR118" s="616">
        <f>COUNTIFS('MEP | Drawing List'!$H:$H,"MEP-T2V-6V-9",'MEP | Drawing List'!$Q:$Q,1)</f>
        <v>0</v>
      </c>
      <c r="DS118" s="615">
        <f>COUNTIFS('MEP | Drawing List'!$H:$H,"MEP-T2V-6V-9",'MEP | Drawing List'!R:R,1)</f>
        <v>0</v>
      </c>
      <c r="DT118" s="615">
        <f>COUNTIFS('MEP | Drawing List'!$H:$H,"MEP-T2V-6V-9",'MEP | Drawing List'!S:S,1)</f>
        <v>0</v>
      </c>
      <c r="DU118" s="615">
        <f>COUNTIFS('MEP | Drawing List'!$H:$H,"MEP-T2V-6V-9",'MEP | Drawing List'!T:T,1)</f>
        <v>0</v>
      </c>
      <c r="DV118" s="615">
        <f>COUNTIFS('MEP | Drawing List'!$H:$H,"MEP-T2V-6V-9",'MEP | Drawing List'!U:U,1)</f>
        <v>0</v>
      </c>
      <c r="DW118" s="343"/>
      <c r="DX118" s="343"/>
      <c r="DY118" s="525">
        <v>0</v>
      </c>
      <c r="DZ118" s="343"/>
      <c r="EA118" s="344">
        <v>0</v>
      </c>
      <c r="EB118" s="618">
        <f t="shared" si="237"/>
        <v>0</v>
      </c>
      <c r="EC118" s="81"/>
      <c r="ED118" s="81"/>
      <c r="EE118" s="339"/>
      <c r="EF118" s="339"/>
      <c r="EG118" s="339"/>
      <c r="EH118" s="339"/>
      <c r="EI118" s="339"/>
      <c r="EJ118" s="81"/>
      <c r="EK118" s="339"/>
      <c r="EL118" s="339"/>
      <c r="EM118" s="339"/>
      <c r="EN118" s="339"/>
      <c r="EO118" s="339"/>
      <c r="EP118" s="103"/>
      <c r="EQ118" s="103"/>
      <c r="ER118" s="103"/>
      <c r="ES118" s="82"/>
      <c r="ET118" s="615">
        <f>COUNTIF('LS | Drawing List'!$H:$H,"LS-T6V-9")</f>
        <v>0</v>
      </c>
      <c r="EU118" s="616">
        <f>COUNTIFS('LS | Drawing List'!$H:$H,"LS-T6V-9",'LS | Drawing List'!$J:$J,1)</f>
        <v>0</v>
      </c>
      <c r="EV118" s="616">
        <f>COUNTIFS('LS | Drawing List'!$H:$H,"LS-T6V-9",'LS | Drawing List'!$L:$L,1)</f>
        <v>0</v>
      </c>
      <c r="EW118" s="615">
        <f>COUNTIFS('LS | Drawing List'!$H:$H,"LS-T6V-9",'LS | Drawing List'!M:M,1)</f>
        <v>0</v>
      </c>
      <c r="EX118" s="615">
        <f>COUNTIFS('LS | Drawing List'!$H:$H,"LS-T6V-9",'LS | Drawing List'!N:N,1)</f>
        <v>0</v>
      </c>
      <c r="EY118" s="615">
        <f>COUNTIFS('LS | Drawing List'!$H:$H,"LS-T6V-9",'LS | Drawing List'!O:O,1)</f>
        <v>0</v>
      </c>
      <c r="EZ118" s="615">
        <f>COUNTIFS('LS | Drawing List'!$H:$H,"LS-T6V-9",'LS | Drawing List'!P:P,1)</f>
        <v>0</v>
      </c>
      <c r="FA118" s="81"/>
      <c r="FB118" s="616">
        <f>COUNTIFS('LS | Drawing List'!$H:$H,"LS-T6V-9",'LS | Drawing List'!$Q:$Q,1)</f>
        <v>0</v>
      </c>
      <c r="FC118" s="615">
        <f>COUNTIFS('LS | Drawing List'!$H:$H,"LS-T6V-9",'LS | Drawing List'!R:R,1)</f>
        <v>0</v>
      </c>
      <c r="FD118" s="615">
        <f>COUNTIFS('LS | Drawing List'!$H:$H,"LS-T6V-9",'LS | Drawing List'!S:S,1)</f>
        <v>0</v>
      </c>
      <c r="FE118" s="615">
        <f>COUNTIFS('LS | Drawing List'!$H:$H,"LS-T6V-9",'LS | Drawing List'!T:T,1)</f>
        <v>0</v>
      </c>
      <c r="FF118" s="615">
        <f>COUNTIFS('LS | Drawing List'!$H:$H,"LS-T6V-9",'LS | Drawing List'!U:U,1)</f>
        <v>0</v>
      </c>
      <c r="FG118" s="48"/>
    </row>
    <row r="119" spans="1:163" ht="14.25" hidden="1" outlineLevel="2">
      <c r="A119" s="48"/>
      <c r="B119" s="87" t="s">
        <v>126</v>
      </c>
      <c r="C119" s="276">
        <v>10</v>
      </c>
      <c r="D119" s="272" t="s">
        <v>71</v>
      </c>
      <c r="E119" s="48"/>
      <c r="F119" s="619">
        <f t="shared" si="522"/>
        <v>0.22163200000000005</v>
      </c>
      <c r="G119" s="619">
        <f t="shared" si="523"/>
        <v>0.22163200000000005</v>
      </c>
      <c r="H119" s="615">
        <f t="shared" si="524"/>
        <v>0</v>
      </c>
      <c r="I119" s="615">
        <f t="shared" si="496"/>
        <v>0</v>
      </c>
      <c r="J119" s="615">
        <f t="shared" si="497"/>
        <v>0</v>
      </c>
      <c r="K119" s="615">
        <f t="shared" si="498"/>
        <v>0</v>
      </c>
      <c r="L119" s="615">
        <f t="shared" si="499"/>
        <v>0</v>
      </c>
      <c r="M119" s="620">
        <f t="shared" si="500"/>
        <v>0</v>
      </c>
      <c r="N119" s="287"/>
      <c r="O119" s="615">
        <f t="shared" si="501"/>
        <v>0</v>
      </c>
      <c r="P119" s="615">
        <f t="shared" si="502"/>
        <v>0</v>
      </c>
      <c r="Q119" s="615">
        <f t="shared" si="503"/>
        <v>0</v>
      </c>
      <c r="R119" s="615">
        <f t="shared" si="504"/>
        <v>0</v>
      </c>
      <c r="S119" s="615">
        <f t="shared" si="505"/>
        <v>0</v>
      </c>
      <c r="T119" s="48"/>
      <c r="U119" s="519">
        <v>0.1</v>
      </c>
      <c r="V119" s="131"/>
      <c r="W119" s="619">
        <f t="shared" si="525"/>
        <v>0.22163200000000005</v>
      </c>
      <c r="X119" s="619">
        <f t="shared" si="234"/>
        <v>0.22163200000000005</v>
      </c>
      <c r="Y119" s="615">
        <f t="shared" si="526"/>
        <v>0.22163200000000005</v>
      </c>
      <c r="Z119" s="620">
        <f t="shared" si="527"/>
        <v>0</v>
      </c>
      <c r="AA119" s="620">
        <f t="shared" si="528"/>
        <v>0</v>
      </c>
      <c r="AB119" s="615">
        <f t="shared" si="529"/>
        <v>0</v>
      </c>
      <c r="AC119" s="615">
        <f t="shared" si="530"/>
        <v>0</v>
      </c>
      <c r="AD119" s="620">
        <f t="shared" si="531"/>
        <v>0</v>
      </c>
      <c r="AE119" s="287"/>
      <c r="AF119" s="615">
        <f t="shared" si="532"/>
        <v>0</v>
      </c>
      <c r="AG119" s="615">
        <f t="shared" si="533"/>
        <v>0</v>
      </c>
      <c r="AH119" s="615">
        <f t="shared" si="534"/>
        <v>0</v>
      </c>
      <c r="AI119" s="615">
        <f t="shared" si="535"/>
        <v>0</v>
      </c>
      <c r="AJ119" s="615">
        <f t="shared" si="536"/>
        <v>0</v>
      </c>
      <c r="AK119" s="339"/>
      <c r="AL119" s="625">
        <f t="shared" si="537"/>
        <v>1</v>
      </c>
      <c r="AM119" s="625">
        <f t="shared" si="538"/>
        <v>0</v>
      </c>
      <c r="AN119" s="625">
        <f t="shared" si="539"/>
        <v>0</v>
      </c>
      <c r="AO119" s="345"/>
      <c r="AP119" s="615">
        <f>COUNTIF('AR | Drawing List'!$H:$H,"AR-T6V-10")</f>
        <v>5</v>
      </c>
      <c r="AQ119" s="616">
        <f>COUNTIFS('AR | Drawing List'!$H:$H,"AR-T6V-10",'AR | Drawing List'!$J:$J,1)</f>
        <v>5</v>
      </c>
      <c r="AR119" s="616">
        <f t="shared" si="238"/>
        <v>0</v>
      </c>
      <c r="AS119" s="616">
        <f>COUNTIFS('AR | Drawing List'!$H:$H,"AR-T6V-10",'AR | Drawing List'!M:M,1)</f>
        <v>0</v>
      </c>
      <c r="AT119" s="616">
        <f>COUNTIFS('AR | Drawing List'!$H:$H,"AR-T6V-10",'AR | Drawing List'!N:N,1)</f>
        <v>0</v>
      </c>
      <c r="AU119" s="616">
        <f>COUNTIFS('AR | Drawing List'!$H:$H,"AR-T6V-10",'AR | Drawing List'!O:O,1)</f>
        <v>0</v>
      </c>
      <c r="AV119" s="616">
        <f>COUNTIFS('AR | Drawing List'!$H:$H,"AR-T6V-10",'AR | Drawing List'!P:P,1)</f>
        <v>0</v>
      </c>
      <c r="AW119" s="328"/>
      <c r="AX119" s="616">
        <f t="shared" si="540"/>
        <v>0</v>
      </c>
      <c r="AY119" s="616">
        <f>COUNTIFS('AR | Drawing List'!$H:$H,"AR-T6V-10",'AR | Drawing List'!R:R,1)</f>
        <v>0</v>
      </c>
      <c r="AZ119" s="616">
        <f>COUNTIFS('AR | Drawing List'!$H:$H,"AR-T6V-10",'AR | Drawing List'!S:S,1)</f>
        <v>0</v>
      </c>
      <c r="BA119" s="616">
        <f>COUNTIFS('AR | Drawing List'!$H:$H,"AR-T6V-10",'AR | Drawing List'!T:T,1)</f>
        <v>0</v>
      </c>
      <c r="BB119" s="616">
        <f>COUNTIFS('AR | Drawing List'!$H:$H,"AR-T6V-10",'AR | Drawing List'!U:U,1)</f>
        <v>0</v>
      </c>
      <c r="BC119" s="328"/>
      <c r="BD119" s="328"/>
      <c r="BE119" s="666">
        <v>0</v>
      </c>
      <c r="BF119" s="343"/>
      <c r="BG119" s="616">
        <f t="shared" si="541"/>
        <v>0</v>
      </c>
      <c r="BH119" s="618">
        <f t="shared" si="235"/>
        <v>0</v>
      </c>
      <c r="BI119" s="615">
        <f t="shared" si="542"/>
        <v>0</v>
      </c>
      <c r="BJ119" s="615">
        <f t="shared" si="543"/>
        <v>0</v>
      </c>
      <c r="BK119" s="615">
        <f t="shared" si="544"/>
        <v>0</v>
      </c>
      <c r="BL119" s="615">
        <f t="shared" si="545"/>
        <v>0</v>
      </c>
      <c r="BM119" s="615">
        <f t="shared" si="546"/>
        <v>0</v>
      </c>
      <c r="BN119" s="615">
        <f t="shared" si="547"/>
        <v>0</v>
      </c>
      <c r="BO119" s="339"/>
      <c r="BP119" s="615">
        <f t="shared" si="548"/>
        <v>0</v>
      </c>
      <c r="BQ119" s="615">
        <f t="shared" si="549"/>
        <v>0</v>
      </c>
      <c r="BR119" s="615">
        <f t="shared" si="550"/>
        <v>0</v>
      </c>
      <c r="BS119" s="615">
        <f t="shared" si="551"/>
        <v>0</v>
      </c>
      <c r="BT119" s="615">
        <f t="shared" si="552"/>
        <v>0</v>
      </c>
      <c r="BU119" s="339"/>
      <c r="BV119" s="635">
        <f t="shared" si="553"/>
        <v>0</v>
      </c>
      <c r="BW119" s="635">
        <f t="shared" si="554"/>
        <v>0</v>
      </c>
      <c r="BX119" s="635">
        <f t="shared" si="555"/>
        <v>0</v>
      </c>
      <c r="BY119" s="341"/>
      <c r="BZ119" s="615">
        <f>COUNTIF('ST | Drawing List'!$H:$H,"ST-T6V-10")</f>
        <v>0</v>
      </c>
      <c r="CA119" s="616">
        <f>COUNTIFS('ST | Drawing List'!$H:$H,"ST-T6V-10",'ST | Drawing List'!$J:$J,1)</f>
        <v>0</v>
      </c>
      <c r="CB119" s="623">
        <f>COUNTIFS('ST | Drawing List'!$H:$H,"ST-T6V-10",'ST | Drawing List'!$L:$L,1)</f>
        <v>0</v>
      </c>
      <c r="CC119" s="616">
        <f>COUNTIFS('ST | Drawing List'!$H:$H,"ST-T6V-10",'ST | Drawing List'!M:M,1)</f>
        <v>0</v>
      </c>
      <c r="CD119" s="616">
        <f>COUNTIFS('ST | Drawing List'!$H:$H,"ST-T6V-10",'ST | Drawing List'!N:N,1)</f>
        <v>0</v>
      </c>
      <c r="CE119" s="616">
        <f>COUNTIFS('ST | Drawing List'!$H:$H,"ST-T6V-10",'ST | Drawing List'!O:O,1)</f>
        <v>0</v>
      </c>
      <c r="CF119" s="616">
        <f>COUNTIFS('ST | Drawing List'!$H:$H,"ST-T6V-10",'ST | Drawing List'!P:P,1)</f>
        <v>0</v>
      </c>
      <c r="CG119" s="532"/>
      <c r="CH119" s="623">
        <f>COUNTIFS('ST | Drawing List'!$H:$H,"ST-T6V-10",'ST | Drawing List'!$Q:$Q,1)</f>
        <v>0</v>
      </c>
      <c r="CI119" s="616">
        <f>COUNTIFS('ST | Drawing List'!$H:$H,"ST-T6V-10",'ST | Drawing List'!R:R,1)</f>
        <v>0</v>
      </c>
      <c r="CJ119" s="616">
        <f>COUNTIFS('ST | Drawing List'!$H:$H,"ST-T6V-10",'ST | Drawing List'!S:S,1)</f>
        <v>0</v>
      </c>
      <c r="CK119" s="616">
        <f>COUNTIFS('ST | Drawing List'!$H:$H,"ST-T6V-10",'ST | Drawing List'!T:T,1)</f>
        <v>0</v>
      </c>
      <c r="CL119" s="616">
        <f>COUNTIFS('ST | Drawing List'!$H:$H,"ST-T6V-10",'ST | Drawing List'!U:U,1)</f>
        <v>0</v>
      </c>
      <c r="CM119" s="343"/>
      <c r="CN119" s="343"/>
      <c r="CO119" s="666">
        <v>0</v>
      </c>
      <c r="CP119" s="343"/>
      <c r="CQ119" s="616">
        <f t="shared" si="556"/>
        <v>0</v>
      </c>
      <c r="CR119" s="618">
        <f t="shared" si="236"/>
        <v>0</v>
      </c>
      <c r="CS119" s="615">
        <f t="shared" si="557"/>
        <v>0</v>
      </c>
      <c r="CT119" s="615">
        <f t="shared" si="558"/>
        <v>0</v>
      </c>
      <c r="CU119" s="615">
        <f t="shared" si="559"/>
        <v>0</v>
      </c>
      <c r="CV119" s="615">
        <f t="shared" si="560"/>
        <v>0</v>
      </c>
      <c r="CW119" s="615">
        <f t="shared" si="561"/>
        <v>0</v>
      </c>
      <c r="CX119" s="615">
        <f t="shared" si="562"/>
        <v>0</v>
      </c>
      <c r="CY119" s="339"/>
      <c r="CZ119" s="615">
        <f t="shared" si="563"/>
        <v>0</v>
      </c>
      <c r="DA119" s="615">
        <f t="shared" si="564"/>
        <v>0</v>
      </c>
      <c r="DB119" s="615">
        <f t="shared" si="565"/>
        <v>0</v>
      </c>
      <c r="DC119" s="615">
        <f t="shared" si="566"/>
        <v>0</v>
      </c>
      <c r="DD119" s="615">
        <f t="shared" si="567"/>
        <v>0</v>
      </c>
      <c r="DE119" s="339"/>
      <c r="DF119" s="625">
        <f t="shared" si="568"/>
        <v>0</v>
      </c>
      <c r="DG119" s="625">
        <f t="shared" si="569"/>
        <v>0</v>
      </c>
      <c r="DH119" s="625">
        <f t="shared" si="570"/>
        <v>0</v>
      </c>
      <c r="DI119" s="341"/>
      <c r="DJ119" s="615">
        <f>COUNTIF('MEP | Drawing List'!$H:$H,"MEP-T2V-6V-10")</f>
        <v>0</v>
      </c>
      <c r="DK119" s="616">
        <f>COUNTIFS('MEP | Drawing List'!$H:$H,"MEP-T2V-6V-10",'MEP | Drawing List'!$J:$J,1)</f>
        <v>0</v>
      </c>
      <c r="DL119" s="616">
        <f>COUNTIFS('MEP | Drawing List'!$H:$H,"MEP-T2V-6V-10",'MEP | Drawing List'!$L:$L,1)</f>
        <v>0</v>
      </c>
      <c r="DM119" s="615">
        <f>COUNTIFS('MEP | Drawing List'!$H:$H,"MEP-T2V-6V-10",'MEP | Drawing List'!M:M,1)</f>
        <v>0</v>
      </c>
      <c r="DN119" s="615">
        <f>COUNTIFS('MEP | Drawing List'!$H:$H,"MEP-T2V-6V-10",'MEP | Drawing List'!N:N,1)</f>
        <v>0</v>
      </c>
      <c r="DO119" s="615">
        <f>COUNTIFS('MEP | Drawing List'!$H:$H,"MEP-T2V-6V-10",'MEP | Drawing List'!O:O,1)</f>
        <v>0</v>
      </c>
      <c r="DP119" s="615">
        <f>COUNTIFS('MEP | Drawing List'!$H:$H,"MEP-T2V-6V-10",'MEP | Drawing List'!P:P,1)</f>
        <v>0</v>
      </c>
      <c r="DQ119" s="339"/>
      <c r="DR119" s="616">
        <f>COUNTIFS('MEP | Drawing List'!$H:$H,"MEP-T2V-6V-10",'MEP | Drawing List'!$Q:$Q,1)</f>
        <v>0</v>
      </c>
      <c r="DS119" s="615">
        <f>COUNTIFS('MEP | Drawing List'!$H:$H,"MEP-T2V-6V-10",'MEP | Drawing List'!R:R,1)</f>
        <v>0</v>
      </c>
      <c r="DT119" s="615">
        <f>COUNTIFS('MEP | Drawing List'!$H:$H,"MEP-T2V-6V-10",'MEP | Drawing List'!S:S,1)</f>
        <v>0</v>
      </c>
      <c r="DU119" s="615">
        <f>COUNTIFS('MEP | Drawing List'!$H:$H,"MEP-T2V-6V-10",'MEP | Drawing List'!T:T,1)</f>
        <v>0</v>
      </c>
      <c r="DV119" s="615">
        <f>COUNTIFS('MEP | Drawing List'!$H:$H,"MEP-T2V-6V-10",'MEP | Drawing List'!U:U,1)</f>
        <v>0</v>
      </c>
      <c r="DW119" s="343"/>
      <c r="DX119" s="343"/>
      <c r="DY119" s="525">
        <v>0</v>
      </c>
      <c r="DZ119" s="343"/>
      <c r="EA119" s="344">
        <v>0</v>
      </c>
      <c r="EB119" s="618">
        <f t="shared" si="237"/>
        <v>0</v>
      </c>
      <c r="EC119" s="81"/>
      <c r="ED119" s="81"/>
      <c r="EE119" s="339"/>
      <c r="EF119" s="339"/>
      <c r="EG119" s="339"/>
      <c r="EH119" s="339"/>
      <c r="EI119" s="339"/>
      <c r="EJ119" s="81"/>
      <c r="EK119" s="339"/>
      <c r="EL119" s="339"/>
      <c r="EM119" s="339"/>
      <c r="EN119" s="339"/>
      <c r="EO119" s="339"/>
      <c r="EP119" s="103"/>
      <c r="EQ119" s="103"/>
      <c r="ER119" s="103"/>
      <c r="ES119" s="82"/>
      <c r="ET119" s="615">
        <f>COUNTIF('LS | Drawing List'!$H:$H,"LS-T6V-10")</f>
        <v>0</v>
      </c>
      <c r="EU119" s="616">
        <f>COUNTIFS('LS | Drawing List'!$H:$H,"LS-T6V-10",'LS | Drawing List'!$J:$J,1)</f>
        <v>0</v>
      </c>
      <c r="EV119" s="616">
        <f>COUNTIFS('LS | Drawing List'!$H:$H,"LS-T6V-10",'LS | Drawing List'!$L:$L,1)</f>
        <v>0</v>
      </c>
      <c r="EW119" s="615">
        <f>COUNTIFS('LS | Drawing List'!$H:$H,"LS-T6V-10",'LS | Drawing List'!M:M,1)</f>
        <v>0</v>
      </c>
      <c r="EX119" s="615">
        <f>COUNTIFS('LS | Drawing List'!$H:$H,"LS-T6V-10",'LS | Drawing List'!N:N,1)</f>
        <v>0</v>
      </c>
      <c r="EY119" s="615">
        <f>COUNTIFS('LS | Drawing List'!$H:$H,"LS-T6V-10",'LS | Drawing List'!O:O,1)</f>
        <v>0</v>
      </c>
      <c r="EZ119" s="615">
        <f>COUNTIFS('LS | Drawing List'!$H:$H,"LS-T6V-10",'LS | Drawing List'!P:P,1)</f>
        <v>0</v>
      </c>
      <c r="FA119" s="81"/>
      <c r="FB119" s="616">
        <f>COUNTIFS('LS | Drawing List'!$H:$H,"LS-T6V-10",'LS | Drawing List'!$Q:$Q,1)</f>
        <v>0</v>
      </c>
      <c r="FC119" s="615">
        <f>COUNTIFS('LS | Drawing List'!$H:$H,"LS-T6V-10",'LS | Drawing List'!R:R,1)</f>
        <v>0</v>
      </c>
      <c r="FD119" s="615">
        <f>COUNTIFS('LS | Drawing List'!$H:$H,"LS-T6V-10",'LS | Drawing List'!S:S,1)</f>
        <v>0</v>
      </c>
      <c r="FE119" s="615">
        <f>COUNTIFS('LS | Drawing List'!$H:$H,"LS-T6V-10",'LS | Drawing List'!T:T,1)</f>
        <v>0</v>
      </c>
      <c r="FF119" s="615">
        <f>COUNTIFS('LS | Drawing List'!$H:$H,"LS-T6V-10",'LS | Drawing List'!U:U,1)</f>
        <v>0</v>
      </c>
      <c r="FG119" s="48"/>
    </row>
    <row r="120" spans="1:163" ht="3" hidden="1" customHeight="1" outlineLevel="1">
      <c r="A120" s="48"/>
      <c r="B120" s="96"/>
      <c r="C120" s="278"/>
      <c r="D120" s="272"/>
      <c r="E120" s="48"/>
      <c r="F120" s="338"/>
      <c r="G120" s="619"/>
      <c r="H120" s="339"/>
      <c r="I120" s="339"/>
      <c r="J120" s="339"/>
      <c r="K120" s="339"/>
      <c r="L120" s="339"/>
      <c r="M120" s="339"/>
      <c r="N120" s="339"/>
      <c r="O120" s="339"/>
      <c r="P120" s="339"/>
      <c r="Q120" s="339"/>
      <c r="R120" s="339"/>
      <c r="S120" s="339"/>
      <c r="T120" s="48"/>
      <c r="U120" s="519"/>
      <c r="V120" s="131"/>
      <c r="W120" s="338"/>
      <c r="X120" s="619">
        <f t="shared" si="234"/>
        <v>0</v>
      </c>
      <c r="Y120" s="339"/>
      <c r="Z120" s="339"/>
      <c r="AA120" s="339"/>
      <c r="AB120" s="339"/>
      <c r="AC120" s="339"/>
      <c r="AD120" s="339"/>
      <c r="AE120" s="339"/>
      <c r="AF120" s="339"/>
      <c r="AG120" s="339"/>
      <c r="AH120" s="339"/>
      <c r="AI120" s="339"/>
      <c r="AJ120" s="339"/>
      <c r="AK120" s="339"/>
      <c r="AL120" s="603"/>
      <c r="AM120" s="603"/>
      <c r="AN120" s="603"/>
      <c r="AO120" s="341"/>
      <c r="AP120" s="359"/>
      <c r="AQ120" s="328"/>
      <c r="AR120" s="616">
        <f t="shared" si="238"/>
        <v>0</v>
      </c>
      <c r="AS120" s="328"/>
      <c r="AT120" s="328"/>
      <c r="AU120" s="328"/>
      <c r="AV120" s="328"/>
      <c r="AW120" s="328"/>
      <c r="AX120" s="328"/>
      <c r="AY120" s="328"/>
      <c r="AZ120" s="328"/>
      <c r="BA120" s="328"/>
      <c r="BB120" s="328"/>
      <c r="BC120" s="328"/>
      <c r="BD120" s="328"/>
      <c r="BE120" s="525"/>
      <c r="BF120" s="343"/>
      <c r="BG120" s="344"/>
      <c r="BH120" s="618">
        <f t="shared" si="235"/>
        <v>0</v>
      </c>
      <c r="BI120" s="339"/>
      <c r="BJ120" s="339"/>
      <c r="BK120" s="339"/>
      <c r="BL120" s="339"/>
      <c r="BM120" s="339"/>
      <c r="BN120" s="339"/>
      <c r="BO120" s="339"/>
      <c r="BP120" s="339"/>
      <c r="BQ120" s="339"/>
      <c r="BR120" s="339"/>
      <c r="BS120" s="339"/>
      <c r="BT120" s="339"/>
      <c r="BU120" s="339"/>
      <c r="BV120" s="525"/>
      <c r="BW120" s="525"/>
      <c r="BX120" s="525"/>
      <c r="BY120" s="341"/>
      <c r="BZ120" s="540"/>
      <c r="CA120" s="532"/>
      <c r="CB120" s="539"/>
      <c r="CC120" s="536"/>
      <c r="CD120" s="536"/>
      <c r="CE120" s="536"/>
      <c r="CF120" s="536"/>
      <c r="CG120" s="536"/>
      <c r="CH120" s="539"/>
      <c r="CI120" s="536"/>
      <c r="CJ120" s="536"/>
      <c r="CK120" s="536"/>
      <c r="CL120" s="536"/>
      <c r="CM120" s="343"/>
      <c r="CN120" s="343"/>
      <c r="CO120" s="525"/>
      <c r="CP120" s="343"/>
      <c r="CQ120" s="344"/>
      <c r="CR120" s="618">
        <f t="shared" si="236"/>
        <v>0</v>
      </c>
      <c r="CS120" s="339"/>
      <c r="CT120" s="339"/>
      <c r="CU120" s="339"/>
      <c r="CV120" s="339"/>
      <c r="CW120" s="339"/>
      <c r="CX120" s="339"/>
      <c r="CY120" s="339"/>
      <c r="CZ120" s="339"/>
      <c r="DA120" s="339"/>
      <c r="DB120" s="339"/>
      <c r="DC120" s="339"/>
      <c r="DD120" s="339"/>
      <c r="DE120" s="339"/>
      <c r="DF120" s="603"/>
      <c r="DG120" s="603"/>
      <c r="DH120" s="603"/>
      <c r="DI120" s="341"/>
      <c r="DJ120" s="359"/>
      <c r="DK120" s="328"/>
      <c r="DL120" s="328"/>
      <c r="DM120" s="339"/>
      <c r="DN120" s="339"/>
      <c r="DO120" s="339"/>
      <c r="DP120" s="339"/>
      <c r="DQ120" s="339"/>
      <c r="DR120" s="328"/>
      <c r="DS120" s="339"/>
      <c r="DT120" s="339"/>
      <c r="DU120" s="339"/>
      <c r="DV120" s="339"/>
      <c r="DW120" s="343"/>
      <c r="DX120" s="343"/>
      <c r="DY120" s="525"/>
      <c r="DZ120" s="343"/>
      <c r="EA120" s="344"/>
      <c r="EB120" s="618">
        <f t="shared" si="237"/>
        <v>0</v>
      </c>
      <c r="EC120" s="81"/>
      <c r="ED120" s="81"/>
      <c r="EE120" s="81"/>
      <c r="EF120" s="81"/>
      <c r="EG120" s="81"/>
      <c r="EH120" s="81"/>
      <c r="EI120" s="81"/>
      <c r="EJ120" s="81"/>
      <c r="EK120" s="81"/>
      <c r="EL120" s="81"/>
      <c r="EM120" s="81"/>
      <c r="EN120" s="81"/>
      <c r="EO120" s="81"/>
      <c r="EP120" s="103"/>
      <c r="EQ120" s="103"/>
      <c r="ER120" s="103"/>
      <c r="ES120" s="82"/>
      <c r="ET120" s="56"/>
      <c r="EU120" s="71"/>
      <c r="EV120" s="71"/>
      <c r="EW120" s="81"/>
      <c r="EX120" s="81"/>
      <c r="EY120" s="81"/>
      <c r="EZ120" s="81"/>
      <c r="FA120" s="81"/>
      <c r="FB120" s="71"/>
      <c r="FC120" s="81"/>
      <c r="FD120" s="81"/>
      <c r="FE120" s="81"/>
      <c r="FF120" s="81"/>
      <c r="FG120" s="48"/>
    </row>
    <row r="121" spans="1:163" ht="14.25" hidden="1" outlineLevel="1" collapsed="1">
      <c r="A121" s="48"/>
      <c r="B121" s="73"/>
      <c r="C121" s="275">
        <v>7</v>
      </c>
      <c r="D121" s="271" t="s">
        <v>127</v>
      </c>
      <c r="E121" s="74"/>
      <c r="F121" s="614">
        <f>W121+BG121+CQ121+EA121</f>
        <v>0.9706158399999999</v>
      </c>
      <c r="G121" s="614">
        <f>X121+BH121+CR121+EB121</f>
        <v>0.97061584000000001</v>
      </c>
      <c r="H121" s="612">
        <f>F121-G121</f>
        <v>0</v>
      </c>
      <c r="I121" s="614">
        <f t="shared" ref="I121:I130" si="571">Z121+BJ121+CT121+ED121</f>
        <v>0.63952640000000005</v>
      </c>
      <c r="J121" s="614">
        <f t="shared" ref="J121:J130" si="572">AA121+BK121+CU121+EE121</f>
        <v>0.63952640000000005</v>
      </c>
      <c r="K121" s="614">
        <f t="shared" ref="K121:K130" si="573">AB121+BL121+CV121+EF121</f>
        <v>0</v>
      </c>
      <c r="L121" s="614">
        <f t="shared" ref="L121:L130" si="574">AC121+BM121+CW121+EG121</f>
        <v>0</v>
      </c>
      <c r="M121" s="614">
        <f t="shared" ref="M121:M130" si="575">AD121+BN121+CX121+EH121</f>
        <v>0</v>
      </c>
      <c r="N121" s="281"/>
      <c r="O121" s="614">
        <f t="shared" ref="O121:O130" si="576">AF121+BP121+CZ121+EJ121</f>
        <v>0.63952640000000005</v>
      </c>
      <c r="P121" s="614">
        <f t="shared" ref="P121:P130" si="577">AG121+BQ121+DA121+EK121</f>
        <v>0.62334000000000012</v>
      </c>
      <c r="Q121" s="614">
        <f t="shared" ref="Q121:Q130" si="578">AH121+BR121+DB121+EL121</f>
        <v>1.61864E-2</v>
      </c>
      <c r="R121" s="614">
        <f t="shared" ref="R121:R130" si="579">AI121+BS121+DC121+EM121</f>
        <v>0</v>
      </c>
      <c r="S121" s="614">
        <f t="shared" ref="S121:S130" si="580">AJ121+BT121+DD121+EN121</f>
        <v>0</v>
      </c>
      <c r="T121" s="74"/>
      <c r="U121" s="332">
        <f>SUM(U122:U130)</f>
        <v>0.49999999999999994</v>
      </c>
      <c r="V121" s="332"/>
      <c r="W121" s="614">
        <f>U121*(5%*'BOQ COST'!E13*0.36)*1</f>
        <v>0.62334000000000001</v>
      </c>
      <c r="X121" s="614">
        <f t="shared" si="234"/>
        <v>0.62334000000000012</v>
      </c>
      <c r="Y121" s="612">
        <f t="shared" ref="Y121:AD121" si="581">SUM(Y122:Y130)</f>
        <v>0</v>
      </c>
      <c r="Z121" s="612">
        <f t="shared" si="581"/>
        <v>0.62334000000000012</v>
      </c>
      <c r="AA121" s="612">
        <f t="shared" si="581"/>
        <v>0.62334000000000012</v>
      </c>
      <c r="AB121" s="612">
        <f t="shared" si="581"/>
        <v>0</v>
      </c>
      <c r="AC121" s="612">
        <f t="shared" si="581"/>
        <v>0</v>
      </c>
      <c r="AD121" s="612">
        <f t="shared" si="581"/>
        <v>0</v>
      </c>
      <c r="AE121" s="281"/>
      <c r="AF121" s="612">
        <f t="shared" ref="AF121:AJ121" si="582">SUM(AF122:AF130)</f>
        <v>0.62334000000000012</v>
      </c>
      <c r="AG121" s="612">
        <f t="shared" si="582"/>
        <v>0.62334000000000012</v>
      </c>
      <c r="AH121" s="612">
        <f t="shared" si="582"/>
        <v>0</v>
      </c>
      <c r="AI121" s="612">
        <f t="shared" si="582"/>
        <v>0</v>
      </c>
      <c r="AJ121" s="612">
        <f t="shared" si="582"/>
        <v>0</v>
      </c>
      <c r="AK121" s="281"/>
      <c r="AL121" s="605"/>
      <c r="AM121" s="605"/>
      <c r="AN121" s="605"/>
      <c r="AO121" s="612">
        <f>SUM(AO122:AO130)</f>
        <v>0</v>
      </c>
      <c r="AP121" s="612">
        <f>SUM(AP122:AP130)</f>
        <v>74</v>
      </c>
      <c r="AQ121" s="612">
        <f>SUM(AQ122:AQ130)</f>
        <v>2</v>
      </c>
      <c r="AR121" s="612">
        <f t="shared" si="238"/>
        <v>72</v>
      </c>
      <c r="AS121" s="612">
        <f t="shared" ref="AS121:BB121" si="583">SUM(AS122:AS130)</f>
        <v>72</v>
      </c>
      <c r="AT121" s="612">
        <f t="shared" si="583"/>
        <v>0</v>
      </c>
      <c r="AU121" s="612">
        <f t="shared" si="583"/>
        <v>0</v>
      </c>
      <c r="AV121" s="612">
        <f t="shared" si="583"/>
        <v>0</v>
      </c>
      <c r="AW121" s="281"/>
      <c r="AX121" s="612">
        <f t="shared" si="583"/>
        <v>72</v>
      </c>
      <c r="AY121" s="612">
        <f t="shared" si="583"/>
        <v>72</v>
      </c>
      <c r="AZ121" s="612">
        <f t="shared" si="583"/>
        <v>0</v>
      </c>
      <c r="BA121" s="612">
        <f t="shared" si="583"/>
        <v>0</v>
      </c>
      <c r="BB121" s="612">
        <f t="shared" si="583"/>
        <v>0</v>
      </c>
      <c r="BC121" s="336"/>
      <c r="BD121" s="336"/>
      <c r="BE121" s="332">
        <f>SUM(BE122:BE130)</f>
        <v>0.54999999999999993</v>
      </c>
      <c r="BF121" s="332"/>
      <c r="BG121" s="614">
        <f>BE121*(3%*'BOQ COST'!$F$13*0.36)*1</f>
        <v>0.28586843999999989</v>
      </c>
      <c r="BH121" s="614">
        <f t="shared" si="235"/>
        <v>0.28586843999999995</v>
      </c>
      <c r="BI121" s="612">
        <f t="shared" ref="BI121:BN121" si="584">SUM(BI122:BI130)</f>
        <v>0.28586843999999995</v>
      </c>
      <c r="BJ121" s="612">
        <f t="shared" si="584"/>
        <v>0</v>
      </c>
      <c r="BK121" s="612">
        <f t="shared" si="584"/>
        <v>0</v>
      </c>
      <c r="BL121" s="612">
        <f t="shared" si="584"/>
        <v>0</v>
      </c>
      <c r="BM121" s="612">
        <f t="shared" si="584"/>
        <v>0</v>
      </c>
      <c r="BN121" s="612">
        <f t="shared" si="584"/>
        <v>0</v>
      </c>
      <c r="BO121" s="281"/>
      <c r="BP121" s="612">
        <f t="shared" ref="BP121:BT121" si="585">SUM(BP122:BP130)</f>
        <v>0</v>
      </c>
      <c r="BQ121" s="612">
        <f t="shared" si="585"/>
        <v>0</v>
      </c>
      <c r="BR121" s="612">
        <f t="shared" si="585"/>
        <v>0</v>
      </c>
      <c r="BS121" s="612">
        <f t="shared" si="585"/>
        <v>0</v>
      </c>
      <c r="BT121" s="612">
        <f t="shared" si="585"/>
        <v>0</v>
      </c>
      <c r="BU121" s="281"/>
      <c r="BV121" s="524"/>
      <c r="BW121" s="524"/>
      <c r="BX121" s="524"/>
      <c r="BY121" s="612">
        <f t="shared" ref="BY121:CF121" si="586">SUM(BY122:BY130)</f>
        <v>0</v>
      </c>
      <c r="BZ121" s="612">
        <f t="shared" si="586"/>
        <v>52</v>
      </c>
      <c r="CA121" s="612">
        <f t="shared" si="586"/>
        <v>52</v>
      </c>
      <c r="CB121" s="612">
        <f t="shared" si="586"/>
        <v>0</v>
      </c>
      <c r="CC121" s="612">
        <f t="shared" si="586"/>
        <v>0</v>
      </c>
      <c r="CD121" s="612">
        <f t="shared" si="586"/>
        <v>0</v>
      </c>
      <c r="CE121" s="612">
        <f t="shared" si="586"/>
        <v>0</v>
      </c>
      <c r="CF121" s="612">
        <f t="shared" si="586"/>
        <v>0</v>
      </c>
      <c r="CG121" s="535"/>
      <c r="CH121" s="612">
        <f t="shared" ref="CH121:CL121" si="587">SUM(CH122:CH130)</f>
        <v>0</v>
      </c>
      <c r="CI121" s="612">
        <f t="shared" si="587"/>
        <v>0</v>
      </c>
      <c r="CJ121" s="612">
        <f t="shared" si="587"/>
        <v>0</v>
      </c>
      <c r="CK121" s="612">
        <f t="shared" si="587"/>
        <v>0</v>
      </c>
      <c r="CL121" s="612">
        <f t="shared" si="587"/>
        <v>0</v>
      </c>
      <c r="CM121" s="332"/>
      <c r="CN121" s="332"/>
      <c r="CO121" s="332">
        <f>SUM(CO122:CO130)</f>
        <v>0.65</v>
      </c>
      <c r="CP121" s="332"/>
      <c r="CQ121" s="614">
        <f>CO121*(2%*'BOQ COST'!$G$13*0.36)*1</f>
        <v>4.6238400000000006E-2</v>
      </c>
      <c r="CR121" s="614">
        <f t="shared" si="236"/>
        <v>4.6238399999999999E-2</v>
      </c>
      <c r="CS121" s="612">
        <f t="shared" ref="CS121:CX121" si="588">SUM(CS122:CS130)</f>
        <v>3.5568000000000002E-2</v>
      </c>
      <c r="CT121" s="612">
        <f t="shared" si="588"/>
        <v>1.06704E-2</v>
      </c>
      <c r="CU121" s="612">
        <f t="shared" si="588"/>
        <v>1.06704E-2</v>
      </c>
      <c r="CV121" s="612">
        <f t="shared" si="588"/>
        <v>0</v>
      </c>
      <c r="CW121" s="612">
        <f t="shared" si="588"/>
        <v>0</v>
      </c>
      <c r="CX121" s="612">
        <f t="shared" si="588"/>
        <v>0</v>
      </c>
      <c r="CY121" s="281"/>
      <c r="CZ121" s="612">
        <f t="shared" ref="CZ121:DD121" si="589">SUM(CZ122:CZ130)</f>
        <v>1.06704E-2</v>
      </c>
      <c r="DA121" s="612">
        <f t="shared" si="589"/>
        <v>0</v>
      </c>
      <c r="DB121" s="612">
        <f t="shared" si="589"/>
        <v>1.06704E-2</v>
      </c>
      <c r="DC121" s="612">
        <f t="shared" si="589"/>
        <v>0</v>
      </c>
      <c r="DD121" s="612">
        <f t="shared" si="589"/>
        <v>0</v>
      </c>
      <c r="DE121" s="281"/>
      <c r="DF121" s="605"/>
      <c r="DG121" s="605"/>
      <c r="DH121" s="605"/>
      <c r="DI121" s="612">
        <f t="shared" ref="DI121:DP121" si="590">SUM(DI122:DI130)</f>
        <v>0</v>
      </c>
      <c r="DJ121" s="612">
        <f t="shared" si="590"/>
        <v>66</v>
      </c>
      <c r="DK121" s="612">
        <f t="shared" si="590"/>
        <v>65</v>
      </c>
      <c r="DL121" s="612">
        <f t="shared" si="590"/>
        <v>1</v>
      </c>
      <c r="DM121" s="612">
        <f t="shared" si="590"/>
        <v>1</v>
      </c>
      <c r="DN121" s="612">
        <f t="shared" si="590"/>
        <v>0</v>
      </c>
      <c r="DO121" s="612">
        <f t="shared" si="590"/>
        <v>0</v>
      </c>
      <c r="DP121" s="612">
        <f t="shared" si="590"/>
        <v>0</v>
      </c>
      <c r="DQ121" s="281"/>
      <c r="DR121" s="612">
        <f t="shared" ref="DR121:DV121" si="591">SUM(DR122:DR130)</f>
        <v>1</v>
      </c>
      <c r="DS121" s="612">
        <f t="shared" si="591"/>
        <v>0</v>
      </c>
      <c r="DT121" s="612">
        <f t="shared" si="591"/>
        <v>1</v>
      </c>
      <c r="DU121" s="612">
        <f t="shared" si="591"/>
        <v>0</v>
      </c>
      <c r="DV121" s="612">
        <f t="shared" si="591"/>
        <v>0</v>
      </c>
      <c r="DW121" s="332"/>
      <c r="DX121" s="332"/>
      <c r="DY121" s="332">
        <f t="shared" ref="DY121:DZ121" si="592">SUM(DY122:DY130)</f>
        <v>0.55000000000000004</v>
      </c>
      <c r="DZ121" s="614">
        <f t="shared" si="592"/>
        <v>0</v>
      </c>
      <c r="EA121" s="612">
        <f>EA75</f>
        <v>1.5169000000000004E-2</v>
      </c>
      <c r="EB121" s="614">
        <f t="shared" si="237"/>
        <v>1.5169000000000002E-2</v>
      </c>
      <c r="EC121" s="612">
        <f t="shared" ref="EC121:EZ122" si="593">EC75</f>
        <v>9.6530000000000001E-3</v>
      </c>
      <c r="ED121" s="612">
        <f t="shared" si="593"/>
        <v>5.5160000000000009E-3</v>
      </c>
      <c r="EE121" s="612">
        <f t="shared" si="593"/>
        <v>5.5160000000000009E-3</v>
      </c>
      <c r="EF121" s="612">
        <f t="shared" si="593"/>
        <v>0</v>
      </c>
      <c r="EG121" s="612">
        <f t="shared" si="593"/>
        <v>0</v>
      </c>
      <c r="EH121" s="612">
        <f t="shared" si="593"/>
        <v>0</v>
      </c>
      <c r="EI121" s="337"/>
      <c r="EJ121" s="612">
        <f t="shared" ref="EJ121:EN121" si="594">EJ75</f>
        <v>5.5160000000000009E-3</v>
      </c>
      <c r="EK121" s="612">
        <f t="shared" si="594"/>
        <v>0</v>
      </c>
      <c r="EL121" s="612">
        <f t="shared" si="594"/>
        <v>5.5160000000000009E-3</v>
      </c>
      <c r="EM121" s="612">
        <f t="shared" si="594"/>
        <v>0</v>
      </c>
      <c r="EN121" s="612">
        <f t="shared" si="594"/>
        <v>0</v>
      </c>
      <c r="EO121" s="337"/>
      <c r="EP121" s="644">
        <f t="shared" si="593"/>
        <v>0</v>
      </c>
      <c r="EQ121" s="644">
        <f t="shared" si="593"/>
        <v>0</v>
      </c>
      <c r="ER121" s="644">
        <f t="shared" si="593"/>
        <v>0</v>
      </c>
      <c r="ES121" s="612">
        <f t="shared" si="593"/>
        <v>0</v>
      </c>
      <c r="ET121" s="612">
        <f t="shared" si="593"/>
        <v>16</v>
      </c>
      <c r="EU121" s="612">
        <f t="shared" si="593"/>
        <v>10</v>
      </c>
      <c r="EV121" s="612">
        <f t="shared" si="593"/>
        <v>6</v>
      </c>
      <c r="EW121" s="612">
        <f t="shared" si="593"/>
        <v>6</v>
      </c>
      <c r="EX121" s="612">
        <f t="shared" si="593"/>
        <v>0</v>
      </c>
      <c r="EY121" s="612">
        <f t="shared" si="593"/>
        <v>0</v>
      </c>
      <c r="EZ121" s="612">
        <f t="shared" si="593"/>
        <v>0</v>
      </c>
      <c r="FA121" s="337"/>
      <c r="FB121" s="612">
        <f t="shared" ref="FB121:FF121" si="595">FB75</f>
        <v>6</v>
      </c>
      <c r="FC121" s="612">
        <f t="shared" si="595"/>
        <v>0</v>
      </c>
      <c r="FD121" s="612">
        <f t="shared" si="595"/>
        <v>6</v>
      </c>
      <c r="FE121" s="612">
        <f t="shared" si="595"/>
        <v>0</v>
      </c>
      <c r="FF121" s="612">
        <f t="shared" si="595"/>
        <v>0</v>
      </c>
      <c r="FG121" s="48"/>
    </row>
    <row r="122" spans="1:163" s="95" customFormat="1" ht="14.25" hidden="1" outlineLevel="2">
      <c r="A122" s="89"/>
      <c r="B122" s="90" t="s">
        <v>128</v>
      </c>
      <c r="C122" s="277">
        <v>1</v>
      </c>
      <c r="D122" s="273" t="s">
        <v>52</v>
      </c>
      <c r="E122" s="89"/>
      <c r="F122" s="619">
        <f t="shared" ref="F122:F130" si="596">W122+BG122+CQ122+EA122</f>
        <v>0.12142368000000001</v>
      </c>
      <c r="G122" s="619">
        <f t="shared" ref="G122:G130" si="597">X122+BH122+CR122+EB122</f>
        <v>0.12142368000000001</v>
      </c>
      <c r="H122" s="615">
        <f t="shared" ref="H122:H130" si="598">F122-G122</f>
        <v>0</v>
      </c>
      <c r="I122" s="615">
        <f t="shared" si="571"/>
        <v>6.2334000000000014E-2</v>
      </c>
      <c r="J122" s="615">
        <f t="shared" si="572"/>
        <v>6.2334000000000014E-2</v>
      </c>
      <c r="K122" s="615">
        <f t="shared" si="573"/>
        <v>0</v>
      </c>
      <c r="L122" s="615">
        <f t="shared" si="574"/>
        <v>0</v>
      </c>
      <c r="M122" s="620">
        <f t="shared" si="575"/>
        <v>0</v>
      </c>
      <c r="N122" s="287"/>
      <c r="O122" s="615">
        <f t="shared" si="576"/>
        <v>6.2334000000000014E-2</v>
      </c>
      <c r="P122" s="615">
        <f t="shared" si="577"/>
        <v>6.2334000000000014E-2</v>
      </c>
      <c r="Q122" s="615">
        <f t="shared" si="578"/>
        <v>0</v>
      </c>
      <c r="R122" s="615">
        <f t="shared" si="579"/>
        <v>0</v>
      </c>
      <c r="S122" s="615">
        <f t="shared" si="580"/>
        <v>0</v>
      </c>
      <c r="T122" s="89"/>
      <c r="U122" s="519">
        <v>0.05</v>
      </c>
      <c r="V122" s="133"/>
      <c r="W122" s="628">
        <f t="shared" ref="W122:W130" si="599">$W$121/$U$121*U122</f>
        <v>6.2334000000000014E-2</v>
      </c>
      <c r="X122" s="628">
        <f t="shared" si="234"/>
        <v>6.2334000000000014E-2</v>
      </c>
      <c r="Y122" s="620">
        <f t="shared" ref="Y122:Y130" si="600">IFERROR(IF(AL122=100%,W122,0),0)</f>
        <v>0</v>
      </c>
      <c r="Z122" s="620">
        <f t="shared" ref="Z122:Z130" si="601">IFERROR(IF(AND((AL122+AM122)=100%,AL122&lt;1),W122,0),0)</f>
        <v>6.2334000000000014E-2</v>
      </c>
      <c r="AA122" s="620">
        <f t="shared" ref="AA122:AA130" si="602">IFERROR(IF(AND((AQ122+AS122)=AP122,Y122=0),W122,0),0)</f>
        <v>6.2334000000000014E-2</v>
      </c>
      <c r="AB122" s="620">
        <f t="shared" ref="AB122:AB130" si="603">IFERROR(IF(AND((AQ122+AS122+AT122)=AP122,Y122=0,AA122=0),W122,0),0)</f>
        <v>0</v>
      </c>
      <c r="AC122" s="615">
        <f t="shared" ref="AC122:AC130" si="604">IFERROR(IF(AND((AQ122+AS122+AT122+AU122)=AP122,Y122=0,AA122=0,AB122=0),W122,0),0)</f>
        <v>0</v>
      </c>
      <c r="AD122" s="620">
        <f t="shared" ref="AD122:AD130" si="605">IFERROR(IF(AND((AQ122+AS122+AT122+AU122+AV122)=AP122,Y122=0,AA122=0,AB122=0,AC122=0),W122,0),0)</f>
        <v>0</v>
      </c>
      <c r="AE122" s="287"/>
      <c r="AF122" s="615">
        <f t="shared" ref="AF122:AF130" si="606">IFERROR(IF(AND((AL122+AN122)=100%,AL122&lt;1),W122,0),0)</f>
        <v>6.2334000000000014E-2</v>
      </c>
      <c r="AG122" s="615">
        <f t="shared" ref="AG122:AG130" si="607">IFERROR(IF(AND((AQ122+AY122)=AP122,Y122=0),W122,0),0)</f>
        <v>6.2334000000000014E-2</v>
      </c>
      <c r="AH122" s="615">
        <f t="shared" ref="AH122:AH130" si="608">IFERROR(IF(AND((AQ122+AY122+AZ122)=AP122,Y122=0,AG122=0),W122,0),0)</f>
        <v>0</v>
      </c>
      <c r="AI122" s="615">
        <f t="shared" ref="AI122:AI130" si="609">IFERROR(IF(AND((AQ122+AY122+AZ122+BA122)=AP122,Y122=0,AG122=0,AH122=0),W122,0),0)</f>
        <v>0</v>
      </c>
      <c r="AJ122" s="615">
        <f t="shared" ref="AJ122:AJ130" si="610">IFERROR(IF(AND((AQ122+AY122+AZ122+BA122+BB122)=AP122,Y122=0,AG122=0,AH122=0,AI122=0),W122,0),0)</f>
        <v>0</v>
      </c>
      <c r="AK122" s="339"/>
      <c r="AL122" s="627">
        <f t="shared" ref="AL122:AL130" si="611">IFERROR(AQ122/AP122,0)</f>
        <v>6.8965517241379309E-2</v>
      </c>
      <c r="AM122" s="627">
        <f t="shared" ref="AM122:AM130" si="612">IFERROR(AR122/AP122,0)</f>
        <v>0.93103448275862066</v>
      </c>
      <c r="AN122" s="625">
        <f t="shared" ref="AN122:AN130" si="613">IFERROR(AX122/AP122,0)</f>
        <v>0.93103448275862066</v>
      </c>
      <c r="AO122" s="373"/>
      <c r="AP122" s="620">
        <f>COUNTIF('AR | Drawing List'!$H:$H,"AR-T6S-1")</f>
        <v>29</v>
      </c>
      <c r="AQ122" s="621">
        <f>COUNTIFS('AR | Drawing List'!$H:$H,"AR-T6S-1",'AR | Drawing List'!$J:$J,1)</f>
        <v>2</v>
      </c>
      <c r="AR122" s="621">
        <f t="shared" si="238"/>
        <v>27</v>
      </c>
      <c r="AS122" s="621">
        <f>COUNTIFS('AR | Drawing List'!$H:$H,"AR-T6S-1",'AR | Drawing List'!M:M,1)</f>
        <v>27</v>
      </c>
      <c r="AT122" s="621">
        <f>COUNTIFS('AR | Drawing List'!$H:$H,"AR-T6S-1",'AR | Drawing List'!N:N,1)</f>
        <v>0</v>
      </c>
      <c r="AU122" s="621">
        <f>COUNTIFS('AR | Drawing List'!$H:$H,"AR-T6S-1",'AR | Drawing List'!O:O,1)</f>
        <v>0</v>
      </c>
      <c r="AV122" s="621">
        <f>COUNTIFS('AR | Drawing List'!$H:$H,"AR-T6S-1",'AR | Drawing List'!P:P,1)</f>
        <v>0</v>
      </c>
      <c r="AW122" s="366"/>
      <c r="AX122" s="621">
        <f t="shared" si="540"/>
        <v>27</v>
      </c>
      <c r="AY122" s="621">
        <f>COUNTIFS('AR | Drawing List'!$H:$H,"AR-T6S-1",'AR | Drawing List'!R:R,1)</f>
        <v>27</v>
      </c>
      <c r="AZ122" s="621">
        <f>COUNTIFS('AR | Drawing List'!$H:$H,"AR-T6S-1",'AR | Drawing List'!S:S,1)</f>
        <v>0</v>
      </c>
      <c r="BA122" s="621">
        <f>COUNTIFS('AR | Drawing List'!$H:$H,"AR-T6S-1",'AR | Drawing List'!T:T,1)</f>
        <v>0</v>
      </c>
      <c r="BB122" s="621">
        <f>COUNTIFS('AR | Drawing List'!$H:$H,"AR-T6S-1",'AR | Drawing List'!U:U,1)</f>
        <v>0</v>
      </c>
      <c r="BC122" s="366"/>
      <c r="BD122" s="366"/>
      <c r="BE122" s="554">
        <v>0.1</v>
      </c>
      <c r="BF122" s="368"/>
      <c r="BG122" s="621">
        <f t="shared" ref="BG122:BG130" si="614">$BG$121/$BE$121*BE122</f>
        <v>5.1976079999999994E-2</v>
      </c>
      <c r="BH122" s="622">
        <f t="shared" si="235"/>
        <v>5.1976079999999994E-2</v>
      </c>
      <c r="BI122" s="620">
        <f t="shared" ref="BI122:BI130" si="615">IFERROR(IF(BV122=100%,BG122,0),0)</f>
        <v>5.1976079999999994E-2</v>
      </c>
      <c r="BJ122" s="620">
        <f t="shared" ref="BJ122:BJ130" si="616">IFERROR(IF(AND((BV122+BW122)=100%,BV122&lt;1),BG122,0),0)</f>
        <v>0</v>
      </c>
      <c r="BK122" s="615">
        <f t="shared" ref="BK122:BK130" si="617">IFERROR(IF(AND((CA122+CC122)=BZ122,BI122=0),BG122,0),0)</f>
        <v>0</v>
      </c>
      <c r="BL122" s="615">
        <f t="shared" ref="BL122:BL130" si="618">IFERROR(IF(AND((CA122+CC122+CD122)=BZ122,BI122=0,BK122=0),BG122,0),0)</f>
        <v>0</v>
      </c>
      <c r="BM122" s="615">
        <f t="shared" ref="BM122:BM130" si="619">IFERROR(IF(AND((CA122+CC122+CD122+CE122)=BZ122,BI122=0,BK122=0,BL122=0),BG122,0),0)</f>
        <v>0</v>
      </c>
      <c r="BN122" s="615">
        <f t="shared" ref="BN122:BN130" si="620">IFERROR(IF(AND((CA122+CC122+CD122+CE122+CF122)=BZ122,BI122=0,BK122=0,BL122=0,BM122=0),BG122,0),0)</f>
        <v>0</v>
      </c>
      <c r="BO122" s="339"/>
      <c r="BP122" s="615">
        <f t="shared" ref="BP122:BP130" si="621">IFERROR(IF(AND((BV122+BX122)=100%,BV122&lt;1),BG122,0),0)</f>
        <v>0</v>
      </c>
      <c r="BQ122" s="615">
        <f t="shared" ref="BQ122:BQ130" si="622">IFERROR(IF(AND((CA122+CI122)=BZ122,BI122=0),BG122,0),0)</f>
        <v>0</v>
      </c>
      <c r="BR122" s="615">
        <f t="shared" ref="BR122:BR130" si="623">IFERROR(IF(AND((CA122+CI122+CJ122)=BZ122,BI122=0,BQ122=0),BG122,0),0)</f>
        <v>0</v>
      </c>
      <c r="BS122" s="615">
        <f t="shared" ref="BS122:BS130" si="624">IFERROR(IF(AND((CA122+CI122+CJ122+CK122)=BZ122,BI122=0,BQ122=0,BR122=0),BG122,0),0)</f>
        <v>0</v>
      </c>
      <c r="BT122" s="615">
        <f t="shared" ref="BT122:BT130" si="625">IFERROR(IF(AND((CA122+CI122+CJ122+CK122+CL122)=BZ122,BI122=0,BQ122=0,BR122=0,BS122=0),BG122,0),0)</f>
        <v>0</v>
      </c>
      <c r="BU122" s="339"/>
      <c r="BV122" s="635">
        <f t="shared" ref="BV122:BV130" si="626">IFERROR(CA122/BZ122,0)</f>
        <v>1</v>
      </c>
      <c r="BW122" s="635">
        <f t="shared" ref="BW122:BW130" si="627">IFERROR(CB122/BZ122,0)</f>
        <v>0</v>
      </c>
      <c r="BX122" s="635">
        <f t="shared" ref="BX122:BX130" si="628">IFERROR(CH122/BZ122,0)</f>
        <v>0</v>
      </c>
      <c r="BY122" s="364"/>
      <c r="BZ122" s="620">
        <f>COUNTIF('ST | Drawing List'!$H:$H,"ST-T6S-1")</f>
        <v>15</v>
      </c>
      <c r="CA122" s="621">
        <f>COUNTIFS('ST | Drawing List'!$H:$H,"ST-T6S-1",'ST | Drawing List'!$J:$J,1)</f>
        <v>15</v>
      </c>
      <c r="CB122" s="624">
        <f>COUNTIFS('ST | Drawing List'!$H:$H,"ST-T6S-1",'ST | Drawing List'!$L:$L,1)</f>
        <v>0</v>
      </c>
      <c r="CC122" s="621">
        <f>COUNTIFS('ST | Drawing List'!$H:$H,"ST-T6S-1",'ST | Drawing List'!M:M,1)</f>
        <v>0</v>
      </c>
      <c r="CD122" s="621">
        <f>COUNTIFS('ST | Drawing List'!$H:$H,"ST-T6S-1",'ST | Drawing List'!N:N,1)</f>
        <v>0</v>
      </c>
      <c r="CE122" s="621">
        <f>COUNTIFS('ST | Drawing List'!$H:$H,"ST-T6S-1",'ST | Drawing List'!O:O,1)</f>
        <v>0</v>
      </c>
      <c r="CF122" s="621">
        <f>COUNTIFS('ST | Drawing List'!$H:$H,"ST-T6S-1",'ST | Drawing List'!P:P,1)</f>
        <v>0</v>
      </c>
      <c r="CG122" s="541"/>
      <c r="CH122" s="624">
        <f>COUNTIFS('ST | Drawing List'!$H:$H,"ST-T6S-1",'ST | Drawing List'!$Q:$Q,1)</f>
        <v>0</v>
      </c>
      <c r="CI122" s="621">
        <f>COUNTIFS('ST | Drawing List'!$H:$H,"ST-T6S-1",'ST | Drawing List'!R:R,1)</f>
        <v>0</v>
      </c>
      <c r="CJ122" s="621">
        <f>COUNTIFS('ST | Drawing List'!$H:$H,"ST-T6S-1",'ST | Drawing List'!S:S,1)</f>
        <v>0</v>
      </c>
      <c r="CK122" s="621">
        <f>COUNTIFS('ST | Drawing List'!$H:$H,"ST-T6S-1",'ST | Drawing List'!T:T,1)</f>
        <v>0</v>
      </c>
      <c r="CL122" s="621">
        <f>COUNTIFS('ST | Drawing List'!$H:$H,"ST-T6S-1",'ST | Drawing List'!U:U,1)</f>
        <v>0</v>
      </c>
      <c r="CM122" s="368"/>
      <c r="CN122" s="368"/>
      <c r="CO122" s="554">
        <v>0.1</v>
      </c>
      <c r="CP122" s="368"/>
      <c r="CQ122" s="621">
        <f t="shared" ref="CQ122:CQ130" si="629">$CQ$121/$CO$121*CO122</f>
        <v>7.1136000000000012E-3</v>
      </c>
      <c r="CR122" s="622">
        <f t="shared" si="236"/>
        <v>7.1136000000000012E-3</v>
      </c>
      <c r="CS122" s="620">
        <f t="shared" ref="CS122:CS130" si="630">IFERROR(IF(DF122=100%,CQ122,0),0)</f>
        <v>7.1136000000000012E-3</v>
      </c>
      <c r="CT122" s="615">
        <f t="shared" ref="CT122:CT130" si="631">IFERROR(IF(AND((DF122+DG122)=100%,DF122&lt;1),CQ122,0),0)</f>
        <v>0</v>
      </c>
      <c r="CU122" s="615">
        <f t="shared" ref="CU122:CU130" si="632">IFERROR(IF(AND((DK122+DM122)=DJ122,CS122=0),CQ122,0),0)</f>
        <v>0</v>
      </c>
      <c r="CV122" s="615">
        <f t="shared" ref="CV122:CV130" si="633">IFERROR(IF(AND((DK122+DM122+DN122)=DJ122,CS122=0,CU122=0),CQ122,0),0)</f>
        <v>0</v>
      </c>
      <c r="CW122" s="615">
        <f t="shared" ref="CW122:CW130" si="634">IFERROR(IF(AND((DK122+DM122+DN122+DO122)=DJ122,CS122=0,CU122=0,CV122=0),CQ122,0),0)</f>
        <v>0</v>
      </c>
      <c r="CX122" s="615">
        <f t="shared" ref="CX122:CX130" si="635">IFERROR(IF(AND((DK122+DM122+DN122+DO122+DP122)=DJ122,CS122=0,CU122=0,CV122=0,CW122=0),CQ122,0),0)</f>
        <v>0</v>
      </c>
      <c r="CY122" s="339"/>
      <c r="CZ122" s="615">
        <f t="shared" ref="CZ122:CZ130" si="636">IFERROR(IF(AND((DF122+DH122)=100%,DF122&lt;1),CQ122,0),0)</f>
        <v>0</v>
      </c>
      <c r="DA122" s="615">
        <f t="shared" ref="DA122:DA130" si="637">IFERROR(IF(AND((DK122+DS122)=DJ122,CS122=0),CQ122,0),0)</f>
        <v>0</v>
      </c>
      <c r="DB122" s="615">
        <f t="shared" ref="DB122:DB130" si="638">IFERROR(IF(AND((DK122+DS122+DT122)=DJ122,CS122=0,DA122=0),CQ122,0),0)</f>
        <v>0</v>
      </c>
      <c r="DC122" s="615">
        <f t="shared" ref="DC122:DC130" si="639">IFERROR(IF(AND((DK122+DS122+DT122+DU122)=DJ122,CS122=0,DA122=0,DB122=0),CQ122,0),0)</f>
        <v>0</v>
      </c>
      <c r="DD122" s="615">
        <f t="shared" ref="DD122:DD130" si="640">IFERROR(IF(AND((DK122+DS122+DT122+DU122+DV122)=DJ122,CS122=0,DA122=0,DB122=0,DC122=0),CQ122,0),0)</f>
        <v>0</v>
      </c>
      <c r="DE122" s="339"/>
      <c r="DF122" s="625">
        <f t="shared" ref="DF122:DF130" si="641">IFERROR(DK122/DJ122,0)</f>
        <v>1</v>
      </c>
      <c r="DG122" s="625">
        <f t="shared" ref="DG122:DG130" si="642">IFERROR(DL122/DJ122,0)</f>
        <v>0</v>
      </c>
      <c r="DH122" s="625">
        <f t="shared" ref="DH122:DH130" si="643">IFERROR(DR122/DJ122,0)</f>
        <v>0</v>
      </c>
      <c r="DI122" s="364"/>
      <c r="DJ122" s="620">
        <f>COUNTIF('MEP | Drawing List'!$H:$H,"MEP-T2S-6S-1")</f>
        <v>1</v>
      </c>
      <c r="DK122" s="621">
        <f>COUNTIFS('MEP | Drawing List'!$H:$H,"MEP-T2S-6S-1",'MEP | Drawing List'!$J:$J,1)</f>
        <v>1</v>
      </c>
      <c r="DL122" s="621">
        <f>COUNTIFS('MEP | Drawing List'!$H:$H,"MEP-T2S-6S-1",'MEP | Drawing List'!$L:$L,1)</f>
        <v>0</v>
      </c>
      <c r="DM122" s="620">
        <f>COUNTIFS('MEP | Drawing List'!$H:$H,"MEP-T2S-6S-1",'MEP | Drawing List'!M:M,1)</f>
        <v>0</v>
      </c>
      <c r="DN122" s="620">
        <f>COUNTIFS('MEP | Drawing List'!$H:$H,"MEP-T2S-6S-1",'MEP | Drawing List'!N:N,1)</f>
        <v>0</v>
      </c>
      <c r="DO122" s="620">
        <f>COUNTIFS('MEP | Drawing List'!$H:$H,"MEP-T2S-6S-1",'MEP | Drawing List'!O:O,1)</f>
        <v>0</v>
      </c>
      <c r="DP122" s="620">
        <f>COUNTIFS('MEP | Drawing List'!$H:$H,"MEP-T2S-6S-1",'MEP | Drawing List'!P:P,1)</f>
        <v>0</v>
      </c>
      <c r="DQ122" s="287"/>
      <c r="DR122" s="621">
        <f>COUNTIFS('MEP | Drawing List'!$H:$H,"MEP-T2S-6S-1",'MEP | Drawing List'!$Q:$Q,1)</f>
        <v>0</v>
      </c>
      <c r="DS122" s="620">
        <f>COUNTIFS('MEP | Drawing List'!$H:$H,"MEP-T2S-6S-1",'MEP | Drawing List'!R:R,1)</f>
        <v>0</v>
      </c>
      <c r="DT122" s="620">
        <f>COUNTIFS('MEP | Drawing List'!$H:$H,"MEP-T2S-6S-1",'MEP | Drawing List'!S:S,1)</f>
        <v>0</v>
      </c>
      <c r="DU122" s="620">
        <f>COUNTIFS('MEP | Drawing List'!$H:$H,"MEP-T2S-6S-1",'MEP | Drawing List'!T:T,1)</f>
        <v>0</v>
      </c>
      <c r="DV122" s="620">
        <f>COUNTIFS('MEP | Drawing List'!$H:$H,"MEP-T2S-6S-1",'MEP | Drawing List'!U:U,1)</f>
        <v>0</v>
      </c>
      <c r="DW122" s="368"/>
      <c r="DX122" s="368"/>
      <c r="DY122" s="554">
        <v>0</v>
      </c>
      <c r="DZ122" s="368"/>
      <c r="EA122" s="621">
        <f>EA76</f>
        <v>0</v>
      </c>
      <c r="EB122" s="622">
        <f t="shared" si="237"/>
        <v>0</v>
      </c>
      <c r="EC122" s="622">
        <f t="shared" si="593"/>
        <v>0</v>
      </c>
      <c r="ED122" s="622">
        <f t="shared" si="593"/>
        <v>0</v>
      </c>
      <c r="EE122" s="615">
        <f t="shared" si="593"/>
        <v>0</v>
      </c>
      <c r="EF122" s="615">
        <f t="shared" si="593"/>
        <v>0</v>
      </c>
      <c r="EG122" s="615">
        <f t="shared" si="593"/>
        <v>0</v>
      </c>
      <c r="EH122" s="615">
        <f t="shared" si="593"/>
        <v>0</v>
      </c>
      <c r="EI122" s="339"/>
      <c r="EJ122" s="620">
        <f t="shared" ref="EJ122:EJ130" si="644">IFERROR(IF(AND((EP122+ER122)=100%,EP122&lt;1),EA122,0),0)</f>
        <v>0</v>
      </c>
      <c r="EK122" s="615">
        <f t="shared" ref="EK122:EK130" si="645">IFERROR(IF(AND((EU122+FC122)=ET122,EC122=0),EA122,0),0)</f>
        <v>0</v>
      </c>
      <c r="EL122" s="615">
        <f t="shared" ref="EL122:EL130" si="646">IFERROR(IF(AND((EU122+FC122+FD122)=ET122,EC122=0,EK122=0),EA122,0),0)</f>
        <v>0</v>
      </c>
      <c r="EM122" s="615">
        <f t="shared" ref="EM122:EM130" si="647">IFERROR(IF(AND((EU122+FC122+FD122+FE122)=ET122,EC122=0,EK122=0,EL122=0),EA122,0),0)</f>
        <v>0</v>
      </c>
      <c r="EN122" s="615">
        <f t="shared" ref="EN122:EN130" si="648">IFERROR(IF(AND((EU122+FC122+FD122+FE122+FF122)=ET122,EC122=0,EK122=0,EL122=0,EM122=0),EA122,0),0)</f>
        <v>0</v>
      </c>
      <c r="EO122" s="339"/>
      <c r="EP122" s="627">
        <f t="shared" ref="EP122:EP130" si="649">IFERROR(EU122/ET122,0)</f>
        <v>0</v>
      </c>
      <c r="EQ122" s="627">
        <f t="shared" ref="EQ122:EQ130" si="650">IFERROR(EV122/ET122,0)</f>
        <v>0</v>
      </c>
      <c r="ER122" s="627">
        <f t="shared" ref="ER122:ER130" si="651">IFERROR(FB122/ET122,0)</f>
        <v>0</v>
      </c>
      <c r="ES122" s="622">
        <f t="shared" si="593"/>
        <v>0</v>
      </c>
      <c r="ET122" s="620">
        <f t="shared" si="593"/>
        <v>0</v>
      </c>
      <c r="EU122" s="621">
        <f t="shared" si="593"/>
        <v>0</v>
      </c>
      <c r="EV122" s="621">
        <f t="shared" si="593"/>
        <v>0</v>
      </c>
      <c r="EW122" s="620">
        <f t="shared" si="593"/>
        <v>0</v>
      </c>
      <c r="EX122" s="620">
        <f t="shared" si="593"/>
        <v>0</v>
      </c>
      <c r="EY122" s="620">
        <f t="shared" si="593"/>
        <v>0</v>
      </c>
      <c r="EZ122" s="620">
        <f t="shared" si="593"/>
        <v>0</v>
      </c>
      <c r="FA122" s="91"/>
      <c r="FB122" s="621">
        <f t="shared" ref="FB122:FF122" si="652">FB76</f>
        <v>0</v>
      </c>
      <c r="FC122" s="620">
        <f t="shared" si="652"/>
        <v>0</v>
      </c>
      <c r="FD122" s="620">
        <f t="shared" si="652"/>
        <v>0</v>
      </c>
      <c r="FE122" s="620">
        <f t="shared" si="652"/>
        <v>0</v>
      </c>
      <c r="FF122" s="620">
        <f t="shared" si="652"/>
        <v>0</v>
      </c>
      <c r="FG122" s="89"/>
    </row>
    <row r="123" spans="1:163" ht="14.25" hidden="1" outlineLevel="2">
      <c r="A123" s="48"/>
      <c r="B123" s="90" t="s">
        <v>129</v>
      </c>
      <c r="C123" s="276">
        <v>2</v>
      </c>
      <c r="D123" s="272" t="s">
        <v>54</v>
      </c>
      <c r="E123" s="48"/>
      <c r="F123" s="619">
        <f t="shared" si="596"/>
        <v>5.1976079999999994E-2</v>
      </c>
      <c r="G123" s="619">
        <f t="shared" si="597"/>
        <v>5.1976079999999994E-2</v>
      </c>
      <c r="H123" s="615">
        <f t="shared" si="598"/>
        <v>0</v>
      </c>
      <c r="I123" s="615">
        <f t="shared" si="571"/>
        <v>0</v>
      </c>
      <c r="J123" s="615">
        <f t="shared" si="572"/>
        <v>0</v>
      </c>
      <c r="K123" s="615">
        <f t="shared" si="573"/>
        <v>0</v>
      </c>
      <c r="L123" s="615">
        <f t="shared" si="574"/>
        <v>0</v>
      </c>
      <c r="M123" s="620">
        <f t="shared" si="575"/>
        <v>0</v>
      </c>
      <c r="N123" s="287"/>
      <c r="O123" s="615">
        <f t="shared" si="576"/>
        <v>0</v>
      </c>
      <c r="P123" s="615">
        <f t="shared" si="577"/>
        <v>0</v>
      </c>
      <c r="Q123" s="615">
        <f t="shared" si="578"/>
        <v>0</v>
      </c>
      <c r="R123" s="615">
        <f t="shared" si="579"/>
        <v>0</v>
      </c>
      <c r="S123" s="615">
        <f t="shared" si="580"/>
        <v>0</v>
      </c>
      <c r="T123" s="48"/>
      <c r="U123" s="519">
        <v>0</v>
      </c>
      <c r="V123" s="131"/>
      <c r="W123" s="619">
        <f t="shared" si="599"/>
        <v>0</v>
      </c>
      <c r="X123" s="619">
        <f t="shared" si="234"/>
        <v>0</v>
      </c>
      <c r="Y123" s="615">
        <f t="shared" si="600"/>
        <v>0</v>
      </c>
      <c r="Z123" s="615">
        <f t="shared" si="601"/>
        <v>0</v>
      </c>
      <c r="AA123" s="615">
        <f t="shared" si="602"/>
        <v>0</v>
      </c>
      <c r="AB123" s="615">
        <f t="shared" si="603"/>
        <v>0</v>
      </c>
      <c r="AC123" s="615">
        <f t="shared" si="604"/>
        <v>0</v>
      </c>
      <c r="AD123" s="620">
        <f t="shared" si="605"/>
        <v>0</v>
      </c>
      <c r="AE123" s="287"/>
      <c r="AF123" s="615">
        <f t="shared" si="606"/>
        <v>0</v>
      </c>
      <c r="AG123" s="615">
        <f t="shared" si="607"/>
        <v>0</v>
      </c>
      <c r="AH123" s="615">
        <f t="shared" si="608"/>
        <v>0</v>
      </c>
      <c r="AI123" s="615">
        <f t="shared" si="609"/>
        <v>0</v>
      </c>
      <c r="AJ123" s="615">
        <f t="shared" si="610"/>
        <v>0</v>
      </c>
      <c r="AK123" s="339"/>
      <c r="AL123" s="625">
        <f t="shared" si="611"/>
        <v>0</v>
      </c>
      <c r="AM123" s="625">
        <f t="shared" si="612"/>
        <v>0</v>
      </c>
      <c r="AN123" s="625">
        <f t="shared" si="613"/>
        <v>0</v>
      </c>
      <c r="AO123" s="345"/>
      <c r="AP123" s="615">
        <f>COUNTIF('AR | Drawing List'!$H:$H,"AR-T6S-2")</f>
        <v>0</v>
      </c>
      <c r="AQ123" s="616">
        <f>COUNTIFS('AR | Drawing List'!$H:$H,"AR-T6S-2",'AR | Drawing List'!$J:$J,1)</f>
        <v>0</v>
      </c>
      <c r="AR123" s="616">
        <f t="shared" si="238"/>
        <v>0</v>
      </c>
      <c r="AS123" s="616">
        <f>COUNTIFS('AR | Drawing List'!$H:$H,"AR-T6S-2",'AR | Drawing List'!M:M,1)</f>
        <v>0</v>
      </c>
      <c r="AT123" s="616">
        <f>COUNTIFS('AR | Drawing List'!$H:$H,"AR-T6S-2",'AR | Drawing List'!N:N,1)</f>
        <v>0</v>
      </c>
      <c r="AU123" s="616">
        <f>COUNTIFS('AR | Drawing List'!$H:$H,"AR-T6S-2",'AR | Drawing List'!O:O,1)</f>
        <v>0</v>
      </c>
      <c r="AV123" s="616">
        <f>COUNTIFS('AR | Drawing List'!$H:$H,"AR-T6S-2",'AR | Drawing List'!P:P,1)</f>
        <v>0</v>
      </c>
      <c r="AW123" s="328"/>
      <c r="AX123" s="616">
        <f t="shared" si="540"/>
        <v>0</v>
      </c>
      <c r="AY123" s="616">
        <f>COUNTIFS('AR | Drawing List'!$H:$H,"AR-T6S-2",'AR | Drawing List'!R:R,1)</f>
        <v>0</v>
      </c>
      <c r="AZ123" s="616">
        <f>COUNTIFS('AR | Drawing List'!$H:$H,"AR-T6S-2",'AR | Drawing List'!S:S,1)</f>
        <v>0</v>
      </c>
      <c r="BA123" s="616">
        <f>COUNTIFS('AR | Drawing List'!$H:$H,"AR-T6S-2",'AR | Drawing List'!T:T,1)</f>
        <v>0</v>
      </c>
      <c r="BB123" s="616">
        <f>COUNTIFS('AR | Drawing List'!$H:$H,"AR-T6S-2",'AR | Drawing List'!U:U,1)</f>
        <v>0</v>
      </c>
      <c r="BC123" s="328"/>
      <c r="BD123" s="328"/>
      <c r="BE123" s="525">
        <v>0.1</v>
      </c>
      <c r="BF123" s="343"/>
      <c r="BG123" s="616">
        <f t="shared" si="614"/>
        <v>5.1976079999999994E-2</v>
      </c>
      <c r="BH123" s="618">
        <f t="shared" si="235"/>
        <v>5.1976079999999994E-2</v>
      </c>
      <c r="BI123" s="615">
        <f t="shared" si="615"/>
        <v>5.1976079999999994E-2</v>
      </c>
      <c r="BJ123" s="615">
        <f t="shared" si="616"/>
        <v>0</v>
      </c>
      <c r="BK123" s="615">
        <f t="shared" si="617"/>
        <v>0</v>
      </c>
      <c r="BL123" s="615">
        <f t="shared" si="618"/>
        <v>0</v>
      </c>
      <c r="BM123" s="615">
        <f t="shared" si="619"/>
        <v>0</v>
      </c>
      <c r="BN123" s="615">
        <f t="shared" si="620"/>
        <v>0</v>
      </c>
      <c r="BO123" s="339"/>
      <c r="BP123" s="615">
        <f t="shared" si="621"/>
        <v>0</v>
      </c>
      <c r="BQ123" s="615">
        <f t="shared" si="622"/>
        <v>0</v>
      </c>
      <c r="BR123" s="615">
        <f t="shared" si="623"/>
        <v>0</v>
      </c>
      <c r="BS123" s="615">
        <f t="shared" si="624"/>
        <v>0</v>
      </c>
      <c r="BT123" s="615">
        <f t="shared" si="625"/>
        <v>0</v>
      </c>
      <c r="BU123" s="339"/>
      <c r="BV123" s="635">
        <f t="shared" si="626"/>
        <v>1</v>
      </c>
      <c r="BW123" s="635">
        <f t="shared" si="627"/>
        <v>0</v>
      </c>
      <c r="BX123" s="635">
        <f t="shared" si="628"/>
        <v>0</v>
      </c>
      <c r="BY123" s="341"/>
      <c r="BZ123" s="615">
        <f>COUNTIF('ST | Drawing List'!$H:$H,"ST-T6S-2")</f>
        <v>2</v>
      </c>
      <c r="CA123" s="616">
        <f>COUNTIFS('ST | Drawing List'!$H:$H,"ST-T6S-2",'ST | Drawing List'!$J:$J,1)</f>
        <v>2</v>
      </c>
      <c r="CB123" s="623">
        <f>COUNTIFS('ST | Drawing List'!$H:$H,"ST-T6S-2",'ST | Drawing List'!$L:$L,1)</f>
        <v>0</v>
      </c>
      <c r="CC123" s="616">
        <f>COUNTIFS('ST | Drawing List'!$H:$H,"ST-T6S-2",'ST | Drawing List'!M:M,1)</f>
        <v>0</v>
      </c>
      <c r="CD123" s="616">
        <f>COUNTIFS('ST | Drawing List'!$H:$H,"ST-T6S-2",'ST | Drawing List'!N:N,1)</f>
        <v>0</v>
      </c>
      <c r="CE123" s="616">
        <f>COUNTIFS('ST | Drawing List'!$H:$H,"ST-T6S-2",'ST | Drawing List'!O:O,1)</f>
        <v>0</v>
      </c>
      <c r="CF123" s="616">
        <f>COUNTIFS('ST | Drawing List'!$H:$H,"ST-T6S-2",'ST | Drawing List'!P:P,1)</f>
        <v>0</v>
      </c>
      <c r="CG123" s="532"/>
      <c r="CH123" s="623">
        <f>COUNTIFS('ST | Drawing List'!$H:$H,"ST-T6S-2",'ST | Drawing List'!$Q:$Q,1)</f>
        <v>0</v>
      </c>
      <c r="CI123" s="616">
        <f>COUNTIFS('ST | Drawing List'!$H:$H,"ST-T6S-2",'ST | Drawing List'!R:R,1)</f>
        <v>0</v>
      </c>
      <c r="CJ123" s="616">
        <f>COUNTIFS('ST | Drawing List'!$H:$H,"ST-T6S-2",'ST | Drawing List'!S:S,1)</f>
        <v>0</v>
      </c>
      <c r="CK123" s="616">
        <f>COUNTIFS('ST | Drawing List'!$H:$H,"ST-T6S-2",'ST | Drawing List'!T:T,1)</f>
        <v>0</v>
      </c>
      <c r="CL123" s="616">
        <f>COUNTIFS('ST | Drawing List'!$H:$H,"ST-T6S-2",'ST | Drawing List'!U:U,1)</f>
        <v>0</v>
      </c>
      <c r="CM123" s="343"/>
      <c r="CN123" s="343"/>
      <c r="CO123" s="666">
        <v>0</v>
      </c>
      <c r="CP123" s="343"/>
      <c r="CQ123" s="616">
        <f t="shared" si="629"/>
        <v>0</v>
      </c>
      <c r="CR123" s="618">
        <f t="shared" si="236"/>
        <v>0</v>
      </c>
      <c r="CS123" s="615">
        <f t="shared" si="630"/>
        <v>0</v>
      </c>
      <c r="CT123" s="615">
        <f t="shared" si="631"/>
        <v>0</v>
      </c>
      <c r="CU123" s="615">
        <f t="shared" si="632"/>
        <v>0</v>
      </c>
      <c r="CV123" s="615">
        <f t="shared" si="633"/>
        <v>0</v>
      </c>
      <c r="CW123" s="615">
        <f t="shared" si="634"/>
        <v>0</v>
      </c>
      <c r="CX123" s="615">
        <f t="shared" si="635"/>
        <v>0</v>
      </c>
      <c r="CY123" s="339"/>
      <c r="CZ123" s="615">
        <f t="shared" si="636"/>
        <v>0</v>
      </c>
      <c r="DA123" s="615">
        <f t="shared" si="637"/>
        <v>0</v>
      </c>
      <c r="DB123" s="615">
        <f t="shared" si="638"/>
        <v>0</v>
      </c>
      <c r="DC123" s="615">
        <f t="shared" si="639"/>
        <v>0</v>
      </c>
      <c r="DD123" s="615">
        <f t="shared" si="640"/>
        <v>0</v>
      </c>
      <c r="DE123" s="339"/>
      <c r="DF123" s="625">
        <f t="shared" si="641"/>
        <v>0</v>
      </c>
      <c r="DG123" s="625">
        <f t="shared" si="642"/>
        <v>0</v>
      </c>
      <c r="DH123" s="625">
        <f t="shared" si="643"/>
        <v>0</v>
      </c>
      <c r="DI123" s="341"/>
      <c r="DJ123" s="615">
        <f>COUNTIF('MEP | Drawing List'!$H:$H,"MEP-T2S-6S-2")</f>
        <v>0</v>
      </c>
      <c r="DK123" s="616">
        <f>COUNTIFS('MEP | Drawing List'!$H:$H,"MEP-T2S-6S-2",'MEP | Drawing List'!$J:$J,1)</f>
        <v>0</v>
      </c>
      <c r="DL123" s="616">
        <f>COUNTIFS('MEP | Drawing List'!$H:$H,"MEP-T2S-6S-2",'MEP | Drawing List'!$L:$L,1)</f>
        <v>0</v>
      </c>
      <c r="DM123" s="615">
        <f>COUNTIFS('MEP | Drawing List'!$H:$H,"MEP-T2S-6S-2",'MEP | Drawing List'!M:M,1)</f>
        <v>0</v>
      </c>
      <c r="DN123" s="615">
        <f>COUNTIFS('MEP | Drawing List'!$H:$H,"MEP-T2S-6S-2",'MEP | Drawing List'!N:N,1)</f>
        <v>0</v>
      </c>
      <c r="DO123" s="615">
        <f>COUNTIFS('MEP | Drawing List'!$H:$H,"MEP-T2S-6S-2",'MEP | Drawing List'!O:O,1)</f>
        <v>0</v>
      </c>
      <c r="DP123" s="615">
        <f>COUNTIFS('MEP | Drawing List'!$H:$H,"MEP-T2S-6S-2",'MEP | Drawing List'!P:P,1)</f>
        <v>0</v>
      </c>
      <c r="DQ123" s="339"/>
      <c r="DR123" s="616">
        <f>COUNTIFS('MEP | Drawing List'!$H:$H,"MEP-T2S-6S-2",'MEP | Drawing List'!$Q:$Q,1)</f>
        <v>0</v>
      </c>
      <c r="DS123" s="615">
        <f>COUNTIFS('MEP | Drawing List'!$H:$H,"MEP-T2S-6S-2",'MEP | Drawing List'!R:R,1)</f>
        <v>0</v>
      </c>
      <c r="DT123" s="615">
        <f>COUNTIFS('MEP | Drawing List'!$H:$H,"MEP-T2S-6S-2",'MEP | Drawing List'!S:S,1)</f>
        <v>0</v>
      </c>
      <c r="DU123" s="615">
        <f>COUNTIFS('MEP | Drawing List'!$H:$H,"MEP-T2S-6S-2",'MEP | Drawing List'!T:T,1)</f>
        <v>0</v>
      </c>
      <c r="DV123" s="615">
        <f>COUNTIFS('MEP | Drawing List'!$H:$H,"MEP-T2S-6S-2",'MEP | Drawing List'!U:U,1)</f>
        <v>0</v>
      </c>
      <c r="DW123" s="343"/>
      <c r="DX123" s="343"/>
      <c r="DY123" s="523">
        <v>0</v>
      </c>
      <c r="DZ123" s="343"/>
      <c r="EA123" s="616">
        <f t="shared" ref="EA123:EZ123" si="653">EA77</f>
        <v>0</v>
      </c>
      <c r="EB123" s="618">
        <f t="shared" si="237"/>
        <v>0</v>
      </c>
      <c r="EC123" s="618">
        <f t="shared" si="653"/>
        <v>0</v>
      </c>
      <c r="ED123" s="618">
        <f t="shared" si="653"/>
        <v>0</v>
      </c>
      <c r="EE123" s="615">
        <f t="shared" si="653"/>
        <v>0</v>
      </c>
      <c r="EF123" s="615">
        <f t="shared" si="653"/>
        <v>0</v>
      </c>
      <c r="EG123" s="615">
        <f t="shared" si="653"/>
        <v>0</v>
      </c>
      <c r="EH123" s="615">
        <f t="shared" si="653"/>
        <v>0</v>
      </c>
      <c r="EI123" s="339"/>
      <c r="EJ123" s="620">
        <f t="shared" si="644"/>
        <v>0</v>
      </c>
      <c r="EK123" s="615">
        <f t="shared" si="645"/>
        <v>0</v>
      </c>
      <c r="EL123" s="615">
        <f t="shared" si="646"/>
        <v>0</v>
      </c>
      <c r="EM123" s="615">
        <f t="shared" si="647"/>
        <v>0</v>
      </c>
      <c r="EN123" s="615">
        <f t="shared" si="648"/>
        <v>0</v>
      </c>
      <c r="EO123" s="339"/>
      <c r="EP123" s="627">
        <f t="shared" si="649"/>
        <v>0</v>
      </c>
      <c r="EQ123" s="627">
        <f t="shared" si="650"/>
        <v>0</v>
      </c>
      <c r="ER123" s="627">
        <f t="shared" si="651"/>
        <v>0</v>
      </c>
      <c r="ES123" s="618">
        <f t="shared" si="653"/>
        <v>0</v>
      </c>
      <c r="ET123" s="615">
        <f t="shared" si="653"/>
        <v>0</v>
      </c>
      <c r="EU123" s="616">
        <f t="shared" si="653"/>
        <v>0</v>
      </c>
      <c r="EV123" s="616">
        <f t="shared" si="653"/>
        <v>0</v>
      </c>
      <c r="EW123" s="615">
        <f t="shared" si="653"/>
        <v>0</v>
      </c>
      <c r="EX123" s="615">
        <f t="shared" si="653"/>
        <v>0</v>
      </c>
      <c r="EY123" s="615">
        <f t="shared" si="653"/>
        <v>0</v>
      </c>
      <c r="EZ123" s="615">
        <f t="shared" si="653"/>
        <v>0</v>
      </c>
      <c r="FA123" s="81"/>
      <c r="FB123" s="616">
        <f t="shared" ref="FB123:FF123" si="654">FB77</f>
        <v>0</v>
      </c>
      <c r="FC123" s="615">
        <f t="shared" si="654"/>
        <v>0</v>
      </c>
      <c r="FD123" s="615">
        <f t="shared" si="654"/>
        <v>0</v>
      </c>
      <c r="FE123" s="615">
        <f t="shared" si="654"/>
        <v>0</v>
      </c>
      <c r="FF123" s="615">
        <f t="shared" si="654"/>
        <v>0</v>
      </c>
      <c r="FG123" s="48"/>
    </row>
    <row r="124" spans="1:163" ht="14.25" hidden="1" outlineLevel="2">
      <c r="A124" s="48"/>
      <c r="B124" s="90" t="s">
        <v>130</v>
      </c>
      <c r="C124" s="276">
        <v>3</v>
      </c>
      <c r="D124" s="272" t="s">
        <v>56</v>
      </c>
      <c r="E124" s="48"/>
      <c r="F124" s="619">
        <f t="shared" si="596"/>
        <v>0.12466800000000003</v>
      </c>
      <c r="G124" s="619">
        <f t="shared" si="597"/>
        <v>0.12466800000000003</v>
      </c>
      <c r="H124" s="615">
        <f t="shared" si="598"/>
        <v>0</v>
      </c>
      <c r="I124" s="615">
        <f t="shared" si="571"/>
        <v>0.12466800000000003</v>
      </c>
      <c r="J124" s="615">
        <f t="shared" si="572"/>
        <v>0.12466800000000003</v>
      </c>
      <c r="K124" s="615">
        <f t="shared" si="573"/>
        <v>0</v>
      </c>
      <c r="L124" s="615">
        <f t="shared" si="574"/>
        <v>0</v>
      </c>
      <c r="M124" s="620">
        <f t="shared" si="575"/>
        <v>0</v>
      </c>
      <c r="N124" s="287"/>
      <c r="O124" s="615">
        <f t="shared" si="576"/>
        <v>0.12466800000000003</v>
      </c>
      <c r="P124" s="615">
        <f t="shared" si="577"/>
        <v>0.12466800000000003</v>
      </c>
      <c r="Q124" s="615">
        <f t="shared" si="578"/>
        <v>0</v>
      </c>
      <c r="R124" s="615">
        <f t="shared" si="579"/>
        <v>0</v>
      </c>
      <c r="S124" s="615">
        <f t="shared" si="580"/>
        <v>0</v>
      </c>
      <c r="T124" s="48"/>
      <c r="U124" s="519">
        <v>0.1</v>
      </c>
      <c r="V124" s="131"/>
      <c r="W124" s="619">
        <f t="shared" si="599"/>
        <v>0.12466800000000003</v>
      </c>
      <c r="X124" s="619">
        <f t="shared" si="234"/>
        <v>0.12466800000000003</v>
      </c>
      <c r="Y124" s="615">
        <f t="shared" si="600"/>
        <v>0</v>
      </c>
      <c r="Z124" s="615">
        <f t="shared" si="601"/>
        <v>0.12466800000000003</v>
      </c>
      <c r="AA124" s="615">
        <f t="shared" si="602"/>
        <v>0.12466800000000003</v>
      </c>
      <c r="AB124" s="615">
        <f t="shared" si="603"/>
        <v>0</v>
      </c>
      <c r="AC124" s="615">
        <f t="shared" si="604"/>
        <v>0</v>
      </c>
      <c r="AD124" s="620">
        <f t="shared" si="605"/>
        <v>0</v>
      </c>
      <c r="AE124" s="287"/>
      <c r="AF124" s="615">
        <f t="shared" si="606"/>
        <v>0.12466800000000003</v>
      </c>
      <c r="AG124" s="615">
        <f t="shared" si="607"/>
        <v>0.12466800000000003</v>
      </c>
      <c r="AH124" s="615">
        <f t="shared" si="608"/>
        <v>0</v>
      </c>
      <c r="AI124" s="615">
        <f t="shared" si="609"/>
        <v>0</v>
      </c>
      <c r="AJ124" s="615">
        <f t="shared" si="610"/>
        <v>0</v>
      </c>
      <c r="AK124" s="339"/>
      <c r="AL124" s="625">
        <f t="shared" si="611"/>
        <v>0</v>
      </c>
      <c r="AM124" s="625">
        <f t="shared" si="612"/>
        <v>1</v>
      </c>
      <c r="AN124" s="625">
        <f t="shared" si="613"/>
        <v>1</v>
      </c>
      <c r="AO124" s="345"/>
      <c r="AP124" s="615">
        <f>COUNTIF('AR | Drawing List'!$H:$H,"AR-T6S-3")</f>
        <v>3</v>
      </c>
      <c r="AQ124" s="616">
        <f>COUNTIFS('AR | Drawing List'!$H:$H,"AR-T6S-3",'AR | Drawing List'!$J:$J,1)</f>
        <v>0</v>
      </c>
      <c r="AR124" s="616">
        <f t="shared" si="238"/>
        <v>3</v>
      </c>
      <c r="AS124" s="616">
        <f>COUNTIFS('AR | Drawing List'!$H:$H,"AR-T6S-3",'AR | Drawing List'!M:M,1)</f>
        <v>3</v>
      </c>
      <c r="AT124" s="616">
        <f>COUNTIFS('AR | Drawing List'!$H:$H,"AR-T6S-3",'AR | Drawing List'!N:N,1)</f>
        <v>0</v>
      </c>
      <c r="AU124" s="616">
        <f>COUNTIFS('AR | Drawing List'!$H:$H,"AR-T6S-3",'AR | Drawing List'!O:O,1)</f>
        <v>0</v>
      </c>
      <c r="AV124" s="616">
        <f>COUNTIFS('AR | Drawing List'!$H:$H,"AR-T6S-3",'AR | Drawing List'!P:P,1)</f>
        <v>0</v>
      </c>
      <c r="AW124" s="328"/>
      <c r="AX124" s="616">
        <f t="shared" si="540"/>
        <v>3</v>
      </c>
      <c r="AY124" s="616">
        <f>COUNTIFS('AR | Drawing List'!$H:$H,"AR-T6S-3",'AR | Drawing List'!R:R,1)</f>
        <v>3</v>
      </c>
      <c r="AZ124" s="616">
        <f>COUNTIFS('AR | Drawing List'!$H:$H,"AR-T6S-3",'AR | Drawing List'!S:S,1)</f>
        <v>0</v>
      </c>
      <c r="BA124" s="616">
        <f>COUNTIFS('AR | Drawing List'!$H:$H,"AR-T6S-3",'AR | Drawing List'!T:T,1)</f>
        <v>0</v>
      </c>
      <c r="BB124" s="616">
        <f>COUNTIFS('AR | Drawing List'!$H:$H,"AR-T6S-3",'AR | Drawing List'!U:U,1)</f>
        <v>0</v>
      </c>
      <c r="BC124" s="328"/>
      <c r="BD124" s="328"/>
      <c r="BE124" s="666">
        <v>0</v>
      </c>
      <c r="BF124" s="343"/>
      <c r="BG124" s="616">
        <f t="shared" si="614"/>
        <v>0</v>
      </c>
      <c r="BH124" s="618">
        <f t="shared" si="235"/>
        <v>0</v>
      </c>
      <c r="BI124" s="615">
        <f t="shared" si="615"/>
        <v>0</v>
      </c>
      <c r="BJ124" s="615">
        <f t="shared" si="616"/>
        <v>0</v>
      </c>
      <c r="BK124" s="615">
        <f t="shared" si="617"/>
        <v>0</v>
      </c>
      <c r="BL124" s="615">
        <f t="shared" si="618"/>
        <v>0</v>
      </c>
      <c r="BM124" s="615">
        <f t="shared" si="619"/>
        <v>0</v>
      </c>
      <c r="BN124" s="615">
        <f t="shared" si="620"/>
        <v>0</v>
      </c>
      <c r="BO124" s="339"/>
      <c r="BP124" s="615">
        <f t="shared" si="621"/>
        <v>0</v>
      </c>
      <c r="BQ124" s="615">
        <f t="shared" si="622"/>
        <v>0</v>
      </c>
      <c r="BR124" s="615">
        <f t="shared" si="623"/>
        <v>0</v>
      </c>
      <c r="BS124" s="615">
        <f t="shared" si="624"/>
        <v>0</v>
      </c>
      <c r="BT124" s="615">
        <f t="shared" si="625"/>
        <v>0</v>
      </c>
      <c r="BU124" s="339"/>
      <c r="BV124" s="635">
        <f t="shared" si="626"/>
        <v>0</v>
      </c>
      <c r="BW124" s="635">
        <f t="shared" si="627"/>
        <v>0</v>
      </c>
      <c r="BX124" s="635">
        <f t="shared" si="628"/>
        <v>0</v>
      </c>
      <c r="BY124" s="341"/>
      <c r="BZ124" s="615">
        <f>COUNTIF('ST | Drawing List'!$H:$H,"ST-T6S-3")</f>
        <v>0</v>
      </c>
      <c r="CA124" s="616">
        <f>COUNTIFS('ST | Drawing List'!$H:$H,"ST-T6S-3",'ST | Drawing List'!$J:$J,1)</f>
        <v>0</v>
      </c>
      <c r="CB124" s="623">
        <f>COUNTIFS('ST | Drawing List'!$H:$H,"ST-T6S-3",'ST | Drawing List'!$L:$L,1)</f>
        <v>0</v>
      </c>
      <c r="CC124" s="616">
        <f>COUNTIFS('ST | Drawing List'!$H:$H,"ST-T6S-3",'ST | Drawing List'!M:M,1)</f>
        <v>0</v>
      </c>
      <c r="CD124" s="616">
        <f>COUNTIFS('ST | Drawing List'!$H:$H,"ST-T6S-3",'ST | Drawing List'!N:N,1)</f>
        <v>0</v>
      </c>
      <c r="CE124" s="616">
        <f>COUNTIFS('ST | Drawing List'!$H:$H,"ST-T6S-3",'ST | Drawing List'!O:O,1)</f>
        <v>0</v>
      </c>
      <c r="CF124" s="616">
        <f>COUNTIFS('ST | Drawing List'!$H:$H,"ST-T6S-3",'ST | Drawing List'!P:P,1)</f>
        <v>0</v>
      </c>
      <c r="CG124" s="532"/>
      <c r="CH124" s="623">
        <f>COUNTIFS('ST | Drawing List'!$H:$H,"ST-T6S-3",'ST | Drawing List'!$Q:$Q,1)</f>
        <v>0</v>
      </c>
      <c r="CI124" s="616">
        <f>COUNTIFS('ST | Drawing List'!$H:$H,"ST-T6S-3",'ST | Drawing List'!R:R,1)</f>
        <v>0</v>
      </c>
      <c r="CJ124" s="616">
        <f>COUNTIFS('ST | Drawing List'!$H:$H,"ST-T6S-3",'ST | Drawing List'!S:S,1)</f>
        <v>0</v>
      </c>
      <c r="CK124" s="616">
        <f>COUNTIFS('ST | Drawing List'!$H:$H,"ST-T6S-3",'ST | Drawing List'!T:T,1)</f>
        <v>0</v>
      </c>
      <c r="CL124" s="616">
        <f>COUNTIFS('ST | Drawing List'!$H:$H,"ST-T6S-3",'ST | Drawing List'!U:U,1)</f>
        <v>0</v>
      </c>
      <c r="CM124" s="343"/>
      <c r="CN124" s="343"/>
      <c r="CO124" s="666">
        <v>0</v>
      </c>
      <c r="CP124" s="343"/>
      <c r="CQ124" s="616">
        <f t="shared" si="629"/>
        <v>0</v>
      </c>
      <c r="CR124" s="618">
        <f t="shared" si="236"/>
        <v>0</v>
      </c>
      <c r="CS124" s="615">
        <f t="shared" si="630"/>
        <v>0</v>
      </c>
      <c r="CT124" s="615">
        <f t="shared" si="631"/>
        <v>0</v>
      </c>
      <c r="CU124" s="615">
        <f t="shared" si="632"/>
        <v>0</v>
      </c>
      <c r="CV124" s="615">
        <f t="shared" si="633"/>
        <v>0</v>
      </c>
      <c r="CW124" s="615">
        <f t="shared" si="634"/>
        <v>0</v>
      </c>
      <c r="CX124" s="615">
        <f t="shared" si="635"/>
        <v>0</v>
      </c>
      <c r="CY124" s="339"/>
      <c r="CZ124" s="615">
        <f t="shared" si="636"/>
        <v>0</v>
      </c>
      <c r="DA124" s="615">
        <f t="shared" si="637"/>
        <v>0</v>
      </c>
      <c r="DB124" s="615">
        <f t="shared" si="638"/>
        <v>0</v>
      </c>
      <c r="DC124" s="615">
        <f t="shared" si="639"/>
        <v>0</v>
      </c>
      <c r="DD124" s="615">
        <f t="shared" si="640"/>
        <v>0</v>
      </c>
      <c r="DE124" s="339"/>
      <c r="DF124" s="625">
        <f t="shared" si="641"/>
        <v>0</v>
      </c>
      <c r="DG124" s="625">
        <f t="shared" si="642"/>
        <v>0</v>
      </c>
      <c r="DH124" s="625">
        <f t="shared" si="643"/>
        <v>0</v>
      </c>
      <c r="DI124" s="341"/>
      <c r="DJ124" s="615">
        <f>COUNTIF('MEP | Drawing List'!$H:$H,"MEP-T2S-6S-3")</f>
        <v>0</v>
      </c>
      <c r="DK124" s="616">
        <f>COUNTIFS('MEP | Drawing List'!$H:$H,"MEP-T2S-6S-3",'MEP | Drawing List'!$J:$J,1)</f>
        <v>0</v>
      </c>
      <c r="DL124" s="616">
        <f>COUNTIFS('MEP | Drawing List'!$H:$H,"MEP-T2S-6S-3",'MEP | Drawing List'!$L:$L,1)</f>
        <v>0</v>
      </c>
      <c r="DM124" s="615">
        <f>COUNTIFS('MEP | Drawing List'!$H:$H,"MEP-T2S-6S-3",'MEP | Drawing List'!M:M,1)</f>
        <v>0</v>
      </c>
      <c r="DN124" s="615">
        <f>COUNTIFS('MEP | Drawing List'!$H:$H,"MEP-T2S-6S-3",'MEP | Drawing List'!N:N,1)</f>
        <v>0</v>
      </c>
      <c r="DO124" s="615">
        <f>COUNTIFS('MEP | Drawing List'!$H:$H,"MEP-T2S-6S-3",'MEP | Drawing List'!O:O,1)</f>
        <v>0</v>
      </c>
      <c r="DP124" s="615">
        <f>COUNTIFS('MEP | Drawing List'!$H:$H,"MEP-T2S-6S-3",'MEP | Drawing List'!P:P,1)</f>
        <v>0</v>
      </c>
      <c r="DQ124" s="339"/>
      <c r="DR124" s="616">
        <f>COUNTIFS('MEP | Drawing List'!$H:$H,"MEP-T2S-6S-3",'MEP | Drawing List'!$Q:$Q,1)</f>
        <v>0</v>
      </c>
      <c r="DS124" s="615">
        <f>COUNTIFS('MEP | Drawing List'!$H:$H,"MEP-T2S-6S-3",'MEP | Drawing List'!R:R,1)</f>
        <v>0</v>
      </c>
      <c r="DT124" s="615">
        <f>COUNTIFS('MEP | Drawing List'!$H:$H,"MEP-T2S-6S-3",'MEP | Drawing List'!S:S,1)</f>
        <v>0</v>
      </c>
      <c r="DU124" s="615">
        <f>COUNTIFS('MEP | Drawing List'!$H:$H,"MEP-T2S-6S-3",'MEP | Drawing List'!T:T,1)</f>
        <v>0</v>
      </c>
      <c r="DV124" s="615">
        <f>COUNTIFS('MEP | Drawing List'!$H:$H,"MEP-T2S-6S-3",'MEP | Drawing List'!U:U,1)</f>
        <v>0</v>
      </c>
      <c r="DW124" s="343"/>
      <c r="DX124" s="343"/>
      <c r="DY124" s="525">
        <v>0</v>
      </c>
      <c r="DZ124" s="343"/>
      <c r="EA124" s="616">
        <f t="shared" ref="EA124:EZ124" si="655">EA78</f>
        <v>0</v>
      </c>
      <c r="EB124" s="618">
        <f t="shared" si="237"/>
        <v>0</v>
      </c>
      <c r="EC124" s="618">
        <f t="shared" si="655"/>
        <v>0</v>
      </c>
      <c r="ED124" s="618">
        <f t="shared" si="655"/>
        <v>0</v>
      </c>
      <c r="EE124" s="615">
        <f t="shared" si="655"/>
        <v>0</v>
      </c>
      <c r="EF124" s="615">
        <f t="shared" si="655"/>
        <v>0</v>
      </c>
      <c r="EG124" s="615">
        <f t="shared" si="655"/>
        <v>0</v>
      </c>
      <c r="EH124" s="615">
        <f t="shared" si="655"/>
        <v>0</v>
      </c>
      <c r="EI124" s="339"/>
      <c r="EJ124" s="620">
        <f t="shared" si="644"/>
        <v>0</v>
      </c>
      <c r="EK124" s="615">
        <f t="shared" si="645"/>
        <v>0</v>
      </c>
      <c r="EL124" s="615">
        <f t="shared" si="646"/>
        <v>0</v>
      </c>
      <c r="EM124" s="615">
        <f t="shared" si="647"/>
        <v>0</v>
      </c>
      <c r="EN124" s="615">
        <f t="shared" si="648"/>
        <v>0</v>
      </c>
      <c r="EO124" s="339"/>
      <c r="EP124" s="627">
        <f t="shared" si="649"/>
        <v>0</v>
      </c>
      <c r="EQ124" s="627">
        <f t="shared" si="650"/>
        <v>0</v>
      </c>
      <c r="ER124" s="627">
        <f t="shared" si="651"/>
        <v>0</v>
      </c>
      <c r="ES124" s="606">
        <f t="shared" si="655"/>
        <v>0</v>
      </c>
      <c r="ET124" s="615">
        <f t="shared" si="655"/>
        <v>0</v>
      </c>
      <c r="EU124" s="616">
        <f t="shared" si="655"/>
        <v>0</v>
      </c>
      <c r="EV124" s="616">
        <f t="shared" si="655"/>
        <v>0</v>
      </c>
      <c r="EW124" s="615">
        <f t="shared" si="655"/>
        <v>0</v>
      </c>
      <c r="EX124" s="615">
        <f t="shared" si="655"/>
        <v>0</v>
      </c>
      <c r="EY124" s="615">
        <f t="shared" si="655"/>
        <v>0</v>
      </c>
      <c r="EZ124" s="615">
        <f t="shared" si="655"/>
        <v>0</v>
      </c>
      <c r="FA124" s="81"/>
      <c r="FB124" s="616">
        <f t="shared" ref="FB124:FF124" si="656">FB78</f>
        <v>0</v>
      </c>
      <c r="FC124" s="615">
        <f t="shared" si="656"/>
        <v>0</v>
      </c>
      <c r="FD124" s="615">
        <f t="shared" si="656"/>
        <v>0</v>
      </c>
      <c r="FE124" s="615">
        <f t="shared" si="656"/>
        <v>0</v>
      </c>
      <c r="FF124" s="615">
        <f t="shared" si="656"/>
        <v>0</v>
      </c>
      <c r="FG124" s="48"/>
    </row>
    <row r="125" spans="1:163" s="95" customFormat="1" ht="14.25" hidden="1" outlineLevel="2">
      <c r="A125" s="89"/>
      <c r="B125" s="90" t="s">
        <v>131</v>
      </c>
      <c r="C125" s="277">
        <v>4</v>
      </c>
      <c r="D125" s="273" t="s">
        <v>88</v>
      </c>
      <c r="E125" s="89"/>
      <c r="F125" s="619">
        <f t="shared" si="596"/>
        <v>9.8992440000000015E-2</v>
      </c>
      <c r="G125" s="619">
        <f t="shared" si="597"/>
        <v>9.8992440000000015E-2</v>
      </c>
      <c r="H125" s="615">
        <f t="shared" si="598"/>
        <v>0</v>
      </c>
      <c r="I125" s="615">
        <f t="shared" si="571"/>
        <v>7.3004400000000011E-2</v>
      </c>
      <c r="J125" s="615">
        <f t="shared" si="572"/>
        <v>7.3004400000000011E-2</v>
      </c>
      <c r="K125" s="615">
        <f t="shared" si="573"/>
        <v>0</v>
      </c>
      <c r="L125" s="615">
        <f t="shared" si="574"/>
        <v>0</v>
      </c>
      <c r="M125" s="620">
        <f t="shared" si="575"/>
        <v>0</v>
      </c>
      <c r="N125" s="287"/>
      <c r="O125" s="615">
        <f t="shared" si="576"/>
        <v>7.3004400000000011E-2</v>
      </c>
      <c r="P125" s="615">
        <f t="shared" si="577"/>
        <v>6.2334000000000014E-2</v>
      </c>
      <c r="Q125" s="615">
        <f t="shared" si="578"/>
        <v>1.06704E-2</v>
      </c>
      <c r="R125" s="615">
        <f t="shared" si="579"/>
        <v>0</v>
      </c>
      <c r="S125" s="615">
        <f t="shared" si="580"/>
        <v>0</v>
      </c>
      <c r="T125" s="89"/>
      <c r="U125" s="552">
        <v>0.05</v>
      </c>
      <c r="V125" s="133"/>
      <c r="W125" s="628">
        <f t="shared" si="599"/>
        <v>6.2334000000000014E-2</v>
      </c>
      <c r="X125" s="628">
        <f t="shared" si="234"/>
        <v>6.2334000000000014E-2</v>
      </c>
      <c r="Y125" s="620">
        <f t="shared" si="600"/>
        <v>0</v>
      </c>
      <c r="Z125" s="620">
        <f t="shared" si="601"/>
        <v>6.2334000000000014E-2</v>
      </c>
      <c r="AA125" s="620">
        <f t="shared" si="602"/>
        <v>6.2334000000000014E-2</v>
      </c>
      <c r="AB125" s="620">
        <f t="shared" si="603"/>
        <v>0</v>
      </c>
      <c r="AC125" s="620">
        <f t="shared" si="604"/>
        <v>0</v>
      </c>
      <c r="AD125" s="620">
        <f t="shared" si="605"/>
        <v>0</v>
      </c>
      <c r="AE125" s="287"/>
      <c r="AF125" s="615">
        <f t="shared" si="606"/>
        <v>6.2334000000000014E-2</v>
      </c>
      <c r="AG125" s="615">
        <f t="shared" si="607"/>
        <v>6.2334000000000014E-2</v>
      </c>
      <c r="AH125" s="615">
        <f t="shared" si="608"/>
        <v>0</v>
      </c>
      <c r="AI125" s="615">
        <f t="shared" si="609"/>
        <v>0</v>
      </c>
      <c r="AJ125" s="615">
        <f t="shared" si="610"/>
        <v>0</v>
      </c>
      <c r="AK125" s="339"/>
      <c r="AL125" s="627">
        <f t="shared" si="611"/>
        <v>0</v>
      </c>
      <c r="AM125" s="627">
        <f t="shared" si="612"/>
        <v>1</v>
      </c>
      <c r="AN125" s="625">
        <f t="shared" si="613"/>
        <v>1</v>
      </c>
      <c r="AO125" s="373"/>
      <c r="AP125" s="620">
        <f>COUNTIF('AR | Drawing List'!$H:$H,"AR-T6S-4")</f>
        <v>2</v>
      </c>
      <c r="AQ125" s="621">
        <f>COUNTIFS('AR | Drawing List'!$H:$H,"AR-T6S-4",'AR | Drawing List'!$J:$J,1)</f>
        <v>0</v>
      </c>
      <c r="AR125" s="621">
        <f t="shared" si="238"/>
        <v>2</v>
      </c>
      <c r="AS125" s="621">
        <f>COUNTIFS('AR | Drawing List'!$H:$H,"AR-T6S-4",'AR | Drawing List'!M:M,1)</f>
        <v>2</v>
      </c>
      <c r="AT125" s="621">
        <f>COUNTIFS('AR | Drawing List'!$H:$H,"AR-T6S-4",'AR | Drawing List'!N:N,1)</f>
        <v>0</v>
      </c>
      <c r="AU125" s="621">
        <f>COUNTIFS('AR | Drawing List'!$H:$H,"AR-T6S-4",'AR | Drawing List'!O:O,1)</f>
        <v>0</v>
      </c>
      <c r="AV125" s="621">
        <f>COUNTIFS('AR | Drawing List'!$H:$H,"AR-T6S-4",'AR | Drawing List'!P:P,1)</f>
        <v>0</v>
      </c>
      <c r="AW125" s="366"/>
      <c r="AX125" s="621">
        <f t="shared" si="540"/>
        <v>2</v>
      </c>
      <c r="AY125" s="621">
        <f>COUNTIFS('AR | Drawing List'!$H:$H,"AR-T6S-4",'AR | Drawing List'!R:R,1)</f>
        <v>2</v>
      </c>
      <c r="AZ125" s="621">
        <f>COUNTIFS('AR | Drawing List'!$H:$H,"AR-T6S-4",'AR | Drawing List'!S:S,1)</f>
        <v>0</v>
      </c>
      <c r="BA125" s="621">
        <f>COUNTIFS('AR | Drawing List'!$H:$H,"AR-T6S-4",'AR | Drawing List'!T:T,1)</f>
        <v>0</v>
      </c>
      <c r="BB125" s="621">
        <f>COUNTIFS('AR | Drawing List'!$H:$H,"AR-T6S-4",'AR | Drawing List'!U:U,1)</f>
        <v>0</v>
      </c>
      <c r="BC125" s="366"/>
      <c r="BD125" s="366"/>
      <c r="BE125" s="554">
        <v>0.05</v>
      </c>
      <c r="BF125" s="368"/>
      <c r="BG125" s="621">
        <f t="shared" si="614"/>
        <v>2.5988039999999997E-2</v>
      </c>
      <c r="BH125" s="622">
        <f t="shared" si="235"/>
        <v>2.5988039999999997E-2</v>
      </c>
      <c r="BI125" s="620">
        <f t="shared" si="615"/>
        <v>2.5988039999999997E-2</v>
      </c>
      <c r="BJ125" s="620">
        <f t="shared" si="616"/>
        <v>0</v>
      </c>
      <c r="BK125" s="615">
        <f t="shared" si="617"/>
        <v>0</v>
      </c>
      <c r="BL125" s="615">
        <f t="shared" si="618"/>
        <v>0</v>
      </c>
      <c r="BM125" s="615">
        <f t="shared" si="619"/>
        <v>0</v>
      </c>
      <c r="BN125" s="615">
        <f t="shared" si="620"/>
        <v>0</v>
      </c>
      <c r="BO125" s="339"/>
      <c r="BP125" s="615">
        <f t="shared" si="621"/>
        <v>0</v>
      </c>
      <c r="BQ125" s="615">
        <f t="shared" si="622"/>
        <v>0</v>
      </c>
      <c r="BR125" s="615">
        <f t="shared" si="623"/>
        <v>0</v>
      </c>
      <c r="BS125" s="615">
        <f t="shared" si="624"/>
        <v>0</v>
      </c>
      <c r="BT125" s="615">
        <f t="shared" si="625"/>
        <v>0</v>
      </c>
      <c r="BU125" s="339"/>
      <c r="BV125" s="635">
        <f t="shared" si="626"/>
        <v>1</v>
      </c>
      <c r="BW125" s="635">
        <f t="shared" si="627"/>
        <v>0</v>
      </c>
      <c r="BX125" s="635">
        <f t="shared" si="628"/>
        <v>0</v>
      </c>
      <c r="BY125" s="364"/>
      <c r="BZ125" s="620">
        <f>COUNTIF('ST | Drawing List'!$H:$H,"ST-T6S-4")</f>
        <v>8</v>
      </c>
      <c r="CA125" s="621">
        <f>COUNTIFS('ST | Drawing List'!$H:$H,"ST-T6S-4",'ST | Drawing List'!$J:$J,1)</f>
        <v>8</v>
      </c>
      <c r="CB125" s="624">
        <f>COUNTIFS('ST | Drawing List'!$H:$H,"ST-T6S-4",'ST | Drawing List'!$L:$L,1)</f>
        <v>0</v>
      </c>
      <c r="CC125" s="621">
        <f>COUNTIFS('ST | Drawing List'!$H:$H,"ST-T6S-4",'ST | Drawing List'!M:M,1)</f>
        <v>0</v>
      </c>
      <c r="CD125" s="621">
        <f>COUNTIFS('ST | Drawing List'!$H:$H,"ST-T6S-4",'ST | Drawing List'!N:N,1)</f>
        <v>0</v>
      </c>
      <c r="CE125" s="621">
        <f>COUNTIFS('ST | Drawing List'!$H:$H,"ST-T6S-4",'ST | Drawing List'!O:O,1)</f>
        <v>0</v>
      </c>
      <c r="CF125" s="621">
        <f>COUNTIFS('ST | Drawing List'!$H:$H,"ST-T6S-4",'ST | Drawing List'!P:P,1)</f>
        <v>0</v>
      </c>
      <c r="CG125" s="541"/>
      <c r="CH125" s="624">
        <f>COUNTIFS('ST | Drawing List'!$H:$H,"ST-T6S-4",'ST | Drawing List'!$Q:$Q,1)</f>
        <v>0</v>
      </c>
      <c r="CI125" s="621">
        <f>COUNTIFS('ST | Drawing List'!$H:$H,"ST-T6S-4",'ST | Drawing List'!R:R,1)</f>
        <v>0</v>
      </c>
      <c r="CJ125" s="621">
        <f>COUNTIFS('ST | Drawing List'!$H:$H,"ST-T6S-4",'ST | Drawing List'!S:S,1)</f>
        <v>0</v>
      </c>
      <c r="CK125" s="621">
        <f>COUNTIFS('ST | Drawing List'!$H:$H,"ST-T6S-4",'ST | Drawing List'!T:T,1)</f>
        <v>0</v>
      </c>
      <c r="CL125" s="621">
        <f>COUNTIFS('ST | Drawing List'!$H:$H,"ST-T6S-4",'ST | Drawing List'!U:U,1)</f>
        <v>0</v>
      </c>
      <c r="CM125" s="368"/>
      <c r="CN125" s="368"/>
      <c r="CO125" s="554">
        <v>0.15</v>
      </c>
      <c r="CP125" s="368"/>
      <c r="CQ125" s="621">
        <f t="shared" si="629"/>
        <v>1.06704E-2</v>
      </c>
      <c r="CR125" s="622">
        <f t="shared" si="236"/>
        <v>1.06704E-2</v>
      </c>
      <c r="CS125" s="620">
        <f t="shared" si="630"/>
        <v>0</v>
      </c>
      <c r="CT125" s="615">
        <f t="shared" si="631"/>
        <v>1.06704E-2</v>
      </c>
      <c r="CU125" s="615">
        <f t="shared" si="632"/>
        <v>1.06704E-2</v>
      </c>
      <c r="CV125" s="615">
        <f t="shared" si="633"/>
        <v>0</v>
      </c>
      <c r="CW125" s="615">
        <f t="shared" si="634"/>
        <v>0</v>
      </c>
      <c r="CX125" s="615">
        <f t="shared" si="635"/>
        <v>0</v>
      </c>
      <c r="CY125" s="339"/>
      <c r="CZ125" s="615">
        <f t="shared" si="636"/>
        <v>1.06704E-2</v>
      </c>
      <c r="DA125" s="615">
        <f t="shared" si="637"/>
        <v>0</v>
      </c>
      <c r="DB125" s="615">
        <f t="shared" si="638"/>
        <v>1.06704E-2</v>
      </c>
      <c r="DC125" s="615">
        <f t="shared" si="639"/>
        <v>0</v>
      </c>
      <c r="DD125" s="615">
        <f t="shared" si="640"/>
        <v>0</v>
      </c>
      <c r="DE125" s="339"/>
      <c r="DF125" s="625">
        <f t="shared" si="641"/>
        <v>0.93333333333333335</v>
      </c>
      <c r="DG125" s="625">
        <f t="shared" si="642"/>
        <v>6.6666666666666666E-2</v>
      </c>
      <c r="DH125" s="625">
        <f t="shared" si="643"/>
        <v>6.6666666666666666E-2</v>
      </c>
      <c r="DI125" s="364"/>
      <c r="DJ125" s="620">
        <f>COUNTIF('MEP | Drawing List'!$H:$H,"MEP-T2S-6S-4")</f>
        <v>15</v>
      </c>
      <c r="DK125" s="621">
        <f>COUNTIFS('MEP | Drawing List'!$H:$H,"MEP-T2S-6S-4",'MEP | Drawing List'!$J:$J,1)</f>
        <v>14</v>
      </c>
      <c r="DL125" s="621">
        <f>COUNTIFS('MEP | Drawing List'!$H:$H,"MEP-T2S-6S-4",'MEP | Drawing List'!$L:$L,1)</f>
        <v>1</v>
      </c>
      <c r="DM125" s="620">
        <f>COUNTIFS('MEP | Drawing List'!$H:$H,"MEP-T2S-6S-4",'MEP | Drawing List'!M:M,1)</f>
        <v>1</v>
      </c>
      <c r="DN125" s="620">
        <f>COUNTIFS('MEP | Drawing List'!$H:$H,"MEP-T2S-6S-4",'MEP | Drawing List'!N:N,1)</f>
        <v>0</v>
      </c>
      <c r="DO125" s="620">
        <f>COUNTIFS('MEP | Drawing List'!$H:$H,"MEP-T2S-6S-4",'MEP | Drawing List'!O:O,1)</f>
        <v>0</v>
      </c>
      <c r="DP125" s="620">
        <f>COUNTIFS('MEP | Drawing List'!$H:$H,"MEP-T2S-6S-4",'MEP | Drawing List'!P:P,1)</f>
        <v>0</v>
      </c>
      <c r="DQ125" s="287"/>
      <c r="DR125" s="621">
        <f>COUNTIFS('MEP | Drawing List'!$H:$H,"MEP-T2S-6S-4",'MEP | Drawing List'!$Q:$Q,1)</f>
        <v>1</v>
      </c>
      <c r="DS125" s="620">
        <f>COUNTIFS('MEP | Drawing List'!$H:$H,"MEP-T2S-6S-4",'MEP | Drawing List'!R:R,1)</f>
        <v>0</v>
      </c>
      <c r="DT125" s="620">
        <f>COUNTIFS('MEP | Drawing List'!$H:$H,"MEP-T2S-6S-4",'MEP | Drawing List'!S:S,1)</f>
        <v>1</v>
      </c>
      <c r="DU125" s="620">
        <f>COUNTIFS('MEP | Drawing List'!$H:$H,"MEP-T2S-6S-4",'MEP | Drawing List'!T:T,1)</f>
        <v>0</v>
      </c>
      <c r="DV125" s="620">
        <f>COUNTIFS('MEP | Drawing List'!$H:$H,"MEP-T2S-6S-4",'MEP | Drawing List'!U:U,1)</f>
        <v>0</v>
      </c>
      <c r="DW125" s="368"/>
      <c r="DX125" s="368"/>
      <c r="DY125" s="525">
        <v>0</v>
      </c>
      <c r="DZ125" s="368"/>
      <c r="EA125" s="616">
        <f t="shared" ref="EA125:EZ125" si="657">EA79</f>
        <v>0</v>
      </c>
      <c r="EB125" s="622">
        <f t="shared" si="237"/>
        <v>0</v>
      </c>
      <c r="EC125" s="622">
        <f t="shared" si="657"/>
        <v>0</v>
      </c>
      <c r="ED125" s="622">
        <f t="shared" si="657"/>
        <v>0</v>
      </c>
      <c r="EE125" s="615">
        <f t="shared" si="657"/>
        <v>0</v>
      </c>
      <c r="EF125" s="615">
        <f t="shared" si="657"/>
        <v>0</v>
      </c>
      <c r="EG125" s="615">
        <f t="shared" si="657"/>
        <v>0</v>
      </c>
      <c r="EH125" s="615">
        <f t="shared" si="657"/>
        <v>0</v>
      </c>
      <c r="EI125" s="339"/>
      <c r="EJ125" s="620">
        <f t="shared" si="644"/>
        <v>0</v>
      </c>
      <c r="EK125" s="615">
        <f t="shared" si="645"/>
        <v>0</v>
      </c>
      <c r="EL125" s="615">
        <f t="shared" si="646"/>
        <v>0</v>
      </c>
      <c r="EM125" s="615">
        <f t="shared" si="647"/>
        <v>0</v>
      </c>
      <c r="EN125" s="615">
        <f t="shared" si="648"/>
        <v>0</v>
      </c>
      <c r="EO125" s="339"/>
      <c r="EP125" s="627">
        <f t="shared" si="649"/>
        <v>1</v>
      </c>
      <c r="EQ125" s="627">
        <f t="shared" si="650"/>
        <v>0</v>
      </c>
      <c r="ER125" s="627">
        <f t="shared" si="651"/>
        <v>0</v>
      </c>
      <c r="ES125" s="618">
        <f t="shared" si="657"/>
        <v>0</v>
      </c>
      <c r="ET125" s="615">
        <f t="shared" si="657"/>
        <v>1</v>
      </c>
      <c r="EU125" s="616">
        <f t="shared" si="657"/>
        <v>1</v>
      </c>
      <c r="EV125" s="616">
        <f t="shared" si="657"/>
        <v>0</v>
      </c>
      <c r="EW125" s="615">
        <f t="shared" si="657"/>
        <v>0</v>
      </c>
      <c r="EX125" s="615">
        <f t="shared" si="657"/>
        <v>0</v>
      </c>
      <c r="EY125" s="615">
        <f t="shared" si="657"/>
        <v>0</v>
      </c>
      <c r="EZ125" s="615">
        <f t="shared" si="657"/>
        <v>0</v>
      </c>
      <c r="FA125" s="81"/>
      <c r="FB125" s="616">
        <f t="shared" ref="FB125:FF125" si="658">FB79</f>
        <v>0</v>
      </c>
      <c r="FC125" s="615">
        <f t="shared" si="658"/>
        <v>0</v>
      </c>
      <c r="FD125" s="615">
        <f t="shared" si="658"/>
        <v>0</v>
      </c>
      <c r="FE125" s="615">
        <f t="shared" si="658"/>
        <v>0</v>
      </c>
      <c r="FF125" s="615">
        <f t="shared" si="658"/>
        <v>0</v>
      </c>
      <c r="FG125" s="89"/>
    </row>
    <row r="126" spans="1:163" ht="14.25" hidden="1" outlineLevel="2">
      <c r="A126" s="48"/>
      <c r="B126" s="90" t="s">
        <v>132</v>
      </c>
      <c r="C126" s="276">
        <v>5</v>
      </c>
      <c r="D126" s="272" t="s">
        <v>250</v>
      </c>
      <c r="E126" s="48"/>
      <c r="F126" s="619">
        <f t="shared" si="596"/>
        <v>0.11431008000000001</v>
      </c>
      <c r="G126" s="619">
        <f t="shared" si="597"/>
        <v>0.11431008000000001</v>
      </c>
      <c r="H126" s="615">
        <f t="shared" si="598"/>
        <v>0</v>
      </c>
      <c r="I126" s="615">
        <f t="shared" si="571"/>
        <v>6.2334000000000014E-2</v>
      </c>
      <c r="J126" s="615">
        <f t="shared" si="572"/>
        <v>6.2334000000000014E-2</v>
      </c>
      <c r="K126" s="615">
        <f t="shared" si="573"/>
        <v>0</v>
      </c>
      <c r="L126" s="615">
        <f t="shared" si="574"/>
        <v>0</v>
      </c>
      <c r="M126" s="620">
        <f t="shared" si="575"/>
        <v>0</v>
      </c>
      <c r="N126" s="287"/>
      <c r="O126" s="615">
        <f t="shared" si="576"/>
        <v>6.2334000000000014E-2</v>
      </c>
      <c r="P126" s="615">
        <f t="shared" si="577"/>
        <v>6.2334000000000014E-2</v>
      </c>
      <c r="Q126" s="615">
        <f t="shared" si="578"/>
        <v>0</v>
      </c>
      <c r="R126" s="615">
        <f t="shared" si="579"/>
        <v>0</v>
      </c>
      <c r="S126" s="615">
        <f t="shared" si="580"/>
        <v>0</v>
      </c>
      <c r="T126" s="48"/>
      <c r="U126" s="519">
        <v>0.05</v>
      </c>
      <c r="V126" s="131"/>
      <c r="W126" s="619">
        <f t="shared" si="599"/>
        <v>6.2334000000000014E-2</v>
      </c>
      <c r="X126" s="619">
        <f t="shared" si="234"/>
        <v>6.2334000000000014E-2</v>
      </c>
      <c r="Y126" s="615">
        <f t="shared" si="600"/>
        <v>0</v>
      </c>
      <c r="Z126" s="615">
        <f t="shared" si="601"/>
        <v>6.2334000000000014E-2</v>
      </c>
      <c r="AA126" s="615">
        <f t="shared" si="602"/>
        <v>6.2334000000000014E-2</v>
      </c>
      <c r="AB126" s="615">
        <f t="shared" si="603"/>
        <v>0</v>
      </c>
      <c r="AC126" s="615">
        <f t="shared" si="604"/>
        <v>0</v>
      </c>
      <c r="AD126" s="620">
        <f t="shared" si="605"/>
        <v>0</v>
      </c>
      <c r="AE126" s="287"/>
      <c r="AF126" s="615">
        <f t="shared" si="606"/>
        <v>6.2334000000000014E-2</v>
      </c>
      <c r="AG126" s="615">
        <f t="shared" si="607"/>
        <v>6.2334000000000014E-2</v>
      </c>
      <c r="AH126" s="615">
        <f t="shared" si="608"/>
        <v>0</v>
      </c>
      <c r="AI126" s="615">
        <f t="shared" si="609"/>
        <v>0</v>
      </c>
      <c r="AJ126" s="615">
        <f t="shared" si="610"/>
        <v>0</v>
      </c>
      <c r="AK126" s="339"/>
      <c r="AL126" s="625">
        <f t="shared" si="611"/>
        <v>0</v>
      </c>
      <c r="AM126" s="625">
        <f t="shared" si="612"/>
        <v>1</v>
      </c>
      <c r="AN126" s="625">
        <f t="shared" si="613"/>
        <v>1</v>
      </c>
      <c r="AO126" s="345"/>
      <c r="AP126" s="615">
        <f>COUNTIF('AR | Drawing List'!$H:$H,"AR-T6S-5")</f>
        <v>4</v>
      </c>
      <c r="AQ126" s="616">
        <f>COUNTIFS('AR | Drawing List'!$H:$H,"AR-T6S-5",'AR | Drawing List'!$J:$J,1)</f>
        <v>0</v>
      </c>
      <c r="AR126" s="616">
        <f t="shared" si="238"/>
        <v>4</v>
      </c>
      <c r="AS126" s="616">
        <f>COUNTIFS('AR | Drawing List'!$H:$H,"AR-T6S-5",'AR | Drawing List'!M:M,1)</f>
        <v>4</v>
      </c>
      <c r="AT126" s="616">
        <f>COUNTIFS('AR | Drawing List'!$H:$H,"AR-T6S-5",'AR | Drawing List'!N:N,1)</f>
        <v>0</v>
      </c>
      <c r="AU126" s="616">
        <f>COUNTIFS('AR | Drawing List'!$H:$H,"AR-T6S-5",'AR | Drawing List'!O:O,1)</f>
        <v>0</v>
      </c>
      <c r="AV126" s="616">
        <f>COUNTIFS('AR | Drawing List'!$H:$H,"AR-T6S-5",'AR | Drawing List'!P:P,1)</f>
        <v>0</v>
      </c>
      <c r="AW126" s="328"/>
      <c r="AX126" s="616">
        <f t="shared" si="540"/>
        <v>4</v>
      </c>
      <c r="AY126" s="616">
        <f>COUNTIFS('AR | Drawing List'!$H:$H,"AR-T6S-5",'AR | Drawing List'!R:R,1)</f>
        <v>4</v>
      </c>
      <c r="AZ126" s="616">
        <f>COUNTIFS('AR | Drawing List'!$H:$H,"AR-T6S-5",'AR | Drawing List'!S:S,1)</f>
        <v>0</v>
      </c>
      <c r="BA126" s="616">
        <f>COUNTIFS('AR | Drawing List'!$H:$H,"AR-T6S-5",'AR | Drawing List'!T:T,1)</f>
        <v>0</v>
      </c>
      <c r="BB126" s="616">
        <f>COUNTIFS('AR | Drawing List'!$H:$H,"AR-T6S-5",'AR | Drawing List'!U:U,1)</f>
        <v>0</v>
      </c>
      <c r="BC126" s="359"/>
      <c r="BD126" s="359"/>
      <c r="BE126" s="525">
        <v>0.1</v>
      </c>
      <c r="BF126" s="343"/>
      <c r="BG126" s="616">
        <f t="shared" si="614"/>
        <v>5.1976079999999994E-2</v>
      </c>
      <c r="BH126" s="618">
        <f t="shared" si="235"/>
        <v>5.1976079999999994E-2</v>
      </c>
      <c r="BI126" s="615">
        <f t="shared" si="615"/>
        <v>5.1976079999999994E-2</v>
      </c>
      <c r="BJ126" s="615">
        <f t="shared" si="616"/>
        <v>0</v>
      </c>
      <c r="BK126" s="615">
        <f t="shared" si="617"/>
        <v>0</v>
      </c>
      <c r="BL126" s="615">
        <f t="shared" si="618"/>
        <v>0</v>
      </c>
      <c r="BM126" s="615">
        <f t="shared" si="619"/>
        <v>0</v>
      </c>
      <c r="BN126" s="615">
        <f t="shared" si="620"/>
        <v>0</v>
      </c>
      <c r="BO126" s="339"/>
      <c r="BP126" s="615">
        <f t="shared" si="621"/>
        <v>0</v>
      </c>
      <c r="BQ126" s="615">
        <f t="shared" si="622"/>
        <v>0</v>
      </c>
      <c r="BR126" s="615">
        <f t="shared" si="623"/>
        <v>0</v>
      </c>
      <c r="BS126" s="615">
        <f t="shared" si="624"/>
        <v>0</v>
      </c>
      <c r="BT126" s="615">
        <f t="shared" si="625"/>
        <v>0</v>
      </c>
      <c r="BU126" s="339"/>
      <c r="BV126" s="635">
        <f t="shared" si="626"/>
        <v>1</v>
      </c>
      <c r="BW126" s="635">
        <f t="shared" si="627"/>
        <v>0</v>
      </c>
      <c r="BX126" s="635">
        <f t="shared" si="628"/>
        <v>0</v>
      </c>
      <c r="BY126" s="345"/>
      <c r="BZ126" s="615">
        <f>COUNTIF('ST | Drawing List'!$H:$H,"ST-T6S-5")</f>
        <v>17</v>
      </c>
      <c r="CA126" s="616">
        <f>COUNTIFS('ST | Drawing List'!$H:$H,"ST-T6S-5",'ST | Drawing List'!$J:$J,1)</f>
        <v>17</v>
      </c>
      <c r="CB126" s="623">
        <f>COUNTIFS('ST | Drawing List'!$H:$H,"ST-T6S-5",'ST | Drawing List'!$L:$L,1)</f>
        <v>0</v>
      </c>
      <c r="CC126" s="616">
        <f>COUNTIFS('ST | Drawing List'!$H:$H,"ST-T6S-5",'ST | Drawing List'!M:M,1)</f>
        <v>0</v>
      </c>
      <c r="CD126" s="616">
        <f>COUNTIFS('ST | Drawing List'!$H:$H,"ST-T6S-5",'ST | Drawing List'!N:N,1)</f>
        <v>0</v>
      </c>
      <c r="CE126" s="616">
        <f>COUNTIFS('ST | Drawing List'!$H:$H,"ST-T6S-5",'ST | Drawing List'!O:O,1)</f>
        <v>0</v>
      </c>
      <c r="CF126" s="616">
        <f>COUNTIFS('ST | Drawing List'!$H:$H,"ST-T6S-5",'ST | Drawing List'!P:P,1)</f>
        <v>0</v>
      </c>
      <c r="CG126" s="532"/>
      <c r="CH126" s="623">
        <f>COUNTIFS('ST | Drawing List'!$H:$H,"ST-T6S-5",'ST | Drawing List'!$Q:$Q,1)</f>
        <v>0</v>
      </c>
      <c r="CI126" s="616">
        <f>COUNTIFS('ST | Drawing List'!$H:$H,"ST-T6S-5",'ST | Drawing List'!R:R,1)</f>
        <v>0</v>
      </c>
      <c r="CJ126" s="616">
        <f>COUNTIFS('ST | Drawing List'!$H:$H,"ST-T6S-5",'ST | Drawing List'!S:S,1)</f>
        <v>0</v>
      </c>
      <c r="CK126" s="616">
        <f>COUNTIFS('ST | Drawing List'!$H:$H,"ST-T6S-5",'ST | Drawing List'!T:T,1)</f>
        <v>0</v>
      </c>
      <c r="CL126" s="616">
        <f>COUNTIFS('ST | Drawing List'!$H:$H,"ST-T6S-5",'ST | Drawing List'!U:U,1)</f>
        <v>0</v>
      </c>
      <c r="CM126" s="343"/>
      <c r="CN126" s="343"/>
      <c r="CO126" s="666">
        <v>0</v>
      </c>
      <c r="CP126" s="343"/>
      <c r="CQ126" s="616">
        <f t="shared" si="629"/>
        <v>0</v>
      </c>
      <c r="CR126" s="618">
        <f t="shared" si="236"/>
        <v>0</v>
      </c>
      <c r="CS126" s="615">
        <f t="shared" si="630"/>
        <v>0</v>
      </c>
      <c r="CT126" s="615">
        <f t="shared" si="631"/>
        <v>0</v>
      </c>
      <c r="CU126" s="615">
        <f t="shared" si="632"/>
        <v>0</v>
      </c>
      <c r="CV126" s="615">
        <f t="shared" si="633"/>
        <v>0</v>
      </c>
      <c r="CW126" s="615">
        <f t="shared" si="634"/>
        <v>0</v>
      </c>
      <c r="CX126" s="615">
        <f t="shared" si="635"/>
        <v>0</v>
      </c>
      <c r="CY126" s="339"/>
      <c r="CZ126" s="615">
        <f t="shared" si="636"/>
        <v>0</v>
      </c>
      <c r="DA126" s="615">
        <f t="shared" si="637"/>
        <v>0</v>
      </c>
      <c r="DB126" s="615">
        <f t="shared" si="638"/>
        <v>0</v>
      </c>
      <c r="DC126" s="615">
        <f t="shared" si="639"/>
        <v>0</v>
      </c>
      <c r="DD126" s="615">
        <f t="shared" si="640"/>
        <v>0</v>
      </c>
      <c r="DE126" s="339"/>
      <c r="DF126" s="625">
        <f t="shared" si="641"/>
        <v>1</v>
      </c>
      <c r="DG126" s="625">
        <f t="shared" si="642"/>
        <v>0</v>
      </c>
      <c r="DH126" s="625">
        <f t="shared" si="643"/>
        <v>0</v>
      </c>
      <c r="DI126" s="345"/>
      <c r="DJ126" s="615">
        <f>COUNTIF('MEP | Drawing List'!$H:$H,"MEP-T2S-6S-5")</f>
        <v>41</v>
      </c>
      <c r="DK126" s="616">
        <f>COUNTIFS('MEP | Drawing List'!$H:$H,"MEP-T2S-6S-5",'MEP | Drawing List'!$J:$J,1)</f>
        <v>41</v>
      </c>
      <c r="DL126" s="616">
        <f>COUNTIFS('MEP | Drawing List'!$H:$H,"MEP-T2S-6S-5",'MEP | Drawing List'!$L:$L,1)</f>
        <v>0</v>
      </c>
      <c r="DM126" s="615">
        <f>COUNTIFS('MEP | Drawing List'!$H:$H,"MEP-T2S-6S-5",'MEP | Drawing List'!M:M,1)</f>
        <v>0</v>
      </c>
      <c r="DN126" s="615">
        <f>COUNTIFS('MEP | Drawing List'!$H:$H,"MEP-T2S-6S-5",'MEP | Drawing List'!N:N,1)</f>
        <v>0</v>
      </c>
      <c r="DO126" s="615">
        <f>COUNTIFS('MEP | Drawing List'!$H:$H,"MEP-T2S-6S-5",'MEP | Drawing List'!O:O,1)</f>
        <v>0</v>
      </c>
      <c r="DP126" s="615">
        <f>COUNTIFS('MEP | Drawing List'!$H:$H,"MEP-T2S-6S-5",'MEP | Drawing List'!P:P,1)</f>
        <v>0</v>
      </c>
      <c r="DQ126" s="339"/>
      <c r="DR126" s="616">
        <f>COUNTIFS('MEP | Drawing List'!$H:$H,"MEP-T2S-6S-5",'MEP | Drawing List'!$Q:$Q,1)</f>
        <v>0</v>
      </c>
      <c r="DS126" s="615">
        <f>COUNTIFS('MEP | Drawing List'!$H:$H,"MEP-T2S-6S-5",'MEP | Drawing List'!R:R,1)</f>
        <v>0</v>
      </c>
      <c r="DT126" s="615">
        <f>COUNTIFS('MEP | Drawing List'!$H:$H,"MEP-T2S-6S-5",'MEP | Drawing List'!S:S,1)</f>
        <v>0</v>
      </c>
      <c r="DU126" s="615">
        <f>COUNTIFS('MEP | Drawing List'!$H:$H,"MEP-T2S-6S-5",'MEP | Drawing List'!T:T,1)</f>
        <v>0</v>
      </c>
      <c r="DV126" s="615">
        <f>COUNTIFS('MEP | Drawing List'!$H:$H,"MEP-T2S-6S-5",'MEP | Drawing List'!U:U,1)</f>
        <v>0</v>
      </c>
      <c r="DW126" s="343"/>
      <c r="DX126" s="343"/>
      <c r="DY126" s="554">
        <v>0</v>
      </c>
      <c r="DZ126" s="343"/>
      <c r="EA126" s="621">
        <f t="shared" ref="EA126:EZ126" si="659">EA80</f>
        <v>0</v>
      </c>
      <c r="EB126" s="618">
        <f t="shared" si="237"/>
        <v>0</v>
      </c>
      <c r="EC126" s="618">
        <f t="shared" si="659"/>
        <v>0</v>
      </c>
      <c r="ED126" s="618">
        <f t="shared" si="659"/>
        <v>0</v>
      </c>
      <c r="EE126" s="615">
        <f t="shared" si="659"/>
        <v>0</v>
      </c>
      <c r="EF126" s="615">
        <f t="shared" si="659"/>
        <v>0</v>
      </c>
      <c r="EG126" s="615">
        <f t="shared" si="659"/>
        <v>0</v>
      </c>
      <c r="EH126" s="615">
        <f t="shared" si="659"/>
        <v>0</v>
      </c>
      <c r="EI126" s="339"/>
      <c r="EJ126" s="620">
        <f t="shared" si="644"/>
        <v>0</v>
      </c>
      <c r="EK126" s="615">
        <f t="shared" si="645"/>
        <v>0</v>
      </c>
      <c r="EL126" s="615">
        <f t="shared" si="646"/>
        <v>0</v>
      </c>
      <c r="EM126" s="615">
        <f t="shared" si="647"/>
        <v>0</v>
      </c>
      <c r="EN126" s="615">
        <f t="shared" si="648"/>
        <v>0</v>
      </c>
      <c r="EO126" s="339"/>
      <c r="EP126" s="627">
        <f t="shared" si="649"/>
        <v>0</v>
      </c>
      <c r="EQ126" s="627">
        <f t="shared" si="650"/>
        <v>0</v>
      </c>
      <c r="ER126" s="627">
        <f t="shared" si="651"/>
        <v>0</v>
      </c>
      <c r="ES126" s="622">
        <f t="shared" si="659"/>
        <v>0</v>
      </c>
      <c r="ET126" s="620">
        <f t="shared" si="659"/>
        <v>0</v>
      </c>
      <c r="EU126" s="621">
        <f t="shared" si="659"/>
        <v>0</v>
      </c>
      <c r="EV126" s="621">
        <f t="shared" si="659"/>
        <v>0</v>
      </c>
      <c r="EW126" s="620">
        <f t="shared" si="659"/>
        <v>0</v>
      </c>
      <c r="EX126" s="620">
        <f t="shared" si="659"/>
        <v>0</v>
      </c>
      <c r="EY126" s="620">
        <f t="shared" si="659"/>
        <v>0</v>
      </c>
      <c r="EZ126" s="620">
        <f t="shared" si="659"/>
        <v>0</v>
      </c>
      <c r="FA126" s="91"/>
      <c r="FB126" s="621">
        <f t="shared" ref="FB126:FF126" si="660">FB80</f>
        <v>0</v>
      </c>
      <c r="FC126" s="620">
        <f t="shared" si="660"/>
        <v>0</v>
      </c>
      <c r="FD126" s="620">
        <f t="shared" si="660"/>
        <v>0</v>
      </c>
      <c r="FE126" s="620">
        <f t="shared" si="660"/>
        <v>0</v>
      </c>
      <c r="FF126" s="620">
        <f t="shared" si="660"/>
        <v>0</v>
      </c>
      <c r="FG126" s="48"/>
    </row>
    <row r="127" spans="1:163" ht="14.25" hidden="1" outlineLevel="2">
      <c r="A127" s="48"/>
      <c r="B127" s="90" t="s">
        <v>133</v>
      </c>
      <c r="C127" s="276">
        <v>6</v>
      </c>
      <c r="D127" s="272" t="s">
        <v>64</v>
      </c>
      <c r="E127" s="48"/>
      <c r="F127" s="619">
        <f t="shared" si="596"/>
        <v>0.14143460000000002</v>
      </c>
      <c r="G127" s="619">
        <f t="shared" si="597"/>
        <v>0.14143460000000002</v>
      </c>
      <c r="H127" s="615">
        <f t="shared" si="598"/>
        <v>0</v>
      </c>
      <c r="I127" s="615">
        <f t="shared" si="571"/>
        <v>0.12466800000000003</v>
      </c>
      <c r="J127" s="615">
        <f t="shared" si="572"/>
        <v>0.12466800000000003</v>
      </c>
      <c r="K127" s="615">
        <f t="shared" si="573"/>
        <v>0</v>
      </c>
      <c r="L127" s="615">
        <f t="shared" si="574"/>
        <v>0</v>
      </c>
      <c r="M127" s="620">
        <f t="shared" si="575"/>
        <v>0</v>
      </c>
      <c r="N127" s="287"/>
      <c r="O127" s="615">
        <f t="shared" si="576"/>
        <v>0.12466800000000003</v>
      </c>
      <c r="P127" s="615">
        <f t="shared" si="577"/>
        <v>0.12466800000000003</v>
      </c>
      <c r="Q127" s="615">
        <f t="shared" si="578"/>
        <v>0</v>
      </c>
      <c r="R127" s="615">
        <f t="shared" si="579"/>
        <v>0</v>
      </c>
      <c r="S127" s="615">
        <f t="shared" si="580"/>
        <v>0</v>
      </c>
      <c r="T127" s="48"/>
      <c r="U127" s="519">
        <v>0.1</v>
      </c>
      <c r="V127" s="131"/>
      <c r="W127" s="619">
        <f t="shared" si="599"/>
        <v>0.12466800000000003</v>
      </c>
      <c r="X127" s="619">
        <f t="shared" si="234"/>
        <v>0.12466800000000003</v>
      </c>
      <c r="Y127" s="616">
        <f t="shared" si="600"/>
        <v>0</v>
      </c>
      <c r="Z127" s="616">
        <f t="shared" si="601"/>
        <v>0.12466800000000003</v>
      </c>
      <c r="AA127" s="616">
        <f t="shared" si="602"/>
        <v>0.12466800000000003</v>
      </c>
      <c r="AB127" s="616">
        <f t="shared" si="603"/>
        <v>0</v>
      </c>
      <c r="AC127" s="616">
        <f t="shared" si="604"/>
        <v>0</v>
      </c>
      <c r="AD127" s="620">
        <f t="shared" si="605"/>
        <v>0</v>
      </c>
      <c r="AE127" s="287"/>
      <c r="AF127" s="615">
        <f t="shared" si="606"/>
        <v>0.12466800000000003</v>
      </c>
      <c r="AG127" s="615">
        <f t="shared" si="607"/>
        <v>0.12466800000000003</v>
      </c>
      <c r="AH127" s="615">
        <f t="shared" si="608"/>
        <v>0</v>
      </c>
      <c r="AI127" s="615">
        <f t="shared" si="609"/>
        <v>0</v>
      </c>
      <c r="AJ127" s="615">
        <f t="shared" si="610"/>
        <v>0</v>
      </c>
      <c r="AK127" s="339"/>
      <c r="AL127" s="626">
        <f t="shared" si="611"/>
        <v>0</v>
      </c>
      <c r="AM127" s="626">
        <f t="shared" si="612"/>
        <v>1</v>
      </c>
      <c r="AN127" s="625">
        <f t="shared" si="613"/>
        <v>1</v>
      </c>
      <c r="AO127" s="345"/>
      <c r="AP127" s="615">
        <f>COUNTIF('AR | Drawing List'!$H:$H,"AR-T6S-6")</f>
        <v>26</v>
      </c>
      <c r="AQ127" s="616">
        <f>COUNTIFS('AR | Drawing List'!$H:$H,"AR-T6S-6",'AR | Drawing List'!$J:$J,1)</f>
        <v>0</v>
      </c>
      <c r="AR127" s="616">
        <f t="shared" si="238"/>
        <v>26</v>
      </c>
      <c r="AS127" s="616">
        <f>COUNTIFS('AR | Drawing List'!$H:$H,"AR-T6S-6",'AR | Drawing List'!M:M,1)</f>
        <v>26</v>
      </c>
      <c r="AT127" s="616">
        <f>COUNTIFS('AR | Drawing List'!$H:$H,"AR-T6S-6",'AR | Drawing List'!N:N,1)</f>
        <v>0</v>
      </c>
      <c r="AU127" s="616">
        <f>COUNTIFS('AR | Drawing List'!$H:$H,"AR-T6S-6",'AR | Drawing List'!O:O,1)</f>
        <v>0</v>
      </c>
      <c r="AV127" s="616">
        <f>COUNTIFS('AR | Drawing List'!$H:$H,"AR-T6S-6",'AR | Drawing List'!P:P,1)</f>
        <v>0</v>
      </c>
      <c r="AW127" s="328"/>
      <c r="AX127" s="616">
        <f t="shared" si="540"/>
        <v>26</v>
      </c>
      <c r="AY127" s="616">
        <f>COUNTIFS('AR | Drawing List'!$H:$H,"AR-T6S-6",'AR | Drawing List'!R:R,1)</f>
        <v>26</v>
      </c>
      <c r="AZ127" s="616">
        <f>COUNTIFS('AR | Drawing List'!$H:$H,"AR-T6S-6",'AR | Drawing List'!S:S,1)</f>
        <v>0</v>
      </c>
      <c r="BA127" s="616">
        <f>COUNTIFS('AR | Drawing List'!$H:$H,"AR-T6S-6",'AR | Drawing List'!T:T,1)</f>
        <v>0</v>
      </c>
      <c r="BB127" s="616">
        <f>COUNTIFS('AR | Drawing List'!$H:$H,"AR-T6S-6",'AR | Drawing List'!U:U,1)</f>
        <v>0</v>
      </c>
      <c r="BC127" s="359"/>
      <c r="BD127" s="359"/>
      <c r="BE127" s="666">
        <v>0</v>
      </c>
      <c r="BF127" s="343"/>
      <c r="BG127" s="616">
        <f t="shared" si="614"/>
        <v>0</v>
      </c>
      <c r="BH127" s="618">
        <f t="shared" si="235"/>
        <v>0</v>
      </c>
      <c r="BI127" s="616">
        <f t="shared" si="615"/>
        <v>0</v>
      </c>
      <c r="BJ127" s="616">
        <f t="shared" si="616"/>
        <v>0</v>
      </c>
      <c r="BK127" s="616">
        <f t="shared" si="617"/>
        <v>0</v>
      </c>
      <c r="BL127" s="616">
        <f t="shared" si="618"/>
        <v>0</v>
      </c>
      <c r="BM127" s="616">
        <f t="shared" si="619"/>
        <v>0</v>
      </c>
      <c r="BN127" s="616">
        <f t="shared" si="620"/>
        <v>0</v>
      </c>
      <c r="BO127" s="348"/>
      <c r="BP127" s="615">
        <f t="shared" si="621"/>
        <v>0</v>
      </c>
      <c r="BQ127" s="615">
        <f t="shared" si="622"/>
        <v>0</v>
      </c>
      <c r="BR127" s="615">
        <f t="shared" si="623"/>
        <v>0</v>
      </c>
      <c r="BS127" s="615">
        <f t="shared" si="624"/>
        <v>0</v>
      </c>
      <c r="BT127" s="615">
        <f t="shared" si="625"/>
        <v>0</v>
      </c>
      <c r="BU127" s="339"/>
      <c r="BV127" s="635">
        <f t="shared" si="626"/>
        <v>0</v>
      </c>
      <c r="BW127" s="635">
        <f t="shared" si="627"/>
        <v>0</v>
      </c>
      <c r="BX127" s="635">
        <f t="shared" si="628"/>
        <v>0</v>
      </c>
      <c r="BY127" s="345"/>
      <c r="BZ127" s="615">
        <f>COUNTIF('ST | Drawing List'!$H:$H,"ST-T6S-6")</f>
        <v>0</v>
      </c>
      <c r="CA127" s="616">
        <f>COUNTIFS('ST | Drawing List'!$H:$H,"ST-T6S-6",'ST | Drawing List'!$J:$J,1)</f>
        <v>0</v>
      </c>
      <c r="CB127" s="616">
        <f>COUNTIFS('ST | Drawing List'!$H:$H,"ST-T6S-6",'ST | Drawing List'!$L:$L,1)</f>
        <v>0</v>
      </c>
      <c r="CC127" s="616">
        <f>COUNTIFS('ST | Drawing List'!$H:$H,"ST-T6S-6",'ST | Drawing List'!M:M,1)</f>
        <v>0</v>
      </c>
      <c r="CD127" s="616">
        <f>COUNTIFS('ST | Drawing List'!$H:$H,"ST-T6S-6",'ST | Drawing List'!N:N,1)</f>
        <v>0</v>
      </c>
      <c r="CE127" s="616">
        <f>COUNTIFS('ST | Drawing List'!$H:$H,"ST-T6S-6",'ST | Drawing List'!O:O,1)</f>
        <v>0</v>
      </c>
      <c r="CF127" s="616">
        <f>COUNTIFS('ST | Drawing List'!$H:$H,"ST-T6S-6",'ST | Drawing List'!P:P,1)</f>
        <v>0</v>
      </c>
      <c r="CG127" s="532"/>
      <c r="CH127" s="616">
        <f>COUNTIFS('ST | Drawing List'!$H:$H,"ST-T6S-6",'ST | Drawing List'!$Q:$Q,1)</f>
        <v>0</v>
      </c>
      <c r="CI127" s="616">
        <f>COUNTIFS('ST | Drawing List'!$H:$H,"ST-T6S-6",'ST | Drawing List'!R:R,1)</f>
        <v>0</v>
      </c>
      <c r="CJ127" s="616">
        <f>COUNTIFS('ST | Drawing List'!$H:$H,"ST-T6S-6",'ST | Drawing List'!S:S,1)</f>
        <v>0</v>
      </c>
      <c r="CK127" s="616">
        <f>COUNTIFS('ST | Drawing List'!$H:$H,"ST-T6S-6",'ST | Drawing List'!T:T,1)</f>
        <v>0</v>
      </c>
      <c r="CL127" s="616">
        <f>COUNTIFS('ST | Drawing List'!$H:$H,"ST-T6S-6",'ST | Drawing List'!U:U,1)</f>
        <v>0</v>
      </c>
      <c r="CM127" s="343"/>
      <c r="CN127" s="343"/>
      <c r="CO127" s="523">
        <v>0.1</v>
      </c>
      <c r="CP127" s="343"/>
      <c r="CQ127" s="616">
        <f t="shared" si="629"/>
        <v>7.1136000000000012E-3</v>
      </c>
      <c r="CR127" s="618">
        <f t="shared" si="236"/>
        <v>7.1136000000000012E-3</v>
      </c>
      <c r="CS127" s="616">
        <f t="shared" si="630"/>
        <v>7.1136000000000012E-3</v>
      </c>
      <c r="CT127" s="615">
        <f t="shared" si="631"/>
        <v>0</v>
      </c>
      <c r="CU127" s="615">
        <f t="shared" si="632"/>
        <v>0</v>
      </c>
      <c r="CV127" s="615">
        <f t="shared" si="633"/>
        <v>0</v>
      </c>
      <c r="CW127" s="615">
        <f t="shared" si="634"/>
        <v>0</v>
      </c>
      <c r="CX127" s="615">
        <f t="shared" si="635"/>
        <v>0</v>
      </c>
      <c r="CY127" s="339"/>
      <c r="CZ127" s="615">
        <f t="shared" si="636"/>
        <v>0</v>
      </c>
      <c r="DA127" s="615">
        <f t="shared" si="637"/>
        <v>0</v>
      </c>
      <c r="DB127" s="615">
        <f t="shared" si="638"/>
        <v>0</v>
      </c>
      <c r="DC127" s="615">
        <f t="shared" si="639"/>
        <v>0</v>
      </c>
      <c r="DD127" s="615">
        <f t="shared" si="640"/>
        <v>0</v>
      </c>
      <c r="DE127" s="339"/>
      <c r="DF127" s="625">
        <f t="shared" si="641"/>
        <v>1</v>
      </c>
      <c r="DG127" s="625">
        <f t="shared" si="642"/>
        <v>0</v>
      </c>
      <c r="DH127" s="625">
        <f t="shared" si="643"/>
        <v>0</v>
      </c>
      <c r="DI127" s="345"/>
      <c r="DJ127" s="615">
        <f>COUNTIF('MEP | Drawing List'!$H:$H,"MEP-T2S-6S-6")</f>
        <v>1</v>
      </c>
      <c r="DK127" s="616">
        <f>COUNTIFS('MEP | Drawing List'!$H:$H,"MEP-T2S-6S-6",'MEP | Drawing List'!$J:$J,1)</f>
        <v>1</v>
      </c>
      <c r="DL127" s="616">
        <f>COUNTIFS('MEP | Drawing List'!$H:$H,"MEP-T2S-6S-6",'MEP | Drawing List'!$L:$L,1)</f>
        <v>0</v>
      </c>
      <c r="DM127" s="616">
        <f>COUNTIFS('MEP | Drawing List'!$H:$H,"MEP-T2S-6S-6",'MEP | Drawing List'!M:M,1)</f>
        <v>0</v>
      </c>
      <c r="DN127" s="616">
        <f>COUNTIFS('MEP | Drawing List'!$H:$H,"MEP-T2S-6S-6",'MEP | Drawing List'!N:N,1)</f>
        <v>0</v>
      </c>
      <c r="DO127" s="616">
        <f>COUNTIFS('MEP | Drawing List'!$H:$H,"MEP-T2S-6S-6",'MEP | Drawing List'!O:O,1)</f>
        <v>0</v>
      </c>
      <c r="DP127" s="616">
        <f>COUNTIFS('MEP | Drawing List'!$H:$H,"MEP-T2S-6S-6",'MEP | Drawing List'!P:P,1)</f>
        <v>0</v>
      </c>
      <c r="DQ127" s="348"/>
      <c r="DR127" s="616">
        <f>COUNTIFS('MEP | Drawing List'!$H:$H,"MEP-T2S-6S-6",'MEP | Drawing List'!$Q:$Q,1)</f>
        <v>0</v>
      </c>
      <c r="DS127" s="616">
        <f>COUNTIFS('MEP | Drawing List'!$H:$H,"MEP-T2S-6S-6",'MEP | Drawing List'!R:R,1)</f>
        <v>0</v>
      </c>
      <c r="DT127" s="616">
        <f>COUNTIFS('MEP | Drawing List'!$H:$H,"MEP-T2S-6S-6",'MEP | Drawing List'!S:S,1)</f>
        <v>0</v>
      </c>
      <c r="DU127" s="616">
        <f>COUNTIFS('MEP | Drawing List'!$H:$H,"MEP-T2S-6S-6",'MEP | Drawing List'!T:T,1)</f>
        <v>0</v>
      </c>
      <c r="DV127" s="616">
        <f>COUNTIFS('MEP | Drawing List'!$H:$H,"MEP-T2S-6S-6",'MEP | Drawing List'!U:U,1)</f>
        <v>0</v>
      </c>
      <c r="DW127" s="343"/>
      <c r="DX127" s="343"/>
      <c r="DY127" s="523">
        <v>0.35</v>
      </c>
      <c r="DZ127" s="343"/>
      <c r="EA127" s="616">
        <f t="shared" ref="EA127:EZ127" si="661">EA81</f>
        <v>9.6530000000000001E-3</v>
      </c>
      <c r="EB127" s="618">
        <f t="shared" si="237"/>
        <v>9.6530000000000001E-3</v>
      </c>
      <c r="EC127" s="618">
        <f t="shared" si="661"/>
        <v>9.6530000000000001E-3</v>
      </c>
      <c r="ED127" s="618">
        <f t="shared" si="661"/>
        <v>0</v>
      </c>
      <c r="EE127" s="616">
        <f t="shared" si="661"/>
        <v>0</v>
      </c>
      <c r="EF127" s="616">
        <f t="shared" si="661"/>
        <v>0</v>
      </c>
      <c r="EG127" s="616">
        <f t="shared" si="661"/>
        <v>0</v>
      </c>
      <c r="EH127" s="616">
        <f t="shared" si="661"/>
        <v>0</v>
      </c>
      <c r="EI127" s="348"/>
      <c r="EJ127" s="620">
        <f t="shared" si="644"/>
        <v>0</v>
      </c>
      <c r="EK127" s="615">
        <f t="shared" si="645"/>
        <v>0</v>
      </c>
      <c r="EL127" s="615">
        <f t="shared" si="646"/>
        <v>0</v>
      </c>
      <c r="EM127" s="615">
        <f t="shared" si="647"/>
        <v>0</v>
      </c>
      <c r="EN127" s="615">
        <f t="shared" si="648"/>
        <v>0</v>
      </c>
      <c r="EO127" s="339"/>
      <c r="EP127" s="627">
        <f t="shared" si="649"/>
        <v>1</v>
      </c>
      <c r="EQ127" s="627">
        <f t="shared" si="650"/>
        <v>0</v>
      </c>
      <c r="ER127" s="627">
        <f t="shared" si="651"/>
        <v>0</v>
      </c>
      <c r="ES127" s="618">
        <f t="shared" si="661"/>
        <v>0</v>
      </c>
      <c r="ET127" s="615">
        <f t="shared" si="661"/>
        <v>9</v>
      </c>
      <c r="EU127" s="616">
        <f t="shared" si="661"/>
        <v>9</v>
      </c>
      <c r="EV127" s="616">
        <f t="shared" si="661"/>
        <v>0</v>
      </c>
      <c r="EW127" s="616">
        <f t="shared" si="661"/>
        <v>0</v>
      </c>
      <c r="EX127" s="616">
        <f t="shared" si="661"/>
        <v>0</v>
      </c>
      <c r="EY127" s="616">
        <f t="shared" si="661"/>
        <v>0</v>
      </c>
      <c r="EZ127" s="616">
        <f t="shared" si="661"/>
        <v>0</v>
      </c>
      <c r="FA127" s="85"/>
      <c r="FB127" s="616">
        <f t="shared" ref="FB127:FF127" si="662">FB81</f>
        <v>0</v>
      </c>
      <c r="FC127" s="616">
        <f t="shared" si="662"/>
        <v>0</v>
      </c>
      <c r="FD127" s="616">
        <f t="shared" si="662"/>
        <v>0</v>
      </c>
      <c r="FE127" s="616">
        <f t="shared" si="662"/>
        <v>0</v>
      </c>
      <c r="FF127" s="616">
        <f t="shared" si="662"/>
        <v>0</v>
      </c>
      <c r="FG127" s="48"/>
    </row>
    <row r="128" spans="1:163" s="95" customFormat="1" ht="14.25" hidden="1" outlineLevel="2">
      <c r="A128" s="89"/>
      <c r="B128" s="90" t="s">
        <v>134</v>
      </c>
      <c r="C128" s="276">
        <v>7</v>
      </c>
      <c r="D128" s="273" t="s">
        <v>67</v>
      </c>
      <c r="E128" s="89"/>
      <c r="F128" s="619">
        <f t="shared" si="596"/>
        <v>0.12498048</v>
      </c>
      <c r="G128" s="619">
        <f t="shared" si="597"/>
        <v>0.12498048</v>
      </c>
      <c r="H128" s="615">
        <f t="shared" si="598"/>
        <v>0</v>
      </c>
      <c r="I128" s="615">
        <f t="shared" si="571"/>
        <v>6.2334000000000014E-2</v>
      </c>
      <c r="J128" s="615">
        <f t="shared" si="572"/>
        <v>6.2334000000000014E-2</v>
      </c>
      <c r="K128" s="615">
        <f t="shared" si="573"/>
        <v>0</v>
      </c>
      <c r="L128" s="615">
        <f t="shared" si="574"/>
        <v>0</v>
      </c>
      <c r="M128" s="620">
        <f t="shared" si="575"/>
        <v>0</v>
      </c>
      <c r="N128" s="287"/>
      <c r="O128" s="615">
        <f t="shared" si="576"/>
        <v>6.2334000000000014E-2</v>
      </c>
      <c r="P128" s="615">
        <f t="shared" si="577"/>
        <v>6.2334000000000014E-2</v>
      </c>
      <c r="Q128" s="615">
        <f t="shared" si="578"/>
        <v>0</v>
      </c>
      <c r="R128" s="615">
        <f t="shared" si="579"/>
        <v>0</v>
      </c>
      <c r="S128" s="615">
        <f t="shared" si="580"/>
        <v>0</v>
      </c>
      <c r="T128" s="89"/>
      <c r="U128" s="519">
        <v>0.05</v>
      </c>
      <c r="V128" s="133"/>
      <c r="W128" s="628">
        <f t="shared" si="599"/>
        <v>6.2334000000000014E-2</v>
      </c>
      <c r="X128" s="628">
        <f t="shared" si="234"/>
        <v>6.2334000000000014E-2</v>
      </c>
      <c r="Y128" s="621">
        <f t="shared" si="600"/>
        <v>0</v>
      </c>
      <c r="Z128" s="621">
        <f t="shared" si="601"/>
        <v>6.2334000000000014E-2</v>
      </c>
      <c r="AA128" s="621">
        <f t="shared" si="602"/>
        <v>6.2334000000000014E-2</v>
      </c>
      <c r="AB128" s="621">
        <f t="shared" si="603"/>
        <v>0</v>
      </c>
      <c r="AC128" s="621">
        <f t="shared" si="604"/>
        <v>0</v>
      </c>
      <c r="AD128" s="620">
        <f t="shared" si="605"/>
        <v>0</v>
      </c>
      <c r="AE128" s="287"/>
      <c r="AF128" s="615">
        <f t="shared" si="606"/>
        <v>6.2334000000000014E-2</v>
      </c>
      <c r="AG128" s="615">
        <f t="shared" si="607"/>
        <v>6.2334000000000014E-2</v>
      </c>
      <c r="AH128" s="615">
        <f t="shared" si="608"/>
        <v>0</v>
      </c>
      <c r="AI128" s="615">
        <f t="shared" si="609"/>
        <v>0</v>
      </c>
      <c r="AJ128" s="615">
        <f t="shared" si="610"/>
        <v>0</v>
      </c>
      <c r="AK128" s="339"/>
      <c r="AL128" s="631">
        <f t="shared" si="611"/>
        <v>0</v>
      </c>
      <c r="AM128" s="631">
        <f t="shared" si="612"/>
        <v>1</v>
      </c>
      <c r="AN128" s="625">
        <f t="shared" si="613"/>
        <v>1</v>
      </c>
      <c r="AO128" s="373"/>
      <c r="AP128" s="620">
        <f>COUNTIF('AR | Drawing List'!$H:$H,"AR-T6S-7")</f>
        <v>1</v>
      </c>
      <c r="AQ128" s="621">
        <f>COUNTIFS('AR | Drawing List'!$H:$H,"AR-T6S-7",'AR | Drawing List'!$J:$J,1)</f>
        <v>0</v>
      </c>
      <c r="AR128" s="621">
        <f t="shared" si="238"/>
        <v>1</v>
      </c>
      <c r="AS128" s="621">
        <f>COUNTIFS('AR | Drawing List'!$H:$H,"AR-T6S-7",'AR | Drawing List'!M:M,1)</f>
        <v>1</v>
      </c>
      <c r="AT128" s="621">
        <f>COUNTIFS('AR | Drawing List'!$H:$H,"AR-T6S-7",'AR | Drawing List'!N:N,1)</f>
        <v>0</v>
      </c>
      <c r="AU128" s="621">
        <f>COUNTIFS('AR | Drawing List'!$H:$H,"AR-T6S-7",'AR | Drawing List'!O:O,1)</f>
        <v>0</v>
      </c>
      <c r="AV128" s="621">
        <f>COUNTIFS('AR | Drawing List'!$H:$H,"AR-T6S-7",'AR | Drawing List'!P:P,1)</f>
        <v>0</v>
      </c>
      <c r="AW128" s="366"/>
      <c r="AX128" s="621">
        <f t="shared" si="540"/>
        <v>1</v>
      </c>
      <c r="AY128" s="621">
        <f>COUNTIFS('AR | Drawing List'!$H:$H,"AR-T6S-7",'AR | Drawing List'!R:R,1)</f>
        <v>1</v>
      </c>
      <c r="AZ128" s="621">
        <f>COUNTIFS('AR | Drawing List'!$H:$H,"AR-T6S-7",'AR | Drawing List'!S:S,1)</f>
        <v>0</v>
      </c>
      <c r="BA128" s="621">
        <f>COUNTIFS('AR | Drawing List'!$H:$H,"AR-T6S-7",'AR | Drawing List'!T:T,1)</f>
        <v>0</v>
      </c>
      <c r="BB128" s="621">
        <f>COUNTIFS('AR | Drawing List'!$H:$H,"AR-T6S-7",'AR | Drawing List'!U:U,1)</f>
        <v>0</v>
      </c>
      <c r="BC128" s="365"/>
      <c r="BD128" s="365"/>
      <c r="BE128" s="555">
        <v>0.1</v>
      </c>
      <c r="BF128" s="368"/>
      <c r="BG128" s="621">
        <f t="shared" si="614"/>
        <v>5.1976079999999994E-2</v>
      </c>
      <c r="BH128" s="622">
        <f t="shared" si="235"/>
        <v>5.1976079999999994E-2</v>
      </c>
      <c r="BI128" s="621">
        <f t="shared" si="615"/>
        <v>5.1976079999999994E-2</v>
      </c>
      <c r="BJ128" s="621">
        <f t="shared" si="616"/>
        <v>0</v>
      </c>
      <c r="BK128" s="616">
        <f t="shared" si="617"/>
        <v>0</v>
      </c>
      <c r="BL128" s="616">
        <f t="shared" si="618"/>
        <v>0</v>
      </c>
      <c r="BM128" s="616">
        <f t="shared" si="619"/>
        <v>0</v>
      </c>
      <c r="BN128" s="616">
        <f t="shared" si="620"/>
        <v>0</v>
      </c>
      <c r="BO128" s="348"/>
      <c r="BP128" s="615">
        <f t="shared" si="621"/>
        <v>0</v>
      </c>
      <c r="BQ128" s="615">
        <f t="shared" si="622"/>
        <v>0</v>
      </c>
      <c r="BR128" s="615">
        <f t="shared" si="623"/>
        <v>0</v>
      </c>
      <c r="BS128" s="615">
        <f t="shared" si="624"/>
        <v>0</v>
      </c>
      <c r="BT128" s="615">
        <f t="shared" si="625"/>
        <v>0</v>
      </c>
      <c r="BU128" s="339"/>
      <c r="BV128" s="635">
        <f t="shared" si="626"/>
        <v>1</v>
      </c>
      <c r="BW128" s="635">
        <f t="shared" si="627"/>
        <v>0</v>
      </c>
      <c r="BX128" s="635">
        <f t="shared" si="628"/>
        <v>0</v>
      </c>
      <c r="BY128" s="373"/>
      <c r="BZ128" s="620">
        <f>COUNTIF('ST | Drawing List'!$H:$H,"ST-T6S-7")</f>
        <v>4</v>
      </c>
      <c r="CA128" s="621">
        <f>COUNTIFS('ST | Drawing List'!$H:$H,"ST-T6S-7",'ST | Drawing List'!$J:$J,1)</f>
        <v>4</v>
      </c>
      <c r="CB128" s="621">
        <f>COUNTIFS('ST | Drawing List'!$H:$H,"ST-T6S-7",'ST | Drawing List'!$L:$L,1)</f>
        <v>0</v>
      </c>
      <c r="CC128" s="621">
        <f>COUNTIFS('ST | Drawing List'!$H:$H,"ST-T6S-7",'ST | Drawing List'!M:M,1)</f>
        <v>0</v>
      </c>
      <c r="CD128" s="621">
        <f>COUNTIFS('ST | Drawing List'!$H:$H,"ST-T6S-7",'ST | Drawing List'!N:N,1)</f>
        <v>0</v>
      </c>
      <c r="CE128" s="621">
        <f>COUNTIFS('ST | Drawing List'!$H:$H,"ST-T6S-7",'ST | Drawing List'!O:O,1)</f>
        <v>0</v>
      </c>
      <c r="CF128" s="621">
        <f>COUNTIFS('ST | Drawing List'!$H:$H,"ST-T6S-7",'ST | Drawing List'!P:P,1)</f>
        <v>0</v>
      </c>
      <c r="CG128" s="541"/>
      <c r="CH128" s="621">
        <f>COUNTIFS('ST | Drawing List'!$H:$H,"ST-T6S-7",'ST | Drawing List'!$Q:$Q,1)</f>
        <v>0</v>
      </c>
      <c r="CI128" s="621">
        <f>COUNTIFS('ST | Drawing List'!$H:$H,"ST-T6S-7",'ST | Drawing List'!R:R,1)</f>
        <v>0</v>
      </c>
      <c r="CJ128" s="621">
        <f>COUNTIFS('ST | Drawing List'!$H:$H,"ST-T6S-7",'ST | Drawing List'!S:S,1)</f>
        <v>0</v>
      </c>
      <c r="CK128" s="621">
        <f>COUNTIFS('ST | Drawing List'!$H:$H,"ST-T6S-7",'ST | Drawing List'!T:T,1)</f>
        <v>0</v>
      </c>
      <c r="CL128" s="621">
        <f>COUNTIFS('ST | Drawing List'!$H:$H,"ST-T6S-7",'ST | Drawing List'!U:U,1)</f>
        <v>0</v>
      </c>
      <c r="CM128" s="368"/>
      <c r="CN128" s="368"/>
      <c r="CO128" s="555">
        <v>0.15</v>
      </c>
      <c r="CP128" s="368"/>
      <c r="CQ128" s="621">
        <f t="shared" si="629"/>
        <v>1.06704E-2</v>
      </c>
      <c r="CR128" s="622">
        <f t="shared" si="236"/>
        <v>1.06704E-2</v>
      </c>
      <c r="CS128" s="621">
        <f t="shared" si="630"/>
        <v>1.06704E-2</v>
      </c>
      <c r="CT128" s="615">
        <f t="shared" si="631"/>
        <v>0</v>
      </c>
      <c r="CU128" s="615">
        <f t="shared" si="632"/>
        <v>0</v>
      </c>
      <c r="CV128" s="615">
        <f t="shared" si="633"/>
        <v>0</v>
      </c>
      <c r="CW128" s="615">
        <f t="shared" si="634"/>
        <v>0</v>
      </c>
      <c r="CX128" s="615">
        <f t="shared" si="635"/>
        <v>0</v>
      </c>
      <c r="CY128" s="339"/>
      <c r="CZ128" s="615">
        <f t="shared" si="636"/>
        <v>0</v>
      </c>
      <c r="DA128" s="615">
        <f t="shared" si="637"/>
        <v>0</v>
      </c>
      <c r="DB128" s="615">
        <f t="shared" si="638"/>
        <v>0</v>
      </c>
      <c r="DC128" s="615">
        <f t="shared" si="639"/>
        <v>0</v>
      </c>
      <c r="DD128" s="615">
        <f t="shared" si="640"/>
        <v>0</v>
      </c>
      <c r="DE128" s="339"/>
      <c r="DF128" s="625">
        <f t="shared" si="641"/>
        <v>1</v>
      </c>
      <c r="DG128" s="625">
        <f t="shared" si="642"/>
        <v>0</v>
      </c>
      <c r="DH128" s="625">
        <f t="shared" si="643"/>
        <v>0</v>
      </c>
      <c r="DI128" s="373"/>
      <c r="DJ128" s="620">
        <f>COUNTIF('MEP | Drawing List'!$H:$H,"MEP-T2S-6S-7")</f>
        <v>5</v>
      </c>
      <c r="DK128" s="621">
        <f>COUNTIFS('MEP | Drawing List'!$H:$H,"MEP-T2S-6S-7",'MEP | Drawing List'!$J:$J,1)</f>
        <v>5</v>
      </c>
      <c r="DL128" s="621">
        <f>COUNTIFS('MEP | Drawing List'!$H:$H,"MEP-T2S-6S-7",'MEP | Drawing List'!$L:$L,1)</f>
        <v>0</v>
      </c>
      <c r="DM128" s="621">
        <f>COUNTIFS('MEP | Drawing List'!$H:$H,"MEP-T2S-6S-7",'MEP | Drawing List'!M:M,1)</f>
        <v>0</v>
      </c>
      <c r="DN128" s="621">
        <f>COUNTIFS('MEP | Drawing List'!$H:$H,"MEP-T2S-6S-7",'MEP | Drawing List'!N:N,1)</f>
        <v>0</v>
      </c>
      <c r="DO128" s="621">
        <f>COUNTIFS('MEP | Drawing List'!$H:$H,"MEP-T2S-6S-7",'MEP | Drawing List'!O:O,1)</f>
        <v>0</v>
      </c>
      <c r="DP128" s="621">
        <f>COUNTIFS('MEP | Drawing List'!$H:$H,"MEP-T2S-6S-7",'MEP | Drawing List'!P:P,1)</f>
        <v>0</v>
      </c>
      <c r="DQ128" s="286"/>
      <c r="DR128" s="621">
        <f>COUNTIFS('MEP | Drawing List'!$H:$H,"MEP-T2S-6S-7",'MEP | Drawing List'!$Q:$Q,1)</f>
        <v>0</v>
      </c>
      <c r="DS128" s="621">
        <f>COUNTIFS('MEP | Drawing List'!$H:$H,"MEP-T2S-6S-7",'MEP | Drawing List'!R:R,1)</f>
        <v>0</v>
      </c>
      <c r="DT128" s="621">
        <f>COUNTIFS('MEP | Drawing List'!$H:$H,"MEP-T2S-6S-7",'MEP | Drawing List'!S:S,1)</f>
        <v>0</v>
      </c>
      <c r="DU128" s="621">
        <f>COUNTIFS('MEP | Drawing List'!$H:$H,"MEP-T2S-6S-7",'MEP | Drawing List'!T:T,1)</f>
        <v>0</v>
      </c>
      <c r="DV128" s="621">
        <f>COUNTIFS('MEP | Drawing List'!$H:$H,"MEP-T2S-6S-7",'MEP | Drawing List'!U:U,1)</f>
        <v>0</v>
      </c>
      <c r="DW128" s="368"/>
      <c r="DX128" s="368"/>
      <c r="DY128" s="523">
        <v>0</v>
      </c>
      <c r="DZ128" s="368"/>
      <c r="EA128" s="616">
        <f t="shared" ref="EA128:EZ128" si="663">EA82</f>
        <v>0</v>
      </c>
      <c r="EB128" s="622">
        <f t="shared" si="237"/>
        <v>0</v>
      </c>
      <c r="EC128" s="622">
        <f t="shared" si="663"/>
        <v>0</v>
      </c>
      <c r="ED128" s="622">
        <f t="shared" si="663"/>
        <v>0</v>
      </c>
      <c r="EE128" s="616">
        <f t="shared" si="663"/>
        <v>0</v>
      </c>
      <c r="EF128" s="616">
        <f t="shared" si="663"/>
        <v>0</v>
      </c>
      <c r="EG128" s="616">
        <f t="shared" si="663"/>
        <v>0</v>
      </c>
      <c r="EH128" s="616">
        <f t="shared" si="663"/>
        <v>0</v>
      </c>
      <c r="EI128" s="348"/>
      <c r="EJ128" s="620">
        <f t="shared" si="644"/>
        <v>0</v>
      </c>
      <c r="EK128" s="615">
        <f t="shared" si="645"/>
        <v>0</v>
      </c>
      <c r="EL128" s="615">
        <f t="shared" si="646"/>
        <v>0</v>
      </c>
      <c r="EM128" s="615">
        <f t="shared" si="647"/>
        <v>0</v>
      </c>
      <c r="EN128" s="615">
        <f t="shared" si="648"/>
        <v>0</v>
      </c>
      <c r="EO128" s="339"/>
      <c r="EP128" s="627">
        <f t="shared" si="649"/>
        <v>0</v>
      </c>
      <c r="EQ128" s="627">
        <f t="shared" si="650"/>
        <v>0</v>
      </c>
      <c r="ER128" s="627">
        <f t="shared" si="651"/>
        <v>0</v>
      </c>
      <c r="ES128" s="618">
        <f t="shared" si="663"/>
        <v>0</v>
      </c>
      <c r="ET128" s="615">
        <f t="shared" si="663"/>
        <v>0</v>
      </c>
      <c r="EU128" s="616">
        <f t="shared" si="663"/>
        <v>0</v>
      </c>
      <c r="EV128" s="616">
        <f t="shared" si="663"/>
        <v>0</v>
      </c>
      <c r="EW128" s="616">
        <f t="shared" si="663"/>
        <v>0</v>
      </c>
      <c r="EX128" s="616">
        <f t="shared" si="663"/>
        <v>0</v>
      </c>
      <c r="EY128" s="616">
        <f t="shared" si="663"/>
        <v>0</v>
      </c>
      <c r="EZ128" s="616">
        <f t="shared" si="663"/>
        <v>0</v>
      </c>
      <c r="FA128" s="85"/>
      <c r="FB128" s="616">
        <f t="shared" ref="FB128:FF128" si="664">FB82</f>
        <v>0</v>
      </c>
      <c r="FC128" s="616">
        <f t="shared" si="664"/>
        <v>0</v>
      </c>
      <c r="FD128" s="616">
        <f t="shared" si="664"/>
        <v>0</v>
      </c>
      <c r="FE128" s="616">
        <f t="shared" si="664"/>
        <v>0</v>
      </c>
      <c r="FF128" s="616">
        <f t="shared" si="664"/>
        <v>0</v>
      </c>
      <c r="FG128" s="89"/>
    </row>
    <row r="129" spans="1:163" s="95" customFormat="1" ht="14.25" hidden="1" outlineLevel="2">
      <c r="A129" s="89"/>
      <c r="B129" s="90" t="s">
        <v>135</v>
      </c>
      <c r="C129" s="276">
        <v>8</v>
      </c>
      <c r="D129" s="273" t="s">
        <v>69</v>
      </c>
      <c r="E129" s="89"/>
      <c r="F129" s="619">
        <f t="shared" si="596"/>
        <v>0.12498048</v>
      </c>
      <c r="G129" s="619">
        <f t="shared" si="597"/>
        <v>0.12498048</v>
      </c>
      <c r="H129" s="615">
        <f t="shared" si="598"/>
        <v>0</v>
      </c>
      <c r="I129" s="615">
        <f t="shared" si="571"/>
        <v>6.2334000000000014E-2</v>
      </c>
      <c r="J129" s="615">
        <f t="shared" si="572"/>
        <v>6.2334000000000014E-2</v>
      </c>
      <c r="K129" s="615">
        <f t="shared" si="573"/>
        <v>0</v>
      </c>
      <c r="L129" s="615">
        <f t="shared" si="574"/>
        <v>0</v>
      </c>
      <c r="M129" s="620">
        <f t="shared" si="575"/>
        <v>0</v>
      </c>
      <c r="N129" s="287"/>
      <c r="O129" s="615">
        <f t="shared" si="576"/>
        <v>6.2334000000000014E-2</v>
      </c>
      <c r="P129" s="615">
        <f t="shared" si="577"/>
        <v>6.2334000000000014E-2</v>
      </c>
      <c r="Q129" s="615">
        <f t="shared" si="578"/>
        <v>0</v>
      </c>
      <c r="R129" s="615">
        <f t="shared" si="579"/>
        <v>0</v>
      </c>
      <c r="S129" s="615">
        <f t="shared" si="580"/>
        <v>0</v>
      </c>
      <c r="T129" s="89"/>
      <c r="U129" s="552">
        <v>0.05</v>
      </c>
      <c r="V129" s="133"/>
      <c r="W129" s="628">
        <f t="shared" si="599"/>
        <v>6.2334000000000014E-2</v>
      </c>
      <c r="X129" s="628">
        <f t="shared" si="234"/>
        <v>6.2334000000000014E-2</v>
      </c>
      <c r="Y129" s="621">
        <f t="shared" si="600"/>
        <v>0</v>
      </c>
      <c r="Z129" s="621">
        <f t="shared" si="601"/>
        <v>6.2334000000000014E-2</v>
      </c>
      <c r="AA129" s="621">
        <f t="shared" si="602"/>
        <v>6.2334000000000014E-2</v>
      </c>
      <c r="AB129" s="621">
        <f t="shared" si="603"/>
        <v>0</v>
      </c>
      <c r="AC129" s="621">
        <f t="shared" si="604"/>
        <v>0</v>
      </c>
      <c r="AD129" s="620">
        <f t="shared" si="605"/>
        <v>0</v>
      </c>
      <c r="AE129" s="287"/>
      <c r="AF129" s="615">
        <f t="shared" si="606"/>
        <v>6.2334000000000014E-2</v>
      </c>
      <c r="AG129" s="615">
        <f t="shared" si="607"/>
        <v>6.2334000000000014E-2</v>
      </c>
      <c r="AH129" s="615">
        <f t="shared" si="608"/>
        <v>0</v>
      </c>
      <c r="AI129" s="615">
        <f t="shared" si="609"/>
        <v>0</v>
      </c>
      <c r="AJ129" s="615">
        <f t="shared" si="610"/>
        <v>0</v>
      </c>
      <c r="AK129" s="339"/>
      <c r="AL129" s="631">
        <f t="shared" si="611"/>
        <v>0</v>
      </c>
      <c r="AM129" s="631">
        <f t="shared" si="612"/>
        <v>1</v>
      </c>
      <c r="AN129" s="625">
        <f t="shared" si="613"/>
        <v>1</v>
      </c>
      <c r="AO129" s="373"/>
      <c r="AP129" s="620">
        <f>COUNTIF('AR | Drawing List'!$H:$H,"AR-T6S-8")</f>
        <v>4</v>
      </c>
      <c r="AQ129" s="621">
        <f>COUNTIFS('AR | Drawing List'!$H:$H,"AR-T6S-8",'AR | Drawing List'!$J:$J,1)</f>
        <v>0</v>
      </c>
      <c r="AR129" s="621">
        <f t="shared" si="238"/>
        <v>4</v>
      </c>
      <c r="AS129" s="621">
        <f>COUNTIFS('AR | Drawing List'!$H:$H,"AR-T6S-8",'AR | Drawing List'!M:M,1)</f>
        <v>4</v>
      </c>
      <c r="AT129" s="621">
        <f>COUNTIFS('AR | Drawing List'!$H:$H,"AR-T6S-8",'AR | Drawing List'!N:N,1)</f>
        <v>0</v>
      </c>
      <c r="AU129" s="621">
        <f>COUNTIFS('AR | Drawing List'!$H:$H,"AR-T6S-8",'AR | Drawing List'!O:O,1)</f>
        <v>0</v>
      </c>
      <c r="AV129" s="621">
        <f>COUNTIFS('AR | Drawing List'!$H:$H,"AR-T6S-8",'AR | Drawing List'!P:P,1)</f>
        <v>0</v>
      </c>
      <c r="AW129" s="366"/>
      <c r="AX129" s="621">
        <f t="shared" si="540"/>
        <v>4</v>
      </c>
      <c r="AY129" s="621">
        <f>COUNTIFS('AR | Drawing List'!$H:$H,"AR-T6S-8",'AR | Drawing List'!R:R,1)</f>
        <v>4</v>
      </c>
      <c r="AZ129" s="621">
        <f>COUNTIFS('AR | Drawing List'!$H:$H,"AR-T6S-8",'AR | Drawing List'!S:S,1)</f>
        <v>0</v>
      </c>
      <c r="BA129" s="621">
        <f>COUNTIFS('AR | Drawing List'!$H:$H,"AR-T6S-8",'AR | Drawing List'!T:T,1)</f>
        <v>0</v>
      </c>
      <c r="BB129" s="621">
        <f>COUNTIFS('AR | Drawing List'!$H:$H,"AR-T6S-8",'AR | Drawing List'!U:U,1)</f>
        <v>0</v>
      </c>
      <c r="BC129" s="365"/>
      <c r="BD129" s="365"/>
      <c r="BE129" s="555">
        <v>0.1</v>
      </c>
      <c r="BF129" s="368"/>
      <c r="BG129" s="621">
        <f t="shared" si="614"/>
        <v>5.1976079999999994E-2</v>
      </c>
      <c r="BH129" s="622">
        <f t="shared" si="235"/>
        <v>5.1976079999999994E-2</v>
      </c>
      <c r="BI129" s="621">
        <f t="shared" si="615"/>
        <v>5.1976079999999994E-2</v>
      </c>
      <c r="BJ129" s="621">
        <f t="shared" si="616"/>
        <v>0</v>
      </c>
      <c r="BK129" s="616">
        <f t="shared" si="617"/>
        <v>0</v>
      </c>
      <c r="BL129" s="616">
        <f t="shared" si="618"/>
        <v>0</v>
      </c>
      <c r="BM129" s="616">
        <f t="shared" si="619"/>
        <v>0</v>
      </c>
      <c r="BN129" s="616">
        <f t="shared" si="620"/>
        <v>0</v>
      </c>
      <c r="BO129" s="348"/>
      <c r="BP129" s="615">
        <f t="shared" si="621"/>
        <v>0</v>
      </c>
      <c r="BQ129" s="615">
        <f t="shared" si="622"/>
        <v>0</v>
      </c>
      <c r="BR129" s="615">
        <f t="shared" si="623"/>
        <v>0</v>
      </c>
      <c r="BS129" s="615">
        <f t="shared" si="624"/>
        <v>0</v>
      </c>
      <c r="BT129" s="615">
        <f t="shared" si="625"/>
        <v>0</v>
      </c>
      <c r="BU129" s="339"/>
      <c r="BV129" s="635">
        <f t="shared" si="626"/>
        <v>1</v>
      </c>
      <c r="BW129" s="635">
        <f t="shared" si="627"/>
        <v>0</v>
      </c>
      <c r="BX129" s="635">
        <f t="shared" si="628"/>
        <v>0</v>
      </c>
      <c r="BY129" s="373"/>
      <c r="BZ129" s="620">
        <f>COUNTIF('ST | Drawing List'!$H:$H,"ST-T6S-8")</f>
        <v>6</v>
      </c>
      <c r="CA129" s="621">
        <f>COUNTIFS('ST | Drawing List'!$H:$H,"ST-T6S-8",'ST | Drawing List'!$J:$J,1)</f>
        <v>6</v>
      </c>
      <c r="CB129" s="621">
        <f>COUNTIFS('ST | Drawing List'!$H:$H,"ST-T6S-8",'ST | Drawing List'!$L:$L,1)</f>
        <v>0</v>
      </c>
      <c r="CC129" s="621">
        <f>COUNTIFS('ST | Drawing List'!$H:$H,"ST-T6S-8",'ST | Drawing List'!M:M,1)</f>
        <v>0</v>
      </c>
      <c r="CD129" s="621">
        <f>COUNTIFS('ST | Drawing List'!$H:$H,"ST-T6S-8",'ST | Drawing List'!N:N,1)</f>
        <v>0</v>
      </c>
      <c r="CE129" s="621">
        <f>COUNTIFS('ST | Drawing List'!$H:$H,"ST-T6S-8",'ST | Drawing List'!O:O,1)</f>
        <v>0</v>
      </c>
      <c r="CF129" s="621">
        <f>COUNTIFS('ST | Drawing List'!$H:$H,"ST-T6S-8",'ST | Drawing List'!P:P,1)</f>
        <v>0</v>
      </c>
      <c r="CG129" s="541"/>
      <c r="CH129" s="621">
        <f>COUNTIFS('ST | Drawing List'!$H:$H,"ST-T6S-8",'ST | Drawing List'!$Q:$Q,1)</f>
        <v>0</v>
      </c>
      <c r="CI129" s="621">
        <f>COUNTIFS('ST | Drawing List'!$H:$H,"ST-T6S-8",'ST | Drawing List'!R:R,1)</f>
        <v>0</v>
      </c>
      <c r="CJ129" s="621">
        <f>COUNTIFS('ST | Drawing List'!$H:$H,"ST-T6S-8",'ST | Drawing List'!S:S,1)</f>
        <v>0</v>
      </c>
      <c r="CK129" s="621">
        <f>COUNTIFS('ST | Drawing List'!$H:$H,"ST-T6S-8",'ST | Drawing List'!T:T,1)</f>
        <v>0</v>
      </c>
      <c r="CL129" s="621">
        <f>COUNTIFS('ST | Drawing List'!$H:$H,"ST-T6S-8",'ST | Drawing List'!U:U,1)</f>
        <v>0</v>
      </c>
      <c r="CM129" s="368"/>
      <c r="CN129" s="368"/>
      <c r="CO129" s="555">
        <v>0.15</v>
      </c>
      <c r="CP129" s="368"/>
      <c r="CQ129" s="621">
        <f t="shared" si="629"/>
        <v>1.06704E-2</v>
      </c>
      <c r="CR129" s="622">
        <f t="shared" si="236"/>
        <v>1.06704E-2</v>
      </c>
      <c r="CS129" s="621">
        <f t="shared" si="630"/>
        <v>1.06704E-2</v>
      </c>
      <c r="CT129" s="615">
        <f t="shared" si="631"/>
        <v>0</v>
      </c>
      <c r="CU129" s="615">
        <f t="shared" si="632"/>
        <v>0</v>
      </c>
      <c r="CV129" s="615">
        <f t="shared" si="633"/>
        <v>0</v>
      </c>
      <c r="CW129" s="615">
        <f t="shared" si="634"/>
        <v>0</v>
      </c>
      <c r="CX129" s="615">
        <f t="shared" si="635"/>
        <v>0</v>
      </c>
      <c r="CY129" s="339"/>
      <c r="CZ129" s="615">
        <f t="shared" si="636"/>
        <v>0</v>
      </c>
      <c r="DA129" s="615">
        <f t="shared" si="637"/>
        <v>0</v>
      </c>
      <c r="DB129" s="615">
        <f t="shared" si="638"/>
        <v>0</v>
      </c>
      <c r="DC129" s="615">
        <f t="shared" si="639"/>
        <v>0</v>
      </c>
      <c r="DD129" s="615">
        <f t="shared" si="640"/>
        <v>0</v>
      </c>
      <c r="DE129" s="339"/>
      <c r="DF129" s="625">
        <f t="shared" si="641"/>
        <v>1</v>
      </c>
      <c r="DG129" s="625">
        <f t="shared" si="642"/>
        <v>0</v>
      </c>
      <c r="DH129" s="625">
        <f t="shared" si="643"/>
        <v>0</v>
      </c>
      <c r="DI129" s="373"/>
      <c r="DJ129" s="620">
        <f>COUNTIF('MEP | Drawing List'!$H:$H,"MEP-T2S-6S-8")</f>
        <v>3</v>
      </c>
      <c r="DK129" s="621">
        <f>COUNTIFS('MEP | Drawing List'!$H:$H,"MEP-T2S-6S-8",'MEP | Drawing List'!$J:$J,1)</f>
        <v>3</v>
      </c>
      <c r="DL129" s="621">
        <f>COUNTIFS('MEP | Drawing List'!$H:$H,"MEP-T2S-6S-8",'MEP | Drawing List'!$L:$L,1)</f>
        <v>0</v>
      </c>
      <c r="DM129" s="621">
        <f>COUNTIFS('MEP | Drawing List'!$H:$H,"MEP-T2S-6S-8",'MEP | Drawing List'!M:M,1)</f>
        <v>0</v>
      </c>
      <c r="DN129" s="621">
        <f>COUNTIFS('MEP | Drawing List'!$H:$H,"MEP-T2S-6S-8",'MEP | Drawing List'!N:N,1)</f>
        <v>0</v>
      </c>
      <c r="DO129" s="621">
        <f>COUNTIFS('MEP | Drawing List'!$H:$H,"MEP-T2S-6S-8",'MEP | Drawing List'!O:O,1)</f>
        <v>0</v>
      </c>
      <c r="DP129" s="621">
        <f>COUNTIFS('MEP | Drawing List'!$H:$H,"MEP-T2S-6S-8",'MEP | Drawing List'!P:P,1)</f>
        <v>0</v>
      </c>
      <c r="DQ129" s="286"/>
      <c r="DR129" s="621">
        <f>COUNTIFS('MEP | Drawing List'!$H:$H,"MEP-T2S-6S-8",'MEP | Drawing List'!$Q:$Q,1)</f>
        <v>0</v>
      </c>
      <c r="DS129" s="621">
        <f>COUNTIFS('MEP | Drawing List'!$H:$H,"MEP-T2S-6S-8",'MEP | Drawing List'!R:R,1)</f>
        <v>0</v>
      </c>
      <c r="DT129" s="621">
        <f>COUNTIFS('MEP | Drawing List'!$H:$H,"MEP-T2S-6S-8",'MEP | Drawing List'!S:S,1)</f>
        <v>0</v>
      </c>
      <c r="DU129" s="621">
        <f>COUNTIFS('MEP | Drawing List'!$H:$H,"MEP-T2S-6S-8",'MEP | Drawing List'!T:T,1)</f>
        <v>0</v>
      </c>
      <c r="DV129" s="621">
        <f>COUNTIFS('MEP | Drawing List'!$H:$H,"MEP-T2S-6S-8",'MEP | Drawing List'!U:U,1)</f>
        <v>0</v>
      </c>
      <c r="DW129" s="368"/>
      <c r="DX129" s="368"/>
      <c r="DY129" s="523">
        <v>0</v>
      </c>
      <c r="DZ129" s="368"/>
      <c r="EA129" s="616">
        <f t="shared" ref="EA129:EZ129" si="665">EA83</f>
        <v>0</v>
      </c>
      <c r="EB129" s="622">
        <f t="shared" si="237"/>
        <v>0</v>
      </c>
      <c r="EC129" s="622">
        <f t="shared" si="665"/>
        <v>0</v>
      </c>
      <c r="ED129" s="622">
        <f t="shared" si="665"/>
        <v>0</v>
      </c>
      <c r="EE129" s="616">
        <f t="shared" si="665"/>
        <v>0</v>
      </c>
      <c r="EF129" s="616">
        <f t="shared" si="665"/>
        <v>0</v>
      </c>
      <c r="EG129" s="616">
        <f t="shared" si="665"/>
        <v>0</v>
      </c>
      <c r="EH129" s="616">
        <f t="shared" si="665"/>
        <v>0</v>
      </c>
      <c r="EI129" s="348"/>
      <c r="EJ129" s="620">
        <f t="shared" si="644"/>
        <v>0</v>
      </c>
      <c r="EK129" s="615">
        <f t="shared" si="645"/>
        <v>0</v>
      </c>
      <c r="EL129" s="615">
        <f t="shared" si="646"/>
        <v>0</v>
      </c>
      <c r="EM129" s="615">
        <f t="shared" si="647"/>
        <v>0</v>
      </c>
      <c r="EN129" s="615">
        <f t="shared" si="648"/>
        <v>0</v>
      </c>
      <c r="EO129" s="339"/>
      <c r="EP129" s="627">
        <f t="shared" si="649"/>
        <v>0</v>
      </c>
      <c r="EQ129" s="627">
        <f t="shared" si="650"/>
        <v>0</v>
      </c>
      <c r="ER129" s="627">
        <f t="shared" si="651"/>
        <v>0</v>
      </c>
      <c r="ES129" s="618">
        <f t="shared" si="665"/>
        <v>0</v>
      </c>
      <c r="ET129" s="615">
        <f t="shared" si="665"/>
        <v>0</v>
      </c>
      <c r="EU129" s="616">
        <f t="shared" si="665"/>
        <v>0</v>
      </c>
      <c r="EV129" s="616">
        <f t="shared" si="665"/>
        <v>0</v>
      </c>
      <c r="EW129" s="616">
        <f t="shared" si="665"/>
        <v>0</v>
      </c>
      <c r="EX129" s="616">
        <f t="shared" si="665"/>
        <v>0</v>
      </c>
      <c r="EY129" s="616">
        <f t="shared" si="665"/>
        <v>0</v>
      </c>
      <c r="EZ129" s="616">
        <f t="shared" si="665"/>
        <v>0</v>
      </c>
      <c r="FA129" s="85"/>
      <c r="FB129" s="616">
        <f t="shared" ref="FB129:FF129" si="666">FB83</f>
        <v>0</v>
      </c>
      <c r="FC129" s="616">
        <f t="shared" si="666"/>
        <v>0</v>
      </c>
      <c r="FD129" s="616">
        <f t="shared" si="666"/>
        <v>0</v>
      </c>
      <c r="FE129" s="616">
        <f t="shared" si="666"/>
        <v>0</v>
      </c>
      <c r="FF129" s="616">
        <f t="shared" si="666"/>
        <v>0</v>
      </c>
      <c r="FG129" s="89"/>
    </row>
    <row r="130" spans="1:163" ht="14.25" hidden="1" outlineLevel="2">
      <c r="A130" s="48"/>
      <c r="B130" s="90" t="s">
        <v>136</v>
      </c>
      <c r="C130" s="276">
        <v>9</v>
      </c>
      <c r="D130" s="272" t="s">
        <v>71</v>
      </c>
      <c r="E130" s="48"/>
      <c r="F130" s="619">
        <f t="shared" si="596"/>
        <v>6.7850000000000021E-2</v>
      </c>
      <c r="G130" s="619">
        <f t="shared" si="597"/>
        <v>6.7850000000000021E-2</v>
      </c>
      <c r="H130" s="615">
        <f t="shared" si="598"/>
        <v>0</v>
      </c>
      <c r="I130" s="615">
        <f t="shared" si="571"/>
        <v>6.7850000000000021E-2</v>
      </c>
      <c r="J130" s="615">
        <f t="shared" si="572"/>
        <v>6.7850000000000021E-2</v>
      </c>
      <c r="K130" s="615">
        <f t="shared" si="573"/>
        <v>0</v>
      </c>
      <c r="L130" s="615">
        <f t="shared" si="574"/>
        <v>0</v>
      </c>
      <c r="M130" s="620">
        <f t="shared" si="575"/>
        <v>0</v>
      </c>
      <c r="N130" s="287"/>
      <c r="O130" s="615">
        <f t="shared" si="576"/>
        <v>6.7850000000000021E-2</v>
      </c>
      <c r="P130" s="615">
        <f t="shared" si="577"/>
        <v>6.2334000000000014E-2</v>
      </c>
      <c r="Q130" s="615">
        <f t="shared" si="578"/>
        <v>5.5160000000000009E-3</v>
      </c>
      <c r="R130" s="615">
        <f t="shared" si="579"/>
        <v>0</v>
      </c>
      <c r="S130" s="615">
        <f t="shared" si="580"/>
        <v>0</v>
      </c>
      <c r="T130" s="48"/>
      <c r="U130" s="552">
        <v>0.05</v>
      </c>
      <c r="V130" s="131"/>
      <c r="W130" s="619">
        <f t="shared" si="599"/>
        <v>6.2334000000000014E-2</v>
      </c>
      <c r="X130" s="619">
        <f t="shared" si="234"/>
        <v>6.2334000000000014E-2</v>
      </c>
      <c r="Y130" s="616">
        <f t="shared" si="600"/>
        <v>0</v>
      </c>
      <c r="Z130" s="616">
        <f t="shared" si="601"/>
        <v>6.2334000000000014E-2</v>
      </c>
      <c r="AA130" s="616">
        <f t="shared" si="602"/>
        <v>6.2334000000000014E-2</v>
      </c>
      <c r="AB130" s="616">
        <f t="shared" si="603"/>
        <v>0</v>
      </c>
      <c r="AC130" s="616">
        <f t="shared" si="604"/>
        <v>0</v>
      </c>
      <c r="AD130" s="620">
        <f t="shared" si="605"/>
        <v>0</v>
      </c>
      <c r="AE130" s="287"/>
      <c r="AF130" s="615">
        <f t="shared" si="606"/>
        <v>6.2334000000000014E-2</v>
      </c>
      <c r="AG130" s="615">
        <f t="shared" si="607"/>
        <v>6.2334000000000014E-2</v>
      </c>
      <c r="AH130" s="615">
        <f t="shared" si="608"/>
        <v>0</v>
      </c>
      <c r="AI130" s="615">
        <f t="shared" si="609"/>
        <v>0</v>
      </c>
      <c r="AJ130" s="615">
        <f t="shared" si="610"/>
        <v>0</v>
      </c>
      <c r="AK130" s="339"/>
      <c r="AL130" s="626">
        <f t="shared" si="611"/>
        <v>0</v>
      </c>
      <c r="AM130" s="626">
        <f t="shared" si="612"/>
        <v>1</v>
      </c>
      <c r="AN130" s="625">
        <f t="shared" si="613"/>
        <v>1</v>
      </c>
      <c r="AO130" s="345"/>
      <c r="AP130" s="615">
        <f>COUNTIF('AR | Drawing List'!$H:$H,"AR-T6S-9")</f>
        <v>5</v>
      </c>
      <c r="AQ130" s="616">
        <f>COUNTIFS('AR | Drawing List'!$H:$H,"AR-T6S-9",'AR | Drawing List'!$J:$J,1)</f>
        <v>0</v>
      </c>
      <c r="AR130" s="616">
        <f t="shared" si="238"/>
        <v>5</v>
      </c>
      <c r="AS130" s="616">
        <f>COUNTIFS('AR | Drawing List'!$H:$H,"AR-T6S-9",'AR | Drawing List'!M:M,1)</f>
        <v>5</v>
      </c>
      <c r="AT130" s="616">
        <f>COUNTIFS('AR | Drawing List'!$H:$H,"AR-T6S-9",'AR | Drawing List'!N:N,1)</f>
        <v>0</v>
      </c>
      <c r="AU130" s="616">
        <f>COUNTIFS('AR | Drawing List'!$H:$H,"AR-T6S-9",'AR | Drawing List'!O:O,1)</f>
        <v>0</v>
      </c>
      <c r="AV130" s="616">
        <f>COUNTIFS('AR | Drawing List'!$H:$H,"AR-T6S-9",'AR | Drawing List'!P:P,1)</f>
        <v>0</v>
      </c>
      <c r="AW130" s="328"/>
      <c r="AX130" s="616">
        <f t="shared" si="540"/>
        <v>5</v>
      </c>
      <c r="AY130" s="616">
        <f>COUNTIFS('AR | Drawing List'!$H:$H,"AR-T6S-9",'AR | Drawing List'!R:R,1)</f>
        <v>5</v>
      </c>
      <c r="AZ130" s="616">
        <f>COUNTIFS('AR | Drawing List'!$H:$H,"AR-T6S-9",'AR | Drawing List'!S:S,1)</f>
        <v>0</v>
      </c>
      <c r="BA130" s="616">
        <f>COUNTIFS('AR | Drawing List'!$H:$H,"AR-T6S-9",'AR | Drawing List'!T:T,1)</f>
        <v>0</v>
      </c>
      <c r="BB130" s="616">
        <f>COUNTIFS('AR | Drawing List'!$H:$H,"AR-T6S-9",'AR | Drawing List'!U:U,1)</f>
        <v>0</v>
      </c>
      <c r="BC130" s="359"/>
      <c r="BD130" s="359"/>
      <c r="BE130" s="666">
        <v>0</v>
      </c>
      <c r="BF130" s="343"/>
      <c r="BG130" s="616">
        <f t="shared" si="614"/>
        <v>0</v>
      </c>
      <c r="BH130" s="618">
        <f t="shared" si="235"/>
        <v>0</v>
      </c>
      <c r="BI130" s="616">
        <f t="shared" si="615"/>
        <v>0</v>
      </c>
      <c r="BJ130" s="616">
        <f t="shared" si="616"/>
        <v>0</v>
      </c>
      <c r="BK130" s="616">
        <f t="shared" si="617"/>
        <v>0</v>
      </c>
      <c r="BL130" s="616">
        <f t="shared" si="618"/>
        <v>0</v>
      </c>
      <c r="BM130" s="616">
        <f t="shared" si="619"/>
        <v>0</v>
      </c>
      <c r="BN130" s="616">
        <f t="shared" si="620"/>
        <v>0</v>
      </c>
      <c r="BO130" s="348"/>
      <c r="BP130" s="615">
        <f t="shared" si="621"/>
        <v>0</v>
      </c>
      <c r="BQ130" s="615">
        <f t="shared" si="622"/>
        <v>0</v>
      </c>
      <c r="BR130" s="615">
        <f t="shared" si="623"/>
        <v>0</v>
      </c>
      <c r="BS130" s="615">
        <f t="shared" si="624"/>
        <v>0</v>
      </c>
      <c r="BT130" s="615">
        <f t="shared" si="625"/>
        <v>0</v>
      </c>
      <c r="BU130" s="339"/>
      <c r="BV130" s="635">
        <f t="shared" si="626"/>
        <v>0</v>
      </c>
      <c r="BW130" s="635">
        <f t="shared" si="627"/>
        <v>0</v>
      </c>
      <c r="BX130" s="635">
        <f t="shared" si="628"/>
        <v>0</v>
      </c>
      <c r="BY130" s="345"/>
      <c r="BZ130" s="615">
        <f>COUNTIF('ST | Drawing List'!$H:$H,"ST-T6S-9")</f>
        <v>0</v>
      </c>
      <c r="CA130" s="616">
        <f>COUNTIFS('ST | Drawing List'!$H:$H,"ST-T6S-9",'ST | Drawing List'!$J:$J,1)</f>
        <v>0</v>
      </c>
      <c r="CB130" s="616">
        <f>COUNTIFS('ST | Drawing List'!$H:$H,"ST-T6S-9",'ST | Drawing List'!$L:$L,1)</f>
        <v>0</v>
      </c>
      <c r="CC130" s="616">
        <f>COUNTIFS('ST | Drawing List'!$H:$H,"ST-T6S-9",'ST | Drawing List'!M:M,1)</f>
        <v>0</v>
      </c>
      <c r="CD130" s="616">
        <f>COUNTIFS('ST | Drawing List'!$H:$H,"ST-T6S-9",'ST | Drawing List'!N:N,1)</f>
        <v>0</v>
      </c>
      <c r="CE130" s="616">
        <f>COUNTIFS('ST | Drawing List'!$H:$H,"ST-T6S-9",'ST | Drawing List'!O:O,1)</f>
        <v>0</v>
      </c>
      <c r="CF130" s="616">
        <f>COUNTIFS('ST | Drawing List'!$H:$H,"ST-T6S-9",'ST | Drawing List'!P:P,1)</f>
        <v>0</v>
      </c>
      <c r="CG130" s="532"/>
      <c r="CH130" s="616">
        <f>COUNTIFS('ST | Drawing List'!$H:$H,"ST-T6S-9",'ST | Drawing List'!$Q:$Q,1)</f>
        <v>0</v>
      </c>
      <c r="CI130" s="616">
        <f>COUNTIFS('ST | Drawing List'!$H:$H,"ST-T6S-9",'ST | Drawing List'!R:R,1)</f>
        <v>0</v>
      </c>
      <c r="CJ130" s="616">
        <f>COUNTIFS('ST | Drawing List'!$H:$H,"ST-T6S-9",'ST | Drawing List'!S:S,1)</f>
        <v>0</v>
      </c>
      <c r="CK130" s="616">
        <f>COUNTIFS('ST | Drawing List'!$H:$H,"ST-T6S-9",'ST | Drawing List'!T:T,1)</f>
        <v>0</v>
      </c>
      <c r="CL130" s="616">
        <f>COUNTIFS('ST | Drawing List'!$H:$H,"ST-T6S-9",'ST | Drawing List'!U:U,1)</f>
        <v>0</v>
      </c>
      <c r="CM130" s="343"/>
      <c r="CN130" s="343"/>
      <c r="CO130" s="666">
        <v>0</v>
      </c>
      <c r="CP130" s="343"/>
      <c r="CQ130" s="616">
        <f t="shared" si="629"/>
        <v>0</v>
      </c>
      <c r="CR130" s="618">
        <f t="shared" si="236"/>
        <v>0</v>
      </c>
      <c r="CS130" s="616">
        <f t="shared" si="630"/>
        <v>0</v>
      </c>
      <c r="CT130" s="615">
        <f t="shared" si="631"/>
        <v>0</v>
      </c>
      <c r="CU130" s="615">
        <f t="shared" si="632"/>
        <v>0</v>
      </c>
      <c r="CV130" s="615">
        <f t="shared" si="633"/>
        <v>0</v>
      </c>
      <c r="CW130" s="615">
        <f t="shared" si="634"/>
        <v>0</v>
      </c>
      <c r="CX130" s="615">
        <f t="shared" si="635"/>
        <v>0</v>
      </c>
      <c r="CY130" s="339"/>
      <c r="CZ130" s="615">
        <f t="shared" si="636"/>
        <v>0</v>
      </c>
      <c r="DA130" s="615">
        <f t="shared" si="637"/>
        <v>0</v>
      </c>
      <c r="DB130" s="615">
        <f t="shared" si="638"/>
        <v>0</v>
      </c>
      <c r="DC130" s="615">
        <f t="shared" si="639"/>
        <v>0</v>
      </c>
      <c r="DD130" s="615">
        <f t="shared" si="640"/>
        <v>0</v>
      </c>
      <c r="DE130" s="339"/>
      <c r="DF130" s="625">
        <f t="shared" si="641"/>
        <v>0</v>
      </c>
      <c r="DG130" s="625">
        <f t="shared" si="642"/>
        <v>0</v>
      </c>
      <c r="DH130" s="625">
        <f t="shared" si="643"/>
        <v>0</v>
      </c>
      <c r="DI130" s="345"/>
      <c r="DJ130" s="615">
        <f>COUNTIF('MEP | Drawing List'!$H:$H,"MEP-T2S-6S-9")</f>
        <v>0</v>
      </c>
      <c r="DK130" s="616">
        <f>COUNTIFS('MEP | Drawing List'!$H:$H,"MEP-T2S-6S-9",'MEP | Drawing List'!$J:$J,1)</f>
        <v>0</v>
      </c>
      <c r="DL130" s="616">
        <f>COUNTIFS('MEP | Drawing List'!$H:$H,"MEP-T2S-6S-9",'MEP | Drawing List'!$L:$L,1)</f>
        <v>0</v>
      </c>
      <c r="DM130" s="616">
        <f>COUNTIFS('MEP | Drawing List'!$H:$H,"MEP-T2S-6S-9",'MEP | Drawing List'!M:M,1)</f>
        <v>0</v>
      </c>
      <c r="DN130" s="616">
        <f>COUNTIFS('MEP | Drawing List'!$H:$H,"MEP-T2S-6S-9",'MEP | Drawing List'!N:N,1)</f>
        <v>0</v>
      </c>
      <c r="DO130" s="616">
        <f>COUNTIFS('MEP | Drawing List'!$H:$H,"MEP-T2S-6S-9",'MEP | Drawing List'!O:O,1)</f>
        <v>0</v>
      </c>
      <c r="DP130" s="616">
        <f>COUNTIFS('MEP | Drawing List'!$H:$H,"MEP-T2S-6S-9",'MEP | Drawing List'!P:P,1)</f>
        <v>0</v>
      </c>
      <c r="DQ130" s="348"/>
      <c r="DR130" s="616">
        <f>COUNTIFS('MEP | Drawing List'!$H:$H,"MEP-T2S-6S-9",'MEP | Drawing List'!$Q:$Q,1)</f>
        <v>0</v>
      </c>
      <c r="DS130" s="616">
        <f>COUNTIFS('MEP | Drawing List'!$H:$H,"MEP-T2S-6S-9",'MEP | Drawing List'!R:R,1)</f>
        <v>0</v>
      </c>
      <c r="DT130" s="616">
        <f>COUNTIFS('MEP | Drawing List'!$H:$H,"MEP-T2S-6S-9",'MEP | Drawing List'!S:S,1)</f>
        <v>0</v>
      </c>
      <c r="DU130" s="616">
        <f>COUNTIFS('MEP | Drawing List'!$H:$H,"MEP-T2S-6S-9",'MEP | Drawing List'!T:T,1)</f>
        <v>0</v>
      </c>
      <c r="DV130" s="616">
        <f>COUNTIFS('MEP | Drawing List'!$H:$H,"MEP-T2S-6S-9",'MEP | Drawing List'!U:U,1)</f>
        <v>0</v>
      </c>
      <c r="DW130" s="343"/>
      <c r="DX130" s="343"/>
      <c r="DY130" s="523">
        <v>0.2</v>
      </c>
      <c r="DZ130" s="343"/>
      <c r="EA130" s="616">
        <f t="shared" ref="EA130:EZ130" si="667">EA84</f>
        <v>5.5160000000000009E-3</v>
      </c>
      <c r="EB130" s="618">
        <f t="shared" si="237"/>
        <v>5.5160000000000009E-3</v>
      </c>
      <c r="EC130" s="618">
        <f t="shared" si="667"/>
        <v>0</v>
      </c>
      <c r="ED130" s="618">
        <f t="shared" si="667"/>
        <v>5.5160000000000009E-3</v>
      </c>
      <c r="EE130" s="616">
        <f t="shared" si="667"/>
        <v>5.5160000000000009E-3</v>
      </c>
      <c r="EF130" s="616">
        <f t="shared" si="667"/>
        <v>0</v>
      </c>
      <c r="EG130" s="616">
        <f t="shared" si="667"/>
        <v>0</v>
      </c>
      <c r="EH130" s="616">
        <f t="shared" si="667"/>
        <v>0</v>
      </c>
      <c r="EI130" s="348"/>
      <c r="EJ130" s="620">
        <f t="shared" si="644"/>
        <v>5.5160000000000009E-3</v>
      </c>
      <c r="EK130" s="615">
        <f t="shared" si="645"/>
        <v>0</v>
      </c>
      <c r="EL130" s="615">
        <f t="shared" si="646"/>
        <v>5.5160000000000009E-3</v>
      </c>
      <c r="EM130" s="615">
        <f t="shared" si="647"/>
        <v>0</v>
      </c>
      <c r="EN130" s="615">
        <f t="shared" si="648"/>
        <v>0</v>
      </c>
      <c r="EO130" s="339"/>
      <c r="EP130" s="627">
        <f t="shared" si="649"/>
        <v>0</v>
      </c>
      <c r="EQ130" s="627">
        <f t="shared" si="650"/>
        <v>1</v>
      </c>
      <c r="ER130" s="627">
        <f t="shared" si="651"/>
        <v>1</v>
      </c>
      <c r="ES130" s="606">
        <f t="shared" si="667"/>
        <v>0</v>
      </c>
      <c r="ET130" s="615">
        <f t="shared" si="667"/>
        <v>6</v>
      </c>
      <c r="EU130" s="616">
        <f t="shared" si="667"/>
        <v>0</v>
      </c>
      <c r="EV130" s="616">
        <f t="shared" si="667"/>
        <v>6</v>
      </c>
      <c r="EW130" s="616">
        <f t="shared" si="667"/>
        <v>6</v>
      </c>
      <c r="EX130" s="616">
        <f t="shared" si="667"/>
        <v>0</v>
      </c>
      <c r="EY130" s="616">
        <f t="shared" si="667"/>
        <v>0</v>
      </c>
      <c r="EZ130" s="616">
        <f t="shared" si="667"/>
        <v>0</v>
      </c>
      <c r="FA130" s="85"/>
      <c r="FB130" s="616">
        <f t="shared" ref="FB130:FF130" si="668">FB84</f>
        <v>6</v>
      </c>
      <c r="FC130" s="616">
        <f t="shared" si="668"/>
        <v>0</v>
      </c>
      <c r="FD130" s="616">
        <f t="shared" si="668"/>
        <v>6</v>
      </c>
      <c r="FE130" s="616">
        <f t="shared" si="668"/>
        <v>0</v>
      </c>
      <c r="FF130" s="616">
        <f t="shared" si="668"/>
        <v>0</v>
      </c>
      <c r="FG130" s="48"/>
    </row>
    <row r="131" spans="1:163" ht="3" hidden="1" customHeight="1" outlineLevel="1">
      <c r="A131" s="48"/>
      <c r="B131" s="96"/>
      <c r="C131" s="278"/>
      <c r="D131" s="272"/>
      <c r="E131" s="48"/>
      <c r="F131" s="338"/>
      <c r="G131" s="619"/>
      <c r="H131" s="374"/>
      <c r="I131" s="374"/>
      <c r="J131" s="374"/>
      <c r="K131" s="374"/>
      <c r="L131" s="374"/>
      <c r="M131" s="374"/>
      <c r="N131" s="374"/>
      <c r="O131" s="374"/>
      <c r="P131" s="374"/>
      <c r="Q131" s="374"/>
      <c r="R131" s="374"/>
      <c r="S131" s="374"/>
      <c r="T131" s="48"/>
      <c r="U131" s="519"/>
      <c r="V131" s="131"/>
      <c r="W131" s="338"/>
      <c r="X131" s="619">
        <f t="shared" si="234"/>
        <v>0</v>
      </c>
      <c r="Y131" s="374"/>
      <c r="Z131" s="374"/>
      <c r="AA131" s="374"/>
      <c r="AB131" s="374"/>
      <c r="AC131" s="374"/>
      <c r="AD131" s="374"/>
      <c r="AE131" s="374"/>
      <c r="AF131" s="374"/>
      <c r="AG131" s="374"/>
      <c r="AH131" s="374"/>
      <c r="AI131" s="374"/>
      <c r="AJ131" s="374"/>
      <c r="AK131" s="374"/>
      <c r="AL131" s="603"/>
      <c r="AM131" s="603"/>
      <c r="AN131" s="603"/>
      <c r="AO131" s="345"/>
      <c r="AP131" s="359"/>
      <c r="AQ131" s="359"/>
      <c r="AR131" s="359"/>
      <c r="AS131" s="359"/>
      <c r="AT131" s="359"/>
      <c r="AU131" s="359"/>
      <c r="AV131" s="359"/>
      <c r="AW131" s="359"/>
      <c r="AX131" s="359"/>
      <c r="AY131" s="359"/>
      <c r="AZ131" s="359"/>
      <c r="BA131" s="359"/>
      <c r="BB131" s="359"/>
      <c r="BC131" s="359"/>
      <c r="BD131" s="359"/>
      <c r="BE131" s="525"/>
      <c r="BF131" s="343"/>
      <c r="BG131" s="344"/>
      <c r="BH131" s="618">
        <f t="shared" si="235"/>
        <v>0</v>
      </c>
      <c r="BI131" s="374"/>
      <c r="BJ131" s="374"/>
      <c r="BK131" s="374"/>
      <c r="BL131" s="374"/>
      <c r="BM131" s="374"/>
      <c r="BN131" s="374"/>
      <c r="BO131" s="374"/>
      <c r="BP131" s="374"/>
      <c r="BQ131" s="374"/>
      <c r="BR131" s="374"/>
      <c r="BS131" s="374"/>
      <c r="BT131" s="374"/>
      <c r="BU131" s="374"/>
      <c r="BV131" s="525"/>
      <c r="BW131" s="525"/>
      <c r="BX131" s="525"/>
      <c r="BY131" s="345"/>
      <c r="BZ131" s="540"/>
      <c r="CA131" s="540"/>
      <c r="CB131" s="542"/>
      <c r="CC131" s="540"/>
      <c r="CD131" s="540"/>
      <c r="CE131" s="540"/>
      <c r="CF131" s="540"/>
      <c r="CG131" s="540"/>
      <c r="CH131" s="542"/>
      <c r="CI131" s="540"/>
      <c r="CJ131" s="540"/>
      <c r="CK131" s="540"/>
      <c r="CL131" s="540"/>
      <c r="CM131" s="343"/>
      <c r="CN131" s="343"/>
      <c r="CO131" s="525"/>
      <c r="CP131" s="343"/>
      <c r="CQ131" s="344"/>
      <c r="CR131" s="618">
        <f t="shared" si="236"/>
        <v>0</v>
      </c>
      <c r="CS131" s="374"/>
      <c r="CT131" s="374"/>
      <c r="CU131" s="374"/>
      <c r="CV131" s="374"/>
      <c r="CW131" s="374"/>
      <c r="CX131" s="374"/>
      <c r="CY131" s="374"/>
      <c r="CZ131" s="374"/>
      <c r="DA131" s="374"/>
      <c r="DB131" s="374"/>
      <c r="DC131" s="374"/>
      <c r="DD131" s="374"/>
      <c r="DE131" s="374"/>
      <c r="DF131" s="603"/>
      <c r="DG131" s="603"/>
      <c r="DH131" s="603"/>
      <c r="DI131" s="345"/>
      <c r="DJ131" s="359"/>
      <c r="DK131" s="359"/>
      <c r="DL131" s="359"/>
      <c r="DM131" s="374"/>
      <c r="DN131" s="374"/>
      <c r="DO131" s="374"/>
      <c r="DP131" s="374"/>
      <c r="DQ131" s="374"/>
      <c r="DR131" s="359"/>
      <c r="DS131" s="374"/>
      <c r="DT131" s="374"/>
      <c r="DU131" s="374"/>
      <c r="DV131" s="374"/>
      <c r="DW131" s="343"/>
      <c r="DX131" s="343"/>
      <c r="DY131" s="525"/>
      <c r="DZ131" s="343"/>
      <c r="EA131" s="344"/>
      <c r="EB131" s="618">
        <f t="shared" si="237"/>
        <v>0</v>
      </c>
      <c r="EC131" s="88"/>
      <c r="ED131" s="88"/>
      <c r="EE131" s="88"/>
      <c r="EF131" s="88"/>
      <c r="EG131" s="88"/>
      <c r="EH131" s="88"/>
      <c r="EI131" s="88"/>
      <c r="EJ131" s="88"/>
      <c r="EK131" s="88"/>
      <c r="EL131" s="88"/>
      <c r="EM131" s="88"/>
      <c r="EN131" s="88"/>
      <c r="EO131" s="88"/>
      <c r="EP131" s="103"/>
      <c r="EQ131" s="103"/>
      <c r="ER131" s="103"/>
      <c r="ES131" s="55"/>
      <c r="ET131" s="56"/>
      <c r="EU131" s="56"/>
      <c r="EV131" s="56"/>
      <c r="EW131" s="88"/>
      <c r="EX131" s="88"/>
      <c r="EY131" s="88"/>
      <c r="EZ131" s="88"/>
      <c r="FA131" s="88"/>
      <c r="FB131" s="56"/>
      <c r="FC131" s="88"/>
      <c r="FD131" s="88"/>
      <c r="FE131" s="88"/>
      <c r="FF131" s="88"/>
      <c r="FG131" s="48"/>
    </row>
    <row r="132" spans="1:163" ht="14.25" hidden="1" outlineLevel="1" collapsed="1">
      <c r="A132" s="48"/>
      <c r="B132" s="73"/>
      <c r="C132" s="275">
        <v>8</v>
      </c>
      <c r="D132" s="271" t="s">
        <v>137</v>
      </c>
      <c r="E132" s="74"/>
      <c r="F132" s="614">
        <f>W132+BG132+CQ132+EA132</f>
        <v>1.8241949999999998</v>
      </c>
      <c r="G132" s="614">
        <f>X132+BH132+CR132+EB132</f>
        <v>1.8241949999999998</v>
      </c>
      <c r="H132" s="612">
        <f>F132-G132</f>
        <v>0</v>
      </c>
      <c r="I132" s="614">
        <f t="shared" ref="I132:I142" si="669">Z132+BJ132+CT132+ED132</f>
        <v>0</v>
      </c>
      <c r="J132" s="614">
        <f t="shared" ref="J132:J142" si="670">AA132+BK132+CU132+EE132</f>
        <v>0</v>
      </c>
      <c r="K132" s="614">
        <f t="shared" ref="K132:K142" si="671">AB132+BL132+CV132+EF132</f>
        <v>0</v>
      </c>
      <c r="L132" s="614">
        <f t="shared" ref="L132:L142" si="672">AC132+BM132+CW132+EG132</f>
        <v>0</v>
      </c>
      <c r="M132" s="614">
        <f t="shared" ref="M132:M142" si="673">AD132+BN132+CX132+EH132</f>
        <v>0</v>
      </c>
      <c r="N132" s="281"/>
      <c r="O132" s="614">
        <f t="shared" ref="O132:O142" si="674">AF132+BP132+CZ132+EJ132</f>
        <v>0</v>
      </c>
      <c r="P132" s="614">
        <f t="shared" ref="P132:P142" si="675">AG132+BQ132+DA132+EK132</f>
        <v>0</v>
      </c>
      <c r="Q132" s="614">
        <f t="shared" ref="Q132:Q142" si="676">AH132+BR132+DB132+EL132</f>
        <v>0</v>
      </c>
      <c r="R132" s="614">
        <f t="shared" ref="R132:R142" si="677">AI132+BS132+DC132+EM132</f>
        <v>0</v>
      </c>
      <c r="S132" s="614">
        <f t="shared" ref="S132:S142" si="678">AJ132+BT132+DD132+EN132</f>
        <v>0</v>
      </c>
      <c r="T132" s="74"/>
      <c r="U132" s="332">
        <f>SUM(U133:U142)</f>
        <v>0.5</v>
      </c>
      <c r="V132" s="332"/>
      <c r="W132" s="614">
        <f>U132*(5%*'BOQ COST'!E14)*1</f>
        <v>1.2008749999999999</v>
      </c>
      <c r="X132" s="614">
        <f t="shared" si="234"/>
        <v>1.2008749999999999</v>
      </c>
      <c r="Y132" s="612">
        <f>SUM(Y133:Y142)</f>
        <v>1.2008749999999999</v>
      </c>
      <c r="Z132" s="612">
        <f>SUM(Z133:Z142)</f>
        <v>0</v>
      </c>
      <c r="AA132" s="612">
        <f t="shared" ref="AA132:AD132" si="679">SUM(AA133:AA142)</f>
        <v>0</v>
      </c>
      <c r="AB132" s="612">
        <f t="shared" si="679"/>
        <v>0</v>
      </c>
      <c r="AC132" s="612">
        <f t="shared" si="679"/>
        <v>0</v>
      </c>
      <c r="AD132" s="612">
        <f t="shared" si="679"/>
        <v>0</v>
      </c>
      <c r="AE132" s="281"/>
      <c r="AF132" s="612">
        <f>SUM(AF133:AF142)</f>
        <v>0</v>
      </c>
      <c r="AG132" s="612">
        <f t="shared" ref="AG132:AJ132" si="680">SUM(AG133:AG142)</f>
        <v>0</v>
      </c>
      <c r="AH132" s="612">
        <f t="shared" si="680"/>
        <v>0</v>
      </c>
      <c r="AI132" s="612">
        <f t="shared" si="680"/>
        <v>0</v>
      </c>
      <c r="AJ132" s="612">
        <f t="shared" si="680"/>
        <v>0</v>
      </c>
      <c r="AK132" s="281"/>
      <c r="AL132" s="605"/>
      <c r="AM132" s="605"/>
      <c r="AN132" s="605"/>
      <c r="AO132" s="612">
        <f t="shared" ref="AO132" si="681">SUM(AO133:AO142)</f>
        <v>0</v>
      </c>
      <c r="AP132" s="612">
        <f t="shared" ref="AP132" si="682">SUM(AP133:AP142)</f>
        <v>90</v>
      </c>
      <c r="AQ132" s="612">
        <f t="shared" ref="AQ132" si="683">SUM(AQ133:AQ142)</f>
        <v>90</v>
      </c>
      <c r="AR132" s="612">
        <f t="shared" ref="AR132:AR201" si="684">SUM(AS132:AV132)</f>
        <v>0</v>
      </c>
      <c r="AS132" s="612">
        <f>SUM(AS133:AS142)</f>
        <v>0</v>
      </c>
      <c r="AT132" s="612">
        <f t="shared" ref="AT132:AX132" si="685">SUM(AT133:AT142)</f>
        <v>0</v>
      </c>
      <c r="AU132" s="612">
        <f t="shared" si="685"/>
        <v>0</v>
      </c>
      <c r="AV132" s="612">
        <f t="shared" si="685"/>
        <v>0</v>
      </c>
      <c r="AW132" s="281"/>
      <c r="AX132" s="612">
        <f t="shared" si="685"/>
        <v>0</v>
      </c>
      <c r="AY132" s="612">
        <f>SUM(AY133:AY142)</f>
        <v>0</v>
      </c>
      <c r="AZ132" s="612">
        <f t="shared" ref="AZ132:BB132" si="686">SUM(AZ133:AZ142)</f>
        <v>0</v>
      </c>
      <c r="BA132" s="612">
        <f t="shared" si="686"/>
        <v>0</v>
      </c>
      <c r="BB132" s="612">
        <f t="shared" si="686"/>
        <v>0</v>
      </c>
      <c r="BC132" s="336"/>
      <c r="BD132" s="336"/>
      <c r="BE132" s="332">
        <f>SUM(BE133:BE142)</f>
        <v>0.55000000000000004</v>
      </c>
      <c r="BF132" s="332"/>
      <c r="BG132" s="614">
        <f>BE132*(3%*'BOQ COST'!F14)*1</f>
        <v>0.52139999999999997</v>
      </c>
      <c r="BH132" s="614">
        <f t="shared" si="235"/>
        <v>0.52139999999999997</v>
      </c>
      <c r="BI132" s="612">
        <f>SUM(BI133:BI142)</f>
        <v>0.52139999999999997</v>
      </c>
      <c r="BJ132" s="612">
        <f>SUM(BJ133:BJ142)</f>
        <v>0</v>
      </c>
      <c r="BK132" s="612">
        <f t="shared" ref="BK132:CF132" si="687">SUM(BK133:BK142)</f>
        <v>0</v>
      </c>
      <c r="BL132" s="612">
        <f t="shared" si="687"/>
        <v>0</v>
      </c>
      <c r="BM132" s="612">
        <f t="shared" si="687"/>
        <v>0</v>
      </c>
      <c r="BN132" s="612">
        <f t="shared" si="687"/>
        <v>0</v>
      </c>
      <c r="BO132" s="281"/>
      <c r="BP132" s="612">
        <f>SUM(BP133:BP142)</f>
        <v>0</v>
      </c>
      <c r="BQ132" s="612">
        <f t="shared" ref="BQ132:BT132" si="688">SUM(BQ133:BQ142)</f>
        <v>0</v>
      </c>
      <c r="BR132" s="612">
        <f t="shared" si="688"/>
        <v>0</v>
      </c>
      <c r="BS132" s="612">
        <f t="shared" si="688"/>
        <v>0</v>
      </c>
      <c r="BT132" s="612">
        <f t="shared" si="688"/>
        <v>0</v>
      </c>
      <c r="BU132" s="281"/>
      <c r="BV132" s="524"/>
      <c r="BW132" s="524"/>
      <c r="BX132" s="524"/>
      <c r="BY132" s="612">
        <f t="shared" si="687"/>
        <v>0</v>
      </c>
      <c r="BZ132" s="612">
        <f t="shared" si="687"/>
        <v>45</v>
      </c>
      <c r="CA132" s="612">
        <f t="shared" si="687"/>
        <v>45</v>
      </c>
      <c r="CB132" s="612">
        <f t="shared" si="687"/>
        <v>0</v>
      </c>
      <c r="CC132" s="612">
        <f t="shared" si="687"/>
        <v>0</v>
      </c>
      <c r="CD132" s="612">
        <f t="shared" si="687"/>
        <v>0</v>
      </c>
      <c r="CE132" s="612">
        <f t="shared" si="687"/>
        <v>0</v>
      </c>
      <c r="CF132" s="612">
        <f t="shared" si="687"/>
        <v>0</v>
      </c>
      <c r="CG132" s="535"/>
      <c r="CH132" s="612">
        <f t="shared" ref="CH132:CL132" si="689">SUM(CH133:CH142)</f>
        <v>0</v>
      </c>
      <c r="CI132" s="612">
        <f t="shared" si="689"/>
        <v>0</v>
      </c>
      <c r="CJ132" s="612">
        <f t="shared" si="689"/>
        <v>0</v>
      </c>
      <c r="CK132" s="612">
        <f t="shared" si="689"/>
        <v>0</v>
      </c>
      <c r="CL132" s="612">
        <f t="shared" si="689"/>
        <v>0</v>
      </c>
      <c r="CM132" s="332"/>
      <c r="CN132" s="332"/>
      <c r="CO132" s="332">
        <f>SUM(CO133:CO142)</f>
        <v>0.65</v>
      </c>
      <c r="CP132" s="332"/>
      <c r="CQ132" s="614">
        <f>CO132*(2%*'BOQ COST'!$G$14)*1</f>
        <v>0.10192</v>
      </c>
      <c r="CR132" s="614">
        <f t="shared" si="236"/>
        <v>0.10192</v>
      </c>
      <c r="CS132" s="612">
        <f>SUM(CS133:CS142)</f>
        <v>0.10192</v>
      </c>
      <c r="CT132" s="612">
        <f>SUM(CT133:CT142)</f>
        <v>0</v>
      </c>
      <c r="CU132" s="612">
        <f t="shared" ref="CU132:DP132" si="690">SUM(CU133:CU142)</f>
        <v>0</v>
      </c>
      <c r="CV132" s="612">
        <f t="shared" si="690"/>
        <v>0</v>
      </c>
      <c r="CW132" s="612">
        <f t="shared" si="690"/>
        <v>0</v>
      </c>
      <c r="CX132" s="612">
        <f t="shared" si="690"/>
        <v>0</v>
      </c>
      <c r="CY132" s="281"/>
      <c r="CZ132" s="612">
        <f>SUM(CZ133:CZ142)</f>
        <v>0</v>
      </c>
      <c r="DA132" s="612">
        <f t="shared" ref="DA132:DD132" si="691">SUM(DA133:DA142)</f>
        <v>0</v>
      </c>
      <c r="DB132" s="612">
        <f t="shared" si="691"/>
        <v>0</v>
      </c>
      <c r="DC132" s="612">
        <f t="shared" si="691"/>
        <v>0</v>
      </c>
      <c r="DD132" s="612">
        <f t="shared" si="691"/>
        <v>0</v>
      </c>
      <c r="DE132" s="281"/>
      <c r="DF132" s="605"/>
      <c r="DG132" s="605"/>
      <c r="DH132" s="605"/>
      <c r="DI132" s="612">
        <f t="shared" si="690"/>
        <v>0</v>
      </c>
      <c r="DJ132" s="612">
        <f t="shared" si="690"/>
        <v>55</v>
      </c>
      <c r="DK132" s="612">
        <f t="shared" si="690"/>
        <v>55</v>
      </c>
      <c r="DL132" s="612">
        <f t="shared" si="690"/>
        <v>0</v>
      </c>
      <c r="DM132" s="612">
        <f t="shared" si="690"/>
        <v>0</v>
      </c>
      <c r="DN132" s="612">
        <f t="shared" si="690"/>
        <v>0</v>
      </c>
      <c r="DO132" s="612">
        <f t="shared" si="690"/>
        <v>0</v>
      </c>
      <c r="DP132" s="612">
        <f t="shared" si="690"/>
        <v>0</v>
      </c>
      <c r="DQ132" s="281"/>
      <c r="DR132" s="612">
        <f t="shared" ref="DR132:DV132" si="692">SUM(DR133:DR142)</f>
        <v>0</v>
      </c>
      <c r="DS132" s="612">
        <f t="shared" si="692"/>
        <v>0</v>
      </c>
      <c r="DT132" s="612">
        <f t="shared" si="692"/>
        <v>0</v>
      </c>
      <c r="DU132" s="612">
        <f t="shared" si="692"/>
        <v>0</v>
      </c>
      <c r="DV132" s="612">
        <f t="shared" si="692"/>
        <v>0</v>
      </c>
      <c r="DW132" s="332"/>
      <c r="DX132" s="332"/>
      <c r="DY132" s="614">
        <f>SUM(DY133:DY142)</f>
        <v>0</v>
      </c>
      <c r="DZ132" s="332"/>
      <c r="EA132" s="612">
        <f>DY132*(7%*'BOQ COST'!$H$9)*1</f>
        <v>0</v>
      </c>
      <c r="EB132" s="614">
        <f t="shared" si="237"/>
        <v>0</v>
      </c>
      <c r="EC132" s="608">
        <f>SUM(EC133:EC142)</f>
        <v>0</v>
      </c>
      <c r="ED132" s="608">
        <f>SUM(ED133:ED142)</f>
        <v>0</v>
      </c>
      <c r="EE132" s="608">
        <f t="shared" ref="EE132:EZ132" si="693">SUM(EE133:EE142)</f>
        <v>0</v>
      </c>
      <c r="EF132" s="608">
        <f t="shared" si="693"/>
        <v>0</v>
      </c>
      <c r="EG132" s="608">
        <f t="shared" si="693"/>
        <v>0</v>
      </c>
      <c r="EH132" s="608">
        <f t="shared" si="693"/>
        <v>0</v>
      </c>
      <c r="EI132" s="127"/>
      <c r="EJ132" s="608">
        <f>SUM(EJ133:EJ142)</f>
        <v>0</v>
      </c>
      <c r="EK132" s="608">
        <f t="shared" ref="EK132:EN132" si="694">SUM(EK133:EK142)</f>
        <v>0</v>
      </c>
      <c r="EL132" s="608">
        <f t="shared" si="694"/>
        <v>0</v>
      </c>
      <c r="EM132" s="608">
        <f t="shared" si="694"/>
        <v>0</v>
      </c>
      <c r="EN132" s="608">
        <f t="shared" si="694"/>
        <v>0</v>
      </c>
      <c r="EO132" s="127"/>
      <c r="EP132" s="641"/>
      <c r="EQ132" s="641"/>
      <c r="ER132" s="641"/>
      <c r="ES132" s="608">
        <f t="shared" si="693"/>
        <v>0</v>
      </c>
      <c r="ET132" s="608">
        <f t="shared" si="693"/>
        <v>0</v>
      </c>
      <c r="EU132" s="608">
        <f t="shared" si="693"/>
        <v>0</v>
      </c>
      <c r="EV132" s="608">
        <f t="shared" si="693"/>
        <v>0</v>
      </c>
      <c r="EW132" s="608">
        <f t="shared" si="693"/>
        <v>0</v>
      </c>
      <c r="EX132" s="608">
        <f t="shared" si="693"/>
        <v>0</v>
      </c>
      <c r="EY132" s="608">
        <f t="shared" si="693"/>
        <v>0</v>
      </c>
      <c r="EZ132" s="608">
        <f t="shared" si="693"/>
        <v>0</v>
      </c>
      <c r="FA132" s="127"/>
      <c r="FB132" s="608">
        <f t="shared" ref="FB132:FF132" si="695">SUM(FB133:FB142)</f>
        <v>0</v>
      </c>
      <c r="FC132" s="608">
        <f t="shared" si="695"/>
        <v>0</v>
      </c>
      <c r="FD132" s="608">
        <f t="shared" si="695"/>
        <v>0</v>
      </c>
      <c r="FE132" s="608">
        <f t="shared" si="695"/>
        <v>0</v>
      </c>
      <c r="FF132" s="608">
        <f t="shared" si="695"/>
        <v>0</v>
      </c>
      <c r="FG132" s="48"/>
    </row>
    <row r="133" spans="1:163" ht="14.25" hidden="1" outlineLevel="2">
      <c r="A133" s="48"/>
      <c r="B133" s="87" t="s">
        <v>138</v>
      </c>
      <c r="C133" s="276">
        <v>1</v>
      </c>
      <c r="D133" s="272" t="s">
        <v>52</v>
      </c>
      <c r="E133" s="48"/>
      <c r="F133" s="619">
        <f t="shared" ref="F133:F142" si="696">W133+BG133+CQ133+EA133</f>
        <v>0.17052375</v>
      </c>
      <c r="G133" s="619">
        <f t="shared" ref="G133:G142" si="697">X133+BH133+CR133+EB133</f>
        <v>0.17052375</v>
      </c>
      <c r="H133" s="615">
        <f t="shared" ref="H133:H142" si="698">F133-G133</f>
        <v>0</v>
      </c>
      <c r="I133" s="615">
        <f t="shared" si="669"/>
        <v>0</v>
      </c>
      <c r="J133" s="615">
        <f t="shared" si="670"/>
        <v>0</v>
      </c>
      <c r="K133" s="615">
        <f t="shared" si="671"/>
        <v>0</v>
      </c>
      <c r="L133" s="615">
        <f t="shared" si="672"/>
        <v>0</v>
      </c>
      <c r="M133" s="620">
        <f t="shared" si="673"/>
        <v>0</v>
      </c>
      <c r="N133" s="287"/>
      <c r="O133" s="615">
        <f t="shared" si="674"/>
        <v>0</v>
      </c>
      <c r="P133" s="615">
        <f t="shared" si="675"/>
        <v>0</v>
      </c>
      <c r="Q133" s="615">
        <f t="shared" si="676"/>
        <v>0</v>
      </c>
      <c r="R133" s="615">
        <f t="shared" si="677"/>
        <v>0</v>
      </c>
      <c r="S133" s="615">
        <f t="shared" si="678"/>
        <v>0</v>
      </c>
      <c r="T133" s="48"/>
      <c r="U133" s="519">
        <v>2.5000000000000001E-2</v>
      </c>
      <c r="V133" s="131"/>
      <c r="W133" s="619">
        <f t="shared" ref="W133:W142" si="699">$W$132/$U$132*U133</f>
        <v>6.004375E-2</v>
      </c>
      <c r="X133" s="619">
        <f t="shared" ref="X133:X196" si="700">Y133+AF133</f>
        <v>6.004375E-2</v>
      </c>
      <c r="Y133" s="615">
        <f t="shared" ref="Y133:Y142" si="701">IFERROR(IF(AL133=100%,W133,0),0)</f>
        <v>6.004375E-2</v>
      </c>
      <c r="Z133" s="615">
        <f t="shared" ref="Z133:Z142" si="702">IFERROR(IF(AND((AL133+AM133)=100%,AL133&lt;1),W133,0),0)</f>
        <v>0</v>
      </c>
      <c r="AA133" s="615">
        <f t="shared" ref="AA133:AA142" si="703">IFERROR(IF(AND((AQ133+AS133)=AP133,Y133=0),W133,0),0)</f>
        <v>0</v>
      </c>
      <c r="AB133" s="615">
        <f t="shared" ref="AB133:AB142" si="704">IFERROR(IF(AND((AQ133+AS133+AT133)=AP133,Y133=0,AA133=0),W133,0),0)</f>
        <v>0</v>
      </c>
      <c r="AC133" s="615">
        <f t="shared" ref="AC133:AC142" si="705">IFERROR(IF(AND((AQ133+AS133+AT133+AU133)=AP133,Y133=0,AA133=0,AB133=0),W133,0),0)</f>
        <v>0</v>
      </c>
      <c r="AD133" s="620">
        <f t="shared" ref="AD133:AD142" si="706">IFERROR(IF(AND((AQ133+AS133+AT133+AU133+AV133)=AP133,Y133=0,AA133=0,AB133=0,AC133=0),W133,0),0)</f>
        <v>0</v>
      </c>
      <c r="AE133" s="287"/>
      <c r="AF133" s="615">
        <f t="shared" ref="AF133:AF142" si="707">IFERROR(IF(AND((AL133+AN133)=100%,AL133&lt;1),W133,0),0)</f>
        <v>0</v>
      </c>
      <c r="AG133" s="615">
        <f t="shared" ref="AG133:AG142" si="708">IFERROR(IF(AND((AQ133+AY133)=AP133,Y133=0),W133,0),0)</f>
        <v>0</v>
      </c>
      <c r="AH133" s="615">
        <f t="shared" ref="AH133:AH142" si="709">IFERROR(IF(AND((AQ133+AY133+AZ133)=AP133,Y133=0,AG133=0),W133,0),0)</f>
        <v>0</v>
      </c>
      <c r="AI133" s="615">
        <f t="shared" ref="AI133:AI142" si="710">IFERROR(IF(AND((AQ133+AY133+AZ133+BA133)=AP133,Y133=0,AG133=0,AH133=0),W133,0),0)</f>
        <v>0</v>
      </c>
      <c r="AJ133" s="615">
        <f t="shared" ref="AJ133:AJ142" si="711">IFERROR(IF(AND((AQ133+AY133+AZ133+BA133+BB133)=AP133,Y133=0,AG133=0,AH133=0,AI133=0),W133,0),0)</f>
        <v>0</v>
      </c>
      <c r="AK133" s="339"/>
      <c r="AL133" s="625">
        <f t="shared" ref="AL133:AL142" si="712">IFERROR(AQ133/AP133,0)</f>
        <v>1</v>
      </c>
      <c r="AM133" s="625">
        <f t="shared" ref="AM133:AM142" si="713">IFERROR(AR133/AP133,0)</f>
        <v>0</v>
      </c>
      <c r="AN133" s="625">
        <f t="shared" ref="AN133:AN142" si="714">IFERROR(AX133/AP133,0)</f>
        <v>0</v>
      </c>
      <c r="AO133" s="345"/>
      <c r="AP133" s="615">
        <f>COUNTIF('AR | Drawing List'!$H:$H,"AR-T07-1")</f>
        <v>26</v>
      </c>
      <c r="AQ133" s="616">
        <f>COUNTIFS('AR | Drawing List'!$H:$H,"AR-T07-1",'AR | Drawing List'!$J:$J,1)</f>
        <v>26</v>
      </c>
      <c r="AR133" s="616">
        <f t="shared" si="684"/>
        <v>0</v>
      </c>
      <c r="AS133" s="616">
        <f>COUNTIFS('AR | Drawing List'!$H:$H,"AR-T07-1",'AR | Drawing List'!M:M,1)</f>
        <v>0</v>
      </c>
      <c r="AT133" s="616">
        <f>COUNTIFS('AR | Drawing List'!$H:$H,"AR-T07-1",'AR | Drawing List'!N:N,1)</f>
        <v>0</v>
      </c>
      <c r="AU133" s="616">
        <f>COUNTIFS('AR | Drawing List'!$H:$H,"AR-T07-1",'AR | Drawing List'!O:O,1)</f>
        <v>0</v>
      </c>
      <c r="AV133" s="616">
        <f>COUNTIFS('AR | Drawing List'!$H:$H,"AR-T07-1",'AR | Drawing List'!P:P,1)</f>
        <v>0</v>
      </c>
      <c r="AW133" s="328"/>
      <c r="AX133" s="616">
        <f t="shared" ref="AX133:AX201" si="715">SUM(AY133:BB133)</f>
        <v>0</v>
      </c>
      <c r="AY133" s="616">
        <f>COUNTIFS('AR | Drawing List'!$H:$H,"AR-T07-1",'AR | Drawing List'!R:R,1)</f>
        <v>0</v>
      </c>
      <c r="AZ133" s="616">
        <f>COUNTIFS('AR | Drawing List'!$H:$H,"AR-T07-1",'AR | Drawing List'!S:S,1)</f>
        <v>0</v>
      </c>
      <c r="BA133" s="616">
        <f>COUNTIFS('AR | Drawing List'!$H:$H,"AR-T07-1",'AR | Drawing List'!T:T,1)</f>
        <v>0</v>
      </c>
      <c r="BB133" s="616">
        <f>COUNTIFS('AR | Drawing List'!$H:$H,"AR-T07-1",'AR | Drawing List'!U:U,1)</f>
        <v>0</v>
      </c>
      <c r="BC133" s="359"/>
      <c r="BD133" s="359"/>
      <c r="BE133" s="525">
        <v>0.1</v>
      </c>
      <c r="BF133" s="343"/>
      <c r="BG133" s="616">
        <f t="shared" ref="BG133:BG142" si="716">$BG$132/$BE$132*BE133</f>
        <v>9.4799999999999995E-2</v>
      </c>
      <c r="BH133" s="618">
        <f t="shared" ref="BH133:BH196" si="717">BI133+BP133</f>
        <v>9.4799999999999995E-2</v>
      </c>
      <c r="BI133" s="615">
        <f t="shared" ref="BI133:BI142" si="718">IFERROR(IF(BV133=100%,BG133,0),0)</f>
        <v>9.4799999999999995E-2</v>
      </c>
      <c r="BJ133" s="615">
        <f t="shared" ref="BJ133:BJ142" si="719">IFERROR(IF(AND((BV133+BW133)=100%,BV133&lt;1),BG133,0),0)</f>
        <v>0</v>
      </c>
      <c r="BK133" s="615">
        <f t="shared" ref="BK133:BK142" si="720">IFERROR(IF(AND((CA133+CC133)=BZ133,BI133=0),BG133,0),0)</f>
        <v>0</v>
      </c>
      <c r="BL133" s="615">
        <f t="shared" ref="BL133:BL142" si="721">IFERROR(IF(AND((CA133+CC133+CD133)=BZ133,BI133=0,BK133=0),BG133,0),0)</f>
        <v>0</v>
      </c>
      <c r="BM133" s="615">
        <f t="shared" ref="BM133:BM142" si="722">IFERROR(IF(AND((CA133+CC133+CD133+CE133)=BZ133,BI133=0,BK133=0,BL133=0),BG133,0),0)</f>
        <v>0</v>
      </c>
      <c r="BN133" s="615">
        <f t="shared" ref="BN133:BN142" si="723">IFERROR(IF(AND((CA133+CC133+CD133+CE133+CF133)=BZ133,BI133=0,BK133=0,BL133=0,BM133=0),BG133,0),0)</f>
        <v>0</v>
      </c>
      <c r="BO133" s="339"/>
      <c r="BP133" s="615">
        <f t="shared" ref="BP133:BP142" si="724">IFERROR(IF(AND((BV133+BX133)=100%,BV133&lt;1),BG133,0),0)</f>
        <v>0</v>
      </c>
      <c r="BQ133" s="615">
        <f t="shared" ref="BQ133:BQ142" si="725">IFERROR(IF(AND((CA133+CI133)=BZ133,BI133=0),BG133,0),0)</f>
        <v>0</v>
      </c>
      <c r="BR133" s="615">
        <f t="shared" ref="BR133:BR142" si="726">IFERROR(IF(AND((CA133+CI133+CJ133)=BZ133,BI133=0,BQ133=0),BG133,0),0)</f>
        <v>0</v>
      </c>
      <c r="BS133" s="615">
        <f t="shared" ref="BS133:BS142" si="727">IFERROR(IF(AND((CA133+CI133+CJ133+CK133)=BZ133,BI133=0,BQ133=0,BR133=0),BG133,0),0)</f>
        <v>0</v>
      </c>
      <c r="BT133" s="615">
        <f t="shared" ref="BT133:BT142" si="728">IFERROR(IF(AND((CA133+CI133+CJ133+CK133+CL133)=BZ133,BI133=0,BQ133=0,BR133=0,BS133=0),BG133,0),0)</f>
        <v>0</v>
      </c>
      <c r="BU133" s="339"/>
      <c r="BV133" s="635">
        <f t="shared" ref="BV133:BV142" si="729">IFERROR(CA133/BZ133,0)</f>
        <v>1</v>
      </c>
      <c r="BW133" s="635">
        <f t="shared" ref="BW133:BW142" si="730">IFERROR(CB133/BZ133,0)</f>
        <v>0</v>
      </c>
      <c r="BX133" s="635">
        <f t="shared" ref="BX133:BX142" si="731">IFERROR(CH133/BZ133,0)</f>
        <v>0</v>
      </c>
      <c r="BY133" s="345"/>
      <c r="BZ133" s="615">
        <f>COUNTIF('ST | Drawing List'!$H:$H,"ST-T07-1")</f>
        <v>11</v>
      </c>
      <c r="CA133" s="616">
        <f>COUNTIFS('ST | Drawing List'!$H:$H,"ST-T07-1",'ST | Drawing List'!$J:$J,1)</f>
        <v>11</v>
      </c>
      <c r="CB133" s="623">
        <f>COUNTIFS('ST | Drawing List'!$H:$H,"ST-T07-1",'ST | Drawing List'!$L:$L,1)</f>
        <v>0</v>
      </c>
      <c r="CC133" s="616">
        <f>COUNTIFS('ST | Drawing List'!$H:$H,"ST-T07-1",'ST | Drawing List'!M:M,1)</f>
        <v>0</v>
      </c>
      <c r="CD133" s="616">
        <f>COUNTIFS('ST | Drawing List'!$H:$H,"ST-T07-1",'ST | Drawing List'!N:N,1)</f>
        <v>0</v>
      </c>
      <c r="CE133" s="616">
        <f>COUNTIFS('ST | Drawing List'!$H:$H,"ST-T07-1",'ST | Drawing List'!O:O,1)</f>
        <v>0</v>
      </c>
      <c r="CF133" s="616">
        <f>COUNTIFS('ST | Drawing List'!$H:$H,"ST-T07-1",'ST | Drawing List'!P:P,1)</f>
        <v>0</v>
      </c>
      <c r="CG133" s="532"/>
      <c r="CH133" s="623">
        <f>COUNTIFS('ST | Drawing List'!$H:$H,"ST-T07-1",'ST | Drawing List'!$Q:$Q,1)</f>
        <v>0</v>
      </c>
      <c r="CI133" s="616">
        <f>COUNTIFS('ST | Drawing List'!$H:$H,"ST-T07-1",'ST | Drawing List'!R:R,1)</f>
        <v>0</v>
      </c>
      <c r="CJ133" s="616">
        <f>COUNTIFS('ST | Drawing List'!$H:$H,"ST-T07-1",'ST | Drawing List'!S:S,1)</f>
        <v>0</v>
      </c>
      <c r="CK133" s="616">
        <f>COUNTIFS('ST | Drawing List'!$H:$H,"ST-T07-1",'ST | Drawing List'!T:T,1)</f>
        <v>0</v>
      </c>
      <c r="CL133" s="616">
        <f>COUNTIFS('ST | Drawing List'!$H:$H,"ST-T07-1",'ST | Drawing List'!U:U,1)</f>
        <v>0</v>
      </c>
      <c r="CM133" s="343"/>
      <c r="CN133" s="343"/>
      <c r="CO133" s="667">
        <v>0.1</v>
      </c>
      <c r="CP133" s="343"/>
      <c r="CQ133" s="616">
        <f t="shared" ref="CQ133:CQ142" si="732">$CQ$132/$CO$132*CO133</f>
        <v>1.5679999999999999E-2</v>
      </c>
      <c r="CR133" s="618">
        <f t="shared" ref="CR133:CR196" si="733">CS133+CZ133</f>
        <v>1.5679999999999999E-2</v>
      </c>
      <c r="CS133" s="615">
        <f t="shared" ref="CS133:CS142" si="734">IFERROR(IF(DF133=100%,CQ133,0),0)</f>
        <v>1.5679999999999999E-2</v>
      </c>
      <c r="CT133" s="615">
        <f t="shared" ref="CT133:CT142" si="735">IFERROR(IF(AND((DF133+DG133)=100%,DF133&lt;1),CQ133,0),0)</f>
        <v>0</v>
      </c>
      <c r="CU133" s="615">
        <f t="shared" ref="CU133:CU142" si="736">IFERROR(IF(AND((DK133+DM133)=DJ133,CS133=0),CQ133,0),0)</f>
        <v>0</v>
      </c>
      <c r="CV133" s="615">
        <f t="shared" ref="CV133:CV142" si="737">IFERROR(IF(AND((DK133+DM133+DN133)=DJ133,CS133=0,CU133=0),CQ133,0),0)</f>
        <v>0</v>
      </c>
      <c r="CW133" s="615">
        <f t="shared" ref="CW133:CW142" si="738">IFERROR(IF(AND((DK133+DM133+DN133+DO133)=DJ133,CS133=0,CU133=0,CV133=0),CQ133,0),0)</f>
        <v>0</v>
      </c>
      <c r="CX133" s="615">
        <f t="shared" ref="CX133:CX142" si="739">IFERROR(IF(AND((DK133+DM133+DN133+DO133+DP133)=DJ133,CS133=0,CU133=0,CV133=0,CW133=0),CQ133,0),0)</f>
        <v>0</v>
      </c>
      <c r="CY133" s="339"/>
      <c r="CZ133" s="615">
        <f t="shared" ref="CZ133:CZ142" si="740">IFERROR(IF(AND((DF133+DH133)=100%,DF133&lt;1),CQ133,0),0)</f>
        <v>0</v>
      </c>
      <c r="DA133" s="615">
        <f t="shared" ref="DA133:DA142" si="741">IFERROR(IF(AND((DK133+DS133)=DJ133,CS133=0),CQ133,0),0)</f>
        <v>0</v>
      </c>
      <c r="DB133" s="615">
        <f t="shared" ref="DB133:DB142" si="742">IFERROR(IF(AND((DK133+DS133+DT133)=DJ133,CS133=0,DA133=0),CQ133,0),0)</f>
        <v>0</v>
      </c>
      <c r="DC133" s="615">
        <f t="shared" ref="DC133:DC142" si="743">IFERROR(IF(AND((DK133+DS133+DT133+DU133)=DJ133,CS133=0,DA133=0,DB133=0),CQ133,0),0)</f>
        <v>0</v>
      </c>
      <c r="DD133" s="615">
        <f t="shared" ref="DD133:DD142" si="744">IFERROR(IF(AND((DK133+DS133+DT133+DU133+DV133)=DJ133,CS133=0,DA133=0,DB133=0,DC133=0),CQ133,0),0)</f>
        <v>0</v>
      </c>
      <c r="DE133" s="339"/>
      <c r="DF133" s="625">
        <f t="shared" ref="DF133:DF142" si="745">IFERROR(DK133/DJ133,0)</f>
        <v>1</v>
      </c>
      <c r="DG133" s="625">
        <f t="shared" ref="DG133:DG142" si="746">IFERROR(DL133/DJ133,0)</f>
        <v>0</v>
      </c>
      <c r="DH133" s="625">
        <f t="shared" ref="DH133:DH142" si="747">IFERROR(DR133/DJ133,0)</f>
        <v>0</v>
      </c>
      <c r="DI133" s="345"/>
      <c r="DJ133" s="615">
        <f>COUNTIF('MEP | Drawing List'!$H:$H,"MEP-T01-07-1")</f>
        <v>1</v>
      </c>
      <c r="DK133" s="616">
        <f>COUNTIFS('MEP | Drawing List'!$H:$H,"MEP-T01-07-1",'MEP | Drawing List'!$J:$J,1)</f>
        <v>1</v>
      </c>
      <c r="DL133" s="616">
        <f>COUNTIFS('MEP | Drawing List'!$H:$H,"MEP-T01-07-1",'MEP | Drawing List'!$L:$L,1)</f>
        <v>0</v>
      </c>
      <c r="DM133" s="615">
        <f>COUNTIFS('MEP | Drawing List'!$H:$H,"MEP-T01-07-1",'MEP | Drawing List'!M:M,1)</f>
        <v>0</v>
      </c>
      <c r="DN133" s="615">
        <f>COUNTIFS('MEP | Drawing List'!$H:$H,"MEP-T01-07-1",'MEP | Drawing List'!N:N,1)</f>
        <v>0</v>
      </c>
      <c r="DO133" s="615">
        <f>COUNTIFS('MEP | Drawing List'!$H:$H,"MEP-T01-07-1",'MEP | Drawing List'!O:O,1)</f>
        <v>0</v>
      </c>
      <c r="DP133" s="615">
        <f>COUNTIFS('MEP | Drawing List'!$H:$H,"MEP-T01-07-1",'MEP | Drawing List'!P:P,1)</f>
        <v>0</v>
      </c>
      <c r="DQ133" s="339"/>
      <c r="DR133" s="616">
        <f>COUNTIFS('MEP | Drawing List'!$H:$H,"MEP-T01-07-1",'MEP | Drawing List'!$Q:$Q,1)</f>
        <v>0</v>
      </c>
      <c r="DS133" s="615">
        <f>COUNTIFS('MEP | Drawing List'!$H:$H,"MEP-T01-07-1",'MEP | Drawing List'!R:R,1)</f>
        <v>0</v>
      </c>
      <c r="DT133" s="615">
        <f>COUNTIFS('MEP | Drawing List'!$H:$H,"MEP-T01-07-1",'MEP | Drawing List'!S:S,1)</f>
        <v>0</v>
      </c>
      <c r="DU133" s="615">
        <f>COUNTIFS('MEP | Drawing List'!$H:$H,"MEP-T01-07-1",'MEP | Drawing List'!T:T,1)</f>
        <v>0</v>
      </c>
      <c r="DV133" s="615">
        <f>COUNTIFS('MEP | Drawing List'!$H:$H,"MEP-T01-07-1",'MEP | Drawing List'!U:U,1)</f>
        <v>0</v>
      </c>
      <c r="DW133" s="343"/>
      <c r="DX133" s="343"/>
      <c r="DY133" s="525">
        <v>0</v>
      </c>
      <c r="DZ133" s="343"/>
      <c r="EA133" s="344">
        <v>0</v>
      </c>
      <c r="EB133" s="618">
        <f t="shared" ref="EB133:EB196" si="748">EC133+EJ133</f>
        <v>0</v>
      </c>
      <c r="EC133" s="339"/>
      <c r="ED133" s="339"/>
      <c r="EE133" s="339"/>
      <c r="EF133" s="339"/>
      <c r="EG133" s="339"/>
      <c r="EH133" s="339"/>
      <c r="EI133" s="339"/>
      <c r="EJ133" s="339"/>
      <c r="EK133" s="339"/>
      <c r="EL133" s="339"/>
      <c r="EM133" s="339"/>
      <c r="EN133" s="339"/>
      <c r="EO133" s="339"/>
      <c r="EP133" s="603"/>
      <c r="EQ133" s="603"/>
      <c r="ER133" s="603"/>
      <c r="ES133" s="345"/>
      <c r="ET133" s="615">
        <f>COUNTIF('LS | Drawing List'!$H:$H,"LS-T07-1")</f>
        <v>0</v>
      </c>
      <c r="EU133" s="616">
        <f>COUNTIFS('LS | Drawing List'!$H:$H,"LS-T07-1",'LS | Drawing List'!$J:$J,1)</f>
        <v>0</v>
      </c>
      <c r="EV133" s="616">
        <f>COUNTIFS('LS | Drawing List'!$H:$H,"LS-T07-1",'LS | Drawing List'!$L:$L,1)</f>
        <v>0</v>
      </c>
      <c r="EW133" s="615">
        <f>COUNTIFS('LS | Drawing List'!$H:$H,"LS-T07-1",'LS | Drawing List'!M:M,1)</f>
        <v>0</v>
      </c>
      <c r="EX133" s="615">
        <f>COUNTIFS('LS | Drawing List'!$H:$H,"LS-T07-1",'LS | Drawing List'!N:N,1)</f>
        <v>0</v>
      </c>
      <c r="EY133" s="615">
        <f>COUNTIFS('LS | Drawing List'!$H:$H,"LS-T07-1",'LS | Drawing List'!O:O,1)</f>
        <v>0</v>
      </c>
      <c r="EZ133" s="615">
        <f>COUNTIFS('LS | Drawing List'!$H:$H,"LS-T07-1",'LS | Drawing List'!P:P,1)</f>
        <v>0</v>
      </c>
      <c r="FA133" s="339"/>
      <c r="FB133" s="616">
        <f>COUNTIFS('LS | Drawing List'!$H:$H,"LS-T07-1",'LS | Drawing List'!$Q:$Q,1)</f>
        <v>0</v>
      </c>
      <c r="FC133" s="615">
        <f>COUNTIFS('LS | Drawing List'!$H:$H,"LS-T07-1",'LS | Drawing List'!R:R,1)</f>
        <v>0</v>
      </c>
      <c r="FD133" s="615">
        <f>COUNTIFS('LS | Drawing List'!$H:$H,"LS-T07-1",'LS | Drawing List'!S:S,1)</f>
        <v>0</v>
      </c>
      <c r="FE133" s="615">
        <f>COUNTIFS('LS | Drawing List'!$H:$H,"LS-T07-1",'LS | Drawing List'!T:T,1)</f>
        <v>0</v>
      </c>
      <c r="FF133" s="615">
        <f>COUNTIFS('LS | Drawing List'!$H:$H,"LS-T07-1",'LS | Drawing List'!U:U,1)</f>
        <v>0</v>
      </c>
      <c r="FG133" s="48"/>
    </row>
    <row r="134" spans="1:163" ht="14.25" hidden="1" outlineLevel="2">
      <c r="A134" s="48"/>
      <c r="B134" s="87" t="s">
        <v>139</v>
      </c>
      <c r="C134" s="276">
        <v>2</v>
      </c>
      <c r="D134" s="272" t="s">
        <v>54</v>
      </c>
      <c r="E134" s="48"/>
      <c r="F134" s="619">
        <f t="shared" si="696"/>
        <v>0.21488750000000001</v>
      </c>
      <c r="G134" s="619">
        <f t="shared" si="697"/>
        <v>0.21488750000000001</v>
      </c>
      <c r="H134" s="615">
        <f t="shared" si="698"/>
        <v>0</v>
      </c>
      <c r="I134" s="615">
        <f t="shared" si="669"/>
        <v>0</v>
      </c>
      <c r="J134" s="615">
        <f t="shared" si="670"/>
        <v>0</v>
      </c>
      <c r="K134" s="615">
        <f t="shared" si="671"/>
        <v>0</v>
      </c>
      <c r="L134" s="615">
        <f t="shared" si="672"/>
        <v>0</v>
      </c>
      <c r="M134" s="620">
        <f t="shared" si="673"/>
        <v>0</v>
      </c>
      <c r="N134" s="287"/>
      <c r="O134" s="615">
        <f t="shared" si="674"/>
        <v>0</v>
      </c>
      <c r="P134" s="615">
        <f t="shared" si="675"/>
        <v>0</v>
      </c>
      <c r="Q134" s="615">
        <f t="shared" si="676"/>
        <v>0</v>
      </c>
      <c r="R134" s="615">
        <f t="shared" si="677"/>
        <v>0</v>
      </c>
      <c r="S134" s="615">
        <f t="shared" si="678"/>
        <v>0</v>
      </c>
      <c r="T134" s="48"/>
      <c r="U134" s="519">
        <v>0.05</v>
      </c>
      <c r="V134" s="131"/>
      <c r="W134" s="619">
        <f t="shared" si="699"/>
        <v>0.1200875</v>
      </c>
      <c r="X134" s="619">
        <f t="shared" si="700"/>
        <v>0.1200875</v>
      </c>
      <c r="Y134" s="615">
        <f t="shared" si="701"/>
        <v>0.1200875</v>
      </c>
      <c r="Z134" s="615">
        <f t="shared" si="702"/>
        <v>0</v>
      </c>
      <c r="AA134" s="615">
        <f t="shared" si="703"/>
        <v>0</v>
      </c>
      <c r="AB134" s="615">
        <f t="shared" si="704"/>
        <v>0</v>
      </c>
      <c r="AC134" s="615">
        <f t="shared" si="705"/>
        <v>0</v>
      </c>
      <c r="AD134" s="620">
        <f t="shared" si="706"/>
        <v>0</v>
      </c>
      <c r="AE134" s="287"/>
      <c r="AF134" s="615">
        <f t="shared" si="707"/>
        <v>0</v>
      </c>
      <c r="AG134" s="615">
        <f t="shared" si="708"/>
        <v>0</v>
      </c>
      <c r="AH134" s="615">
        <f t="shared" si="709"/>
        <v>0</v>
      </c>
      <c r="AI134" s="615">
        <f t="shared" si="710"/>
        <v>0</v>
      </c>
      <c r="AJ134" s="615">
        <f t="shared" si="711"/>
        <v>0</v>
      </c>
      <c r="AK134" s="339"/>
      <c r="AL134" s="625">
        <f t="shared" si="712"/>
        <v>1</v>
      </c>
      <c r="AM134" s="625">
        <f t="shared" si="713"/>
        <v>0</v>
      </c>
      <c r="AN134" s="625">
        <f t="shared" si="714"/>
        <v>0</v>
      </c>
      <c r="AO134" s="345"/>
      <c r="AP134" s="615">
        <f>COUNTIF('AR | Drawing List'!$H:$H,"AR-T07-2")</f>
        <v>1</v>
      </c>
      <c r="AQ134" s="616">
        <f>COUNTIFS('AR | Drawing List'!$H:$H,"AR-T07-2",'AR | Drawing List'!$J:$J,1)</f>
        <v>1</v>
      </c>
      <c r="AR134" s="616">
        <f t="shared" si="684"/>
        <v>0</v>
      </c>
      <c r="AS134" s="616">
        <f>COUNTIFS('AR | Drawing List'!$H:$H,"AR-T07-2",'AR | Drawing List'!M:M,1)</f>
        <v>0</v>
      </c>
      <c r="AT134" s="616">
        <f>COUNTIFS('AR | Drawing List'!$H:$H,"AR-T07-2",'AR | Drawing List'!N:N,1)</f>
        <v>0</v>
      </c>
      <c r="AU134" s="616">
        <f>COUNTIFS('AR | Drawing List'!$H:$H,"AR-T07-2",'AR | Drawing List'!O:O,1)</f>
        <v>0</v>
      </c>
      <c r="AV134" s="616">
        <f>COUNTIFS('AR | Drawing List'!$H:$H,"AR-T07-2",'AR | Drawing List'!P:P,1)</f>
        <v>0</v>
      </c>
      <c r="AW134" s="328"/>
      <c r="AX134" s="616">
        <f t="shared" si="715"/>
        <v>0</v>
      </c>
      <c r="AY134" s="616">
        <f>COUNTIFS('AR | Drawing List'!$H:$H,"AR-T07-2",'AR | Drawing List'!R:R,1)</f>
        <v>0</v>
      </c>
      <c r="AZ134" s="616">
        <f>COUNTIFS('AR | Drawing List'!$H:$H,"AR-T07-2",'AR | Drawing List'!S:S,1)</f>
        <v>0</v>
      </c>
      <c r="BA134" s="616">
        <f>COUNTIFS('AR | Drawing List'!$H:$H,"AR-T07-2",'AR | Drawing List'!T:T,1)</f>
        <v>0</v>
      </c>
      <c r="BB134" s="616">
        <f>COUNTIFS('AR | Drawing List'!$H:$H,"AR-T07-2",'AR | Drawing List'!U:U,1)</f>
        <v>0</v>
      </c>
      <c r="BC134" s="359"/>
      <c r="BD134" s="359"/>
      <c r="BE134" s="525">
        <v>0.1</v>
      </c>
      <c r="BF134" s="343"/>
      <c r="BG134" s="616">
        <f t="shared" si="716"/>
        <v>9.4799999999999995E-2</v>
      </c>
      <c r="BH134" s="618">
        <f t="shared" si="717"/>
        <v>9.4799999999999995E-2</v>
      </c>
      <c r="BI134" s="615">
        <f t="shared" si="718"/>
        <v>9.4799999999999995E-2</v>
      </c>
      <c r="BJ134" s="615">
        <f t="shared" si="719"/>
        <v>0</v>
      </c>
      <c r="BK134" s="615">
        <f t="shared" si="720"/>
        <v>0</v>
      </c>
      <c r="BL134" s="615">
        <f t="shared" si="721"/>
        <v>0</v>
      </c>
      <c r="BM134" s="615">
        <f t="shared" si="722"/>
        <v>0</v>
      </c>
      <c r="BN134" s="615">
        <f t="shared" si="723"/>
        <v>0</v>
      </c>
      <c r="BO134" s="339"/>
      <c r="BP134" s="615">
        <f t="shared" si="724"/>
        <v>0</v>
      </c>
      <c r="BQ134" s="615">
        <f t="shared" si="725"/>
        <v>0</v>
      </c>
      <c r="BR134" s="615">
        <f t="shared" si="726"/>
        <v>0</v>
      </c>
      <c r="BS134" s="615">
        <f t="shared" si="727"/>
        <v>0</v>
      </c>
      <c r="BT134" s="615">
        <f t="shared" si="728"/>
        <v>0</v>
      </c>
      <c r="BU134" s="339"/>
      <c r="BV134" s="635">
        <f t="shared" si="729"/>
        <v>1</v>
      </c>
      <c r="BW134" s="635">
        <f t="shared" si="730"/>
        <v>0</v>
      </c>
      <c r="BX134" s="635">
        <f t="shared" si="731"/>
        <v>0</v>
      </c>
      <c r="BY134" s="345"/>
      <c r="BZ134" s="615">
        <f>COUNTIF('ST | Drawing List'!$H:$H,"ST-T07-2")</f>
        <v>6</v>
      </c>
      <c r="CA134" s="616">
        <f>COUNTIFS('ST | Drawing List'!$H:$H,"ST-T07-2",'ST | Drawing List'!$J:$J,1)</f>
        <v>6</v>
      </c>
      <c r="CB134" s="623">
        <f>COUNTIFS('ST | Drawing List'!$H:$H,"ST-T07-2",'ST | Drawing List'!$L:$L,1)</f>
        <v>0</v>
      </c>
      <c r="CC134" s="616">
        <f>COUNTIFS('ST | Drawing List'!$H:$H,"ST-T07-2",'ST | Drawing List'!M:M,1)</f>
        <v>0</v>
      </c>
      <c r="CD134" s="616">
        <f>COUNTIFS('ST | Drawing List'!$H:$H,"ST-T07-2",'ST | Drawing List'!N:N,1)</f>
        <v>0</v>
      </c>
      <c r="CE134" s="616">
        <f>COUNTIFS('ST | Drawing List'!$H:$H,"ST-T07-2",'ST | Drawing List'!O:O,1)</f>
        <v>0</v>
      </c>
      <c r="CF134" s="616">
        <f>COUNTIFS('ST | Drawing List'!$H:$H,"ST-T07-2",'ST | Drawing List'!P:P,1)</f>
        <v>0</v>
      </c>
      <c r="CG134" s="532"/>
      <c r="CH134" s="623">
        <f>COUNTIFS('ST | Drawing List'!$H:$H,"ST-T07-2",'ST | Drawing List'!$Q:$Q,1)</f>
        <v>0</v>
      </c>
      <c r="CI134" s="616">
        <f>COUNTIFS('ST | Drawing List'!$H:$H,"ST-T07-2",'ST | Drawing List'!R:R,1)</f>
        <v>0</v>
      </c>
      <c r="CJ134" s="616">
        <f>COUNTIFS('ST | Drawing List'!$H:$H,"ST-T07-2",'ST | Drawing List'!S:S,1)</f>
        <v>0</v>
      </c>
      <c r="CK134" s="616">
        <f>COUNTIFS('ST | Drawing List'!$H:$H,"ST-T07-2",'ST | Drawing List'!T:T,1)</f>
        <v>0</v>
      </c>
      <c r="CL134" s="616">
        <f>COUNTIFS('ST | Drawing List'!$H:$H,"ST-T07-2",'ST | Drawing List'!U:U,1)</f>
        <v>0</v>
      </c>
      <c r="CM134" s="343"/>
      <c r="CN134" s="343"/>
      <c r="CO134" s="666">
        <v>0</v>
      </c>
      <c r="CP134" s="343"/>
      <c r="CQ134" s="616">
        <f t="shared" si="732"/>
        <v>0</v>
      </c>
      <c r="CR134" s="618">
        <f t="shared" si="733"/>
        <v>0</v>
      </c>
      <c r="CS134" s="615">
        <f t="shared" si="734"/>
        <v>0</v>
      </c>
      <c r="CT134" s="615">
        <f t="shared" si="735"/>
        <v>0</v>
      </c>
      <c r="CU134" s="615">
        <f t="shared" si="736"/>
        <v>0</v>
      </c>
      <c r="CV134" s="615">
        <f t="shared" si="737"/>
        <v>0</v>
      </c>
      <c r="CW134" s="615">
        <f t="shared" si="738"/>
        <v>0</v>
      </c>
      <c r="CX134" s="615">
        <f t="shared" si="739"/>
        <v>0</v>
      </c>
      <c r="CY134" s="339"/>
      <c r="CZ134" s="615">
        <f t="shared" si="740"/>
        <v>0</v>
      </c>
      <c r="DA134" s="615">
        <f t="shared" si="741"/>
        <v>0</v>
      </c>
      <c r="DB134" s="615">
        <f t="shared" si="742"/>
        <v>0</v>
      </c>
      <c r="DC134" s="615">
        <f t="shared" si="743"/>
        <v>0</v>
      </c>
      <c r="DD134" s="615">
        <f t="shared" si="744"/>
        <v>0</v>
      </c>
      <c r="DE134" s="339"/>
      <c r="DF134" s="625">
        <f t="shared" si="745"/>
        <v>0</v>
      </c>
      <c r="DG134" s="625">
        <f t="shared" si="746"/>
        <v>0</v>
      </c>
      <c r="DH134" s="625">
        <f t="shared" si="747"/>
        <v>0</v>
      </c>
      <c r="DI134" s="345"/>
      <c r="DJ134" s="615">
        <f>COUNTIF('MEP | Drawing List'!$H:$H,"MEP-T01-07-2")</f>
        <v>0</v>
      </c>
      <c r="DK134" s="616">
        <f>COUNTIFS('MEP | Drawing List'!$H:$H,"MEP-T01-07-2",'MEP | Drawing List'!$J:$J,1)</f>
        <v>0</v>
      </c>
      <c r="DL134" s="616">
        <f>COUNTIFS('MEP | Drawing List'!$H:$H,"MEP-T01-07-2",'MEP | Drawing List'!$L:$L,1)</f>
        <v>0</v>
      </c>
      <c r="DM134" s="615">
        <f>COUNTIFS('MEP | Drawing List'!$H:$H,"MEP-T01-07-2",'MEP | Drawing List'!M:M,1)</f>
        <v>0</v>
      </c>
      <c r="DN134" s="615">
        <f>COUNTIFS('MEP | Drawing List'!$H:$H,"MEP-T01-07-2",'MEP | Drawing List'!N:N,1)</f>
        <v>0</v>
      </c>
      <c r="DO134" s="615">
        <f>COUNTIFS('MEP | Drawing List'!$H:$H,"MEP-T01-07-2",'MEP | Drawing List'!O:O,1)</f>
        <v>0</v>
      </c>
      <c r="DP134" s="615">
        <f>COUNTIFS('MEP | Drawing List'!$H:$H,"MEP-T01-07-2",'MEP | Drawing List'!P:P,1)</f>
        <v>0</v>
      </c>
      <c r="DQ134" s="339"/>
      <c r="DR134" s="616">
        <f>COUNTIFS('MEP | Drawing List'!$H:$H,"MEP-T01-07-2",'MEP | Drawing List'!$Q:$Q,1)</f>
        <v>0</v>
      </c>
      <c r="DS134" s="615">
        <f>COUNTIFS('MEP | Drawing List'!$H:$H,"MEP-T01-07-2",'MEP | Drawing List'!R:R,1)</f>
        <v>0</v>
      </c>
      <c r="DT134" s="615">
        <f>COUNTIFS('MEP | Drawing List'!$H:$H,"MEP-T01-07-2",'MEP | Drawing List'!S:S,1)</f>
        <v>0</v>
      </c>
      <c r="DU134" s="615">
        <f>COUNTIFS('MEP | Drawing List'!$H:$H,"MEP-T01-07-2",'MEP | Drawing List'!T:T,1)</f>
        <v>0</v>
      </c>
      <c r="DV134" s="615">
        <f>COUNTIFS('MEP | Drawing List'!$H:$H,"MEP-T01-07-2",'MEP | Drawing List'!U:U,1)</f>
        <v>0</v>
      </c>
      <c r="DW134" s="343"/>
      <c r="DX134" s="343"/>
      <c r="DY134" s="525">
        <v>0</v>
      </c>
      <c r="DZ134" s="343"/>
      <c r="EA134" s="344">
        <v>0</v>
      </c>
      <c r="EB134" s="618">
        <f t="shared" si="748"/>
        <v>0</v>
      </c>
      <c r="EC134" s="339"/>
      <c r="ED134" s="339"/>
      <c r="EE134" s="339"/>
      <c r="EF134" s="339"/>
      <c r="EG134" s="339"/>
      <c r="EH134" s="339"/>
      <c r="EI134" s="339"/>
      <c r="EJ134" s="339"/>
      <c r="EK134" s="339"/>
      <c r="EL134" s="339"/>
      <c r="EM134" s="339"/>
      <c r="EN134" s="339"/>
      <c r="EO134" s="339"/>
      <c r="EP134" s="603"/>
      <c r="EQ134" s="603"/>
      <c r="ER134" s="603"/>
      <c r="ES134" s="345"/>
      <c r="ET134" s="615">
        <f>COUNTIF('LS | Drawing List'!$H:$H,"LS-T07-2")</f>
        <v>0</v>
      </c>
      <c r="EU134" s="616">
        <f>COUNTIFS('LS | Drawing List'!$H:$H,"LS-T07-2",'LS | Drawing List'!$J:$J,1)</f>
        <v>0</v>
      </c>
      <c r="EV134" s="616">
        <f>COUNTIFS('LS | Drawing List'!$H:$H,"LS-T07-2",'LS | Drawing List'!$L:$L,1)</f>
        <v>0</v>
      </c>
      <c r="EW134" s="615">
        <f>COUNTIFS('LS | Drawing List'!$H:$H,"LS-T07-2",'LS | Drawing List'!M:M,1)</f>
        <v>0</v>
      </c>
      <c r="EX134" s="615">
        <f>COUNTIFS('LS | Drawing List'!$H:$H,"LS-T07-2",'LS | Drawing List'!N:N,1)</f>
        <v>0</v>
      </c>
      <c r="EY134" s="615">
        <f>COUNTIFS('LS | Drawing List'!$H:$H,"LS-T07-2",'LS | Drawing List'!O:O,1)</f>
        <v>0</v>
      </c>
      <c r="EZ134" s="615">
        <f>COUNTIFS('LS | Drawing List'!$H:$H,"LS-T07-2",'LS | Drawing List'!P:P,1)</f>
        <v>0</v>
      </c>
      <c r="FA134" s="339"/>
      <c r="FB134" s="616">
        <f>COUNTIFS('LS | Drawing List'!$H:$H,"LS-T07-2",'LS | Drawing List'!$Q:$Q,1)</f>
        <v>0</v>
      </c>
      <c r="FC134" s="615">
        <f>COUNTIFS('LS | Drawing List'!$H:$H,"LS-T07-2",'LS | Drawing List'!R:R,1)</f>
        <v>0</v>
      </c>
      <c r="FD134" s="615">
        <f>COUNTIFS('LS | Drawing List'!$H:$H,"LS-T07-2",'LS | Drawing List'!S:S,1)</f>
        <v>0</v>
      </c>
      <c r="FE134" s="615">
        <f>COUNTIFS('LS | Drawing List'!$H:$H,"LS-T07-2",'LS | Drawing List'!T:T,1)</f>
        <v>0</v>
      </c>
      <c r="FF134" s="615">
        <f>COUNTIFS('LS | Drawing List'!$H:$H,"LS-T07-2",'LS | Drawing List'!U:U,1)</f>
        <v>0</v>
      </c>
      <c r="FG134" s="48"/>
    </row>
    <row r="135" spans="1:163" ht="14.25" hidden="1" outlineLevel="2">
      <c r="A135" s="48"/>
      <c r="B135" s="87" t="s">
        <v>140</v>
      </c>
      <c r="C135" s="276">
        <v>3</v>
      </c>
      <c r="D135" s="272" t="s">
        <v>56</v>
      </c>
      <c r="E135" s="48"/>
      <c r="F135" s="619">
        <f t="shared" si="696"/>
        <v>0.1200875</v>
      </c>
      <c r="G135" s="619">
        <f t="shared" si="697"/>
        <v>0.1200875</v>
      </c>
      <c r="H135" s="615">
        <f t="shared" si="698"/>
        <v>0</v>
      </c>
      <c r="I135" s="615">
        <f t="shared" si="669"/>
        <v>0</v>
      </c>
      <c r="J135" s="615">
        <f t="shared" si="670"/>
        <v>0</v>
      </c>
      <c r="K135" s="615">
        <f t="shared" si="671"/>
        <v>0</v>
      </c>
      <c r="L135" s="615">
        <f t="shared" si="672"/>
        <v>0</v>
      </c>
      <c r="M135" s="620">
        <f t="shared" si="673"/>
        <v>0</v>
      </c>
      <c r="N135" s="287"/>
      <c r="O135" s="615">
        <f t="shared" si="674"/>
        <v>0</v>
      </c>
      <c r="P135" s="615">
        <f t="shared" si="675"/>
        <v>0</v>
      </c>
      <c r="Q135" s="615">
        <f t="shared" si="676"/>
        <v>0</v>
      </c>
      <c r="R135" s="615">
        <f t="shared" si="677"/>
        <v>0</v>
      </c>
      <c r="S135" s="615">
        <f t="shared" si="678"/>
        <v>0</v>
      </c>
      <c r="T135" s="48"/>
      <c r="U135" s="519">
        <v>0.05</v>
      </c>
      <c r="V135" s="131"/>
      <c r="W135" s="619">
        <f t="shared" si="699"/>
        <v>0.1200875</v>
      </c>
      <c r="X135" s="619">
        <f t="shared" si="700"/>
        <v>0.1200875</v>
      </c>
      <c r="Y135" s="615">
        <f t="shared" si="701"/>
        <v>0.1200875</v>
      </c>
      <c r="Z135" s="615">
        <f t="shared" si="702"/>
        <v>0</v>
      </c>
      <c r="AA135" s="615">
        <f t="shared" si="703"/>
        <v>0</v>
      </c>
      <c r="AB135" s="615">
        <f t="shared" si="704"/>
        <v>0</v>
      </c>
      <c r="AC135" s="615">
        <f t="shared" si="705"/>
        <v>0</v>
      </c>
      <c r="AD135" s="620">
        <f t="shared" si="706"/>
        <v>0</v>
      </c>
      <c r="AE135" s="287"/>
      <c r="AF135" s="615">
        <f t="shared" si="707"/>
        <v>0</v>
      </c>
      <c r="AG135" s="615">
        <f t="shared" si="708"/>
        <v>0</v>
      </c>
      <c r="AH135" s="615">
        <f t="shared" si="709"/>
        <v>0</v>
      </c>
      <c r="AI135" s="615">
        <f t="shared" si="710"/>
        <v>0</v>
      </c>
      <c r="AJ135" s="615">
        <f t="shared" si="711"/>
        <v>0</v>
      </c>
      <c r="AK135" s="339"/>
      <c r="AL135" s="625">
        <f t="shared" si="712"/>
        <v>1</v>
      </c>
      <c r="AM135" s="625">
        <f t="shared" si="713"/>
        <v>0</v>
      </c>
      <c r="AN135" s="625">
        <f t="shared" si="714"/>
        <v>0</v>
      </c>
      <c r="AO135" s="345"/>
      <c r="AP135" s="615">
        <f>COUNTIF('AR | Drawing List'!$H:$H,"AR-T07-3")</f>
        <v>26</v>
      </c>
      <c r="AQ135" s="616">
        <f>COUNTIFS('AR | Drawing List'!$H:$H,"AR-T07-3",'AR | Drawing List'!$J:$J,1)</f>
        <v>26</v>
      </c>
      <c r="AR135" s="616">
        <f t="shared" si="684"/>
        <v>0</v>
      </c>
      <c r="AS135" s="616">
        <f>COUNTIFS('AR | Drawing List'!$H:$H,"AR-T07-3",'AR | Drawing List'!M:M,1)</f>
        <v>0</v>
      </c>
      <c r="AT135" s="616">
        <f>COUNTIFS('AR | Drawing List'!$H:$H,"AR-T07-3",'AR | Drawing List'!N:N,1)</f>
        <v>0</v>
      </c>
      <c r="AU135" s="616">
        <f>COUNTIFS('AR | Drawing List'!$H:$H,"AR-T07-3",'AR | Drawing List'!O:O,1)</f>
        <v>0</v>
      </c>
      <c r="AV135" s="616">
        <f>COUNTIFS('AR | Drawing List'!$H:$H,"AR-T07-3",'AR | Drawing List'!P:P,1)</f>
        <v>0</v>
      </c>
      <c r="AW135" s="328"/>
      <c r="AX135" s="616">
        <f t="shared" si="715"/>
        <v>0</v>
      </c>
      <c r="AY135" s="616">
        <f>COUNTIFS('AR | Drawing List'!$H:$H,"AR-T07-3",'AR | Drawing List'!R:R,1)</f>
        <v>0</v>
      </c>
      <c r="AZ135" s="616">
        <f>COUNTIFS('AR | Drawing List'!$H:$H,"AR-T07-3",'AR | Drawing List'!S:S,1)</f>
        <v>0</v>
      </c>
      <c r="BA135" s="616">
        <f>COUNTIFS('AR | Drawing List'!$H:$H,"AR-T07-3",'AR | Drawing List'!T:T,1)</f>
        <v>0</v>
      </c>
      <c r="BB135" s="616">
        <f>COUNTIFS('AR | Drawing List'!$H:$H,"AR-T07-3",'AR | Drawing List'!U:U,1)</f>
        <v>0</v>
      </c>
      <c r="BC135" s="359"/>
      <c r="BD135" s="359"/>
      <c r="BE135" s="666">
        <v>0</v>
      </c>
      <c r="BF135" s="343"/>
      <c r="BG135" s="616">
        <f t="shared" si="716"/>
        <v>0</v>
      </c>
      <c r="BH135" s="618">
        <f t="shared" si="717"/>
        <v>0</v>
      </c>
      <c r="BI135" s="615">
        <f t="shared" si="718"/>
        <v>0</v>
      </c>
      <c r="BJ135" s="615">
        <f t="shared" si="719"/>
        <v>0</v>
      </c>
      <c r="BK135" s="615">
        <f t="shared" si="720"/>
        <v>0</v>
      </c>
      <c r="BL135" s="615">
        <f t="shared" si="721"/>
        <v>0</v>
      </c>
      <c r="BM135" s="615">
        <f t="shared" si="722"/>
        <v>0</v>
      </c>
      <c r="BN135" s="615">
        <f t="shared" si="723"/>
        <v>0</v>
      </c>
      <c r="BO135" s="339"/>
      <c r="BP135" s="615">
        <f t="shared" si="724"/>
        <v>0</v>
      </c>
      <c r="BQ135" s="615">
        <f t="shared" si="725"/>
        <v>0</v>
      </c>
      <c r="BR135" s="615">
        <f t="shared" si="726"/>
        <v>0</v>
      </c>
      <c r="BS135" s="615">
        <f t="shared" si="727"/>
        <v>0</v>
      </c>
      <c r="BT135" s="615">
        <f t="shared" si="728"/>
        <v>0</v>
      </c>
      <c r="BU135" s="339"/>
      <c r="BV135" s="635">
        <f t="shared" si="729"/>
        <v>0</v>
      </c>
      <c r="BW135" s="635">
        <f t="shared" si="730"/>
        <v>0</v>
      </c>
      <c r="BX135" s="635">
        <f t="shared" si="731"/>
        <v>0</v>
      </c>
      <c r="BY135" s="345"/>
      <c r="BZ135" s="615">
        <f>COUNTIF('ST | Drawing List'!$H:$H,"ST-T07-3")</f>
        <v>0</v>
      </c>
      <c r="CA135" s="616">
        <f>COUNTIFS('ST | Drawing List'!$H:$H,"ST-T07-3",'ST | Drawing List'!$J:$J,1)</f>
        <v>0</v>
      </c>
      <c r="CB135" s="623">
        <f>COUNTIFS('ST | Drawing List'!$H:$H,"ST-T07-3",'ST | Drawing List'!$L:$L,1)</f>
        <v>0</v>
      </c>
      <c r="CC135" s="616">
        <f>COUNTIFS('ST | Drawing List'!$H:$H,"ST-T07-3",'ST | Drawing List'!M:M,1)</f>
        <v>0</v>
      </c>
      <c r="CD135" s="616">
        <f>COUNTIFS('ST | Drawing List'!$H:$H,"ST-T07-3",'ST | Drawing List'!N:N,1)</f>
        <v>0</v>
      </c>
      <c r="CE135" s="616">
        <f>COUNTIFS('ST | Drawing List'!$H:$H,"ST-T07-3",'ST | Drawing List'!O:O,1)</f>
        <v>0</v>
      </c>
      <c r="CF135" s="616">
        <f>COUNTIFS('ST | Drawing List'!$H:$H,"ST-T07-3",'ST | Drawing List'!P:P,1)</f>
        <v>0</v>
      </c>
      <c r="CG135" s="532"/>
      <c r="CH135" s="623">
        <f>COUNTIFS('ST | Drawing List'!$H:$H,"ST-T07-3",'ST | Drawing List'!$Q:$Q,1)</f>
        <v>0</v>
      </c>
      <c r="CI135" s="616">
        <f>COUNTIFS('ST | Drawing List'!$H:$H,"ST-T07-3",'ST | Drawing List'!R:R,1)</f>
        <v>0</v>
      </c>
      <c r="CJ135" s="616">
        <f>COUNTIFS('ST | Drawing List'!$H:$H,"ST-T07-3",'ST | Drawing List'!S:S,1)</f>
        <v>0</v>
      </c>
      <c r="CK135" s="616">
        <f>COUNTIFS('ST | Drawing List'!$H:$H,"ST-T07-3",'ST | Drawing List'!T:T,1)</f>
        <v>0</v>
      </c>
      <c r="CL135" s="616">
        <f>COUNTIFS('ST | Drawing List'!$H:$H,"ST-T07-3",'ST | Drawing List'!U:U,1)</f>
        <v>0</v>
      </c>
      <c r="CM135" s="343"/>
      <c r="CN135" s="343"/>
      <c r="CO135" s="666">
        <v>0</v>
      </c>
      <c r="CP135" s="343"/>
      <c r="CQ135" s="616">
        <f t="shared" si="732"/>
        <v>0</v>
      </c>
      <c r="CR135" s="618">
        <f t="shared" si="733"/>
        <v>0</v>
      </c>
      <c r="CS135" s="615">
        <f t="shared" si="734"/>
        <v>0</v>
      </c>
      <c r="CT135" s="615">
        <f t="shared" si="735"/>
        <v>0</v>
      </c>
      <c r="CU135" s="615">
        <f t="shared" si="736"/>
        <v>0</v>
      </c>
      <c r="CV135" s="615">
        <f t="shared" si="737"/>
        <v>0</v>
      </c>
      <c r="CW135" s="615">
        <f t="shared" si="738"/>
        <v>0</v>
      </c>
      <c r="CX135" s="615">
        <f t="shared" si="739"/>
        <v>0</v>
      </c>
      <c r="CY135" s="339"/>
      <c r="CZ135" s="615">
        <f t="shared" si="740"/>
        <v>0</v>
      </c>
      <c r="DA135" s="615">
        <f t="shared" si="741"/>
        <v>0</v>
      </c>
      <c r="DB135" s="615">
        <f t="shared" si="742"/>
        <v>0</v>
      </c>
      <c r="DC135" s="615">
        <f t="shared" si="743"/>
        <v>0</v>
      </c>
      <c r="DD135" s="615">
        <f t="shared" si="744"/>
        <v>0</v>
      </c>
      <c r="DE135" s="339"/>
      <c r="DF135" s="625">
        <f t="shared" si="745"/>
        <v>0</v>
      </c>
      <c r="DG135" s="625">
        <f t="shared" si="746"/>
        <v>0</v>
      </c>
      <c r="DH135" s="625">
        <f t="shared" si="747"/>
        <v>0</v>
      </c>
      <c r="DI135" s="345"/>
      <c r="DJ135" s="615">
        <f>COUNTIF('MEP | Drawing List'!$H:$H,"MEP-T01-07-3")</f>
        <v>0</v>
      </c>
      <c r="DK135" s="616">
        <f>COUNTIFS('MEP | Drawing List'!$H:$H,"MEP-T01-07-3",'MEP | Drawing List'!$J:$J,1)</f>
        <v>0</v>
      </c>
      <c r="DL135" s="616">
        <f>COUNTIFS('MEP | Drawing List'!$H:$H,"MEP-T01-07-3",'MEP | Drawing List'!$L:$L,1)</f>
        <v>0</v>
      </c>
      <c r="DM135" s="615">
        <f>COUNTIFS('MEP | Drawing List'!$H:$H,"MEP-T01-07-3",'MEP | Drawing List'!M:M,1)</f>
        <v>0</v>
      </c>
      <c r="DN135" s="615">
        <f>COUNTIFS('MEP | Drawing List'!$H:$H,"MEP-T01-07-3",'MEP | Drawing List'!N:N,1)</f>
        <v>0</v>
      </c>
      <c r="DO135" s="615">
        <f>COUNTIFS('MEP | Drawing List'!$H:$H,"MEP-T01-07-3",'MEP | Drawing List'!O:O,1)</f>
        <v>0</v>
      </c>
      <c r="DP135" s="615">
        <f>COUNTIFS('MEP | Drawing List'!$H:$H,"MEP-T01-07-3",'MEP | Drawing List'!P:P,1)</f>
        <v>0</v>
      </c>
      <c r="DQ135" s="339"/>
      <c r="DR135" s="616">
        <f>COUNTIFS('MEP | Drawing List'!$H:$H,"MEP-T01-07-3",'MEP | Drawing List'!$Q:$Q,1)</f>
        <v>0</v>
      </c>
      <c r="DS135" s="615">
        <f>COUNTIFS('MEP | Drawing List'!$H:$H,"MEP-T01-07-3",'MEP | Drawing List'!R:R,1)</f>
        <v>0</v>
      </c>
      <c r="DT135" s="615">
        <f>COUNTIFS('MEP | Drawing List'!$H:$H,"MEP-T01-07-3",'MEP | Drawing List'!S:S,1)</f>
        <v>0</v>
      </c>
      <c r="DU135" s="615">
        <f>COUNTIFS('MEP | Drawing List'!$H:$H,"MEP-T01-07-3",'MEP | Drawing List'!T:T,1)</f>
        <v>0</v>
      </c>
      <c r="DV135" s="615">
        <f>COUNTIFS('MEP | Drawing List'!$H:$H,"MEP-T01-07-3",'MEP | Drawing List'!U:U,1)</f>
        <v>0</v>
      </c>
      <c r="DW135" s="343"/>
      <c r="DX135" s="343"/>
      <c r="DY135" s="525">
        <v>0</v>
      </c>
      <c r="DZ135" s="343"/>
      <c r="EA135" s="344">
        <v>0</v>
      </c>
      <c r="EB135" s="618">
        <f t="shared" si="748"/>
        <v>0</v>
      </c>
      <c r="EC135" s="339"/>
      <c r="ED135" s="339"/>
      <c r="EE135" s="339"/>
      <c r="EF135" s="339"/>
      <c r="EG135" s="339"/>
      <c r="EH135" s="339"/>
      <c r="EI135" s="339"/>
      <c r="EJ135" s="339"/>
      <c r="EK135" s="339"/>
      <c r="EL135" s="339"/>
      <c r="EM135" s="339"/>
      <c r="EN135" s="339"/>
      <c r="EO135" s="339"/>
      <c r="EP135" s="603"/>
      <c r="EQ135" s="603"/>
      <c r="ER135" s="603"/>
      <c r="ES135" s="345"/>
      <c r="ET135" s="615">
        <f>COUNTIF('LS | Drawing List'!$H:$H,"LS-T07-3")</f>
        <v>0</v>
      </c>
      <c r="EU135" s="616">
        <f>COUNTIFS('LS | Drawing List'!$H:$H,"LS-T07-3",'LS | Drawing List'!$J:$J,1)</f>
        <v>0</v>
      </c>
      <c r="EV135" s="616">
        <f>COUNTIFS('LS | Drawing List'!$H:$H,"LS-T07-3",'LS | Drawing List'!$L:$L,1)</f>
        <v>0</v>
      </c>
      <c r="EW135" s="615">
        <f>COUNTIFS('LS | Drawing List'!$H:$H,"LS-T07-3",'LS | Drawing List'!M:M,1)</f>
        <v>0</v>
      </c>
      <c r="EX135" s="615">
        <f>COUNTIFS('LS | Drawing List'!$H:$H,"LS-T07-3",'LS | Drawing List'!N:N,1)</f>
        <v>0</v>
      </c>
      <c r="EY135" s="615">
        <f>COUNTIFS('LS | Drawing List'!$H:$H,"LS-T07-3",'LS | Drawing List'!O:O,1)</f>
        <v>0</v>
      </c>
      <c r="EZ135" s="615">
        <f>COUNTIFS('LS | Drawing List'!$H:$H,"LS-T07-3",'LS | Drawing List'!P:P,1)</f>
        <v>0</v>
      </c>
      <c r="FA135" s="339"/>
      <c r="FB135" s="616">
        <f>COUNTIFS('LS | Drawing List'!$H:$H,"LS-T07-3",'LS | Drawing List'!$Q:$Q,1)</f>
        <v>0</v>
      </c>
      <c r="FC135" s="615">
        <f>COUNTIFS('LS | Drawing List'!$H:$H,"LS-T07-3",'LS | Drawing List'!R:R,1)</f>
        <v>0</v>
      </c>
      <c r="FD135" s="615">
        <f>COUNTIFS('LS | Drawing List'!$H:$H,"LS-T07-3",'LS | Drawing List'!S:S,1)</f>
        <v>0</v>
      </c>
      <c r="FE135" s="615">
        <f>COUNTIFS('LS | Drawing List'!$H:$H,"LS-T07-3",'LS | Drawing List'!T:T,1)</f>
        <v>0</v>
      </c>
      <c r="FF135" s="615">
        <f>COUNTIFS('LS | Drawing List'!$H:$H,"LS-T07-3",'LS | Drawing List'!U:U,1)</f>
        <v>0</v>
      </c>
      <c r="FG135" s="48"/>
    </row>
    <row r="136" spans="1:163" s="95" customFormat="1" ht="14.25" hidden="1" outlineLevel="2">
      <c r="A136" s="89"/>
      <c r="B136" s="87" t="s">
        <v>141</v>
      </c>
      <c r="C136" s="277">
        <v>4</v>
      </c>
      <c r="D136" s="273" t="s">
        <v>58</v>
      </c>
      <c r="E136" s="89"/>
      <c r="F136" s="619">
        <f t="shared" si="696"/>
        <v>0.23840749999999999</v>
      </c>
      <c r="G136" s="619">
        <f t="shared" si="697"/>
        <v>0.23840749999999999</v>
      </c>
      <c r="H136" s="615">
        <f t="shared" si="698"/>
        <v>0</v>
      </c>
      <c r="I136" s="615">
        <f t="shared" si="669"/>
        <v>0</v>
      </c>
      <c r="J136" s="615">
        <f t="shared" si="670"/>
        <v>0</v>
      </c>
      <c r="K136" s="615">
        <f t="shared" si="671"/>
        <v>0</v>
      </c>
      <c r="L136" s="615">
        <f t="shared" si="672"/>
        <v>0</v>
      </c>
      <c r="M136" s="620">
        <f t="shared" si="673"/>
        <v>0</v>
      </c>
      <c r="N136" s="287"/>
      <c r="O136" s="615">
        <f t="shared" si="674"/>
        <v>0</v>
      </c>
      <c r="P136" s="615">
        <f t="shared" si="675"/>
        <v>0</v>
      </c>
      <c r="Q136" s="615">
        <f t="shared" si="676"/>
        <v>0</v>
      </c>
      <c r="R136" s="615">
        <f t="shared" si="677"/>
        <v>0</v>
      </c>
      <c r="S136" s="615">
        <f t="shared" si="678"/>
        <v>0</v>
      </c>
      <c r="T136" s="89"/>
      <c r="U136" s="519">
        <v>0.05</v>
      </c>
      <c r="V136" s="133"/>
      <c r="W136" s="628">
        <f t="shared" si="699"/>
        <v>0.1200875</v>
      </c>
      <c r="X136" s="628">
        <f t="shared" si="700"/>
        <v>0.1200875</v>
      </c>
      <c r="Y136" s="620">
        <f t="shared" si="701"/>
        <v>0.1200875</v>
      </c>
      <c r="Z136" s="620">
        <f t="shared" si="702"/>
        <v>0</v>
      </c>
      <c r="AA136" s="620">
        <f t="shared" si="703"/>
        <v>0</v>
      </c>
      <c r="AB136" s="620">
        <f t="shared" si="704"/>
        <v>0</v>
      </c>
      <c r="AC136" s="620">
        <f t="shared" si="705"/>
        <v>0</v>
      </c>
      <c r="AD136" s="620">
        <f t="shared" si="706"/>
        <v>0</v>
      </c>
      <c r="AE136" s="287"/>
      <c r="AF136" s="615">
        <f t="shared" si="707"/>
        <v>0</v>
      </c>
      <c r="AG136" s="615">
        <f t="shared" si="708"/>
        <v>0</v>
      </c>
      <c r="AH136" s="615">
        <f t="shared" si="709"/>
        <v>0</v>
      </c>
      <c r="AI136" s="615">
        <f t="shared" si="710"/>
        <v>0</v>
      </c>
      <c r="AJ136" s="615">
        <f t="shared" si="711"/>
        <v>0</v>
      </c>
      <c r="AK136" s="339"/>
      <c r="AL136" s="627">
        <f t="shared" si="712"/>
        <v>1</v>
      </c>
      <c r="AM136" s="627">
        <f t="shared" si="713"/>
        <v>0</v>
      </c>
      <c r="AN136" s="625">
        <f t="shared" si="714"/>
        <v>0</v>
      </c>
      <c r="AO136" s="373"/>
      <c r="AP136" s="620">
        <f>COUNTIF('AR | Drawing List'!$H:$H,"AR-T07-4")</f>
        <v>1</v>
      </c>
      <c r="AQ136" s="621">
        <f>COUNTIFS('AR | Drawing List'!$H:$H,"AR-T07-4",'AR | Drawing List'!$J:$J,1)</f>
        <v>1</v>
      </c>
      <c r="AR136" s="621">
        <f t="shared" si="684"/>
        <v>0</v>
      </c>
      <c r="AS136" s="621">
        <f>COUNTIFS('AR | Drawing List'!$H:$H,"AR-T07-4",'AR | Drawing List'!M:M,1)</f>
        <v>0</v>
      </c>
      <c r="AT136" s="621">
        <f>COUNTIFS('AR | Drawing List'!$H:$H,"AR-T07-4",'AR | Drawing List'!N:N,1)</f>
        <v>0</v>
      </c>
      <c r="AU136" s="621">
        <f>COUNTIFS('AR | Drawing List'!$H:$H,"AR-T07-4",'AR | Drawing List'!O:O,1)</f>
        <v>0</v>
      </c>
      <c r="AV136" s="621">
        <f>COUNTIFS('AR | Drawing List'!$H:$H,"AR-T07-4",'AR | Drawing List'!P:P,1)</f>
        <v>0</v>
      </c>
      <c r="AW136" s="366"/>
      <c r="AX136" s="621">
        <f t="shared" si="715"/>
        <v>0</v>
      </c>
      <c r="AY136" s="621">
        <f>COUNTIFS('AR | Drawing List'!$H:$H,"AR-T07-4",'AR | Drawing List'!R:R,1)</f>
        <v>0</v>
      </c>
      <c r="AZ136" s="621">
        <f>COUNTIFS('AR | Drawing List'!$H:$H,"AR-T07-4",'AR | Drawing List'!S:S,1)</f>
        <v>0</v>
      </c>
      <c r="BA136" s="621">
        <f>COUNTIFS('AR | Drawing List'!$H:$H,"AR-T07-4",'AR | Drawing List'!T:T,1)</f>
        <v>0</v>
      </c>
      <c r="BB136" s="621">
        <f>COUNTIFS('AR | Drawing List'!$H:$H,"AR-T07-4",'AR | Drawing List'!U:U,1)</f>
        <v>0</v>
      </c>
      <c r="BC136" s="365"/>
      <c r="BD136" s="365"/>
      <c r="BE136" s="523">
        <v>0.1</v>
      </c>
      <c r="BF136" s="368"/>
      <c r="BG136" s="621">
        <f t="shared" si="716"/>
        <v>9.4799999999999995E-2</v>
      </c>
      <c r="BH136" s="622">
        <f t="shared" si="717"/>
        <v>9.4799999999999995E-2</v>
      </c>
      <c r="BI136" s="620">
        <f t="shared" si="718"/>
        <v>9.4799999999999995E-2</v>
      </c>
      <c r="BJ136" s="620">
        <f t="shared" si="719"/>
        <v>0</v>
      </c>
      <c r="BK136" s="615">
        <f t="shared" si="720"/>
        <v>0</v>
      </c>
      <c r="BL136" s="615">
        <f t="shared" si="721"/>
        <v>0</v>
      </c>
      <c r="BM136" s="615">
        <f t="shared" si="722"/>
        <v>0</v>
      </c>
      <c r="BN136" s="615">
        <f t="shared" si="723"/>
        <v>0</v>
      </c>
      <c r="BO136" s="339"/>
      <c r="BP136" s="615">
        <f t="shared" si="724"/>
        <v>0</v>
      </c>
      <c r="BQ136" s="615">
        <f t="shared" si="725"/>
        <v>0</v>
      </c>
      <c r="BR136" s="615">
        <f t="shared" si="726"/>
        <v>0</v>
      </c>
      <c r="BS136" s="615">
        <f t="shared" si="727"/>
        <v>0</v>
      </c>
      <c r="BT136" s="615">
        <f t="shared" si="728"/>
        <v>0</v>
      </c>
      <c r="BU136" s="339"/>
      <c r="BV136" s="635">
        <f t="shared" si="729"/>
        <v>1</v>
      </c>
      <c r="BW136" s="635">
        <f t="shared" si="730"/>
        <v>0</v>
      </c>
      <c r="BX136" s="635">
        <f t="shared" si="731"/>
        <v>0</v>
      </c>
      <c r="BY136" s="373"/>
      <c r="BZ136" s="620">
        <f>COUNTIF('ST | Drawing List'!$H:$H,"ST-T07-4")</f>
        <v>4</v>
      </c>
      <c r="CA136" s="621">
        <f>COUNTIFS('ST | Drawing List'!$H:$H,"ST-T07-4",'ST | Drawing List'!$J:$J,1)</f>
        <v>4</v>
      </c>
      <c r="CB136" s="624">
        <f>COUNTIFS('ST | Drawing List'!$H:$H,"ST-T07-4",'ST | Drawing List'!$L:$L,1)</f>
        <v>0</v>
      </c>
      <c r="CC136" s="621">
        <f>COUNTIFS('ST | Drawing List'!$H:$H,"ST-T07-4",'ST | Drawing List'!M:M,1)</f>
        <v>0</v>
      </c>
      <c r="CD136" s="621">
        <f>COUNTIFS('ST | Drawing List'!$H:$H,"ST-T07-4",'ST | Drawing List'!N:N,1)</f>
        <v>0</v>
      </c>
      <c r="CE136" s="621">
        <f>COUNTIFS('ST | Drawing List'!$H:$H,"ST-T07-4",'ST | Drawing List'!O:O,1)</f>
        <v>0</v>
      </c>
      <c r="CF136" s="621">
        <f>COUNTIFS('ST | Drawing List'!$H:$H,"ST-T07-4",'ST | Drawing List'!P:P,1)</f>
        <v>0</v>
      </c>
      <c r="CG136" s="541"/>
      <c r="CH136" s="624">
        <f>COUNTIFS('ST | Drawing List'!$H:$H,"ST-T07-4",'ST | Drawing List'!$Q:$Q,1)</f>
        <v>0</v>
      </c>
      <c r="CI136" s="621">
        <f>COUNTIFS('ST | Drawing List'!$H:$H,"ST-T07-4",'ST | Drawing List'!R:R,1)</f>
        <v>0</v>
      </c>
      <c r="CJ136" s="621">
        <f>COUNTIFS('ST | Drawing List'!$H:$H,"ST-T07-4",'ST | Drawing List'!S:S,1)</f>
        <v>0</v>
      </c>
      <c r="CK136" s="621">
        <f>COUNTIFS('ST | Drawing List'!$H:$H,"ST-T07-4",'ST | Drawing List'!T:T,1)</f>
        <v>0</v>
      </c>
      <c r="CL136" s="621">
        <f>COUNTIFS('ST | Drawing List'!$H:$H,"ST-T07-4",'ST | Drawing List'!U:U,1)</f>
        <v>0</v>
      </c>
      <c r="CM136" s="368"/>
      <c r="CN136" s="368"/>
      <c r="CO136" s="667">
        <v>0.15</v>
      </c>
      <c r="CP136" s="368"/>
      <c r="CQ136" s="621">
        <f t="shared" si="732"/>
        <v>2.3519999999999999E-2</v>
      </c>
      <c r="CR136" s="622">
        <f t="shared" si="733"/>
        <v>2.3519999999999999E-2</v>
      </c>
      <c r="CS136" s="620">
        <f t="shared" si="734"/>
        <v>2.3519999999999999E-2</v>
      </c>
      <c r="CT136" s="615">
        <f t="shared" si="735"/>
        <v>0</v>
      </c>
      <c r="CU136" s="615">
        <f t="shared" si="736"/>
        <v>0</v>
      </c>
      <c r="CV136" s="615">
        <f t="shared" si="737"/>
        <v>0</v>
      </c>
      <c r="CW136" s="615">
        <f t="shared" si="738"/>
        <v>0</v>
      </c>
      <c r="CX136" s="615">
        <f t="shared" si="739"/>
        <v>0</v>
      </c>
      <c r="CY136" s="339"/>
      <c r="CZ136" s="615">
        <f t="shared" si="740"/>
        <v>0</v>
      </c>
      <c r="DA136" s="615">
        <f t="shared" si="741"/>
        <v>0</v>
      </c>
      <c r="DB136" s="615">
        <f t="shared" si="742"/>
        <v>0</v>
      </c>
      <c r="DC136" s="615">
        <f t="shared" si="743"/>
        <v>0</v>
      </c>
      <c r="DD136" s="615">
        <f t="shared" si="744"/>
        <v>0</v>
      </c>
      <c r="DE136" s="339"/>
      <c r="DF136" s="625">
        <f t="shared" si="745"/>
        <v>1</v>
      </c>
      <c r="DG136" s="625">
        <f t="shared" si="746"/>
        <v>0</v>
      </c>
      <c r="DH136" s="625">
        <f t="shared" si="747"/>
        <v>0</v>
      </c>
      <c r="DI136" s="373"/>
      <c r="DJ136" s="620">
        <f>COUNTIF('MEP | Drawing List'!$H:$H,"MEP-T01-07-4")</f>
        <v>19</v>
      </c>
      <c r="DK136" s="621">
        <f>COUNTIFS('MEP | Drawing List'!$H:$H,"MEP-T01-07-4",'MEP | Drawing List'!$J:$J,1)</f>
        <v>19</v>
      </c>
      <c r="DL136" s="621">
        <f>COUNTIFS('MEP | Drawing List'!$H:$H,"MEP-T01-07-4",'MEP | Drawing List'!$L:$L,1)</f>
        <v>0</v>
      </c>
      <c r="DM136" s="620">
        <f>COUNTIFS('MEP | Drawing List'!$H:$H,"MEP-T01-07-4",'MEP | Drawing List'!M:M,1)</f>
        <v>0</v>
      </c>
      <c r="DN136" s="620">
        <f>COUNTIFS('MEP | Drawing List'!$H:$H,"MEP-T01-07-4",'MEP | Drawing List'!N:N,1)</f>
        <v>0</v>
      </c>
      <c r="DO136" s="620">
        <f>COUNTIFS('MEP | Drawing List'!$H:$H,"MEP-T01-07-4",'MEP | Drawing List'!O:O,1)</f>
        <v>0</v>
      </c>
      <c r="DP136" s="620">
        <f>COUNTIFS('MEP | Drawing List'!$H:$H,"MEP-T01-07-4",'MEP | Drawing List'!P:P,1)</f>
        <v>0</v>
      </c>
      <c r="DQ136" s="287"/>
      <c r="DR136" s="621">
        <f>COUNTIFS('MEP | Drawing List'!$H:$H,"MEP-T01-07-4",'MEP | Drawing List'!$Q:$Q,1)</f>
        <v>0</v>
      </c>
      <c r="DS136" s="620">
        <f>COUNTIFS('MEP | Drawing List'!$H:$H,"MEP-T01-07-4",'MEP | Drawing List'!R:R,1)</f>
        <v>0</v>
      </c>
      <c r="DT136" s="620">
        <f>COUNTIFS('MEP | Drawing List'!$H:$H,"MEP-T01-07-4",'MEP | Drawing List'!S:S,1)</f>
        <v>0</v>
      </c>
      <c r="DU136" s="620">
        <f>COUNTIFS('MEP | Drawing List'!$H:$H,"MEP-T01-07-4",'MEP | Drawing List'!T:T,1)</f>
        <v>0</v>
      </c>
      <c r="DV136" s="620">
        <f>COUNTIFS('MEP | Drawing List'!$H:$H,"MEP-T01-07-4",'MEP | Drawing List'!U:U,1)</f>
        <v>0</v>
      </c>
      <c r="DW136" s="368"/>
      <c r="DX136" s="368"/>
      <c r="DY136" s="554">
        <v>0</v>
      </c>
      <c r="DZ136" s="368"/>
      <c r="EA136" s="344">
        <v>0</v>
      </c>
      <c r="EB136" s="622">
        <f t="shared" si="748"/>
        <v>0</v>
      </c>
      <c r="EC136" s="348"/>
      <c r="ED136" s="348"/>
      <c r="EE136" s="339"/>
      <c r="EF136" s="339"/>
      <c r="EG136" s="339"/>
      <c r="EH136" s="339"/>
      <c r="EI136" s="339"/>
      <c r="EJ136" s="348"/>
      <c r="EK136" s="339"/>
      <c r="EL136" s="339"/>
      <c r="EM136" s="339"/>
      <c r="EN136" s="339"/>
      <c r="EO136" s="339"/>
      <c r="EP136" s="604"/>
      <c r="EQ136" s="604"/>
      <c r="ER136" s="604"/>
      <c r="ES136" s="373"/>
      <c r="ET136" s="620">
        <f>COUNTIF('LS | Drawing List'!$H:$H,"LS-T07-4")</f>
        <v>0</v>
      </c>
      <c r="EU136" s="621">
        <f>COUNTIFS('LS | Drawing List'!$H:$H,"LS-T07-4",'LS | Drawing List'!$J:$J,1)</f>
        <v>0</v>
      </c>
      <c r="EV136" s="621">
        <f>COUNTIFS('LS | Drawing List'!$H:$H,"LS-T07-4",'LS | Drawing List'!$L:$L,1)</f>
        <v>0</v>
      </c>
      <c r="EW136" s="620">
        <f>COUNTIFS('LS | Drawing List'!$H:$H,"LS-T07-4",'LS | Drawing List'!M:M,1)</f>
        <v>0</v>
      </c>
      <c r="EX136" s="620">
        <f>COUNTIFS('LS | Drawing List'!$H:$H,"LS-T07-4",'LS | Drawing List'!N:N,1)</f>
        <v>0</v>
      </c>
      <c r="EY136" s="620">
        <f>COUNTIFS('LS | Drawing List'!$H:$H,"LS-T07-4",'LS | Drawing List'!O:O,1)</f>
        <v>0</v>
      </c>
      <c r="EZ136" s="620">
        <f>COUNTIFS('LS | Drawing List'!$H:$H,"LS-T07-4",'LS | Drawing List'!P:P,1)</f>
        <v>0</v>
      </c>
      <c r="FA136" s="287"/>
      <c r="FB136" s="621">
        <f>COUNTIFS('LS | Drawing List'!$H:$H,"LS-T07-4",'LS | Drawing List'!$Q:$Q,1)</f>
        <v>0</v>
      </c>
      <c r="FC136" s="620">
        <f>COUNTIFS('LS | Drawing List'!$H:$H,"LS-T07-4",'LS | Drawing List'!R:R,1)</f>
        <v>0</v>
      </c>
      <c r="FD136" s="620">
        <f>COUNTIFS('LS | Drawing List'!$H:$H,"LS-T07-4",'LS | Drawing List'!S:S,1)</f>
        <v>0</v>
      </c>
      <c r="FE136" s="620">
        <f>COUNTIFS('LS | Drawing List'!$H:$H,"LS-T07-4",'LS | Drawing List'!T:T,1)</f>
        <v>0</v>
      </c>
      <c r="FF136" s="620">
        <f>COUNTIFS('LS | Drawing List'!$H:$H,"LS-T07-4",'LS | Drawing List'!U:U,1)</f>
        <v>0</v>
      </c>
      <c r="FG136" s="89"/>
    </row>
    <row r="137" spans="1:163" s="95" customFormat="1" ht="14.25" hidden="1" outlineLevel="2">
      <c r="A137" s="89"/>
      <c r="B137" s="87" t="s">
        <v>142</v>
      </c>
      <c r="C137" s="277">
        <v>5</v>
      </c>
      <c r="D137" s="273" t="s">
        <v>60</v>
      </c>
      <c r="E137" s="89"/>
      <c r="F137" s="619">
        <f t="shared" si="696"/>
        <v>0.10744375</v>
      </c>
      <c r="G137" s="619">
        <f t="shared" si="697"/>
        <v>0.10744375</v>
      </c>
      <c r="H137" s="615">
        <f t="shared" si="698"/>
        <v>0</v>
      </c>
      <c r="I137" s="615">
        <f t="shared" si="669"/>
        <v>0</v>
      </c>
      <c r="J137" s="615">
        <f t="shared" si="670"/>
        <v>0</v>
      </c>
      <c r="K137" s="615">
        <f t="shared" si="671"/>
        <v>0</v>
      </c>
      <c r="L137" s="615">
        <f t="shared" si="672"/>
        <v>0</v>
      </c>
      <c r="M137" s="620">
        <f t="shared" si="673"/>
        <v>0</v>
      </c>
      <c r="N137" s="287"/>
      <c r="O137" s="615">
        <f t="shared" si="674"/>
        <v>0</v>
      </c>
      <c r="P137" s="615">
        <f t="shared" si="675"/>
        <v>0</v>
      </c>
      <c r="Q137" s="615">
        <f t="shared" si="676"/>
        <v>0</v>
      </c>
      <c r="R137" s="615">
        <f t="shared" si="677"/>
        <v>0</v>
      </c>
      <c r="S137" s="615">
        <f t="shared" si="678"/>
        <v>0</v>
      </c>
      <c r="T137" s="89"/>
      <c r="U137" s="519">
        <v>2.5000000000000001E-2</v>
      </c>
      <c r="V137" s="133"/>
      <c r="W137" s="628">
        <f t="shared" si="699"/>
        <v>6.004375E-2</v>
      </c>
      <c r="X137" s="628">
        <f t="shared" si="700"/>
        <v>6.004375E-2</v>
      </c>
      <c r="Y137" s="620">
        <f t="shared" si="701"/>
        <v>6.004375E-2</v>
      </c>
      <c r="Z137" s="620">
        <f t="shared" si="702"/>
        <v>0</v>
      </c>
      <c r="AA137" s="620">
        <f t="shared" si="703"/>
        <v>0</v>
      </c>
      <c r="AB137" s="620">
        <f t="shared" si="704"/>
        <v>0</v>
      </c>
      <c r="AC137" s="620">
        <f t="shared" si="705"/>
        <v>0</v>
      </c>
      <c r="AD137" s="620">
        <f t="shared" si="706"/>
        <v>0</v>
      </c>
      <c r="AE137" s="287"/>
      <c r="AF137" s="615">
        <f t="shared" si="707"/>
        <v>0</v>
      </c>
      <c r="AG137" s="615">
        <f t="shared" si="708"/>
        <v>0</v>
      </c>
      <c r="AH137" s="615">
        <f t="shared" si="709"/>
        <v>0</v>
      </c>
      <c r="AI137" s="615">
        <f t="shared" si="710"/>
        <v>0</v>
      </c>
      <c r="AJ137" s="615">
        <f t="shared" si="711"/>
        <v>0</v>
      </c>
      <c r="AK137" s="339"/>
      <c r="AL137" s="627">
        <f t="shared" si="712"/>
        <v>1</v>
      </c>
      <c r="AM137" s="627">
        <f t="shared" si="713"/>
        <v>0</v>
      </c>
      <c r="AN137" s="625">
        <f t="shared" si="714"/>
        <v>0</v>
      </c>
      <c r="AO137" s="373"/>
      <c r="AP137" s="620">
        <f>COUNTIF('AR | Drawing List'!$H:$H,"AR-T07-5")</f>
        <v>2</v>
      </c>
      <c r="AQ137" s="621">
        <f>COUNTIFS('AR | Drawing List'!$H:$H,"AR-T07-5",'AR | Drawing List'!$J:$J,1)</f>
        <v>2</v>
      </c>
      <c r="AR137" s="621">
        <f t="shared" si="684"/>
        <v>0</v>
      </c>
      <c r="AS137" s="621">
        <f>COUNTIFS('AR | Drawing List'!$H:$H,"AR-T07-5",'AR | Drawing List'!M:M,1)</f>
        <v>0</v>
      </c>
      <c r="AT137" s="621">
        <f>COUNTIFS('AR | Drawing List'!$H:$H,"AR-T07-5",'AR | Drawing List'!N:N,1)</f>
        <v>0</v>
      </c>
      <c r="AU137" s="621">
        <f>COUNTIFS('AR | Drawing List'!$H:$H,"AR-T07-5",'AR | Drawing List'!O:O,1)</f>
        <v>0</v>
      </c>
      <c r="AV137" s="621">
        <f>COUNTIFS('AR | Drawing List'!$H:$H,"AR-T07-5",'AR | Drawing List'!P:P,1)</f>
        <v>0</v>
      </c>
      <c r="AW137" s="366"/>
      <c r="AX137" s="621">
        <f t="shared" si="715"/>
        <v>0</v>
      </c>
      <c r="AY137" s="621">
        <f>COUNTIFS('AR | Drawing List'!$H:$H,"AR-T07-5",'AR | Drawing List'!R:R,1)</f>
        <v>0</v>
      </c>
      <c r="AZ137" s="621">
        <f>COUNTIFS('AR | Drawing List'!$H:$H,"AR-T07-5",'AR | Drawing List'!S:S,1)</f>
        <v>0</v>
      </c>
      <c r="BA137" s="621">
        <f>COUNTIFS('AR | Drawing List'!$H:$H,"AR-T07-5",'AR | Drawing List'!T:T,1)</f>
        <v>0</v>
      </c>
      <c r="BB137" s="621">
        <f>COUNTIFS('AR | Drawing List'!$H:$H,"AR-T07-5",'AR | Drawing List'!U:U,1)</f>
        <v>0</v>
      </c>
      <c r="BC137" s="365"/>
      <c r="BD137" s="365"/>
      <c r="BE137" s="523">
        <v>0.05</v>
      </c>
      <c r="BF137" s="368"/>
      <c r="BG137" s="621">
        <f t="shared" si="716"/>
        <v>4.7399999999999998E-2</v>
      </c>
      <c r="BH137" s="622">
        <f t="shared" si="717"/>
        <v>4.7399999999999998E-2</v>
      </c>
      <c r="BI137" s="620">
        <f t="shared" si="718"/>
        <v>4.7399999999999998E-2</v>
      </c>
      <c r="BJ137" s="620">
        <f t="shared" si="719"/>
        <v>0</v>
      </c>
      <c r="BK137" s="615">
        <f t="shared" si="720"/>
        <v>0</v>
      </c>
      <c r="BL137" s="615">
        <f t="shared" si="721"/>
        <v>0</v>
      </c>
      <c r="BM137" s="615">
        <f t="shared" si="722"/>
        <v>0</v>
      </c>
      <c r="BN137" s="615">
        <f t="shared" si="723"/>
        <v>0</v>
      </c>
      <c r="BO137" s="339"/>
      <c r="BP137" s="615">
        <f t="shared" si="724"/>
        <v>0</v>
      </c>
      <c r="BQ137" s="615">
        <f t="shared" si="725"/>
        <v>0</v>
      </c>
      <c r="BR137" s="615">
        <f t="shared" si="726"/>
        <v>0</v>
      </c>
      <c r="BS137" s="615">
        <f t="shared" si="727"/>
        <v>0</v>
      </c>
      <c r="BT137" s="615">
        <f t="shared" si="728"/>
        <v>0</v>
      </c>
      <c r="BU137" s="339"/>
      <c r="BV137" s="635">
        <f t="shared" si="729"/>
        <v>1</v>
      </c>
      <c r="BW137" s="635">
        <f t="shared" si="730"/>
        <v>0</v>
      </c>
      <c r="BX137" s="635">
        <f t="shared" si="731"/>
        <v>0</v>
      </c>
      <c r="BY137" s="373"/>
      <c r="BZ137" s="620">
        <f>COUNTIF('ST | Drawing List'!$H:$H,"ST-T07-5")</f>
        <v>5</v>
      </c>
      <c r="CA137" s="621">
        <f>COUNTIFS('ST | Drawing List'!$H:$H,"ST-T07-5",'ST | Drawing List'!$J:$J,1)</f>
        <v>5</v>
      </c>
      <c r="CB137" s="624">
        <f>COUNTIFS('ST | Drawing List'!$H:$H,"ST-T07-5",'ST | Drawing List'!$L:$L,1)</f>
        <v>0</v>
      </c>
      <c r="CC137" s="621">
        <f>COUNTIFS('ST | Drawing List'!$H:$H,"ST-T07-5",'ST | Drawing List'!M:M,1)</f>
        <v>0</v>
      </c>
      <c r="CD137" s="621">
        <f>COUNTIFS('ST | Drawing List'!$H:$H,"ST-T07-5",'ST | Drawing List'!N:N,1)</f>
        <v>0</v>
      </c>
      <c r="CE137" s="621">
        <f>COUNTIFS('ST | Drawing List'!$H:$H,"ST-T07-5",'ST | Drawing List'!O:O,1)</f>
        <v>0</v>
      </c>
      <c r="CF137" s="621">
        <f>COUNTIFS('ST | Drawing List'!$H:$H,"ST-T07-5",'ST | Drawing List'!P:P,1)</f>
        <v>0</v>
      </c>
      <c r="CG137" s="541"/>
      <c r="CH137" s="624">
        <f>COUNTIFS('ST | Drawing List'!$H:$H,"ST-T07-5",'ST | Drawing List'!$Q:$Q,1)</f>
        <v>0</v>
      </c>
      <c r="CI137" s="621">
        <f>COUNTIFS('ST | Drawing List'!$H:$H,"ST-T07-5",'ST | Drawing List'!R:R,1)</f>
        <v>0</v>
      </c>
      <c r="CJ137" s="621">
        <f>COUNTIFS('ST | Drawing List'!$H:$H,"ST-T07-5",'ST | Drawing List'!S:S,1)</f>
        <v>0</v>
      </c>
      <c r="CK137" s="621">
        <f>COUNTIFS('ST | Drawing List'!$H:$H,"ST-T07-5",'ST | Drawing List'!T:T,1)</f>
        <v>0</v>
      </c>
      <c r="CL137" s="621">
        <f>COUNTIFS('ST | Drawing List'!$H:$H,"ST-T07-5",'ST | Drawing List'!U:U,1)</f>
        <v>0</v>
      </c>
      <c r="CM137" s="368"/>
      <c r="CN137" s="368"/>
      <c r="CO137" s="666">
        <v>0</v>
      </c>
      <c r="CP137" s="368"/>
      <c r="CQ137" s="621">
        <f t="shared" si="732"/>
        <v>0</v>
      </c>
      <c r="CR137" s="622">
        <f t="shared" si="733"/>
        <v>0</v>
      </c>
      <c r="CS137" s="620">
        <f t="shared" si="734"/>
        <v>0</v>
      </c>
      <c r="CT137" s="615">
        <f t="shared" si="735"/>
        <v>0</v>
      </c>
      <c r="CU137" s="615">
        <f t="shared" si="736"/>
        <v>0</v>
      </c>
      <c r="CV137" s="615">
        <f t="shared" si="737"/>
        <v>0</v>
      </c>
      <c r="CW137" s="615">
        <f t="shared" si="738"/>
        <v>0</v>
      </c>
      <c r="CX137" s="615">
        <f t="shared" si="739"/>
        <v>0</v>
      </c>
      <c r="CY137" s="339"/>
      <c r="CZ137" s="615">
        <f t="shared" si="740"/>
        <v>0</v>
      </c>
      <c r="DA137" s="615">
        <f t="shared" si="741"/>
        <v>0</v>
      </c>
      <c r="DB137" s="615">
        <f t="shared" si="742"/>
        <v>0</v>
      </c>
      <c r="DC137" s="615">
        <f t="shared" si="743"/>
        <v>0</v>
      </c>
      <c r="DD137" s="615">
        <f t="shared" si="744"/>
        <v>0</v>
      </c>
      <c r="DE137" s="339"/>
      <c r="DF137" s="625">
        <f t="shared" si="745"/>
        <v>0</v>
      </c>
      <c r="DG137" s="625">
        <f t="shared" si="746"/>
        <v>0</v>
      </c>
      <c r="DH137" s="625">
        <f t="shared" si="747"/>
        <v>0</v>
      </c>
      <c r="DI137" s="373"/>
      <c r="DJ137" s="620">
        <f>COUNTIF('MEP | Drawing List'!$H:$H,"MEP-T01-07-5")</f>
        <v>0</v>
      </c>
      <c r="DK137" s="621">
        <f>COUNTIFS('MEP | Drawing List'!$H:$H,"MEP-T01-07-5",'MEP | Drawing List'!$J:$J,1)</f>
        <v>0</v>
      </c>
      <c r="DL137" s="621">
        <f>COUNTIFS('MEP | Drawing List'!$H:$H,"MEP-T01-07-5",'MEP | Drawing List'!$L:$L,1)</f>
        <v>0</v>
      </c>
      <c r="DM137" s="620">
        <f>COUNTIFS('MEP | Drawing List'!$H:$H,"MEP-T01-07-5",'MEP | Drawing List'!M:M,1)</f>
        <v>0</v>
      </c>
      <c r="DN137" s="620">
        <f>COUNTIFS('MEP | Drawing List'!$H:$H,"MEP-T01-07-5",'MEP | Drawing List'!N:N,1)</f>
        <v>0</v>
      </c>
      <c r="DO137" s="620">
        <f>COUNTIFS('MEP | Drawing List'!$H:$H,"MEP-T01-07-5",'MEP | Drawing List'!O:O,1)</f>
        <v>0</v>
      </c>
      <c r="DP137" s="620">
        <f>COUNTIFS('MEP | Drawing List'!$H:$H,"MEP-T01-07-5",'MEP | Drawing List'!P:P,1)</f>
        <v>0</v>
      </c>
      <c r="DQ137" s="287"/>
      <c r="DR137" s="621">
        <f>COUNTIFS('MEP | Drawing List'!$H:$H,"MEP-T01-07-5",'MEP | Drawing List'!$Q:$Q,1)</f>
        <v>0</v>
      </c>
      <c r="DS137" s="620">
        <f>COUNTIFS('MEP | Drawing List'!$H:$H,"MEP-T01-07-5",'MEP | Drawing List'!R:R,1)</f>
        <v>0</v>
      </c>
      <c r="DT137" s="620">
        <f>COUNTIFS('MEP | Drawing List'!$H:$H,"MEP-T01-07-5",'MEP | Drawing List'!S:S,1)</f>
        <v>0</v>
      </c>
      <c r="DU137" s="620">
        <f>COUNTIFS('MEP | Drawing List'!$H:$H,"MEP-T01-07-5",'MEP | Drawing List'!T:T,1)</f>
        <v>0</v>
      </c>
      <c r="DV137" s="620">
        <f>COUNTIFS('MEP | Drawing List'!$H:$H,"MEP-T01-07-5",'MEP | Drawing List'!U:U,1)</f>
        <v>0</v>
      </c>
      <c r="DW137" s="368"/>
      <c r="DX137" s="368"/>
      <c r="DY137" s="554">
        <v>0</v>
      </c>
      <c r="DZ137" s="368"/>
      <c r="EA137" s="344">
        <v>0</v>
      </c>
      <c r="EB137" s="622">
        <f t="shared" si="748"/>
        <v>0</v>
      </c>
      <c r="EC137" s="348"/>
      <c r="ED137" s="348"/>
      <c r="EE137" s="339"/>
      <c r="EF137" s="339"/>
      <c r="EG137" s="339"/>
      <c r="EH137" s="339"/>
      <c r="EI137" s="339"/>
      <c r="EJ137" s="348"/>
      <c r="EK137" s="339"/>
      <c r="EL137" s="339"/>
      <c r="EM137" s="339"/>
      <c r="EN137" s="339"/>
      <c r="EO137" s="339"/>
      <c r="EP137" s="604"/>
      <c r="EQ137" s="604"/>
      <c r="ER137" s="604"/>
      <c r="ES137" s="373"/>
      <c r="ET137" s="620">
        <f>COUNTIF('LS | Drawing List'!$H:$H,"LS-T07-5")</f>
        <v>0</v>
      </c>
      <c r="EU137" s="621">
        <f>COUNTIFS('LS | Drawing List'!$H:$H,"LS-T07-5",'LS | Drawing List'!$J:$J,1)</f>
        <v>0</v>
      </c>
      <c r="EV137" s="621">
        <f>COUNTIFS('LS | Drawing List'!$H:$H,"LS-T07-5",'LS | Drawing List'!$L:$L,1)</f>
        <v>0</v>
      </c>
      <c r="EW137" s="620">
        <f>COUNTIFS('LS | Drawing List'!$H:$H,"LS-T07-5",'LS | Drawing List'!M:M,1)</f>
        <v>0</v>
      </c>
      <c r="EX137" s="620">
        <f>COUNTIFS('LS | Drawing List'!$H:$H,"LS-T07-5",'LS | Drawing List'!N:N,1)</f>
        <v>0</v>
      </c>
      <c r="EY137" s="620">
        <f>COUNTIFS('LS | Drawing List'!$H:$H,"LS-T07-5",'LS | Drawing List'!O:O,1)</f>
        <v>0</v>
      </c>
      <c r="EZ137" s="620">
        <f>COUNTIFS('LS | Drawing List'!$H:$H,"LS-T07-5",'LS | Drawing List'!P:P,1)</f>
        <v>0</v>
      </c>
      <c r="FA137" s="287"/>
      <c r="FB137" s="621">
        <f>COUNTIFS('LS | Drawing List'!$H:$H,"LS-T07-5",'LS | Drawing List'!$Q:$Q,1)</f>
        <v>0</v>
      </c>
      <c r="FC137" s="620">
        <f>COUNTIFS('LS | Drawing List'!$H:$H,"LS-T07-5",'LS | Drawing List'!R:R,1)</f>
        <v>0</v>
      </c>
      <c r="FD137" s="620">
        <f>COUNTIFS('LS | Drawing List'!$H:$H,"LS-T07-5",'LS | Drawing List'!S:S,1)</f>
        <v>0</v>
      </c>
      <c r="FE137" s="620">
        <f>COUNTIFS('LS | Drawing List'!$H:$H,"LS-T07-5",'LS | Drawing List'!T:T,1)</f>
        <v>0</v>
      </c>
      <c r="FF137" s="620">
        <f>COUNTIFS('LS | Drawing List'!$H:$H,"LS-T07-5",'LS | Drawing List'!U:U,1)</f>
        <v>0</v>
      </c>
      <c r="FG137" s="89"/>
    </row>
    <row r="138" spans="1:163" s="95" customFormat="1" ht="14.25" hidden="1" outlineLevel="2">
      <c r="A138" s="89"/>
      <c r="B138" s="87" t="s">
        <v>143</v>
      </c>
      <c r="C138" s="277">
        <v>6</v>
      </c>
      <c r="D138" s="273" t="s">
        <v>62</v>
      </c>
      <c r="E138" s="89"/>
      <c r="F138" s="619">
        <f t="shared" si="696"/>
        <v>0.10744375</v>
      </c>
      <c r="G138" s="619">
        <f t="shared" si="697"/>
        <v>0.10744375</v>
      </c>
      <c r="H138" s="615">
        <f t="shared" si="698"/>
        <v>0</v>
      </c>
      <c r="I138" s="615">
        <f t="shared" si="669"/>
        <v>0</v>
      </c>
      <c r="J138" s="615">
        <f t="shared" si="670"/>
        <v>0</v>
      </c>
      <c r="K138" s="615">
        <f t="shared" si="671"/>
        <v>0</v>
      </c>
      <c r="L138" s="615">
        <f t="shared" si="672"/>
        <v>0</v>
      </c>
      <c r="M138" s="620">
        <f t="shared" si="673"/>
        <v>0</v>
      </c>
      <c r="N138" s="287"/>
      <c r="O138" s="615">
        <f t="shared" si="674"/>
        <v>0</v>
      </c>
      <c r="P138" s="615">
        <f t="shared" si="675"/>
        <v>0</v>
      </c>
      <c r="Q138" s="615">
        <f t="shared" si="676"/>
        <v>0</v>
      </c>
      <c r="R138" s="615">
        <f t="shared" si="677"/>
        <v>0</v>
      </c>
      <c r="S138" s="615">
        <f t="shared" si="678"/>
        <v>0</v>
      </c>
      <c r="T138" s="89"/>
      <c r="U138" s="552">
        <v>2.5000000000000001E-2</v>
      </c>
      <c r="V138" s="133"/>
      <c r="W138" s="628">
        <f t="shared" si="699"/>
        <v>6.004375E-2</v>
      </c>
      <c r="X138" s="628">
        <f t="shared" si="700"/>
        <v>6.004375E-2</v>
      </c>
      <c r="Y138" s="620">
        <f t="shared" si="701"/>
        <v>6.004375E-2</v>
      </c>
      <c r="Z138" s="620">
        <f t="shared" si="702"/>
        <v>0</v>
      </c>
      <c r="AA138" s="620">
        <f t="shared" si="703"/>
        <v>0</v>
      </c>
      <c r="AB138" s="620">
        <f t="shared" si="704"/>
        <v>0</v>
      </c>
      <c r="AC138" s="620">
        <f t="shared" si="705"/>
        <v>0</v>
      </c>
      <c r="AD138" s="620">
        <f t="shared" si="706"/>
        <v>0</v>
      </c>
      <c r="AE138" s="287"/>
      <c r="AF138" s="615">
        <f t="shared" si="707"/>
        <v>0</v>
      </c>
      <c r="AG138" s="615">
        <f t="shared" si="708"/>
        <v>0</v>
      </c>
      <c r="AH138" s="615">
        <f t="shared" si="709"/>
        <v>0</v>
      </c>
      <c r="AI138" s="615">
        <f t="shared" si="710"/>
        <v>0</v>
      </c>
      <c r="AJ138" s="615">
        <f t="shared" si="711"/>
        <v>0</v>
      </c>
      <c r="AK138" s="339"/>
      <c r="AL138" s="627">
        <f t="shared" si="712"/>
        <v>1</v>
      </c>
      <c r="AM138" s="627">
        <f t="shared" si="713"/>
        <v>0</v>
      </c>
      <c r="AN138" s="625">
        <f t="shared" si="714"/>
        <v>0</v>
      </c>
      <c r="AO138" s="373"/>
      <c r="AP138" s="620">
        <f>COUNTIF('AR | Drawing List'!$H:$H,"AR-T07-6")</f>
        <v>1</v>
      </c>
      <c r="AQ138" s="621">
        <f>COUNTIFS('AR | Drawing List'!$H:$H,"AR-T07-6",'AR | Drawing List'!$J:$J,1)</f>
        <v>1</v>
      </c>
      <c r="AR138" s="621">
        <f t="shared" si="684"/>
        <v>0</v>
      </c>
      <c r="AS138" s="621">
        <f>COUNTIFS('AR | Drawing List'!$H:$H,"AR-T07-6",'AR | Drawing List'!M:M,1)</f>
        <v>0</v>
      </c>
      <c r="AT138" s="621">
        <f>COUNTIFS('AR | Drawing List'!$H:$H,"AR-T07-6",'AR | Drawing List'!N:N,1)</f>
        <v>0</v>
      </c>
      <c r="AU138" s="621">
        <f>COUNTIFS('AR | Drawing List'!$H:$H,"AR-T07-6",'AR | Drawing List'!O:O,1)</f>
        <v>0</v>
      </c>
      <c r="AV138" s="621">
        <f>COUNTIFS('AR | Drawing List'!$H:$H,"AR-T07-6",'AR | Drawing List'!P:P,1)</f>
        <v>0</v>
      </c>
      <c r="AW138" s="366"/>
      <c r="AX138" s="621">
        <f t="shared" si="715"/>
        <v>0</v>
      </c>
      <c r="AY138" s="621">
        <f>COUNTIFS('AR | Drawing List'!$H:$H,"AR-T07-6",'AR | Drawing List'!R:R,1)</f>
        <v>0</v>
      </c>
      <c r="AZ138" s="621">
        <f>COUNTIFS('AR | Drawing List'!$H:$H,"AR-T07-6",'AR | Drawing List'!S:S,1)</f>
        <v>0</v>
      </c>
      <c r="BA138" s="621">
        <f>COUNTIFS('AR | Drawing List'!$H:$H,"AR-T07-6",'AR | Drawing List'!T:T,1)</f>
        <v>0</v>
      </c>
      <c r="BB138" s="621">
        <f>COUNTIFS('AR | Drawing List'!$H:$H,"AR-T07-6",'AR | Drawing List'!U:U,1)</f>
        <v>0</v>
      </c>
      <c r="BC138" s="365"/>
      <c r="BD138" s="365"/>
      <c r="BE138" s="523">
        <v>0.05</v>
      </c>
      <c r="BF138" s="368"/>
      <c r="BG138" s="621">
        <f t="shared" si="716"/>
        <v>4.7399999999999998E-2</v>
      </c>
      <c r="BH138" s="622">
        <f t="shared" si="717"/>
        <v>4.7399999999999998E-2</v>
      </c>
      <c r="BI138" s="620">
        <f t="shared" si="718"/>
        <v>4.7399999999999998E-2</v>
      </c>
      <c r="BJ138" s="620">
        <f t="shared" si="719"/>
        <v>0</v>
      </c>
      <c r="BK138" s="615">
        <f t="shared" si="720"/>
        <v>0</v>
      </c>
      <c r="BL138" s="615">
        <f t="shared" si="721"/>
        <v>0</v>
      </c>
      <c r="BM138" s="615">
        <f t="shared" si="722"/>
        <v>0</v>
      </c>
      <c r="BN138" s="615">
        <f t="shared" si="723"/>
        <v>0</v>
      </c>
      <c r="BO138" s="339"/>
      <c r="BP138" s="615">
        <f t="shared" si="724"/>
        <v>0</v>
      </c>
      <c r="BQ138" s="615">
        <f t="shared" si="725"/>
        <v>0</v>
      </c>
      <c r="BR138" s="615">
        <f t="shared" si="726"/>
        <v>0</v>
      </c>
      <c r="BS138" s="615">
        <f t="shared" si="727"/>
        <v>0</v>
      </c>
      <c r="BT138" s="615">
        <f t="shared" si="728"/>
        <v>0</v>
      </c>
      <c r="BU138" s="339"/>
      <c r="BV138" s="635">
        <f t="shared" si="729"/>
        <v>1</v>
      </c>
      <c r="BW138" s="635">
        <f t="shared" si="730"/>
        <v>0</v>
      </c>
      <c r="BX138" s="635">
        <f t="shared" si="731"/>
        <v>0</v>
      </c>
      <c r="BY138" s="373"/>
      <c r="BZ138" s="620">
        <f>COUNTIF('ST | Drawing List'!$H:$H,"ST-T07-6")</f>
        <v>3</v>
      </c>
      <c r="CA138" s="621">
        <f>COUNTIFS('ST | Drawing List'!$H:$H,"ST-T07-6",'ST | Drawing List'!$J:$J,1)</f>
        <v>3</v>
      </c>
      <c r="CB138" s="624">
        <f>COUNTIFS('ST | Drawing List'!$H:$H,"ST-T07-6",'ST | Drawing List'!$L:$L,1)</f>
        <v>0</v>
      </c>
      <c r="CC138" s="621">
        <f>COUNTIFS('ST | Drawing List'!$H:$H,"ST-T07-6",'ST | Drawing List'!M:M,1)</f>
        <v>0</v>
      </c>
      <c r="CD138" s="621">
        <f>COUNTIFS('ST | Drawing List'!$H:$H,"ST-T07-6",'ST | Drawing List'!N:N,1)</f>
        <v>0</v>
      </c>
      <c r="CE138" s="621">
        <f>COUNTIFS('ST | Drawing List'!$H:$H,"ST-T07-6",'ST | Drawing List'!O:O,1)</f>
        <v>0</v>
      </c>
      <c r="CF138" s="621">
        <f>COUNTIFS('ST | Drawing List'!$H:$H,"ST-T07-6",'ST | Drawing List'!P:P,1)</f>
        <v>0</v>
      </c>
      <c r="CG138" s="541"/>
      <c r="CH138" s="624">
        <f>COUNTIFS('ST | Drawing List'!$H:$H,"ST-T07-6",'ST | Drawing List'!$Q:$Q,1)</f>
        <v>0</v>
      </c>
      <c r="CI138" s="621">
        <f>COUNTIFS('ST | Drawing List'!$H:$H,"ST-T07-6",'ST | Drawing List'!R:R,1)</f>
        <v>0</v>
      </c>
      <c r="CJ138" s="621">
        <f>COUNTIFS('ST | Drawing List'!$H:$H,"ST-T07-6",'ST | Drawing List'!S:S,1)</f>
        <v>0</v>
      </c>
      <c r="CK138" s="621">
        <f>COUNTIFS('ST | Drawing List'!$H:$H,"ST-T07-6",'ST | Drawing List'!T:T,1)</f>
        <v>0</v>
      </c>
      <c r="CL138" s="621">
        <f>COUNTIFS('ST | Drawing List'!$H:$H,"ST-T07-6",'ST | Drawing List'!U:U,1)</f>
        <v>0</v>
      </c>
      <c r="CM138" s="368"/>
      <c r="CN138" s="368"/>
      <c r="CO138" s="666">
        <v>0</v>
      </c>
      <c r="CP138" s="368"/>
      <c r="CQ138" s="621">
        <f t="shared" si="732"/>
        <v>0</v>
      </c>
      <c r="CR138" s="622">
        <f t="shared" si="733"/>
        <v>0</v>
      </c>
      <c r="CS138" s="620">
        <f t="shared" si="734"/>
        <v>0</v>
      </c>
      <c r="CT138" s="615">
        <f t="shared" si="735"/>
        <v>0</v>
      </c>
      <c r="CU138" s="615">
        <f t="shared" si="736"/>
        <v>0</v>
      </c>
      <c r="CV138" s="615">
        <f t="shared" si="737"/>
        <v>0</v>
      </c>
      <c r="CW138" s="615">
        <f t="shared" si="738"/>
        <v>0</v>
      </c>
      <c r="CX138" s="615">
        <f t="shared" si="739"/>
        <v>0</v>
      </c>
      <c r="CY138" s="339"/>
      <c r="CZ138" s="615">
        <f t="shared" si="740"/>
        <v>0</v>
      </c>
      <c r="DA138" s="615">
        <f t="shared" si="741"/>
        <v>0</v>
      </c>
      <c r="DB138" s="615">
        <f t="shared" si="742"/>
        <v>0</v>
      </c>
      <c r="DC138" s="615">
        <f t="shared" si="743"/>
        <v>0</v>
      </c>
      <c r="DD138" s="615">
        <f t="shared" si="744"/>
        <v>0</v>
      </c>
      <c r="DE138" s="339"/>
      <c r="DF138" s="625">
        <f t="shared" si="745"/>
        <v>1</v>
      </c>
      <c r="DG138" s="625">
        <f t="shared" si="746"/>
        <v>0</v>
      </c>
      <c r="DH138" s="625">
        <f t="shared" si="747"/>
        <v>0</v>
      </c>
      <c r="DI138" s="373"/>
      <c r="DJ138" s="620">
        <f>COUNTIF('MEP | Drawing List'!$H:$H,"MEP-T01-07-6")</f>
        <v>1</v>
      </c>
      <c r="DK138" s="621">
        <f>COUNTIFS('MEP | Drawing List'!$H:$H,"MEP-T01-07-6",'MEP | Drawing List'!$J:$J,1)</f>
        <v>1</v>
      </c>
      <c r="DL138" s="621">
        <f>COUNTIFS('MEP | Drawing List'!$H:$H,"MEP-T01-07-6",'MEP | Drawing List'!$L:$L,1)</f>
        <v>0</v>
      </c>
      <c r="DM138" s="620">
        <f>COUNTIFS('MEP | Drawing List'!$H:$H,"MEP-T01-07-6",'MEP | Drawing List'!M:M,1)</f>
        <v>0</v>
      </c>
      <c r="DN138" s="620">
        <f>COUNTIFS('MEP | Drawing List'!$H:$H,"MEP-T01-07-6",'MEP | Drawing List'!N:N,1)</f>
        <v>0</v>
      </c>
      <c r="DO138" s="620">
        <f>COUNTIFS('MEP | Drawing List'!$H:$H,"MEP-T01-07-6",'MEP | Drawing List'!O:O,1)</f>
        <v>0</v>
      </c>
      <c r="DP138" s="620">
        <f>COUNTIFS('MEP | Drawing List'!$H:$H,"MEP-T01-07-6",'MEP | Drawing List'!P:P,1)</f>
        <v>0</v>
      </c>
      <c r="DQ138" s="287"/>
      <c r="DR138" s="621">
        <f>COUNTIFS('MEP | Drawing List'!$H:$H,"MEP-T01-07-6",'MEP | Drawing List'!$Q:$Q,1)</f>
        <v>0</v>
      </c>
      <c r="DS138" s="620">
        <f>COUNTIFS('MEP | Drawing List'!$H:$H,"MEP-T01-07-6",'MEP | Drawing List'!R:R,1)</f>
        <v>0</v>
      </c>
      <c r="DT138" s="620">
        <f>COUNTIFS('MEP | Drawing List'!$H:$H,"MEP-T01-07-6",'MEP | Drawing List'!S:S,1)</f>
        <v>0</v>
      </c>
      <c r="DU138" s="620">
        <f>COUNTIFS('MEP | Drawing List'!$H:$H,"MEP-T01-07-6",'MEP | Drawing List'!T:T,1)</f>
        <v>0</v>
      </c>
      <c r="DV138" s="620">
        <f>COUNTIFS('MEP | Drawing List'!$H:$H,"MEP-T01-07-6",'MEP | Drawing List'!U:U,1)</f>
        <v>0</v>
      </c>
      <c r="DW138" s="368"/>
      <c r="DX138" s="368"/>
      <c r="DY138" s="554">
        <v>0</v>
      </c>
      <c r="DZ138" s="368"/>
      <c r="EA138" s="344">
        <v>0</v>
      </c>
      <c r="EB138" s="622">
        <f t="shared" si="748"/>
        <v>0</v>
      </c>
      <c r="EC138" s="348"/>
      <c r="ED138" s="348"/>
      <c r="EE138" s="339"/>
      <c r="EF138" s="339"/>
      <c r="EG138" s="339"/>
      <c r="EH138" s="339"/>
      <c r="EI138" s="339"/>
      <c r="EJ138" s="348"/>
      <c r="EK138" s="339"/>
      <c r="EL138" s="339"/>
      <c r="EM138" s="339"/>
      <c r="EN138" s="339"/>
      <c r="EO138" s="339"/>
      <c r="EP138" s="604"/>
      <c r="EQ138" s="604"/>
      <c r="ER138" s="604"/>
      <c r="ES138" s="373"/>
      <c r="ET138" s="620">
        <f>COUNTIF('LS | Drawing List'!$H:$H,"LS-T07-6")</f>
        <v>0</v>
      </c>
      <c r="EU138" s="621">
        <f>COUNTIFS('LS | Drawing List'!$H:$H,"LS-T07-6",'LS | Drawing List'!$J:$J,1)</f>
        <v>0</v>
      </c>
      <c r="EV138" s="621">
        <f>COUNTIFS('LS | Drawing List'!$H:$H,"LS-T07-6",'LS | Drawing List'!$L:$L,1)</f>
        <v>0</v>
      </c>
      <c r="EW138" s="620">
        <f>COUNTIFS('LS | Drawing List'!$H:$H,"LS-T07-6",'LS | Drawing List'!M:M,1)</f>
        <v>0</v>
      </c>
      <c r="EX138" s="620">
        <f>COUNTIFS('LS | Drawing List'!$H:$H,"LS-T07-6",'LS | Drawing List'!N:N,1)</f>
        <v>0</v>
      </c>
      <c r="EY138" s="620">
        <f>COUNTIFS('LS | Drawing List'!$H:$H,"LS-T07-6",'LS | Drawing List'!O:O,1)</f>
        <v>0</v>
      </c>
      <c r="EZ138" s="620">
        <f>COUNTIFS('LS | Drawing List'!$H:$H,"LS-T07-6",'LS | Drawing List'!P:P,1)</f>
        <v>0</v>
      </c>
      <c r="FA138" s="287"/>
      <c r="FB138" s="621">
        <f>COUNTIFS('LS | Drawing List'!$H:$H,"LS-T07-6",'LS | Drawing List'!$Q:$Q,1)</f>
        <v>0</v>
      </c>
      <c r="FC138" s="620">
        <f>COUNTIFS('LS | Drawing List'!$H:$H,"LS-T07-6",'LS | Drawing List'!R:R,1)</f>
        <v>0</v>
      </c>
      <c r="FD138" s="620">
        <f>COUNTIFS('LS | Drawing List'!$H:$H,"LS-T07-6",'LS | Drawing List'!S:S,1)</f>
        <v>0</v>
      </c>
      <c r="FE138" s="620">
        <f>COUNTIFS('LS | Drawing List'!$H:$H,"LS-T07-6",'LS | Drawing List'!T:T,1)</f>
        <v>0</v>
      </c>
      <c r="FF138" s="620">
        <f>COUNTIFS('LS | Drawing List'!$H:$H,"LS-T07-6",'LS | Drawing List'!U:U,1)</f>
        <v>0</v>
      </c>
      <c r="FG138" s="89"/>
    </row>
    <row r="139" spans="1:163" s="95" customFormat="1" ht="14.25" hidden="1" outlineLevel="2">
      <c r="A139" s="89"/>
      <c r="B139" s="87" t="s">
        <v>144</v>
      </c>
      <c r="C139" s="277">
        <v>7</v>
      </c>
      <c r="D139" s="273" t="s">
        <v>64</v>
      </c>
      <c r="E139" s="89"/>
      <c r="F139" s="619">
        <f t="shared" si="696"/>
        <v>0.255855</v>
      </c>
      <c r="G139" s="619">
        <f t="shared" si="697"/>
        <v>0.255855</v>
      </c>
      <c r="H139" s="615">
        <f t="shared" si="698"/>
        <v>0</v>
      </c>
      <c r="I139" s="615">
        <f t="shared" si="669"/>
        <v>0</v>
      </c>
      <c r="J139" s="615">
        <f t="shared" si="670"/>
        <v>0</v>
      </c>
      <c r="K139" s="615">
        <f t="shared" si="671"/>
        <v>0</v>
      </c>
      <c r="L139" s="615">
        <f t="shared" si="672"/>
        <v>0</v>
      </c>
      <c r="M139" s="620">
        <f t="shared" si="673"/>
        <v>0</v>
      </c>
      <c r="N139" s="287"/>
      <c r="O139" s="615">
        <f t="shared" si="674"/>
        <v>0</v>
      </c>
      <c r="P139" s="615">
        <f t="shared" si="675"/>
        <v>0</v>
      </c>
      <c r="Q139" s="615">
        <f t="shared" si="676"/>
        <v>0</v>
      </c>
      <c r="R139" s="615">
        <f t="shared" si="677"/>
        <v>0</v>
      </c>
      <c r="S139" s="615">
        <f t="shared" si="678"/>
        <v>0</v>
      </c>
      <c r="T139" s="89"/>
      <c r="U139" s="519">
        <v>0.1</v>
      </c>
      <c r="V139" s="133"/>
      <c r="W139" s="628">
        <f t="shared" si="699"/>
        <v>0.240175</v>
      </c>
      <c r="X139" s="628">
        <f t="shared" si="700"/>
        <v>0.240175</v>
      </c>
      <c r="Y139" s="620">
        <f t="shared" si="701"/>
        <v>0.240175</v>
      </c>
      <c r="Z139" s="620">
        <f t="shared" si="702"/>
        <v>0</v>
      </c>
      <c r="AA139" s="620">
        <f t="shared" si="703"/>
        <v>0</v>
      </c>
      <c r="AB139" s="620">
        <f t="shared" si="704"/>
        <v>0</v>
      </c>
      <c r="AC139" s="620">
        <f t="shared" si="705"/>
        <v>0</v>
      </c>
      <c r="AD139" s="620">
        <f t="shared" si="706"/>
        <v>0</v>
      </c>
      <c r="AE139" s="287"/>
      <c r="AF139" s="615">
        <f t="shared" si="707"/>
        <v>0</v>
      </c>
      <c r="AG139" s="615">
        <f t="shared" si="708"/>
        <v>0</v>
      </c>
      <c r="AH139" s="615">
        <f t="shared" si="709"/>
        <v>0</v>
      </c>
      <c r="AI139" s="615">
        <f t="shared" si="710"/>
        <v>0</v>
      </c>
      <c r="AJ139" s="615">
        <f t="shared" si="711"/>
        <v>0</v>
      </c>
      <c r="AK139" s="339"/>
      <c r="AL139" s="627">
        <f t="shared" si="712"/>
        <v>1</v>
      </c>
      <c r="AM139" s="627">
        <f t="shared" si="713"/>
        <v>0</v>
      </c>
      <c r="AN139" s="625">
        <f t="shared" si="714"/>
        <v>0</v>
      </c>
      <c r="AO139" s="373"/>
      <c r="AP139" s="620">
        <f>COUNTIF('AR | Drawing List'!$H:$H,"AR-T07-7")</f>
        <v>27</v>
      </c>
      <c r="AQ139" s="621">
        <f>COUNTIFS('AR | Drawing List'!$H:$H,"AR-T07-7",'AR | Drawing List'!$J:$J,1)</f>
        <v>27</v>
      </c>
      <c r="AR139" s="621">
        <f t="shared" si="684"/>
        <v>0</v>
      </c>
      <c r="AS139" s="621">
        <f>COUNTIFS('AR | Drawing List'!$H:$H,"AR-T07-7",'AR | Drawing List'!M:M,1)</f>
        <v>0</v>
      </c>
      <c r="AT139" s="621">
        <f>COUNTIFS('AR | Drawing List'!$H:$H,"AR-T07-7",'AR | Drawing List'!N:N,1)</f>
        <v>0</v>
      </c>
      <c r="AU139" s="621">
        <f>COUNTIFS('AR | Drawing List'!$H:$H,"AR-T07-7",'AR | Drawing List'!O:O,1)</f>
        <v>0</v>
      </c>
      <c r="AV139" s="621">
        <f>COUNTIFS('AR | Drawing List'!$H:$H,"AR-T07-7",'AR | Drawing List'!P:P,1)</f>
        <v>0</v>
      </c>
      <c r="AW139" s="366"/>
      <c r="AX139" s="621">
        <f t="shared" si="715"/>
        <v>0</v>
      </c>
      <c r="AY139" s="621">
        <f>COUNTIFS('AR | Drawing List'!$H:$H,"AR-T07-7",'AR | Drawing List'!R:R,1)</f>
        <v>0</v>
      </c>
      <c r="AZ139" s="621">
        <f>COUNTIFS('AR | Drawing List'!$H:$H,"AR-T07-7",'AR | Drawing List'!S:S,1)</f>
        <v>0</v>
      </c>
      <c r="BA139" s="621">
        <f>COUNTIFS('AR | Drawing List'!$H:$H,"AR-T07-7",'AR | Drawing List'!T:T,1)</f>
        <v>0</v>
      </c>
      <c r="BB139" s="621">
        <f>COUNTIFS('AR | Drawing List'!$H:$H,"AR-T07-7",'AR | Drawing List'!U:U,1)</f>
        <v>0</v>
      </c>
      <c r="BC139" s="365"/>
      <c r="BD139" s="365"/>
      <c r="BE139" s="666">
        <v>0</v>
      </c>
      <c r="BF139" s="368"/>
      <c r="BG139" s="621">
        <f t="shared" si="716"/>
        <v>0</v>
      </c>
      <c r="BH139" s="622">
        <f t="shared" si="717"/>
        <v>0</v>
      </c>
      <c r="BI139" s="620">
        <f t="shared" si="718"/>
        <v>0</v>
      </c>
      <c r="BJ139" s="620">
        <f t="shared" si="719"/>
        <v>0</v>
      </c>
      <c r="BK139" s="615">
        <f t="shared" si="720"/>
        <v>0</v>
      </c>
      <c r="BL139" s="615">
        <f t="shared" si="721"/>
        <v>0</v>
      </c>
      <c r="BM139" s="615">
        <f t="shared" si="722"/>
        <v>0</v>
      </c>
      <c r="BN139" s="615">
        <f t="shared" si="723"/>
        <v>0</v>
      </c>
      <c r="BO139" s="339"/>
      <c r="BP139" s="615">
        <f t="shared" si="724"/>
        <v>0</v>
      </c>
      <c r="BQ139" s="615">
        <f t="shared" si="725"/>
        <v>0</v>
      </c>
      <c r="BR139" s="615">
        <f t="shared" si="726"/>
        <v>0</v>
      </c>
      <c r="BS139" s="615">
        <f t="shared" si="727"/>
        <v>0</v>
      </c>
      <c r="BT139" s="615">
        <f t="shared" si="728"/>
        <v>0</v>
      </c>
      <c r="BU139" s="339"/>
      <c r="BV139" s="635">
        <f t="shared" si="729"/>
        <v>0</v>
      </c>
      <c r="BW139" s="635">
        <f t="shared" si="730"/>
        <v>0</v>
      </c>
      <c r="BX139" s="635">
        <f t="shared" si="731"/>
        <v>0</v>
      </c>
      <c r="BY139" s="373"/>
      <c r="BZ139" s="620">
        <f>COUNTIF('ST | Drawing List'!$H:$H,"ST-T07-7")</f>
        <v>0</v>
      </c>
      <c r="CA139" s="621">
        <f>COUNTIFS('ST | Drawing List'!$H:$H,"ST-T07-7",'ST | Drawing List'!$J:$J,1)</f>
        <v>0</v>
      </c>
      <c r="CB139" s="624">
        <f>COUNTIFS('ST | Drawing List'!$H:$H,"ST-T07-7",'ST | Drawing List'!$L:$L,1)</f>
        <v>0</v>
      </c>
      <c r="CC139" s="621">
        <f>COUNTIFS('ST | Drawing List'!$H:$H,"ST-T07-7",'ST | Drawing List'!M:M,1)</f>
        <v>0</v>
      </c>
      <c r="CD139" s="621">
        <f>COUNTIFS('ST | Drawing List'!$H:$H,"ST-T07-7",'ST | Drawing List'!N:N,1)</f>
        <v>0</v>
      </c>
      <c r="CE139" s="621">
        <f>COUNTIFS('ST | Drawing List'!$H:$H,"ST-T07-7",'ST | Drawing List'!O:O,1)</f>
        <v>0</v>
      </c>
      <c r="CF139" s="621">
        <f>COUNTIFS('ST | Drawing List'!$H:$H,"ST-T07-7",'ST | Drawing List'!P:P,1)</f>
        <v>0</v>
      </c>
      <c r="CG139" s="541"/>
      <c r="CH139" s="624">
        <f>COUNTIFS('ST | Drawing List'!$H:$H,"ST-T07-7",'ST | Drawing List'!$Q:$Q,1)</f>
        <v>0</v>
      </c>
      <c r="CI139" s="621">
        <f>COUNTIFS('ST | Drawing List'!$H:$H,"ST-T07-7",'ST | Drawing List'!R:R,1)</f>
        <v>0</v>
      </c>
      <c r="CJ139" s="621">
        <f>COUNTIFS('ST | Drawing List'!$H:$H,"ST-T07-7",'ST | Drawing List'!S:S,1)</f>
        <v>0</v>
      </c>
      <c r="CK139" s="621">
        <f>COUNTIFS('ST | Drawing List'!$H:$H,"ST-T07-7",'ST | Drawing List'!T:T,1)</f>
        <v>0</v>
      </c>
      <c r="CL139" s="621">
        <f>COUNTIFS('ST | Drawing List'!$H:$H,"ST-T07-7",'ST | Drawing List'!U:U,1)</f>
        <v>0</v>
      </c>
      <c r="CM139" s="368"/>
      <c r="CN139" s="368"/>
      <c r="CO139" s="554">
        <v>0.1</v>
      </c>
      <c r="CP139" s="368"/>
      <c r="CQ139" s="621">
        <f t="shared" si="732"/>
        <v>1.5679999999999999E-2</v>
      </c>
      <c r="CR139" s="622">
        <f t="shared" si="733"/>
        <v>1.5679999999999999E-2</v>
      </c>
      <c r="CS139" s="620">
        <f t="shared" si="734"/>
        <v>1.5679999999999999E-2</v>
      </c>
      <c r="CT139" s="615">
        <f t="shared" si="735"/>
        <v>0</v>
      </c>
      <c r="CU139" s="615">
        <f t="shared" si="736"/>
        <v>0</v>
      </c>
      <c r="CV139" s="615">
        <f t="shared" si="737"/>
        <v>0</v>
      </c>
      <c r="CW139" s="615">
        <f t="shared" si="738"/>
        <v>0</v>
      </c>
      <c r="CX139" s="615">
        <f t="shared" si="739"/>
        <v>0</v>
      </c>
      <c r="CY139" s="339"/>
      <c r="CZ139" s="615">
        <f t="shared" si="740"/>
        <v>0</v>
      </c>
      <c r="DA139" s="615">
        <f t="shared" si="741"/>
        <v>0</v>
      </c>
      <c r="DB139" s="615">
        <f t="shared" si="742"/>
        <v>0</v>
      </c>
      <c r="DC139" s="615">
        <f t="shared" si="743"/>
        <v>0</v>
      </c>
      <c r="DD139" s="615">
        <f t="shared" si="744"/>
        <v>0</v>
      </c>
      <c r="DE139" s="339"/>
      <c r="DF139" s="625">
        <f t="shared" si="745"/>
        <v>1</v>
      </c>
      <c r="DG139" s="625">
        <f t="shared" si="746"/>
        <v>0</v>
      </c>
      <c r="DH139" s="625">
        <f t="shared" si="747"/>
        <v>0</v>
      </c>
      <c r="DI139" s="373"/>
      <c r="DJ139" s="620">
        <f>COUNTIF('MEP | Drawing List'!$H:$H,"MEP-T01-07-7")</f>
        <v>6</v>
      </c>
      <c r="DK139" s="621">
        <f>COUNTIFS('MEP | Drawing List'!$H:$H,"MEP-T01-07-7",'MEP | Drawing List'!$J:$J,1)</f>
        <v>6</v>
      </c>
      <c r="DL139" s="621">
        <f>COUNTIFS('MEP | Drawing List'!$H:$H,"MEP-T01-07-7",'MEP | Drawing List'!$L:$L,1)</f>
        <v>0</v>
      </c>
      <c r="DM139" s="620">
        <f>COUNTIFS('MEP | Drawing List'!$H:$H,"MEP-T01-07-7",'MEP | Drawing List'!M:M,1)</f>
        <v>0</v>
      </c>
      <c r="DN139" s="620">
        <f>COUNTIFS('MEP | Drawing List'!$H:$H,"MEP-T01-07-7",'MEP | Drawing List'!N:N,1)</f>
        <v>0</v>
      </c>
      <c r="DO139" s="620">
        <f>COUNTIFS('MEP | Drawing List'!$H:$H,"MEP-T01-07-7",'MEP | Drawing List'!O:O,1)</f>
        <v>0</v>
      </c>
      <c r="DP139" s="620">
        <f>COUNTIFS('MEP | Drawing List'!$H:$H,"MEP-T01-07-7",'MEP | Drawing List'!P:P,1)</f>
        <v>0</v>
      </c>
      <c r="DQ139" s="287"/>
      <c r="DR139" s="621">
        <f>COUNTIFS('MEP | Drawing List'!$H:$H,"MEP-T01-07-7",'MEP | Drawing List'!$Q:$Q,1)</f>
        <v>0</v>
      </c>
      <c r="DS139" s="620">
        <f>COUNTIFS('MEP | Drawing List'!$H:$H,"MEP-T01-07-7",'MEP | Drawing List'!R:R,1)</f>
        <v>0</v>
      </c>
      <c r="DT139" s="620">
        <f>COUNTIFS('MEP | Drawing List'!$H:$H,"MEP-T01-07-7",'MEP | Drawing List'!S:S,1)</f>
        <v>0</v>
      </c>
      <c r="DU139" s="620">
        <f>COUNTIFS('MEP | Drawing List'!$H:$H,"MEP-T01-07-7",'MEP | Drawing List'!T:T,1)</f>
        <v>0</v>
      </c>
      <c r="DV139" s="620">
        <f>COUNTIFS('MEP | Drawing List'!$H:$H,"MEP-T01-07-7",'MEP | Drawing List'!U:U,1)</f>
        <v>0</v>
      </c>
      <c r="DW139" s="368"/>
      <c r="DX139" s="368"/>
      <c r="DY139" s="554">
        <v>0</v>
      </c>
      <c r="DZ139" s="368"/>
      <c r="EA139" s="344">
        <v>0</v>
      </c>
      <c r="EB139" s="622">
        <f t="shared" si="748"/>
        <v>0</v>
      </c>
      <c r="EC139" s="339"/>
      <c r="ED139" s="339"/>
      <c r="EE139" s="339"/>
      <c r="EF139" s="339"/>
      <c r="EG139" s="339"/>
      <c r="EH139" s="339"/>
      <c r="EI139" s="339"/>
      <c r="EJ139" s="339"/>
      <c r="EK139" s="339"/>
      <c r="EL139" s="339"/>
      <c r="EM139" s="339"/>
      <c r="EN139" s="339"/>
      <c r="EO139" s="339"/>
      <c r="EP139" s="603"/>
      <c r="EQ139" s="603"/>
      <c r="ER139" s="603"/>
      <c r="ES139" s="373"/>
      <c r="ET139" s="620">
        <f>COUNTIF('LS | Drawing List'!$H:$H,"LS-T07-7")</f>
        <v>0</v>
      </c>
      <c r="EU139" s="621">
        <f>COUNTIFS('LS | Drawing List'!$H:$H,"LS-T07-7",'LS | Drawing List'!$J:$J,1)</f>
        <v>0</v>
      </c>
      <c r="EV139" s="621">
        <f>COUNTIFS('LS | Drawing List'!$H:$H,"LS-T07-7",'LS | Drawing List'!$L:$L,1)</f>
        <v>0</v>
      </c>
      <c r="EW139" s="620">
        <f>COUNTIFS('LS | Drawing List'!$H:$H,"LS-T07-7",'LS | Drawing List'!M:M,1)</f>
        <v>0</v>
      </c>
      <c r="EX139" s="620">
        <f>COUNTIFS('LS | Drawing List'!$H:$H,"LS-T07-7",'LS | Drawing List'!N:N,1)</f>
        <v>0</v>
      </c>
      <c r="EY139" s="620">
        <f>COUNTIFS('LS | Drawing List'!$H:$H,"LS-T07-7",'LS | Drawing List'!O:O,1)</f>
        <v>0</v>
      </c>
      <c r="EZ139" s="620">
        <f>COUNTIFS('LS | Drawing List'!$H:$H,"LS-T07-7",'LS | Drawing List'!P:P,1)</f>
        <v>0</v>
      </c>
      <c r="FA139" s="287"/>
      <c r="FB139" s="621">
        <f>COUNTIFS('LS | Drawing List'!$H:$H,"LS-T07-7",'LS | Drawing List'!$Q:$Q,1)</f>
        <v>0</v>
      </c>
      <c r="FC139" s="620">
        <f>COUNTIFS('LS | Drawing List'!$H:$H,"LS-T07-7",'LS | Drawing List'!R:R,1)</f>
        <v>0</v>
      </c>
      <c r="FD139" s="620">
        <f>COUNTIFS('LS | Drawing List'!$H:$H,"LS-T07-7",'LS | Drawing List'!S:S,1)</f>
        <v>0</v>
      </c>
      <c r="FE139" s="620">
        <f>COUNTIFS('LS | Drawing List'!$H:$H,"LS-T07-7",'LS | Drawing List'!T:T,1)</f>
        <v>0</v>
      </c>
      <c r="FF139" s="620">
        <f>COUNTIFS('LS | Drawing List'!$H:$H,"LS-T07-7",'LS | Drawing List'!U:U,1)</f>
        <v>0</v>
      </c>
      <c r="FG139" s="89"/>
    </row>
    <row r="140" spans="1:163" ht="14.25" hidden="1" outlineLevel="2">
      <c r="A140" s="48"/>
      <c r="B140" s="87" t="s">
        <v>145</v>
      </c>
      <c r="C140" s="276">
        <v>8</v>
      </c>
      <c r="D140" s="272" t="s">
        <v>67</v>
      </c>
      <c r="E140" s="48"/>
      <c r="F140" s="619">
        <f t="shared" si="696"/>
        <v>0.1910075</v>
      </c>
      <c r="G140" s="619">
        <f t="shared" si="697"/>
        <v>0.1910075</v>
      </c>
      <c r="H140" s="615">
        <f t="shared" si="698"/>
        <v>0</v>
      </c>
      <c r="I140" s="615">
        <f t="shared" si="669"/>
        <v>0</v>
      </c>
      <c r="J140" s="615">
        <f t="shared" si="670"/>
        <v>0</v>
      </c>
      <c r="K140" s="615">
        <f t="shared" si="671"/>
        <v>0</v>
      </c>
      <c r="L140" s="615">
        <f t="shared" si="672"/>
        <v>0</v>
      </c>
      <c r="M140" s="620">
        <f t="shared" si="673"/>
        <v>0</v>
      </c>
      <c r="N140" s="287"/>
      <c r="O140" s="615">
        <f t="shared" si="674"/>
        <v>0</v>
      </c>
      <c r="P140" s="615">
        <f t="shared" si="675"/>
        <v>0</v>
      </c>
      <c r="Q140" s="615">
        <f t="shared" si="676"/>
        <v>0</v>
      </c>
      <c r="R140" s="615">
        <f t="shared" si="677"/>
        <v>0</v>
      </c>
      <c r="S140" s="615">
        <f t="shared" si="678"/>
        <v>0</v>
      </c>
      <c r="T140" s="48"/>
      <c r="U140" s="519">
        <v>0.05</v>
      </c>
      <c r="V140" s="131"/>
      <c r="W140" s="619">
        <f t="shared" si="699"/>
        <v>0.1200875</v>
      </c>
      <c r="X140" s="619">
        <f t="shared" si="700"/>
        <v>0.1200875</v>
      </c>
      <c r="Y140" s="615">
        <f t="shared" si="701"/>
        <v>0.1200875</v>
      </c>
      <c r="Z140" s="615">
        <f t="shared" si="702"/>
        <v>0</v>
      </c>
      <c r="AA140" s="615">
        <f t="shared" si="703"/>
        <v>0</v>
      </c>
      <c r="AB140" s="615">
        <f t="shared" si="704"/>
        <v>0</v>
      </c>
      <c r="AC140" s="615">
        <f t="shared" si="705"/>
        <v>0</v>
      </c>
      <c r="AD140" s="620">
        <f t="shared" si="706"/>
        <v>0</v>
      </c>
      <c r="AE140" s="287"/>
      <c r="AF140" s="615">
        <f t="shared" si="707"/>
        <v>0</v>
      </c>
      <c r="AG140" s="615">
        <f t="shared" si="708"/>
        <v>0</v>
      </c>
      <c r="AH140" s="615">
        <f t="shared" si="709"/>
        <v>0</v>
      </c>
      <c r="AI140" s="615">
        <f t="shared" si="710"/>
        <v>0</v>
      </c>
      <c r="AJ140" s="615">
        <f t="shared" si="711"/>
        <v>0</v>
      </c>
      <c r="AK140" s="339"/>
      <c r="AL140" s="625">
        <f t="shared" si="712"/>
        <v>1</v>
      </c>
      <c r="AM140" s="625">
        <f t="shared" si="713"/>
        <v>0</v>
      </c>
      <c r="AN140" s="625">
        <f t="shared" si="714"/>
        <v>0</v>
      </c>
      <c r="AO140" s="345"/>
      <c r="AP140" s="615">
        <f>COUNTIF('AR | Drawing List'!$H:$H,"AR-T07-8")</f>
        <v>3</v>
      </c>
      <c r="AQ140" s="616">
        <f>COUNTIFS('AR | Drawing List'!$H:$H,"AR-T07-8",'AR | Drawing List'!$J:$J,1)</f>
        <v>3</v>
      </c>
      <c r="AR140" s="616">
        <f t="shared" si="684"/>
        <v>0</v>
      </c>
      <c r="AS140" s="616">
        <f>COUNTIFS('AR | Drawing List'!$H:$H,"AR-T07-8",'AR | Drawing List'!M:M,1)</f>
        <v>0</v>
      </c>
      <c r="AT140" s="616">
        <f>COUNTIFS('AR | Drawing List'!$H:$H,"AR-T07-8",'AR | Drawing List'!N:N,1)</f>
        <v>0</v>
      </c>
      <c r="AU140" s="616">
        <f>COUNTIFS('AR | Drawing List'!$H:$H,"AR-T07-8",'AR | Drawing List'!O:O,1)</f>
        <v>0</v>
      </c>
      <c r="AV140" s="616">
        <f>COUNTIFS('AR | Drawing List'!$H:$H,"AR-T07-8",'AR | Drawing List'!P:P,1)</f>
        <v>0</v>
      </c>
      <c r="AW140" s="328"/>
      <c r="AX140" s="616">
        <f t="shared" si="715"/>
        <v>0</v>
      </c>
      <c r="AY140" s="616">
        <f>COUNTIFS('AR | Drawing List'!$H:$H,"AR-T07-8",'AR | Drawing List'!R:R,1)</f>
        <v>0</v>
      </c>
      <c r="AZ140" s="616">
        <f>COUNTIFS('AR | Drawing List'!$H:$H,"AR-T07-8",'AR | Drawing List'!S:S,1)</f>
        <v>0</v>
      </c>
      <c r="BA140" s="616">
        <f>COUNTIFS('AR | Drawing List'!$H:$H,"AR-T07-8",'AR | Drawing List'!T:T,1)</f>
        <v>0</v>
      </c>
      <c r="BB140" s="616">
        <f>COUNTIFS('AR | Drawing List'!$H:$H,"AR-T07-8",'AR | Drawing List'!U:U,1)</f>
        <v>0</v>
      </c>
      <c r="BC140" s="359"/>
      <c r="BD140" s="359"/>
      <c r="BE140" s="525">
        <v>0.05</v>
      </c>
      <c r="BF140" s="343"/>
      <c r="BG140" s="616">
        <f t="shared" si="716"/>
        <v>4.7399999999999998E-2</v>
      </c>
      <c r="BH140" s="618">
        <f t="shared" si="717"/>
        <v>4.7399999999999998E-2</v>
      </c>
      <c r="BI140" s="615">
        <f t="shared" si="718"/>
        <v>4.7399999999999998E-2</v>
      </c>
      <c r="BJ140" s="615">
        <f t="shared" si="719"/>
        <v>0</v>
      </c>
      <c r="BK140" s="615">
        <f t="shared" si="720"/>
        <v>0</v>
      </c>
      <c r="BL140" s="615">
        <f t="shared" si="721"/>
        <v>0</v>
      </c>
      <c r="BM140" s="615">
        <f t="shared" si="722"/>
        <v>0</v>
      </c>
      <c r="BN140" s="615">
        <f t="shared" si="723"/>
        <v>0</v>
      </c>
      <c r="BO140" s="339"/>
      <c r="BP140" s="615">
        <f t="shared" si="724"/>
        <v>0</v>
      </c>
      <c r="BQ140" s="615">
        <f t="shared" si="725"/>
        <v>0</v>
      </c>
      <c r="BR140" s="615">
        <f t="shared" si="726"/>
        <v>0</v>
      </c>
      <c r="BS140" s="615">
        <f t="shared" si="727"/>
        <v>0</v>
      </c>
      <c r="BT140" s="615">
        <f t="shared" si="728"/>
        <v>0</v>
      </c>
      <c r="BU140" s="339"/>
      <c r="BV140" s="635">
        <f t="shared" si="729"/>
        <v>1</v>
      </c>
      <c r="BW140" s="635">
        <f t="shared" si="730"/>
        <v>0</v>
      </c>
      <c r="BX140" s="635">
        <f t="shared" si="731"/>
        <v>0</v>
      </c>
      <c r="BY140" s="345"/>
      <c r="BZ140" s="615">
        <f>COUNTIF('ST | Drawing List'!$H:$H,"ST-T07-8")</f>
        <v>7</v>
      </c>
      <c r="CA140" s="616">
        <f>COUNTIFS('ST | Drawing List'!$H:$H,"ST-T07-8",'ST | Drawing List'!$J:$J,1)</f>
        <v>7</v>
      </c>
      <c r="CB140" s="623">
        <f>COUNTIFS('ST | Drawing List'!$H:$H,"ST-T07-8",'ST | Drawing List'!$L:$L,1)</f>
        <v>0</v>
      </c>
      <c r="CC140" s="616">
        <f>COUNTIFS('ST | Drawing List'!$H:$H,"ST-T07-8",'ST | Drawing List'!M:M,1)</f>
        <v>0</v>
      </c>
      <c r="CD140" s="616">
        <f>COUNTIFS('ST | Drawing List'!$H:$H,"ST-T07-8",'ST | Drawing List'!N:N,1)</f>
        <v>0</v>
      </c>
      <c r="CE140" s="616">
        <f>COUNTIFS('ST | Drawing List'!$H:$H,"ST-T07-8",'ST | Drawing List'!O:O,1)</f>
        <v>0</v>
      </c>
      <c r="CF140" s="616">
        <f>COUNTIFS('ST | Drawing List'!$H:$H,"ST-T07-8",'ST | Drawing List'!P:P,1)</f>
        <v>0</v>
      </c>
      <c r="CG140" s="532"/>
      <c r="CH140" s="623">
        <f>COUNTIFS('ST | Drawing List'!$H:$H,"ST-T07-8",'ST | Drawing List'!$Q:$Q,1)</f>
        <v>0</v>
      </c>
      <c r="CI140" s="616">
        <f>COUNTIFS('ST | Drawing List'!$H:$H,"ST-T07-8",'ST | Drawing List'!R:R,1)</f>
        <v>0</v>
      </c>
      <c r="CJ140" s="616">
        <f>COUNTIFS('ST | Drawing List'!$H:$H,"ST-T07-8",'ST | Drawing List'!S:S,1)</f>
        <v>0</v>
      </c>
      <c r="CK140" s="616">
        <f>COUNTIFS('ST | Drawing List'!$H:$H,"ST-T07-8",'ST | Drawing List'!T:T,1)</f>
        <v>0</v>
      </c>
      <c r="CL140" s="616">
        <f>COUNTIFS('ST | Drawing List'!$H:$H,"ST-T07-8",'ST | Drawing List'!U:U,1)</f>
        <v>0</v>
      </c>
      <c r="CM140" s="343"/>
      <c r="CN140" s="343"/>
      <c r="CO140" s="667">
        <v>0.15</v>
      </c>
      <c r="CP140" s="343"/>
      <c r="CQ140" s="616">
        <f t="shared" si="732"/>
        <v>2.3519999999999999E-2</v>
      </c>
      <c r="CR140" s="618">
        <f t="shared" si="733"/>
        <v>2.3519999999999999E-2</v>
      </c>
      <c r="CS140" s="615">
        <f t="shared" si="734"/>
        <v>2.3519999999999999E-2</v>
      </c>
      <c r="CT140" s="615">
        <f t="shared" si="735"/>
        <v>0</v>
      </c>
      <c r="CU140" s="615">
        <f t="shared" si="736"/>
        <v>0</v>
      </c>
      <c r="CV140" s="615">
        <f t="shared" si="737"/>
        <v>0</v>
      </c>
      <c r="CW140" s="615">
        <f t="shared" si="738"/>
        <v>0</v>
      </c>
      <c r="CX140" s="615">
        <f t="shared" si="739"/>
        <v>0</v>
      </c>
      <c r="CY140" s="339"/>
      <c r="CZ140" s="615">
        <f t="shared" si="740"/>
        <v>0</v>
      </c>
      <c r="DA140" s="615">
        <f t="shared" si="741"/>
        <v>0</v>
      </c>
      <c r="DB140" s="615">
        <f t="shared" si="742"/>
        <v>0</v>
      </c>
      <c r="DC140" s="615">
        <f t="shared" si="743"/>
        <v>0</v>
      </c>
      <c r="DD140" s="615">
        <f t="shared" si="744"/>
        <v>0</v>
      </c>
      <c r="DE140" s="339"/>
      <c r="DF140" s="625">
        <f t="shared" si="745"/>
        <v>1</v>
      </c>
      <c r="DG140" s="625">
        <f t="shared" si="746"/>
        <v>0</v>
      </c>
      <c r="DH140" s="625">
        <f t="shared" si="747"/>
        <v>0</v>
      </c>
      <c r="DI140" s="345"/>
      <c r="DJ140" s="615">
        <f>COUNTIF('MEP | Drawing List'!$H:$H,"MEP-T01-07-8")</f>
        <v>13</v>
      </c>
      <c r="DK140" s="616">
        <f>COUNTIFS('MEP | Drawing List'!$H:$H,"MEP-T01-07-8",'MEP | Drawing List'!$J:$J,1)</f>
        <v>13</v>
      </c>
      <c r="DL140" s="616">
        <f>COUNTIFS('MEP | Drawing List'!$H:$H,"MEP-T01-07-8",'MEP | Drawing List'!$L:$L,1)</f>
        <v>0</v>
      </c>
      <c r="DM140" s="615">
        <f>COUNTIFS('MEP | Drawing List'!$H:$H,"MEP-T01-07-8",'MEP | Drawing List'!M:M,1)</f>
        <v>0</v>
      </c>
      <c r="DN140" s="615">
        <f>COUNTIFS('MEP | Drawing List'!$H:$H,"MEP-T01-07-8",'MEP | Drawing List'!N:N,1)</f>
        <v>0</v>
      </c>
      <c r="DO140" s="615">
        <f>COUNTIFS('MEP | Drawing List'!$H:$H,"MEP-T01-07-8",'MEP | Drawing List'!O:O,1)</f>
        <v>0</v>
      </c>
      <c r="DP140" s="615">
        <f>COUNTIFS('MEP | Drawing List'!$H:$H,"MEP-T01-07-8",'MEP | Drawing List'!P:P,1)</f>
        <v>0</v>
      </c>
      <c r="DQ140" s="339"/>
      <c r="DR140" s="616">
        <f>COUNTIFS('MEP | Drawing List'!$H:$H,"MEP-T01-07-8",'MEP | Drawing List'!$Q:$Q,1)</f>
        <v>0</v>
      </c>
      <c r="DS140" s="615">
        <f>COUNTIFS('MEP | Drawing List'!$H:$H,"MEP-T01-07-8",'MEP | Drawing List'!R:R,1)</f>
        <v>0</v>
      </c>
      <c r="DT140" s="615">
        <f>COUNTIFS('MEP | Drawing List'!$H:$H,"MEP-T01-07-8",'MEP | Drawing List'!S:S,1)</f>
        <v>0</v>
      </c>
      <c r="DU140" s="615">
        <f>COUNTIFS('MEP | Drawing List'!$H:$H,"MEP-T01-07-8",'MEP | Drawing List'!T:T,1)</f>
        <v>0</v>
      </c>
      <c r="DV140" s="615">
        <f>COUNTIFS('MEP | Drawing List'!$H:$H,"MEP-T01-07-8",'MEP | Drawing List'!U:U,1)</f>
        <v>0</v>
      </c>
      <c r="DW140" s="343"/>
      <c r="DX140" s="343"/>
      <c r="DY140" s="525">
        <v>0</v>
      </c>
      <c r="DZ140" s="343"/>
      <c r="EA140" s="344">
        <v>0</v>
      </c>
      <c r="EB140" s="618">
        <f t="shared" si="748"/>
        <v>0</v>
      </c>
      <c r="EC140" s="339"/>
      <c r="ED140" s="339"/>
      <c r="EE140" s="339"/>
      <c r="EF140" s="339"/>
      <c r="EG140" s="339"/>
      <c r="EH140" s="339"/>
      <c r="EI140" s="339"/>
      <c r="EJ140" s="339"/>
      <c r="EK140" s="339"/>
      <c r="EL140" s="339"/>
      <c r="EM140" s="339"/>
      <c r="EN140" s="339"/>
      <c r="EO140" s="339"/>
      <c r="EP140" s="603"/>
      <c r="EQ140" s="603"/>
      <c r="ER140" s="603"/>
      <c r="ES140" s="345"/>
      <c r="ET140" s="615">
        <f>COUNTIF('LS | Drawing List'!$H:$H,"LS-T07-8")</f>
        <v>0</v>
      </c>
      <c r="EU140" s="616">
        <f>COUNTIFS('LS | Drawing List'!$H:$H,"LS-T07-8",'LS | Drawing List'!$J:$J,1)</f>
        <v>0</v>
      </c>
      <c r="EV140" s="616">
        <f>COUNTIFS('LS | Drawing List'!$H:$H,"LS-T07-8",'LS | Drawing List'!$L:$L,1)</f>
        <v>0</v>
      </c>
      <c r="EW140" s="615">
        <f>COUNTIFS('LS | Drawing List'!$H:$H,"LS-T07-8",'LS | Drawing List'!M:M,1)</f>
        <v>0</v>
      </c>
      <c r="EX140" s="615">
        <f>COUNTIFS('LS | Drawing List'!$H:$H,"LS-T07-8",'LS | Drawing List'!N:N,1)</f>
        <v>0</v>
      </c>
      <c r="EY140" s="615">
        <f>COUNTIFS('LS | Drawing List'!$H:$H,"LS-T07-8",'LS | Drawing List'!O:O,1)</f>
        <v>0</v>
      </c>
      <c r="EZ140" s="615">
        <f>COUNTIFS('LS | Drawing List'!$H:$H,"LS-T07-8",'LS | Drawing List'!P:P,1)</f>
        <v>0</v>
      </c>
      <c r="FA140" s="339"/>
      <c r="FB140" s="616">
        <f>COUNTIFS('LS | Drawing List'!$H:$H,"LS-T07-8",'LS | Drawing List'!$Q:$Q,1)</f>
        <v>0</v>
      </c>
      <c r="FC140" s="615">
        <f>COUNTIFS('LS | Drawing List'!$H:$H,"LS-T07-8",'LS | Drawing List'!R:R,1)</f>
        <v>0</v>
      </c>
      <c r="FD140" s="615">
        <f>COUNTIFS('LS | Drawing List'!$H:$H,"LS-T07-8",'LS | Drawing List'!S:S,1)</f>
        <v>0</v>
      </c>
      <c r="FE140" s="615">
        <f>COUNTIFS('LS | Drawing List'!$H:$H,"LS-T07-8",'LS | Drawing List'!T:T,1)</f>
        <v>0</v>
      </c>
      <c r="FF140" s="615">
        <f>COUNTIFS('LS | Drawing List'!$H:$H,"LS-T07-8",'LS | Drawing List'!U:U,1)</f>
        <v>0</v>
      </c>
      <c r="FG140" s="48"/>
    </row>
    <row r="141" spans="1:163" ht="14.25" hidden="1" outlineLevel="2">
      <c r="A141" s="48"/>
      <c r="B141" s="87" t="s">
        <v>146</v>
      </c>
      <c r="C141" s="276">
        <v>9</v>
      </c>
      <c r="D141" s="272" t="s">
        <v>69</v>
      </c>
      <c r="E141" s="48"/>
      <c r="F141" s="619">
        <f t="shared" si="696"/>
        <v>0.17836374999999999</v>
      </c>
      <c r="G141" s="619">
        <f t="shared" si="697"/>
        <v>0.17836374999999999</v>
      </c>
      <c r="H141" s="615">
        <f t="shared" si="698"/>
        <v>0</v>
      </c>
      <c r="I141" s="615">
        <f t="shared" si="669"/>
        <v>0</v>
      </c>
      <c r="J141" s="615">
        <f t="shared" si="670"/>
        <v>0</v>
      </c>
      <c r="K141" s="615">
        <f t="shared" si="671"/>
        <v>0</v>
      </c>
      <c r="L141" s="615">
        <f t="shared" si="672"/>
        <v>0</v>
      </c>
      <c r="M141" s="620">
        <f t="shared" si="673"/>
        <v>0</v>
      </c>
      <c r="N141" s="287"/>
      <c r="O141" s="615">
        <f t="shared" si="674"/>
        <v>0</v>
      </c>
      <c r="P141" s="615">
        <f t="shared" si="675"/>
        <v>0</v>
      </c>
      <c r="Q141" s="615">
        <f t="shared" si="676"/>
        <v>0</v>
      </c>
      <c r="R141" s="615">
        <f t="shared" si="677"/>
        <v>0</v>
      </c>
      <c r="S141" s="615">
        <f t="shared" si="678"/>
        <v>0</v>
      </c>
      <c r="T141" s="48"/>
      <c r="U141" s="519">
        <v>2.5000000000000001E-2</v>
      </c>
      <c r="V141" s="131"/>
      <c r="W141" s="619">
        <f t="shared" si="699"/>
        <v>6.004375E-2</v>
      </c>
      <c r="X141" s="619">
        <f t="shared" si="700"/>
        <v>6.004375E-2</v>
      </c>
      <c r="Y141" s="615">
        <f t="shared" si="701"/>
        <v>6.004375E-2</v>
      </c>
      <c r="Z141" s="615">
        <f t="shared" si="702"/>
        <v>0</v>
      </c>
      <c r="AA141" s="615">
        <f t="shared" si="703"/>
        <v>0</v>
      </c>
      <c r="AB141" s="615">
        <f t="shared" si="704"/>
        <v>0</v>
      </c>
      <c r="AC141" s="615">
        <f t="shared" si="705"/>
        <v>0</v>
      </c>
      <c r="AD141" s="620">
        <f t="shared" si="706"/>
        <v>0</v>
      </c>
      <c r="AE141" s="287"/>
      <c r="AF141" s="615">
        <f t="shared" si="707"/>
        <v>0</v>
      </c>
      <c r="AG141" s="615">
        <f t="shared" si="708"/>
        <v>0</v>
      </c>
      <c r="AH141" s="615">
        <f t="shared" si="709"/>
        <v>0</v>
      </c>
      <c r="AI141" s="615">
        <f t="shared" si="710"/>
        <v>0</v>
      </c>
      <c r="AJ141" s="615">
        <f t="shared" si="711"/>
        <v>0</v>
      </c>
      <c r="AK141" s="339"/>
      <c r="AL141" s="625">
        <f t="shared" si="712"/>
        <v>1</v>
      </c>
      <c r="AM141" s="625">
        <f t="shared" si="713"/>
        <v>0</v>
      </c>
      <c r="AN141" s="625">
        <f t="shared" si="714"/>
        <v>0</v>
      </c>
      <c r="AO141" s="345"/>
      <c r="AP141" s="615">
        <f>COUNTIF('AR | Drawing List'!$H:$H,"AR-T07-9")</f>
        <v>2</v>
      </c>
      <c r="AQ141" s="616">
        <f>COUNTIFS('AR | Drawing List'!$H:$H,"AR-T07-9",'AR | Drawing List'!$J:$J,1)</f>
        <v>2</v>
      </c>
      <c r="AR141" s="616">
        <f t="shared" si="684"/>
        <v>0</v>
      </c>
      <c r="AS141" s="616">
        <f>COUNTIFS('AR | Drawing List'!$H:$H,"AR-T07-9",'AR | Drawing List'!M:M,1)</f>
        <v>0</v>
      </c>
      <c r="AT141" s="616">
        <f>COUNTIFS('AR | Drawing List'!$H:$H,"AR-T07-9",'AR | Drawing List'!N:N,1)</f>
        <v>0</v>
      </c>
      <c r="AU141" s="616">
        <f>COUNTIFS('AR | Drawing List'!$H:$H,"AR-T07-9",'AR | Drawing List'!O:O,1)</f>
        <v>0</v>
      </c>
      <c r="AV141" s="616">
        <f>COUNTIFS('AR | Drawing List'!$H:$H,"AR-T07-9",'AR | Drawing List'!P:P,1)</f>
        <v>0</v>
      </c>
      <c r="AW141" s="328"/>
      <c r="AX141" s="616">
        <f t="shared" si="715"/>
        <v>0</v>
      </c>
      <c r="AY141" s="616">
        <f>COUNTIFS('AR | Drawing List'!$H:$H,"AR-T07-9",'AR | Drawing List'!R:R,1)</f>
        <v>0</v>
      </c>
      <c r="AZ141" s="616">
        <f>COUNTIFS('AR | Drawing List'!$H:$H,"AR-T07-9",'AR | Drawing List'!S:S,1)</f>
        <v>0</v>
      </c>
      <c r="BA141" s="616">
        <f>COUNTIFS('AR | Drawing List'!$H:$H,"AR-T07-9",'AR | Drawing List'!T:T,1)</f>
        <v>0</v>
      </c>
      <c r="BB141" s="616">
        <f>COUNTIFS('AR | Drawing List'!$H:$H,"AR-T07-9",'AR | Drawing List'!U:U,1)</f>
        <v>0</v>
      </c>
      <c r="BC141" s="359"/>
      <c r="BD141" s="359"/>
      <c r="BE141" s="554">
        <v>0.1</v>
      </c>
      <c r="BF141" s="343"/>
      <c r="BG141" s="616">
        <f t="shared" si="716"/>
        <v>9.4799999999999995E-2</v>
      </c>
      <c r="BH141" s="618">
        <f t="shared" si="717"/>
        <v>9.4799999999999995E-2</v>
      </c>
      <c r="BI141" s="615">
        <f t="shared" si="718"/>
        <v>9.4799999999999995E-2</v>
      </c>
      <c r="BJ141" s="615">
        <f t="shared" si="719"/>
        <v>0</v>
      </c>
      <c r="BK141" s="615">
        <f t="shared" si="720"/>
        <v>0</v>
      </c>
      <c r="BL141" s="615">
        <f t="shared" si="721"/>
        <v>0</v>
      </c>
      <c r="BM141" s="615">
        <f t="shared" si="722"/>
        <v>0</v>
      </c>
      <c r="BN141" s="615">
        <f t="shared" si="723"/>
        <v>0</v>
      </c>
      <c r="BO141" s="339"/>
      <c r="BP141" s="615">
        <f t="shared" si="724"/>
        <v>0</v>
      </c>
      <c r="BQ141" s="615">
        <f t="shared" si="725"/>
        <v>0</v>
      </c>
      <c r="BR141" s="615">
        <f t="shared" si="726"/>
        <v>0</v>
      </c>
      <c r="BS141" s="615">
        <f t="shared" si="727"/>
        <v>0</v>
      </c>
      <c r="BT141" s="615">
        <f t="shared" si="728"/>
        <v>0</v>
      </c>
      <c r="BU141" s="339"/>
      <c r="BV141" s="635">
        <f t="shared" si="729"/>
        <v>1</v>
      </c>
      <c r="BW141" s="635">
        <f t="shared" si="730"/>
        <v>0</v>
      </c>
      <c r="BX141" s="635">
        <f t="shared" si="731"/>
        <v>0</v>
      </c>
      <c r="BY141" s="345"/>
      <c r="BZ141" s="615">
        <f>COUNTIF('ST | Drawing List'!$H:$H,"ST-T07-9")</f>
        <v>9</v>
      </c>
      <c r="CA141" s="616">
        <f>COUNTIFS('ST | Drawing List'!$H:$H,"ST-T07-9",'ST | Drawing List'!$J:$J,1)</f>
        <v>9</v>
      </c>
      <c r="CB141" s="623">
        <f>COUNTIFS('ST | Drawing List'!$H:$H,"ST-T07-9",'ST | Drawing List'!$L:$L,1)</f>
        <v>0</v>
      </c>
      <c r="CC141" s="616">
        <f>COUNTIFS('ST | Drawing List'!$H:$H,"ST-T07-9",'ST | Drawing List'!M:M,1)</f>
        <v>0</v>
      </c>
      <c r="CD141" s="616">
        <f>COUNTIFS('ST | Drawing List'!$H:$H,"ST-T07-9",'ST | Drawing List'!N:N,1)</f>
        <v>0</v>
      </c>
      <c r="CE141" s="616">
        <f>COUNTIFS('ST | Drawing List'!$H:$H,"ST-T07-9",'ST | Drawing List'!O:O,1)</f>
        <v>0</v>
      </c>
      <c r="CF141" s="616">
        <f>COUNTIFS('ST | Drawing List'!$H:$H,"ST-T07-9",'ST | Drawing List'!P:P,1)</f>
        <v>0</v>
      </c>
      <c r="CG141" s="532"/>
      <c r="CH141" s="623">
        <f>COUNTIFS('ST | Drawing List'!$H:$H,"ST-T07-9",'ST | Drawing List'!$Q:$Q,1)</f>
        <v>0</v>
      </c>
      <c r="CI141" s="616">
        <f>COUNTIFS('ST | Drawing List'!$H:$H,"ST-T07-9",'ST | Drawing List'!R:R,1)</f>
        <v>0</v>
      </c>
      <c r="CJ141" s="616">
        <f>COUNTIFS('ST | Drawing List'!$H:$H,"ST-T07-9",'ST | Drawing List'!S:S,1)</f>
        <v>0</v>
      </c>
      <c r="CK141" s="616">
        <f>COUNTIFS('ST | Drawing List'!$H:$H,"ST-T07-9",'ST | Drawing List'!T:T,1)</f>
        <v>0</v>
      </c>
      <c r="CL141" s="616">
        <f>COUNTIFS('ST | Drawing List'!$H:$H,"ST-T07-9",'ST | Drawing List'!U:U,1)</f>
        <v>0</v>
      </c>
      <c r="CM141" s="343"/>
      <c r="CN141" s="343"/>
      <c r="CO141" s="554">
        <v>0.15</v>
      </c>
      <c r="CP141" s="343"/>
      <c r="CQ141" s="616">
        <f t="shared" si="732"/>
        <v>2.3519999999999999E-2</v>
      </c>
      <c r="CR141" s="618">
        <f t="shared" si="733"/>
        <v>2.3519999999999999E-2</v>
      </c>
      <c r="CS141" s="615">
        <f t="shared" si="734"/>
        <v>2.3519999999999999E-2</v>
      </c>
      <c r="CT141" s="615">
        <f t="shared" si="735"/>
        <v>0</v>
      </c>
      <c r="CU141" s="615">
        <f t="shared" si="736"/>
        <v>0</v>
      </c>
      <c r="CV141" s="615">
        <f t="shared" si="737"/>
        <v>0</v>
      </c>
      <c r="CW141" s="615">
        <f t="shared" si="738"/>
        <v>0</v>
      </c>
      <c r="CX141" s="615">
        <f t="shared" si="739"/>
        <v>0</v>
      </c>
      <c r="CY141" s="339"/>
      <c r="CZ141" s="615">
        <f t="shared" si="740"/>
        <v>0</v>
      </c>
      <c r="DA141" s="615">
        <f t="shared" si="741"/>
        <v>0</v>
      </c>
      <c r="DB141" s="615">
        <f t="shared" si="742"/>
        <v>0</v>
      </c>
      <c r="DC141" s="615">
        <f t="shared" si="743"/>
        <v>0</v>
      </c>
      <c r="DD141" s="615">
        <f t="shared" si="744"/>
        <v>0</v>
      </c>
      <c r="DE141" s="339"/>
      <c r="DF141" s="625">
        <f t="shared" si="745"/>
        <v>1</v>
      </c>
      <c r="DG141" s="625">
        <f t="shared" si="746"/>
        <v>0</v>
      </c>
      <c r="DH141" s="625">
        <f t="shared" si="747"/>
        <v>0</v>
      </c>
      <c r="DI141" s="345"/>
      <c r="DJ141" s="615">
        <f>COUNTIF('MEP | Drawing List'!$H:$H,"MEP-T01-07-9")</f>
        <v>15</v>
      </c>
      <c r="DK141" s="616">
        <f>COUNTIFS('MEP | Drawing List'!$H:$H,"MEP-T01-07-9",'MEP | Drawing List'!$J:$J,1)</f>
        <v>15</v>
      </c>
      <c r="DL141" s="616">
        <f>COUNTIFS('MEP | Drawing List'!$H:$H,"MEP-T01-07-9",'MEP | Drawing List'!$L:$L,1)</f>
        <v>0</v>
      </c>
      <c r="DM141" s="615">
        <f>COUNTIFS('MEP | Drawing List'!$H:$H,"MEP-T01-07-9",'MEP | Drawing List'!M:M,1)</f>
        <v>0</v>
      </c>
      <c r="DN141" s="615">
        <f>COUNTIFS('MEP | Drawing List'!$H:$H,"MEP-T01-07-9",'MEP | Drawing List'!N:N,1)</f>
        <v>0</v>
      </c>
      <c r="DO141" s="615">
        <f>COUNTIFS('MEP | Drawing List'!$H:$H,"MEP-T01-07-9",'MEP | Drawing List'!O:O,1)</f>
        <v>0</v>
      </c>
      <c r="DP141" s="615">
        <f>COUNTIFS('MEP | Drawing List'!$H:$H,"MEP-T01-07-9",'MEP | Drawing List'!P:P,1)</f>
        <v>0</v>
      </c>
      <c r="DQ141" s="339"/>
      <c r="DR141" s="616">
        <f>COUNTIFS('MEP | Drawing List'!$H:$H,"MEP-T01-07-9",'MEP | Drawing List'!$Q:$Q,1)</f>
        <v>0</v>
      </c>
      <c r="DS141" s="615">
        <f>COUNTIFS('MEP | Drawing List'!$H:$H,"MEP-T01-07-9",'MEP | Drawing List'!R:R,1)</f>
        <v>0</v>
      </c>
      <c r="DT141" s="615">
        <f>COUNTIFS('MEP | Drawing List'!$H:$H,"MEP-T01-07-9",'MEP | Drawing List'!S:S,1)</f>
        <v>0</v>
      </c>
      <c r="DU141" s="615">
        <f>COUNTIFS('MEP | Drawing List'!$H:$H,"MEP-T01-07-9",'MEP | Drawing List'!T:T,1)</f>
        <v>0</v>
      </c>
      <c r="DV141" s="615">
        <f>COUNTIFS('MEP | Drawing List'!$H:$H,"MEP-T01-07-9",'MEP | Drawing List'!U:U,1)</f>
        <v>0</v>
      </c>
      <c r="DW141" s="343"/>
      <c r="DX141" s="343"/>
      <c r="DY141" s="525">
        <v>0</v>
      </c>
      <c r="DZ141" s="343"/>
      <c r="EA141" s="344">
        <v>0</v>
      </c>
      <c r="EB141" s="618">
        <f t="shared" si="748"/>
        <v>0</v>
      </c>
      <c r="EC141" s="339"/>
      <c r="ED141" s="339"/>
      <c r="EE141" s="339"/>
      <c r="EF141" s="339"/>
      <c r="EG141" s="339"/>
      <c r="EH141" s="339"/>
      <c r="EI141" s="339"/>
      <c r="EJ141" s="339"/>
      <c r="EK141" s="339"/>
      <c r="EL141" s="339"/>
      <c r="EM141" s="339"/>
      <c r="EN141" s="339"/>
      <c r="EO141" s="339"/>
      <c r="EP141" s="603"/>
      <c r="EQ141" s="603"/>
      <c r="ER141" s="603"/>
      <c r="ES141" s="345"/>
      <c r="ET141" s="615">
        <f>COUNTIF('LS | Drawing List'!$H:$H,"LS-T07-9")</f>
        <v>0</v>
      </c>
      <c r="EU141" s="616">
        <f>COUNTIFS('LS | Drawing List'!$H:$H,"LS-T07-9",'LS | Drawing List'!$J:$J,1)</f>
        <v>0</v>
      </c>
      <c r="EV141" s="616">
        <f>COUNTIFS('LS | Drawing List'!$H:$H,"LS-T07-9",'LS | Drawing List'!$L:$L,1)</f>
        <v>0</v>
      </c>
      <c r="EW141" s="615">
        <f>COUNTIFS('LS | Drawing List'!$H:$H,"LS-T07-9",'LS | Drawing List'!M:M,1)</f>
        <v>0</v>
      </c>
      <c r="EX141" s="615">
        <f>COUNTIFS('LS | Drawing List'!$H:$H,"LS-T07-9",'LS | Drawing List'!N:N,1)</f>
        <v>0</v>
      </c>
      <c r="EY141" s="615">
        <f>COUNTIFS('LS | Drawing List'!$H:$H,"LS-T07-9",'LS | Drawing List'!O:O,1)</f>
        <v>0</v>
      </c>
      <c r="EZ141" s="615">
        <f>COUNTIFS('LS | Drawing List'!$H:$H,"LS-T07-9",'LS | Drawing List'!P:P,1)</f>
        <v>0</v>
      </c>
      <c r="FA141" s="339"/>
      <c r="FB141" s="616">
        <f>COUNTIFS('LS | Drawing List'!$H:$H,"LS-T07-9",'LS | Drawing List'!$Q:$Q,1)</f>
        <v>0</v>
      </c>
      <c r="FC141" s="615">
        <f>COUNTIFS('LS | Drawing List'!$H:$H,"LS-T07-9",'LS | Drawing List'!R:R,1)</f>
        <v>0</v>
      </c>
      <c r="FD141" s="615">
        <f>COUNTIFS('LS | Drawing List'!$H:$H,"LS-T07-9",'LS | Drawing List'!S:S,1)</f>
        <v>0</v>
      </c>
      <c r="FE141" s="615">
        <f>COUNTIFS('LS | Drawing List'!$H:$H,"LS-T07-9",'LS | Drawing List'!T:T,1)</f>
        <v>0</v>
      </c>
      <c r="FF141" s="615">
        <f>COUNTIFS('LS | Drawing List'!$H:$H,"LS-T07-9",'LS | Drawing List'!U:U,1)</f>
        <v>0</v>
      </c>
      <c r="FG141" s="48"/>
    </row>
    <row r="142" spans="1:163" ht="14.25" hidden="1" outlineLevel="2">
      <c r="A142" s="48"/>
      <c r="B142" s="87" t="s">
        <v>147</v>
      </c>
      <c r="C142" s="276">
        <v>10</v>
      </c>
      <c r="D142" s="272" t="s">
        <v>71</v>
      </c>
      <c r="E142" s="48"/>
      <c r="F142" s="619">
        <f t="shared" si="696"/>
        <v>0.240175</v>
      </c>
      <c r="G142" s="619">
        <f t="shared" si="697"/>
        <v>0.240175</v>
      </c>
      <c r="H142" s="615">
        <f t="shared" si="698"/>
        <v>0</v>
      </c>
      <c r="I142" s="615">
        <f t="shared" si="669"/>
        <v>0</v>
      </c>
      <c r="J142" s="615">
        <f t="shared" si="670"/>
        <v>0</v>
      </c>
      <c r="K142" s="615">
        <f t="shared" si="671"/>
        <v>0</v>
      </c>
      <c r="L142" s="615">
        <f t="shared" si="672"/>
        <v>0</v>
      </c>
      <c r="M142" s="620">
        <f t="shared" si="673"/>
        <v>0</v>
      </c>
      <c r="N142" s="287"/>
      <c r="O142" s="615">
        <f t="shared" si="674"/>
        <v>0</v>
      </c>
      <c r="P142" s="615">
        <f t="shared" si="675"/>
        <v>0</v>
      </c>
      <c r="Q142" s="615">
        <f t="shared" si="676"/>
        <v>0</v>
      </c>
      <c r="R142" s="615">
        <f t="shared" si="677"/>
        <v>0</v>
      </c>
      <c r="S142" s="615">
        <f t="shared" si="678"/>
        <v>0</v>
      </c>
      <c r="T142" s="48"/>
      <c r="U142" s="519">
        <v>0.1</v>
      </c>
      <c r="V142" s="131"/>
      <c r="W142" s="619">
        <f t="shared" si="699"/>
        <v>0.240175</v>
      </c>
      <c r="X142" s="619">
        <f t="shared" si="700"/>
        <v>0.240175</v>
      </c>
      <c r="Y142" s="615">
        <f t="shared" si="701"/>
        <v>0.240175</v>
      </c>
      <c r="Z142" s="615">
        <f t="shared" si="702"/>
        <v>0</v>
      </c>
      <c r="AA142" s="615">
        <f t="shared" si="703"/>
        <v>0</v>
      </c>
      <c r="AB142" s="615">
        <f t="shared" si="704"/>
        <v>0</v>
      </c>
      <c r="AC142" s="615">
        <f t="shared" si="705"/>
        <v>0</v>
      </c>
      <c r="AD142" s="620">
        <f t="shared" si="706"/>
        <v>0</v>
      </c>
      <c r="AE142" s="287"/>
      <c r="AF142" s="615">
        <f t="shared" si="707"/>
        <v>0</v>
      </c>
      <c r="AG142" s="615">
        <f t="shared" si="708"/>
        <v>0</v>
      </c>
      <c r="AH142" s="615">
        <f t="shared" si="709"/>
        <v>0</v>
      </c>
      <c r="AI142" s="615">
        <f t="shared" si="710"/>
        <v>0</v>
      </c>
      <c r="AJ142" s="615">
        <f t="shared" si="711"/>
        <v>0</v>
      </c>
      <c r="AK142" s="339"/>
      <c r="AL142" s="625">
        <f t="shared" si="712"/>
        <v>1</v>
      </c>
      <c r="AM142" s="625">
        <f t="shared" si="713"/>
        <v>0</v>
      </c>
      <c r="AN142" s="625">
        <f t="shared" si="714"/>
        <v>0</v>
      </c>
      <c r="AO142" s="345"/>
      <c r="AP142" s="615">
        <f>COUNTIF('AR | Drawing List'!$H:$H,"AR-T07-10")</f>
        <v>1</v>
      </c>
      <c r="AQ142" s="616">
        <f>COUNTIFS('AR | Drawing List'!$H:$H,"AR-T07-10",'AR | Drawing List'!$J:$J,1)</f>
        <v>1</v>
      </c>
      <c r="AR142" s="616">
        <f t="shared" si="684"/>
        <v>0</v>
      </c>
      <c r="AS142" s="616">
        <f>COUNTIFS('AR | Drawing List'!$H:$H,"AR-T07-10",'AR | Drawing List'!M:M,1)</f>
        <v>0</v>
      </c>
      <c r="AT142" s="616">
        <f>COUNTIFS('AR | Drawing List'!$H:$H,"AR-T07-10",'AR | Drawing List'!N:N,1)</f>
        <v>0</v>
      </c>
      <c r="AU142" s="616">
        <f>COUNTIFS('AR | Drawing List'!$H:$H,"AR-T07-10",'AR | Drawing List'!O:O,1)</f>
        <v>0</v>
      </c>
      <c r="AV142" s="616">
        <f>COUNTIFS('AR | Drawing List'!$H:$H,"AR-T07-10",'AR | Drawing List'!P:P,1)</f>
        <v>0</v>
      </c>
      <c r="AW142" s="328"/>
      <c r="AX142" s="616">
        <f t="shared" si="715"/>
        <v>0</v>
      </c>
      <c r="AY142" s="616">
        <f>COUNTIFS('AR | Drawing List'!$H:$H,"AR-T07-10",'AR | Drawing List'!R:R,1)</f>
        <v>0</v>
      </c>
      <c r="AZ142" s="616">
        <f>COUNTIFS('AR | Drawing List'!$H:$H,"AR-T07-10",'AR | Drawing List'!S:S,1)</f>
        <v>0</v>
      </c>
      <c r="BA142" s="616">
        <f>COUNTIFS('AR | Drawing List'!$H:$H,"AR-T07-10",'AR | Drawing List'!T:T,1)</f>
        <v>0</v>
      </c>
      <c r="BB142" s="616">
        <f>COUNTIFS('AR | Drawing List'!$H:$H,"AR-T07-10",'AR | Drawing List'!U:U,1)</f>
        <v>0</v>
      </c>
      <c r="BC142" s="359"/>
      <c r="BD142" s="359"/>
      <c r="BE142" s="666">
        <v>0</v>
      </c>
      <c r="BF142" s="343"/>
      <c r="BG142" s="616">
        <f t="shared" si="716"/>
        <v>0</v>
      </c>
      <c r="BH142" s="618">
        <f t="shared" si="717"/>
        <v>0</v>
      </c>
      <c r="BI142" s="615">
        <f t="shared" si="718"/>
        <v>0</v>
      </c>
      <c r="BJ142" s="615">
        <f t="shared" si="719"/>
        <v>0</v>
      </c>
      <c r="BK142" s="615">
        <f t="shared" si="720"/>
        <v>0</v>
      </c>
      <c r="BL142" s="615">
        <f t="shared" si="721"/>
        <v>0</v>
      </c>
      <c r="BM142" s="615">
        <f t="shared" si="722"/>
        <v>0</v>
      </c>
      <c r="BN142" s="615">
        <f t="shared" si="723"/>
        <v>0</v>
      </c>
      <c r="BO142" s="339"/>
      <c r="BP142" s="615">
        <f t="shared" si="724"/>
        <v>0</v>
      </c>
      <c r="BQ142" s="615">
        <f t="shared" si="725"/>
        <v>0</v>
      </c>
      <c r="BR142" s="615">
        <f t="shared" si="726"/>
        <v>0</v>
      </c>
      <c r="BS142" s="615">
        <f t="shared" si="727"/>
        <v>0</v>
      </c>
      <c r="BT142" s="615">
        <f t="shared" si="728"/>
        <v>0</v>
      </c>
      <c r="BU142" s="339"/>
      <c r="BV142" s="635">
        <f t="shared" si="729"/>
        <v>0</v>
      </c>
      <c r="BW142" s="635">
        <f t="shared" si="730"/>
        <v>0</v>
      </c>
      <c r="BX142" s="635">
        <f t="shared" si="731"/>
        <v>0</v>
      </c>
      <c r="BY142" s="345"/>
      <c r="BZ142" s="615">
        <f>COUNTIF('ST | Drawing List'!$H:$H,"ST-T07-10")</f>
        <v>0</v>
      </c>
      <c r="CA142" s="616">
        <f>COUNTIFS('ST | Drawing List'!$H:$H,"ST-T07-10",'ST | Drawing List'!$J:$J,1)</f>
        <v>0</v>
      </c>
      <c r="CB142" s="623">
        <f>COUNTIFS('ST | Drawing List'!$H:$H,"ST-T07-10",'ST | Drawing List'!$L:$L,1)</f>
        <v>0</v>
      </c>
      <c r="CC142" s="616">
        <f>COUNTIFS('ST | Drawing List'!$H:$H,"ST-T07-10",'ST | Drawing List'!M:M,1)</f>
        <v>0</v>
      </c>
      <c r="CD142" s="616">
        <f>COUNTIFS('ST | Drawing List'!$H:$H,"ST-T07-10",'ST | Drawing List'!N:N,1)</f>
        <v>0</v>
      </c>
      <c r="CE142" s="616">
        <f>COUNTIFS('ST | Drawing List'!$H:$H,"ST-T07-10",'ST | Drawing List'!O:O,1)</f>
        <v>0</v>
      </c>
      <c r="CF142" s="616">
        <f>COUNTIFS('ST | Drawing List'!$H:$H,"ST-T07-10",'ST | Drawing List'!P:P,1)</f>
        <v>0</v>
      </c>
      <c r="CG142" s="532"/>
      <c r="CH142" s="623">
        <f>COUNTIFS('ST | Drawing List'!$H:$H,"ST-T07-10",'ST | Drawing List'!$Q:$Q,1)</f>
        <v>0</v>
      </c>
      <c r="CI142" s="616">
        <f>COUNTIFS('ST | Drawing List'!$H:$H,"ST-T07-10",'ST | Drawing List'!R:R,1)</f>
        <v>0</v>
      </c>
      <c r="CJ142" s="616">
        <f>COUNTIFS('ST | Drawing List'!$H:$H,"ST-T07-10",'ST | Drawing List'!S:S,1)</f>
        <v>0</v>
      </c>
      <c r="CK142" s="616">
        <f>COUNTIFS('ST | Drawing List'!$H:$H,"ST-T07-10",'ST | Drawing List'!T:T,1)</f>
        <v>0</v>
      </c>
      <c r="CL142" s="616">
        <f>COUNTIFS('ST | Drawing List'!$H:$H,"ST-T07-10",'ST | Drawing List'!U:U,1)</f>
        <v>0</v>
      </c>
      <c r="CM142" s="343"/>
      <c r="CN142" s="343"/>
      <c r="CO142" s="666">
        <v>0</v>
      </c>
      <c r="CP142" s="343"/>
      <c r="CQ142" s="616">
        <f t="shared" si="732"/>
        <v>0</v>
      </c>
      <c r="CR142" s="618">
        <f t="shared" si="733"/>
        <v>0</v>
      </c>
      <c r="CS142" s="615">
        <f t="shared" si="734"/>
        <v>0</v>
      </c>
      <c r="CT142" s="615">
        <f t="shared" si="735"/>
        <v>0</v>
      </c>
      <c r="CU142" s="615">
        <f t="shared" si="736"/>
        <v>0</v>
      </c>
      <c r="CV142" s="615">
        <f t="shared" si="737"/>
        <v>0</v>
      </c>
      <c r="CW142" s="615">
        <f t="shared" si="738"/>
        <v>0</v>
      </c>
      <c r="CX142" s="615">
        <f t="shared" si="739"/>
        <v>0</v>
      </c>
      <c r="CY142" s="339"/>
      <c r="CZ142" s="615">
        <f t="shared" si="740"/>
        <v>0</v>
      </c>
      <c r="DA142" s="615">
        <f t="shared" si="741"/>
        <v>0</v>
      </c>
      <c r="DB142" s="615">
        <f t="shared" si="742"/>
        <v>0</v>
      </c>
      <c r="DC142" s="615">
        <f t="shared" si="743"/>
        <v>0</v>
      </c>
      <c r="DD142" s="615">
        <f t="shared" si="744"/>
        <v>0</v>
      </c>
      <c r="DE142" s="339"/>
      <c r="DF142" s="625">
        <f t="shared" si="745"/>
        <v>0</v>
      </c>
      <c r="DG142" s="625">
        <f t="shared" si="746"/>
        <v>0</v>
      </c>
      <c r="DH142" s="625">
        <f t="shared" si="747"/>
        <v>0</v>
      </c>
      <c r="DI142" s="345"/>
      <c r="DJ142" s="615">
        <f>COUNTIF('MEP | Drawing List'!$H:$H,"MEP-T01-07-10")</f>
        <v>0</v>
      </c>
      <c r="DK142" s="616">
        <f>COUNTIFS('MEP | Drawing List'!$H:$H,"MEP-T01-07-10",'MEP | Drawing List'!$J:$J,1)</f>
        <v>0</v>
      </c>
      <c r="DL142" s="616">
        <f>COUNTIFS('MEP | Drawing List'!$H:$H,"MEP-T01-07-10",'MEP | Drawing List'!$L:$L,1)</f>
        <v>0</v>
      </c>
      <c r="DM142" s="615">
        <f>COUNTIFS('MEP | Drawing List'!$H:$H,"MEP-T01-07-10",'MEP | Drawing List'!M:M,1)</f>
        <v>0</v>
      </c>
      <c r="DN142" s="615">
        <f>COUNTIFS('MEP | Drawing List'!$H:$H,"MEP-T01-07-10",'MEP | Drawing List'!N:N,1)</f>
        <v>0</v>
      </c>
      <c r="DO142" s="615">
        <f>COUNTIFS('MEP | Drawing List'!$H:$H,"MEP-T01-07-10",'MEP | Drawing List'!O:O,1)</f>
        <v>0</v>
      </c>
      <c r="DP142" s="615">
        <f>COUNTIFS('MEP | Drawing List'!$H:$H,"MEP-T01-07-10",'MEP | Drawing List'!P:P,1)</f>
        <v>0</v>
      </c>
      <c r="DQ142" s="339"/>
      <c r="DR142" s="616">
        <f>COUNTIFS('MEP | Drawing List'!$H:$H,"MEP-T01-07-10",'MEP | Drawing List'!$Q:$Q,1)</f>
        <v>0</v>
      </c>
      <c r="DS142" s="615">
        <f>COUNTIFS('MEP | Drawing List'!$H:$H,"MEP-T01-07-10",'MEP | Drawing List'!R:R,1)</f>
        <v>0</v>
      </c>
      <c r="DT142" s="615">
        <f>COUNTIFS('MEP | Drawing List'!$H:$H,"MEP-T01-07-10",'MEP | Drawing List'!S:S,1)</f>
        <v>0</v>
      </c>
      <c r="DU142" s="615">
        <f>COUNTIFS('MEP | Drawing List'!$H:$H,"MEP-T01-07-10",'MEP | Drawing List'!T:T,1)</f>
        <v>0</v>
      </c>
      <c r="DV142" s="615">
        <f>COUNTIFS('MEP | Drawing List'!$H:$H,"MEP-T01-07-10",'MEP | Drawing List'!U:U,1)</f>
        <v>0</v>
      </c>
      <c r="DW142" s="343"/>
      <c r="DX142" s="343"/>
      <c r="DY142" s="525">
        <v>0</v>
      </c>
      <c r="DZ142" s="343"/>
      <c r="EA142" s="344">
        <v>0</v>
      </c>
      <c r="EB142" s="618">
        <f t="shared" si="748"/>
        <v>0</v>
      </c>
      <c r="EC142" s="339"/>
      <c r="ED142" s="339"/>
      <c r="EE142" s="339"/>
      <c r="EF142" s="339"/>
      <c r="EG142" s="339"/>
      <c r="EH142" s="339"/>
      <c r="EI142" s="339"/>
      <c r="EJ142" s="339"/>
      <c r="EK142" s="339"/>
      <c r="EL142" s="339"/>
      <c r="EM142" s="339"/>
      <c r="EN142" s="339"/>
      <c r="EO142" s="339"/>
      <c r="EP142" s="603"/>
      <c r="EQ142" s="603"/>
      <c r="ER142" s="603"/>
      <c r="ES142" s="345"/>
      <c r="ET142" s="615">
        <f>COUNTIF('LS | Drawing List'!$H:$H,"LS-T07-10")</f>
        <v>0</v>
      </c>
      <c r="EU142" s="616">
        <f>COUNTIFS('LS | Drawing List'!$H:$H,"LS-T07-10",'LS | Drawing List'!$J:$J,1)</f>
        <v>0</v>
      </c>
      <c r="EV142" s="616">
        <f>COUNTIFS('LS | Drawing List'!$H:$H,"LS-T07-10",'LS | Drawing List'!$L:$L,1)</f>
        <v>0</v>
      </c>
      <c r="EW142" s="615">
        <f>COUNTIFS('LS | Drawing List'!$H:$H,"LS-T07-10",'LS | Drawing List'!M:M,1)</f>
        <v>0</v>
      </c>
      <c r="EX142" s="615">
        <f>COUNTIFS('LS | Drawing List'!$H:$H,"LS-T07-10",'LS | Drawing List'!N:N,1)</f>
        <v>0</v>
      </c>
      <c r="EY142" s="615">
        <f>COUNTIFS('LS | Drawing List'!$H:$H,"LS-T07-10",'LS | Drawing List'!O:O,1)</f>
        <v>0</v>
      </c>
      <c r="EZ142" s="615">
        <f>COUNTIFS('LS | Drawing List'!$H:$H,"LS-T07-10",'LS | Drawing List'!P:P,1)</f>
        <v>0</v>
      </c>
      <c r="FA142" s="339"/>
      <c r="FB142" s="616">
        <f>COUNTIFS('LS | Drawing List'!$H:$H,"LS-T07-10",'LS | Drawing List'!$Q:$Q,1)</f>
        <v>0</v>
      </c>
      <c r="FC142" s="615">
        <f>COUNTIFS('LS | Drawing List'!$H:$H,"LS-T07-10",'LS | Drawing List'!R:R,1)</f>
        <v>0</v>
      </c>
      <c r="FD142" s="615">
        <f>COUNTIFS('LS | Drawing List'!$H:$H,"LS-T07-10",'LS | Drawing List'!S:S,1)</f>
        <v>0</v>
      </c>
      <c r="FE142" s="615">
        <f>COUNTIFS('LS | Drawing List'!$H:$H,"LS-T07-10",'LS | Drawing List'!T:T,1)</f>
        <v>0</v>
      </c>
      <c r="FF142" s="615">
        <f>COUNTIFS('LS | Drawing List'!$H:$H,"LS-T07-10",'LS | Drawing List'!U:U,1)</f>
        <v>0</v>
      </c>
      <c r="FG142" s="48"/>
    </row>
    <row r="143" spans="1:163" ht="3" hidden="1" customHeight="1" outlineLevel="1">
      <c r="A143" s="48"/>
      <c r="B143" s="96"/>
      <c r="C143" s="278"/>
      <c r="D143" s="272"/>
      <c r="E143" s="48"/>
      <c r="F143" s="338"/>
      <c r="G143" s="619"/>
      <c r="H143" s="374"/>
      <c r="I143" s="374"/>
      <c r="J143" s="374"/>
      <c r="K143" s="374"/>
      <c r="L143" s="374"/>
      <c r="M143" s="374"/>
      <c r="N143" s="374"/>
      <c r="O143" s="374"/>
      <c r="P143" s="374"/>
      <c r="Q143" s="374"/>
      <c r="R143" s="374"/>
      <c r="S143" s="374"/>
      <c r="T143" s="48"/>
      <c r="U143" s="519"/>
      <c r="V143" s="131"/>
      <c r="W143" s="338"/>
      <c r="X143" s="619">
        <f t="shared" si="700"/>
        <v>0</v>
      </c>
      <c r="Y143" s="374"/>
      <c r="Z143" s="374"/>
      <c r="AA143" s="374"/>
      <c r="AB143" s="374"/>
      <c r="AC143" s="374"/>
      <c r="AD143" s="374"/>
      <c r="AE143" s="374"/>
      <c r="AF143" s="374"/>
      <c r="AG143" s="374"/>
      <c r="AH143" s="374"/>
      <c r="AI143" s="374"/>
      <c r="AJ143" s="374"/>
      <c r="AK143" s="374"/>
      <c r="AL143" s="603"/>
      <c r="AM143" s="603"/>
      <c r="AN143" s="603"/>
      <c r="AO143" s="345"/>
      <c r="AP143" s="359"/>
      <c r="AQ143" s="359"/>
      <c r="AR143" s="359"/>
      <c r="AS143" s="359"/>
      <c r="AT143" s="359"/>
      <c r="AU143" s="359"/>
      <c r="AV143" s="359"/>
      <c r="AW143" s="359"/>
      <c r="AX143" s="615">
        <f t="shared" si="715"/>
        <v>0</v>
      </c>
      <c r="AY143" s="359"/>
      <c r="AZ143" s="359"/>
      <c r="BA143" s="359"/>
      <c r="BB143" s="359"/>
      <c r="BC143" s="359"/>
      <c r="BD143" s="359"/>
      <c r="BE143" s="525"/>
      <c r="BF143" s="343"/>
      <c r="BG143" s="344"/>
      <c r="BH143" s="618">
        <f t="shared" si="717"/>
        <v>0</v>
      </c>
      <c r="BI143" s="374"/>
      <c r="BJ143" s="374"/>
      <c r="BK143" s="374"/>
      <c r="BL143" s="374"/>
      <c r="BM143" s="374"/>
      <c r="BN143" s="374"/>
      <c r="BO143" s="374"/>
      <c r="BP143" s="374"/>
      <c r="BQ143" s="374"/>
      <c r="BR143" s="374"/>
      <c r="BS143" s="374"/>
      <c r="BT143" s="374"/>
      <c r="BU143" s="374"/>
      <c r="BV143" s="525"/>
      <c r="BW143" s="525"/>
      <c r="BX143" s="525"/>
      <c r="BY143" s="345"/>
      <c r="BZ143" s="540"/>
      <c r="CA143" s="540"/>
      <c r="CB143" s="542"/>
      <c r="CC143" s="540"/>
      <c r="CD143" s="540"/>
      <c r="CE143" s="540"/>
      <c r="CF143" s="540"/>
      <c r="CG143" s="540"/>
      <c r="CH143" s="542"/>
      <c r="CI143" s="540"/>
      <c r="CJ143" s="540"/>
      <c r="CK143" s="540"/>
      <c r="CL143" s="540"/>
      <c r="CM143" s="343"/>
      <c r="CN143" s="343"/>
      <c r="CO143" s="525"/>
      <c r="CP143" s="343"/>
      <c r="CQ143" s="344"/>
      <c r="CR143" s="618">
        <f t="shared" si="733"/>
        <v>0</v>
      </c>
      <c r="CS143" s="374"/>
      <c r="CT143" s="374"/>
      <c r="CU143" s="374"/>
      <c r="CV143" s="374"/>
      <c r="CW143" s="374"/>
      <c r="CX143" s="374"/>
      <c r="CY143" s="374"/>
      <c r="CZ143" s="374"/>
      <c r="DA143" s="374"/>
      <c r="DB143" s="374"/>
      <c r="DC143" s="374"/>
      <c r="DD143" s="374"/>
      <c r="DE143" s="374"/>
      <c r="DF143" s="603"/>
      <c r="DG143" s="603"/>
      <c r="DH143" s="603"/>
      <c r="DI143" s="345"/>
      <c r="DJ143" s="359"/>
      <c r="DK143" s="359"/>
      <c r="DL143" s="359"/>
      <c r="DM143" s="374"/>
      <c r="DN143" s="374"/>
      <c r="DO143" s="374"/>
      <c r="DP143" s="374"/>
      <c r="DQ143" s="374"/>
      <c r="DR143" s="359"/>
      <c r="DS143" s="374"/>
      <c r="DT143" s="374"/>
      <c r="DU143" s="374"/>
      <c r="DV143" s="374"/>
      <c r="DW143" s="343"/>
      <c r="DX143" s="343"/>
      <c r="DY143" s="525"/>
      <c r="DZ143" s="343"/>
      <c r="EA143" s="344"/>
      <c r="EB143" s="618">
        <f t="shared" si="748"/>
        <v>0</v>
      </c>
      <c r="EC143" s="88"/>
      <c r="ED143" s="88"/>
      <c r="EE143" s="88"/>
      <c r="EF143" s="88"/>
      <c r="EG143" s="88"/>
      <c r="EH143" s="88"/>
      <c r="EI143" s="88"/>
      <c r="EJ143" s="88"/>
      <c r="EK143" s="88"/>
      <c r="EL143" s="88"/>
      <c r="EM143" s="88"/>
      <c r="EN143" s="88"/>
      <c r="EO143" s="88"/>
      <c r="EP143" s="103"/>
      <c r="EQ143" s="103"/>
      <c r="ER143" s="103"/>
      <c r="ES143" s="55"/>
      <c r="ET143" s="56"/>
      <c r="EU143" s="56"/>
      <c r="EV143" s="56"/>
      <c r="EW143" s="88"/>
      <c r="EX143" s="88"/>
      <c r="EY143" s="88"/>
      <c r="EZ143" s="88"/>
      <c r="FA143" s="88"/>
      <c r="FB143" s="56"/>
      <c r="FC143" s="88"/>
      <c r="FD143" s="88"/>
      <c r="FE143" s="88"/>
      <c r="FF143" s="88"/>
      <c r="FG143" s="48"/>
    </row>
    <row r="144" spans="1:163" ht="14.25" hidden="1" outlineLevel="1" collapsed="1">
      <c r="A144" s="48"/>
      <c r="B144" s="73"/>
      <c r="C144" s="275">
        <v>9</v>
      </c>
      <c r="D144" s="271" t="s">
        <v>148</v>
      </c>
      <c r="E144" s="74"/>
      <c r="F144" s="614">
        <f>W144+BG144+CQ144+EA144</f>
        <v>4.1800425000000008</v>
      </c>
      <c r="G144" s="614">
        <f>X144+BH144+CR144+EB144</f>
        <v>2.8390094375000001</v>
      </c>
      <c r="H144" s="612">
        <f>F144-G144</f>
        <v>1.3410330625000006</v>
      </c>
      <c r="I144" s="614">
        <f t="shared" ref="I144:I148" si="749">Z144+BJ144+CT144+ED144</f>
        <v>1.9251750000000001</v>
      </c>
      <c r="J144" s="614">
        <f t="shared" ref="J144:J148" si="750">AA144+BK144+CU144+EE144</f>
        <v>1.9251750000000001</v>
      </c>
      <c r="K144" s="614">
        <f t="shared" ref="K144:K148" si="751">AB144+BL144+CV144+EF144</f>
        <v>0</v>
      </c>
      <c r="L144" s="614">
        <f t="shared" ref="L144:L148" si="752">AC144+BM144+CW144+EG144</f>
        <v>0</v>
      </c>
      <c r="M144" s="614">
        <f t="shared" ref="M144:M148" si="753">AD144+BN144+CX144+EH144</f>
        <v>0</v>
      </c>
      <c r="N144" s="281"/>
      <c r="O144" s="614">
        <f t="shared" ref="O144:O148" si="754">AF144+BP144+CZ144+EJ144</f>
        <v>0.79942500000000005</v>
      </c>
      <c r="P144" s="614">
        <f t="shared" ref="P144:P148" si="755">AG144+BQ144+DA144+EK144</f>
        <v>0.79942500000000005</v>
      </c>
      <c r="Q144" s="614">
        <f t="shared" ref="Q144:Q148" si="756">AH144+BR144+DB144+EL144</f>
        <v>0</v>
      </c>
      <c r="R144" s="614">
        <f t="shared" ref="R144:R148" si="757">AI144+BS144+DC144+EM144</f>
        <v>0</v>
      </c>
      <c r="S144" s="614">
        <f t="shared" ref="S144:S148" si="758">AJ144+BT144+DD144+EN144</f>
        <v>0</v>
      </c>
      <c r="T144" s="74"/>
      <c r="U144" s="332">
        <f>SUM(U145:U148)</f>
        <v>0.5</v>
      </c>
      <c r="V144" s="332"/>
      <c r="W144" s="614">
        <f>U144*(5%*'BOQ COST'!E6)*1</f>
        <v>2.6647500000000002</v>
      </c>
      <c r="X144" s="614">
        <f t="shared" si="700"/>
        <v>1.5988500000000001</v>
      </c>
      <c r="Y144" s="612">
        <f>SUM(Y145:Y148)</f>
        <v>0.79942500000000005</v>
      </c>
      <c r="Z144" s="612">
        <f>SUM(Z145:Z148)</f>
        <v>1.8653250000000001</v>
      </c>
      <c r="AA144" s="612">
        <f t="shared" ref="AA144:AD144" si="759">SUM(AA145:AA148)</f>
        <v>1.8653250000000001</v>
      </c>
      <c r="AB144" s="612">
        <f t="shared" si="759"/>
        <v>0</v>
      </c>
      <c r="AC144" s="612">
        <f t="shared" si="759"/>
        <v>0</v>
      </c>
      <c r="AD144" s="612">
        <f t="shared" si="759"/>
        <v>0</v>
      </c>
      <c r="AE144" s="281"/>
      <c r="AF144" s="612">
        <f>SUM(AF145:AF148)</f>
        <v>0.79942500000000005</v>
      </c>
      <c r="AG144" s="612">
        <f t="shared" ref="AG144:AJ144" si="760">SUM(AG145:AG148)</f>
        <v>0.79942500000000005</v>
      </c>
      <c r="AH144" s="612">
        <f t="shared" si="760"/>
        <v>0</v>
      </c>
      <c r="AI144" s="612">
        <f t="shared" si="760"/>
        <v>0</v>
      </c>
      <c r="AJ144" s="612">
        <f t="shared" si="760"/>
        <v>0</v>
      </c>
      <c r="AK144" s="281"/>
      <c r="AL144" s="605"/>
      <c r="AM144" s="605"/>
      <c r="AN144" s="605"/>
      <c r="AO144" s="612">
        <f t="shared" ref="AO144" si="761">SUM(AO145:AO148)</f>
        <v>0</v>
      </c>
      <c r="AP144" s="612">
        <f t="shared" ref="AP144" si="762">SUM(AP145:AP148)</f>
        <v>27</v>
      </c>
      <c r="AQ144" s="612">
        <f t="shared" ref="AQ144" si="763">SUM(AQ145:AQ148)</f>
        <v>21</v>
      </c>
      <c r="AR144" s="612">
        <f t="shared" si="684"/>
        <v>6</v>
      </c>
      <c r="AS144" s="612">
        <f>SUM(AS145:AS148)</f>
        <v>6</v>
      </c>
      <c r="AT144" s="612">
        <f t="shared" ref="AT144:AX144" si="764">SUM(AT145:AT148)</f>
        <v>0</v>
      </c>
      <c r="AU144" s="612">
        <f t="shared" si="764"/>
        <v>0</v>
      </c>
      <c r="AV144" s="612">
        <f t="shared" si="764"/>
        <v>0</v>
      </c>
      <c r="AW144" s="281"/>
      <c r="AX144" s="612">
        <f t="shared" si="764"/>
        <v>1</v>
      </c>
      <c r="AY144" s="612">
        <f>SUM(AY145:AY148)</f>
        <v>1</v>
      </c>
      <c r="AZ144" s="612">
        <f t="shared" ref="AZ144:BB144" si="765">SUM(AZ145:AZ148)</f>
        <v>0</v>
      </c>
      <c r="BA144" s="612">
        <f t="shared" si="765"/>
        <v>0</v>
      </c>
      <c r="BB144" s="612">
        <f t="shared" si="765"/>
        <v>0</v>
      </c>
      <c r="BC144" s="336"/>
      <c r="BD144" s="336"/>
      <c r="BE144" s="332">
        <v>0.55000000000000004</v>
      </c>
      <c r="BF144" s="332"/>
      <c r="BG144" s="614">
        <f>BE144*(3%*'BOQ COST'!$F$6)*1</f>
        <v>1.3596825000000001</v>
      </c>
      <c r="BH144" s="614">
        <f t="shared" si="717"/>
        <v>1.1443994374999999</v>
      </c>
      <c r="BI144" s="612">
        <f>SUM(BI145:BI148)+BI150+BI154+BI158+BI162+BI166+BI170+BI174+BI178+BI182+BI186</f>
        <v>1.1443994374999999</v>
      </c>
      <c r="BJ144" s="612">
        <f>SUM(BJ145:BJ148)+BJ150+BJ154+BJ158+BJ162+BJ166+BJ170+BJ174+BJ178+BJ182+BJ186</f>
        <v>0</v>
      </c>
      <c r="BK144" s="612">
        <f t="shared" ref="BK144:CF144" si="766">SUM(BK145:BK148)+BK150+BK154+BK158+BK162+BK166+BK170+BK174+BK178+BK182+BK186</f>
        <v>0</v>
      </c>
      <c r="BL144" s="612">
        <f t="shared" si="766"/>
        <v>0</v>
      </c>
      <c r="BM144" s="612">
        <f t="shared" si="766"/>
        <v>0</v>
      </c>
      <c r="BN144" s="612">
        <f t="shared" si="766"/>
        <v>0</v>
      </c>
      <c r="BO144" s="281"/>
      <c r="BP144" s="612">
        <f>SUM(BP145:BP148)+BP150+BP154+BP158+BP162+BP166+BP170+BP174+BP178+BP182+BP186</f>
        <v>0</v>
      </c>
      <c r="BQ144" s="612">
        <f t="shared" ref="BQ144:BT144" si="767">SUM(BQ145:BQ148)+BQ150+BQ154+BQ158+BQ162+BQ166+BQ170+BQ174+BQ178+BQ182+BQ186</f>
        <v>0</v>
      </c>
      <c r="BR144" s="612">
        <f t="shared" si="767"/>
        <v>0</v>
      </c>
      <c r="BS144" s="612">
        <f t="shared" si="767"/>
        <v>0</v>
      </c>
      <c r="BT144" s="612">
        <f t="shared" si="767"/>
        <v>0</v>
      </c>
      <c r="BU144" s="281"/>
      <c r="BV144" s="524"/>
      <c r="BW144" s="524"/>
      <c r="BX144" s="524"/>
      <c r="BY144" s="612">
        <f t="shared" si="766"/>
        <v>0</v>
      </c>
      <c r="BZ144" s="612">
        <f t="shared" si="766"/>
        <v>1</v>
      </c>
      <c r="CA144" s="612">
        <f t="shared" si="766"/>
        <v>1</v>
      </c>
      <c r="CB144" s="612">
        <f t="shared" si="766"/>
        <v>0</v>
      </c>
      <c r="CC144" s="612">
        <f t="shared" si="766"/>
        <v>0</v>
      </c>
      <c r="CD144" s="612">
        <f t="shared" si="766"/>
        <v>0</v>
      </c>
      <c r="CE144" s="612">
        <f t="shared" si="766"/>
        <v>0</v>
      </c>
      <c r="CF144" s="612">
        <f t="shared" si="766"/>
        <v>0</v>
      </c>
      <c r="CG144" s="535"/>
      <c r="CH144" s="612">
        <f t="shared" ref="CH144:CL144" si="768">SUM(CH145:CH148)+CH150+CH154+CH158+CH162+CH166+CH170+CH174+CH178+CH182+CH186</f>
        <v>0</v>
      </c>
      <c r="CI144" s="612">
        <f t="shared" si="768"/>
        <v>0</v>
      </c>
      <c r="CJ144" s="612">
        <f t="shared" si="768"/>
        <v>0</v>
      </c>
      <c r="CK144" s="612">
        <f t="shared" si="768"/>
        <v>0</v>
      </c>
      <c r="CL144" s="612">
        <f t="shared" si="768"/>
        <v>0</v>
      </c>
      <c r="CM144" s="332"/>
      <c r="CN144" s="332"/>
      <c r="CO144" s="332">
        <f>SUM(CO145:CO148)</f>
        <v>0.65</v>
      </c>
      <c r="CP144" s="332"/>
      <c r="CQ144" s="614">
        <f>CO144*(2%*'BOQ COST'!$G$6)*1</f>
        <v>0.15561000000000003</v>
      </c>
      <c r="CR144" s="614">
        <f t="shared" si="733"/>
        <v>9.5760000000000012E-2</v>
      </c>
      <c r="CS144" s="612">
        <f>SUM(CS145:CS148)</f>
        <v>9.5760000000000012E-2</v>
      </c>
      <c r="CT144" s="612">
        <f>SUM(CT145:CT148)</f>
        <v>5.9850000000000007E-2</v>
      </c>
      <c r="CU144" s="612">
        <f t="shared" ref="CU144:DP144" si="769">SUM(CU145:CU148)</f>
        <v>5.9850000000000007E-2</v>
      </c>
      <c r="CV144" s="612">
        <f t="shared" si="769"/>
        <v>0</v>
      </c>
      <c r="CW144" s="612">
        <f t="shared" si="769"/>
        <v>0</v>
      </c>
      <c r="CX144" s="612">
        <f t="shared" si="769"/>
        <v>0</v>
      </c>
      <c r="CY144" s="281"/>
      <c r="CZ144" s="612">
        <f>SUM(CZ145:CZ148)</f>
        <v>0</v>
      </c>
      <c r="DA144" s="612">
        <f t="shared" ref="DA144:DD144" si="770">SUM(DA145:DA148)</f>
        <v>0</v>
      </c>
      <c r="DB144" s="612">
        <f t="shared" si="770"/>
        <v>0</v>
      </c>
      <c r="DC144" s="612">
        <f t="shared" si="770"/>
        <v>0</v>
      </c>
      <c r="DD144" s="612">
        <f t="shared" si="770"/>
        <v>0</v>
      </c>
      <c r="DE144" s="281"/>
      <c r="DF144" s="605"/>
      <c r="DG144" s="605"/>
      <c r="DH144" s="605"/>
      <c r="DI144" s="612">
        <f t="shared" si="769"/>
        <v>0</v>
      </c>
      <c r="DJ144" s="612">
        <f t="shared" si="769"/>
        <v>56</v>
      </c>
      <c r="DK144" s="612">
        <f t="shared" si="769"/>
        <v>46</v>
      </c>
      <c r="DL144" s="612">
        <f t="shared" si="769"/>
        <v>10</v>
      </c>
      <c r="DM144" s="612">
        <f t="shared" si="769"/>
        <v>10</v>
      </c>
      <c r="DN144" s="612">
        <f t="shared" si="769"/>
        <v>0</v>
      </c>
      <c r="DO144" s="612">
        <f t="shared" si="769"/>
        <v>0</v>
      </c>
      <c r="DP144" s="612">
        <f t="shared" si="769"/>
        <v>0</v>
      </c>
      <c r="DQ144" s="281"/>
      <c r="DR144" s="612">
        <f t="shared" ref="DR144:DV144" si="771">SUM(DR145:DR148)</f>
        <v>0</v>
      </c>
      <c r="DS144" s="612">
        <f t="shared" si="771"/>
        <v>0</v>
      </c>
      <c r="DT144" s="612">
        <f t="shared" si="771"/>
        <v>0</v>
      </c>
      <c r="DU144" s="612">
        <f t="shared" si="771"/>
        <v>0</v>
      </c>
      <c r="DV144" s="612">
        <f t="shared" si="771"/>
        <v>0</v>
      </c>
      <c r="DW144" s="332"/>
      <c r="DX144" s="332"/>
      <c r="DY144" s="614">
        <f>SUM(DY145:DY148)</f>
        <v>0</v>
      </c>
      <c r="DZ144" s="332"/>
      <c r="EA144" s="337">
        <v>0</v>
      </c>
      <c r="EB144" s="614">
        <f t="shared" si="748"/>
        <v>0</v>
      </c>
      <c r="EC144" s="612">
        <f>SUM(EC145:EC148)</f>
        <v>0</v>
      </c>
      <c r="ED144" s="612">
        <f>SUM(ED145:ED148)</f>
        <v>0</v>
      </c>
      <c r="EE144" s="612">
        <f t="shared" ref="EE144:EZ144" si="772">SUM(EE145:EE148)</f>
        <v>0</v>
      </c>
      <c r="EF144" s="612">
        <f t="shared" si="772"/>
        <v>0</v>
      </c>
      <c r="EG144" s="612">
        <f t="shared" si="772"/>
        <v>0</v>
      </c>
      <c r="EH144" s="612">
        <f t="shared" si="772"/>
        <v>0</v>
      </c>
      <c r="EI144" s="75"/>
      <c r="EJ144" s="612">
        <f>SUM(EJ145:EJ148)</f>
        <v>0</v>
      </c>
      <c r="EK144" s="612">
        <f t="shared" ref="EK144:EN144" si="773">SUM(EK145:EK148)</f>
        <v>0</v>
      </c>
      <c r="EL144" s="612">
        <f t="shared" si="773"/>
        <v>0</v>
      </c>
      <c r="EM144" s="612">
        <f t="shared" si="773"/>
        <v>0</v>
      </c>
      <c r="EN144" s="612">
        <f t="shared" si="773"/>
        <v>0</v>
      </c>
      <c r="EO144" s="75"/>
      <c r="EP144" s="645"/>
      <c r="EQ144" s="645"/>
      <c r="ER144" s="645"/>
      <c r="ES144" s="612">
        <f t="shared" si="772"/>
        <v>0</v>
      </c>
      <c r="ET144" s="612">
        <f t="shared" si="772"/>
        <v>0</v>
      </c>
      <c r="EU144" s="612">
        <f t="shared" si="772"/>
        <v>0</v>
      </c>
      <c r="EV144" s="612">
        <f t="shared" si="772"/>
        <v>0</v>
      </c>
      <c r="EW144" s="612">
        <f t="shared" si="772"/>
        <v>0</v>
      </c>
      <c r="EX144" s="612">
        <f t="shared" si="772"/>
        <v>0</v>
      </c>
      <c r="EY144" s="612">
        <f t="shared" si="772"/>
        <v>0</v>
      </c>
      <c r="EZ144" s="612">
        <f t="shared" si="772"/>
        <v>0</v>
      </c>
      <c r="FA144" s="75"/>
      <c r="FB144" s="612">
        <f t="shared" ref="FB144:FF144" si="774">SUM(FB145:FB148)</f>
        <v>0</v>
      </c>
      <c r="FC144" s="612">
        <f t="shared" si="774"/>
        <v>0</v>
      </c>
      <c r="FD144" s="612">
        <f t="shared" si="774"/>
        <v>0</v>
      </c>
      <c r="FE144" s="612">
        <f t="shared" si="774"/>
        <v>0</v>
      </c>
      <c r="FF144" s="612">
        <f t="shared" si="774"/>
        <v>0</v>
      </c>
      <c r="FG144" s="74"/>
    </row>
    <row r="145" spans="1:163" ht="14.25" hidden="1" outlineLevel="2">
      <c r="A145" s="48"/>
      <c r="B145" s="87" t="s">
        <v>149</v>
      </c>
      <c r="C145" s="276">
        <v>1</v>
      </c>
      <c r="D145" s="272" t="s">
        <v>150</v>
      </c>
      <c r="E145" s="48"/>
      <c r="F145" s="619">
        <f t="shared" ref="F145:F148" si="775">W145+BG145+CQ145+EA145</f>
        <v>6.7984125000000006E-2</v>
      </c>
      <c r="G145" s="619">
        <f t="shared" ref="G145:G148" si="776">X145+BH145+CR145+EB145</f>
        <v>6.7984125000000006E-2</v>
      </c>
      <c r="H145" s="615">
        <f t="shared" ref="H145:H148" si="777">F145-G145</f>
        <v>0</v>
      </c>
      <c r="I145" s="615">
        <f t="shared" si="749"/>
        <v>0</v>
      </c>
      <c r="J145" s="615">
        <f t="shared" si="750"/>
        <v>0</v>
      </c>
      <c r="K145" s="615">
        <f t="shared" si="751"/>
        <v>0</v>
      </c>
      <c r="L145" s="615">
        <f t="shared" si="752"/>
        <v>0</v>
      </c>
      <c r="M145" s="620">
        <f t="shared" si="753"/>
        <v>0</v>
      </c>
      <c r="N145" s="287"/>
      <c r="O145" s="615">
        <f t="shared" si="754"/>
        <v>0</v>
      </c>
      <c r="P145" s="615">
        <f t="shared" si="755"/>
        <v>0</v>
      </c>
      <c r="Q145" s="615">
        <f t="shared" si="756"/>
        <v>0</v>
      </c>
      <c r="R145" s="615">
        <f t="shared" si="757"/>
        <v>0</v>
      </c>
      <c r="S145" s="615">
        <f t="shared" si="758"/>
        <v>0</v>
      </c>
      <c r="T145" s="48"/>
      <c r="U145" s="519">
        <v>0</v>
      </c>
      <c r="V145" s="131"/>
      <c r="W145" s="619">
        <f>$W$144/$U$144*U145</f>
        <v>0</v>
      </c>
      <c r="X145" s="619">
        <f t="shared" si="700"/>
        <v>0</v>
      </c>
      <c r="Y145" s="615">
        <f>IFERROR(IF(AL145=100%,W145,0),0)</f>
        <v>0</v>
      </c>
      <c r="Z145" s="615">
        <f>IFERROR(IF(AND((AL145+AM145)=100%,AL145&lt;1),W145,0),0)</f>
        <v>0</v>
      </c>
      <c r="AA145" s="615">
        <f t="shared" ref="AA145:AA188" si="778">IFERROR(IF(AND((AQ145+AS145)=AP145,Y145=0),W145,0),0)</f>
        <v>0</v>
      </c>
      <c r="AB145" s="615">
        <f t="shared" ref="AB145:AB188" si="779">IFERROR(IF(AND((AQ145+AS145+AT145)=AP145,Y145=0,AA145=0),W145,0),0)</f>
        <v>0</v>
      </c>
      <c r="AC145" s="615">
        <f t="shared" ref="AC145:AC188" si="780">IFERROR(IF(AND((AQ145+AS145+AT145+AU145)=AP145,Y145=0,AA145=0,AB145=0),W145,0),0)</f>
        <v>0</v>
      </c>
      <c r="AD145" s="620">
        <f t="shared" ref="AD145:AD188" si="781">IFERROR(IF(AND((AQ145+AS145+AT145+AU145+AV145)=AP145,Y145=0,AA145=0,AB145=0,AC145=0),W145,0),0)</f>
        <v>0</v>
      </c>
      <c r="AE145" s="287"/>
      <c r="AF145" s="615">
        <f>IFERROR(IF(AND((AL145+AN145)=100%,AL145&lt;1),W145,0),0)</f>
        <v>0</v>
      </c>
      <c r="AG145" s="615">
        <f>IFERROR(IF(AND((AQ145+AY145)=AP145,Y145=0),W145,0),0)</f>
        <v>0</v>
      </c>
      <c r="AH145" s="615">
        <f>IFERROR(IF(AND((AQ145+AY145+AZ145)=AP145,Y145=0,AG145=0),W145,0),0)</f>
        <v>0</v>
      </c>
      <c r="AI145" s="615">
        <f>IFERROR(IF(AND((AQ145+AY145+AZ145+BA145)=AP145,Y145=0,AG145=0,AH145=0),W145,0),0)</f>
        <v>0</v>
      </c>
      <c r="AJ145" s="615">
        <f>IFERROR(IF(AND((AQ145+AY145+AZ145+BA145+BB145)=AP145,Y145=0,AG145=0,AH145=0,AI145=0),W145,0),0)</f>
        <v>0</v>
      </c>
      <c r="AK145" s="339"/>
      <c r="AL145" s="625">
        <f>IFERROR(AQ145/AP145,0)</f>
        <v>0</v>
      </c>
      <c r="AM145" s="625">
        <f>IFERROR(AR145/AP145,0)</f>
        <v>0</v>
      </c>
      <c r="AN145" s="625">
        <f>IFERROR(AX145/AP145,0)</f>
        <v>0</v>
      </c>
      <c r="AO145" s="341"/>
      <c r="AP145" s="615">
        <f>COUNTIF('AR | Drawing List'!$H:$H,"AR-SS0-1")</f>
        <v>0</v>
      </c>
      <c r="AQ145" s="616">
        <f>COUNTIFS('AR | Drawing List'!$H:$H,"AR-SS0-1",'AR | Drawing List'!$J:$J,1)</f>
        <v>0</v>
      </c>
      <c r="AR145" s="616">
        <f t="shared" si="684"/>
        <v>0</v>
      </c>
      <c r="AS145" s="616">
        <f>COUNTIFS('AR | Drawing List'!$H:$H,"AR-SS0-1",'AR | Drawing List'!M:M,1)</f>
        <v>0</v>
      </c>
      <c r="AT145" s="616">
        <f>COUNTIFS('AR | Drawing List'!$H:$H,"AR-SS0-1",'AR | Drawing List'!N:N,1)</f>
        <v>0</v>
      </c>
      <c r="AU145" s="616">
        <f>COUNTIFS('AR | Drawing List'!$H:$H,"AR-SS0-1",'AR | Drawing List'!O:O,1)</f>
        <v>0</v>
      </c>
      <c r="AV145" s="616">
        <f>COUNTIFS('AR | Drawing List'!$H:$H,"AR-SS0-1",'AR | Drawing List'!P:P,1)</f>
        <v>0</v>
      </c>
      <c r="AW145" s="328"/>
      <c r="AX145" s="616">
        <f t="shared" si="715"/>
        <v>0</v>
      </c>
      <c r="AY145" s="616">
        <f>COUNTIFS('AR | Drawing List'!$H:$H,"AR-SS0-1",'AR | Drawing List'!R:R,1)</f>
        <v>0</v>
      </c>
      <c r="AZ145" s="616">
        <f>COUNTIFS('AR | Drawing List'!$H:$H,"AR-SS0-1",'AR | Drawing List'!S:S,1)</f>
        <v>0</v>
      </c>
      <c r="BA145" s="616">
        <f>COUNTIFS('AR | Drawing List'!$H:$H,"AR-SS0-1",'AR | Drawing List'!T:T,1)</f>
        <v>0</v>
      </c>
      <c r="BB145" s="616">
        <f>COUNTIFS('AR | Drawing List'!$H:$H,"AR-SS0-1",'AR | Drawing List'!U:U,1)</f>
        <v>0</v>
      </c>
      <c r="BC145" s="328"/>
      <c r="BD145" s="328"/>
      <c r="BE145" s="525">
        <v>0.05</v>
      </c>
      <c r="BF145" s="343"/>
      <c r="BG145" s="616">
        <f>$BG$144*BE145</f>
        <v>6.7984125000000006E-2</v>
      </c>
      <c r="BH145" s="618">
        <f t="shared" si="717"/>
        <v>6.7984125000000006E-2</v>
      </c>
      <c r="BI145" s="615">
        <f>IFERROR(IF(BV145=100%,BG145,0),0)</f>
        <v>6.7984125000000006E-2</v>
      </c>
      <c r="BJ145" s="615">
        <f>IFERROR(IF(AND((BV145+BW145)=100%,BV145&lt;1),BG145,0),0)</f>
        <v>0</v>
      </c>
      <c r="BK145" s="615">
        <f t="shared" ref="BK145:BK176" si="782">IFERROR(IF(AND((CA145+CC145)=BZ145,BI145=0),BG145,0),0)</f>
        <v>0</v>
      </c>
      <c r="BL145" s="615">
        <f t="shared" ref="BL145:BL176" si="783">IFERROR(IF(AND((CA145+CC145+CD145)=BZ145,BI145=0,BK145=0),BG145,0),0)</f>
        <v>0</v>
      </c>
      <c r="BM145" s="615">
        <f t="shared" ref="BM145:BM176" si="784">IFERROR(IF(AND((CA145+CC145+CD145+CE145)=BZ145,BI145=0,BK145=0,BL145=0),BG145,0),0)</f>
        <v>0</v>
      </c>
      <c r="BN145" s="615">
        <f t="shared" ref="BN145:BN176" si="785">IFERROR(IF(AND((CA145+CC145+CD145+CE145+CF145)=BZ145,BI145=0,BK145=0,BL145=0,BM145=0),BG145,0),0)</f>
        <v>0</v>
      </c>
      <c r="BO145" s="339"/>
      <c r="BP145" s="615">
        <f t="shared" ref="BP145:BP165" si="786">IFERROR(IF(AND((BV145+BX145)=100%,BV145&lt;1),BG145,0),0)</f>
        <v>0</v>
      </c>
      <c r="BQ145" s="615">
        <f>IFERROR(IF(AND((CA145+CI145)=BZ145,BI145=0),BG145,0),0)</f>
        <v>0</v>
      </c>
      <c r="BR145" s="615">
        <f>IFERROR(IF(AND((CA145+CI145+CJ145)=BZ145,BI145=0,BQ145=0),BG145,0),0)</f>
        <v>0</v>
      </c>
      <c r="BS145" s="615">
        <f>IFERROR(IF(AND((CA145+CI145+CJ145+CK145)=BZ145,BI145=0,BQ145=0,BR145=0),BG145,0),0)</f>
        <v>0</v>
      </c>
      <c r="BT145" s="615">
        <f>IFERROR(IF(AND((CA145+CI145+CJ145+CK145+CL145)=BZ145,BI145=0,BQ145=0,BR145=0,BS145=0),BG145,0),0)</f>
        <v>0</v>
      </c>
      <c r="BU145" s="339"/>
      <c r="BV145" s="635">
        <f t="shared" ref="BV145:BV188" si="787">IFERROR(CA145/BZ145,0)</f>
        <v>1</v>
      </c>
      <c r="BW145" s="635">
        <f t="shared" ref="BW145:BW188" si="788">IFERROR(CB145/BZ145,0)</f>
        <v>0</v>
      </c>
      <c r="BX145" s="635">
        <f t="shared" ref="BX145:BX188" si="789">IFERROR(CH145/BZ145,0)</f>
        <v>0</v>
      </c>
      <c r="BY145" s="341"/>
      <c r="BZ145" s="615">
        <f>COUNTIF('ST | Drawing List'!$H:$H,"ST-SS0-1")</f>
        <v>1</v>
      </c>
      <c r="CA145" s="616">
        <f>COUNTIFS('ST | Drawing List'!$H:$H,"ST-SS0-1",'ST | Drawing List'!$J:$J,1)</f>
        <v>1</v>
      </c>
      <c r="CB145" s="623">
        <f>COUNTIFS('ST | Drawing List'!$H:$H,"ST-SS0-1",'ST | Drawing List'!$L:$L,1)</f>
        <v>0</v>
      </c>
      <c r="CC145" s="616">
        <f>COUNTIFS('ST | Drawing List'!$H:$H,"ST-SS0-1",'ST | Drawing List'!M:M,1)</f>
        <v>0</v>
      </c>
      <c r="CD145" s="616">
        <f>COUNTIFS('ST | Drawing List'!$H:$H,"ST-SS0-1",'ST | Drawing List'!N:N,1)</f>
        <v>0</v>
      </c>
      <c r="CE145" s="616">
        <f>COUNTIFS('ST | Drawing List'!$H:$H,"ST-SS0-1",'ST | Drawing List'!O:O,1)</f>
        <v>0</v>
      </c>
      <c r="CF145" s="616">
        <f>COUNTIFS('ST | Drawing List'!$H:$H,"ST-SS0-1",'ST | Drawing List'!P:P,1)</f>
        <v>0</v>
      </c>
      <c r="CG145" s="532"/>
      <c r="CH145" s="623">
        <f>COUNTIFS('ST | Drawing List'!$H:$H,"ST-SS0-1",'ST | Drawing List'!$Q:$Q,1)</f>
        <v>0</v>
      </c>
      <c r="CI145" s="616">
        <f>COUNTIFS('ST | Drawing List'!$H:$H,"ST-SS0-1",'ST | Drawing List'!R:R,1)</f>
        <v>0</v>
      </c>
      <c r="CJ145" s="616">
        <f>COUNTIFS('ST | Drawing List'!$H:$H,"ST-SS0-1",'ST | Drawing List'!S:S,1)</f>
        <v>0</v>
      </c>
      <c r="CK145" s="616">
        <f>COUNTIFS('ST | Drawing List'!$H:$H,"ST-SS0-1",'ST | Drawing List'!T:T,1)</f>
        <v>0</v>
      </c>
      <c r="CL145" s="616">
        <f>COUNTIFS('ST | Drawing List'!$H:$H,"ST-SS0-1",'ST | Drawing List'!U:U,1)</f>
        <v>0</v>
      </c>
      <c r="CM145" s="343"/>
      <c r="CN145" s="343"/>
      <c r="CO145" s="666">
        <v>0</v>
      </c>
      <c r="CP145" s="343"/>
      <c r="CQ145" s="616">
        <f>$CQ$144/$CO$144*CO145</f>
        <v>0</v>
      </c>
      <c r="CR145" s="618">
        <f t="shared" si="733"/>
        <v>0</v>
      </c>
      <c r="CS145" s="615">
        <f>IFERROR(IF(DF145=100%,CQ145,0),0)</f>
        <v>0</v>
      </c>
      <c r="CT145" s="615">
        <f t="shared" ref="CT145:CT148" si="790">IFERROR(IF(AND((DF145+DG145)=100%,DF145&lt;1),CQ145,0),0)</f>
        <v>0</v>
      </c>
      <c r="CU145" s="615">
        <f t="shared" ref="CU145:CU148" si="791">IFERROR(IF(AND((DK145+DM145)=DJ145,CS145=0),CQ145,0),0)</f>
        <v>0</v>
      </c>
      <c r="CV145" s="615">
        <f t="shared" ref="CV145:CV148" si="792">IFERROR(IF(AND((DK145+DM145+DN145)=DJ145,CS145=0,CU145=0),CQ145,0),0)</f>
        <v>0</v>
      </c>
      <c r="CW145" s="615">
        <f t="shared" ref="CW145:CW148" si="793">IFERROR(IF(AND((DK145+DM145+DN145+DO145)=DJ145,CS145=0,CU145=0,CV145=0),CQ145,0),0)</f>
        <v>0</v>
      </c>
      <c r="CX145" s="615">
        <f t="shared" ref="CX145:CX148" si="794">IFERROR(IF(AND((DK145+DM145+DN145+DO145+DP145)=DJ145,CS145=0,CU145=0,CV145=0,CW145=0),CQ145,0),0)</f>
        <v>0</v>
      </c>
      <c r="CY145" s="339"/>
      <c r="CZ145" s="615">
        <f t="shared" ref="CZ145:CZ148" si="795">IFERROR(IF(AND((DF145+DH145)=100%,DF145&lt;1),CQ145,0),0)</f>
        <v>0</v>
      </c>
      <c r="DA145" s="615">
        <f t="shared" ref="DA145:DA148" si="796">IFERROR(IF(AND((DK145+DS145)=DJ145,CS145=0),CQ145,0),0)</f>
        <v>0</v>
      </c>
      <c r="DB145" s="615">
        <f t="shared" ref="DB145:DB148" si="797">IFERROR(IF(AND((DK145+DS145+DT145)=DJ145,CS145=0,DA145=0),CQ145,0),0)</f>
        <v>0</v>
      </c>
      <c r="DC145" s="615">
        <f t="shared" ref="DC145:DC148" si="798">IFERROR(IF(AND((DK145+DS145+DT145+DU145)=DJ145,CS145=0,DA145=0,DB145=0),CQ145,0),0)</f>
        <v>0</v>
      </c>
      <c r="DD145" s="615">
        <f t="shared" ref="DD145:DD148" si="799">IFERROR(IF(AND((DK145+DS145+DT145+DU145+DV145)=DJ145,CS145=0,DA145=0,DB145=0,DC145=0),CQ145,0),0)</f>
        <v>0</v>
      </c>
      <c r="DE145" s="339"/>
      <c r="DF145" s="625">
        <f t="shared" ref="DF145:DF148" si="800">IFERROR(DK145/DJ145,0)</f>
        <v>0</v>
      </c>
      <c r="DG145" s="625">
        <f t="shared" ref="DG145:DG148" si="801">IFERROR(DL145/DJ145,0)</f>
        <v>0</v>
      </c>
      <c r="DH145" s="625">
        <f t="shared" ref="DH145:DH148" si="802">IFERROR(DR145/DJ145,0)</f>
        <v>0</v>
      </c>
      <c r="DI145" s="341"/>
      <c r="DJ145" s="615">
        <f>COUNTIF('MEP | Drawing List'!$H:$H,"MEP-SS0-1")</f>
        <v>0</v>
      </c>
      <c r="DK145" s="616">
        <f>COUNTIFS('MEP | Drawing List'!$H:$H,"MEP-SS0-1",'MEP | Drawing List'!$J:$J,1)</f>
        <v>0</v>
      </c>
      <c r="DL145" s="616">
        <f>COUNTIFS('MEP | Drawing List'!$H:$H,"MEP-SS0-1",'MEP | Drawing List'!$L:$L,1)</f>
        <v>0</v>
      </c>
      <c r="DM145" s="615">
        <f>COUNTIFS('MEP | Drawing List'!$H:$H,"MEP-SSO-1",'MEP | Drawing List'!M:M,1)</f>
        <v>0</v>
      </c>
      <c r="DN145" s="615">
        <f>COUNTIFS('MEP | Drawing List'!$H:$H,"MEP-SSO-1",'MEP | Drawing List'!N:N,1)</f>
        <v>0</v>
      </c>
      <c r="DO145" s="615">
        <f>COUNTIFS('MEP | Drawing List'!$H:$H,"MEP-SSO-1",'MEP | Drawing List'!O:O,1)</f>
        <v>0</v>
      </c>
      <c r="DP145" s="615">
        <f>COUNTIFS('MEP | Drawing List'!$H:$H,"MEP-SSO-1",'MEP | Drawing List'!P:P,1)</f>
        <v>0</v>
      </c>
      <c r="DQ145" s="339"/>
      <c r="DR145" s="616">
        <f>COUNTIFS('MEP | Drawing List'!$H:$H,"MEP-SS0-1",'MEP | Drawing List'!$Q:$Q,1)</f>
        <v>0</v>
      </c>
      <c r="DS145" s="615">
        <f>COUNTIFS('MEP | Drawing List'!$H:$H,"MEP-SSO-1",'MEP | Drawing List'!R:R,1)</f>
        <v>0</v>
      </c>
      <c r="DT145" s="615">
        <f>COUNTIFS('MEP | Drawing List'!$H:$H,"MEP-SSO-1",'MEP | Drawing List'!S:S,1)</f>
        <v>0</v>
      </c>
      <c r="DU145" s="615">
        <f>COUNTIFS('MEP | Drawing List'!$H:$H,"MEP-SSO-1",'MEP | Drawing List'!T:T,1)</f>
        <v>0</v>
      </c>
      <c r="DV145" s="615">
        <f>COUNTIFS('MEP | Drawing List'!$H:$H,"MEP-SSO-1",'MEP | Drawing List'!U:U,1)</f>
        <v>0</v>
      </c>
      <c r="DW145" s="343"/>
      <c r="DX145" s="343"/>
      <c r="DY145" s="525">
        <v>0</v>
      </c>
      <c r="DZ145" s="343"/>
      <c r="EA145" s="344">
        <v>0</v>
      </c>
      <c r="EB145" s="618">
        <f t="shared" si="748"/>
        <v>0</v>
      </c>
      <c r="EC145" s="615">
        <f>IFERROR(IF(EP145=100%,EA145,0),0)</f>
        <v>0</v>
      </c>
      <c r="ED145" s="615">
        <f>IFERROR(IF(AND((EP145+EQ145)=100%,EP145&lt;1),EA145,0),0)</f>
        <v>0</v>
      </c>
      <c r="EE145" s="615">
        <f>IFERROR(IF(AND((EU145+EW145)=ET145,EC145=0),EA145,0),0)</f>
        <v>0</v>
      </c>
      <c r="EF145" s="615">
        <f>IFERROR(IF(AND((EU145+EW145+EX145)=ET145,EC145=0,EE145=0),EA145,0),0)</f>
        <v>0</v>
      </c>
      <c r="EG145" s="615">
        <f>IFERROR(IF(AND((EU145+EW145+EX145+EY145)=ET145,EC145=0,EE145=0,EF145=0),EA145,0),0)</f>
        <v>0</v>
      </c>
      <c r="EH145" s="615">
        <f>IFERROR(IF(AND((EU145+EW145+EX145+EY145+EZ145)=ET145,EC145=0,EE145=0,EF145=0,EG145=0),EA145,0),0)</f>
        <v>0</v>
      </c>
      <c r="EI145" s="339"/>
      <c r="EJ145" s="615">
        <f>IFERROR(IF(AND((EU145+EV145)=100%,EU145&lt;1),EG145,0),0)</f>
        <v>0</v>
      </c>
      <c r="EK145" s="615">
        <f>IFERROR(IF(AND((EZ145+FC145)=EY145,EH145=0),EG145,0),0)</f>
        <v>0</v>
      </c>
      <c r="EL145" s="615">
        <f>IFERROR(IF(AND((EZ145+FC145+FD145)=EY145,EH145=0,EK145=0),EG145,0),0)</f>
        <v>0</v>
      </c>
      <c r="EM145" s="615">
        <f>IFERROR(IF(AND((EZ145+FC145+FD145+FE145)=EY145,EH145=0,EK145=0,EL145=0),EG145,0),0)</f>
        <v>0</v>
      </c>
      <c r="EN145" s="615">
        <f>IFERROR(IF(AND((EZ145+FC145+FD145+FE145+FF145)=EY145,EH145=0,EK145=0,EL145=0,EM145=0),EG145,0),0)</f>
        <v>0</v>
      </c>
      <c r="EO145" s="339"/>
      <c r="EP145" s="625">
        <f>IFERROR(EU145/ET145,0)</f>
        <v>0</v>
      </c>
      <c r="EQ145" s="625">
        <f>IFERROR(EV145/ET145,0)</f>
        <v>0</v>
      </c>
      <c r="ER145" s="625">
        <f>IFERROR(#REF!/ET145,0)</f>
        <v>0</v>
      </c>
      <c r="ES145" s="82"/>
      <c r="ET145" s="615">
        <f>COUNTIF('LS | Drawing List'!$H:$H,"LS-SS0-1")</f>
        <v>0</v>
      </c>
      <c r="EU145" s="616">
        <f>COUNTIFS('LS | Drawing List'!$H:$H,"LS-SS0-1",'LS | Drawing List'!$J:$J,1)</f>
        <v>0</v>
      </c>
      <c r="EV145" s="616">
        <f>COUNTIFS('LS | Drawing List'!$H:$H,"LS-SS0-1",'LS | Drawing List'!$L:$L,1)</f>
        <v>0</v>
      </c>
      <c r="EW145" s="615">
        <f>COUNTIFS('LS | Drawing List'!$H:$H,"LS-SS0-1",'LS | Drawing List'!M:M,1)</f>
        <v>0</v>
      </c>
      <c r="EX145" s="615">
        <f>COUNTIFS('LS | Drawing List'!$H:$H,"LS-SS0-1",'LS | Drawing List'!N:N,1)</f>
        <v>0</v>
      </c>
      <c r="EY145" s="615">
        <f>COUNTIFS('LS | Drawing List'!$H:$H,"LS-SS0-1",'LS | Drawing List'!O:O,1)</f>
        <v>0</v>
      </c>
      <c r="EZ145" s="615">
        <f>COUNTIFS('LS | Drawing List'!$H:$H,"LS-SS0-1",'LS | Drawing List'!P:P,1)</f>
        <v>0</v>
      </c>
      <c r="FA145" s="81"/>
      <c r="FB145" s="616">
        <f>COUNTIFS('LS | Drawing List'!$H:$H,"LS-SS0-1",'LS | Drawing List'!$Q:$Q,1)</f>
        <v>0</v>
      </c>
      <c r="FC145" s="615">
        <f>COUNTIFS('LS | Drawing List'!$H:$H,"LS-SS0-1",'LS | Drawing List'!R:R,1)</f>
        <v>0</v>
      </c>
      <c r="FD145" s="615">
        <f>COUNTIFS('LS | Drawing List'!$H:$H,"LS-SS0-1",'LS | Drawing List'!S:S,1)</f>
        <v>0</v>
      </c>
      <c r="FE145" s="615">
        <f>COUNTIFS('LS | Drawing List'!$H:$H,"LS-SS0-1",'LS | Drawing List'!T:T,1)</f>
        <v>0</v>
      </c>
      <c r="FF145" s="615">
        <f>COUNTIFS('LS | Drawing List'!$H:$H,"LS-SS0-1",'LS | Drawing List'!U:U,1)</f>
        <v>0</v>
      </c>
      <c r="FG145" s="48"/>
    </row>
    <row r="146" spans="1:163" ht="14.25" hidden="1" outlineLevel="2">
      <c r="A146" s="48"/>
      <c r="B146" s="87" t="s">
        <v>151</v>
      </c>
      <c r="C146" s="276">
        <v>2</v>
      </c>
      <c r="D146" s="272" t="s">
        <v>152</v>
      </c>
      <c r="E146" s="48"/>
      <c r="F146" s="619">
        <f t="shared" si="775"/>
        <v>0.84730500000000009</v>
      </c>
      <c r="G146" s="619">
        <f t="shared" si="776"/>
        <v>0.84730500000000009</v>
      </c>
      <c r="H146" s="615">
        <f t="shared" si="777"/>
        <v>0</v>
      </c>
      <c r="I146" s="615">
        <f t="shared" si="749"/>
        <v>0</v>
      </c>
      <c r="J146" s="615">
        <f t="shared" si="750"/>
        <v>0</v>
      </c>
      <c r="K146" s="615">
        <f t="shared" si="751"/>
        <v>0</v>
      </c>
      <c r="L146" s="615">
        <f t="shared" si="752"/>
        <v>0</v>
      </c>
      <c r="M146" s="620">
        <f t="shared" si="753"/>
        <v>0</v>
      </c>
      <c r="N146" s="287"/>
      <c r="O146" s="615">
        <f t="shared" si="754"/>
        <v>0</v>
      </c>
      <c r="P146" s="615">
        <f t="shared" si="755"/>
        <v>0</v>
      </c>
      <c r="Q146" s="615">
        <f t="shared" si="756"/>
        <v>0</v>
      </c>
      <c r="R146" s="615">
        <f t="shared" si="757"/>
        <v>0</v>
      </c>
      <c r="S146" s="615">
        <f t="shared" si="758"/>
        <v>0</v>
      </c>
      <c r="T146" s="48"/>
      <c r="U146" s="519">
        <v>0.15</v>
      </c>
      <c r="V146" s="131"/>
      <c r="W146" s="619">
        <f>$W$144/$U$144*U146</f>
        <v>0.79942500000000005</v>
      </c>
      <c r="X146" s="619">
        <f t="shared" si="700"/>
        <v>0.79942500000000005</v>
      </c>
      <c r="Y146" s="615">
        <f>IFERROR(IF(AL146=100%,W146,0),0)</f>
        <v>0.79942500000000005</v>
      </c>
      <c r="Z146" s="615">
        <f>IFERROR(IF(AND((AL146+AM146)=100%,AL146&lt;1),W146,0),0)</f>
        <v>0</v>
      </c>
      <c r="AA146" s="615">
        <f t="shared" si="778"/>
        <v>0</v>
      </c>
      <c r="AB146" s="615">
        <f t="shared" si="779"/>
        <v>0</v>
      </c>
      <c r="AC146" s="615">
        <f t="shared" si="780"/>
        <v>0</v>
      </c>
      <c r="AD146" s="620">
        <f t="shared" si="781"/>
        <v>0</v>
      </c>
      <c r="AE146" s="287"/>
      <c r="AF146" s="615">
        <f>IFERROR(IF(AND((AL146+AN146)=100%,AL146&lt;1),W146,0),0)</f>
        <v>0</v>
      </c>
      <c r="AG146" s="615">
        <f>IFERROR(IF(AND((AQ146+AY146)=AP146,Y146=0),W146,0),0)</f>
        <v>0</v>
      </c>
      <c r="AH146" s="615">
        <f>IFERROR(IF(AND((AQ146+AY146+AZ146)=AP146,Y146=0,AG146=0),W146,0),0)</f>
        <v>0</v>
      </c>
      <c r="AI146" s="615">
        <f>IFERROR(IF(AND((AQ146+AY146+AZ146+BA146)=AP146,Y146=0,AG146=0,AH146=0),W146,0),0)</f>
        <v>0</v>
      </c>
      <c r="AJ146" s="615">
        <f>IFERROR(IF(AND((AQ146+AY146+AZ146+BA146+BB146)=AP146,Y146=0,AG146=0,AH146=0,AI146=0),W146,0),0)</f>
        <v>0</v>
      </c>
      <c r="AK146" s="339"/>
      <c r="AL146" s="625">
        <f>IFERROR(AQ146/AP146,0)</f>
        <v>1</v>
      </c>
      <c r="AM146" s="625">
        <f>IFERROR(AR146/AP146,0)</f>
        <v>0</v>
      </c>
      <c r="AN146" s="625">
        <f>IFERROR(AX146/AP146,0)</f>
        <v>0</v>
      </c>
      <c r="AO146" s="341"/>
      <c r="AP146" s="615">
        <f>COUNTIF('AR | Drawing List'!$H:$H,"AR-SS0-2")</f>
        <v>13</v>
      </c>
      <c r="AQ146" s="616">
        <f>COUNTIFS('AR | Drawing List'!$H:$H,"AR-SS0-2",'AR | Drawing List'!$J:$J,1)</f>
        <v>13</v>
      </c>
      <c r="AR146" s="616">
        <f t="shared" si="684"/>
        <v>0</v>
      </c>
      <c r="AS146" s="616">
        <f>COUNTIFS('AR | Drawing List'!$H:$H,"AR-SS0-2",'AR | Drawing List'!M:M,1)</f>
        <v>0</v>
      </c>
      <c r="AT146" s="616">
        <f>COUNTIFS('AR | Drawing List'!$H:$H,"AR-SS0-2",'AR | Drawing List'!N:N,1)</f>
        <v>0</v>
      </c>
      <c r="AU146" s="616">
        <f>COUNTIFS('AR | Drawing List'!$H:$H,"AR-SS0-2",'AR | Drawing List'!O:O,1)</f>
        <v>0</v>
      </c>
      <c r="AV146" s="616">
        <f>COUNTIFS('AR | Drawing List'!$H:$H,"AR-SS0-2",'AR | Drawing List'!P:P,1)</f>
        <v>0</v>
      </c>
      <c r="AW146" s="328"/>
      <c r="AX146" s="616">
        <f t="shared" si="715"/>
        <v>0</v>
      </c>
      <c r="AY146" s="616">
        <f>COUNTIFS('AR | Drawing List'!$H:$H,"AR-SS0-2",'AR | Drawing List'!R:R,1)</f>
        <v>0</v>
      </c>
      <c r="AZ146" s="616">
        <f>COUNTIFS('AR | Drawing List'!$H:$H,"AR-SS0-2",'AR | Drawing List'!S:S,1)</f>
        <v>0</v>
      </c>
      <c r="BA146" s="616">
        <f>COUNTIFS('AR | Drawing List'!$H:$H,"AR-SS0-2",'AR | Drawing List'!T:T,1)</f>
        <v>0</v>
      </c>
      <c r="BB146" s="616">
        <f>COUNTIFS('AR | Drawing List'!$H:$H,"AR-SS0-2",'AR | Drawing List'!U:U,1)</f>
        <v>0</v>
      </c>
      <c r="BC146" s="328"/>
      <c r="BD146" s="328"/>
      <c r="BE146" s="666">
        <v>0</v>
      </c>
      <c r="BF146" s="343"/>
      <c r="BG146" s="331"/>
      <c r="BH146" s="618">
        <f t="shared" si="717"/>
        <v>0</v>
      </c>
      <c r="BI146" s="283"/>
      <c r="BJ146" s="283"/>
      <c r="BK146" s="615">
        <f t="shared" si="782"/>
        <v>0</v>
      </c>
      <c r="BL146" s="615">
        <f t="shared" si="783"/>
        <v>0</v>
      </c>
      <c r="BM146" s="615">
        <f t="shared" si="784"/>
        <v>0</v>
      </c>
      <c r="BN146" s="615">
        <f t="shared" si="785"/>
        <v>0</v>
      </c>
      <c r="BO146" s="339"/>
      <c r="BP146" s="615">
        <f t="shared" si="786"/>
        <v>0</v>
      </c>
      <c r="BQ146" s="615">
        <f>IFERROR(IF(AND((CA146+CI146)=BZ146,BI146=0),BG146,0),0)</f>
        <v>0</v>
      </c>
      <c r="BR146" s="615">
        <f>IFERROR(IF(AND((CA146+CI146+CJ146)=BZ146,BI146=0,BQ146=0),BG146,0),0)</f>
        <v>0</v>
      </c>
      <c r="BS146" s="615">
        <f>IFERROR(IF(AND((CA146+CI146+CJ146+CK146)=BZ146,BI146=0,BQ146=0,BR146=0),BG146,0),0)</f>
        <v>0</v>
      </c>
      <c r="BT146" s="615">
        <f>IFERROR(IF(AND((CA146+CI146+CJ146+CK146+CL146)=BZ146,BI146=0,BQ146=0,BR146=0,BS146=0),BG146,0),0)</f>
        <v>0</v>
      </c>
      <c r="BU146" s="339"/>
      <c r="BV146" s="635">
        <f t="shared" si="787"/>
        <v>0</v>
      </c>
      <c r="BW146" s="635">
        <f t="shared" si="788"/>
        <v>0</v>
      </c>
      <c r="BX146" s="635">
        <f t="shared" si="789"/>
        <v>0</v>
      </c>
      <c r="BY146" s="347"/>
      <c r="BZ146" s="532"/>
      <c r="CA146" s="532"/>
      <c r="CB146" s="539"/>
      <c r="CC146" s="536"/>
      <c r="CD146" s="536"/>
      <c r="CE146" s="536"/>
      <c r="CF146" s="536"/>
      <c r="CG146" s="536"/>
      <c r="CH146" s="539"/>
      <c r="CI146" s="536"/>
      <c r="CJ146" s="536"/>
      <c r="CK146" s="536"/>
      <c r="CL146" s="536"/>
      <c r="CM146" s="343"/>
      <c r="CN146" s="343"/>
      <c r="CO146" s="525">
        <v>0.2</v>
      </c>
      <c r="CP146" s="343"/>
      <c r="CQ146" s="616">
        <f>$CQ$144/$CO$144*CO146</f>
        <v>4.7880000000000006E-2</v>
      </c>
      <c r="CR146" s="618">
        <f t="shared" si="733"/>
        <v>4.7880000000000006E-2</v>
      </c>
      <c r="CS146" s="615">
        <f>IFERROR(IF(DF146=100%,CQ146,0),0)</f>
        <v>4.7880000000000006E-2</v>
      </c>
      <c r="CT146" s="615">
        <f t="shared" si="790"/>
        <v>0</v>
      </c>
      <c r="CU146" s="615">
        <f t="shared" si="791"/>
        <v>0</v>
      </c>
      <c r="CV146" s="615">
        <f t="shared" si="792"/>
        <v>0</v>
      </c>
      <c r="CW146" s="615">
        <f t="shared" si="793"/>
        <v>0</v>
      </c>
      <c r="CX146" s="615">
        <f t="shared" si="794"/>
        <v>0</v>
      </c>
      <c r="CY146" s="339"/>
      <c r="CZ146" s="615">
        <f t="shared" si="795"/>
        <v>0</v>
      </c>
      <c r="DA146" s="615">
        <f t="shared" si="796"/>
        <v>0</v>
      </c>
      <c r="DB146" s="615">
        <f t="shared" si="797"/>
        <v>0</v>
      </c>
      <c r="DC146" s="615">
        <f t="shared" si="798"/>
        <v>0</v>
      </c>
      <c r="DD146" s="615">
        <f t="shared" si="799"/>
        <v>0</v>
      </c>
      <c r="DE146" s="339"/>
      <c r="DF146" s="625">
        <f t="shared" si="800"/>
        <v>1</v>
      </c>
      <c r="DG146" s="625">
        <f t="shared" si="801"/>
        <v>0</v>
      </c>
      <c r="DH146" s="625">
        <f t="shared" si="802"/>
        <v>0</v>
      </c>
      <c r="DI146" s="347"/>
      <c r="DJ146" s="615">
        <f>COUNTIF('MEP | Drawing List'!$H:$H,"MEP-SS0-2")</f>
        <v>7</v>
      </c>
      <c r="DK146" s="616">
        <f>COUNTIFS('MEP | Drawing List'!$H:$H,"MEP-SS0-2",'MEP | Drawing List'!$J:$J,1)</f>
        <v>7</v>
      </c>
      <c r="DL146" s="616">
        <f>COUNTIFS('MEP | Drawing List'!$H:$H,"MEP-SS0-2",'MEP | Drawing List'!$L:$L,1)</f>
        <v>0</v>
      </c>
      <c r="DM146" s="615">
        <f>COUNTIFS('MEP | Drawing List'!$H:$H,"MEP-SSO-2",'MEP | Drawing List'!M:M,1)</f>
        <v>0</v>
      </c>
      <c r="DN146" s="615">
        <f>COUNTIFS('MEP | Drawing List'!$H:$H,"MEP-SSO-2",'MEP | Drawing List'!N:N,1)</f>
        <v>0</v>
      </c>
      <c r="DO146" s="615">
        <f>COUNTIFS('MEP | Drawing List'!$H:$H,"MEP-SSO-2",'MEP | Drawing List'!O:O,1)</f>
        <v>0</v>
      </c>
      <c r="DP146" s="615">
        <f>COUNTIFS('MEP | Drawing List'!$H:$H,"MEP-SSO-2",'MEP | Drawing List'!P:P,1)</f>
        <v>0</v>
      </c>
      <c r="DQ146" s="339"/>
      <c r="DR146" s="616">
        <f>COUNTIFS('MEP | Drawing List'!$H:$H,"MEP-SS0-2",'MEP | Drawing List'!$Q:$Q,1)</f>
        <v>0</v>
      </c>
      <c r="DS146" s="615">
        <f>COUNTIFS('MEP | Drawing List'!$H:$H,"MEP-SSO-2",'MEP | Drawing List'!R:R,1)</f>
        <v>0</v>
      </c>
      <c r="DT146" s="615">
        <f>COUNTIFS('MEP | Drawing List'!$H:$H,"MEP-SSO-2",'MEP | Drawing List'!S:S,1)</f>
        <v>0</v>
      </c>
      <c r="DU146" s="615">
        <f>COUNTIFS('MEP | Drawing List'!$H:$H,"MEP-SSO-2",'MEP | Drawing List'!T:T,1)</f>
        <v>0</v>
      </c>
      <c r="DV146" s="615">
        <f>COUNTIFS('MEP | Drawing List'!$H:$H,"MEP-SSO-2",'MEP | Drawing List'!U:U,1)</f>
        <v>0</v>
      </c>
      <c r="DW146" s="343"/>
      <c r="DX146" s="343"/>
      <c r="DY146" s="525">
        <v>0</v>
      </c>
      <c r="DZ146" s="343"/>
      <c r="EA146" s="344">
        <v>0</v>
      </c>
      <c r="EB146" s="618">
        <f t="shared" si="748"/>
        <v>0</v>
      </c>
      <c r="EC146" s="615">
        <f>IFERROR(IF(EP146=100%,EA146,0),0)</f>
        <v>0</v>
      </c>
      <c r="ED146" s="615">
        <f>IFERROR(IF(AND((EP146+EQ146)=100%,EP146&lt;1),EA146,0),0)</f>
        <v>0</v>
      </c>
      <c r="EE146" s="615">
        <f>IFERROR(IF(AND((EU146+EW146)=ET146,EC146=0),EA146,0),0)</f>
        <v>0</v>
      </c>
      <c r="EF146" s="615">
        <f>IFERROR(IF(AND((EU146+EW146+EX146)=ET146,EC146=0,EE146=0),EA146,0),0)</f>
        <v>0</v>
      </c>
      <c r="EG146" s="615">
        <f>IFERROR(IF(AND((EU146+EW146+EX146+EY146)=ET146,EC146=0,EE146=0,EF146=0),EA146,0),0)</f>
        <v>0</v>
      </c>
      <c r="EH146" s="615">
        <f>IFERROR(IF(AND((EU146+EW146+EX146+EY146+EZ146)=ET146,EC146=0,EE146=0,EF146=0,EG146=0),EA146,0),0)</f>
        <v>0</v>
      </c>
      <c r="EI146" s="339"/>
      <c r="EJ146" s="615">
        <f>IFERROR(IF(AND((EU146+EV146)=100%,EU146&lt;1),EG146,0),0)</f>
        <v>0</v>
      </c>
      <c r="EK146" s="615">
        <f>IFERROR(IF(AND((EZ146+FC146)=EY146,EH146=0),EG146,0),0)</f>
        <v>0</v>
      </c>
      <c r="EL146" s="615">
        <f>IFERROR(IF(AND((EZ146+FC146+FD146)=EY146,EH146=0,EK146=0),EG146,0),0)</f>
        <v>0</v>
      </c>
      <c r="EM146" s="615">
        <f>IFERROR(IF(AND((EZ146+FC146+FD146+FE146)=EY146,EH146=0,EK146=0,EL146=0),EG146,0),0)</f>
        <v>0</v>
      </c>
      <c r="EN146" s="615">
        <f>IFERROR(IF(AND((EZ146+FC146+FD146+FE146+FF146)=EY146,EH146=0,EK146=0,EL146=0,EM146=0),EG146,0),0)</f>
        <v>0</v>
      </c>
      <c r="EO146" s="339"/>
      <c r="EP146" s="625">
        <f>IFERROR(EU146/ET146,0)</f>
        <v>0</v>
      </c>
      <c r="EQ146" s="625">
        <f>IFERROR(EV146/ET146,0)</f>
        <v>0</v>
      </c>
      <c r="ER146" s="625">
        <f>IFERROR(#REF!/ET146,0)</f>
        <v>0</v>
      </c>
      <c r="ES146" s="83"/>
      <c r="ET146" s="615">
        <f>COUNTIF('LS | Drawing List'!$H:$H,"LS-SS0-2")</f>
        <v>0</v>
      </c>
      <c r="EU146" s="616">
        <f>COUNTIFS('LS | Drawing List'!$H:$H,"LS-SS0-2",'LS | Drawing List'!$J:$J,1)</f>
        <v>0</v>
      </c>
      <c r="EV146" s="616">
        <f>COUNTIFS('LS | Drawing List'!$H:$H,"LS-SS0-2",'LS | Drawing List'!$L:$L,1)</f>
        <v>0</v>
      </c>
      <c r="EW146" s="615">
        <f>COUNTIFS('LS | Drawing List'!$H:$H,"LS-SS0-2",'LS | Drawing List'!M:M,1)</f>
        <v>0</v>
      </c>
      <c r="EX146" s="615">
        <f>COUNTIFS('LS | Drawing List'!$H:$H,"LS-SS0-2",'LS | Drawing List'!N:N,1)</f>
        <v>0</v>
      </c>
      <c r="EY146" s="615">
        <f>COUNTIFS('LS | Drawing List'!$H:$H,"LS-SS0-2",'LS | Drawing List'!O:O,1)</f>
        <v>0</v>
      </c>
      <c r="EZ146" s="615">
        <f>COUNTIFS('LS | Drawing List'!$H:$H,"LS-SS0-2",'LS | Drawing List'!P:P,1)</f>
        <v>0</v>
      </c>
      <c r="FA146" s="81"/>
      <c r="FB146" s="616">
        <f>COUNTIFS('LS | Drawing List'!$H:$H,"LS-SS0-2",'LS | Drawing List'!$Q:$Q,1)</f>
        <v>0</v>
      </c>
      <c r="FC146" s="615">
        <f>COUNTIFS('LS | Drawing List'!$H:$H,"LS-SS0-2",'LS | Drawing List'!R:R,1)</f>
        <v>0</v>
      </c>
      <c r="FD146" s="615">
        <f>COUNTIFS('LS | Drawing List'!$H:$H,"LS-SS0-2",'LS | Drawing List'!S:S,1)</f>
        <v>0</v>
      </c>
      <c r="FE146" s="615">
        <f>COUNTIFS('LS | Drawing List'!$H:$H,"LS-SS0-2",'LS | Drawing List'!T:T,1)</f>
        <v>0</v>
      </c>
      <c r="FF146" s="615">
        <f>COUNTIFS('LS | Drawing List'!$H:$H,"LS-SS0-2",'LS | Drawing List'!U:U,1)</f>
        <v>0</v>
      </c>
      <c r="FG146" s="48"/>
    </row>
    <row r="147" spans="1:163" s="95" customFormat="1" ht="14.25" hidden="1" outlineLevel="2">
      <c r="A147" s="89"/>
      <c r="B147" s="87" t="s">
        <v>153</v>
      </c>
      <c r="C147" s="277">
        <v>3</v>
      </c>
      <c r="D147" s="273" t="s">
        <v>154</v>
      </c>
      <c r="E147" s="89"/>
      <c r="F147" s="619">
        <f t="shared" si="775"/>
        <v>0.85927500000000001</v>
      </c>
      <c r="G147" s="619">
        <f t="shared" si="776"/>
        <v>0.79942500000000005</v>
      </c>
      <c r="H147" s="615">
        <f t="shared" si="777"/>
        <v>5.9849999999999959E-2</v>
      </c>
      <c r="I147" s="615">
        <f t="shared" si="749"/>
        <v>0.85927500000000001</v>
      </c>
      <c r="J147" s="615">
        <f t="shared" si="750"/>
        <v>0.85927500000000001</v>
      </c>
      <c r="K147" s="615">
        <f t="shared" si="751"/>
        <v>0</v>
      </c>
      <c r="L147" s="615">
        <f t="shared" si="752"/>
        <v>0</v>
      </c>
      <c r="M147" s="620">
        <f t="shared" si="753"/>
        <v>0</v>
      </c>
      <c r="N147" s="287"/>
      <c r="O147" s="615">
        <f t="shared" si="754"/>
        <v>0.79942500000000005</v>
      </c>
      <c r="P147" s="615">
        <f t="shared" si="755"/>
        <v>0.79942500000000005</v>
      </c>
      <c r="Q147" s="615">
        <f t="shared" si="756"/>
        <v>0</v>
      </c>
      <c r="R147" s="615">
        <f t="shared" si="757"/>
        <v>0</v>
      </c>
      <c r="S147" s="615">
        <f t="shared" si="758"/>
        <v>0</v>
      </c>
      <c r="T147" s="89"/>
      <c r="U147" s="552">
        <v>0.15</v>
      </c>
      <c r="V147" s="133"/>
      <c r="W147" s="628">
        <f>$W$144/$U$144*U147</f>
        <v>0.79942500000000005</v>
      </c>
      <c r="X147" s="628">
        <f t="shared" si="700"/>
        <v>0.79942500000000005</v>
      </c>
      <c r="Y147" s="620">
        <f>IFERROR(IF(AL147=100%,W147,0),0)</f>
        <v>0</v>
      </c>
      <c r="Z147" s="620">
        <f>IFERROR(IF(AND((AL147+AM147)=100%,AL147&lt;1),W147,0),0)</f>
        <v>0.79942500000000005</v>
      </c>
      <c r="AA147" s="620">
        <f t="shared" si="778"/>
        <v>0.79942500000000005</v>
      </c>
      <c r="AB147" s="620">
        <f t="shared" si="779"/>
        <v>0</v>
      </c>
      <c r="AC147" s="620">
        <f t="shared" si="780"/>
        <v>0</v>
      </c>
      <c r="AD147" s="620">
        <f t="shared" si="781"/>
        <v>0</v>
      </c>
      <c r="AE147" s="287"/>
      <c r="AF147" s="615">
        <f>IFERROR(IF(AND((AL147+AN147)=100%,AL147&lt;1),W147,0),0)</f>
        <v>0.79942500000000005</v>
      </c>
      <c r="AG147" s="615">
        <f>IFERROR(IF(AND((AQ147+AY147)=AP147,Y147=0),W147,0),0)</f>
        <v>0.79942500000000005</v>
      </c>
      <c r="AH147" s="615">
        <f>IFERROR(IF(AND((AQ147+AY147+AZ147)=AP147,Y147=0,AG147=0),W147,0),0)</f>
        <v>0</v>
      </c>
      <c r="AI147" s="615">
        <f>IFERROR(IF(AND((AQ147+AY147+AZ147+BA147)=AP147,Y147=0,AG147=0,AH147=0),W147,0),0)</f>
        <v>0</v>
      </c>
      <c r="AJ147" s="615">
        <f>IFERROR(IF(AND((AQ147+AY147+AZ147+BA147+BB147)=AP147,Y147=0,AG147=0,AH147=0,AI147=0),W147,0),0)</f>
        <v>0</v>
      </c>
      <c r="AK147" s="339"/>
      <c r="AL147" s="627">
        <f>IFERROR(AQ147/AP147,0)</f>
        <v>0.5</v>
      </c>
      <c r="AM147" s="627">
        <f>IFERROR(AR147/AP147,0)</f>
        <v>0.5</v>
      </c>
      <c r="AN147" s="625">
        <f>IFERROR(AX147/AP147,0)</f>
        <v>0.5</v>
      </c>
      <c r="AO147" s="364"/>
      <c r="AP147" s="620">
        <f>COUNTIF('AR | Drawing List'!$H:$H,"AR-SS0-3")</f>
        <v>2</v>
      </c>
      <c r="AQ147" s="621">
        <f>COUNTIFS('AR | Drawing List'!$H:$H,"AR-SS0-3",'AR | Drawing List'!$J:$J,1)</f>
        <v>1</v>
      </c>
      <c r="AR147" s="621">
        <f t="shared" si="684"/>
        <v>1</v>
      </c>
      <c r="AS147" s="621">
        <f>COUNTIFS('AR | Drawing List'!$H:$H,"AR-SS0-3",'AR | Drawing List'!M:M,1)</f>
        <v>1</v>
      </c>
      <c r="AT147" s="621">
        <f>COUNTIFS('AR | Drawing List'!$H:$H,"AR-SS0-3",'AR | Drawing List'!N:N,1)</f>
        <v>0</v>
      </c>
      <c r="AU147" s="621">
        <f>COUNTIFS('AR | Drawing List'!$H:$H,"AR-SS0-3",'AR | Drawing List'!O:O,1)</f>
        <v>0</v>
      </c>
      <c r="AV147" s="621">
        <f>COUNTIFS('AR | Drawing List'!$H:$H,"AR-SS0-3",'AR | Drawing List'!P:P,1)</f>
        <v>0</v>
      </c>
      <c r="AW147" s="366"/>
      <c r="AX147" s="621">
        <f t="shared" si="715"/>
        <v>1</v>
      </c>
      <c r="AY147" s="621">
        <f>COUNTIFS('AR | Drawing List'!$H:$H,"AR-SS0-3",'AR | Drawing List'!R:R,1)</f>
        <v>1</v>
      </c>
      <c r="AZ147" s="621">
        <f>COUNTIFS('AR | Drawing List'!$H:$H,"AR-SS0-3",'AR | Drawing List'!S:S,1)</f>
        <v>0</v>
      </c>
      <c r="BA147" s="621">
        <f>COUNTIFS('AR | Drawing List'!$H:$H,"AR-SS0-3",'AR | Drawing List'!T:T,1)</f>
        <v>0</v>
      </c>
      <c r="BB147" s="621">
        <f>COUNTIFS('AR | Drawing List'!$H:$H,"AR-SS0-3",'AR | Drawing List'!U:U,1)</f>
        <v>0</v>
      </c>
      <c r="BC147" s="366"/>
      <c r="BD147" s="366"/>
      <c r="BE147" s="666">
        <v>0</v>
      </c>
      <c r="BF147" s="368"/>
      <c r="BG147" s="369"/>
      <c r="BH147" s="622">
        <f t="shared" si="717"/>
        <v>0</v>
      </c>
      <c r="BI147" s="287"/>
      <c r="BJ147" s="287"/>
      <c r="BK147" s="615">
        <f t="shared" si="782"/>
        <v>0</v>
      </c>
      <c r="BL147" s="615">
        <f t="shared" si="783"/>
        <v>0</v>
      </c>
      <c r="BM147" s="615">
        <f t="shared" si="784"/>
        <v>0</v>
      </c>
      <c r="BN147" s="615">
        <f t="shared" si="785"/>
        <v>0</v>
      </c>
      <c r="BO147" s="339"/>
      <c r="BP147" s="615">
        <f t="shared" si="786"/>
        <v>0</v>
      </c>
      <c r="BQ147" s="615">
        <f>IFERROR(IF(AND((CA147+CI147)=BZ147,BI147=0),BG147,0),0)</f>
        <v>0</v>
      </c>
      <c r="BR147" s="615">
        <f>IFERROR(IF(AND((CA147+CI147+CJ147)=BZ147,BI147=0,BQ147=0),BG147,0),0)</f>
        <v>0</v>
      </c>
      <c r="BS147" s="615">
        <f>IFERROR(IF(AND((CA147+CI147+CJ147+CK147)=BZ147,BI147=0,BQ147=0,BR147=0),BG147,0),0)</f>
        <v>0</v>
      </c>
      <c r="BT147" s="615">
        <f>IFERROR(IF(AND((CA147+CI147+CJ147+CK147+CL147)=BZ147,BI147=0,BQ147=0,BR147=0,BS147=0),BG147,0),0)</f>
        <v>0</v>
      </c>
      <c r="BU147" s="339"/>
      <c r="BV147" s="635">
        <f t="shared" si="787"/>
        <v>0</v>
      </c>
      <c r="BW147" s="635">
        <f t="shared" si="788"/>
        <v>0</v>
      </c>
      <c r="BX147" s="635">
        <f t="shared" si="789"/>
        <v>0</v>
      </c>
      <c r="BY147" s="364"/>
      <c r="BZ147" s="543"/>
      <c r="CA147" s="541"/>
      <c r="CB147" s="544"/>
      <c r="CC147" s="545"/>
      <c r="CD147" s="545"/>
      <c r="CE147" s="545"/>
      <c r="CF147" s="545"/>
      <c r="CG147" s="545"/>
      <c r="CH147" s="544"/>
      <c r="CI147" s="545"/>
      <c r="CJ147" s="545"/>
      <c r="CK147" s="545"/>
      <c r="CL147" s="545"/>
      <c r="CM147" s="368"/>
      <c r="CN147" s="368"/>
      <c r="CO147" s="554">
        <v>0.25</v>
      </c>
      <c r="CP147" s="368"/>
      <c r="CQ147" s="621">
        <f>$CQ$144/$CO$144*CO147</f>
        <v>5.9850000000000007E-2</v>
      </c>
      <c r="CR147" s="622">
        <f t="shared" si="733"/>
        <v>0</v>
      </c>
      <c r="CS147" s="620">
        <f>IFERROR(IF(DF147=100%,CQ147,0),0)</f>
        <v>0</v>
      </c>
      <c r="CT147" s="615">
        <f t="shared" si="790"/>
        <v>5.9850000000000007E-2</v>
      </c>
      <c r="CU147" s="615">
        <f t="shared" si="791"/>
        <v>5.9850000000000007E-2</v>
      </c>
      <c r="CV147" s="615">
        <f t="shared" si="792"/>
        <v>0</v>
      </c>
      <c r="CW147" s="615">
        <f t="shared" si="793"/>
        <v>0</v>
      </c>
      <c r="CX147" s="615">
        <f t="shared" si="794"/>
        <v>0</v>
      </c>
      <c r="CY147" s="339"/>
      <c r="CZ147" s="615">
        <f t="shared" si="795"/>
        <v>0</v>
      </c>
      <c r="DA147" s="615">
        <f t="shared" si="796"/>
        <v>0</v>
      </c>
      <c r="DB147" s="615">
        <f t="shared" si="797"/>
        <v>0</v>
      </c>
      <c r="DC147" s="615">
        <f t="shared" si="798"/>
        <v>0</v>
      </c>
      <c r="DD147" s="615">
        <f t="shared" si="799"/>
        <v>0</v>
      </c>
      <c r="DE147" s="339"/>
      <c r="DF147" s="625">
        <f t="shared" si="800"/>
        <v>0.78260869565217395</v>
      </c>
      <c r="DG147" s="625">
        <f t="shared" si="801"/>
        <v>0.21739130434782608</v>
      </c>
      <c r="DH147" s="625">
        <f t="shared" si="802"/>
        <v>0</v>
      </c>
      <c r="DI147" s="364"/>
      <c r="DJ147" s="620">
        <f>COUNTIF('MEP | Drawing List'!$H:$H,"MEP-SS0-3")</f>
        <v>46</v>
      </c>
      <c r="DK147" s="621">
        <f>COUNTIFS('MEP | Drawing List'!$H:$H,"MEP-SS0-3",'MEP | Drawing List'!$J:$J,1)</f>
        <v>36</v>
      </c>
      <c r="DL147" s="621">
        <f>COUNTIFS('MEP | Drawing List'!$H:$H,"MEP-SS0-3",'MEP | Drawing List'!$L:$L,1)</f>
        <v>10</v>
      </c>
      <c r="DM147" s="620">
        <f>COUNTIFS('MEP | Drawing List'!$H:$H,"MEP-SS0-3",'MEP | Drawing List'!M:M,1)</f>
        <v>10</v>
      </c>
      <c r="DN147" s="620">
        <f>COUNTIFS('MEP | Drawing List'!$H:$H,"MEP-SS0-3",'MEP | Drawing List'!N:N,1)</f>
        <v>0</v>
      </c>
      <c r="DO147" s="620">
        <f>COUNTIFS('MEP | Drawing List'!$H:$H,"MEP-SS0-3",'MEP | Drawing List'!O:O,1)</f>
        <v>0</v>
      </c>
      <c r="DP147" s="620">
        <f>COUNTIFS('MEP | Drawing List'!$H:$H,"MEP-SS0-3",'MEP | Drawing List'!P:P,1)</f>
        <v>0</v>
      </c>
      <c r="DQ147" s="287"/>
      <c r="DR147" s="621">
        <f>COUNTIFS('MEP | Drawing List'!$H:$H,"MEP-SS0-3",'MEP | Drawing List'!$Q:$Q,1)</f>
        <v>0</v>
      </c>
      <c r="DS147" s="620">
        <f>COUNTIFS('MEP | Drawing List'!$H:$H,"MEP-SS0-3",'MEP | Drawing List'!R:R,1)</f>
        <v>0</v>
      </c>
      <c r="DT147" s="620">
        <f>COUNTIFS('MEP | Drawing List'!$H:$H,"MEP-SS0-3",'MEP | Drawing List'!S:S,1)</f>
        <v>0</v>
      </c>
      <c r="DU147" s="620">
        <f>COUNTIFS('MEP | Drawing List'!$H:$H,"MEP-SS0-3",'MEP | Drawing List'!T:T,1)</f>
        <v>0</v>
      </c>
      <c r="DV147" s="620">
        <f>COUNTIFS('MEP | Drawing List'!$H:$H,"MEP-SS0-3",'MEP | Drawing List'!U:U,1)</f>
        <v>0</v>
      </c>
      <c r="DW147" s="368"/>
      <c r="DX147" s="368"/>
      <c r="DY147" s="554">
        <v>0</v>
      </c>
      <c r="DZ147" s="368"/>
      <c r="EA147" s="344">
        <v>0</v>
      </c>
      <c r="EB147" s="622">
        <f t="shared" si="748"/>
        <v>0</v>
      </c>
      <c r="EC147" s="620">
        <f>IFERROR(IF(EP147=100%,EA147,0),0)</f>
        <v>0</v>
      </c>
      <c r="ED147" s="620">
        <f>IFERROR(IF(AND((EP147+EQ147)=100%,EP147&lt;1),EA147,0),0)</f>
        <v>0</v>
      </c>
      <c r="EE147" s="615">
        <f>IFERROR(IF(AND((EU147+EW147)=ET147,EC147=0),EA147,0),0)</f>
        <v>0</v>
      </c>
      <c r="EF147" s="615">
        <f>IFERROR(IF(AND((EU147+EW147+EX147)=ET147,EC147=0,EE147=0),EA147,0),0)</f>
        <v>0</v>
      </c>
      <c r="EG147" s="615">
        <f>IFERROR(IF(AND((EU147+EW147+EX147+EY147)=ET147,EC147=0,EE147=0,EF147=0),EA147,0),0)</f>
        <v>0</v>
      </c>
      <c r="EH147" s="615">
        <f>IFERROR(IF(AND((EU147+EW147+EX147+EY147+EZ147)=ET147,EC147=0,EE147=0,EF147=0,EG147=0),EA147,0),0)</f>
        <v>0</v>
      </c>
      <c r="EI147" s="339"/>
      <c r="EJ147" s="620">
        <f>IFERROR(IF(AND((EU147+EV147)=100%,EU147&lt;1),EG147,0),0)</f>
        <v>0</v>
      </c>
      <c r="EK147" s="615">
        <f>IFERROR(IF(AND((EZ147+FC147)=EY147,EH147=0),EG147,0),0)</f>
        <v>0</v>
      </c>
      <c r="EL147" s="615">
        <f>IFERROR(IF(AND((EZ147+FC147+FD147)=EY147,EH147=0,EK147=0),EG147,0),0)</f>
        <v>0</v>
      </c>
      <c r="EM147" s="615">
        <f>IFERROR(IF(AND((EZ147+FC147+FD147+FE147)=EY147,EH147=0,EK147=0,EL147=0),EG147,0),0)</f>
        <v>0</v>
      </c>
      <c r="EN147" s="615">
        <f>IFERROR(IF(AND((EZ147+FC147+FD147+FE147+FF147)=EY147,EH147=0,EK147=0,EL147=0,EM147=0),EG147,0),0)</f>
        <v>0</v>
      </c>
      <c r="EO147" s="339"/>
      <c r="EP147" s="627">
        <f>IFERROR(EU147/ET147,0)</f>
        <v>0</v>
      </c>
      <c r="EQ147" s="627">
        <f>IFERROR(EV147/ET147,0)</f>
        <v>0</v>
      </c>
      <c r="ER147" s="627">
        <f>IFERROR(#REF!/ET147,0)</f>
        <v>0</v>
      </c>
      <c r="ES147" s="92"/>
      <c r="ET147" s="620">
        <f>COUNTIF('LS | Drawing List'!$H:$H,"LS-SS0-3")</f>
        <v>0</v>
      </c>
      <c r="EU147" s="621">
        <f>COUNTIFS('LS | Drawing List'!$H:$H,"LS-SS0-3",'LS | Drawing List'!$J:$J,1)</f>
        <v>0</v>
      </c>
      <c r="EV147" s="621">
        <f>COUNTIFS('LS | Drawing List'!$H:$H,"LS-SS0-3",'LS | Drawing List'!$L:$L,1)</f>
        <v>0</v>
      </c>
      <c r="EW147" s="620">
        <f>COUNTIFS('LS | Drawing List'!$H:$H,"LS-SS0-3",'LS | Drawing List'!M:M,1)</f>
        <v>0</v>
      </c>
      <c r="EX147" s="620">
        <f>COUNTIFS('LS | Drawing List'!$H:$H,"LS-SS0-3",'LS | Drawing List'!N:N,1)</f>
        <v>0</v>
      </c>
      <c r="EY147" s="620">
        <f>COUNTIFS('LS | Drawing List'!$H:$H,"LS-SS0-3",'LS | Drawing List'!O:O,1)</f>
        <v>0</v>
      </c>
      <c r="EZ147" s="620">
        <f>COUNTIFS('LS | Drawing List'!$H:$H,"LS-SS0-3",'LS | Drawing List'!P:P,1)</f>
        <v>0</v>
      </c>
      <c r="FA147" s="91"/>
      <c r="FB147" s="621">
        <f>COUNTIFS('LS | Drawing List'!$H:$H,"LS-SS0-3",'LS | Drawing List'!$Q:$Q,1)</f>
        <v>0</v>
      </c>
      <c r="FC147" s="620">
        <f>COUNTIFS('LS | Drawing List'!$H:$H,"LS-SS0-3",'LS | Drawing List'!R:R,1)</f>
        <v>0</v>
      </c>
      <c r="FD147" s="620">
        <f>COUNTIFS('LS | Drawing List'!$H:$H,"LS-SS0-3",'LS | Drawing List'!S:S,1)</f>
        <v>0</v>
      </c>
      <c r="FE147" s="620">
        <f>COUNTIFS('LS | Drawing List'!$H:$H,"LS-SS0-3",'LS | Drawing List'!T:T,1)</f>
        <v>0</v>
      </c>
      <c r="FF147" s="620">
        <f>COUNTIFS('LS | Drawing List'!$H:$H,"LS-SS0-3",'LS | Drawing List'!U:U,1)</f>
        <v>0</v>
      </c>
      <c r="FG147" s="89"/>
    </row>
    <row r="148" spans="1:163" ht="14.25" hidden="1" outlineLevel="2">
      <c r="A148" s="48"/>
      <c r="B148" s="87" t="s">
        <v>155</v>
      </c>
      <c r="C148" s="276">
        <v>4</v>
      </c>
      <c r="D148" s="272" t="s">
        <v>156</v>
      </c>
      <c r="E148" s="48"/>
      <c r="F148" s="619">
        <f t="shared" si="775"/>
        <v>1.11378</v>
      </c>
      <c r="G148" s="619">
        <f t="shared" si="776"/>
        <v>4.7880000000000006E-2</v>
      </c>
      <c r="H148" s="615">
        <f t="shared" si="777"/>
        <v>1.0659000000000001</v>
      </c>
      <c r="I148" s="615">
        <f t="shared" si="749"/>
        <v>1.0659000000000001</v>
      </c>
      <c r="J148" s="615">
        <f t="shared" si="750"/>
        <v>1.0659000000000001</v>
      </c>
      <c r="K148" s="615">
        <f t="shared" si="751"/>
        <v>0</v>
      </c>
      <c r="L148" s="615">
        <f t="shared" si="752"/>
        <v>0</v>
      </c>
      <c r="M148" s="620">
        <f t="shared" si="753"/>
        <v>0</v>
      </c>
      <c r="N148" s="287"/>
      <c r="O148" s="615">
        <f t="shared" si="754"/>
        <v>0</v>
      </c>
      <c r="P148" s="615">
        <f t="shared" si="755"/>
        <v>0</v>
      </c>
      <c r="Q148" s="615">
        <f t="shared" si="756"/>
        <v>0</v>
      </c>
      <c r="R148" s="615">
        <f t="shared" si="757"/>
        <v>0</v>
      </c>
      <c r="S148" s="615">
        <f t="shared" si="758"/>
        <v>0</v>
      </c>
      <c r="T148" s="48"/>
      <c r="U148" s="519">
        <v>0.2</v>
      </c>
      <c r="V148" s="131"/>
      <c r="W148" s="619">
        <f>$W$144/$U$144*U148</f>
        <v>1.0659000000000001</v>
      </c>
      <c r="X148" s="619">
        <f t="shared" si="700"/>
        <v>0</v>
      </c>
      <c r="Y148" s="615">
        <f>IFERROR(IF(AL148=100%,W148,0),0)</f>
        <v>0</v>
      </c>
      <c r="Z148" s="615">
        <f>IFERROR(IF(AND((AL148+AM148)=100%,AL148&lt;1),W148,0),0)</f>
        <v>1.0659000000000001</v>
      </c>
      <c r="AA148" s="615">
        <f t="shared" si="778"/>
        <v>1.0659000000000001</v>
      </c>
      <c r="AB148" s="615">
        <f t="shared" si="779"/>
        <v>0</v>
      </c>
      <c r="AC148" s="615">
        <f t="shared" si="780"/>
        <v>0</v>
      </c>
      <c r="AD148" s="620">
        <f t="shared" si="781"/>
        <v>0</v>
      </c>
      <c r="AE148" s="287"/>
      <c r="AF148" s="615">
        <f>IFERROR(IF(AND((AL148+AN148)=100%,AL148&lt;1),W148,0),0)</f>
        <v>0</v>
      </c>
      <c r="AG148" s="615">
        <f>IFERROR(IF(AND((AQ148+AY148)=AP148,Y148=0),W148,0),0)</f>
        <v>0</v>
      </c>
      <c r="AH148" s="615">
        <f>IFERROR(IF(AND((AQ148+AY148+AZ148)=AP148,Y148=0,AG148=0),W148,0),0)</f>
        <v>0</v>
      </c>
      <c r="AI148" s="615">
        <f>IFERROR(IF(AND((AQ148+AY148+AZ148+BA148)=AP148,Y148=0,AG148=0,AH148=0),W148,0),0)</f>
        <v>0</v>
      </c>
      <c r="AJ148" s="615">
        <f>IFERROR(IF(AND((AQ148+AY148+AZ148+BA148+BB148)=AP148,Y148=0,AG148=0,AH148=0,AI148=0),W148,0),0)</f>
        <v>0</v>
      </c>
      <c r="AK148" s="339"/>
      <c r="AL148" s="625">
        <f>IFERROR(AQ148/AP148,0)</f>
        <v>0.58333333333333337</v>
      </c>
      <c r="AM148" s="625">
        <f>IFERROR(AR148/AP148,0)</f>
        <v>0.41666666666666669</v>
      </c>
      <c r="AN148" s="625">
        <f>IFERROR(AX148/AP148,0)</f>
        <v>0</v>
      </c>
      <c r="AO148" s="341"/>
      <c r="AP148" s="615">
        <f>COUNTIF('AR | Drawing List'!$H:$H,"AR-SS0-4")</f>
        <v>12</v>
      </c>
      <c r="AQ148" s="616">
        <f>COUNTIFS('AR | Drawing List'!$H:$H,"AR-SS0-4",'AR | Drawing List'!$J:$J,1)</f>
        <v>7</v>
      </c>
      <c r="AR148" s="616">
        <f t="shared" si="684"/>
        <v>5</v>
      </c>
      <c r="AS148" s="616">
        <f>COUNTIFS('AR | Drawing List'!$H:$H,"AR-SS0-4",'AR | Drawing List'!M:M,1)</f>
        <v>5</v>
      </c>
      <c r="AT148" s="616">
        <f>COUNTIFS('AR | Drawing List'!$H:$H,"AR-SS0-4",'AR | Drawing List'!N:N,1)</f>
        <v>0</v>
      </c>
      <c r="AU148" s="616">
        <f>COUNTIFS('AR | Drawing List'!$H:$H,"AR-SS0-4",'AR | Drawing List'!O:O,1)</f>
        <v>0</v>
      </c>
      <c r="AV148" s="616">
        <f>COUNTIFS('AR | Drawing List'!$H:$H,"AR-SS0-4",'AR | Drawing List'!P:P,1)</f>
        <v>0</v>
      </c>
      <c r="AW148" s="328"/>
      <c r="AX148" s="616">
        <f t="shared" si="715"/>
        <v>0</v>
      </c>
      <c r="AY148" s="616">
        <f>COUNTIFS('AR | Drawing List'!$H:$H,"AR-SS0-4",'AR | Drawing List'!R:R,1)</f>
        <v>0</v>
      </c>
      <c r="AZ148" s="616">
        <f>COUNTIFS('AR | Drawing List'!$H:$H,"AR-SS0-4",'AR | Drawing List'!S:S,1)</f>
        <v>0</v>
      </c>
      <c r="BA148" s="616">
        <f>COUNTIFS('AR | Drawing List'!$H:$H,"AR-SS0-4",'AR | Drawing List'!T:T,1)</f>
        <v>0</v>
      </c>
      <c r="BB148" s="616">
        <f>COUNTIFS('AR | Drawing List'!$H:$H,"AR-SS0-4",'AR | Drawing List'!U:U,1)</f>
        <v>0</v>
      </c>
      <c r="BC148" s="328"/>
      <c r="BD148" s="328"/>
      <c r="BE148" s="666">
        <v>0</v>
      </c>
      <c r="BF148" s="343"/>
      <c r="BG148" s="344"/>
      <c r="BH148" s="618">
        <f t="shared" si="717"/>
        <v>0</v>
      </c>
      <c r="BI148" s="339"/>
      <c r="BJ148" s="339"/>
      <c r="BK148" s="615">
        <f t="shared" si="782"/>
        <v>0</v>
      </c>
      <c r="BL148" s="615">
        <f t="shared" si="783"/>
        <v>0</v>
      </c>
      <c r="BM148" s="615">
        <f t="shared" si="784"/>
        <v>0</v>
      </c>
      <c r="BN148" s="615">
        <f t="shared" si="785"/>
        <v>0</v>
      </c>
      <c r="BO148" s="339"/>
      <c r="BP148" s="615">
        <f t="shared" si="786"/>
        <v>0</v>
      </c>
      <c r="BQ148" s="615">
        <f>IFERROR(IF(AND((CA148+CI148)=BZ148,BI148=0),BG148,0),0)</f>
        <v>0</v>
      </c>
      <c r="BR148" s="615">
        <f>IFERROR(IF(AND((CA148+CI148+CJ148)=BZ148,BI148=0,BQ148=0),BG148,0),0)</f>
        <v>0</v>
      </c>
      <c r="BS148" s="615">
        <f>IFERROR(IF(AND((CA148+CI148+CJ148+CK148)=BZ148,BI148=0,BQ148=0,BR148=0),BG148,0),0)</f>
        <v>0</v>
      </c>
      <c r="BT148" s="615">
        <f>IFERROR(IF(AND((CA148+CI148+CJ148+CK148+CL148)=BZ148,BI148=0,BQ148=0,BR148=0,BS148=0),BG148,0),0)</f>
        <v>0</v>
      </c>
      <c r="BU148" s="339"/>
      <c r="BV148" s="635">
        <f t="shared" si="787"/>
        <v>0</v>
      </c>
      <c r="BW148" s="635">
        <f t="shared" si="788"/>
        <v>0</v>
      </c>
      <c r="BX148" s="635">
        <f t="shared" si="789"/>
        <v>0</v>
      </c>
      <c r="BY148" s="341"/>
      <c r="BZ148" s="540"/>
      <c r="CA148" s="532"/>
      <c r="CB148" s="539"/>
      <c r="CC148" s="536"/>
      <c r="CD148" s="536"/>
      <c r="CE148" s="536"/>
      <c r="CF148" s="536"/>
      <c r="CG148" s="536"/>
      <c r="CH148" s="539"/>
      <c r="CI148" s="536"/>
      <c r="CJ148" s="536"/>
      <c r="CK148" s="536"/>
      <c r="CL148" s="536"/>
      <c r="CM148" s="343"/>
      <c r="CN148" s="343"/>
      <c r="CO148" s="525">
        <v>0.2</v>
      </c>
      <c r="CP148" s="343"/>
      <c r="CQ148" s="616">
        <f>$CQ$144/$CO$144*CO148</f>
        <v>4.7880000000000006E-2</v>
      </c>
      <c r="CR148" s="618">
        <f t="shared" si="733"/>
        <v>4.7880000000000006E-2</v>
      </c>
      <c r="CS148" s="615">
        <f>IFERROR(IF(DF148=100%,CQ148,0),0)</f>
        <v>4.7880000000000006E-2</v>
      </c>
      <c r="CT148" s="615">
        <f t="shared" si="790"/>
        <v>0</v>
      </c>
      <c r="CU148" s="615">
        <f t="shared" si="791"/>
        <v>0</v>
      </c>
      <c r="CV148" s="615">
        <f t="shared" si="792"/>
        <v>0</v>
      </c>
      <c r="CW148" s="615">
        <f t="shared" si="793"/>
        <v>0</v>
      </c>
      <c r="CX148" s="615">
        <f t="shared" si="794"/>
        <v>0</v>
      </c>
      <c r="CY148" s="339"/>
      <c r="CZ148" s="615">
        <f t="shared" si="795"/>
        <v>0</v>
      </c>
      <c r="DA148" s="615">
        <f t="shared" si="796"/>
        <v>0</v>
      </c>
      <c r="DB148" s="615">
        <f t="shared" si="797"/>
        <v>0</v>
      </c>
      <c r="DC148" s="615">
        <f t="shared" si="798"/>
        <v>0</v>
      </c>
      <c r="DD148" s="615">
        <f t="shared" si="799"/>
        <v>0</v>
      </c>
      <c r="DE148" s="339"/>
      <c r="DF148" s="625">
        <f t="shared" si="800"/>
        <v>1</v>
      </c>
      <c r="DG148" s="625">
        <f t="shared" si="801"/>
        <v>0</v>
      </c>
      <c r="DH148" s="625">
        <f t="shared" si="802"/>
        <v>0</v>
      </c>
      <c r="DI148" s="341"/>
      <c r="DJ148" s="615">
        <f>COUNTIF('MEP | Drawing List'!$H:$H,"MEP-SS0-4")</f>
        <v>3</v>
      </c>
      <c r="DK148" s="616">
        <f>COUNTIFS('MEP | Drawing List'!$H:$H,"MEP-SS0-4",'MEP | Drawing List'!$J:$J,1)</f>
        <v>3</v>
      </c>
      <c r="DL148" s="616">
        <f>COUNTIFS('MEP | Drawing List'!$H:$H,"MEP-SS0-4",'MEP | Drawing List'!$L:$L,1)</f>
        <v>0</v>
      </c>
      <c r="DM148" s="615">
        <f>COUNTIFS('MEP | Drawing List'!$H:$H,"MEP-SSO-4",'MEP | Drawing List'!M:M,1)</f>
        <v>0</v>
      </c>
      <c r="DN148" s="615">
        <f>COUNTIFS('MEP | Drawing List'!$H:$H,"MEP-SSO-4",'MEP | Drawing List'!N:N,1)</f>
        <v>0</v>
      </c>
      <c r="DO148" s="615">
        <f>COUNTIFS('MEP | Drawing List'!$H:$H,"MEP-SSO-4",'MEP | Drawing List'!O:O,1)</f>
        <v>0</v>
      </c>
      <c r="DP148" s="615">
        <f>COUNTIFS('MEP | Drawing List'!$H:$H,"MEP-SSO-4",'MEP | Drawing List'!P:P,1)</f>
        <v>0</v>
      </c>
      <c r="DQ148" s="339"/>
      <c r="DR148" s="616">
        <f>COUNTIFS('MEP | Drawing List'!$H:$H,"MEP-SS0-4",'MEP | Drawing List'!$Q:$Q,1)</f>
        <v>0</v>
      </c>
      <c r="DS148" s="615">
        <f>COUNTIFS('MEP | Drawing List'!$H:$H,"MEP-SSO-4",'MEP | Drawing List'!R:R,1)</f>
        <v>0</v>
      </c>
      <c r="DT148" s="615">
        <f>COUNTIFS('MEP | Drawing List'!$H:$H,"MEP-SSO-4",'MEP | Drawing List'!S:S,1)</f>
        <v>0</v>
      </c>
      <c r="DU148" s="615">
        <f>COUNTIFS('MEP | Drawing List'!$H:$H,"MEP-SSO-4",'MEP | Drawing List'!T:T,1)</f>
        <v>0</v>
      </c>
      <c r="DV148" s="615">
        <f>COUNTIFS('MEP | Drawing List'!$H:$H,"MEP-SSO-4",'MEP | Drawing List'!U:U,1)</f>
        <v>0</v>
      </c>
      <c r="DW148" s="343"/>
      <c r="DX148" s="343"/>
      <c r="DY148" s="525">
        <v>0</v>
      </c>
      <c r="DZ148" s="343"/>
      <c r="EA148" s="344">
        <v>0</v>
      </c>
      <c r="EB148" s="618">
        <f t="shared" si="748"/>
        <v>0</v>
      </c>
      <c r="EC148" s="615">
        <f>IFERROR(IF(EP148=100%,EA148,0),0)</f>
        <v>0</v>
      </c>
      <c r="ED148" s="615">
        <f>IFERROR(IF(AND((EP148+EQ148)=100%,EP148&lt;1),EA148,0),0)</f>
        <v>0</v>
      </c>
      <c r="EE148" s="615">
        <f>IFERROR(IF(AND((EU148+EW148)=ET148,EC148=0),EA148,0),0)</f>
        <v>0</v>
      </c>
      <c r="EF148" s="615">
        <f>IFERROR(IF(AND((EU148+EW148+EX148)=ET148,EC148=0,EE148=0),EA148,0),0)</f>
        <v>0</v>
      </c>
      <c r="EG148" s="615">
        <f>IFERROR(IF(AND((EU148+EW148+EX148+EY148)=ET148,EC148=0,EE148=0,EF148=0),EA148,0),0)</f>
        <v>0</v>
      </c>
      <c r="EH148" s="615">
        <f>IFERROR(IF(AND((EU148+EW148+EX148+EY148+EZ148)=ET148,EC148=0,EE148=0,EF148=0,EG148=0),EA148,0),0)</f>
        <v>0</v>
      </c>
      <c r="EI148" s="339"/>
      <c r="EJ148" s="615">
        <f>IFERROR(IF(AND((EU148+EV148)=100%,EU148&lt;1),EG148,0),0)</f>
        <v>0</v>
      </c>
      <c r="EK148" s="615">
        <f>IFERROR(IF(AND((EZ148+FC148)=EY148,EH148=0),EG148,0),0)</f>
        <v>0</v>
      </c>
      <c r="EL148" s="615">
        <f>IFERROR(IF(AND((EZ148+FC148+FD148)=EY148,EH148=0,EK148=0),EG148,0),0)</f>
        <v>0</v>
      </c>
      <c r="EM148" s="615">
        <f>IFERROR(IF(AND((EZ148+FC148+FD148+FE148)=EY148,EH148=0,EK148=0,EL148=0),EG148,0),0)</f>
        <v>0</v>
      </c>
      <c r="EN148" s="615">
        <f>IFERROR(IF(AND((EZ148+FC148+FD148+FE148+FF148)=EY148,EH148=0,EK148=0,EL148=0,EM148=0),EG148,0),0)</f>
        <v>0</v>
      </c>
      <c r="EO148" s="339"/>
      <c r="EP148" s="625">
        <f>IFERROR(EU148/ET148,0)</f>
        <v>0</v>
      </c>
      <c r="EQ148" s="625">
        <f>IFERROR(EV148/ET148,0)</f>
        <v>0</v>
      </c>
      <c r="ER148" s="625">
        <f>IFERROR(#REF!/ET148,0)</f>
        <v>0</v>
      </c>
      <c r="ES148" s="82"/>
      <c r="ET148" s="615">
        <f>COUNTIF('LS | Drawing List'!$H:$H,"LS-SS0-4")</f>
        <v>0</v>
      </c>
      <c r="EU148" s="616">
        <f>COUNTIFS('LS | Drawing List'!$H:$H,"LS-SS0-4",'LS | Drawing List'!$J:$J,1)</f>
        <v>0</v>
      </c>
      <c r="EV148" s="616">
        <f>COUNTIFS('LS | Drawing List'!$H:$H,"LS-SS0-4",'LS | Drawing List'!$L:$L,1)</f>
        <v>0</v>
      </c>
      <c r="EW148" s="615">
        <f>COUNTIFS('LS | Drawing List'!$H:$H,"LS-SS0-4",'LS | Drawing List'!M:M,1)</f>
        <v>0</v>
      </c>
      <c r="EX148" s="615">
        <f>COUNTIFS('LS | Drawing List'!$H:$H,"LS-SS0-4",'LS | Drawing List'!N:N,1)</f>
        <v>0</v>
      </c>
      <c r="EY148" s="615">
        <f>COUNTIFS('LS | Drawing List'!$H:$H,"LS-SS0-4",'LS | Drawing List'!O:O,1)</f>
        <v>0</v>
      </c>
      <c r="EZ148" s="615">
        <f>COUNTIFS('LS | Drawing List'!$H:$H,"LS-SS0-4",'LS | Drawing List'!P:P,1)</f>
        <v>0</v>
      </c>
      <c r="FA148" s="81"/>
      <c r="FB148" s="616">
        <f>COUNTIFS('LS | Drawing List'!$H:$H,"LS-SS0-4",'LS | Drawing List'!$Q:$Q,1)</f>
        <v>0</v>
      </c>
      <c r="FC148" s="615">
        <f>COUNTIFS('LS | Drawing List'!$H:$H,"LS-SS0-4",'LS | Drawing List'!R:R,1)</f>
        <v>0</v>
      </c>
      <c r="FD148" s="615">
        <f>COUNTIFS('LS | Drawing List'!$H:$H,"LS-SS0-4",'LS | Drawing List'!S:S,1)</f>
        <v>0</v>
      </c>
      <c r="FE148" s="615">
        <f>COUNTIFS('LS | Drawing List'!$H:$H,"LS-SS0-4",'LS | Drawing List'!T:T,1)</f>
        <v>0</v>
      </c>
      <c r="FF148" s="615">
        <f>COUNTIFS('LS | Drawing List'!$H:$H,"LS-SS0-4",'LS | Drawing List'!U:U,1)</f>
        <v>0</v>
      </c>
      <c r="FG148" s="48"/>
    </row>
    <row r="149" spans="1:163" ht="14.25" hidden="1" outlineLevel="2">
      <c r="A149" s="48"/>
      <c r="B149" s="100"/>
      <c r="C149" s="279"/>
      <c r="D149" s="272"/>
      <c r="E149" s="48"/>
      <c r="F149" s="338"/>
      <c r="G149" s="619"/>
      <c r="H149" s="339"/>
      <c r="I149" s="339"/>
      <c r="J149" s="615"/>
      <c r="K149" s="615"/>
      <c r="L149" s="615"/>
      <c r="M149" s="620"/>
      <c r="N149" s="287"/>
      <c r="O149" s="339"/>
      <c r="P149" s="339"/>
      <c r="Q149" s="339"/>
      <c r="R149" s="339"/>
      <c r="S149" s="339"/>
      <c r="T149" s="48"/>
      <c r="U149" s="519"/>
      <c r="V149" s="131"/>
      <c r="W149" s="338"/>
      <c r="X149" s="619">
        <f t="shared" si="700"/>
        <v>0</v>
      </c>
      <c r="Y149" s="339"/>
      <c r="Z149" s="339"/>
      <c r="AA149" s="615">
        <f t="shared" si="778"/>
        <v>0</v>
      </c>
      <c r="AB149" s="615">
        <f t="shared" si="779"/>
        <v>0</v>
      </c>
      <c r="AC149" s="615">
        <f t="shared" si="780"/>
        <v>0</v>
      </c>
      <c r="AD149" s="620">
        <f t="shared" si="781"/>
        <v>0</v>
      </c>
      <c r="AE149" s="287"/>
      <c r="AF149" s="339"/>
      <c r="AG149" s="339"/>
      <c r="AH149" s="339"/>
      <c r="AI149" s="339"/>
      <c r="AJ149" s="339"/>
      <c r="AK149" s="339"/>
      <c r="AL149" s="603"/>
      <c r="AM149" s="603"/>
      <c r="AN149" s="603"/>
      <c r="AO149" s="341"/>
      <c r="AP149" s="359"/>
      <c r="AQ149" s="328"/>
      <c r="AR149" s="328"/>
      <c r="AS149" s="328"/>
      <c r="AT149" s="328"/>
      <c r="AU149" s="328"/>
      <c r="AV149" s="328"/>
      <c r="AW149" s="328"/>
      <c r="AX149" s="328"/>
      <c r="AY149" s="328"/>
      <c r="AZ149" s="328"/>
      <c r="BA149" s="328"/>
      <c r="BB149" s="328"/>
      <c r="BC149" s="328"/>
      <c r="BD149" s="328"/>
      <c r="BE149" s="525"/>
      <c r="BF149" s="343"/>
      <c r="BG149" s="344"/>
      <c r="BH149" s="618">
        <f t="shared" si="717"/>
        <v>0</v>
      </c>
      <c r="BI149" s="339"/>
      <c r="BJ149" s="339"/>
      <c r="BK149" s="615">
        <f t="shared" si="782"/>
        <v>0</v>
      </c>
      <c r="BL149" s="615">
        <f t="shared" si="783"/>
        <v>0</v>
      </c>
      <c r="BM149" s="615">
        <f t="shared" si="784"/>
        <v>0</v>
      </c>
      <c r="BN149" s="615">
        <f t="shared" si="785"/>
        <v>0</v>
      </c>
      <c r="BO149" s="339"/>
      <c r="BP149" s="615">
        <f t="shared" si="786"/>
        <v>0</v>
      </c>
      <c r="BQ149" s="615">
        <f>IFERROR(IF(AND((CA149+CI149)=BZ149,BI149=0),BG149,0),0)</f>
        <v>0</v>
      </c>
      <c r="BR149" s="615">
        <f>IFERROR(IF(AND((CA149+CI149+CJ149)=BZ149,BI149=0,BQ149=0),BG149,0),0)</f>
        <v>0</v>
      </c>
      <c r="BS149" s="615">
        <f>IFERROR(IF(AND((CA149+CI149+CJ149+CK149)=BZ149,BI149=0,BQ149=0,BR149=0),BG149,0),0)</f>
        <v>0</v>
      </c>
      <c r="BT149" s="615">
        <f>IFERROR(IF(AND((CA149+CI149+CJ149+CK149+CL149)=BZ149,BI149=0,BQ149=0,BR149=0,BS149=0),BG149,0),0)</f>
        <v>0</v>
      </c>
      <c r="BU149" s="339"/>
      <c r="BV149" s="635">
        <f t="shared" si="787"/>
        <v>0</v>
      </c>
      <c r="BW149" s="635">
        <f t="shared" si="788"/>
        <v>0</v>
      </c>
      <c r="BX149" s="635">
        <f t="shared" si="789"/>
        <v>0</v>
      </c>
      <c r="BY149" s="341"/>
      <c r="BZ149" s="540"/>
      <c r="CA149" s="532"/>
      <c r="CB149" s="539"/>
      <c r="CC149" s="536"/>
      <c r="CD149" s="536"/>
      <c r="CE149" s="536"/>
      <c r="CF149" s="536"/>
      <c r="CG149" s="536"/>
      <c r="CH149" s="539"/>
      <c r="CI149" s="536"/>
      <c r="CJ149" s="536"/>
      <c r="CK149" s="536"/>
      <c r="CL149" s="536"/>
      <c r="CM149" s="343"/>
      <c r="CN149" s="343"/>
      <c r="CO149" s="525"/>
      <c r="CP149" s="343"/>
      <c r="CQ149" s="344"/>
      <c r="CR149" s="618">
        <f t="shared" si="733"/>
        <v>0</v>
      </c>
      <c r="CS149" s="339"/>
      <c r="CT149" s="339"/>
      <c r="CU149" s="339"/>
      <c r="CV149" s="339"/>
      <c r="CW149" s="339"/>
      <c r="CX149" s="339"/>
      <c r="CY149" s="339"/>
      <c r="CZ149" s="339"/>
      <c r="DA149" s="339"/>
      <c r="DB149" s="339"/>
      <c r="DC149" s="339"/>
      <c r="DD149" s="339"/>
      <c r="DE149" s="339"/>
      <c r="DF149" s="603"/>
      <c r="DG149" s="603"/>
      <c r="DH149" s="603"/>
      <c r="DI149" s="341"/>
      <c r="DJ149" s="359"/>
      <c r="DK149" s="328"/>
      <c r="DL149" s="328"/>
      <c r="DM149" s="339"/>
      <c r="DN149" s="339"/>
      <c r="DO149" s="339"/>
      <c r="DP149" s="339"/>
      <c r="DQ149" s="339"/>
      <c r="DR149" s="328"/>
      <c r="DS149" s="339"/>
      <c r="DT149" s="339"/>
      <c r="DU149" s="339"/>
      <c r="DV149" s="339"/>
      <c r="DW149" s="343"/>
      <c r="DX149" s="343"/>
      <c r="DY149" s="525"/>
      <c r="DZ149" s="343"/>
      <c r="EA149" s="344"/>
      <c r="EB149" s="618">
        <f t="shared" si="748"/>
        <v>0</v>
      </c>
      <c r="EC149" s="81"/>
      <c r="ED149" s="81"/>
      <c r="EE149" s="81"/>
      <c r="EF149" s="81"/>
      <c r="EG149" s="81"/>
      <c r="EH149" s="81"/>
      <c r="EI149" s="81"/>
      <c r="EJ149" s="81"/>
      <c r="EK149" s="81"/>
      <c r="EL149" s="81"/>
      <c r="EM149" s="81"/>
      <c r="EN149" s="81"/>
      <c r="EO149" s="81"/>
      <c r="EP149" s="103"/>
      <c r="EQ149" s="103"/>
      <c r="ER149" s="103"/>
      <c r="ES149" s="82"/>
      <c r="ET149" s="56"/>
      <c r="EU149" s="71"/>
      <c r="EV149" s="71"/>
      <c r="EW149" s="81"/>
      <c r="EX149" s="81"/>
      <c r="EY149" s="81"/>
      <c r="EZ149" s="81"/>
      <c r="FA149" s="81"/>
      <c r="FB149" s="71"/>
      <c r="FC149" s="81"/>
      <c r="FD149" s="81"/>
      <c r="FE149" s="81"/>
      <c r="FF149" s="81"/>
      <c r="FG149" s="48"/>
    </row>
    <row r="150" spans="1:163" ht="14.25" hidden="1" outlineLevel="2">
      <c r="A150" s="48"/>
      <c r="B150" s="100">
        <v>2.1</v>
      </c>
      <c r="C150" s="279">
        <v>2.1</v>
      </c>
      <c r="D150" s="274" t="s">
        <v>157</v>
      </c>
      <c r="E150" s="48"/>
      <c r="F150" s="322"/>
      <c r="G150" s="630"/>
      <c r="H150" s="339"/>
      <c r="I150" s="339"/>
      <c r="J150" s="615"/>
      <c r="K150" s="615"/>
      <c r="L150" s="615"/>
      <c r="M150" s="620"/>
      <c r="N150" s="287"/>
      <c r="O150" s="339"/>
      <c r="P150" s="339"/>
      <c r="Q150" s="339"/>
      <c r="R150" s="339"/>
      <c r="S150" s="339"/>
      <c r="T150" s="48"/>
      <c r="U150" s="553">
        <v>0</v>
      </c>
      <c r="V150" s="371"/>
      <c r="W150" s="322">
        <v>0</v>
      </c>
      <c r="X150" s="630">
        <f t="shared" si="700"/>
        <v>0</v>
      </c>
      <c r="Y150" s="339"/>
      <c r="Z150" s="339"/>
      <c r="AA150" s="615">
        <f t="shared" si="778"/>
        <v>0</v>
      </c>
      <c r="AB150" s="615">
        <f t="shared" si="779"/>
        <v>0</v>
      </c>
      <c r="AC150" s="615">
        <f t="shared" si="780"/>
        <v>0</v>
      </c>
      <c r="AD150" s="620">
        <f t="shared" si="781"/>
        <v>0</v>
      </c>
      <c r="AE150" s="287"/>
      <c r="AF150" s="339"/>
      <c r="AG150" s="339"/>
      <c r="AH150" s="339"/>
      <c r="AI150" s="339"/>
      <c r="AJ150" s="339"/>
      <c r="AK150" s="339"/>
      <c r="AL150" s="603"/>
      <c r="AM150" s="603"/>
      <c r="AN150" s="603"/>
      <c r="AO150" s="341"/>
      <c r="AP150" s="359"/>
      <c r="AQ150" s="328"/>
      <c r="AR150" s="328"/>
      <c r="AS150" s="328"/>
      <c r="AT150" s="328"/>
      <c r="AU150" s="328"/>
      <c r="AV150" s="328"/>
      <c r="AW150" s="328"/>
      <c r="AX150" s="328"/>
      <c r="AY150" s="328"/>
      <c r="AZ150" s="328"/>
      <c r="BA150" s="328"/>
      <c r="BB150" s="328"/>
      <c r="BC150" s="328"/>
      <c r="BD150" s="328"/>
      <c r="BE150" s="606">
        <f>SUM(BE151:BE152)</f>
        <v>0.5</v>
      </c>
      <c r="BF150" s="371"/>
      <c r="BG150" s="607">
        <f>$BG$144*(95%/12)</f>
        <v>0.10764153125000001</v>
      </c>
      <c r="BH150" s="606">
        <f t="shared" si="717"/>
        <v>0.10764153125000001</v>
      </c>
      <c r="BI150" s="607">
        <f>SUM(BI151:BI152)</f>
        <v>0.10764153125000001</v>
      </c>
      <c r="BJ150" s="607">
        <f>SUM(BJ151:BJ152)</f>
        <v>0</v>
      </c>
      <c r="BK150" s="615">
        <f t="shared" si="782"/>
        <v>0</v>
      </c>
      <c r="BL150" s="615">
        <f t="shared" si="783"/>
        <v>0</v>
      </c>
      <c r="BM150" s="615">
        <f t="shared" si="784"/>
        <v>0</v>
      </c>
      <c r="BN150" s="615">
        <f t="shared" si="785"/>
        <v>0</v>
      </c>
      <c r="BO150" s="339"/>
      <c r="BP150" s="615">
        <f t="shared" si="786"/>
        <v>0</v>
      </c>
      <c r="BQ150" s="339"/>
      <c r="BR150" s="339"/>
      <c r="BS150" s="339"/>
      <c r="BT150" s="339"/>
      <c r="BU150" s="339"/>
      <c r="BV150" s="635">
        <f t="shared" si="787"/>
        <v>0</v>
      </c>
      <c r="BW150" s="635">
        <f t="shared" si="788"/>
        <v>0</v>
      </c>
      <c r="BX150" s="635">
        <f t="shared" si="789"/>
        <v>0</v>
      </c>
      <c r="BY150" s="341"/>
      <c r="BZ150" s="540"/>
      <c r="CA150" s="532"/>
      <c r="CB150" s="539"/>
      <c r="CC150" s="536"/>
      <c r="CD150" s="536"/>
      <c r="CE150" s="536"/>
      <c r="CF150" s="536"/>
      <c r="CG150" s="536"/>
      <c r="CH150" s="539"/>
      <c r="CI150" s="536"/>
      <c r="CJ150" s="536"/>
      <c r="CK150" s="536"/>
      <c r="CL150" s="536"/>
      <c r="CM150" s="371"/>
      <c r="CN150" s="371"/>
      <c r="CO150" s="553">
        <v>0</v>
      </c>
      <c r="CP150" s="371"/>
      <c r="CQ150" s="344"/>
      <c r="CR150" s="606">
        <f t="shared" si="733"/>
        <v>0</v>
      </c>
      <c r="CS150" s="339"/>
      <c r="CT150" s="339"/>
      <c r="CU150" s="339"/>
      <c r="CV150" s="339"/>
      <c r="CW150" s="339"/>
      <c r="CX150" s="339"/>
      <c r="CY150" s="339"/>
      <c r="CZ150" s="339"/>
      <c r="DA150" s="339"/>
      <c r="DB150" s="339"/>
      <c r="DC150" s="339"/>
      <c r="DD150" s="339"/>
      <c r="DE150" s="339"/>
      <c r="DF150" s="603"/>
      <c r="DG150" s="603"/>
      <c r="DH150" s="603"/>
      <c r="DI150" s="341"/>
      <c r="DJ150" s="359"/>
      <c r="DK150" s="328"/>
      <c r="DL150" s="328"/>
      <c r="DM150" s="339"/>
      <c r="DN150" s="339"/>
      <c r="DO150" s="339"/>
      <c r="DP150" s="339"/>
      <c r="DQ150" s="339"/>
      <c r="DR150" s="328"/>
      <c r="DS150" s="339"/>
      <c r="DT150" s="339"/>
      <c r="DU150" s="339"/>
      <c r="DV150" s="339"/>
      <c r="DW150" s="371"/>
      <c r="DX150" s="371"/>
      <c r="DY150" s="553">
        <v>0</v>
      </c>
      <c r="DZ150" s="371"/>
      <c r="EA150" s="344"/>
      <c r="EB150" s="606">
        <f t="shared" si="748"/>
        <v>0</v>
      </c>
      <c r="EC150" s="81"/>
      <c r="ED150" s="81"/>
      <c r="EE150" s="81"/>
      <c r="EF150" s="81"/>
      <c r="EG150" s="81"/>
      <c r="EH150" s="81"/>
      <c r="EI150" s="81"/>
      <c r="EJ150" s="81"/>
      <c r="EK150" s="81"/>
      <c r="EL150" s="81"/>
      <c r="EM150" s="81"/>
      <c r="EN150" s="81"/>
      <c r="EO150" s="81"/>
      <c r="EP150" s="103"/>
      <c r="EQ150" s="103"/>
      <c r="ER150" s="103"/>
      <c r="ES150" s="82"/>
      <c r="ET150" s="56"/>
      <c r="EU150" s="71"/>
      <c r="EV150" s="71"/>
      <c r="EW150" s="81"/>
      <c r="EX150" s="81"/>
      <c r="EY150" s="81"/>
      <c r="EZ150" s="81"/>
      <c r="FA150" s="81"/>
      <c r="FB150" s="71"/>
      <c r="FC150" s="81"/>
      <c r="FD150" s="81"/>
      <c r="FE150" s="81"/>
      <c r="FF150" s="81"/>
      <c r="FG150" s="48"/>
    </row>
    <row r="151" spans="1:163" ht="14.25" hidden="1" outlineLevel="3">
      <c r="A151" s="48"/>
      <c r="B151" s="87" t="s">
        <v>158</v>
      </c>
      <c r="C151" s="276">
        <v>1</v>
      </c>
      <c r="D151" s="272" t="s">
        <v>152</v>
      </c>
      <c r="E151" s="48"/>
      <c r="F151" s="619">
        <f t="shared" ref="F151:F152" si="803">W151+BG151+CQ151+EA151</f>
        <v>5.3820765625000003E-2</v>
      </c>
      <c r="G151" s="619">
        <f t="shared" ref="G151:G152" si="804">X151+BH151+CR151+EB151</f>
        <v>5.3820765625000003E-2</v>
      </c>
      <c r="H151" s="615">
        <f t="shared" ref="H151:H152" si="805">F151-G151</f>
        <v>0</v>
      </c>
      <c r="I151" s="615">
        <f t="shared" ref="I151:I152" si="806">Z151+BJ151+CT151+ED151</f>
        <v>0</v>
      </c>
      <c r="J151" s="615">
        <f t="shared" ref="J151:J152" si="807">AA151+BK151+CU151+EE151</f>
        <v>0</v>
      </c>
      <c r="K151" s="615">
        <f t="shared" ref="K151:K152" si="808">AB151+BL151+CV151+EF151</f>
        <v>0</v>
      </c>
      <c r="L151" s="615">
        <f t="shared" ref="L151:L152" si="809">AC151+BM151+CW151+EG151</f>
        <v>0</v>
      </c>
      <c r="M151" s="620">
        <f t="shared" ref="M151:M152" si="810">AD151+BN151+CX151+EH151</f>
        <v>0</v>
      </c>
      <c r="N151" s="287"/>
      <c r="O151" s="615">
        <f t="shared" ref="O151:O152" si="811">AF151+BP151+CZ151+EJ151</f>
        <v>0</v>
      </c>
      <c r="P151" s="615">
        <f t="shared" ref="P151:P152" si="812">AG151+BQ151+DA151+EK151</f>
        <v>0</v>
      </c>
      <c r="Q151" s="615">
        <f t="shared" ref="Q151:Q152" si="813">AH151+BR151+DB151+EL151</f>
        <v>0</v>
      </c>
      <c r="R151" s="615">
        <f t="shared" ref="R151:R152" si="814">AI151+BS151+DC151+EM151</f>
        <v>0</v>
      </c>
      <c r="S151" s="615">
        <f t="shared" ref="S151:S152" si="815">AJ151+BT151+DD151+EN151</f>
        <v>0</v>
      </c>
      <c r="T151" s="48"/>
      <c r="U151" s="519">
        <v>0</v>
      </c>
      <c r="V151" s="131"/>
      <c r="W151" s="338"/>
      <c r="X151" s="619">
        <f t="shared" si="700"/>
        <v>0</v>
      </c>
      <c r="Y151" s="339"/>
      <c r="Z151" s="339"/>
      <c r="AA151" s="615">
        <f t="shared" si="778"/>
        <v>0</v>
      </c>
      <c r="AB151" s="615">
        <f t="shared" si="779"/>
        <v>0</v>
      </c>
      <c r="AC151" s="615">
        <f t="shared" si="780"/>
        <v>0</v>
      </c>
      <c r="AD151" s="620">
        <f t="shared" si="781"/>
        <v>0</v>
      </c>
      <c r="AE151" s="287"/>
      <c r="AF151" s="339"/>
      <c r="AG151" s="339"/>
      <c r="AH151" s="339"/>
      <c r="AI151" s="339"/>
      <c r="AJ151" s="339"/>
      <c r="AK151" s="339"/>
      <c r="AL151" s="603"/>
      <c r="AM151" s="603"/>
      <c r="AN151" s="603"/>
      <c r="AO151" s="341"/>
      <c r="AP151" s="359"/>
      <c r="AQ151" s="328"/>
      <c r="AR151" s="328"/>
      <c r="AS151" s="328"/>
      <c r="AT151" s="328"/>
      <c r="AU151" s="328"/>
      <c r="AV151" s="328"/>
      <c r="AW151" s="328"/>
      <c r="AX151" s="328"/>
      <c r="AY151" s="328"/>
      <c r="AZ151" s="328"/>
      <c r="BA151" s="328"/>
      <c r="BB151" s="328"/>
      <c r="BC151" s="328"/>
      <c r="BD151" s="328"/>
      <c r="BE151" s="525">
        <v>0.25</v>
      </c>
      <c r="BF151" s="343"/>
      <c r="BG151" s="616">
        <f>$BG$150/$BE$150*BE151</f>
        <v>5.3820765625000003E-2</v>
      </c>
      <c r="BH151" s="618">
        <f t="shared" si="717"/>
        <v>5.3820765625000003E-2</v>
      </c>
      <c r="BI151" s="615">
        <f>IFERROR(IF(BV151=100%,BG151,0),0)</f>
        <v>5.3820765625000003E-2</v>
      </c>
      <c r="BJ151" s="615">
        <f>IFERROR(IF(AND((BV151+BW151)=100%,BV151&lt;1),BG151,0),0)</f>
        <v>0</v>
      </c>
      <c r="BK151" s="615">
        <f t="shared" si="782"/>
        <v>0</v>
      </c>
      <c r="BL151" s="615">
        <f t="shared" si="783"/>
        <v>0</v>
      </c>
      <c r="BM151" s="615">
        <f t="shared" si="784"/>
        <v>0</v>
      </c>
      <c r="BN151" s="615">
        <f t="shared" si="785"/>
        <v>0</v>
      </c>
      <c r="BO151" s="339"/>
      <c r="BP151" s="615">
        <f t="shared" si="786"/>
        <v>0</v>
      </c>
      <c r="BQ151" s="615">
        <f>IFERROR(IF(AND((CA151+CI151)=BZ151,BI151=0),BG151,0),0)</f>
        <v>0</v>
      </c>
      <c r="BR151" s="615">
        <f>IFERROR(IF(AND((CA151+CI151+CJ151)=BZ151,BI151=0,BQ151=0),BG151,0),0)</f>
        <v>0</v>
      </c>
      <c r="BS151" s="615">
        <f>IFERROR(IF(AND((CA151+CI151+CJ151+CK151)=BZ151,BI151=0,BQ151=0,BR151=0),BG151,0),0)</f>
        <v>0</v>
      </c>
      <c r="BT151" s="615">
        <f>IFERROR(IF(AND((CA151+CI151+CJ151+CK151+CL151)=BZ151,BI151=0,BQ151=0,BR151=0,BS151=0),BG151,0),0)</f>
        <v>0</v>
      </c>
      <c r="BU151" s="339"/>
      <c r="BV151" s="635">
        <f t="shared" si="787"/>
        <v>1</v>
      </c>
      <c r="BW151" s="635">
        <f t="shared" si="788"/>
        <v>0</v>
      </c>
      <c r="BX151" s="635">
        <f t="shared" si="789"/>
        <v>0</v>
      </c>
      <c r="BY151" s="341"/>
      <c r="BZ151" s="615">
        <f>COUNTIF('ST | Drawing List'!$H:$H,"ST-SS1-1")</f>
        <v>3</v>
      </c>
      <c r="CA151" s="616">
        <f>COUNTIFS('ST | Drawing List'!$H:$H,"ST-SS1-1",'ST | Drawing List'!$J:$J,1)</f>
        <v>3</v>
      </c>
      <c r="CB151" s="623">
        <f>COUNTIFS('ST | Drawing List'!$H:$H,"ST-SS1-1",'ST | Drawing List'!$L:$L,1)</f>
        <v>0</v>
      </c>
      <c r="CC151" s="616">
        <f>COUNTIFS('ST | Drawing List'!$H:$H,"ST-SS1-1",'ST | Drawing List'!M:M,1)</f>
        <v>0</v>
      </c>
      <c r="CD151" s="616">
        <f>COUNTIFS('ST | Drawing List'!$H:$H,"ST-SS1-1",'ST | Drawing List'!N:N,1)</f>
        <v>0</v>
      </c>
      <c r="CE151" s="616">
        <f>COUNTIFS('ST | Drawing List'!$H:$H,"ST-SS1-1",'ST | Drawing List'!O:O,1)</f>
        <v>0</v>
      </c>
      <c r="CF151" s="616">
        <f>COUNTIFS('ST | Drawing List'!$H:$H,"ST-SS1-1",'ST | Drawing List'!P:P,1)</f>
        <v>0</v>
      </c>
      <c r="CG151" s="532"/>
      <c r="CH151" s="623">
        <f>COUNTIFS('ST | Drawing List'!$H:$H,"ST-SS1-1",'ST | Drawing List'!$Q:$Q,1)</f>
        <v>0</v>
      </c>
      <c r="CI151" s="616">
        <f>COUNTIFS('ST | Drawing List'!$H:$H,"ST-SS1-1",'ST | Drawing List'!R:R,1)</f>
        <v>0</v>
      </c>
      <c r="CJ151" s="616">
        <f>COUNTIFS('ST | Drawing List'!$H:$H,"ST-SS1-1",'ST | Drawing List'!S:S,1)</f>
        <v>0</v>
      </c>
      <c r="CK151" s="616">
        <f>COUNTIFS('ST | Drawing List'!$H:$H,"ST-SS1-1",'ST | Drawing List'!T:T,1)</f>
        <v>0</v>
      </c>
      <c r="CL151" s="616">
        <f>COUNTIFS('ST | Drawing List'!$H:$H,"ST-SS1-1",'ST | Drawing List'!U:U,1)</f>
        <v>0</v>
      </c>
      <c r="CM151" s="343"/>
      <c r="CN151" s="343"/>
      <c r="CO151" s="525">
        <v>0</v>
      </c>
      <c r="CP151" s="343"/>
      <c r="CQ151" s="344"/>
      <c r="CR151" s="618">
        <f t="shared" si="733"/>
        <v>0</v>
      </c>
      <c r="CS151" s="339"/>
      <c r="CT151" s="339"/>
      <c r="CU151" s="339"/>
      <c r="CV151" s="339"/>
      <c r="CW151" s="339"/>
      <c r="CX151" s="339"/>
      <c r="CY151" s="339"/>
      <c r="CZ151" s="339"/>
      <c r="DA151" s="339"/>
      <c r="DB151" s="339"/>
      <c r="DC151" s="339"/>
      <c r="DD151" s="339"/>
      <c r="DE151" s="339"/>
      <c r="DF151" s="603"/>
      <c r="DG151" s="603"/>
      <c r="DH151" s="603"/>
      <c r="DI151" s="341"/>
      <c r="DJ151" s="359"/>
      <c r="DK151" s="328"/>
      <c r="DL151" s="328"/>
      <c r="DM151" s="339"/>
      <c r="DN151" s="339"/>
      <c r="DO151" s="339"/>
      <c r="DP151" s="339"/>
      <c r="DQ151" s="339"/>
      <c r="DR151" s="328"/>
      <c r="DS151" s="339"/>
      <c r="DT151" s="339"/>
      <c r="DU151" s="339"/>
      <c r="DV151" s="339"/>
      <c r="DW151" s="343"/>
      <c r="DX151" s="343"/>
      <c r="DY151" s="525">
        <v>0</v>
      </c>
      <c r="DZ151" s="343"/>
      <c r="EA151" s="344"/>
      <c r="EB151" s="618">
        <f t="shared" si="748"/>
        <v>0</v>
      </c>
      <c r="EC151" s="81"/>
      <c r="ED151" s="81"/>
      <c r="EE151" s="81"/>
      <c r="EF151" s="81"/>
      <c r="EG151" s="81"/>
      <c r="EH151" s="81"/>
      <c r="EI151" s="81"/>
      <c r="EJ151" s="81"/>
      <c r="EK151" s="81"/>
      <c r="EL151" s="81"/>
      <c r="EM151" s="81"/>
      <c r="EN151" s="81"/>
      <c r="EO151" s="81"/>
      <c r="EP151" s="103"/>
      <c r="EQ151" s="103"/>
      <c r="ER151" s="103"/>
      <c r="ES151" s="82"/>
      <c r="ET151" s="56"/>
      <c r="EU151" s="71"/>
      <c r="EV151" s="71"/>
      <c r="EW151" s="81"/>
      <c r="EX151" s="81"/>
      <c r="EY151" s="81"/>
      <c r="EZ151" s="81"/>
      <c r="FA151" s="81"/>
      <c r="FB151" s="71"/>
      <c r="FC151" s="81"/>
      <c r="FD151" s="81"/>
      <c r="FE151" s="81"/>
      <c r="FF151" s="81"/>
      <c r="FG151" s="48"/>
    </row>
    <row r="152" spans="1:163" ht="14.25" hidden="1" outlineLevel="3">
      <c r="A152" s="48"/>
      <c r="B152" s="87" t="s">
        <v>159</v>
      </c>
      <c r="C152" s="276">
        <v>2</v>
      </c>
      <c r="D152" s="272" t="s">
        <v>154</v>
      </c>
      <c r="E152" s="48"/>
      <c r="F152" s="619">
        <f t="shared" si="803"/>
        <v>5.3820765625000003E-2</v>
      </c>
      <c r="G152" s="619">
        <f t="shared" si="804"/>
        <v>5.3820765625000003E-2</v>
      </c>
      <c r="H152" s="615">
        <f t="shared" si="805"/>
        <v>0</v>
      </c>
      <c r="I152" s="615">
        <f t="shared" si="806"/>
        <v>0</v>
      </c>
      <c r="J152" s="615">
        <f t="shared" si="807"/>
        <v>0</v>
      </c>
      <c r="K152" s="615">
        <f t="shared" si="808"/>
        <v>0</v>
      </c>
      <c r="L152" s="615">
        <f t="shared" si="809"/>
        <v>0</v>
      </c>
      <c r="M152" s="620">
        <f t="shared" si="810"/>
        <v>0</v>
      </c>
      <c r="N152" s="287"/>
      <c r="O152" s="615">
        <f t="shared" si="811"/>
        <v>0</v>
      </c>
      <c r="P152" s="615">
        <f t="shared" si="812"/>
        <v>0</v>
      </c>
      <c r="Q152" s="615">
        <f t="shared" si="813"/>
        <v>0</v>
      </c>
      <c r="R152" s="615">
        <f t="shared" si="814"/>
        <v>0</v>
      </c>
      <c r="S152" s="615">
        <f t="shared" si="815"/>
        <v>0</v>
      </c>
      <c r="T152" s="48"/>
      <c r="U152" s="519">
        <v>0</v>
      </c>
      <c r="V152" s="131"/>
      <c r="W152" s="338"/>
      <c r="X152" s="619">
        <f t="shared" si="700"/>
        <v>0</v>
      </c>
      <c r="Y152" s="339"/>
      <c r="Z152" s="339"/>
      <c r="AA152" s="615">
        <f t="shared" si="778"/>
        <v>0</v>
      </c>
      <c r="AB152" s="615">
        <f t="shared" si="779"/>
        <v>0</v>
      </c>
      <c r="AC152" s="615">
        <f t="shared" si="780"/>
        <v>0</v>
      </c>
      <c r="AD152" s="620">
        <f t="shared" si="781"/>
        <v>0</v>
      </c>
      <c r="AE152" s="287"/>
      <c r="AF152" s="339"/>
      <c r="AG152" s="339"/>
      <c r="AH152" s="339"/>
      <c r="AI152" s="339"/>
      <c r="AJ152" s="339"/>
      <c r="AK152" s="339"/>
      <c r="AL152" s="603"/>
      <c r="AM152" s="603"/>
      <c r="AN152" s="603"/>
      <c r="AO152" s="341"/>
      <c r="AP152" s="359"/>
      <c r="AQ152" s="328"/>
      <c r="AR152" s="328"/>
      <c r="AS152" s="328"/>
      <c r="AT152" s="328"/>
      <c r="AU152" s="328"/>
      <c r="AV152" s="328"/>
      <c r="AW152" s="328"/>
      <c r="AX152" s="328"/>
      <c r="AY152" s="328"/>
      <c r="AZ152" s="328"/>
      <c r="BA152" s="328"/>
      <c r="BB152" s="328"/>
      <c r="BC152" s="328"/>
      <c r="BD152" s="328"/>
      <c r="BE152" s="525">
        <v>0.25</v>
      </c>
      <c r="BF152" s="343"/>
      <c r="BG152" s="616">
        <f>$BG$150/$BE$150*BE152</f>
        <v>5.3820765625000003E-2</v>
      </c>
      <c r="BH152" s="618">
        <f t="shared" si="717"/>
        <v>5.3820765625000003E-2</v>
      </c>
      <c r="BI152" s="615">
        <f>IFERROR(IF(BV152=100%,BG152,0),0)</f>
        <v>5.3820765625000003E-2</v>
      </c>
      <c r="BJ152" s="615">
        <f>IFERROR(IF(AND((BV152+BW152)=100%,BV152&lt;1),BG152,0),0)</f>
        <v>0</v>
      </c>
      <c r="BK152" s="615">
        <f t="shared" si="782"/>
        <v>0</v>
      </c>
      <c r="BL152" s="615">
        <f t="shared" si="783"/>
        <v>0</v>
      </c>
      <c r="BM152" s="615">
        <f t="shared" si="784"/>
        <v>0</v>
      </c>
      <c r="BN152" s="615">
        <f t="shared" si="785"/>
        <v>0</v>
      </c>
      <c r="BO152" s="339"/>
      <c r="BP152" s="615">
        <f t="shared" si="786"/>
        <v>0</v>
      </c>
      <c r="BQ152" s="615">
        <f>IFERROR(IF(AND((CA152+CI152)=BZ152,BI152=0),BG152,0),0)</f>
        <v>0</v>
      </c>
      <c r="BR152" s="615">
        <f>IFERROR(IF(AND((CA152+CI152+CJ152)=BZ152,BI152=0,BQ152=0),BG152,0),0)</f>
        <v>0</v>
      </c>
      <c r="BS152" s="615">
        <f>IFERROR(IF(AND((CA152+CI152+CJ152+CK152)=BZ152,BI152=0,BQ152=0,BR152=0),BG152,0),0)</f>
        <v>0</v>
      </c>
      <c r="BT152" s="615">
        <f>IFERROR(IF(AND((CA152+CI152+CJ152+CK152+CL152)=BZ152,BI152=0,BQ152=0,BR152=0,BS152=0),BG152,0),0)</f>
        <v>0</v>
      </c>
      <c r="BU152" s="339"/>
      <c r="BV152" s="635">
        <f t="shared" si="787"/>
        <v>1</v>
      </c>
      <c r="BW152" s="635">
        <f t="shared" si="788"/>
        <v>0</v>
      </c>
      <c r="BX152" s="635">
        <f t="shared" si="789"/>
        <v>0</v>
      </c>
      <c r="BY152" s="341"/>
      <c r="BZ152" s="615">
        <f>COUNTIF('ST | Drawing List'!$H:$H,"ST-SS1-2")</f>
        <v>3</v>
      </c>
      <c r="CA152" s="616">
        <f>COUNTIFS('ST | Drawing List'!$H:$H,"ST-SS1-2",'ST | Drawing List'!$J:$J,1)</f>
        <v>3</v>
      </c>
      <c r="CB152" s="623">
        <f>COUNTIFS('ST | Drawing List'!$H:$H,"ST-SS1-2",'ST | Drawing List'!$L:$L,1)</f>
        <v>0</v>
      </c>
      <c r="CC152" s="616">
        <f>COUNTIFS('ST | Drawing List'!$H:$H,"ST-SS1-2",'ST | Drawing List'!M:M,1)</f>
        <v>0</v>
      </c>
      <c r="CD152" s="616">
        <f>COUNTIFS('ST | Drawing List'!$H:$H,"ST-SS1-2",'ST | Drawing List'!N:N,1)</f>
        <v>0</v>
      </c>
      <c r="CE152" s="616">
        <f>COUNTIFS('ST | Drawing List'!$H:$H,"ST-SS1-2",'ST | Drawing List'!O:O,1)</f>
        <v>0</v>
      </c>
      <c r="CF152" s="616">
        <f>COUNTIFS('ST | Drawing List'!$H:$H,"ST-SS1-2",'ST | Drawing List'!P:P,1)</f>
        <v>0</v>
      </c>
      <c r="CG152" s="532"/>
      <c r="CH152" s="623">
        <f>COUNTIFS('ST | Drawing List'!$H:$H,"ST-SS1-2",'ST | Drawing List'!$Q:$Q,1)</f>
        <v>0</v>
      </c>
      <c r="CI152" s="616">
        <f>COUNTIFS('ST | Drawing List'!$H:$H,"ST-SS1-2",'ST | Drawing List'!R:R,1)</f>
        <v>0</v>
      </c>
      <c r="CJ152" s="616">
        <f>COUNTIFS('ST | Drawing List'!$H:$H,"ST-SS1-2",'ST | Drawing List'!S:S,1)</f>
        <v>0</v>
      </c>
      <c r="CK152" s="616">
        <f>COUNTIFS('ST | Drawing List'!$H:$H,"ST-SS1-2",'ST | Drawing List'!T:T,1)</f>
        <v>0</v>
      </c>
      <c r="CL152" s="616">
        <f>COUNTIFS('ST | Drawing List'!$H:$H,"ST-SS1-2",'ST | Drawing List'!U:U,1)</f>
        <v>0</v>
      </c>
      <c r="CM152" s="343"/>
      <c r="CN152" s="343"/>
      <c r="CO152" s="525">
        <v>0</v>
      </c>
      <c r="CP152" s="343"/>
      <c r="CQ152" s="344"/>
      <c r="CR152" s="618">
        <f t="shared" si="733"/>
        <v>0</v>
      </c>
      <c r="CS152" s="339"/>
      <c r="CT152" s="339"/>
      <c r="CU152" s="339"/>
      <c r="CV152" s="339"/>
      <c r="CW152" s="339"/>
      <c r="CX152" s="339"/>
      <c r="CY152" s="339"/>
      <c r="CZ152" s="339"/>
      <c r="DA152" s="339"/>
      <c r="DB152" s="339"/>
      <c r="DC152" s="339"/>
      <c r="DD152" s="339"/>
      <c r="DE152" s="339"/>
      <c r="DF152" s="603"/>
      <c r="DG152" s="603"/>
      <c r="DH152" s="603"/>
      <c r="DI152" s="341"/>
      <c r="DJ152" s="359"/>
      <c r="DK152" s="328"/>
      <c r="DL152" s="328"/>
      <c r="DM152" s="339"/>
      <c r="DN152" s="339"/>
      <c r="DO152" s="339"/>
      <c r="DP152" s="339"/>
      <c r="DQ152" s="339"/>
      <c r="DR152" s="328"/>
      <c r="DS152" s="339"/>
      <c r="DT152" s="339"/>
      <c r="DU152" s="339"/>
      <c r="DV152" s="339"/>
      <c r="DW152" s="343"/>
      <c r="DX152" s="343"/>
      <c r="DY152" s="525">
        <v>0</v>
      </c>
      <c r="DZ152" s="343"/>
      <c r="EA152" s="344"/>
      <c r="EB152" s="618">
        <f t="shared" si="748"/>
        <v>0</v>
      </c>
      <c r="EC152" s="81"/>
      <c r="ED152" s="81"/>
      <c r="EE152" s="81"/>
      <c r="EF152" s="81"/>
      <c r="EG152" s="81"/>
      <c r="EH152" s="81"/>
      <c r="EI152" s="81"/>
      <c r="EJ152" s="81"/>
      <c r="EK152" s="81"/>
      <c r="EL152" s="81"/>
      <c r="EM152" s="81"/>
      <c r="EN152" s="81"/>
      <c r="EO152" s="81"/>
      <c r="EP152" s="103"/>
      <c r="EQ152" s="103"/>
      <c r="ER152" s="103"/>
      <c r="ES152" s="82"/>
      <c r="ET152" s="56"/>
      <c r="EU152" s="71"/>
      <c r="EV152" s="71"/>
      <c r="EW152" s="81"/>
      <c r="EX152" s="81"/>
      <c r="EY152" s="81"/>
      <c r="EZ152" s="81"/>
      <c r="FA152" s="81"/>
      <c r="FB152" s="71"/>
      <c r="FC152" s="81"/>
      <c r="FD152" s="81"/>
      <c r="FE152" s="81"/>
      <c r="FF152" s="81"/>
      <c r="FG152" s="48"/>
    </row>
    <row r="153" spans="1:163" ht="14.25" hidden="1" outlineLevel="2">
      <c r="A153" s="48"/>
      <c r="B153" s="100"/>
      <c r="C153" s="279"/>
      <c r="D153" s="272"/>
      <c r="E153" s="48"/>
      <c r="F153" s="338"/>
      <c r="G153" s="619"/>
      <c r="H153" s="339"/>
      <c r="I153" s="339"/>
      <c r="J153" s="615"/>
      <c r="K153" s="615"/>
      <c r="L153" s="615"/>
      <c r="M153" s="620"/>
      <c r="N153" s="287"/>
      <c r="O153" s="339"/>
      <c r="P153" s="339"/>
      <c r="Q153" s="339"/>
      <c r="R153" s="339"/>
      <c r="S153" s="339"/>
      <c r="T153" s="48"/>
      <c r="U153" s="519"/>
      <c r="V153" s="131"/>
      <c r="W153" s="338"/>
      <c r="X153" s="619">
        <f t="shared" si="700"/>
        <v>0</v>
      </c>
      <c r="Y153" s="339"/>
      <c r="Z153" s="339"/>
      <c r="AA153" s="615">
        <f t="shared" si="778"/>
        <v>0</v>
      </c>
      <c r="AB153" s="615">
        <f t="shared" si="779"/>
        <v>0</v>
      </c>
      <c r="AC153" s="615">
        <f t="shared" si="780"/>
        <v>0</v>
      </c>
      <c r="AD153" s="620">
        <f t="shared" si="781"/>
        <v>0</v>
      </c>
      <c r="AE153" s="287"/>
      <c r="AF153" s="339"/>
      <c r="AG153" s="339"/>
      <c r="AH153" s="339"/>
      <c r="AI153" s="339"/>
      <c r="AJ153" s="339"/>
      <c r="AK153" s="339"/>
      <c r="AL153" s="603"/>
      <c r="AM153" s="603"/>
      <c r="AN153" s="603"/>
      <c r="AO153" s="341"/>
      <c r="AP153" s="359"/>
      <c r="AQ153" s="328"/>
      <c r="AR153" s="328"/>
      <c r="AS153" s="328"/>
      <c r="AT153" s="328"/>
      <c r="AU153" s="328"/>
      <c r="AV153" s="328"/>
      <c r="AW153" s="328"/>
      <c r="AX153" s="328"/>
      <c r="AY153" s="328"/>
      <c r="AZ153" s="328"/>
      <c r="BA153" s="328"/>
      <c r="BB153" s="328"/>
      <c r="BC153" s="328"/>
      <c r="BD153" s="328"/>
      <c r="BE153" s="525"/>
      <c r="BF153" s="343"/>
      <c r="BG153" s="344"/>
      <c r="BH153" s="618">
        <f t="shared" si="717"/>
        <v>0</v>
      </c>
      <c r="BI153" s="339"/>
      <c r="BJ153" s="339"/>
      <c r="BK153" s="615">
        <f t="shared" si="782"/>
        <v>0</v>
      </c>
      <c r="BL153" s="615">
        <f t="shared" si="783"/>
        <v>0</v>
      </c>
      <c r="BM153" s="615">
        <f t="shared" si="784"/>
        <v>0</v>
      </c>
      <c r="BN153" s="615">
        <f t="shared" si="785"/>
        <v>0</v>
      </c>
      <c r="BO153" s="339"/>
      <c r="BP153" s="615">
        <f t="shared" si="786"/>
        <v>0</v>
      </c>
      <c r="BQ153" s="339"/>
      <c r="BR153" s="339"/>
      <c r="BS153" s="339"/>
      <c r="BT153" s="339"/>
      <c r="BU153" s="339"/>
      <c r="BV153" s="635">
        <f t="shared" si="787"/>
        <v>0</v>
      </c>
      <c r="BW153" s="635">
        <f t="shared" si="788"/>
        <v>0</v>
      </c>
      <c r="BX153" s="635">
        <f t="shared" si="789"/>
        <v>0</v>
      </c>
      <c r="BY153" s="341"/>
      <c r="BZ153" s="540"/>
      <c r="CA153" s="532"/>
      <c r="CB153" s="539"/>
      <c r="CC153" s="536"/>
      <c r="CD153" s="536"/>
      <c r="CE153" s="536"/>
      <c r="CF153" s="536"/>
      <c r="CG153" s="536"/>
      <c r="CH153" s="539"/>
      <c r="CI153" s="536"/>
      <c r="CJ153" s="536"/>
      <c r="CK153" s="536"/>
      <c r="CL153" s="536"/>
      <c r="CM153" s="343"/>
      <c r="CN153" s="343"/>
      <c r="CO153" s="525"/>
      <c r="CP153" s="343"/>
      <c r="CQ153" s="344"/>
      <c r="CR153" s="618">
        <f t="shared" si="733"/>
        <v>0</v>
      </c>
      <c r="CS153" s="339"/>
      <c r="CT153" s="339"/>
      <c r="CU153" s="339"/>
      <c r="CV153" s="339"/>
      <c r="CW153" s="339"/>
      <c r="CX153" s="339"/>
      <c r="CY153" s="339"/>
      <c r="CZ153" s="339"/>
      <c r="DA153" s="339"/>
      <c r="DB153" s="339"/>
      <c r="DC153" s="339"/>
      <c r="DD153" s="339"/>
      <c r="DE153" s="339"/>
      <c r="DF153" s="603"/>
      <c r="DG153" s="603"/>
      <c r="DH153" s="603"/>
      <c r="DI153" s="341"/>
      <c r="DJ153" s="359"/>
      <c r="DK153" s="328"/>
      <c r="DL153" s="328"/>
      <c r="DM153" s="339"/>
      <c r="DN153" s="339"/>
      <c r="DO153" s="339"/>
      <c r="DP153" s="339"/>
      <c r="DQ153" s="339"/>
      <c r="DR153" s="328"/>
      <c r="DS153" s="339"/>
      <c r="DT153" s="339"/>
      <c r="DU153" s="339"/>
      <c r="DV153" s="339"/>
      <c r="DW153" s="343"/>
      <c r="DX153" s="343"/>
      <c r="DY153" s="525"/>
      <c r="DZ153" s="343"/>
      <c r="EA153" s="344"/>
      <c r="EB153" s="618">
        <f t="shared" si="748"/>
        <v>0</v>
      </c>
      <c r="EC153" s="81"/>
      <c r="ED153" s="81"/>
      <c r="EE153" s="81"/>
      <c r="EF153" s="81"/>
      <c r="EG153" s="81"/>
      <c r="EH153" s="81"/>
      <c r="EI153" s="81"/>
      <c r="EJ153" s="81"/>
      <c r="EK153" s="81"/>
      <c r="EL153" s="81"/>
      <c r="EM153" s="81"/>
      <c r="EN153" s="81"/>
      <c r="EO153" s="81"/>
      <c r="EP153" s="103"/>
      <c r="EQ153" s="103"/>
      <c r="ER153" s="103"/>
      <c r="ES153" s="82"/>
      <c r="ET153" s="56"/>
      <c r="EU153" s="71"/>
      <c r="EV153" s="71"/>
      <c r="EW153" s="81"/>
      <c r="EX153" s="81"/>
      <c r="EY153" s="81"/>
      <c r="EZ153" s="81"/>
      <c r="FA153" s="81"/>
      <c r="FB153" s="71"/>
      <c r="FC153" s="81"/>
      <c r="FD153" s="81"/>
      <c r="FE153" s="81"/>
      <c r="FF153" s="81"/>
      <c r="FG153" s="48"/>
    </row>
    <row r="154" spans="1:163" ht="14.25" hidden="1" outlineLevel="2">
      <c r="A154" s="48"/>
      <c r="B154" s="100">
        <v>2.2000000000000002</v>
      </c>
      <c r="C154" s="279">
        <v>2.2000000000000002</v>
      </c>
      <c r="D154" s="274" t="s">
        <v>160</v>
      </c>
      <c r="E154" s="48"/>
      <c r="F154" s="322"/>
      <c r="G154" s="630"/>
      <c r="H154" s="339"/>
      <c r="I154" s="339"/>
      <c r="J154" s="615"/>
      <c r="K154" s="615"/>
      <c r="L154" s="615"/>
      <c r="M154" s="620"/>
      <c r="N154" s="287"/>
      <c r="O154" s="339"/>
      <c r="P154" s="339"/>
      <c r="Q154" s="339"/>
      <c r="R154" s="339"/>
      <c r="S154" s="339"/>
      <c r="T154" s="48"/>
      <c r="U154" s="553">
        <v>0</v>
      </c>
      <c r="V154" s="371"/>
      <c r="W154" s="322">
        <v>0</v>
      </c>
      <c r="X154" s="630">
        <f t="shared" si="700"/>
        <v>0</v>
      </c>
      <c r="Y154" s="339"/>
      <c r="Z154" s="339"/>
      <c r="AA154" s="615">
        <f t="shared" si="778"/>
        <v>0</v>
      </c>
      <c r="AB154" s="615">
        <f t="shared" si="779"/>
        <v>0</v>
      </c>
      <c r="AC154" s="615">
        <f t="shared" si="780"/>
        <v>0</v>
      </c>
      <c r="AD154" s="620">
        <f t="shared" si="781"/>
        <v>0</v>
      </c>
      <c r="AE154" s="287"/>
      <c r="AF154" s="339"/>
      <c r="AG154" s="339"/>
      <c r="AH154" s="339"/>
      <c r="AI154" s="339"/>
      <c r="AJ154" s="339"/>
      <c r="AK154" s="339"/>
      <c r="AL154" s="603"/>
      <c r="AM154" s="603"/>
      <c r="AN154" s="603"/>
      <c r="AO154" s="341"/>
      <c r="AP154" s="359"/>
      <c r="AQ154" s="328"/>
      <c r="AR154" s="328"/>
      <c r="AS154" s="328"/>
      <c r="AT154" s="328"/>
      <c r="AU154" s="328"/>
      <c r="AV154" s="328"/>
      <c r="AW154" s="328"/>
      <c r="AX154" s="328"/>
      <c r="AY154" s="328"/>
      <c r="AZ154" s="328"/>
      <c r="BA154" s="328"/>
      <c r="BB154" s="328"/>
      <c r="BC154" s="328"/>
      <c r="BD154" s="328"/>
      <c r="BE154" s="606">
        <f>SUM(BE155:BE156)</f>
        <v>0.5</v>
      </c>
      <c r="BF154" s="371"/>
      <c r="BG154" s="607">
        <f>$BG$144*(95%/12)</f>
        <v>0.10764153125000001</v>
      </c>
      <c r="BH154" s="606">
        <f t="shared" si="717"/>
        <v>0.10764153125000001</v>
      </c>
      <c r="BI154" s="607">
        <f>SUM(BI155:BI156)</f>
        <v>0.10764153125000001</v>
      </c>
      <c r="BJ154" s="607">
        <f>SUM(BJ155:BJ156)</f>
        <v>0</v>
      </c>
      <c r="BK154" s="615">
        <f t="shared" si="782"/>
        <v>0</v>
      </c>
      <c r="BL154" s="615">
        <f t="shared" si="783"/>
        <v>0</v>
      </c>
      <c r="BM154" s="615">
        <f t="shared" si="784"/>
        <v>0</v>
      </c>
      <c r="BN154" s="615">
        <f t="shared" si="785"/>
        <v>0</v>
      </c>
      <c r="BO154" s="339"/>
      <c r="BP154" s="615">
        <f t="shared" si="786"/>
        <v>0</v>
      </c>
      <c r="BQ154" s="339"/>
      <c r="BR154" s="339"/>
      <c r="BS154" s="339"/>
      <c r="BT154" s="339"/>
      <c r="BU154" s="339"/>
      <c r="BV154" s="635">
        <f t="shared" si="787"/>
        <v>0</v>
      </c>
      <c r="BW154" s="635">
        <f t="shared" si="788"/>
        <v>0</v>
      </c>
      <c r="BX154" s="635">
        <f t="shared" si="789"/>
        <v>0</v>
      </c>
      <c r="BY154" s="341"/>
      <c r="BZ154" s="540"/>
      <c r="CA154" s="532"/>
      <c r="CB154" s="539"/>
      <c r="CC154" s="536"/>
      <c r="CD154" s="536"/>
      <c r="CE154" s="536"/>
      <c r="CF154" s="536"/>
      <c r="CG154" s="536"/>
      <c r="CH154" s="539"/>
      <c r="CI154" s="536"/>
      <c r="CJ154" s="536"/>
      <c r="CK154" s="536"/>
      <c r="CL154" s="536"/>
      <c r="CM154" s="371"/>
      <c r="CN154" s="371"/>
      <c r="CO154" s="553">
        <v>0</v>
      </c>
      <c r="CP154" s="371"/>
      <c r="CQ154" s="344"/>
      <c r="CR154" s="606">
        <f t="shared" si="733"/>
        <v>0</v>
      </c>
      <c r="CS154" s="339"/>
      <c r="CT154" s="339"/>
      <c r="CU154" s="339"/>
      <c r="CV154" s="339"/>
      <c r="CW154" s="339"/>
      <c r="CX154" s="339"/>
      <c r="CY154" s="339"/>
      <c r="CZ154" s="339"/>
      <c r="DA154" s="339"/>
      <c r="DB154" s="339"/>
      <c r="DC154" s="339"/>
      <c r="DD154" s="339"/>
      <c r="DE154" s="339"/>
      <c r="DF154" s="603"/>
      <c r="DG154" s="603"/>
      <c r="DH154" s="603"/>
      <c r="DI154" s="341"/>
      <c r="DJ154" s="359"/>
      <c r="DK154" s="328"/>
      <c r="DL154" s="328"/>
      <c r="DM154" s="339"/>
      <c r="DN154" s="339"/>
      <c r="DO154" s="339"/>
      <c r="DP154" s="339"/>
      <c r="DQ154" s="339"/>
      <c r="DR154" s="328"/>
      <c r="DS154" s="339"/>
      <c r="DT154" s="339"/>
      <c r="DU154" s="339"/>
      <c r="DV154" s="339"/>
      <c r="DW154" s="371"/>
      <c r="DX154" s="371"/>
      <c r="DY154" s="553">
        <v>0</v>
      </c>
      <c r="DZ154" s="371"/>
      <c r="EA154" s="344"/>
      <c r="EB154" s="606">
        <f t="shared" si="748"/>
        <v>0</v>
      </c>
      <c r="EC154" s="81"/>
      <c r="ED154" s="81"/>
      <c r="EE154" s="81"/>
      <c r="EF154" s="81"/>
      <c r="EG154" s="81"/>
      <c r="EH154" s="81"/>
      <c r="EI154" s="81"/>
      <c r="EJ154" s="81"/>
      <c r="EK154" s="81"/>
      <c r="EL154" s="81"/>
      <c r="EM154" s="81"/>
      <c r="EN154" s="81"/>
      <c r="EO154" s="81"/>
      <c r="EP154" s="103"/>
      <c r="EQ154" s="103"/>
      <c r="ER154" s="103"/>
      <c r="ES154" s="82"/>
      <c r="ET154" s="56"/>
      <c r="EU154" s="71"/>
      <c r="EV154" s="71"/>
      <c r="EW154" s="81"/>
      <c r="EX154" s="81"/>
      <c r="EY154" s="81"/>
      <c r="EZ154" s="81"/>
      <c r="FA154" s="81"/>
      <c r="FB154" s="71"/>
      <c r="FC154" s="81"/>
      <c r="FD154" s="81"/>
      <c r="FE154" s="81"/>
      <c r="FF154" s="81"/>
      <c r="FG154" s="48"/>
    </row>
    <row r="155" spans="1:163" ht="14.25" hidden="1" outlineLevel="3">
      <c r="A155" s="48"/>
      <c r="B155" s="87" t="s">
        <v>158</v>
      </c>
      <c r="C155" s="276">
        <v>1</v>
      </c>
      <c r="D155" s="272" t="s">
        <v>152</v>
      </c>
      <c r="E155" s="48"/>
      <c r="F155" s="619">
        <f t="shared" ref="F155:F156" si="816">W155+BG155+CQ155+EA155</f>
        <v>5.3820765625000003E-2</v>
      </c>
      <c r="G155" s="619">
        <f t="shared" ref="G155:G156" si="817">X155+BH155+CR155+EB155</f>
        <v>5.3820765625000003E-2</v>
      </c>
      <c r="H155" s="615">
        <f t="shared" ref="H155:H156" si="818">F155-G155</f>
        <v>0</v>
      </c>
      <c r="I155" s="615">
        <f t="shared" ref="I155:I156" si="819">Z155+BJ155+CT155+ED155</f>
        <v>0</v>
      </c>
      <c r="J155" s="615">
        <f t="shared" ref="J155:J156" si="820">AA155+BK155+CU155+EE155</f>
        <v>0</v>
      </c>
      <c r="K155" s="615">
        <f t="shared" ref="K155:K156" si="821">AB155+BL155+CV155+EF155</f>
        <v>0</v>
      </c>
      <c r="L155" s="615">
        <f t="shared" ref="L155:L156" si="822">AC155+BM155+CW155+EG155</f>
        <v>0</v>
      </c>
      <c r="M155" s="620">
        <f t="shared" ref="M155:M156" si="823">AD155+BN155+CX155+EH155</f>
        <v>0</v>
      </c>
      <c r="N155" s="287"/>
      <c r="O155" s="615">
        <f t="shared" ref="O155:O156" si="824">AF155+BP155+CZ155+EJ155</f>
        <v>0</v>
      </c>
      <c r="P155" s="615">
        <f t="shared" ref="P155:P156" si="825">AG155+BQ155+DA155+EK155</f>
        <v>0</v>
      </c>
      <c r="Q155" s="615">
        <f t="shared" ref="Q155:Q156" si="826">AH155+BR155+DB155+EL155</f>
        <v>0</v>
      </c>
      <c r="R155" s="615">
        <f t="shared" ref="R155:R156" si="827">AI155+BS155+DC155+EM155</f>
        <v>0</v>
      </c>
      <c r="S155" s="615">
        <f t="shared" ref="S155:S156" si="828">AJ155+BT155+DD155+EN155</f>
        <v>0</v>
      </c>
      <c r="T155" s="48"/>
      <c r="U155" s="519">
        <v>0</v>
      </c>
      <c r="V155" s="131"/>
      <c r="W155" s="338"/>
      <c r="X155" s="619">
        <f t="shared" si="700"/>
        <v>0</v>
      </c>
      <c r="Y155" s="339"/>
      <c r="Z155" s="339"/>
      <c r="AA155" s="615">
        <f t="shared" si="778"/>
        <v>0</v>
      </c>
      <c r="AB155" s="615">
        <f t="shared" si="779"/>
        <v>0</v>
      </c>
      <c r="AC155" s="615">
        <f t="shared" si="780"/>
        <v>0</v>
      </c>
      <c r="AD155" s="620">
        <f t="shared" si="781"/>
        <v>0</v>
      </c>
      <c r="AE155" s="287"/>
      <c r="AF155" s="339"/>
      <c r="AG155" s="339"/>
      <c r="AH155" s="339"/>
      <c r="AI155" s="339"/>
      <c r="AJ155" s="339"/>
      <c r="AK155" s="339"/>
      <c r="AL155" s="603"/>
      <c r="AM155" s="603"/>
      <c r="AN155" s="603"/>
      <c r="AO155" s="341"/>
      <c r="AP155" s="359"/>
      <c r="AQ155" s="328"/>
      <c r="AR155" s="328"/>
      <c r="AS155" s="328"/>
      <c r="AT155" s="328"/>
      <c r="AU155" s="328"/>
      <c r="AV155" s="328"/>
      <c r="AW155" s="328"/>
      <c r="AX155" s="328"/>
      <c r="AY155" s="328"/>
      <c r="AZ155" s="328"/>
      <c r="BA155" s="328"/>
      <c r="BB155" s="328"/>
      <c r="BC155" s="328"/>
      <c r="BD155" s="328"/>
      <c r="BE155" s="525">
        <v>0.25</v>
      </c>
      <c r="BF155" s="343"/>
      <c r="BG155" s="616">
        <f>$BG$154/$BE$150*BE155</f>
        <v>5.3820765625000003E-2</v>
      </c>
      <c r="BH155" s="618">
        <f t="shared" si="717"/>
        <v>5.3820765625000003E-2</v>
      </c>
      <c r="BI155" s="615">
        <f>IFERROR(IF(BV155=100%,BG155,0),0)</f>
        <v>5.3820765625000003E-2</v>
      </c>
      <c r="BJ155" s="615">
        <f>IFERROR(IF(AND((BV155+BW155)=100%,BV155&lt;1),BG155,0),0)</f>
        <v>0</v>
      </c>
      <c r="BK155" s="615">
        <f t="shared" si="782"/>
        <v>0</v>
      </c>
      <c r="BL155" s="615">
        <f t="shared" si="783"/>
        <v>0</v>
      </c>
      <c r="BM155" s="615">
        <f t="shared" si="784"/>
        <v>0</v>
      </c>
      <c r="BN155" s="615">
        <f t="shared" si="785"/>
        <v>0</v>
      </c>
      <c r="BO155" s="339"/>
      <c r="BP155" s="615">
        <f t="shared" si="786"/>
        <v>0</v>
      </c>
      <c r="BQ155" s="615">
        <f>IFERROR(IF(AND((CA155+CI155)=BZ155,BI155=0),BG155,0),0)</f>
        <v>0</v>
      </c>
      <c r="BR155" s="615">
        <f>IFERROR(IF(AND((CA155+CI155+CJ155)=BZ155,BI155=0,BQ155=0),BG155,0),0)</f>
        <v>0</v>
      </c>
      <c r="BS155" s="615">
        <f>IFERROR(IF(AND((CA155+CI155+CJ155+CK155)=BZ155,BI155=0,BQ155=0,BR155=0),BG155,0),0)</f>
        <v>0</v>
      </c>
      <c r="BT155" s="615">
        <f>IFERROR(IF(AND((CA155+CI155+CJ155+CK155+CL155)=BZ155,BI155=0,BQ155=0,BR155=0,BS155=0),BG155,0),0)</f>
        <v>0</v>
      </c>
      <c r="BU155" s="339"/>
      <c r="BV155" s="635">
        <f t="shared" si="787"/>
        <v>1</v>
      </c>
      <c r="BW155" s="635">
        <f t="shared" si="788"/>
        <v>0</v>
      </c>
      <c r="BX155" s="635">
        <f t="shared" si="789"/>
        <v>0</v>
      </c>
      <c r="BY155" s="341"/>
      <c r="BZ155" s="615">
        <f>COUNTIF('ST | Drawing List'!$H:$H,"ST-SS2-1")</f>
        <v>3</v>
      </c>
      <c r="CA155" s="616">
        <f>COUNTIFS('ST | Drawing List'!$H:$H,"ST-SS2-1",'ST | Drawing List'!$J:$J,1)</f>
        <v>3</v>
      </c>
      <c r="CB155" s="623">
        <f>COUNTIFS('ST | Drawing List'!$H:$H,"ST-SS2-1",'ST | Drawing List'!$L:$L,1)</f>
        <v>0</v>
      </c>
      <c r="CC155" s="616">
        <f>COUNTIFS('ST | Drawing List'!$H:$H,"ST-SS2-1",'ST | Drawing List'!M:M,1)</f>
        <v>0</v>
      </c>
      <c r="CD155" s="616">
        <f>COUNTIFS('ST | Drawing List'!$H:$H,"ST-SS2-1",'ST | Drawing List'!N:N,1)</f>
        <v>0</v>
      </c>
      <c r="CE155" s="616">
        <f>COUNTIFS('ST | Drawing List'!$H:$H,"ST-SS2-1",'ST | Drawing List'!O:O,1)</f>
        <v>0</v>
      </c>
      <c r="CF155" s="616">
        <f>COUNTIFS('ST | Drawing List'!$H:$H,"ST-SS2-1",'ST | Drawing List'!P:P,1)</f>
        <v>0</v>
      </c>
      <c r="CG155" s="532"/>
      <c r="CH155" s="623">
        <f>COUNTIFS('ST | Drawing List'!$H:$H,"ST-SS2-1",'ST | Drawing List'!$Q:$Q,1)</f>
        <v>0</v>
      </c>
      <c r="CI155" s="616">
        <f>COUNTIFS('ST | Drawing List'!$H:$H,"ST-SS2-1",'ST | Drawing List'!R:R,1)</f>
        <v>0</v>
      </c>
      <c r="CJ155" s="616">
        <f>COUNTIFS('ST | Drawing List'!$H:$H,"ST-SS2-1",'ST | Drawing List'!S:S,1)</f>
        <v>0</v>
      </c>
      <c r="CK155" s="616">
        <f>COUNTIFS('ST | Drawing List'!$H:$H,"ST-SS2-1",'ST | Drawing List'!T:T,1)</f>
        <v>0</v>
      </c>
      <c r="CL155" s="616">
        <f>COUNTIFS('ST | Drawing List'!$H:$H,"ST-SS2-1",'ST | Drawing List'!U:U,1)</f>
        <v>0</v>
      </c>
      <c r="CM155" s="343"/>
      <c r="CN155" s="343"/>
      <c r="CO155" s="525">
        <v>0</v>
      </c>
      <c r="CP155" s="343"/>
      <c r="CQ155" s="344"/>
      <c r="CR155" s="618">
        <f t="shared" si="733"/>
        <v>0</v>
      </c>
      <c r="CS155" s="339"/>
      <c r="CT155" s="339"/>
      <c r="CU155" s="339"/>
      <c r="CV155" s="339"/>
      <c r="CW155" s="339"/>
      <c r="CX155" s="339"/>
      <c r="CY155" s="339"/>
      <c r="CZ155" s="339"/>
      <c r="DA155" s="339"/>
      <c r="DB155" s="339"/>
      <c r="DC155" s="339"/>
      <c r="DD155" s="339"/>
      <c r="DE155" s="339"/>
      <c r="DF155" s="603"/>
      <c r="DG155" s="603"/>
      <c r="DH155" s="603"/>
      <c r="DI155" s="341"/>
      <c r="DJ155" s="359"/>
      <c r="DK155" s="328"/>
      <c r="DL155" s="328"/>
      <c r="DM155" s="339"/>
      <c r="DN155" s="339"/>
      <c r="DO155" s="339"/>
      <c r="DP155" s="339"/>
      <c r="DQ155" s="339"/>
      <c r="DR155" s="328"/>
      <c r="DS155" s="339"/>
      <c r="DT155" s="339"/>
      <c r="DU155" s="339"/>
      <c r="DV155" s="339"/>
      <c r="DW155" s="343"/>
      <c r="DX155" s="343"/>
      <c r="DY155" s="525">
        <v>0</v>
      </c>
      <c r="DZ155" s="343"/>
      <c r="EA155" s="344"/>
      <c r="EB155" s="618">
        <f t="shared" si="748"/>
        <v>0</v>
      </c>
      <c r="EC155" s="81"/>
      <c r="ED155" s="81"/>
      <c r="EE155" s="81"/>
      <c r="EF155" s="81"/>
      <c r="EG155" s="81"/>
      <c r="EH155" s="81"/>
      <c r="EI155" s="81"/>
      <c r="EJ155" s="81"/>
      <c r="EK155" s="81"/>
      <c r="EL155" s="81"/>
      <c r="EM155" s="81"/>
      <c r="EN155" s="81"/>
      <c r="EO155" s="81"/>
      <c r="EP155" s="103"/>
      <c r="EQ155" s="103"/>
      <c r="ER155" s="103"/>
      <c r="ES155" s="82"/>
      <c r="ET155" s="56"/>
      <c r="EU155" s="71"/>
      <c r="EV155" s="71"/>
      <c r="EW155" s="81"/>
      <c r="EX155" s="81"/>
      <c r="EY155" s="81"/>
      <c r="EZ155" s="81"/>
      <c r="FA155" s="81"/>
      <c r="FB155" s="71"/>
      <c r="FC155" s="81"/>
      <c r="FD155" s="81"/>
      <c r="FE155" s="81"/>
      <c r="FF155" s="81"/>
      <c r="FG155" s="48"/>
    </row>
    <row r="156" spans="1:163" ht="14.25" hidden="1" outlineLevel="3">
      <c r="A156" s="48"/>
      <c r="B156" s="87" t="s">
        <v>159</v>
      </c>
      <c r="C156" s="276">
        <v>2</v>
      </c>
      <c r="D156" s="272" t="s">
        <v>154</v>
      </c>
      <c r="E156" s="48"/>
      <c r="F156" s="619">
        <f t="shared" si="816"/>
        <v>5.3820765625000003E-2</v>
      </c>
      <c r="G156" s="619">
        <f t="shared" si="817"/>
        <v>5.3820765625000003E-2</v>
      </c>
      <c r="H156" s="615">
        <f t="shared" si="818"/>
        <v>0</v>
      </c>
      <c r="I156" s="615">
        <f t="shared" si="819"/>
        <v>0</v>
      </c>
      <c r="J156" s="615">
        <f t="shared" si="820"/>
        <v>0</v>
      </c>
      <c r="K156" s="615">
        <f t="shared" si="821"/>
        <v>0</v>
      </c>
      <c r="L156" s="615">
        <f t="shared" si="822"/>
        <v>0</v>
      </c>
      <c r="M156" s="620">
        <f t="shared" si="823"/>
        <v>0</v>
      </c>
      <c r="N156" s="287"/>
      <c r="O156" s="615">
        <f t="shared" si="824"/>
        <v>0</v>
      </c>
      <c r="P156" s="615">
        <f t="shared" si="825"/>
        <v>0</v>
      </c>
      <c r="Q156" s="615">
        <f t="shared" si="826"/>
        <v>0</v>
      </c>
      <c r="R156" s="615">
        <f t="shared" si="827"/>
        <v>0</v>
      </c>
      <c r="S156" s="615">
        <f t="shared" si="828"/>
        <v>0</v>
      </c>
      <c r="T156" s="48"/>
      <c r="U156" s="519">
        <v>0</v>
      </c>
      <c r="V156" s="131"/>
      <c r="W156" s="338"/>
      <c r="X156" s="619">
        <f t="shared" si="700"/>
        <v>0</v>
      </c>
      <c r="Y156" s="339"/>
      <c r="Z156" s="339"/>
      <c r="AA156" s="615">
        <f t="shared" si="778"/>
        <v>0</v>
      </c>
      <c r="AB156" s="615">
        <f t="shared" si="779"/>
        <v>0</v>
      </c>
      <c r="AC156" s="615">
        <f t="shared" si="780"/>
        <v>0</v>
      </c>
      <c r="AD156" s="620">
        <f t="shared" si="781"/>
        <v>0</v>
      </c>
      <c r="AE156" s="287"/>
      <c r="AF156" s="339"/>
      <c r="AG156" s="339"/>
      <c r="AH156" s="339"/>
      <c r="AI156" s="339"/>
      <c r="AJ156" s="339"/>
      <c r="AK156" s="339"/>
      <c r="AL156" s="603"/>
      <c r="AM156" s="603"/>
      <c r="AN156" s="603"/>
      <c r="AO156" s="341"/>
      <c r="AP156" s="359"/>
      <c r="AQ156" s="328"/>
      <c r="AR156" s="328"/>
      <c r="AS156" s="328"/>
      <c r="AT156" s="328"/>
      <c r="AU156" s="328"/>
      <c r="AV156" s="328"/>
      <c r="AW156" s="328"/>
      <c r="AX156" s="328"/>
      <c r="AY156" s="328"/>
      <c r="AZ156" s="328"/>
      <c r="BA156" s="328"/>
      <c r="BB156" s="328"/>
      <c r="BC156" s="328"/>
      <c r="BD156" s="328"/>
      <c r="BE156" s="525">
        <v>0.25</v>
      </c>
      <c r="BF156" s="343"/>
      <c r="BG156" s="616">
        <f>$BG$154/$BE$150*BE156</f>
        <v>5.3820765625000003E-2</v>
      </c>
      <c r="BH156" s="618">
        <f t="shared" si="717"/>
        <v>5.3820765625000003E-2</v>
      </c>
      <c r="BI156" s="615">
        <f>IFERROR(IF(BV156=100%,BG156,0),0)</f>
        <v>5.3820765625000003E-2</v>
      </c>
      <c r="BJ156" s="615">
        <f>IFERROR(IF(AND((BV156+BW156)=100%,BV156&lt;1),BG156,0),0)</f>
        <v>0</v>
      </c>
      <c r="BK156" s="615">
        <f t="shared" si="782"/>
        <v>0</v>
      </c>
      <c r="BL156" s="615">
        <f t="shared" si="783"/>
        <v>0</v>
      </c>
      <c r="BM156" s="615">
        <f t="shared" si="784"/>
        <v>0</v>
      </c>
      <c r="BN156" s="615">
        <f t="shared" si="785"/>
        <v>0</v>
      </c>
      <c r="BO156" s="339"/>
      <c r="BP156" s="615">
        <f t="shared" si="786"/>
        <v>0</v>
      </c>
      <c r="BQ156" s="615">
        <f>IFERROR(IF(AND((CA156+CI156)=BZ156,BI156=0),BG156,0),0)</f>
        <v>0</v>
      </c>
      <c r="BR156" s="615">
        <f>IFERROR(IF(AND((CA156+CI156+CJ156)=BZ156,BI156=0,BQ156=0),BG156,0),0)</f>
        <v>0</v>
      </c>
      <c r="BS156" s="615">
        <f>IFERROR(IF(AND((CA156+CI156+CJ156+CK156)=BZ156,BI156=0,BQ156=0,BR156=0),BG156,0),0)</f>
        <v>0</v>
      </c>
      <c r="BT156" s="615">
        <f>IFERROR(IF(AND((CA156+CI156+CJ156+CK156+CL156)=BZ156,BI156=0,BQ156=0,BR156=0,BS156=0),BG156,0),0)</f>
        <v>0</v>
      </c>
      <c r="BU156" s="339"/>
      <c r="BV156" s="635">
        <f t="shared" si="787"/>
        <v>1</v>
      </c>
      <c r="BW156" s="635">
        <f t="shared" si="788"/>
        <v>0</v>
      </c>
      <c r="BX156" s="635">
        <f t="shared" si="789"/>
        <v>0</v>
      </c>
      <c r="BY156" s="341"/>
      <c r="BZ156" s="615">
        <f>COUNTIF('ST | Drawing List'!$H:$H,"ST-SS2-2")</f>
        <v>3</v>
      </c>
      <c r="CA156" s="616">
        <f>COUNTIFS('ST | Drawing List'!$H:$H,"ST-SS2-2",'ST | Drawing List'!$J:$J,1)</f>
        <v>3</v>
      </c>
      <c r="CB156" s="623">
        <f>COUNTIFS('ST | Drawing List'!$H:$H,"ST-SS2-2",'ST | Drawing List'!$L:$L,1)</f>
        <v>0</v>
      </c>
      <c r="CC156" s="616">
        <f>COUNTIFS('ST | Drawing List'!$H:$H,"ST-SS2-2",'ST | Drawing List'!M:M,1)</f>
        <v>0</v>
      </c>
      <c r="CD156" s="616">
        <f>COUNTIFS('ST | Drawing List'!$H:$H,"ST-SS2-2",'ST | Drawing List'!N:N,1)</f>
        <v>0</v>
      </c>
      <c r="CE156" s="616">
        <f>COUNTIFS('ST | Drawing List'!$H:$H,"ST-SS2-2",'ST | Drawing List'!O:O,1)</f>
        <v>0</v>
      </c>
      <c r="CF156" s="616">
        <f>COUNTIFS('ST | Drawing List'!$H:$H,"ST-SS2-2",'ST | Drawing List'!P:P,1)</f>
        <v>0</v>
      </c>
      <c r="CG156" s="532"/>
      <c r="CH156" s="623">
        <f>COUNTIFS('ST | Drawing List'!$H:$H,"ST-SS2-2",'ST | Drawing List'!$Q:$Q,1)</f>
        <v>0</v>
      </c>
      <c r="CI156" s="616">
        <f>COUNTIFS('ST | Drawing List'!$H:$H,"ST-SS2-2",'ST | Drawing List'!R:R,1)</f>
        <v>0</v>
      </c>
      <c r="CJ156" s="616">
        <f>COUNTIFS('ST | Drawing List'!$H:$H,"ST-SS2-2",'ST | Drawing List'!S:S,1)</f>
        <v>0</v>
      </c>
      <c r="CK156" s="616">
        <f>COUNTIFS('ST | Drawing List'!$H:$H,"ST-SS2-2",'ST | Drawing List'!T:T,1)</f>
        <v>0</v>
      </c>
      <c r="CL156" s="616">
        <f>COUNTIFS('ST | Drawing List'!$H:$H,"ST-SS2-2",'ST | Drawing List'!U:U,1)</f>
        <v>0</v>
      </c>
      <c r="CM156" s="343"/>
      <c r="CN156" s="343"/>
      <c r="CO156" s="525">
        <v>0</v>
      </c>
      <c r="CP156" s="343"/>
      <c r="CQ156" s="344"/>
      <c r="CR156" s="618">
        <f t="shared" si="733"/>
        <v>0</v>
      </c>
      <c r="CS156" s="339"/>
      <c r="CT156" s="339"/>
      <c r="CU156" s="339"/>
      <c r="CV156" s="339"/>
      <c r="CW156" s="339"/>
      <c r="CX156" s="339"/>
      <c r="CY156" s="339"/>
      <c r="CZ156" s="339"/>
      <c r="DA156" s="339"/>
      <c r="DB156" s="339"/>
      <c r="DC156" s="339"/>
      <c r="DD156" s="339"/>
      <c r="DE156" s="339"/>
      <c r="DF156" s="603"/>
      <c r="DG156" s="603"/>
      <c r="DH156" s="603"/>
      <c r="DI156" s="341"/>
      <c r="DJ156" s="359"/>
      <c r="DK156" s="328"/>
      <c r="DL156" s="328"/>
      <c r="DM156" s="339"/>
      <c r="DN156" s="339"/>
      <c r="DO156" s="339"/>
      <c r="DP156" s="339"/>
      <c r="DQ156" s="339"/>
      <c r="DR156" s="328"/>
      <c r="DS156" s="339"/>
      <c r="DT156" s="339"/>
      <c r="DU156" s="339"/>
      <c r="DV156" s="339"/>
      <c r="DW156" s="343"/>
      <c r="DX156" s="343"/>
      <c r="DY156" s="525">
        <v>0</v>
      </c>
      <c r="DZ156" s="343"/>
      <c r="EA156" s="344"/>
      <c r="EB156" s="618">
        <f t="shared" si="748"/>
        <v>0</v>
      </c>
      <c r="EC156" s="81"/>
      <c r="ED156" s="81"/>
      <c r="EE156" s="81"/>
      <c r="EF156" s="81"/>
      <c r="EG156" s="81"/>
      <c r="EH156" s="81"/>
      <c r="EI156" s="81"/>
      <c r="EJ156" s="81"/>
      <c r="EK156" s="81"/>
      <c r="EL156" s="81"/>
      <c r="EM156" s="81"/>
      <c r="EN156" s="81"/>
      <c r="EO156" s="81"/>
      <c r="EP156" s="103"/>
      <c r="EQ156" s="103"/>
      <c r="ER156" s="103"/>
      <c r="ES156" s="82"/>
      <c r="ET156" s="56"/>
      <c r="EU156" s="71"/>
      <c r="EV156" s="71"/>
      <c r="EW156" s="81"/>
      <c r="EX156" s="81"/>
      <c r="EY156" s="81"/>
      <c r="EZ156" s="81"/>
      <c r="FA156" s="81"/>
      <c r="FB156" s="71"/>
      <c r="FC156" s="81"/>
      <c r="FD156" s="81"/>
      <c r="FE156" s="81"/>
      <c r="FF156" s="81"/>
      <c r="FG156" s="48"/>
    </row>
    <row r="157" spans="1:163" ht="14.25" hidden="1" outlineLevel="2">
      <c r="A157" s="48"/>
      <c r="B157" s="100"/>
      <c r="C157" s="279"/>
      <c r="D157" s="272"/>
      <c r="E157" s="48"/>
      <c r="F157" s="338"/>
      <c r="G157" s="619"/>
      <c r="H157" s="339"/>
      <c r="I157" s="339"/>
      <c r="J157" s="615"/>
      <c r="K157" s="615"/>
      <c r="L157" s="615"/>
      <c r="M157" s="620"/>
      <c r="N157" s="287"/>
      <c r="O157" s="339"/>
      <c r="P157" s="339"/>
      <c r="Q157" s="339"/>
      <c r="R157" s="339"/>
      <c r="S157" s="339"/>
      <c r="T157" s="48"/>
      <c r="U157" s="519"/>
      <c r="V157" s="131"/>
      <c r="W157" s="338"/>
      <c r="X157" s="619">
        <f t="shared" si="700"/>
        <v>0</v>
      </c>
      <c r="Y157" s="339"/>
      <c r="Z157" s="339"/>
      <c r="AA157" s="615">
        <f t="shared" si="778"/>
        <v>0</v>
      </c>
      <c r="AB157" s="615">
        <f t="shared" si="779"/>
        <v>0</v>
      </c>
      <c r="AC157" s="615">
        <f t="shared" si="780"/>
        <v>0</v>
      </c>
      <c r="AD157" s="620">
        <f t="shared" si="781"/>
        <v>0</v>
      </c>
      <c r="AE157" s="287"/>
      <c r="AF157" s="339"/>
      <c r="AG157" s="339"/>
      <c r="AH157" s="339"/>
      <c r="AI157" s="339"/>
      <c r="AJ157" s="339"/>
      <c r="AK157" s="339"/>
      <c r="AL157" s="603"/>
      <c r="AM157" s="603"/>
      <c r="AN157" s="603"/>
      <c r="AO157" s="341"/>
      <c r="AP157" s="359"/>
      <c r="AQ157" s="328"/>
      <c r="AR157" s="328"/>
      <c r="AS157" s="328"/>
      <c r="AT157" s="328"/>
      <c r="AU157" s="328"/>
      <c r="AV157" s="328"/>
      <c r="AW157" s="328"/>
      <c r="AX157" s="328"/>
      <c r="AY157" s="328"/>
      <c r="AZ157" s="328"/>
      <c r="BA157" s="328"/>
      <c r="BB157" s="328"/>
      <c r="BC157" s="328"/>
      <c r="BD157" s="328"/>
      <c r="BE157" s="525"/>
      <c r="BF157" s="343"/>
      <c r="BG157" s="344"/>
      <c r="BH157" s="618">
        <f t="shared" si="717"/>
        <v>0</v>
      </c>
      <c r="BI157" s="339"/>
      <c r="BJ157" s="339"/>
      <c r="BK157" s="615">
        <f t="shared" si="782"/>
        <v>0</v>
      </c>
      <c r="BL157" s="615">
        <f t="shared" si="783"/>
        <v>0</v>
      </c>
      <c r="BM157" s="615">
        <f t="shared" si="784"/>
        <v>0</v>
      </c>
      <c r="BN157" s="615">
        <f t="shared" si="785"/>
        <v>0</v>
      </c>
      <c r="BO157" s="339"/>
      <c r="BP157" s="615">
        <f t="shared" si="786"/>
        <v>0</v>
      </c>
      <c r="BQ157" s="339"/>
      <c r="BR157" s="339"/>
      <c r="BS157" s="339"/>
      <c r="BT157" s="339"/>
      <c r="BU157" s="339"/>
      <c r="BV157" s="635">
        <f t="shared" si="787"/>
        <v>0</v>
      </c>
      <c r="BW157" s="635">
        <f t="shared" si="788"/>
        <v>0</v>
      </c>
      <c r="BX157" s="635">
        <f t="shared" si="789"/>
        <v>0</v>
      </c>
      <c r="BY157" s="341"/>
      <c r="BZ157" s="540"/>
      <c r="CA157" s="532"/>
      <c r="CB157" s="539"/>
      <c r="CC157" s="536"/>
      <c r="CD157" s="536"/>
      <c r="CE157" s="536"/>
      <c r="CF157" s="536"/>
      <c r="CG157" s="536"/>
      <c r="CH157" s="539"/>
      <c r="CI157" s="536"/>
      <c r="CJ157" s="536"/>
      <c r="CK157" s="536"/>
      <c r="CL157" s="536"/>
      <c r="CM157" s="343"/>
      <c r="CN157" s="343"/>
      <c r="CO157" s="525"/>
      <c r="CP157" s="343"/>
      <c r="CQ157" s="344"/>
      <c r="CR157" s="618">
        <f t="shared" si="733"/>
        <v>0</v>
      </c>
      <c r="CS157" s="339"/>
      <c r="CT157" s="339"/>
      <c r="CU157" s="339"/>
      <c r="CV157" s="339"/>
      <c r="CW157" s="339"/>
      <c r="CX157" s="339"/>
      <c r="CY157" s="339"/>
      <c r="CZ157" s="339"/>
      <c r="DA157" s="339"/>
      <c r="DB157" s="339"/>
      <c r="DC157" s="339"/>
      <c r="DD157" s="339"/>
      <c r="DE157" s="339"/>
      <c r="DF157" s="603"/>
      <c r="DG157" s="603"/>
      <c r="DH157" s="603"/>
      <c r="DI157" s="341"/>
      <c r="DJ157" s="359"/>
      <c r="DK157" s="328"/>
      <c r="DL157" s="328"/>
      <c r="DM157" s="339"/>
      <c r="DN157" s="339"/>
      <c r="DO157" s="339"/>
      <c r="DP157" s="339"/>
      <c r="DQ157" s="339"/>
      <c r="DR157" s="328"/>
      <c r="DS157" s="339"/>
      <c r="DT157" s="339"/>
      <c r="DU157" s="339"/>
      <c r="DV157" s="339"/>
      <c r="DW157" s="343"/>
      <c r="DX157" s="343"/>
      <c r="DY157" s="525"/>
      <c r="DZ157" s="343"/>
      <c r="EA157" s="344"/>
      <c r="EB157" s="618">
        <f t="shared" si="748"/>
        <v>0</v>
      </c>
      <c r="EC157" s="81"/>
      <c r="ED157" s="81"/>
      <c r="EE157" s="81"/>
      <c r="EF157" s="81"/>
      <c r="EG157" s="81"/>
      <c r="EH157" s="81"/>
      <c r="EI157" s="81"/>
      <c r="EJ157" s="81"/>
      <c r="EK157" s="81"/>
      <c r="EL157" s="81"/>
      <c r="EM157" s="81"/>
      <c r="EN157" s="81"/>
      <c r="EO157" s="81"/>
      <c r="EP157" s="103"/>
      <c r="EQ157" s="103"/>
      <c r="ER157" s="103"/>
      <c r="ES157" s="82"/>
      <c r="ET157" s="56"/>
      <c r="EU157" s="71"/>
      <c r="EV157" s="71"/>
      <c r="EW157" s="81"/>
      <c r="EX157" s="81"/>
      <c r="EY157" s="81"/>
      <c r="EZ157" s="81"/>
      <c r="FA157" s="81"/>
      <c r="FB157" s="71"/>
      <c r="FC157" s="81"/>
      <c r="FD157" s="81"/>
      <c r="FE157" s="81"/>
      <c r="FF157" s="81"/>
      <c r="FG157" s="48"/>
    </row>
    <row r="158" spans="1:163" ht="14.25" hidden="1" outlineLevel="2">
      <c r="A158" s="48"/>
      <c r="B158" s="100">
        <v>2.2999999999999998</v>
      </c>
      <c r="C158" s="279">
        <v>2.2999999999999998</v>
      </c>
      <c r="D158" s="274" t="s">
        <v>161</v>
      </c>
      <c r="E158" s="48"/>
      <c r="F158" s="322"/>
      <c r="G158" s="630"/>
      <c r="H158" s="375"/>
      <c r="I158" s="375"/>
      <c r="J158" s="615"/>
      <c r="K158" s="615"/>
      <c r="L158" s="615"/>
      <c r="M158" s="620"/>
      <c r="N158" s="287"/>
      <c r="O158" s="375"/>
      <c r="P158" s="339"/>
      <c r="Q158" s="339"/>
      <c r="R158" s="339"/>
      <c r="S158" s="339"/>
      <c r="T158" s="48"/>
      <c r="U158" s="553">
        <v>0</v>
      </c>
      <c r="V158" s="371"/>
      <c r="W158" s="322">
        <v>0</v>
      </c>
      <c r="X158" s="630">
        <f t="shared" si="700"/>
        <v>0</v>
      </c>
      <c r="Y158" s="375"/>
      <c r="Z158" s="375"/>
      <c r="AA158" s="615">
        <f t="shared" si="778"/>
        <v>0</v>
      </c>
      <c r="AB158" s="615">
        <f t="shared" si="779"/>
        <v>0</v>
      </c>
      <c r="AC158" s="615">
        <f t="shared" si="780"/>
        <v>0</v>
      </c>
      <c r="AD158" s="620">
        <f t="shared" si="781"/>
        <v>0</v>
      </c>
      <c r="AE158" s="287"/>
      <c r="AF158" s="375"/>
      <c r="AG158" s="339"/>
      <c r="AH158" s="339"/>
      <c r="AI158" s="339"/>
      <c r="AJ158" s="339"/>
      <c r="AK158" s="339"/>
      <c r="AL158" s="604"/>
      <c r="AM158" s="604"/>
      <c r="AN158" s="604"/>
      <c r="AO158" s="345"/>
      <c r="AP158" s="376"/>
      <c r="AQ158" s="376"/>
      <c r="AR158" s="376"/>
      <c r="AS158" s="328"/>
      <c r="AT158" s="328"/>
      <c r="AU158" s="328"/>
      <c r="AV158" s="328"/>
      <c r="AW158" s="328"/>
      <c r="AX158" s="376"/>
      <c r="AY158" s="328"/>
      <c r="AZ158" s="328"/>
      <c r="BA158" s="328"/>
      <c r="BB158" s="328"/>
      <c r="BC158" s="376"/>
      <c r="BD158" s="376"/>
      <c r="BE158" s="606">
        <f>SUM(BE159:BE160)</f>
        <v>0.5</v>
      </c>
      <c r="BF158" s="371"/>
      <c r="BG158" s="607">
        <f>$BG$144*(95%/12)</f>
        <v>0.10764153125000001</v>
      </c>
      <c r="BH158" s="606">
        <f t="shared" si="717"/>
        <v>0.10764153125000001</v>
      </c>
      <c r="BI158" s="607">
        <f>SUM(BI159:BI160)</f>
        <v>0.10764153125000001</v>
      </c>
      <c r="BJ158" s="607">
        <f>SUM(BJ159:BJ160)</f>
        <v>0</v>
      </c>
      <c r="BK158" s="615">
        <f t="shared" si="782"/>
        <v>0</v>
      </c>
      <c r="BL158" s="615">
        <f t="shared" si="783"/>
        <v>0</v>
      </c>
      <c r="BM158" s="615">
        <f t="shared" si="784"/>
        <v>0</v>
      </c>
      <c r="BN158" s="615">
        <f t="shared" si="785"/>
        <v>0</v>
      </c>
      <c r="BO158" s="339"/>
      <c r="BP158" s="615">
        <f t="shared" si="786"/>
        <v>0</v>
      </c>
      <c r="BQ158" s="339"/>
      <c r="BR158" s="339"/>
      <c r="BS158" s="339"/>
      <c r="BT158" s="339"/>
      <c r="BU158" s="339"/>
      <c r="BV158" s="635">
        <f t="shared" si="787"/>
        <v>0</v>
      </c>
      <c r="BW158" s="635">
        <f t="shared" si="788"/>
        <v>0</v>
      </c>
      <c r="BX158" s="635">
        <f t="shared" si="789"/>
        <v>0</v>
      </c>
      <c r="BY158" s="345"/>
      <c r="BZ158" s="546"/>
      <c r="CA158" s="546"/>
      <c r="CB158" s="547"/>
      <c r="CC158" s="546"/>
      <c r="CD158" s="546"/>
      <c r="CE158" s="546"/>
      <c r="CF158" s="546"/>
      <c r="CG158" s="546"/>
      <c r="CH158" s="547"/>
      <c r="CI158" s="546"/>
      <c r="CJ158" s="546"/>
      <c r="CK158" s="546"/>
      <c r="CL158" s="546"/>
      <c r="CM158" s="371"/>
      <c r="CN158" s="371"/>
      <c r="CO158" s="553">
        <v>0</v>
      </c>
      <c r="CP158" s="371"/>
      <c r="CQ158" s="331"/>
      <c r="CR158" s="606">
        <f t="shared" si="733"/>
        <v>0</v>
      </c>
      <c r="CS158" s="375"/>
      <c r="CT158" s="375"/>
      <c r="CU158" s="375"/>
      <c r="CV158" s="375"/>
      <c r="CW158" s="375"/>
      <c r="CX158" s="375"/>
      <c r="CY158" s="375"/>
      <c r="CZ158" s="375"/>
      <c r="DA158" s="375"/>
      <c r="DB158" s="375"/>
      <c r="DC158" s="375"/>
      <c r="DD158" s="375"/>
      <c r="DE158" s="375"/>
      <c r="DF158" s="604"/>
      <c r="DG158" s="604"/>
      <c r="DH158" s="604"/>
      <c r="DI158" s="345"/>
      <c r="DJ158" s="376"/>
      <c r="DK158" s="376"/>
      <c r="DL158" s="376"/>
      <c r="DM158" s="375"/>
      <c r="DN158" s="375"/>
      <c r="DO158" s="375"/>
      <c r="DP158" s="375"/>
      <c r="DQ158" s="375"/>
      <c r="DR158" s="376"/>
      <c r="DS158" s="375"/>
      <c r="DT158" s="375"/>
      <c r="DU158" s="375"/>
      <c r="DV158" s="375"/>
      <c r="DW158" s="371"/>
      <c r="DX158" s="371"/>
      <c r="DY158" s="553">
        <v>0</v>
      </c>
      <c r="DZ158" s="371"/>
      <c r="EA158" s="331"/>
      <c r="EB158" s="606">
        <f t="shared" si="748"/>
        <v>0</v>
      </c>
      <c r="EC158" s="101"/>
      <c r="ED158" s="101"/>
      <c r="EE158" s="101"/>
      <c r="EF158" s="101"/>
      <c r="EG158" s="101"/>
      <c r="EH158" s="101"/>
      <c r="EI158" s="101"/>
      <c r="EJ158" s="101"/>
      <c r="EK158" s="101"/>
      <c r="EL158" s="101"/>
      <c r="EM158" s="101"/>
      <c r="EN158" s="101"/>
      <c r="EO158" s="101"/>
      <c r="EP158" s="639"/>
      <c r="EQ158" s="639"/>
      <c r="ER158" s="639"/>
      <c r="ES158" s="55"/>
      <c r="ET158" s="102"/>
      <c r="EU158" s="102"/>
      <c r="EV158" s="102"/>
      <c r="EW158" s="101"/>
      <c r="EX158" s="101"/>
      <c r="EY158" s="101"/>
      <c r="EZ158" s="101"/>
      <c r="FA158" s="101"/>
      <c r="FB158" s="102"/>
      <c r="FC158" s="101"/>
      <c r="FD158" s="101"/>
      <c r="FE158" s="101"/>
      <c r="FF158" s="101"/>
      <c r="FG158" s="48"/>
    </row>
    <row r="159" spans="1:163" ht="14.25" hidden="1" outlineLevel="3">
      <c r="A159" s="48"/>
      <c r="B159" s="87" t="s">
        <v>158</v>
      </c>
      <c r="C159" s="276">
        <v>1</v>
      </c>
      <c r="D159" s="272" t="s">
        <v>152</v>
      </c>
      <c r="E159" s="48"/>
      <c r="F159" s="619">
        <f t="shared" ref="F159:F160" si="829">W159+BG159+CQ159+EA159</f>
        <v>5.3820765625000003E-2</v>
      </c>
      <c r="G159" s="619">
        <f t="shared" ref="G159:G160" si="830">X159+BH159+CR159+EB159</f>
        <v>5.3820765625000003E-2</v>
      </c>
      <c r="H159" s="615">
        <f t="shared" ref="H159:H160" si="831">F159-G159</f>
        <v>0</v>
      </c>
      <c r="I159" s="615">
        <f t="shared" ref="I159:I160" si="832">Z159+BJ159+CT159+ED159</f>
        <v>0</v>
      </c>
      <c r="J159" s="615">
        <f t="shared" ref="J159:J160" si="833">AA159+BK159+CU159+EE159</f>
        <v>0</v>
      </c>
      <c r="K159" s="615">
        <f t="shared" ref="K159:K160" si="834">AB159+BL159+CV159+EF159</f>
        <v>0</v>
      </c>
      <c r="L159" s="615">
        <f t="shared" ref="L159:L160" si="835">AC159+BM159+CW159+EG159</f>
        <v>0</v>
      </c>
      <c r="M159" s="620">
        <f t="shared" ref="M159:M160" si="836">AD159+BN159+CX159+EH159</f>
        <v>0</v>
      </c>
      <c r="N159" s="287"/>
      <c r="O159" s="615">
        <f t="shared" ref="O159:O160" si="837">AF159+BP159+CZ159+EJ159</f>
        <v>0</v>
      </c>
      <c r="P159" s="615">
        <f t="shared" ref="P159:P160" si="838">AG159+BQ159+DA159+EK159</f>
        <v>0</v>
      </c>
      <c r="Q159" s="615">
        <f t="shared" ref="Q159:Q160" si="839">AH159+BR159+DB159+EL159</f>
        <v>0</v>
      </c>
      <c r="R159" s="615">
        <f t="shared" ref="R159:R160" si="840">AI159+BS159+DC159+EM159</f>
        <v>0</v>
      </c>
      <c r="S159" s="615">
        <f t="shared" ref="S159:S160" si="841">AJ159+BT159+DD159+EN159</f>
        <v>0</v>
      </c>
      <c r="T159" s="48"/>
      <c r="U159" s="519">
        <v>0</v>
      </c>
      <c r="V159" s="131"/>
      <c r="W159" s="322"/>
      <c r="X159" s="630">
        <f t="shared" si="700"/>
        <v>0</v>
      </c>
      <c r="Y159" s="283"/>
      <c r="Z159" s="283"/>
      <c r="AA159" s="615">
        <f t="shared" si="778"/>
        <v>0</v>
      </c>
      <c r="AB159" s="615">
        <f t="shared" si="779"/>
        <v>0</v>
      </c>
      <c r="AC159" s="615">
        <f t="shared" si="780"/>
        <v>0</v>
      </c>
      <c r="AD159" s="620">
        <f t="shared" si="781"/>
        <v>0</v>
      </c>
      <c r="AE159" s="287"/>
      <c r="AF159" s="283"/>
      <c r="AG159" s="339"/>
      <c r="AH159" s="339"/>
      <c r="AI159" s="339"/>
      <c r="AJ159" s="339"/>
      <c r="AK159" s="339"/>
      <c r="AL159" s="604"/>
      <c r="AM159" s="604"/>
      <c r="AN159" s="604"/>
      <c r="AO159" s="347"/>
      <c r="AP159" s="376"/>
      <c r="AQ159" s="376"/>
      <c r="AR159" s="376"/>
      <c r="AS159" s="328"/>
      <c r="AT159" s="328"/>
      <c r="AU159" s="328"/>
      <c r="AV159" s="328"/>
      <c r="AW159" s="328"/>
      <c r="AX159" s="376"/>
      <c r="AY159" s="328"/>
      <c r="AZ159" s="328"/>
      <c r="BA159" s="328"/>
      <c r="BB159" s="328"/>
      <c r="BC159" s="376"/>
      <c r="BD159" s="376"/>
      <c r="BE159" s="525">
        <v>0.25</v>
      </c>
      <c r="BF159" s="343"/>
      <c r="BG159" s="616">
        <f>$BG$158/$BE$158*BE159</f>
        <v>5.3820765625000003E-2</v>
      </c>
      <c r="BH159" s="606">
        <f t="shared" si="717"/>
        <v>5.3820765625000003E-2</v>
      </c>
      <c r="BI159" s="615">
        <f>IFERROR(IF(BV159=100%,BG159,0),0)</f>
        <v>5.3820765625000003E-2</v>
      </c>
      <c r="BJ159" s="615">
        <f>IFERROR(IF(AND((BV159+BW159)=100%,BV159&lt;1),BG159,0),0)</f>
        <v>0</v>
      </c>
      <c r="BK159" s="615">
        <f t="shared" si="782"/>
        <v>0</v>
      </c>
      <c r="BL159" s="615">
        <f t="shared" si="783"/>
        <v>0</v>
      </c>
      <c r="BM159" s="615">
        <f t="shared" si="784"/>
        <v>0</v>
      </c>
      <c r="BN159" s="615">
        <f t="shared" si="785"/>
        <v>0</v>
      </c>
      <c r="BO159" s="339"/>
      <c r="BP159" s="615">
        <f t="shared" si="786"/>
        <v>0</v>
      </c>
      <c r="BQ159" s="615">
        <f>IFERROR(IF(AND((CA159+CI159)=BZ159,BI159=0),BG159,0),0)</f>
        <v>0</v>
      </c>
      <c r="BR159" s="615">
        <f>IFERROR(IF(AND((CA159+CI159+CJ159)=BZ159,BI159=0,BQ159=0),BG159,0),0)</f>
        <v>0</v>
      </c>
      <c r="BS159" s="615">
        <f>IFERROR(IF(AND((CA159+CI159+CJ159+CK159)=BZ159,BI159=0,BQ159=0,BR159=0),BG159,0),0)</f>
        <v>0</v>
      </c>
      <c r="BT159" s="615">
        <f>IFERROR(IF(AND((CA159+CI159+CJ159+CK159+CL159)=BZ159,BI159=0,BQ159=0,BR159=0,BS159=0),BG159,0),0)</f>
        <v>0</v>
      </c>
      <c r="BU159" s="339"/>
      <c r="BV159" s="635">
        <f t="shared" si="787"/>
        <v>1</v>
      </c>
      <c r="BW159" s="635">
        <f t="shared" si="788"/>
        <v>0</v>
      </c>
      <c r="BX159" s="635">
        <f t="shared" si="789"/>
        <v>0</v>
      </c>
      <c r="BY159" s="347"/>
      <c r="BZ159" s="615">
        <f>COUNTIF('ST | Drawing List'!$H:$H,"ST-SS3-1")</f>
        <v>3</v>
      </c>
      <c r="CA159" s="616">
        <f>COUNTIFS('ST | Drawing List'!$H:$H,"ST-SS3-1",'ST | Drawing List'!$J:$J,1)</f>
        <v>3</v>
      </c>
      <c r="CB159" s="623">
        <f>COUNTIFS('ST | Drawing List'!$H:$H,"ST-SS3-1",'ST | Drawing List'!$L:$L,1)</f>
        <v>0</v>
      </c>
      <c r="CC159" s="616">
        <f>COUNTIFS('ST | Drawing List'!$H:$H,"ST-SS3-1",'ST | Drawing List'!M:M,1)</f>
        <v>0</v>
      </c>
      <c r="CD159" s="616">
        <f>COUNTIFS('ST | Drawing List'!$H:$H,"ST-SS3-1",'ST | Drawing List'!N:N,1)</f>
        <v>0</v>
      </c>
      <c r="CE159" s="616">
        <f>COUNTIFS('ST | Drawing List'!$H:$H,"ST-SS3-1",'ST | Drawing List'!O:O,1)</f>
        <v>0</v>
      </c>
      <c r="CF159" s="616">
        <f>COUNTIFS('ST | Drawing List'!$H:$H,"ST-SS3-1",'ST | Drawing List'!P:P,1)</f>
        <v>0</v>
      </c>
      <c r="CG159" s="532"/>
      <c r="CH159" s="623">
        <f>COUNTIFS('ST | Drawing List'!$H:$H,"ST-SS3-1",'ST | Drawing List'!$Q:$Q,1)</f>
        <v>0</v>
      </c>
      <c r="CI159" s="616">
        <f>COUNTIFS('ST | Drawing List'!$H:$H,"ST-SS3-1",'ST | Drawing List'!R:R,1)</f>
        <v>0</v>
      </c>
      <c r="CJ159" s="616">
        <f>COUNTIFS('ST | Drawing List'!$H:$H,"ST-SS3-1",'ST | Drawing List'!S:S,1)</f>
        <v>0</v>
      </c>
      <c r="CK159" s="616">
        <f>COUNTIFS('ST | Drawing List'!$H:$H,"ST-SS3-1",'ST | Drawing List'!T:T,1)</f>
        <v>0</v>
      </c>
      <c r="CL159" s="616">
        <f>COUNTIFS('ST | Drawing List'!$H:$H,"ST-SS3-1",'ST | Drawing List'!U:U,1)</f>
        <v>0</v>
      </c>
      <c r="CM159" s="343"/>
      <c r="CN159" s="343"/>
      <c r="CO159" s="525">
        <v>0</v>
      </c>
      <c r="CP159" s="343"/>
      <c r="CQ159" s="331"/>
      <c r="CR159" s="606">
        <f t="shared" si="733"/>
        <v>0</v>
      </c>
      <c r="CS159" s="283"/>
      <c r="CT159" s="283"/>
      <c r="CU159" s="283"/>
      <c r="CV159" s="283"/>
      <c r="CW159" s="283"/>
      <c r="CX159" s="283"/>
      <c r="CY159" s="283"/>
      <c r="CZ159" s="283"/>
      <c r="DA159" s="283"/>
      <c r="DB159" s="283"/>
      <c r="DC159" s="283"/>
      <c r="DD159" s="283"/>
      <c r="DE159" s="283"/>
      <c r="DF159" s="604"/>
      <c r="DG159" s="604"/>
      <c r="DH159" s="604"/>
      <c r="DI159" s="347"/>
      <c r="DJ159" s="376"/>
      <c r="DK159" s="376"/>
      <c r="DL159" s="376"/>
      <c r="DM159" s="283"/>
      <c r="DN159" s="283"/>
      <c r="DO159" s="283"/>
      <c r="DP159" s="283"/>
      <c r="DQ159" s="283"/>
      <c r="DR159" s="376"/>
      <c r="DS159" s="283"/>
      <c r="DT159" s="283"/>
      <c r="DU159" s="283"/>
      <c r="DV159" s="283"/>
      <c r="DW159" s="343"/>
      <c r="DX159" s="343"/>
      <c r="DY159" s="525">
        <v>0</v>
      </c>
      <c r="DZ159" s="343"/>
      <c r="EA159" s="331"/>
      <c r="EB159" s="606">
        <f t="shared" si="748"/>
        <v>0</v>
      </c>
      <c r="EC159" s="70"/>
      <c r="ED159" s="70"/>
      <c r="EE159" s="70"/>
      <c r="EF159" s="70"/>
      <c r="EG159" s="70"/>
      <c r="EH159" s="70"/>
      <c r="EI159" s="70"/>
      <c r="EJ159" s="70"/>
      <c r="EK159" s="70"/>
      <c r="EL159" s="70"/>
      <c r="EM159" s="70"/>
      <c r="EN159" s="70"/>
      <c r="EO159" s="70"/>
      <c r="EP159" s="639"/>
      <c r="EQ159" s="639"/>
      <c r="ER159" s="639"/>
      <c r="ES159" s="83"/>
      <c r="ET159" s="102"/>
      <c r="EU159" s="102"/>
      <c r="EV159" s="102"/>
      <c r="EW159" s="70"/>
      <c r="EX159" s="70"/>
      <c r="EY159" s="70"/>
      <c r="EZ159" s="70"/>
      <c r="FA159" s="70"/>
      <c r="FB159" s="102"/>
      <c r="FC159" s="70"/>
      <c r="FD159" s="70"/>
      <c r="FE159" s="70"/>
      <c r="FF159" s="70"/>
      <c r="FG159" s="48"/>
    </row>
    <row r="160" spans="1:163" ht="14.25" hidden="1" outlineLevel="3">
      <c r="A160" s="48"/>
      <c r="B160" s="87" t="s">
        <v>159</v>
      </c>
      <c r="C160" s="276">
        <v>2</v>
      </c>
      <c r="D160" s="272" t="s">
        <v>154</v>
      </c>
      <c r="E160" s="48"/>
      <c r="F160" s="619">
        <f t="shared" si="829"/>
        <v>5.3820765625000003E-2</v>
      </c>
      <c r="G160" s="619">
        <f t="shared" si="830"/>
        <v>5.3820765625000003E-2</v>
      </c>
      <c r="H160" s="615">
        <f t="shared" si="831"/>
        <v>0</v>
      </c>
      <c r="I160" s="615">
        <f t="shared" si="832"/>
        <v>0</v>
      </c>
      <c r="J160" s="615">
        <f t="shared" si="833"/>
        <v>0</v>
      </c>
      <c r="K160" s="615">
        <f t="shared" si="834"/>
        <v>0</v>
      </c>
      <c r="L160" s="615">
        <f t="shared" si="835"/>
        <v>0</v>
      </c>
      <c r="M160" s="620">
        <f t="shared" si="836"/>
        <v>0</v>
      </c>
      <c r="N160" s="287"/>
      <c r="O160" s="615">
        <f t="shared" si="837"/>
        <v>0</v>
      </c>
      <c r="P160" s="615">
        <f t="shared" si="838"/>
        <v>0</v>
      </c>
      <c r="Q160" s="615">
        <f t="shared" si="839"/>
        <v>0</v>
      </c>
      <c r="R160" s="615">
        <f t="shared" si="840"/>
        <v>0</v>
      </c>
      <c r="S160" s="615">
        <f t="shared" si="841"/>
        <v>0</v>
      </c>
      <c r="T160" s="48"/>
      <c r="U160" s="519">
        <v>0</v>
      </c>
      <c r="V160" s="131"/>
      <c r="W160" s="338"/>
      <c r="X160" s="619">
        <f t="shared" si="700"/>
        <v>0</v>
      </c>
      <c r="Y160" s="339"/>
      <c r="Z160" s="339"/>
      <c r="AA160" s="615">
        <f t="shared" si="778"/>
        <v>0</v>
      </c>
      <c r="AB160" s="615">
        <f t="shared" si="779"/>
        <v>0</v>
      </c>
      <c r="AC160" s="615">
        <f t="shared" si="780"/>
        <v>0</v>
      </c>
      <c r="AD160" s="620">
        <f t="shared" si="781"/>
        <v>0</v>
      </c>
      <c r="AE160" s="287"/>
      <c r="AF160" s="339"/>
      <c r="AG160" s="339"/>
      <c r="AH160" s="339"/>
      <c r="AI160" s="339"/>
      <c r="AJ160" s="339"/>
      <c r="AK160" s="339"/>
      <c r="AL160" s="604"/>
      <c r="AM160" s="604"/>
      <c r="AN160" s="604"/>
      <c r="AO160" s="341"/>
      <c r="AP160" s="376"/>
      <c r="AQ160" s="376"/>
      <c r="AR160" s="376"/>
      <c r="AS160" s="328"/>
      <c r="AT160" s="328"/>
      <c r="AU160" s="328"/>
      <c r="AV160" s="328"/>
      <c r="AW160" s="328"/>
      <c r="AX160" s="376"/>
      <c r="AY160" s="328"/>
      <c r="AZ160" s="328"/>
      <c r="BA160" s="328"/>
      <c r="BB160" s="328"/>
      <c r="BC160" s="376"/>
      <c r="BD160" s="376"/>
      <c r="BE160" s="525">
        <v>0.25</v>
      </c>
      <c r="BF160" s="343"/>
      <c r="BG160" s="616">
        <f>$BG$158/$BE$158*BE160</f>
        <v>5.3820765625000003E-2</v>
      </c>
      <c r="BH160" s="618">
        <f t="shared" si="717"/>
        <v>5.3820765625000003E-2</v>
      </c>
      <c r="BI160" s="615">
        <f>IFERROR(IF(BV160=100%,BG160,0),0)</f>
        <v>5.3820765625000003E-2</v>
      </c>
      <c r="BJ160" s="615">
        <f>IFERROR(IF(AND((BV160+BW160)=100%,BV160&lt;1),BG160,0),0)</f>
        <v>0</v>
      </c>
      <c r="BK160" s="615">
        <f t="shared" si="782"/>
        <v>0</v>
      </c>
      <c r="BL160" s="615">
        <f t="shared" si="783"/>
        <v>0</v>
      </c>
      <c r="BM160" s="615">
        <f t="shared" si="784"/>
        <v>0</v>
      </c>
      <c r="BN160" s="615">
        <f t="shared" si="785"/>
        <v>0</v>
      </c>
      <c r="BO160" s="339"/>
      <c r="BP160" s="615">
        <f t="shared" si="786"/>
        <v>0</v>
      </c>
      <c r="BQ160" s="615">
        <f>IFERROR(IF(AND((CA160+CI160)=BZ160,BI160=0),BG160,0),0)</f>
        <v>0</v>
      </c>
      <c r="BR160" s="615">
        <f>IFERROR(IF(AND((CA160+CI160+CJ160)=BZ160,BI160=0,BQ160=0),BG160,0),0)</f>
        <v>0</v>
      </c>
      <c r="BS160" s="615">
        <f>IFERROR(IF(AND((CA160+CI160+CJ160+CK160)=BZ160,BI160=0,BQ160=0,BR160=0),BG160,0),0)</f>
        <v>0</v>
      </c>
      <c r="BT160" s="615">
        <f>IFERROR(IF(AND((CA160+CI160+CJ160+CK160+CL160)=BZ160,BI160=0,BQ160=0,BR160=0,BS160=0),BG160,0),0)</f>
        <v>0</v>
      </c>
      <c r="BU160" s="339"/>
      <c r="BV160" s="635">
        <f t="shared" si="787"/>
        <v>1</v>
      </c>
      <c r="BW160" s="635">
        <f t="shared" si="788"/>
        <v>0</v>
      </c>
      <c r="BX160" s="635">
        <f t="shared" si="789"/>
        <v>0</v>
      </c>
      <c r="BY160" s="341"/>
      <c r="BZ160" s="615">
        <f>COUNTIF('ST | Drawing List'!$H:$H,"ST-SS3-2")</f>
        <v>3</v>
      </c>
      <c r="CA160" s="616">
        <f>COUNTIFS('ST | Drawing List'!$H:$H,"ST-SS3-2",'ST | Drawing List'!$J:$J,1)</f>
        <v>3</v>
      </c>
      <c r="CB160" s="623">
        <f>COUNTIFS('ST | Drawing List'!$H:$H,"ST-SS3-2",'ST | Drawing List'!$L:$L,1)</f>
        <v>0</v>
      </c>
      <c r="CC160" s="616">
        <f>COUNTIFS('ST | Drawing List'!$H:$H,"ST-SS3-2",'ST | Drawing List'!M:M,1)</f>
        <v>0</v>
      </c>
      <c r="CD160" s="616">
        <f>COUNTIFS('ST | Drawing List'!$H:$H,"ST-SS3-2",'ST | Drawing List'!N:N,1)</f>
        <v>0</v>
      </c>
      <c r="CE160" s="616">
        <f>COUNTIFS('ST | Drawing List'!$H:$H,"ST-SS3-2",'ST | Drawing List'!O:O,1)</f>
        <v>0</v>
      </c>
      <c r="CF160" s="616">
        <f>COUNTIFS('ST | Drawing List'!$H:$H,"ST-SS3-2",'ST | Drawing List'!P:P,1)</f>
        <v>0</v>
      </c>
      <c r="CG160" s="532"/>
      <c r="CH160" s="623">
        <f>COUNTIFS('ST | Drawing List'!$H:$H,"ST-SS3-2",'ST | Drawing List'!$Q:$Q,1)</f>
        <v>0</v>
      </c>
      <c r="CI160" s="616">
        <f>COUNTIFS('ST | Drawing List'!$H:$H,"ST-SS3-2",'ST | Drawing List'!R:R,1)</f>
        <v>0</v>
      </c>
      <c r="CJ160" s="616">
        <f>COUNTIFS('ST | Drawing List'!$H:$H,"ST-SS3-2",'ST | Drawing List'!S:S,1)</f>
        <v>0</v>
      </c>
      <c r="CK160" s="616">
        <f>COUNTIFS('ST | Drawing List'!$H:$H,"ST-SS3-2",'ST | Drawing List'!T:T,1)</f>
        <v>0</v>
      </c>
      <c r="CL160" s="616">
        <f>COUNTIFS('ST | Drawing List'!$H:$H,"ST-SS3-2",'ST | Drawing List'!U:U,1)</f>
        <v>0</v>
      </c>
      <c r="CM160" s="343"/>
      <c r="CN160" s="343"/>
      <c r="CO160" s="525">
        <v>0</v>
      </c>
      <c r="CP160" s="343"/>
      <c r="CQ160" s="344"/>
      <c r="CR160" s="618">
        <f t="shared" si="733"/>
        <v>0</v>
      </c>
      <c r="CS160" s="339"/>
      <c r="CT160" s="339"/>
      <c r="CU160" s="339"/>
      <c r="CV160" s="339"/>
      <c r="CW160" s="339"/>
      <c r="CX160" s="339"/>
      <c r="CY160" s="339"/>
      <c r="CZ160" s="339"/>
      <c r="DA160" s="339"/>
      <c r="DB160" s="339"/>
      <c r="DC160" s="339"/>
      <c r="DD160" s="339"/>
      <c r="DE160" s="339"/>
      <c r="DF160" s="604"/>
      <c r="DG160" s="604"/>
      <c r="DH160" s="604"/>
      <c r="DI160" s="341"/>
      <c r="DJ160" s="376"/>
      <c r="DK160" s="376"/>
      <c r="DL160" s="376"/>
      <c r="DM160" s="339"/>
      <c r="DN160" s="339"/>
      <c r="DO160" s="339"/>
      <c r="DP160" s="339"/>
      <c r="DQ160" s="339"/>
      <c r="DR160" s="376"/>
      <c r="DS160" s="339"/>
      <c r="DT160" s="339"/>
      <c r="DU160" s="339"/>
      <c r="DV160" s="339"/>
      <c r="DW160" s="343"/>
      <c r="DX160" s="343"/>
      <c r="DY160" s="525">
        <v>0</v>
      </c>
      <c r="DZ160" s="343"/>
      <c r="EA160" s="344"/>
      <c r="EB160" s="618">
        <f t="shared" si="748"/>
        <v>0</v>
      </c>
      <c r="EC160" s="81"/>
      <c r="ED160" s="81"/>
      <c r="EE160" s="81"/>
      <c r="EF160" s="81"/>
      <c r="EG160" s="81"/>
      <c r="EH160" s="81"/>
      <c r="EI160" s="81"/>
      <c r="EJ160" s="81"/>
      <c r="EK160" s="81"/>
      <c r="EL160" s="81"/>
      <c r="EM160" s="81"/>
      <c r="EN160" s="81"/>
      <c r="EO160" s="81"/>
      <c r="EP160" s="639"/>
      <c r="EQ160" s="639"/>
      <c r="ER160" s="639"/>
      <c r="ES160" s="82"/>
      <c r="ET160" s="102"/>
      <c r="EU160" s="102"/>
      <c r="EV160" s="102"/>
      <c r="EW160" s="81"/>
      <c r="EX160" s="81"/>
      <c r="EY160" s="81"/>
      <c r="EZ160" s="81"/>
      <c r="FA160" s="81"/>
      <c r="FB160" s="102"/>
      <c r="FC160" s="81"/>
      <c r="FD160" s="81"/>
      <c r="FE160" s="81"/>
      <c r="FF160" s="81"/>
      <c r="FG160" s="48"/>
    </row>
    <row r="161" spans="1:163" ht="14.25" hidden="1" outlineLevel="2">
      <c r="A161" s="48"/>
      <c r="B161" s="100"/>
      <c r="C161" s="279"/>
      <c r="D161" s="272"/>
      <c r="E161" s="48"/>
      <c r="F161" s="338"/>
      <c r="G161" s="619"/>
      <c r="H161" s="339"/>
      <c r="I161" s="339"/>
      <c r="J161" s="615"/>
      <c r="K161" s="615"/>
      <c r="L161" s="615"/>
      <c r="M161" s="620"/>
      <c r="N161" s="287"/>
      <c r="O161" s="339"/>
      <c r="P161" s="339"/>
      <c r="Q161" s="339"/>
      <c r="R161" s="339"/>
      <c r="S161" s="339"/>
      <c r="T161" s="48"/>
      <c r="U161" s="519"/>
      <c r="V161" s="131"/>
      <c r="W161" s="338"/>
      <c r="X161" s="619">
        <f t="shared" si="700"/>
        <v>0</v>
      </c>
      <c r="Y161" s="339"/>
      <c r="Z161" s="339"/>
      <c r="AA161" s="615">
        <f t="shared" si="778"/>
        <v>0</v>
      </c>
      <c r="AB161" s="615">
        <f t="shared" si="779"/>
        <v>0</v>
      </c>
      <c r="AC161" s="615">
        <f t="shared" si="780"/>
        <v>0</v>
      </c>
      <c r="AD161" s="620">
        <f t="shared" si="781"/>
        <v>0</v>
      </c>
      <c r="AE161" s="287"/>
      <c r="AF161" s="339"/>
      <c r="AG161" s="339"/>
      <c r="AH161" s="339"/>
      <c r="AI161" s="339"/>
      <c r="AJ161" s="339"/>
      <c r="AK161" s="339"/>
      <c r="AL161" s="603"/>
      <c r="AM161" s="603"/>
      <c r="AN161" s="603"/>
      <c r="AO161" s="341"/>
      <c r="AP161" s="359"/>
      <c r="AQ161" s="328"/>
      <c r="AR161" s="328"/>
      <c r="AS161" s="328"/>
      <c r="AT161" s="328"/>
      <c r="AU161" s="328"/>
      <c r="AV161" s="328"/>
      <c r="AW161" s="328"/>
      <c r="AX161" s="328"/>
      <c r="AY161" s="328"/>
      <c r="AZ161" s="328"/>
      <c r="BA161" s="328"/>
      <c r="BB161" s="328"/>
      <c r="BC161" s="328"/>
      <c r="BD161" s="328"/>
      <c r="BE161" s="525"/>
      <c r="BF161" s="343"/>
      <c r="BG161" s="344"/>
      <c r="BH161" s="618">
        <f t="shared" si="717"/>
        <v>0</v>
      </c>
      <c r="BI161" s="339"/>
      <c r="BJ161" s="339"/>
      <c r="BK161" s="615">
        <f t="shared" si="782"/>
        <v>0</v>
      </c>
      <c r="BL161" s="615">
        <f t="shared" si="783"/>
        <v>0</v>
      </c>
      <c r="BM161" s="615">
        <f t="shared" si="784"/>
        <v>0</v>
      </c>
      <c r="BN161" s="615">
        <f t="shared" si="785"/>
        <v>0</v>
      </c>
      <c r="BO161" s="339"/>
      <c r="BP161" s="615">
        <f t="shared" si="786"/>
        <v>0</v>
      </c>
      <c r="BQ161" s="339"/>
      <c r="BR161" s="339"/>
      <c r="BS161" s="339"/>
      <c r="BT161" s="339"/>
      <c r="BU161" s="339"/>
      <c r="BV161" s="635">
        <f t="shared" si="787"/>
        <v>0</v>
      </c>
      <c r="BW161" s="635">
        <f t="shared" si="788"/>
        <v>0</v>
      </c>
      <c r="BX161" s="635">
        <f t="shared" si="789"/>
        <v>0</v>
      </c>
      <c r="BY161" s="341"/>
      <c r="BZ161" s="540"/>
      <c r="CA161" s="532"/>
      <c r="CB161" s="539"/>
      <c r="CC161" s="536"/>
      <c r="CD161" s="536"/>
      <c r="CE161" s="536"/>
      <c r="CF161" s="536"/>
      <c r="CG161" s="536"/>
      <c r="CH161" s="539"/>
      <c r="CI161" s="536"/>
      <c r="CJ161" s="536"/>
      <c r="CK161" s="536"/>
      <c r="CL161" s="536"/>
      <c r="CM161" s="343"/>
      <c r="CN161" s="343"/>
      <c r="CO161" s="525"/>
      <c r="CP161" s="343"/>
      <c r="CQ161" s="344"/>
      <c r="CR161" s="618">
        <f t="shared" si="733"/>
        <v>0</v>
      </c>
      <c r="CS161" s="339"/>
      <c r="CT161" s="339"/>
      <c r="CU161" s="339"/>
      <c r="CV161" s="339"/>
      <c r="CW161" s="339"/>
      <c r="CX161" s="339"/>
      <c r="CY161" s="339"/>
      <c r="CZ161" s="339"/>
      <c r="DA161" s="339"/>
      <c r="DB161" s="339"/>
      <c r="DC161" s="339"/>
      <c r="DD161" s="339"/>
      <c r="DE161" s="339"/>
      <c r="DF161" s="603"/>
      <c r="DG161" s="603"/>
      <c r="DH161" s="603"/>
      <c r="DI161" s="341"/>
      <c r="DJ161" s="359"/>
      <c r="DK161" s="328"/>
      <c r="DL161" s="328"/>
      <c r="DM161" s="339"/>
      <c r="DN161" s="339"/>
      <c r="DO161" s="339"/>
      <c r="DP161" s="339"/>
      <c r="DQ161" s="339"/>
      <c r="DR161" s="328"/>
      <c r="DS161" s="339"/>
      <c r="DT161" s="339"/>
      <c r="DU161" s="339"/>
      <c r="DV161" s="339"/>
      <c r="DW161" s="343"/>
      <c r="DX161" s="343"/>
      <c r="DY161" s="525"/>
      <c r="DZ161" s="343"/>
      <c r="EA161" s="344"/>
      <c r="EB161" s="618">
        <f t="shared" si="748"/>
        <v>0</v>
      </c>
      <c r="EC161" s="81"/>
      <c r="ED161" s="81"/>
      <c r="EE161" s="81"/>
      <c r="EF161" s="81"/>
      <c r="EG161" s="81"/>
      <c r="EH161" s="81"/>
      <c r="EI161" s="81"/>
      <c r="EJ161" s="81"/>
      <c r="EK161" s="81"/>
      <c r="EL161" s="81"/>
      <c r="EM161" s="81"/>
      <c r="EN161" s="81"/>
      <c r="EO161" s="81"/>
      <c r="EP161" s="103"/>
      <c r="EQ161" s="103"/>
      <c r="ER161" s="103"/>
      <c r="ES161" s="82"/>
      <c r="ET161" s="56"/>
      <c r="EU161" s="71"/>
      <c r="EV161" s="71"/>
      <c r="EW161" s="81"/>
      <c r="EX161" s="81"/>
      <c r="EY161" s="81"/>
      <c r="EZ161" s="81"/>
      <c r="FA161" s="81"/>
      <c r="FB161" s="71"/>
      <c r="FC161" s="81"/>
      <c r="FD161" s="81"/>
      <c r="FE161" s="81"/>
      <c r="FF161" s="81"/>
      <c r="FG161" s="48"/>
    </row>
    <row r="162" spans="1:163" ht="14.25" hidden="1" outlineLevel="2">
      <c r="A162" s="48"/>
      <c r="B162" s="100">
        <v>2.4</v>
      </c>
      <c r="C162" s="279">
        <v>2.4</v>
      </c>
      <c r="D162" s="274" t="s">
        <v>162</v>
      </c>
      <c r="E162" s="48"/>
      <c r="F162" s="322"/>
      <c r="G162" s="630"/>
      <c r="H162" s="339"/>
      <c r="I162" s="339"/>
      <c r="J162" s="615"/>
      <c r="K162" s="615"/>
      <c r="L162" s="615"/>
      <c r="M162" s="620"/>
      <c r="N162" s="287"/>
      <c r="O162" s="339"/>
      <c r="P162" s="339"/>
      <c r="Q162" s="339"/>
      <c r="R162" s="339"/>
      <c r="S162" s="339"/>
      <c r="T162" s="48"/>
      <c r="U162" s="553">
        <v>0</v>
      </c>
      <c r="V162" s="371"/>
      <c r="W162" s="322">
        <v>0</v>
      </c>
      <c r="X162" s="630">
        <f t="shared" si="700"/>
        <v>0</v>
      </c>
      <c r="Y162" s="339"/>
      <c r="Z162" s="339"/>
      <c r="AA162" s="615">
        <f t="shared" si="778"/>
        <v>0</v>
      </c>
      <c r="AB162" s="615">
        <f t="shared" si="779"/>
        <v>0</v>
      </c>
      <c r="AC162" s="615">
        <f t="shared" si="780"/>
        <v>0</v>
      </c>
      <c r="AD162" s="620">
        <f t="shared" si="781"/>
        <v>0</v>
      </c>
      <c r="AE162" s="287"/>
      <c r="AF162" s="339"/>
      <c r="AG162" s="339"/>
      <c r="AH162" s="339"/>
      <c r="AI162" s="339"/>
      <c r="AJ162" s="339"/>
      <c r="AK162" s="339"/>
      <c r="AL162" s="603"/>
      <c r="AM162" s="603"/>
      <c r="AN162" s="603"/>
      <c r="AO162" s="341"/>
      <c r="AP162" s="359"/>
      <c r="AQ162" s="328"/>
      <c r="AR162" s="328"/>
      <c r="AS162" s="328"/>
      <c r="AT162" s="328"/>
      <c r="AU162" s="328"/>
      <c r="AV162" s="328"/>
      <c r="AW162" s="328"/>
      <c r="AX162" s="328"/>
      <c r="AY162" s="328"/>
      <c r="AZ162" s="328"/>
      <c r="BA162" s="328"/>
      <c r="BB162" s="328"/>
      <c r="BC162" s="328"/>
      <c r="BD162" s="328"/>
      <c r="BE162" s="606">
        <f>SUM(BE163:BE164)</f>
        <v>0.5</v>
      </c>
      <c r="BF162" s="371"/>
      <c r="BG162" s="607">
        <f>$BG$144*(95%/12)</f>
        <v>0.10764153125000001</v>
      </c>
      <c r="BH162" s="606">
        <f t="shared" si="717"/>
        <v>0.10764153125000001</v>
      </c>
      <c r="BI162" s="607">
        <f>SUM(BI163:BI164)</f>
        <v>0.10764153125000001</v>
      </c>
      <c r="BJ162" s="607">
        <f>SUM(BJ163:BJ164)</f>
        <v>0</v>
      </c>
      <c r="BK162" s="615">
        <f t="shared" si="782"/>
        <v>0</v>
      </c>
      <c r="BL162" s="615">
        <f t="shared" si="783"/>
        <v>0</v>
      </c>
      <c r="BM162" s="615">
        <f t="shared" si="784"/>
        <v>0</v>
      </c>
      <c r="BN162" s="615">
        <f t="shared" si="785"/>
        <v>0</v>
      </c>
      <c r="BO162" s="339"/>
      <c r="BP162" s="615">
        <f t="shared" si="786"/>
        <v>0</v>
      </c>
      <c r="BQ162" s="339"/>
      <c r="BR162" s="339"/>
      <c r="BS162" s="339"/>
      <c r="BT162" s="339"/>
      <c r="BU162" s="339"/>
      <c r="BV162" s="635">
        <f t="shared" si="787"/>
        <v>0</v>
      </c>
      <c r="BW162" s="635">
        <f t="shared" si="788"/>
        <v>0</v>
      </c>
      <c r="BX162" s="635">
        <f t="shared" si="789"/>
        <v>0</v>
      </c>
      <c r="BY162" s="341"/>
      <c r="BZ162" s="540"/>
      <c r="CA162" s="532"/>
      <c r="CB162" s="539"/>
      <c r="CC162" s="536"/>
      <c r="CD162" s="536"/>
      <c r="CE162" s="536"/>
      <c r="CF162" s="536"/>
      <c r="CG162" s="536"/>
      <c r="CH162" s="539"/>
      <c r="CI162" s="536"/>
      <c r="CJ162" s="536"/>
      <c r="CK162" s="536"/>
      <c r="CL162" s="536"/>
      <c r="CM162" s="371"/>
      <c r="CN162" s="371"/>
      <c r="CO162" s="553">
        <v>0</v>
      </c>
      <c r="CP162" s="371"/>
      <c r="CQ162" s="344"/>
      <c r="CR162" s="606">
        <f t="shared" si="733"/>
        <v>0</v>
      </c>
      <c r="CS162" s="339"/>
      <c r="CT162" s="339"/>
      <c r="CU162" s="339"/>
      <c r="CV162" s="339"/>
      <c r="CW162" s="339"/>
      <c r="CX162" s="339"/>
      <c r="CY162" s="339"/>
      <c r="CZ162" s="339"/>
      <c r="DA162" s="339"/>
      <c r="DB162" s="339"/>
      <c r="DC162" s="339"/>
      <c r="DD162" s="339"/>
      <c r="DE162" s="339"/>
      <c r="DF162" s="603"/>
      <c r="DG162" s="603"/>
      <c r="DH162" s="603"/>
      <c r="DI162" s="341"/>
      <c r="DJ162" s="359"/>
      <c r="DK162" s="328"/>
      <c r="DL162" s="328"/>
      <c r="DM162" s="339"/>
      <c r="DN162" s="339"/>
      <c r="DO162" s="339"/>
      <c r="DP162" s="339"/>
      <c r="DQ162" s="339"/>
      <c r="DR162" s="328"/>
      <c r="DS162" s="339"/>
      <c r="DT162" s="339"/>
      <c r="DU162" s="339"/>
      <c r="DV162" s="339"/>
      <c r="DW162" s="371"/>
      <c r="DX162" s="371"/>
      <c r="DY162" s="553">
        <v>0</v>
      </c>
      <c r="DZ162" s="371"/>
      <c r="EA162" s="344"/>
      <c r="EB162" s="606">
        <f t="shared" si="748"/>
        <v>0</v>
      </c>
      <c r="EC162" s="81"/>
      <c r="ED162" s="81"/>
      <c r="EE162" s="81"/>
      <c r="EF162" s="81"/>
      <c r="EG162" s="81"/>
      <c r="EH162" s="81"/>
      <c r="EI162" s="81"/>
      <c r="EJ162" s="81"/>
      <c r="EK162" s="81"/>
      <c r="EL162" s="81"/>
      <c r="EM162" s="81"/>
      <c r="EN162" s="81"/>
      <c r="EO162" s="81"/>
      <c r="EP162" s="103"/>
      <c r="EQ162" s="103"/>
      <c r="ER162" s="103"/>
      <c r="ES162" s="82"/>
      <c r="ET162" s="56"/>
      <c r="EU162" s="71"/>
      <c r="EV162" s="71"/>
      <c r="EW162" s="81"/>
      <c r="EX162" s="81"/>
      <c r="EY162" s="81"/>
      <c r="EZ162" s="81"/>
      <c r="FA162" s="81"/>
      <c r="FB162" s="71"/>
      <c r="FC162" s="81"/>
      <c r="FD162" s="81"/>
      <c r="FE162" s="81"/>
      <c r="FF162" s="81"/>
      <c r="FG162" s="48"/>
    </row>
    <row r="163" spans="1:163" ht="14.25" hidden="1" outlineLevel="3">
      <c r="A163" s="48"/>
      <c r="B163" s="87" t="s">
        <v>163</v>
      </c>
      <c r="C163" s="276">
        <v>1</v>
      </c>
      <c r="D163" s="272" t="s">
        <v>152</v>
      </c>
      <c r="E163" s="48"/>
      <c r="F163" s="619">
        <f t="shared" ref="F163:F164" si="842">W163+BG163+CQ163+EA163</f>
        <v>5.3820765625000003E-2</v>
      </c>
      <c r="G163" s="619">
        <f t="shared" ref="G163:G164" si="843">X163+BH163+CR163+EB163</f>
        <v>5.3820765625000003E-2</v>
      </c>
      <c r="H163" s="615">
        <f t="shared" ref="H163:H164" si="844">F163-G163</f>
        <v>0</v>
      </c>
      <c r="I163" s="615">
        <f t="shared" ref="I163:I164" si="845">Z163+BJ163+CT163+ED163</f>
        <v>0</v>
      </c>
      <c r="J163" s="615">
        <f t="shared" ref="J163:J164" si="846">AA163+BK163+CU163+EE163</f>
        <v>0</v>
      </c>
      <c r="K163" s="615">
        <f t="shared" ref="K163:K164" si="847">AB163+BL163+CV163+EF163</f>
        <v>0</v>
      </c>
      <c r="L163" s="615">
        <f t="shared" ref="L163:L164" si="848">AC163+BM163+CW163+EG163</f>
        <v>0</v>
      </c>
      <c r="M163" s="620">
        <f t="shared" ref="M163:M164" si="849">AD163+BN163+CX163+EH163</f>
        <v>0</v>
      </c>
      <c r="N163" s="287"/>
      <c r="O163" s="615">
        <f t="shared" ref="O163:O164" si="850">AF163+BP163+CZ163+EJ163</f>
        <v>0</v>
      </c>
      <c r="P163" s="615">
        <f t="shared" ref="P163:P164" si="851">AG163+BQ163+DA163+EK163</f>
        <v>0</v>
      </c>
      <c r="Q163" s="615">
        <f t="shared" ref="Q163:Q164" si="852">AH163+BR163+DB163+EL163</f>
        <v>0</v>
      </c>
      <c r="R163" s="615">
        <f t="shared" ref="R163:R164" si="853">AI163+BS163+DC163+EM163</f>
        <v>0</v>
      </c>
      <c r="S163" s="615">
        <f t="shared" ref="S163:S164" si="854">AJ163+BT163+DD163+EN163</f>
        <v>0</v>
      </c>
      <c r="T163" s="48"/>
      <c r="U163" s="519">
        <v>0</v>
      </c>
      <c r="V163" s="131"/>
      <c r="W163" s="338"/>
      <c r="X163" s="619">
        <f t="shared" si="700"/>
        <v>0</v>
      </c>
      <c r="Y163" s="339"/>
      <c r="Z163" s="339"/>
      <c r="AA163" s="615">
        <f t="shared" si="778"/>
        <v>0</v>
      </c>
      <c r="AB163" s="615">
        <f t="shared" si="779"/>
        <v>0</v>
      </c>
      <c r="AC163" s="615">
        <f t="shared" si="780"/>
        <v>0</v>
      </c>
      <c r="AD163" s="620">
        <f t="shared" si="781"/>
        <v>0</v>
      </c>
      <c r="AE163" s="287"/>
      <c r="AF163" s="339"/>
      <c r="AG163" s="339"/>
      <c r="AH163" s="339"/>
      <c r="AI163" s="339"/>
      <c r="AJ163" s="339"/>
      <c r="AK163" s="339"/>
      <c r="AL163" s="603"/>
      <c r="AM163" s="603"/>
      <c r="AN163" s="603"/>
      <c r="AO163" s="341"/>
      <c r="AP163" s="359"/>
      <c r="AQ163" s="328"/>
      <c r="AR163" s="328"/>
      <c r="AS163" s="328"/>
      <c r="AT163" s="328"/>
      <c r="AU163" s="328"/>
      <c r="AV163" s="328"/>
      <c r="AW163" s="328"/>
      <c r="AX163" s="328"/>
      <c r="AY163" s="328"/>
      <c r="AZ163" s="328"/>
      <c r="BA163" s="328"/>
      <c r="BB163" s="328"/>
      <c r="BC163" s="328"/>
      <c r="BD163" s="328"/>
      <c r="BE163" s="525">
        <v>0.25</v>
      </c>
      <c r="BF163" s="343"/>
      <c r="BG163" s="616">
        <f>$BG$162/$BE$162*BE163</f>
        <v>5.3820765625000003E-2</v>
      </c>
      <c r="BH163" s="618">
        <f t="shared" si="717"/>
        <v>5.3820765625000003E-2</v>
      </c>
      <c r="BI163" s="615">
        <f>IFERROR(IF(BV163=100%,BG163,0),0)</f>
        <v>5.3820765625000003E-2</v>
      </c>
      <c r="BJ163" s="615">
        <f>IFERROR(IF(AND((BV163+BW163)=100%,BV163&lt;1),BG163,0),0)</f>
        <v>0</v>
      </c>
      <c r="BK163" s="615">
        <f t="shared" si="782"/>
        <v>0</v>
      </c>
      <c r="BL163" s="615">
        <f t="shared" si="783"/>
        <v>0</v>
      </c>
      <c r="BM163" s="615">
        <f t="shared" si="784"/>
        <v>0</v>
      </c>
      <c r="BN163" s="615">
        <f t="shared" si="785"/>
        <v>0</v>
      </c>
      <c r="BO163" s="339"/>
      <c r="BP163" s="615">
        <f t="shared" si="786"/>
        <v>0</v>
      </c>
      <c r="BQ163" s="615">
        <f>IFERROR(IF(AND((CA163+CI163)=BZ163,BI163=0),BG163,0),0)</f>
        <v>0</v>
      </c>
      <c r="BR163" s="615">
        <f>IFERROR(IF(AND((CA163+CI163+CJ163)=BZ163,BI163=0,BQ163=0),BG163,0),0)</f>
        <v>0</v>
      </c>
      <c r="BS163" s="615">
        <f>IFERROR(IF(AND((CA163+CI163+CJ163+CK163)=BZ163,BI163=0,BQ163=0,BR163=0),BG163,0),0)</f>
        <v>0</v>
      </c>
      <c r="BT163" s="615">
        <f>IFERROR(IF(AND((CA163+CI163+CJ163+CK163+CL163)=BZ163,BI163=0,BQ163=0,BR163=0,BS163=0),BG163,0),0)</f>
        <v>0</v>
      </c>
      <c r="BU163" s="339"/>
      <c r="BV163" s="635">
        <f t="shared" si="787"/>
        <v>1</v>
      </c>
      <c r="BW163" s="635">
        <f t="shared" si="788"/>
        <v>0</v>
      </c>
      <c r="BX163" s="635">
        <f t="shared" si="789"/>
        <v>0</v>
      </c>
      <c r="BY163" s="341"/>
      <c r="BZ163" s="615">
        <f>COUNTIF('ST | Drawing List'!$H:$H,"ST-SS4-1")</f>
        <v>3</v>
      </c>
      <c r="CA163" s="616">
        <f>COUNTIFS('ST | Drawing List'!$H:$H,"ST-SS4-1",'ST | Drawing List'!$J:$J,1)</f>
        <v>3</v>
      </c>
      <c r="CB163" s="623">
        <f>COUNTIFS('ST | Drawing List'!$H:$H,"ST-SS4-1",'ST | Drawing List'!$L:$L,1)</f>
        <v>0</v>
      </c>
      <c r="CC163" s="616">
        <f>COUNTIFS('ST | Drawing List'!$H:$H,"ST-SS4-1",'ST | Drawing List'!M:M,1)</f>
        <v>0</v>
      </c>
      <c r="CD163" s="616">
        <f>COUNTIFS('ST | Drawing List'!$H:$H,"ST-SS4-1",'ST | Drawing List'!N:N,1)</f>
        <v>0</v>
      </c>
      <c r="CE163" s="616">
        <f>COUNTIFS('ST | Drawing List'!$H:$H,"ST-SS4-1",'ST | Drawing List'!O:O,1)</f>
        <v>0</v>
      </c>
      <c r="CF163" s="616">
        <f>COUNTIFS('ST | Drawing List'!$H:$H,"ST-SS4-1",'ST | Drawing List'!P:P,1)</f>
        <v>0</v>
      </c>
      <c r="CG163" s="532"/>
      <c r="CH163" s="623">
        <f>COUNTIFS('ST | Drawing List'!$H:$H,"ST-SS4-1",'ST | Drawing List'!$Q:$Q,1)</f>
        <v>0</v>
      </c>
      <c r="CI163" s="616">
        <f>COUNTIFS('ST | Drawing List'!$H:$H,"ST-SS4-1",'ST | Drawing List'!R:R,1)</f>
        <v>0</v>
      </c>
      <c r="CJ163" s="616">
        <f>COUNTIFS('ST | Drawing List'!$H:$H,"ST-SS4-1",'ST | Drawing List'!S:S,1)</f>
        <v>0</v>
      </c>
      <c r="CK163" s="616">
        <f>COUNTIFS('ST | Drawing List'!$H:$H,"ST-SS4-1",'ST | Drawing List'!T:T,1)</f>
        <v>0</v>
      </c>
      <c r="CL163" s="616">
        <f>COUNTIFS('ST | Drawing List'!$H:$H,"ST-SS4-1",'ST | Drawing List'!U:U,1)</f>
        <v>0</v>
      </c>
      <c r="CM163" s="343"/>
      <c r="CN163" s="343"/>
      <c r="CO163" s="525">
        <v>0</v>
      </c>
      <c r="CP163" s="343"/>
      <c r="CQ163" s="344"/>
      <c r="CR163" s="618">
        <f t="shared" si="733"/>
        <v>0</v>
      </c>
      <c r="CS163" s="339"/>
      <c r="CT163" s="339"/>
      <c r="CU163" s="339"/>
      <c r="CV163" s="339"/>
      <c r="CW163" s="339"/>
      <c r="CX163" s="339"/>
      <c r="CY163" s="339"/>
      <c r="CZ163" s="339"/>
      <c r="DA163" s="339"/>
      <c r="DB163" s="339"/>
      <c r="DC163" s="339"/>
      <c r="DD163" s="339"/>
      <c r="DE163" s="339"/>
      <c r="DF163" s="603"/>
      <c r="DG163" s="603"/>
      <c r="DH163" s="603"/>
      <c r="DI163" s="341"/>
      <c r="DJ163" s="359"/>
      <c r="DK163" s="328"/>
      <c r="DL163" s="328"/>
      <c r="DM163" s="339"/>
      <c r="DN163" s="339"/>
      <c r="DO163" s="339"/>
      <c r="DP163" s="339"/>
      <c r="DQ163" s="339"/>
      <c r="DR163" s="328"/>
      <c r="DS163" s="339"/>
      <c r="DT163" s="339"/>
      <c r="DU163" s="339"/>
      <c r="DV163" s="339"/>
      <c r="DW163" s="343"/>
      <c r="DX163" s="343"/>
      <c r="DY163" s="525">
        <v>0</v>
      </c>
      <c r="DZ163" s="343"/>
      <c r="EA163" s="344"/>
      <c r="EB163" s="618">
        <f t="shared" si="748"/>
        <v>0</v>
      </c>
      <c r="EC163" s="81"/>
      <c r="ED163" s="81"/>
      <c r="EE163" s="81"/>
      <c r="EF163" s="81"/>
      <c r="EG163" s="81"/>
      <c r="EH163" s="81"/>
      <c r="EI163" s="81"/>
      <c r="EJ163" s="81"/>
      <c r="EK163" s="81"/>
      <c r="EL163" s="81"/>
      <c r="EM163" s="81"/>
      <c r="EN163" s="81"/>
      <c r="EO163" s="81"/>
      <c r="EP163" s="103"/>
      <c r="EQ163" s="103"/>
      <c r="ER163" s="103"/>
      <c r="ES163" s="82"/>
      <c r="ET163" s="56"/>
      <c r="EU163" s="71"/>
      <c r="EV163" s="71"/>
      <c r="EW163" s="81"/>
      <c r="EX163" s="81"/>
      <c r="EY163" s="81"/>
      <c r="EZ163" s="81"/>
      <c r="FA163" s="81"/>
      <c r="FB163" s="71"/>
      <c r="FC163" s="81"/>
      <c r="FD163" s="81"/>
      <c r="FE163" s="81"/>
      <c r="FF163" s="81"/>
      <c r="FG163" s="48"/>
    </row>
    <row r="164" spans="1:163" ht="14.25" hidden="1" outlineLevel="3">
      <c r="A164" s="48"/>
      <c r="B164" s="87" t="s">
        <v>164</v>
      </c>
      <c r="C164" s="276">
        <v>2</v>
      </c>
      <c r="D164" s="272" t="s">
        <v>154</v>
      </c>
      <c r="E164" s="48"/>
      <c r="F164" s="619">
        <f t="shared" si="842"/>
        <v>5.3820765625000003E-2</v>
      </c>
      <c r="G164" s="619">
        <f t="shared" si="843"/>
        <v>5.3820765625000003E-2</v>
      </c>
      <c r="H164" s="615">
        <f t="shared" si="844"/>
        <v>0</v>
      </c>
      <c r="I164" s="615">
        <f t="shared" si="845"/>
        <v>0</v>
      </c>
      <c r="J164" s="615">
        <f t="shared" si="846"/>
        <v>0</v>
      </c>
      <c r="K164" s="615">
        <f t="shared" si="847"/>
        <v>0</v>
      </c>
      <c r="L164" s="615">
        <f t="shared" si="848"/>
        <v>0</v>
      </c>
      <c r="M164" s="620">
        <f t="shared" si="849"/>
        <v>0</v>
      </c>
      <c r="N164" s="287"/>
      <c r="O164" s="615">
        <f t="shared" si="850"/>
        <v>0</v>
      </c>
      <c r="P164" s="615">
        <f t="shared" si="851"/>
        <v>0</v>
      </c>
      <c r="Q164" s="615">
        <f t="shared" si="852"/>
        <v>0</v>
      </c>
      <c r="R164" s="615">
        <f t="shared" si="853"/>
        <v>0</v>
      </c>
      <c r="S164" s="615">
        <f t="shared" si="854"/>
        <v>0</v>
      </c>
      <c r="T164" s="48"/>
      <c r="U164" s="519">
        <v>0</v>
      </c>
      <c r="V164" s="131"/>
      <c r="W164" s="338"/>
      <c r="X164" s="619">
        <f t="shared" si="700"/>
        <v>0</v>
      </c>
      <c r="Y164" s="339"/>
      <c r="Z164" s="339"/>
      <c r="AA164" s="615">
        <f t="shared" si="778"/>
        <v>0</v>
      </c>
      <c r="AB164" s="615">
        <f t="shared" si="779"/>
        <v>0</v>
      </c>
      <c r="AC164" s="615">
        <f t="shared" si="780"/>
        <v>0</v>
      </c>
      <c r="AD164" s="620">
        <f t="shared" si="781"/>
        <v>0</v>
      </c>
      <c r="AE164" s="287"/>
      <c r="AF164" s="339"/>
      <c r="AG164" s="339"/>
      <c r="AH164" s="339"/>
      <c r="AI164" s="339"/>
      <c r="AJ164" s="339"/>
      <c r="AK164" s="339"/>
      <c r="AL164" s="603"/>
      <c r="AM164" s="603"/>
      <c r="AN164" s="603"/>
      <c r="AO164" s="341"/>
      <c r="AP164" s="359"/>
      <c r="AQ164" s="328"/>
      <c r="AR164" s="328"/>
      <c r="AS164" s="328"/>
      <c r="AT164" s="328"/>
      <c r="AU164" s="328"/>
      <c r="AV164" s="328"/>
      <c r="AW164" s="328"/>
      <c r="AX164" s="328"/>
      <c r="AY164" s="328"/>
      <c r="AZ164" s="328"/>
      <c r="BA164" s="328"/>
      <c r="BB164" s="328"/>
      <c r="BC164" s="328"/>
      <c r="BD164" s="328"/>
      <c r="BE164" s="525">
        <v>0.25</v>
      </c>
      <c r="BF164" s="343"/>
      <c r="BG164" s="616">
        <f>$BG$162/$BE$162*BE164</f>
        <v>5.3820765625000003E-2</v>
      </c>
      <c r="BH164" s="618">
        <f t="shared" si="717"/>
        <v>5.3820765625000003E-2</v>
      </c>
      <c r="BI164" s="615">
        <f>IFERROR(IF(BV164=100%,BG164,0),0)</f>
        <v>5.3820765625000003E-2</v>
      </c>
      <c r="BJ164" s="615">
        <f>IFERROR(IF(AND((BV164+BW164)=100%,BV164&lt;1),BG164,0),0)</f>
        <v>0</v>
      </c>
      <c r="BK164" s="615">
        <f t="shared" si="782"/>
        <v>0</v>
      </c>
      <c r="BL164" s="615">
        <f t="shared" si="783"/>
        <v>0</v>
      </c>
      <c r="BM164" s="615">
        <f t="shared" si="784"/>
        <v>0</v>
      </c>
      <c r="BN164" s="615">
        <f t="shared" si="785"/>
        <v>0</v>
      </c>
      <c r="BO164" s="339"/>
      <c r="BP164" s="615">
        <f t="shared" si="786"/>
        <v>0</v>
      </c>
      <c r="BQ164" s="615">
        <f>IFERROR(IF(AND((CA164+CI164)=BZ164,BI164=0),BG164,0),0)</f>
        <v>0</v>
      </c>
      <c r="BR164" s="615">
        <f>IFERROR(IF(AND((CA164+CI164+CJ164)=BZ164,BI164=0,BQ164=0),BG164,0),0)</f>
        <v>0</v>
      </c>
      <c r="BS164" s="615">
        <f>IFERROR(IF(AND((CA164+CI164+CJ164+CK164)=BZ164,BI164=0,BQ164=0,BR164=0),BG164,0),0)</f>
        <v>0</v>
      </c>
      <c r="BT164" s="615">
        <f>IFERROR(IF(AND((CA164+CI164+CJ164+CK164+CL164)=BZ164,BI164=0,BQ164=0,BR164=0,BS164=0),BG164,0),0)</f>
        <v>0</v>
      </c>
      <c r="BU164" s="339"/>
      <c r="BV164" s="635">
        <f t="shared" si="787"/>
        <v>1</v>
      </c>
      <c r="BW164" s="635">
        <f t="shared" si="788"/>
        <v>0</v>
      </c>
      <c r="BX164" s="635">
        <f t="shared" si="789"/>
        <v>0</v>
      </c>
      <c r="BY164" s="341"/>
      <c r="BZ164" s="615">
        <f>COUNTIF('ST | Drawing List'!$H:$H,"ST-SS4-2")</f>
        <v>3</v>
      </c>
      <c r="CA164" s="616">
        <f>COUNTIFS('ST | Drawing List'!$H:$H,"ST-SS4-2",'ST | Drawing List'!$J:$J,1)</f>
        <v>3</v>
      </c>
      <c r="CB164" s="623">
        <f>COUNTIFS('ST | Drawing List'!$H:$H,"ST-SS4-2",'ST | Drawing List'!$L:$L,1)</f>
        <v>0</v>
      </c>
      <c r="CC164" s="616">
        <f>COUNTIFS('ST | Drawing List'!$H:$H,"ST-SS4-2",'ST | Drawing List'!M:M,1)</f>
        <v>0</v>
      </c>
      <c r="CD164" s="616">
        <f>COUNTIFS('ST | Drawing List'!$H:$H,"ST-SS4-2",'ST | Drawing List'!N:N,1)</f>
        <v>0</v>
      </c>
      <c r="CE164" s="616">
        <f>COUNTIFS('ST | Drawing List'!$H:$H,"ST-SS4-2",'ST | Drawing List'!O:O,1)</f>
        <v>0</v>
      </c>
      <c r="CF164" s="616">
        <f>COUNTIFS('ST | Drawing List'!$H:$H,"ST-SS4-2",'ST | Drawing List'!P:P,1)</f>
        <v>0</v>
      </c>
      <c r="CG164" s="532"/>
      <c r="CH164" s="623">
        <f>COUNTIFS('ST | Drawing List'!$H:$H,"ST-SS4-2",'ST | Drawing List'!$Q:$Q,1)</f>
        <v>0</v>
      </c>
      <c r="CI164" s="616">
        <f>COUNTIFS('ST | Drawing List'!$H:$H,"ST-SS4-2",'ST | Drawing List'!R:R,1)</f>
        <v>0</v>
      </c>
      <c r="CJ164" s="616">
        <f>COUNTIFS('ST | Drawing List'!$H:$H,"ST-SS4-2",'ST | Drawing List'!S:S,1)</f>
        <v>0</v>
      </c>
      <c r="CK164" s="616">
        <f>COUNTIFS('ST | Drawing List'!$H:$H,"ST-SS4-2",'ST | Drawing List'!T:T,1)</f>
        <v>0</v>
      </c>
      <c r="CL164" s="616">
        <f>COUNTIFS('ST | Drawing List'!$H:$H,"ST-SS4-2",'ST | Drawing List'!U:U,1)</f>
        <v>0</v>
      </c>
      <c r="CM164" s="343"/>
      <c r="CN164" s="343"/>
      <c r="CO164" s="525">
        <v>0</v>
      </c>
      <c r="CP164" s="343"/>
      <c r="CQ164" s="344"/>
      <c r="CR164" s="618">
        <f t="shared" si="733"/>
        <v>0</v>
      </c>
      <c r="CS164" s="339"/>
      <c r="CT164" s="339"/>
      <c r="CU164" s="339"/>
      <c r="CV164" s="339"/>
      <c r="CW164" s="339"/>
      <c r="CX164" s="339"/>
      <c r="CY164" s="339"/>
      <c r="CZ164" s="339"/>
      <c r="DA164" s="339"/>
      <c r="DB164" s="339"/>
      <c r="DC164" s="339"/>
      <c r="DD164" s="339"/>
      <c r="DE164" s="339"/>
      <c r="DF164" s="603"/>
      <c r="DG164" s="603"/>
      <c r="DH164" s="603"/>
      <c r="DI164" s="341"/>
      <c r="DJ164" s="359"/>
      <c r="DK164" s="328"/>
      <c r="DL164" s="328"/>
      <c r="DM164" s="339"/>
      <c r="DN164" s="339"/>
      <c r="DO164" s="339"/>
      <c r="DP164" s="339"/>
      <c r="DQ164" s="339"/>
      <c r="DR164" s="328"/>
      <c r="DS164" s="339"/>
      <c r="DT164" s="339"/>
      <c r="DU164" s="339"/>
      <c r="DV164" s="339"/>
      <c r="DW164" s="343"/>
      <c r="DX164" s="343"/>
      <c r="DY164" s="525">
        <v>0</v>
      </c>
      <c r="DZ164" s="343"/>
      <c r="EA164" s="344"/>
      <c r="EB164" s="618">
        <f t="shared" si="748"/>
        <v>0</v>
      </c>
      <c r="EC164" s="81"/>
      <c r="ED164" s="81"/>
      <c r="EE164" s="81"/>
      <c r="EF164" s="81"/>
      <c r="EG164" s="81"/>
      <c r="EH164" s="81"/>
      <c r="EI164" s="81"/>
      <c r="EJ164" s="81"/>
      <c r="EK164" s="81"/>
      <c r="EL164" s="81"/>
      <c r="EM164" s="81"/>
      <c r="EN164" s="81"/>
      <c r="EO164" s="81"/>
      <c r="EP164" s="103"/>
      <c r="EQ164" s="103"/>
      <c r="ER164" s="103"/>
      <c r="ES164" s="82"/>
      <c r="ET164" s="56"/>
      <c r="EU164" s="71"/>
      <c r="EV164" s="71"/>
      <c r="EW164" s="81"/>
      <c r="EX164" s="81"/>
      <c r="EY164" s="81"/>
      <c r="EZ164" s="81"/>
      <c r="FA164" s="81"/>
      <c r="FB164" s="71"/>
      <c r="FC164" s="81"/>
      <c r="FD164" s="81"/>
      <c r="FE164" s="81"/>
      <c r="FF164" s="81"/>
      <c r="FG164" s="48"/>
    </row>
    <row r="165" spans="1:163" ht="14.25" hidden="1" outlineLevel="2">
      <c r="A165" s="48"/>
      <c r="B165" s="100"/>
      <c r="C165" s="279"/>
      <c r="D165" s="272"/>
      <c r="E165" s="48"/>
      <c r="F165" s="338"/>
      <c r="G165" s="619"/>
      <c r="H165" s="339"/>
      <c r="I165" s="339"/>
      <c r="J165" s="615"/>
      <c r="K165" s="615"/>
      <c r="L165" s="615"/>
      <c r="M165" s="620"/>
      <c r="N165" s="287"/>
      <c r="O165" s="339"/>
      <c r="P165" s="339"/>
      <c r="Q165" s="339"/>
      <c r="R165" s="339"/>
      <c r="S165" s="339"/>
      <c r="T165" s="48"/>
      <c r="U165" s="519"/>
      <c r="V165" s="131"/>
      <c r="W165" s="338"/>
      <c r="X165" s="619">
        <f t="shared" si="700"/>
        <v>0</v>
      </c>
      <c r="Y165" s="339"/>
      <c r="Z165" s="339"/>
      <c r="AA165" s="615">
        <f t="shared" si="778"/>
        <v>0</v>
      </c>
      <c r="AB165" s="615">
        <f t="shared" si="779"/>
        <v>0</v>
      </c>
      <c r="AC165" s="615">
        <f t="shared" si="780"/>
        <v>0</v>
      </c>
      <c r="AD165" s="620">
        <f t="shared" si="781"/>
        <v>0</v>
      </c>
      <c r="AE165" s="287"/>
      <c r="AF165" s="339"/>
      <c r="AG165" s="339"/>
      <c r="AH165" s="339"/>
      <c r="AI165" s="339"/>
      <c r="AJ165" s="339"/>
      <c r="AK165" s="339"/>
      <c r="AL165" s="603"/>
      <c r="AM165" s="603"/>
      <c r="AN165" s="603"/>
      <c r="AO165" s="341"/>
      <c r="AP165" s="359"/>
      <c r="AQ165" s="328"/>
      <c r="AR165" s="328"/>
      <c r="AS165" s="328"/>
      <c r="AT165" s="328"/>
      <c r="AU165" s="328"/>
      <c r="AV165" s="328"/>
      <c r="AW165" s="328"/>
      <c r="AX165" s="328"/>
      <c r="AY165" s="328"/>
      <c r="AZ165" s="328"/>
      <c r="BA165" s="328"/>
      <c r="BB165" s="328"/>
      <c r="BC165" s="328"/>
      <c r="BD165" s="328"/>
      <c r="BE165" s="525"/>
      <c r="BF165" s="343"/>
      <c r="BG165" s="344"/>
      <c r="BH165" s="618">
        <f t="shared" si="717"/>
        <v>0</v>
      </c>
      <c r="BI165" s="339"/>
      <c r="BJ165" s="339"/>
      <c r="BK165" s="615">
        <f t="shared" si="782"/>
        <v>0</v>
      </c>
      <c r="BL165" s="615">
        <f t="shared" si="783"/>
        <v>0</v>
      </c>
      <c r="BM165" s="615">
        <f t="shared" si="784"/>
        <v>0</v>
      </c>
      <c r="BN165" s="615">
        <f t="shared" si="785"/>
        <v>0</v>
      </c>
      <c r="BO165" s="339"/>
      <c r="BP165" s="615">
        <f t="shared" si="786"/>
        <v>0</v>
      </c>
      <c r="BQ165" s="339"/>
      <c r="BR165" s="339"/>
      <c r="BS165" s="339"/>
      <c r="BT165" s="339"/>
      <c r="BU165" s="339"/>
      <c r="BV165" s="635">
        <f t="shared" si="787"/>
        <v>0</v>
      </c>
      <c r="BW165" s="635">
        <f t="shared" si="788"/>
        <v>0</v>
      </c>
      <c r="BX165" s="635">
        <f t="shared" si="789"/>
        <v>0</v>
      </c>
      <c r="BY165" s="341"/>
      <c r="BZ165" s="540"/>
      <c r="CA165" s="532"/>
      <c r="CB165" s="539"/>
      <c r="CC165" s="536"/>
      <c r="CD165" s="536"/>
      <c r="CE165" s="536"/>
      <c r="CF165" s="536"/>
      <c r="CG165" s="536"/>
      <c r="CH165" s="539"/>
      <c r="CI165" s="536"/>
      <c r="CJ165" s="536"/>
      <c r="CK165" s="536"/>
      <c r="CL165" s="536"/>
      <c r="CM165" s="343"/>
      <c r="CN165" s="343"/>
      <c r="CO165" s="525"/>
      <c r="CP165" s="343"/>
      <c r="CQ165" s="344"/>
      <c r="CR165" s="618">
        <f t="shared" si="733"/>
        <v>0</v>
      </c>
      <c r="CS165" s="339"/>
      <c r="CT165" s="339"/>
      <c r="CU165" s="339"/>
      <c r="CV165" s="339"/>
      <c r="CW165" s="339"/>
      <c r="CX165" s="339"/>
      <c r="CY165" s="339"/>
      <c r="CZ165" s="339"/>
      <c r="DA165" s="339"/>
      <c r="DB165" s="339"/>
      <c r="DC165" s="339"/>
      <c r="DD165" s="339"/>
      <c r="DE165" s="339"/>
      <c r="DF165" s="603"/>
      <c r="DG165" s="603"/>
      <c r="DH165" s="603"/>
      <c r="DI165" s="341"/>
      <c r="DJ165" s="359"/>
      <c r="DK165" s="328"/>
      <c r="DL165" s="328"/>
      <c r="DM165" s="339"/>
      <c r="DN165" s="339"/>
      <c r="DO165" s="339"/>
      <c r="DP165" s="339"/>
      <c r="DQ165" s="339"/>
      <c r="DR165" s="328"/>
      <c r="DS165" s="339"/>
      <c r="DT165" s="339"/>
      <c r="DU165" s="339"/>
      <c r="DV165" s="339"/>
      <c r="DW165" s="343"/>
      <c r="DX165" s="343"/>
      <c r="DY165" s="525"/>
      <c r="DZ165" s="343"/>
      <c r="EA165" s="344"/>
      <c r="EB165" s="618">
        <f t="shared" si="748"/>
        <v>0</v>
      </c>
      <c r="EC165" s="81"/>
      <c r="ED165" s="81"/>
      <c r="EE165" s="81"/>
      <c r="EF165" s="81"/>
      <c r="EG165" s="81"/>
      <c r="EH165" s="81"/>
      <c r="EI165" s="81"/>
      <c r="EJ165" s="81"/>
      <c r="EK165" s="81"/>
      <c r="EL165" s="81"/>
      <c r="EM165" s="81"/>
      <c r="EN165" s="81"/>
      <c r="EO165" s="81"/>
      <c r="EP165" s="103"/>
      <c r="EQ165" s="103"/>
      <c r="ER165" s="103"/>
      <c r="ES165" s="82"/>
      <c r="ET165" s="56"/>
      <c r="EU165" s="71"/>
      <c r="EV165" s="71"/>
      <c r="EW165" s="81"/>
      <c r="EX165" s="81"/>
      <c r="EY165" s="81"/>
      <c r="EZ165" s="81"/>
      <c r="FA165" s="81"/>
      <c r="FB165" s="71"/>
      <c r="FC165" s="81"/>
      <c r="FD165" s="81"/>
      <c r="FE165" s="81"/>
      <c r="FF165" s="81"/>
      <c r="FG165" s="48"/>
    </row>
    <row r="166" spans="1:163" ht="14.25" hidden="1" outlineLevel="2">
      <c r="A166" s="48"/>
      <c r="B166" s="100">
        <v>2.5</v>
      </c>
      <c r="C166" s="279">
        <v>2.5</v>
      </c>
      <c r="D166" s="274" t="s">
        <v>165</v>
      </c>
      <c r="E166" s="48"/>
      <c r="F166" s="322"/>
      <c r="G166" s="630"/>
      <c r="H166" s="339"/>
      <c r="I166" s="339"/>
      <c r="J166" s="615"/>
      <c r="K166" s="615"/>
      <c r="L166" s="615"/>
      <c r="M166" s="620"/>
      <c r="N166" s="287"/>
      <c r="O166" s="339"/>
      <c r="P166" s="339"/>
      <c r="Q166" s="339"/>
      <c r="R166" s="339"/>
      <c r="S166" s="339"/>
      <c r="T166" s="48"/>
      <c r="U166" s="553">
        <v>0</v>
      </c>
      <c r="V166" s="371"/>
      <c r="W166" s="322">
        <v>0</v>
      </c>
      <c r="X166" s="630">
        <f t="shared" si="700"/>
        <v>0</v>
      </c>
      <c r="Y166" s="339"/>
      <c r="Z166" s="339"/>
      <c r="AA166" s="615">
        <f t="shared" si="778"/>
        <v>0</v>
      </c>
      <c r="AB166" s="615">
        <f t="shared" si="779"/>
        <v>0</v>
      </c>
      <c r="AC166" s="615">
        <f t="shared" si="780"/>
        <v>0</v>
      </c>
      <c r="AD166" s="620">
        <f t="shared" si="781"/>
        <v>0</v>
      </c>
      <c r="AE166" s="287"/>
      <c r="AF166" s="339"/>
      <c r="AG166" s="339"/>
      <c r="AH166" s="339"/>
      <c r="AI166" s="339"/>
      <c r="AJ166" s="339"/>
      <c r="AK166" s="339"/>
      <c r="AL166" s="603"/>
      <c r="AM166" s="603"/>
      <c r="AN166" s="603"/>
      <c r="AO166" s="341"/>
      <c r="AP166" s="359"/>
      <c r="AQ166" s="328"/>
      <c r="AR166" s="328"/>
      <c r="AS166" s="328"/>
      <c r="AT166" s="328"/>
      <c r="AU166" s="328"/>
      <c r="AV166" s="328"/>
      <c r="AW166" s="328"/>
      <c r="AX166" s="328"/>
      <c r="AY166" s="328"/>
      <c r="AZ166" s="328"/>
      <c r="BA166" s="328"/>
      <c r="BB166" s="328"/>
      <c r="BC166" s="328"/>
      <c r="BD166" s="328"/>
      <c r="BE166" s="606">
        <f>SUM(BE167:BE168)</f>
        <v>0.5</v>
      </c>
      <c r="BF166" s="371"/>
      <c r="BG166" s="607">
        <f>$BG$144*(95%/12)</f>
        <v>0.10764153125000001</v>
      </c>
      <c r="BH166" s="606">
        <f t="shared" si="717"/>
        <v>0.10764153125000001</v>
      </c>
      <c r="BI166" s="607">
        <f>SUM(BI167:BI168)</f>
        <v>0.10764153125000001</v>
      </c>
      <c r="BJ166" s="607">
        <f>SUM(BJ167:BJ168)</f>
        <v>0</v>
      </c>
      <c r="BK166" s="632">
        <f t="shared" si="782"/>
        <v>0</v>
      </c>
      <c r="BL166" s="615">
        <f t="shared" si="783"/>
        <v>0</v>
      </c>
      <c r="BM166" s="615">
        <f t="shared" si="784"/>
        <v>0</v>
      </c>
      <c r="BN166" s="615">
        <f t="shared" si="785"/>
        <v>0</v>
      </c>
      <c r="BO166" s="339"/>
      <c r="BP166" s="632">
        <f>SUM(BP167:BP168)</f>
        <v>0</v>
      </c>
      <c r="BQ166" s="632">
        <f t="shared" ref="BQ166:BT166" si="855">SUM(BQ167:BQ168)</f>
        <v>0</v>
      </c>
      <c r="BR166" s="632">
        <f t="shared" si="855"/>
        <v>0</v>
      </c>
      <c r="BS166" s="632">
        <f t="shared" si="855"/>
        <v>0</v>
      </c>
      <c r="BT166" s="632">
        <f t="shared" si="855"/>
        <v>0</v>
      </c>
      <c r="BU166" s="282"/>
      <c r="BV166" s="635">
        <f t="shared" si="787"/>
        <v>0</v>
      </c>
      <c r="BW166" s="635">
        <f t="shared" si="788"/>
        <v>0</v>
      </c>
      <c r="BX166" s="635">
        <f t="shared" si="789"/>
        <v>0</v>
      </c>
      <c r="BY166" s="341"/>
      <c r="BZ166" s="540"/>
      <c r="CA166" s="532"/>
      <c r="CB166" s="539"/>
      <c r="CC166" s="536"/>
      <c r="CD166" s="536"/>
      <c r="CE166" s="536"/>
      <c r="CF166" s="536"/>
      <c r="CG166" s="536"/>
      <c r="CH166" s="539"/>
      <c r="CI166" s="536"/>
      <c r="CJ166" s="536"/>
      <c r="CK166" s="536"/>
      <c r="CL166" s="536"/>
      <c r="CM166" s="371"/>
      <c r="CN166" s="371"/>
      <c r="CO166" s="553">
        <v>0</v>
      </c>
      <c r="CP166" s="371"/>
      <c r="CQ166" s="344"/>
      <c r="CR166" s="606">
        <f t="shared" si="733"/>
        <v>0</v>
      </c>
      <c r="CS166" s="339"/>
      <c r="CT166" s="339"/>
      <c r="CU166" s="339"/>
      <c r="CV166" s="339"/>
      <c r="CW166" s="339"/>
      <c r="CX166" s="339"/>
      <c r="CY166" s="339"/>
      <c r="CZ166" s="339"/>
      <c r="DA166" s="339"/>
      <c r="DB166" s="339"/>
      <c r="DC166" s="339"/>
      <c r="DD166" s="339"/>
      <c r="DE166" s="339"/>
      <c r="DF166" s="603"/>
      <c r="DG166" s="603"/>
      <c r="DH166" s="603"/>
      <c r="DI166" s="341"/>
      <c r="DJ166" s="359"/>
      <c r="DK166" s="328"/>
      <c r="DL166" s="328"/>
      <c r="DM166" s="339"/>
      <c r="DN166" s="339"/>
      <c r="DO166" s="339"/>
      <c r="DP166" s="339"/>
      <c r="DQ166" s="339"/>
      <c r="DR166" s="328"/>
      <c r="DS166" s="339"/>
      <c r="DT166" s="339"/>
      <c r="DU166" s="339"/>
      <c r="DV166" s="339"/>
      <c r="DW166" s="371"/>
      <c r="DX166" s="371"/>
      <c r="DY166" s="553">
        <v>0</v>
      </c>
      <c r="DZ166" s="371"/>
      <c r="EA166" s="344"/>
      <c r="EB166" s="606">
        <f t="shared" si="748"/>
        <v>0</v>
      </c>
      <c r="EC166" s="81"/>
      <c r="ED166" s="81"/>
      <c r="EE166" s="81"/>
      <c r="EF166" s="81"/>
      <c r="EG166" s="81"/>
      <c r="EH166" s="81"/>
      <c r="EI166" s="81"/>
      <c r="EJ166" s="81"/>
      <c r="EK166" s="81"/>
      <c r="EL166" s="81"/>
      <c r="EM166" s="81"/>
      <c r="EN166" s="81"/>
      <c r="EO166" s="81"/>
      <c r="EP166" s="103"/>
      <c r="EQ166" s="103"/>
      <c r="ER166" s="103"/>
      <c r="ES166" s="82"/>
      <c r="ET166" s="56"/>
      <c r="EU166" s="71"/>
      <c r="EV166" s="71"/>
      <c r="EW166" s="81"/>
      <c r="EX166" s="81"/>
      <c r="EY166" s="81"/>
      <c r="EZ166" s="81"/>
      <c r="FA166" s="81"/>
      <c r="FB166" s="71"/>
      <c r="FC166" s="81"/>
      <c r="FD166" s="81"/>
      <c r="FE166" s="81"/>
      <c r="FF166" s="81"/>
      <c r="FG166" s="48"/>
    </row>
    <row r="167" spans="1:163" ht="14.25" hidden="1" outlineLevel="3">
      <c r="A167" s="48"/>
      <c r="B167" s="87" t="s">
        <v>158</v>
      </c>
      <c r="C167" s="276">
        <v>1</v>
      </c>
      <c r="D167" s="272" t="s">
        <v>152</v>
      </c>
      <c r="E167" s="48"/>
      <c r="F167" s="619">
        <f t="shared" ref="F167:F168" si="856">W167+BG167+CQ167+EA167</f>
        <v>5.3820765625000003E-2</v>
      </c>
      <c r="G167" s="619">
        <f t="shared" ref="G167:G168" si="857">X167+BH167+CR167+EB167</f>
        <v>5.3820765625000003E-2</v>
      </c>
      <c r="H167" s="615">
        <f t="shared" ref="H167:H168" si="858">F167-G167</f>
        <v>0</v>
      </c>
      <c r="I167" s="615">
        <f t="shared" ref="I167:I168" si="859">Z167+BJ167+CT167+ED167</f>
        <v>0</v>
      </c>
      <c r="J167" s="615">
        <f t="shared" ref="J167:J168" si="860">AA167+BK167+CU167+EE167</f>
        <v>0</v>
      </c>
      <c r="K167" s="615">
        <f t="shared" ref="K167:K168" si="861">AB167+BL167+CV167+EF167</f>
        <v>0</v>
      </c>
      <c r="L167" s="615">
        <f t="shared" ref="L167:L168" si="862">AC167+BM167+CW167+EG167</f>
        <v>0</v>
      </c>
      <c r="M167" s="620">
        <f t="shared" ref="M167:M168" si="863">AD167+BN167+CX167+EH167</f>
        <v>0</v>
      </c>
      <c r="N167" s="287"/>
      <c r="O167" s="615">
        <f t="shared" ref="O167:O168" si="864">AF167+BP167+CZ167+EJ167</f>
        <v>0</v>
      </c>
      <c r="P167" s="615">
        <f t="shared" ref="P167:P168" si="865">AG167+BQ167+DA167+EK167</f>
        <v>0</v>
      </c>
      <c r="Q167" s="615">
        <f t="shared" ref="Q167:Q168" si="866">AH167+BR167+DB167+EL167</f>
        <v>0</v>
      </c>
      <c r="R167" s="615">
        <f t="shared" ref="R167:R168" si="867">AI167+BS167+DC167+EM167</f>
        <v>0</v>
      </c>
      <c r="S167" s="615">
        <f t="shared" ref="S167:S168" si="868">AJ167+BT167+DD167+EN167</f>
        <v>0</v>
      </c>
      <c r="T167" s="48"/>
      <c r="U167" s="519">
        <v>0</v>
      </c>
      <c r="V167" s="131"/>
      <c r="W167" s="338"/>
      <c r="X167" s="619">
        <f t="shared" si="700"/>
        <v>0</v>
      </c>
      <c r="Y167" s="339"/>
      <c r="Z167" s="339"/>
      <c r="AA167" s="615">
        <f t="shared" si="778"/>
        <v>0</v>
      </c>
      <c r="AB167" s="615">
        <f t="shared" si="779"/>
        <v>0</v>
      </c>
      <c r="AC167" s="615">
        <f t="shared" si="780"/>
        <v>0</v>
      </c>
      <c r="AD167" s="620">
        <f t="shared" si="781"/>
        <v>0</v>
      </c>
      <c r="AE167" s="287"/>
      <c r="AF167" s="339"/>
      <c r="AG167" s="339"/>
      <c r="AH167" s="339"/>
      <c r="AI167" s="339"/>
      <c r="AJ167" s="339"/>
      <c r="AK167" s="339"/>
      <c r="AL167" s="603"/>
      <c r="AM167" s="603"/>
      <c r="AN167" s="603"/>
      <c r="AO167" s="341"/>
      <c r="AP167" s="359"/>
      <c r="AQ167" s="328"/>
      <c r="AR167" s="328"/>
      <c r="AS167" s="328"/>
      <c r="AT167" s="328"/>
      <c r="AU167" s="328"/>
      <c r="AV167" s="328"/>
      <c r="AW167" s="328"/>
      <c r="AX167" s="328"/>
      <c r="AY167" s="328"/>
      <c r="AZ167" s="328"/>
      <c r="BA167" s="328"/>
      <c r="BB167" s="328"/>
      <c r="BC167" s="328"/>
      <c r="BD167" s="328"/>
      <c r="BE167" s="525">
        <v>0.25</v>
      </c>
      <c r="BF167" s="343"/>
      <c r="BG167" s="616">
        <f>$BG$166/$BE$166*BE167</f>
        <v>5.3820765625000003E-2</v>
      </c>
      <c r="BH167" s="618">
        <f t="shared" si="717"/>
        <v>5.3820765625000003E-2</v>
      </c>
      <c r="BI167" s="615">
        <f>IFERROR(IF(BV167=100%,BG167,0),0)</f>
        <v>5.3820765625000003E-2</v>
      </c>
      <c r="BJ167" s="615">
        <f>IFERROR(IF(AND((BV167+BW167)=100%,BV167&lt;1),BG167,0),0)</f>
        <v>0</v>
      </c>
      <c r="BK167" s="615">
        <f t="shared" si="782"/>
        <v>0</v>
      </c>
      <c r="BL167" s="615">
        <f t="shared" si="783"/>
        <v>0</v>
      </c>
      <c r="BM167" s="615">
        <f t="shared" si="784"/>
        <v>0</v>
      </c>
      <c r="BN167" s="615">
        <f t="shared" si="785"/>
        <v>0</v>
      </c>
      <c r="BO167" s="339"/>
      <c r="BP167" s="615">
        <f>IFERROR(IF(AND((BV167+BX167)=100%,BV167&lt;1),BG167,0),0)</f>
        <v>0</v>
      </c>
      <c r="BQ167" s="615">
        <f>IFERROR(IF(AND((CA167+CI167)=BZ167,BI167=0),BG167,0),0)</f>
        <v>0</v>
      </c>
      <c r="BR167" s="615">
        <f>IFERROR(IF(AND((CA167+CI167+CJ167)=BZ167,BI167=0,BQ167=0),BG167,0),0)</f>
        <v>0</v>
      </c>
      <c r="BS167" s="615">
        <f>IFERROR(IF(AND((CA167+CI167+CJ167+CK167)=BZ167,BI167=0,BQ167=0,BR167=0),BG167,0),0)</f>
        <v>0</v>
      </c>
      <c r="BT167" s="615">
        <f>IFERROR(IF(AND((CA167+CI167+CJ167+CK167+CL167)=BZ167,BI167=0,BQ167=0,BR167=0,BS167=0),BG167,0),0)</f>
        <v>0</v>
      </c>
      <c r="BU167" s="339"/>
      <c r="BV167" s="635">
        <f t="shared" si="787"/>
        <v>1</v>
      </c>
      <c r="BW167" s="635">
        <f t="shared" si="788"/>
        <v>0</v>
      </c>
      <c r="BX167" s="635">
        <f t="shared" si="789"/>
        <v>0</v>
      </c>
      <c r="BY167" s="341"/>
      <c r="BZ167" s="615">
        <f>COUNTIF('ST | Drawing List'!$H:$H,"ST-SS5-1")</f>
        <v>3</v>
      </c>
      <c r="CA167" s="616">
        <f>COUNTIFS('ST | Drawing List'!$H:$H,"ST-SS5-1",'ST | Drawing List'!$J:$J,1)</f>
        <v>3</v>
      </c>
      <c r="CB167" s="623">
        <f>COUNTIFS('ST | Drawing List'!$H:$H,"ST-SS5-1",'ST | Drawing List'!$L:$L,1)</f>
        <v>0</v>
      </c>
      <c r="CC167" s="616">
        <f>COUNTIFS('ST | Drawing List'!$H:$H,"ST-SS5-1",'ST | Drawing List'!M:M,1)</f>
        <v>0</v>
      </c>
      <c r="CD167" s="616">
        <f>COUNTIFS('ST | Drawing List'!$H:$H,"ST-SS5-1",'ST | Drawing List'!N:N,1)</f>
        <v>0</v>
      </c>
      <c r="CE167" s="616">
        <f>COUNTIFS('ST | Drawing List'!$H:$H,"ST-SS5-1",'ST | Drawing List'!O:O,1)</f>
        <v>0</v>
      </c>
      <c r="CF167" s="616">
        <f>COUNTIFS('ST | Drawing List'!$H:$H,"ST-SS5-1",'ST | Drawing List'!P:P,1)</f>
        <v>0</v>
      </c>
      <c r="CG167" s="532"/>
      <c r="CH167" s="623">
        <f>COUNTIFS('ST | Drawing List'!$H:$H,"ST-SS5-1",'ST | Drawing List'!$Q:$Q,1)</f>
        <v>0</v>
      </c>
      <c r="CI167" s="616">
        <f>COUNTIFS('ST | Drawing List'!$H:$H,"ST-SS5-1",'ST | Drawing List'!R:R,1)</f>
        <v>0</v>
      </c>
      <c r="CJ167" s="616">
        <f>COUNTIFS('ST | Drawing List'!$H:$H,"ST-SS5-1",'ST | Drawing List'!S:S,1)</f>
        <v>0</v>
      </c>
      <c r="CK167" s="616">
        <f>COUNTIFS('ST | Drawing List'!$H:$H,"ST-SS5-1",'ST | Drawing List'!T:T,1)</f>
        <v>0</v>
      </c>
      <c r="CL167" s="616">
        <f>COUNTIFS('ST | Drawing List'!$H:$H,"ST-SS5-1",'ST | Drawing List'!U:U,1)</f>
        <v>0</v>
      </c>
      <c r="CM167" s="343"/>
      <c r="CN167" s="343"/>
      <c r="CO167" s="525">
        <v>0</v>
      </c>
      <c r="CP167" s="343"/>
      <c r="CQ167" s="344"/>
      <c r="CR167" s="618">
        <f t="shared" si="733"/>
        <v>0</v>
      </c>
      <c r="CS167" s="339"/>
      <c r="CT167" s="339"/>
      <c r="CU167" s="339"/>
      <c r="CV167" s="339"/>
      <c r="CW167" s="339"/>
      <c r="CX167" s="339"/>
      <c r="CY167" s="339"/>
      <c r="CZ167" s="339"/>
      <c r="DA167" s="339"/>
      <c r="DB167" s="339"/>
      <c r="DC167" s="339"/>
      <c r="DD167" s="339"/>
      <c r="DE167" s="339"/>
      <c r="DF167" s="603"/>
      <c r="DG167" s="603"/>
      <c r="DH167" s="603"/>
      <c r="DI167" s="341"/>
      <c r="DJ167" s="359"/>
      <c r="DK167" s="328"/>
      <c r="DL167" s="328"/>
      <c r="DM167" s="339"/>
      <c r="DN167" s="339"/>
      <c r="DO167" s="339"/>
      <c r="DP167" s="339"/>
      <c r="DQ167" s="339"/>
      <c r="DR167" s="328"/>
      <c r="DS167" s="339"/>
      <c r="DT167" s="339"/>
      <c r="DU167" s="339"/>
      <c r="DV167" s="339"/>
      <c r="DW167" s="343"/>
      <c r="DX167" s="343"/>
      <c r="DY167" s="525">
        <v>0</v>
      </c>
      <c r="DZ167" s="343"/>
      <c r="EA167" s="344"/>
      <c r="EB167" s="618">
        <f t="shared" si="748"/>
        <v>0</v>
      </c>
      <c r="EC167" s="81"/>
      <c r="ED167" s="81"/>
      <c r="EE167" s="81"/>
      <c r="EF167" s="81"/>
      <c r="EG167" s="81"/>
      <c r="EH167" s="81"/>
      <c r="EI167" s="81"/>
      <c r="EJ167" s="81"/>
      <c r="EK167" s="81"/>
      <c r="EL167" s="81"/>
      <c r="EM167" s="81"/>
      <c r="EN167" s="81"/>
      <c r="EO167" s="81"/>
      <c r="EP167" s="103"/>
      <c r="EQ167" s="103"/>
      <c r="ER167" s="103"/>
      <c r="ES167" s="82"/>
      <c r="ET167" s="56"/>
      <c r="EU167" s="71"/>
      <c r="EV167" s="71"/>
      <c r="EW167" s="81"/>
      <c r="EX167" s="81"/>
      <c r="EY167" s="81"/>
      <c r="EZ167" s="81"/>
      <c r="FA167" s="81"/>
      <c r="FB167" s="71"/>
      <c r="FC167" s="81"/>
      <c r="FD167" s="81"/>
      <c r="FE167" s="81"/>
      <c r="FF167" s="81"/>
      <c r="FG167" s="48"/>
    </row>
    <row r="168" spans="1:163" ht="14.25" hidden="1" outlineLevel="3">
      <c r="A168" s="48"/>
      <c r="B168" s="87" t="s">
        <v>159</v>
      </c>
      <c r="C168" s="276">
        <v>2</v>
      </c>
      <c r="D168" s="272" t="s">
        <v>154</v>
      </c>
      <c r="E168" s="48"/>
      <c r="F168" s="619">
        <f t="shared" si="856"/>
        <v>5.3820765625000003E-2</v>
      </c>
      <c r="G168" s="619">
        <f t="shared" si="857"/>
        <v>5.3820765625000003E-2</v>
      </c>
      <c r="H168" s="615">
        <f t="shared" si="858"/>
        <v>0</v>
      </c>
      <c r="I168" s="615">
        <f t="shared" si="859"/>
        <v>0</v>
      </c>
      <c r="J168" s="615">
        <f t="shared" si="860"/>
        <v>0</v>
      </c>
      <c r="K168" s="615">
        <f t="shared" si="861"/>
        <v>0</v>
      </c>
      <c r="L168" s="615">
        <f t="shared" si="862"/>
        <v>0</v>
      </c>
      <c r="M168" s="620">
        <f t="shared" si="863"/>
        <v>0</v>
      </c>
      <c r="N168" s="287"/>
      <c r="O168" s="615">
        <f t="shared" si="864"/>
        <v>0</v>
      </c>
      <c r="P168" s="615">
        <f t="shared" si="865"/>
        <v>0</v>
      </c>
      <c r="Q168" s="615">
        <f t="shared" si="866"/>
        <v>0</v>
      </c>
      <c r="R168" s="615">
        <f t="shared" si="867"/>
        <v>0</v>
      </c>
      <c r="S168" s="615">
        <f t="shared" si="868"/>
        <v>0</v>
      </c>
      <c r="T168" s="48"/>
      <c r="U168" s="519">
        <v>0</v>
      </c>
      <c r="V168" s="131"/>
      <c r="W168" s="338"/>
      <c r="X168" s="619">
        <f t="shared" si="700"/>
        <v>0</v>
      </c>
      <c r="Y168" s="339"/>
      <c r="Z168" s="339"/>
      <c r="AA168" s="615">
        <f t="shared" si="778"/>
        <v>0</v>
      </c>
      <c r="AB168" s="615">
        <f t="shared" si="779"/>
        <v>0</v>
      </c>
      <c r="AC168" s="615">
        <f t="shared" si="780"/>
        <v>0</v>
      </c>
      <c r="AD168" s="620">
        <f t="shared" si="781"/>
        <v>0</v>
      </c>
      <c r="AE168" s="287"/>
      <c r="AF168" s="339"/>
      <c r="AG168" s="339"/>
      <c r="AH168" s="339"/>
      <c r="AI168" s="339"/>
      <c r="AJ168" s="339"/>
      <c r="AK168" s="339"/>
      <c r="AL168" s="603"/>
      <c r="AM168" s="603"/>
      <c r="AN168" s="603"/>
      <c r="AO168" s="341"/>
      <c r="AP168" s="359"/>
      <c r="AQ168" s="328"/>
      <c r="AR168" s="328"/>
      <c r="AS168" s="328"/>
      <c r="AT168" s="328"/>
      <c r="AU168" s="328"/>
      <c r="AV168" s="328"/>
      <c r="AW168" s="328"/>
      <c r="AX168" s="328"/>
      <c r="AY168" s="328"/>
      <c r="AZ168" s="328"/>
      <c r="BA168" s="328"/>
      <c r="BB168" s="328"/>
      <c r="BC168" s="328"/>
      <c r="BD168" s="328"/>
      <c r="BE168" s="525">
        <v>0.25</v>
      </c>
      <c r="BF168" s="343"/>
      <c r="BG168" s="616">
        <f>$BG$166/$BE$166*BE168</f>
        <v>5.3820765625000003E-2</v>
      </c>
      <c r="BH168" s="618">
        <f t="shared" si="717"/>
        <v>5.3820765625000003E-2</v>
      </c>
      <c r="BI168" s="615">
        <f>IFERROR(IF(BV168=100%,BG168,0),0)</f>
        <v>5.3820765625000003E-2</v>
      </c>
      <c r="BJ168" s="615">
        <f>IFERROR(IF(AND((BV168+BW168)=100%,BV168&lt;1),BG168,0),0)</f>
        <v>0</v>
      </c>
      <c r="BK168" s="615">
        <f t="shared" si="782"/>
        <v>0</v>
      </c>
      <c r="BL168" s="615">
        <f t="shared" si="783"/>
        <v>0</v>
      </c>
      <c r="BM168" s="615">
        <f t="shared" si="784"/>
        <v>0</v>
      </c>
      <c r="BN168" s="615">
        <f t="shared" si="785"/>
        <v>0</v>
      </c>
      <c r="BO168" s="339"/>
      <c r="BP168" s="615">
        <f>IFERROR(IF(AND((BV168+BX168)=100%,BV168&lt;1),BG168,0),0)</f>
        <v>0</v>
      </c>
      <c r="BQ168" s="615">
        <f>IFERROR(IF(AND((CA168+CI168)=BZ168,BI168=0),BG168,0),0)</f>
        <v>0</v>
      </c>
      <c r="BR168" s="615">
        <f>IFERROR(IF(AND((CA168+CI168+CJ168)=BZ168,BI168=0,BQ168=0),BG168,0),0)</f>
        <v>0</v>
      </c>
      <c r="BS168" s="615">
        <f>IFERROR(IF(AND((CA168+CI168+CJ168+CK168)=BZ168,BI168=0,BQ168=0,BR168=0),BG168,0),0)</f>
        <v>0</v>
      </c>
      <c r="BT168" s="615">
        <f>IFERROR(IF(AND((CA168+CI168+CJ168+CK168+CL168)=BZ168,BI168=0,BQ168=0,BR168=0,BS168=0),BG168,0),0)</f>
        <v>0</v>
      </c>
      <c r="BU168" s="339"/>
      <c r="BV168" s="635">
        <f t="shared" si="787"/>
        <v>1</v>
      </c>
      <c r="BW168" s="635">
        <f t="shared" si="788"/>
        <v>0</v>
      </c>
      <c r="BX168" s="635">
        <f t="shared" si="789"/>
        <v>0</v>
      </c>
      <c r="BY168" s="341"/>
      <c r="BZ168" s="615">
        <f>COUNTIF('ST | Drawing List'!$H:$H,"ST-SS5-2")</f>
        <v>3</v>
      </c>
      <c r="CA168" s="616">
        <f>COUNTIFS('ST | Drawing List'!$H:$H,"ST-SS5-2",'ST | Drawing List'!$J:$J,1)</f>
        <v>3</v>
      </c>
      <c r="CB168" s="623">
        <f>COUNTIFS('ST | Drawing List'!$H:$H,"ST-SS5-2",'ST | Drawing List'!$L:$L,1)</f>
        <v>0</v>
      </c>
      <c r="CC168" s="616">
        <f>COUNTIFS('ST | Drawing List'!$H:$H,"ST-SS5-2",'ST | Drawing List'!M:M,1)</f>
        <v>0</v>
      </c>
      <c r="CD168" s="616">
        <f>COUNTIFS('ST | Drawing List'!$H:$H,"ST-SS5-2",'ST | Drawing List'!N:N,1)</f>
        <v>0</v>
      </c>
      <c r="CE168" s="616">
        <f>COUNTIFS('ST | Drawing List'!$H:$H,"ST-SS5-2",'ST | Drawing List'!O:O,1)</f>
        <v>0</v>
      </c>
      <c r="CF168" s="616">
        <f>COUNTIFS('ST | Drawing List'!$H:$H,"ST-SS5-2",'ST | Drawing List'!P:P,1)</f>
        <v>0</v>
      </c>
      <c r="CG168" s="532"/>
      <c r="CH168" s="623">
        <f>COUNTIFS('ST | Drawing List'!$H:$H,"ST-SS5-2",'ST | Drawing List'!$Q:$Q,1)</f>
        <v>0</v>
      </c>
      <c r="CI168" s="616">
        <f>COUNTIFS('ST | Drawing List'!$H:$H,"ST-SS5-2",'ST | Drawing List'!R:R,1)</f>
        <v>0</v>
      </c>
      <c r="CJ168" s="616">
        <f>COUNTIFS('ST | Drawing List'!$H:$H,"ST-SS5-2",'ST | Drawing List'!S:S,1)</f>
        <v>0</v>
      </c>
      <c r="CK168" s="616">
        <f>COUNTIFS('ST | Drawing List'!$H:$H,"ST-SS5-2",'ST | Drawing List'!T:T,1)</f>
        <v>0</v>
      </c>
      <c r="CL168" s="616">
        <f>COUNTIFS('ST | Drawing List'!$H:$H,"ST-SS5-2",'ST | Drawing List'!U:U,1)</f>
        <v>0</v>
      </c>
      <c r="CM168" s="343"/>
      <c r="CN168" s="343"/>
      <c r="CO168" s="525">
        <v>0</v>
      </c>
      <c r="CP168" s="343"/>
      <c r="CQ168" s="344"/>
      <c r="CR168" s="618">
        <f t="shared" si="733"/>
        <v>0</v>
      </c>
      <c r="CS168" s="339"/>
      <c r="CT168" s="339"/>
      <c r="CU168" s="339"/>
      <c r="CV168" s="339"/>
      <c r="CW168" s="339"/>
      <c r="CX168" s="339"/>
      <c r="CY168" s="339"/>
      <c r="CZ168" s="339"/>
      <c r="DA168" s="339"/>
      <c r="DB168" s="339"/>
      <c r="DC168" s="339"/>
      <c r="DD168" s="339"/>
      <c r="DE168" s="339"/>
      <c r="DF168" s="603"/>
      <c r="DG168" s="603"/>
      <c r="DH168" s="603"/>
      <c r="DI168" s="341"/>
      <c r="DJ168" s="359"/>
      <c r="DK168" s="328"/>
      <c r="DL168" s="328"/>
      <c r="DM168" s="339"/>
      <c r="DN168" s="339"/>
      <c r="DO168" s="339"/>
      <c r="DP168" s="339"/>
      <c r="DQ168" s="339"/>
      <c r="DR168" s="328"/>
      <c r="DS168" s="339"/>
      <c r="DT168" s="339"/>
      <c r="DU168" s="339"/>
      <c r="DV168" s="339"/>
      <c r="DW168" s="343"/>
      <c r="DX168" s="343"/>
      <c r="DY168" s="525">
        <v>0</v>
      </c>
      <c r="DZ168" s="343"/>
      <c r="EA168" s="344"/>
      <c r="EB168" s="618">
        <f t="shared" si="748"/>
        <v>0</v>
      </c>
      <c r="EC168" s="81"/>
      <c r="ED168" s="81"/>
      <c r="EE168" s="81"/>
      <c r="EF168" s="81"/>
      <c r="EG168" s="81"/>
      <c r="EH168" s="81"/>
      <c r="EI168" s="81"/>
      <c r="EJ168" s="81"/>
      <c r="EK168" s="81"/>
      <c r="EL168" s="81"/>
      <c r="EM168" s="81"/>
      <c r="EN168" s="81"/>
      <c r="EO168" s="81"/>
      <c r="EP168" s="103"/>
      <c r="EQ168" s="103"/>
      <c r="ER168" s="103"/>
      <c r="ES168" s="82"/>
      <c r="ET168" s="56"/>
      <c r="EU168" s="71"/>
      <c r="EV168" s="71"/>
      <c r="EW168" s="81"/>
      <c r="EX168" s="81"/>
      <c r="EY168" s="81"/>
      <c r="EZ168" s="81"/>
      <c r="FA168" s="81"/>
      <c r="FB168" s="71"/>
      <c r="FC168" s="81"/>
      <c r="FD168" s="81"/>
      <c r="FE168" s="81"/>
      <c r="FF168" s="81"/>
      <c r="FG168" s="48"/>
    </row>
    <row r="169" spans="1:163" ht="14.25" hidden="1" outlineLevel="2">
      <c r="A169" s="48"/>
      <c r="B169" s="100"/>
      <c r="C169" s="279"/>
      <c r="D169" s="272"/>
      <c r="E169" s="48"/>
      <c r="F169" s="338"/>
      <c r="G169" s="619"/>
      <c r="H169" s="339"/>
      <c r="I169" s="339"/>
      <c r="J169" s="615"/>
      <c r="K169" s="615"/>
      <c r="L169" s="615"/>
      <c r="M169" s="620"/>
      <c r="N169" s="287"/>
      <c r="O169" s="339"/>
      <c r="P169" s="339"/>
      <c r="Q169" s="339"/>
      <c r="R169" s="339"/>
      <c r="S169" s="339"/>
      <c r="T169" s="48"/>
      <c r="U169" s="519"/>
      <c r="V169" s="131"/>
      <c r="W169" s="338"/>
      <c r="X169" s="619">
        <f t="shared" si="700"/>
        <v>0</v>
      </c>
      <c r="Y169" s="339"/>
      <c r="Z169" s="339"/>
      <c r="AA169" s="615">
        <f t="shared" si="778"/>
        <v>0</v>
      </c>
      <c r="AB169" s="615">
        <f t="shared" si="779"/>
        <v>0</v>
      </c>
      <c r="AC169" s="615">
        <f t="shared" si="780"/>
        <v>0</v>
      </c>
      <c r="AD169" s="620">
        <f t="shared" si="781"/>
        <v>0</v>
      </c>
      <c r="AE169" s="287"/>
      <c r="AF169" s="339"/>
      <c r="AG169" s="339"/>
      <c r="AH169" s="339"/>
      <c r="AI169" s="339"/>
      <c r="AJ169" s="339"/>
      <c r="AK169" s="339"/>
      <c r="AL169" s="603"/>
      <c r="AM169" s="603"/>
      <c r="AN169" s="603"/>
      <c r="AO169" s="341"/>
      <c r="AP169" s="359"/>
      <c r="AQ169" s="328"/>
      <c r="AR169" s="328"/>
      <c r="AS169" s="328"/>
      <c r="AT169" s="328"/>
      <c r="AU169" s="328"/>
      <c r="AV169" s="328"/>
      <c r="AW169" s="328"/>
      <c r="AX169" s="328"/>
      <c r="AY169" s="328"/>
      <c r="AZ169" s="328"/>
      <c r="BA169" s="328"/>
      <c r="BB169" s="328"/>
      <c r="BC169" s="328"/>
      <c r="BD169" s="328"/>
      <c r="BE169" s="525"/>
      <c r="BF169" s="343"/>
      <c r="BG169" s="344"/>
      <c r="BH169" s="618">
        <f t="shared" si="717"/>
        <v>0</v>
      </c>
      <c r="BI169" s="339"/>
      <c r="BJ169" s="339"/>
      <c r="BK169" s="615">
        <f t="shared" si="782"/>
        <v>0</v>
      </c>
      <c r="BL169" s="615">
        <f t="shared" si="783"/>
        <v>0</v>
      </c>
      <c r="BM169" s="615">
        <f t="shared" si="784"/>
        <v>0</v>
      </c>
      <c r="BN169" s="615">
        <f t="shared" si="785"/>
        <v>0</v>
      </c>
      <c r="BO169" s="339"/>
      <c r="BP169" s="615">
        <f>IFERROR(IF(AND((BV169+BX169)=100%,BV169&lt;1),BG169,0),0)</f>
        <v>0</v>
      </c>
      <c r="BQ169" s="339"/>
      <c r="BR169" s="339"/>
      <c r="BS169" s="339"/>
      <c r="BT169" s="339"/>
      <c r="BU169" s="339"/>
      <c r="BV169" s="635">
        <f t="shared" si="787"/>
        <v>0</v>
      </c>
      <c r="BW169" s="635">
        <f t="shared" si="788"/>
        <v>0</v>
      </c>
      <c r="BX169" s="635">
        <f t="shared" si="789"/>
        <v>0</v>
      </c>
      <c r="BY169" s="341"/>
      <c r="BZ169" s="540"/>
      <c r="CA169" s="532"/>
      <c r="CB169" s="539"/>
      <c r="CC169" s="536"/>
      <c r="CD169" s="536"/>
      <c r="CE169" s="536"/>
      <c r="CF169" s="536"/>
      <c r="CG169" s="536"/>
      <c r="CH169" s="539"/>
      <c r="CI169" s="536"/>
      <c r="CJ169" s="536"/>
      <c r="CK169" s="536"/>
      <c r="CL169" s="536"/>
      <c r="CM169" s="343"/>
      <c r="CN169" s="343"/>
      <c r="CO169" s="525"/>
      <c r="CP169" s="343"/>
      <c r="CQ169" s="344"/>
      <c r="CR169" s="618">
        <f t="shared" si="733"/>
        <v>0</v>
      </c>
      <c r="CS169" s="339"/>
      <c r="CT169" s="339"/>
      <c r="CU169" s="339"/>
      <c r="CV169" s="339"/>
      <c r="CW169" s="339"/>
      <c r="CX169" s="339"/>
      <c r="CY169" s="339"/>
      <c r="CZ169" s="339"/>
      <c r="DA169" s="339"/>
      <c r="DB169" s="339"/>
      <c r="DC169" s="339"/>
      <c r="DD169" s="339"/>
      <c r="DE169" s="339"/>
      <c r="DF169" s="603"/>
      <c r="DG169" s="603"/>
      <c r="DH169" s="603"/>
      <c r="DI169" s="341"/>
      <c r="DJ169" s="359"/>
      <c r="DK169" s="328"/>
      <c r="DL169" s="328"/>
      <c r="DM169" s="339"/>
      <c r="DN169" s="339"/>
      <c r="DO169" s="339"/>
      <c r="DP169" s="339"/>
      <c r="DQ169" s="339"/>
      <c r="DR169" s="328"/>
      <c r="DS169" s="339"/>
      <c r="DT169" s="339"/>
      <c r="DU169" s="339"/>
      <c r="DV169" s="339"/>
      <c r="DW169" s="343"/>
      <c r="DX169" s="343"/>
      <c r="DY169" s="525"/>
      <c r="DZ169" s="343"/>
      <c r="EA169" s="344"/>
      <c r="EB169" s="618">
        <f t="shared" si="748"/>
        <v>0</v>
      </c>
      <c r="EC169" s="81"/>
      <c r="ED169" s="81"/>
      <c r="EE169" s="81"/>
      <c r="EF169" s="81"/>
      <c r="EG169" s="81"/>
      <c r="EH169" s="81"/>
      <c r="EI169" s="81"/>
      <c r="EJ169" s="81"/>
      <c r="EK169" s="81"/>
      <c r="EL169" s="81"/>
      <c r="EM169" s="81"/>
      <c r="EN169" s="81"/>
      <c r="EO169" s="81"/>
      <c r="EP169" s="103"/>
      <c r="EQ169" s="103"/>
      <c r="ER169" s="103"/>
      <c r="ES169" s="82"/>
      <c r="ET169" s="56"/>
      <c r="EU169" s="71"/>
      <c r="EV169" s="71"/>
      <c r="EW169" s="81"/>
      <c r="EX169" s="81"/>
      <c r="EY169" s="81"/>
      <c r="EZ169" s="81"/>
      <c r="FA169" s="81"/>
      <c r="FB169" s="71"/>
      <c r="FC169" s="81"/>
      <c r="FD169" s="81"/>
      <c r="FE169" s="81"/>
      <c r="FF169" s="81"/>
      <c r="FG169" s="48"/>
    </row>
    <row r="170" spans="1:163" ht="14.25" hidden="1" outlineLevel="2">
      <c r="A170" s="48"/>
      <c r="B170" s="100">
        <v>2.6</v>
      </c>
      <c r="C170" s="279">
        <v>2.6</v>
      </c>
      <c r="D170" s="274" t="s">
        <v>166</v>
      </c>
      <c r="E170" s="48"/>
      <c r="F170" s="322"/>
      <c r="G170" s="630"/>
      <c r="H170" s="339"/>
      <c r="I170" s="339"/>
      <c r="J170" s="615"/>
      <c r="K170" s="615"/>
      <c r="L170" s="615"/>
      <c r="M170" s="620"/>
      <c r="N170" s="287"/>
      <c r="O170" s="339"/>
      <c r="P170" s="339"/>
      <c r="Q170" s="339"/>
      <c r="R170" s="339"/>
      <c r="S170" s="339"/>
      <c r="T170" s="48"/>
      <c r="U170" s="553">
        <v>0</v>
      </c>
      <c r="V170" s="371"/>
      <c r="W170" s="322">
        <v>0</v>
      </c>
      <c r="X170" s="630">
        <f t="shared" si="700"/>
        <v>0</v>
      </c>
      <c r="Y170" s="339"/>
      <c r="Z170" s="339"/>
      <c r="AA170" s="615">
        <f t="shared" si="778"/>
        <v>0</v>
      </c>
      <c r="AB170" s="615">
        <f t="shared" si="779"/>
        <v>0</v>
      </c>
      <c r="AC170" s="615">
        <f t="shared" si="780"/>
        <v>0</v>
      </c>
      <c r="AD170" s="620">
        <f t="shared" si="781"/>
        <v>0</v>
      </c>
      <c r="AE170" s="287"/>
      <c r="AF170" s="339"/>
      <c r="AG170" s="339"/>
      <c r="AH170" s="339"/>
      <c r="AI170" s="339"/>
      <c r="AJ170" s="339"/>
      <c r="AK170" s="339"/>
      <c r="AL170" s="603"/>
      <c r="AM170" s="603"/>
      <c r="AN170" s="603"/>
      <c r="AO170" s="341"/>
      <c r="AP170" s="359"/>
      <c r="AQ170" s="328"/>
      <c r="AR170" s="328"/>
      <c r="AS170" s="328"/>
      <c r="AT170" s="328"/>
      <c r="AU170" s="328"/>
      <c r="AV170" s="328"/>
      <c r="AW170" s="328"/>
      <c r="AX170" s="328"/>
      <c r="AY170" s="328"/>
      <c r="AZ170" s="328"/>
      <c r="BA170" s="328"/>
      <c r="BB170" s="328"/>
      <c r="BC170" s="328"/>
      <c r="BD170" s="328"/>
      <c r="BE170" s="606">
        <f>SUM(BE171:BE172)</f>
        <v>0.5</v>
      </c>
      <c r="BF170" s="371"/>
      <c r="BG170" s="607">
        <f>$BG$144*(95%/12)</f>
        <v>0.10764153125000001</v>
      </c>
      <c r="BH170" s="606">
        <f t="shared" si="717"/>
        <v>0.10764153125000001</v>
      </c>
      <c r="BI170" s="607">
        <f>SUM(BI171:BI172)</f>
        <v>0.10764153125000001</v>
      </c>
      <c r="BJ170" s="607">
        <f>SUM(BJ171:BJ172)</f>
        <v>0</v>
      </c>
      <c r="BK170" s="632">
        <f t="shared" si="782"/>
        <v>0</v>
      </c>
      <c r="BL170" s="615">
        <f t="shared" si="783"/>
        <v>0</v>
      </c>
      <c r="BM170" s="615">
        <f t="shared" si="784"/>
        <v>0</v>
      </c>
      <c r="BN170" s="615">
        <f t="shared" si="785"/>
        <v>0</v>
      </c>
      <c r="BO170" s="339"/>
      <c r="BP170" s="632">
        <f>SUM(BP171:BP172)</f>
        <v>0</v>
      </c>
      <c r="BQ170" s="632">
        <f t="shared" ref="BQ170" si="869">SUM(BQ171:BQ172)</f>
        <v>0</v>
      </c>
      <c r="BR170" s="632">
        <f t="shared" ref="BR170" si="870">SUM(BR171:BR172)</f>
        <v>0</v>
      </c>
      <c r="BS170" s="632">
        <f t="shared" ref="BS170" si="871">SUM(BS171:BS172)</f>
        <v>0</v>
      </c>
      <c r="BT170" s="632">
        <f t="shared" ref="BT170" si="872">SUM(BT171:BT172)</f>
        <v>0</v>
      </c>
      <c r="BU170" s="282"/>
      <c r="BV170" s="635">
        <f t="shared" si="787"/>
        <v>0</v>
      </c>
      <c r="BW170" s="635">
        <f t="shared" si="788"/>
        <v>0</v>
      </c>
      <c r="BX170" s="635">
        <f t="shared" si="789"/>
        <v>0</v>
      </c>
      <c r="BY170" s="341"/>
      <c r="BZ170" s="540"/>
      <c r="CA170" s="532"/>
      <c r="CB170" s="539"/>
      <c r="CC170" s="536"/>
      <c r="CD170" s="536"/>
      <c r="CE170" s="536"/>
      <c r="CF170" s="536"/>
      <c r="CG170" s="536"/>
      <c r="CH170" s="539"/>
      <c r="CI170" s="536"/>
      <c r="CJ170" s="536"/>
      <c r="CK170" s="536"/>
      <c r="CL170" s="536"/>
      <c r="CM170" s="371"/>
      <c r="CN170" s="371"/>
      <c r="CO170" s="553">
        <v>0</v>
      </c>
      <c r="CP170" s="371"/>
      <c r="CQ170" s="344"/>
      <c r="CR170" s="606">
        <f t="shared" si="733"/>
        <v>0</v>
      </c>
      <c r="CS170" s="339"/>
      <c r="CT170" s="339"/>
      <c r="CU170" s="339"/>
      <c r="CV170" s="339"/>
      <c r="CW170" s="339"/>
      <c r="CX170" s="339"/>
      <c r="CY170" s="339"/>
      <c r="CZ170" s="339"/>
      <c r="DA170" s="339"/>
      <c r="DB170" s="339"/>
      <c r="DC170" s="339"/>
      <c r="DD170" s="339"/>
      <c r="DE170" s="339"/>
      <c r="DF170" s="603"/>
      <c r="DG170" s="603"/>
      <c r="DH170" s="603"/>
      <c r="DI170" s="341"/>
      <c r="DJ170" s="359"/>
      <c r="DK170" s="328"/>
      <c r="DL170" s="328"/>
      <c r="DM170" s="339"/>
      <c r="DN170" s="339"/>
      <c r="DO170" s="339"/>
      <c r="DP170" s="339"/>
      <c r="DQ170" s="339"/>
      <c r="DR170" s="328"/>
      <c r="DS170" s="339"/>
      <c r="DT170" s="339"/>
      <c r="DU170" s="339"/>
      <c r="DV170" s="339"/>
      <c r="DW170" s="371"/>
      <c r="DX170" s="371"/>
      <c r="DY170" s="553">
        <v>0</v>
      </c>
      <c r="DZ170" s="371"/>
      <c r="EA170" s="344"/>
      <c r="EB170" s="606">
        <f t="shared" si="748"/>
        <v>0</v>
      </c>
      <c r="EC170" s="81"/>
      <c r="ED170" s="81"/>
      <c r="EE170" s="81"/>
      <c r="EF170" s="81"/>
      <c r="EG170" s="81"/>
      <c r="EH170" s="81"/>
      <c r="EI170" s="81"/>
      <c r="EJ170" s="81"/>
      <c r="EK170" s="81"/>
      <c r="EL170" s="81"/>
      <c r="EM170" s="81"/>
      <c r="EN170" s="81"/>
      <c r="EO170" s="81"/>
      <c r="EP170" s="103"/>
      <c r="EQ170" s="103"/>
      <c r="ER170" s="103"/>
      <c r="ES170" s="82"/>
      <c r="ET170" s="56"/>
      <c r="EU170" s="71"/>
      <c r="EV170" s="71"/>
      <c r="EW170" s="81"/>
      <c r="EX170" s="81"/>
      <c r="EY170" s="81"/>
      <c r="EZ170" s="81"/>
      <c r="FA170" s="81"/>
      <c r="FB170" s="71"/>
      <c r="FC170" s="81"/>
      <c r="FD170" s="81"/>
      <c r="FE170" s="81"/>
      <c r="FF170" s="81"/>
      <c r="FG170" s="48"/>
    </row>
    <row r="171" spans="1:163" ht="14.25" hidden="1" outlineLevel="3">
      <c r="A171" s="48"/>
      <c r="B171" s="87" t="s">
        <v>158</v>
      </c>
      <c r="C171" s="276">
        <v>1</v>
      </c>
      <c r="D171" s="272" t="s">
        <v>152</v>
      </c>
      <c r="E171" s="48"/>
      <c r="F171" s="619">
        <f t="shared" ref="F171:F172" si="873">W171+BG171+CQ171+EA171</f>
        <v>5.3820765625000003E-2</v>
      </c>
      <c r="G171" s="619">
        <f t="shared" ref="G171:G172" si="874">X171+BH171+CR171+EB171</f>
        <v>5.3820765625000003E-2</v>
      </c>
      <c r="H171" s="615">
        <f t="shared" ref="H171:H172" si="875">F171-G171</f>
        <v>0</v>
      </c>
      <c r="I171" s="615">
        <f t="shared" ref="I171:I172" si="876">Z171+BJ171+CT171+ED171</f>
        <v>0</v>
      </c>
      <c r="J171" s="615">
        <f t="shared" ref="J171:J172" si="877">AA171+BK171+CU171+EE171</f>
        <v>0</v>
      </c>
      <c r="K171" s="615">
        <f t="shared" ref="K171:K172" si="878">AB171+BL171+CV171+EF171</f>
        <v>0</v>
      </c>
      <c r="L171" s="615">
        <f t="shared" ref="L171:L172" si="879">AC171+BM171+CW171+EG171</f>
        <v>0</v>
      </c>
      <c r="M171" s="620">
        <f t="shared" ref="M171:M172" si="880">AD171+BN171+CX171+EH171</f>
        <v>0</v>
      </c>
      <c r="N171" s="287"/>
      <c r="O171" s="615">
        <f t="shared" ref="O171:O172" si="881">AF171+BP171+CZ171+EJ171</f>
        <v>0</v>
      </c>
      <c r="P171" s="615">
        <f t="shared" ref="P171:P172" si="882">AG171+BQ171+DA171+EK171</f>
        <v>0</v>
      </c>
      <c r="Q171" s="615">
        <f t="shared" ref="Q171:Q172" si="883">AH171+BR171+DB171+EL171</f>
        <v>0</v>
      </c>
      <c r="R171" s="615">
        <f t="shared" ref="R171:R172" si="884">AI171+BS171+DC171+EM171</f>
        <v>0</v>
      </c>
      <c r="S171" s="615">
        <f t="shared" ref="S171:S172" si="885">AJ171+BT171+DD171+EN171</f>
        <v>0</v>
      </c>
      <c r="T171" s="48"/>
      <c r="U171" s="519">
        <v>0</v>
      </c>
      <c r="V171" s="131"/>
      <c r="W171" s="338"/>
      <c r="X171" s="619">
        <f t="shared" si="700"/>
        <v>0</v>
      </c>
      <c r="Y171" s="339"/>
      <c r="Z171" s="339"/>
      <c r="AA171" s="615">
        <f t="shared" si="778"/>
        <v>0</v>
      </c>
      <c r="AB171" s="615">
        <f t="shared" si="779"/>
        <v>0</v>
      </c>
      <c r="AC171" s="615">
        <f t="shared" si="780"/>
        <v>0</v>
      </c>
      <c r="AD171" s="620">
        <f t="shared" si="781"/>
        <v>0</v>
      </c>
      <c r="AE171" s="287"/>
      <c r="AF171" s="339"/>
      <c r="AG171" s="339"/>
      <c r="AH171" s="339"/>
      <c r="AI171" s="339"/>
      <c r="AJ171" s="339"/>
      <c r="AK171" s="339"/>
      <c r="AL171" s="603"/>
      <c r="AM171" s="603"/>
      <c r="AN171" s="603"/>
      <c r="AO171" s="341"/>
      <c r="AP171" s="359"/>
      <c r="AQ171" s="328"/>
      <c r="AR171" s="328"/>
      <c r="AS171" s="328"/>
      <c r="AT171" s="328"/>
      <c r="AU171" s="328"/>
      <c r="AV171" s="328"/>
      <c r="AW171" s="328"/>
      <c r="AX171" s="328"/>
      <c r="AY171" s="328"/>
      <c r="AZ171" s="328"/>
      <c r="BA171" s="328"/>
      <c r="BB171" s="328"/>
      <c r="BC171" s="328"/>
      <c r="BD171" s="328"/>
      <c r="BE171" s="525">
        <v>0.25</v>
      </c>
      <c r="BF171" s="343"/>
      <c r="BG171" s="616">
        <f>$BG$170/$BE$170*BE171</f>
        <v>5.3820765625000003E-2</v>
      </c>
      <c r="BH171" s="618">
        <f t="shared" si="717"/>
        <v>5.3820765625000003E-2</v>
      </c>
      <c r="BI171" s="615">
        <f>IFERROR(IF(BV171=100%,BG171,0),0)</f>
        <v>5.3820765625000003E-2</v>
      </c>
      <c r="BJ171" s="615">
        <f>IFERROR(IF(AND((BV171+BW171)=100%,BV171&lt;1),BG171,0),0)</f>
        <v>0</v>
      </c>
      <c r="BK171" s="615">
        <f t="shared" si="782"/>
        <v>0</v>
      </c>
      <c r="BL171" s="615">
        <f t="shared" si="783"/>
        <v>0</v>
      </c>
      <c r="BM171" s="615">
        <f t="shared" si="784"/>
        <v>0</v>
      </c>
      <c r="BN171" s="615">
        <f t="shared" si="785"/>
        <v>0</v>
      </c>
      <c r="BO171" s="339"/>
      <c r="BP171" s="615">
        <f>IFERROR(IF(AND((BV171+BX171)=100%,BV171&lt;1),BG171,0),0)</f>
        <v>0</v>
      </c>
      <c r="BQ171" s="615">
        <f>IFERROR(IF(AND((CA171+CI171)=BZ171,BI171=0),BG171,0),0)</f>
        <v>0</v>
      </c>
      <c r="BR171" s="615">
        <f>IFERROR(IF(AND((CA171+CI171+CJ171)=BZ171,BI171=0,BQ171=0),BG171,0),0)</f>
        <v>0</v>
      </c>
      <c r="BS171" s="615">
        <f>IFERROR(IF(AND((CA171+CI171+CJ171+CK171)=BZ171,BI171=0,BQ171=0,BR171=0),BG171,0),0)</f>
        <v>0</v>
      </c>
      <c r="BT171" s="615">
        <f>IFERROR(IF(AND((CA171+CI171+CJ171+CK171+CL171)=BZ171,BI171=0,BQ171=0,BR171=0,BS171=0),BG171,0),0)</f>
        <v>0</v>
      </c>
      <c r="BU171" s="339"/>
      <c r="BV171" s="635">
        <f t="shared" si="787"/>
        <v>1</v>
      </c>
      <c r="BW171" s="635">
        <f t="shared" si="788"/>
        <v>0</v>
      </c>
      <c r="BX171" s="635">
        <f t="shared" si="789"/>
        <v>0</v>
      </c>
      <c r="BY171" s="341"/>
      <c r="BZ171" s="615">
        <f>COUNTIF('ST | Drawing List'!$H:$H,"ST-SS6-1")</f>
        <v>3</v>
      </c>
      <c r="CA171" s="616">
        <f>COUNTIFS('ST | Drawing List'!$H:$H,"ST-SS6-1",'ST | Drawing List'!$J:$J,1)</f>
        <v>3</v>
      </c>
      <c r="CB171" s="623">
        <f>COUNTIFS('ST | Drawing List'!$H:$H,"ST-SS6-1",'ST | Drawing List'!$L:$L,1)</f>
        <v>0</v>
      </c>
      <c r="CC171" s="616">
        <f>COUNTIFS('ST | Drawing List'!$H:$H,"ST-SS6-1",'ST | Drawing List'!M:M,1)</f>
        <v>0</v>
      </c>
      <c r="CD171" s="616">
        <f>COUNTIFS('ST | Drawing List'!$H:$H,"ST-SS6-1",'ST | Drawing List'!N:N,1)</f>
        <v>0</v>
      </c>
      <c r="CE171" s="616">
        <f>COUNTIFS('ST | Drawing List'!$H:$H,"ST-SS6-1",'ST | Drawing List'!O:O,1)</f>
        <v>0</v>
      </c>
      <c r="CF171" s="616">
        <f>COUNTIFS('ST | Drawing List'!$H:$H,"ST-SS6-1",'ST | Drawing List'!P:P,1)</f>
        <v>0</v>
      </c>
      <c r="CG171" s="532"/>
      <c r="CH171" s="623">
        <f>COUNTIFS('ST | Drawing List'!$H:$H,"ST-SS6-1",'ST | Drawing List'!$Q:$Q,1)</f>
        <v>0</v>
      </c>
      <c r="CI171" s="616">
        <f>COUNTIFS('ST | Drawing List'!$H:$H,"ST-SS6-1",'ST | Drawing List'!R:R,1)</f>
        <v>0</v>
      </c>
      <c r="CJ171" s="616">
        <f>COUNTIFS('ST | Drawing List'!$H:$H,"ST-SS6-1",'ST | Drawing List'!S:S,1)</f>
        <v>0</v>
      </c>
      <c r="CK171" s="616">
        <f>COUNTIFS('ST | Drawing List'!$H:$H,"ST-SS6-1",'ST | Drawing List'!T:T,1)</f>
        <v>0</v>
      </c>
      <c r="CL171" s="616">
        <f>COUNTIFS('ST | Drawing List'!$H:$H,"ST-SS6-1",'ST | Drawing List'!U:U,1)</f>
        <v>0</v>
      </c>
      <c r="CM171" s="343"/>
      <c r="CN171" s="343"/>
      <c r="CO171" s="525">
        <v>0</v>
      </c>
      <c r="CP171" s="343"/>
      <c r="CQ171" s="344"/>
      <c r="CR171" s="618">
        <f t="shared" si="733"/>
        <v>0</v>
      </c>
      <c r="CS171" s="339"/>
      <c r="CT171" s="339"/>
      <c r="CU171" s="339"/>
      <c r="CV171" s="339"/>
      <c r="CW171" s="339"/>
      <c r="CX171" s="339"/>
      <c r="CY171" s="339"/>
      <c r="CZ171" s="339"/>
      <c r="DA171" s="339"/>
      <c r="DB171" s="339"/>
      <c r="DC171" s="339"/>
      <c r="DD171" s="339"/>
      <c r="DE171" s="339"/>
      <c r="DF171" s="603"/>
      <c r="DG171" s="603"/>
      <c r="DH171" s="603"/>
      <c r="DI171" s="341"/>
      <c r="DJ171" s="359"/>
      <c r="DK171" s="328"/>
      <c r="DL171" s="328"/>
      <c r="DM171" s="339"/>
      <c r="DN171" s="339"/>
      <c r="DO171" s="339"/>
      <c r="DP171" s="339"/>
      <c r="DQ171" s="339"/>
      <c r="DR171" s="328"/>
      <c r="DS171" s="339"/>
      <c r="DT171" s="339"/>
      <c r="DU171" s="339"/>
      <c r="DV171" s="339"/>
      <c r="DW171" s="343"/>
      <c r="DX171" s="343"/>
      <c r="DY171" s="525">
        <v>0</v>
      </c>
      <c r="DZ171" s="343"/>
      <c r="EA171" s="344"/>
      <c r="EB171" s="618">
        <f t="shared" si="748"/>
        <v>0</v>
      </c>
      <c r="EC171" s="81"/>
      <c r="ED171" s="81"/>
      <c r="EE171" s="81"/>
      <c r="EF171" s="81"/>
      <c r="EG171" s="81"/>
      <c r="EH171" s="81"/>
      <c r="EI171" s="81"/>
      <c r="EJ171" s="81"/>
      <c r="EK171" s="81"/>
      <c r="EL171" s="81"/>
      <c r="EM171" s="81"/>
      <c r="EN171" s="81"/>
      <c r="EO171" s="81"/>
      <c r="EP171" s="103"/>
      <c r="EQ171" s="103"/>
      <c r="ER171" s="103"/>
      <c r="ES171" s="82"/>
      <c r="ET171" s="56"/>
      <c r="EU171" s="71"/>
      <c r="EV171" s="71"/>
      <c r="EW171" s="81"/>
      <c r="EX171" s="81"/>
      <c r="EY171" s="81"/>
      <c r="EZ171" s="81"/>
      <c r="FA171" s="81"/>
      <c r="FB171" s="71"/>
      <c r="FC171" s="81"/>
      <c r="FD171" s="81"/>
      <c r="FE171" s="81"/>
      <c r="FF171" s="81"/>
      <c r="FG171" s="48"/>
    </row>
    <row r="172" spans="1:163" ht="14.25" hidden="1" outlineLevel="3">
      <c r="A172" s="48"/>
      <c r="B172" s="87" t="s">
        <v>159</v>
      </c>
      <c r="C172" s="276">
        <v>2</v>
      </c>
      <c r="D172" s="272" t="s">
        <v>154</v>
      </c>
      <c r="E172" s="48"/>
      <c r="F172" s="619">
        <f t="shared" si="873"/>
        <v>5.3820765625000003E-2</v>
      </c>
      <c r="G172" s="619">
        <f t="shared" si="874"/>
        <v>5.3820765625000003E-2</v>
      </c>
      <c r="H172" s="615">
        <f t="shared" si="875"/>
        <v>0</v>
      </c>
      <c r="I172" s="615">
        <f t="shared" si="876"/>
        <v>0</v>
      </c>
      <c r="J172" s="615">
        <f t="shared" si="877"/>
        <v>0</v>
      </c>
      <c r="K172" s="615">
        <f t="shared" si="878"/>
        <v>0</v>
      </c>
      <c r="L172" s="615">
        <f t="shared" si="879"/>
        <v>0</v>
      </c>
      <c r="M172" s="620">
        <f t="shared" si="880"/>
        <v>0</v>
      </c>
      <c r="N172" s="287"/>
      <c r="O172" s="615">
        <f t="shared" si="881"/>
        <v>0</v>
      </c>
      <c r="P172" s="615">
        <f t="shared" si="882"/>
        <v>0</v>
      </c>
      <c r="Q172" s="615">
        <f t="shared" si="883"/>
        <v>0</v>
      </c>
      <c r="R172" s="615">
        <f t="shared" si="884"/>
        <v>0</v>
      </c>
      <c r="S172" s="615">
        <f t="shared" si="885"/>
        <v>0</v>
      </c>
      <c r="T172" s="48"/>
      <c r="U172" s="519">
        <v>0</v>
      </c>
      <c r="V172" s="131"/>
      <c r="W172" s="322"/>
      <c r="X172" s="630">
        <f t="shared" si="700"/>
        <v>0</v>
      </c>
      <c r="Y172" s="374"/>
      <c r="Z172" s="374"/>
      <c r="AA172" s="615">
        <f t="shared" si="778"/>
        <v>0</v>
      </c>
      <c r="AB172" s="615">
        <f t="shared" si="779"/>
        <v>0</v>
      </c>
      <c r="AC172" s="615">
        <f t="shared" si="780"/>
        <v>0</v>
      </c>
      <c r="AD172" s="620">
        <f t="shared" si="781"/>
        <v>0</v>
      </c>
      <c r="AE172" s="287"/>
      <c r="AF172" s="374"/>
      <c r="AG172" s="339"/>
      <c r="AH172" s="339"/>
      <c r="AI172" s="339"/>
      <c r="AJ172" s="339"/>
      <c r="AK172" s="339"/>
      <c r="AL172" s="603"/>
      <c r="AM172" s="603"/>
      <c r="AN172" s="603"/>
      <c r="AO172" s="345"/>
      <c r="AP172" s="359"/>
      <c r="AQ172" s="359"/>
      <c r="AR172" s="359"/>
      <c r="AS172" s="328"/>
      <c r="AT172" s="328"/>
      <c r="AU172" s="328"/>
      <c r="AV172" s="328"/>
      <c r="AW172" s="328"/>
      <c r="AX172" s="359"/>
      <c r="AY172" s="328"/>
      <c r="AZ172" s="328"/>
      <c r="BA172" s="328"/>
      <c r="BB172" s="328"/>
      <c r="BC172" s="359"/>
      <c r="BD172" s="359"/>
      <c r="BE172" s="525">
        <v>0.25</v>
      </c>
      <c r="BF172" s="343"/>
      <c r="BG172" s="616">
        <f>$BG$170/$BE$170*BE172</f>
        <v>5.3820765625000003E-2</v>
      </c>
      <c r="BH172" s="606">
        <f t="shared" si="717"/>
        <v>5.3820765625000003E-2</v>
      </c>
      <c r="BI172" s="615">
        <f>IFERROR(IF(BV172=100%,BG172,0),0)</f>
        <v>5.3820765625000003E-2</v>
      </c>
      <c r="BJ172" s="615">
        <f>IFERROR(IF(AND((BV172+BW172)=100%,BV172&lt;1),BG172,0),0)</f>
        <v>0</v>
      </c>
      <c r="BK172" s="615">
        <f t="shared" si="782"/>
        <v>0</v>
      </c>
      <c r="BL172" s="615">
        <f t="shared" si="783"/>
        <v>0</v>
      </c>
      <c r="BM172" s="615">
        <f t="shared" si="784"/>
        <v>0</v>
      </c>
      <c r="BN172" s="615">
        <f t="shared" si="785"/>
        <v>0</v>
      </c>
      <c r="BO172" s="339"/>
      <c r="BP172" s="615">
        <f>IFERROR(IF(AND((BV172+BX172)=100%,BV172&lt;1),BG172,0),0)</f>
        <v>0</v>
      </c>
      <c r="BQ172" s="615">
        <f>IFERROR(IF(AND((CA172+CI172)=BZ172,BI172=0),BG172,0),0)</f>
        <v>0</v>
      </c>
      <c r="BR172" s="615">
        <f>IFERROR(IF(AND((CA172+CI172+CJ172)=BZ172,BI172=0,BQ172=0),BG172,0),0)</f>
        <v>0</v>
      </c>
      <c r="BS172" s="615">
        <f>IFERROR(IF(AND((CA172+CI172+CJ172+CK172)=BZ172,BI172=0,BQ172=0,BR172=0),BG172,0),0)</f>
        <v>0</v>
      </c>
      <c r="BT172" s="615">
        <f>IFERROR(IF(AND((CA172+CI172+CJ172+CK172+CL172)=BZ172,BI172=0,BQ172=0,BR172=0,BS172=0),BG172,0),0)</f>
        <v>0</v>
      </c>
      <c r="BU172" s="339"/>
      <c r="BV172" s="635">
        <f t="shared" si="787"/>
        <v>1</v>
      </c>
      <c r="BW172" s="635">
        <f t="shared" si="788"/>
        <v>0</v>
      </c>
      <c r="BX172" s="635">
        <f t="shared" si="789"/>
        <v>0</v>
      </c>
      <c r="BY172" s="345"/>
      <c r="BZ172" s="615">
        <f>COUNTIF('ST | Drawing List'!$H:$H,"ST-SS6-2")</f>
        <v>3</v>
      </c>
      <c r="CA172" s="616">
        <f>COUNTIFS('ST | Drawing List'!$H:$H,"ST-SS6-2",'ST | Drawing List'!$J:$J,1)</f>
        <v>3</v>
      </c>
      <c r="CB172" s="623">
        <f>COUNTIFS('ST | Drawing List'!$H:$H,"ST-SS6-2",'ST | Drawing List'!$L:$L,1)</f>
        <v>0</v>
      </c>
      <c r="CC172" s="616">
        <f>COUNTIFS('ST | Drawing List'!$H:$H,"ST-SS6-2",'ST | Drawing List'!M:M,1)</f>
        <v>0</v>
      </c>
      <c r="CD172" s="616">
        <f>COUNTIFS('ST | Drawing List'!$H:$H,"ST-SS6-2",'ST | Drawing List'!N:N,1)</f>
        <v>0</v>
      </c>
      <c r="CE172" s="616">
        <f>COUNTIFS('ST | Drawing List'!$H:$H,"ST-SS6-2",'ST | Drawing List'!O:O,1)</f>
        <v>0</v>
      </c>
      <c r="CF172" s="616">
        <f>COUNTIFS('ST | Drawing List'!$H:$H,"ST-SS6-2",'ST | Drawing List'!P:P,1)</f>
        <v>0</v>
      </c>
      <c r="CG172" s="532"/>
      <c r="CH172" s="623">
        <f>COUNTIFS('ST | Drawing List'!$H:$H,"ST-SS6-2",'ST | Drawing List'!$Q:$Q,1)</f>
        <v>0</v>
      </c>
      <c r="CI172" s="616">
        <f>COUNTIFS('ST | Drawing List'!$H:$H,"ST-SS6-2",'ST | Drawing List'!R:R,1)</f>
        <v>0</v>
      </c>
      <c r="CJ172" s="616">
        <f>COUNTIFS('ST | Drawing List'!$H:$H,"ST-SS6-2",'ST | Drawing List'!S:S,1)</f>
        <v>0</v>
      </c>
      <c r="CK172" s="616">
        <f>COUNTIFS('ST | Drawing List'!$H:$H,"ST-SS6-2",'ST | Drawing List'!T:T,1)</f>
        <v>0</v>
      </c>
      <c r="CL172" s="616">
        <f>COUNTIFS('ST | Drawing List'!$H:$H,"ST-SS6-2",'ST | Drawing List'!U:U,1)</f>
        <v>0</v>
      </c>
      <c r="CM172" s="343"/>
      <c r="CN172" s="343"/>
      <c r="CO172" s="525">
        <v>0</v>
      </c>
      <c r="CP172" s="343"/>
      <c r="CQ172" s="331"/>
      <c r="CR172" s="606">
        <f t="shared" si="733"/>
        <v>0</v>
      </c>
      <c r="CS172" s="374"/>
      <c r="CT172" s="374"/>
      <c r="CU172" s="374"/>
      <c r="CV172" s="374"/>
      <c r="CW172" s="374"/>
      <c r="CX172" s="374"/>
      <c r="CY172" s="374"/>
      <c r="CZ172" s="374"/>
      <c r="DA172" s="374"/>
      <c r="DB172" s="374"/>
      <c r="DC172" s="374"/>
      <c r="DD172" s="374"/>
      <c r="DE172" s="374"/>
      <c r="DF172" s="603"/>
      <c r="DG172" s="603"/>
      <c r="DH172" s="603"/>
      <c r="DI172" s="345"/>
      <c r="DJ172" s="359"/>
      <c r="DK172" s="359"/>
      <c r="DL172" s="359"/>
      <c r="DM172" s="374"/>
      <c r="DN172" s="374"/>
      <c r="DO172" s="374"/>
      <c r="DP172" s="374"/>
      <c r="DQ172" s="374"/>
      <c r="DR172" s="359"/>
      <c r="DS172" s="374"/>
      <c r="DT172" s="374"/>
      <c r="DU172" s="374"/>
      <c r="DV172" s="374"/>
      <c r="DW172" s="343"/>
      <c r="DX172" s="343"/>
      <c r="DY172" s="525">
        <v>0</v>
      </c>
      <c r="DZ172" s="343"/>
      <c r="EA172" s="331"/>
      <c r="EB172" s="606">
        <f t="shared" si="748"/>
        <v>0</v>
      </c>
      <c r="EC172" s="88"/>
      <c r="ED172" s="88"/>
      <c r="EE172" s="88"/>
      <c r="EF172" s="88"/>
      <c r="EG172" s="88"/>
      <c r="EH172" s="88"/>
      <c r="EI172" s="88"/>
      <c r="EJ172" s="88"/>
      <c r="EK172" s="88"/>
      <c r="EL172" s="88"/>
      <c r="EM172" s="88"/>
      <c r="EN172" s="88"/>
      <c r="EO172" s="88"/>
      <c r="EP172" s="103"/>
      <c r="EQ172" s="103"/>
      <c r="ER172" s="103"/>
      <c r="ES172" s="55"/>
      <c r="ET172" s="56"/>
      <c r="EU172" s="56"/>
      <c r="EV172" s="56"/>
      <c r="EW172" s="88"/>
      <c r="EX172" s="88"/>
      <c r="EY172" s="88"/>
      <c r="EZ172" s="88"/>
      <c r="FA172" s="88"/>
      <c r="FB172" s="56"/>
      <c r="FC172" s="88"/>
      <c r="FD172" s="88"/>
      <c r="FE172" s="88"/>
      <c r="FF172" s="88"/>
      <c r="FG172" s="48"/>
    </row>
    <row r="173" spans="1:163" ht="14.25" hidden="1" outlineLevel="2">
      <c r="A173" s="48"/>
      <c r="B173" s="100"/>
      <c r="C173" s="279"/>
      <c r="D173" s="272"/>
      <c r="E173" s="48"/>
      <c r="F173" s="322"/>
      <c r="G173" s="630"/>
      <c r="H173" s="283"/>
      <c r="I173" s="283"/>
      <c r="J173" s="615"/>
      <c r="K173" s="615"/>
      <c r="L173" s="615"/>
      <c r="M173" s="620"/>
      <c r="N173" s="287"/>
      <c r="O173" s="283"/>
      <c r="P173" s="339"/>
      <c r="Q173" s="339"/>
      <c r="R173" s="339"/>
      <c r="S173" s="339"/>
      <c r="T173" s="48"/>
      <c r="U173" s="519"/>
      <c r="V173" s="131"/>
      <c r="W173" s="322"/>
      <c r="X173" s="630">
        <f t="shared" si="700"/>
        <v>0</v>
      </c>
      <c r="Y173" s="283"/>
      <c r="Z173" s="283"/>
      <c r="AA173" s="615">
        <f t="shared" si="778"/>
        <v>0</v>
      </c>
      <c r="AB173" s="615">
        <f t="shared" si="779"/>
        <v>0</v>
      </c>
      <c r="AC173" s="615">
        <f t="shared" si="780"/>
        <v>0</v>
      </c>
      <c r="AD173" s="620">
        <f t="shared" si="781"/>
        <v>0</v>
      </c>
      <c r="AE173" s="287"/>
      <c r="AF173" s="283"/>
      <c r="AG173" s="339"/>
      <c r="AH173" s="339"/>
      <c r="AI173" s="339"/>
      <c r="AJ173" s="339"/>
      <c r="AK173" s="339"/>
      <c r="AL173" s="603"/>
      <c r="AM173" s="603"/>
      <c r="AN173" s="603"/>
      <c r="AO173" s="347"/>
      <c r="AP173" s="359"/>
      <c r="AQ173" s="359"/>
      <c r="AR173" s="359"/>
      <c r="AS173" s="328"/>
      <c r="AT173" s="328"/>
      <c r="AU173" s="328"/>
      <c r="AV173" s="328"/>
      <c r="AW173" s="328"/>
      <c r="AX173" s="359"/>
      <c r="AY173" s="328"/>
      <c r="AZ173" s="328"/>
      <c r="BA173" s="328"/>
      <c r="BB173" s="328"/>
      <c r="BC173" s="359"/>
      <c r="BD173" s="359"/>
      <c r="BE173" s="525"/>
      <c r="BF173" s="343"/>
      <c r="BG173" s="331"/>
      <c r="BH173" s="606">
        <f t="shared" si="717"/>
        <v>0</v>
      </c>
      <c r="BI173" s="283"/>
      <c r="BJ173" s="283"/>
      <c r="BK173" s="615">
        <f t="shared" si="782"/>
        <v>0</v>
      </c>
      <c r="BL173" s="615">
        <f t="shared" si="783"/>
        <v>0</v>
      </c>
      <c r="BM173" s="615">
        <f t="shared" si="784"/>
        <v>0</v>
      </c>
      <c r="BN173" s="615">
        <f t="shared" si="785"/>
        <v>0</v>
      </c>
      <c r="BO173" s="339"/>
      <c r="BP173" s="615">
        <f>IFERROR(IF(AND((BV173+BX173)=100%,BV173&lt;1),BG173,0),0)</f>
        <v>0</v>
      </c>
      <c r="BQ173" s="339"/>
      <c r="BR173" s="339"/>
      <c r="BS173" s="339"/>
      <c r="BT173" s="339"/>
      <c r="BU173" s="339"/>
      <c r="BV173" s="635">
        <f t="shared" si="787"/>
        <v>0</v>
      </c>
      <c r="BW173" s="635">
        <f t="shared" si="788"/>
        <v>0</v>
      </c>
      <c r="BX173" s="635">
        <f t="shared" si="789"/>
        <v>0</v>
      </c>
      <c r="BY173" s="347"/>
      <c r="BZ173" s="540"/>
      <c r="CA173" s="540"/>
      <c r="CB173" s="542"/>
      <c r="CC173" s="533"/>
      <c r="CD173" s="533"/>
      <c r="CE173" s="533"/>
      <c r="CF173" s="533"/>
      <c r="CG173" s="533"/>
      <c r="CH173" s="542"/>
      <c r="CI173" s="533"/>
      <c r="CJ173" s="533"/>
      <c r="CK173" s="533"/>
      <c r="CL173" s="533"/>
      <c r="CM173" s="343"/>
      <c r="CN173" s="343"/>
      <c r="CO173" s="525"/>
      <c r="CP173" s="343"/>
      <c r="CQ173" s="331"/>
      <c r="CR173" s="606">
        <f t="shared" si="733"/>
        <v>0</v>
      </c>
      <c r="CS173" s="283"/>
      <c r="CT173" s="283"/>
      <c r="CU173" s="283"/>
      <c r="CV173" s="283"/>
      <c r="CW173" s="283"/>
      <c r="CX173" s="283"/>
      <c r="CY173" s="283"/>
      <c r="CZ173" s="283"/>
      <c r="DA173" s="283"/>
      <c r="DB173" s="283"/>
      <c r="DC173" s="283"/>
      <c r="DD173" s="283"/>
      <c r="DE173" s="283"/>
      <c r="DF173" s="603"/>
      <c r="DG173" s="603"/>
      <c r="DH173" s="603"/>
      <c r="DI173" s="347"/>
      <c r="DJ173" s="359"/>
      <c r="DK173" s="359"/>
      <c r="DL173" s="359"/>
      <c r="DM173" s="283"/>
      <c r="DN173" s="283"/>
      <c r="DO173" s="283"/>
      <c r="DP173" s="283"/>
      <c r="DQ173" s="283"/>
      <c r="DR173" s="359"/>
      <c r="DS173" s="283"/>
      <c r="DT173" s="283"/>
      <c r="DU173" s="283"/>
      <c r="DV173" s="283"/>
      <c r="DW173" s="343"/>
      <c r="DX173" s="343"/>
      <c r="DY173" s="525"/>
      <c r="DZ173" s="343"/>
      <c r="EA173" s="331"/>
      <c r="EB173" s="606">
        <f t="shared" si="748"/>
        <v>0</v>
      </c>
      <c r="EC173" s="70"/>
      <c r="ED173" s="70"/>
      <c r="EE173" s="70"/>
      <c r="EF173" s="70"/>
      <c r="EG173" s="70"/>
      <c r="EH173" s="70"/>
      <c r="EI173" s="70"/>
      <c r="EJ173" s="70"/>
      <c r="EK173" s="70"/>
      <c r="EL173" s="70"/>
      <c r="EM173" s="70"/>
      <c r="EN173" s="70"/>
      <c r="EO173" s="70"/>
      <c r="EP173" s="103"/>
      <c r="EQ173" s="103"/>
      <c r="ER173" s="103"/>
      <c r="ES173" s="83"/>
      <c r="ET173" s="56"/>
      <c r="EU173" s="56"/>
      <c r="EV173" s="56"/>
      <c r="EW173" s="70"/>
      <c r="EX173" s="70"/>
      <c r="EY173" s="70"/>
      <c r="EZ173" s="70"/>
      <c r="FA173" s="70"/>
      <c r="FB173" s="56"/>
      <c r="FC173" s="70"/>
      <c r="FD173" s="70"/>
      <c r="FE173" s="70"/>
      <c r="FF173" s="70"/>
      <c r="FG173" s="48"/>
    </row>
    <row r="174" spans="1:163" ht="14.25" hidden="1" outlineLevel="2">
      <c r="A174" s="48"/>
      <c r="B174" s="100">
        <v>2.7</v>
      </c>
      <c r="C174" s="279">
        <v>2.7</v>
      </c>
      <c r="D174" s="274" t="s">
        <v>167</v>
      </c>
      <c r="E174" s="48"/>
      <c r="F174" s="322"/>
      <c r="G174" s="630"/>
      <c r="H174" s="339"/>
      <c r="I174" s="339"/>
      <c r="J174" s="615"/>
      <c r="K174" s="615"/>
      <c r="L174" s="615"/>
      <c r="M174" s="620"/>
      <c r="N174" s="287"/>
      <c r="O174" s="339"/>
      <c r="P174" s="339"/>
      <c r="Q174" s="339"/>
      <c r="R174" s="339"/>
      <c r="S174" s="339"/>
      <c r="T174" s="48"/>
      <c r="U174" s="553">
        <v>0</v>
      </c>
      <c r="V174" s="371"/>
      <c r="W174" s="322">
        <v>0</v>
      </c>
      <c r="X174" s="630">
        <f t="shared" si="700"/>
        <v>0</v>
      </c>
      <c r="Y174" s="339"/>
      <c r="Z174" s="339"/>
      <c r="AA174" s="615">
        <f t="shared" si="778"/>
        <v>0</v>
      </c>
      <c r="AB174" s="615">
        <f t="shared" si="779"/>
        <v>0</v>
      </c>
      <c r="AC174" s="615">
        <f t="shared" si="780"/>
        <v>0</v>
      </c>
      <c r="AD174" s="620">
        <f t="shared" si="781"/>
        <v>0</v>
      </c>
      <c r="AE174" s="287"/>
      <c r="AF174" s="339"/>
      <c r="AG174" s="339"/>
      <c r="AH174" s="339"/>
      <c r="AI174" s="339"/>
      <c r="AJ174" s="339"/>
      <c r="AK174" s="339"/>
      <c r="AL174" s="603"/>
      <c r="AM174" s="603"/>
      <c r="AN174" s="603"/>
      <c r="AO174" s="341"/>
      <c r="AP174" s="359"/>
      <c r="AQ174" s="359"/>
      <c r="AR174" s="359"/>
      <c r="AS174" s="328"/>
      <c r="AT174" s="328"/>
      <c r="AU174" s="328"/>
      <c r="AV174" s="328"/>
      <c r="AW174" s="328"/>
      <c r="AX174" s="359"/>
      <c r="AY174" s="328"/>
      <c r="AZ174" s="328"/>
      <c r="BA174" s="328"/>
      <c r="BB174" s="328"/>
      <c r="BC174" s="359"/>
      <c r="BD174" s="359"/>
      <c r="BE174" s="606">
        <f>SUM(BE175:BE176)</f>
        <v>0.5</v>
      </c>
      <c r="BF174" s="371"/>
      <c r="BG174" s="607">
        <f>$BG$144*(95%/12)</f>
        <v>0.10764153125000001</v>
      </c>
      <c r="BH174" s="606">
        <f t="shared" si="717"/>
        <v>0.10764153125000001</v>
      </c>
      <c r="BI174" s="607">
        <f>SUM(BI175:BI176)</f>
        <v>0.10764153125000001</v>
      </c>
      <c r="BJ174" s="607">
        <f>SUM(BJ175:BJ176)</f>
        <v>0</v>
      </c>
      <c r="BK174" s="632">
        <f t="shared" si="782"/>
        <v>0</v>
      </c>
      <c r="BL174" s="615">
        <f t="shared" si="783"/>
        <v>0</v>
      </c>
      <c r="BM174" s="615">
        <f t="shared" si="784"/>
        <v>0</v>
      </c>
      <c r="BN174" s="615">
        <f t="shared" si="785"/>
        <v>0</v>
      </c>
      <c r="BO174" s="339"/>
      <c r="BP174" s="632">
        <f>SUM(BP175:BP176)</f>
        <v>0</v>
      </c>
      <c r="BQ174" s="632">
        <f t="shared" ref="BQ174" si="886">SUM(BQ175:BQ176)</f>
        <v>0</v>
      </c>
      <c r="BR174" s="632">
        <f t="shared" ref="BR174" si="887">SUM(BR175:BR176)</f>
        <v>0</v>
      </c>
      <c r="BS174" s="632">
        <f t="shared" ref="BS174" si="888">SUM(BS175:BS176)</f>
        <v>0</v>
      </c>
      <c r="BT174" s="632">
        <f t="shared" ref="BT174" si="889">SUM(BT175:BT176)</f>
        <v>0</v>
      </c>
      <c r="BU174" s="282"/>
      <c r="BV174" s="635">
        <f t="shared" si="787"/>
        <v>0</v>
      </c>
      <c r="BW174" s="635">
        <f t="shared" si="788"/>
        <v>0</v>
      </c>
      <c r="BX174" s="635">
        <f t="shared" si="789"/>
        <v>0</v>
      </c>
      <c r="BY174" s="341"/>
      <c r="BZ174" s="540"/>
      <c r="CA174" s="540"/>
      <c r="CB174" s="542"/>
      <c r="CC174" s="536"/>
      <c r="CD174" s="536"/>
      <c r="CE174" s="536"/>
      <c r="CF174" s="536"/>
      <c r="CG174" s="536"/>
      <c r="CH174" s="542"/>
      <c r="CI174" s="536"/>
      <c r="CJ174" s="536"/>
      <c r="CK174" s="536"/>
      <c r="CL174" s="536"/>
      <c r="CM174" s="371"/>
      <c r="CN174" s="371"/>
      <c r="CO174" s="553">
        <v>0</v>
      </c>
      <c r="CP174" s="371"/>
      <c r="CQ174" s="344"/>
      <c r="CR174" s="606">
        <f t="shared" si="733"/>
        <v>0</v>
      </c>
      <c r="CS174" s="339"/>
      <c r="CT174" s="339"/>
      <c r="CU174" s="339"/>
      <c r="CV174" s="339"/>
      <c r="CW174" s="339"/>
      <c r="CX174" s="339"/>
      <c r="CY174" s="339"/>
      <c r="CZ174" s="339"/>
      <c r="DA174" s="339"/>
      <c r="DB174" s="339"/>
      <c r="DC174" s="339"/>
      <c r="DD174" s="339"/>
      <c r="DE174" s="339"/>
      <c r="DF174" s="603"/>
      <c r="DG174" s="603"/>
      <c r="DH174" s="603"/>
      <c r="DI174" s="341"/>
      <c r="DJ174" s="359"/>
      <c r="DK174" s="359"/>
      <c r="DL174" s="359"/>
      <c r="DM174" s="339"/>
      <c r="DN174" s="339"/>
      <c r="DO174" s="339"/>
      <c r="DP174" s="339"/>
      <c r="DQ174" s="339"/>
      <c r="DR174" s="359"/>
      <c r="DS174" s="339"/>
      <c r="DT174" s="339"/>
      <c r="DU174" s="339"/>
      <c r="DV174" s="339"/>
      <c r="DW174" s="371"/>
      <c r="DX174" s="371"/>
      <c r="DY174" s="553">
        <v>0</v>
      </c>
      <c r="DZ174" s="371"/>
      <c r="EA174" s="344"/>
      <c r="EB174" s="606">
        <f t="shared" si="748"/>
        <v>0</v>
      </c>
      <c r="EC174" s="81"/>
      <c r="ED174" s="81"/>
      <c r="EE174" s="81"/>
      <c r="EF174" s="81"/>
      <c r="EG174" s="81"/>
      <c r="EH174" s="81"/>
      <c r="EI174" s="81"/>
      <c r="EJ174" s="81"/>
      <c r="EK174" s="81"/>
      <c r="EL174" s="81"/>
      <c r="EM174" s="81"/>
      <c r="EN174" s="81"/>
      <c r="EO174" s="81"/>
      <c r="EP174" s="103"/>
      <c r="EQ174" s="103"/>
      <c r="ER174" s="103"/>
      <c r="ES174" s="82"/>
      <c r="ET174" s="56"/>
      <c r="EU174" s="56"/>
      <c r="EV174" s="56"/>
      <c r="EW174" s="81"/>
      <c r="EX174" s="81"/>
      <c r="EY174" s="81"/>
      <c r="EZ174" s="81"/>
      <c r="FA174" s="81"/>
      <c r="FB174" s="56"/>
      <c r="FC174" s="81"/>
      <c r="FD174" s="81"/>
      <c r="FE174" s="81"/>
      <c r="FF174" s="81"/>
      <c r="FG174" s="48"/>
    </row>
    <row r="175" spans="1:163" ht="14.25" hidden="1" outlineLevel="3">
      <c r="A175" s="48"/>
      <c r="B175" s="87" t="s">
        <v>158</v>
      </c>
      <c r="C175" s="276">
        <v>1</v>
      </c>
      <c r="D175" s="272" t="s">
        <v>152</v>
      </c>
      <c r="E175" s="48"/>
      <c r="F175" s="619">
        <f t="shared" ref="F175:F176" si="890">W175+BG175+CQ175+EA175</f>
        <v>5.3820765625000003E-2</v>
      </c>
      <c r="G175" s="619">
        <f t="shared" ref="G175:G176" si="891">X175+BH175+CR175+EB175</f>
        <v>5.3820765625000003E-2</v>
      </c>
      <c r="H175" s="615">
        <f t="shared" ref="H175:H176" si="892">F175-G175</f>
        <v>0</v>
      </c>
      <c r="I175" s="615">
        <f t="shared" ref="I175:I176" si="893">Z175+BJ175+CT175+ED175</f>
        <v>0</v>
      </c>
      <c r="J175" s="615">
        <f t="shared" ref="J175:J176" si="894">AA175+BK175+CU175+EE175</f>
        <v>0</v>
      </c>
      <c r="K175" s="615">
        <f t="shared" ref="K175:K176" si="895">AB175+BL175+CV175+EF175</f>
        <v>0</v>
      </c>
      <c r="L175" s="615">
        <f t="shared" ref="L175:L176" si="896">AC175+BM175+CW175+EG175</f>
        <v>0</v>
      </c>
      <c r="M175" s="620">
        <f t="shared" ref="M175:M176" si="897">AD175+BN175+CX175+EH175</f>
        <v>0</v>
      </c>
      <c r="N175" s="287"/>
      <c r="O175" s="615">
        <f t="shared" ref="O175:O176" si="898">AF175+BP175+CZ175+EJ175</f>
        <v>0</v>
      </c>
      <c r="P175" s="615">
        <f t="shared" ref="P175:P176" si="899">AG175+BQ175+DA175+EK175</f>
        <v>0</v>
      </c>
      <c r="Q175" s="615">
        <f t="shared" ref="Q175:Q176" si="900">AH175+BR175+DB175+EL175</f>
        <v>0</v>
      </c>
      <c r="R175" s="615">
        <f t="shared" ref="R175:R176" si="901">AI175+BS175+DC175+EM175</f>
        <v>0</v>
      </c>
      <c r="S175" s="615">
        <f t="shared" ref="S175:S176" si="902">AJ175+BT175+DD175+EN175</f>
        <v>0</v>
      </c>
      <c r="T175" s="48"/>
      <c r="U175" s="519">
        <v>0</v>
      </c>
      <c r="V175" s="131"/>
      <c r="W175" s="338"/>
      <c r="X175" s="619">
        <f t="shared" si="700"/>
        <v>0</v>
      </c>
      <c r="Y175" s="339"/>
      <c r="Z175" s="339"/>
      <c r="AA175" s="615">
        <f t="shared" si="778"/>
        <v>0</v>
      </c>
      <c r="AB175" s="615">
        <f t="shared" si="779"/>
        <v>0</v>
      </c>
      <c r="AC175" s="615">
        <f t="shared" si="780"/>
        <v>0</v>
      </c>
      <c r="AD175" s="620">
        <f t="shared" si="781"/>
        <v>0</v>
      </c>
      <c r="AE175" s="287"/>
      <c r="AF175" s="339"/>
      <c r="AG175" s="339"/>
      <c r="AH175" s="339"/>
      <c r="AI175" s="339"/>
      <c r="AJ175" s="339"/>
      <c r="AK175" s="339"/>
      <c r="AL175" s="603"/>
      <c r="AM175" s="603"/>
      <c r="AN175" s="603"/>
      <c r="AO175" s="341"/>
      <c r="AP175" s="359"/>
      <c r="AQ175" s="328"/>
      <c r="AR175" s="328"/>
      <c r="AS175" s="328"/>
      <c r="AT175" s="328"/>
      <c r="AU175" s="328"/>
      <c r="AV175" s="328"/>
      <c r="AW175" s="328"/>
      <c r="AX175" s="328"/>
      <c r="AY175" s="328"/>
      <c r="AZ175" s="328"/>
      <c r="BA175" s="328"/>
      <c r="BB175" s="328"/>
      <c r="BC175" s="328"/>
      <c r="BD175" s="328"/>
      <c r="BE175" s="525">
        <v>0.25</v>
      </c>
      <c r="BF175" s="343"/>
      <c r="BG175" s="616">
        <f>$BG$174/$BE$174*BE175</f>
        <v>5.3820765625000003E-2</v>
      </c>
      <c r="BH175" s="618">
        <f t="shared" si="717"/>
        <v>5.3820765625000003E-2</v>
      </c>
      <c r="BI175" s="615">
        <f>IFERROR(IF(BV175=100%,BG175,0),0)</f>
        <v>5.3820765625000003E-2</v>
      </c>
      <c r="BJ175" s="615">
        <f>IFERROR(IF(AND((BV175+BW175)=100%,BV175&lt;1),BG175,0),0)</f>
        <v>0</v>
      </c>
      <c r="BK175" s="615">
        <f t="shared" si="782"/>
        <v>0</v>
      </c>
      <c r="BL175" s="615">
        <f t="shared" si="783"/>
        <v>0</v>
      </c>
      <c r="BM175" s="615">
        <f t="shared" si="784"/>
        <v>0</v>
      </c>
      <c r="BN175" s="615">
        <f t="shared" si="785"/>
        <v>0</v>
      </c>
      <c r="BO175" s="339"/>
      <c r="BP175" s="615">
        <f>IFERROR(IF(AND((BV175+BX175)=100%,BV175&lt;1),BG175,0),0)</f>
        <v>0</v>
      </c>
      <c r="BQ175" s="615">
        <f>IFERROR(IF(AND((CA175+CI175)=BZ175,BI175=0),BG175,0),0)</f>
        <v>0</v>
      </c>
      <c r="BR175" s="615">
        <f>IFERROR(IF(AND((CA175+CI175+CJ175)=BZ175,BI175=0,BQ175=0),BG175,0),0)</f>
        <v>0</v>
      </c>
      <c r="BS175" s="615">
        <f>IFERROR(IF(AND((CA175+CI175+CJ175+CK175)=BZ175,BI175=0,BQ175=0,BR175=0),BG175,0),0)</f>
        <v>0</v>
      </c>
      <c r="BT175" s="615">
        <f>IFERROR(IF(AND((CA175+CI175+CJ175+CK175+CL175)=BZ175,BI175=0,BQ175=0,BR175=0,BS175=0),BG175,0),0)</f>
        <v>0</v>
      </c>
      <c r="BU175" s="339"/>
      <c r="BV175" s="635">
        <f t="shared" si="787"/>
        <v>1</v>
      </c>
      <c r="BW175" s="635">
        <f t="shared" si="788"/>
        <v>0</v>
      </c>
      <c r="BX175" s="635">
        <f t="shared" si="789"/>
        <v>0</v>
      </c>
      <c r="BY175" s="341"/>
      <c r="BZ175" s="615">
        <f>COUNTIF('ST | Drawing List'!$H:$H,"ST-SS7-1")</f>
        <v>3</v>
      </c>
      <c r="CA175" s="616">
        <f>COUNTIFS('ST | Drawing List'!$H:$H,"ST-SS7-1",'ST | Drawing List'!$J:$J,1)</f>
        <v>3</v>
      </c>
      <c r="CB175" s="623">
        <f>COUNTIFS('ST | Drawing List'!$H:$H,"ST-SS7-1",'ST | Drawing List'!$L:$L,1)</f>
        <v>0</v>
      </c>
      <c r="CC175" s="616">
        <f>COUNTIFS('ST | Drawing List'!$H:$H,"ST-SS7-1",'ST | Drawing List'!M:M,1)</f>
        <v>0</v>
      </c>
      <c r="CD175" s="616">
        <f>COUNTIFS('ST | Drawing List'!$H:$H,"ST-SS7-1",'ST | Drawing List'!N:N,1)</f>
        <v>0</v>
      </c>
      <c r="CE175" s="616">
        <f>COUNTIFS('ST | Drawing List'!$H:$H,"ST-SS7-1",'ST | Drawing List'!O:O,1)</f>
        <v>0</v>
      </c>
      <c r="CF175" s="616">
        <f>COUNTIFS('ST | Drawing List'!$H:$H,"ST-SS7-1",'ST | Drawing List'!P:P,1)</f>
        <v>0</v>
      </c>
      <c r="CG175" s="532"/>
      <c r="CH175" s="623">
        <f>COUNTIFS('ST | Drawing List'!$H:$H,"ST-SS7-1",'ST | Drawing List'!$Q:$Q,1)</f>
        <v>0</v>
      </c>
      <c r="CI175" s="616">
        <f>COUNTIFS('ST | Drawing List'!$H:$H,"ST-SS7-1",'ST | Drawing List'!R:R,1)</f>
        <v>0</v>
      </c>
      <c r="CJ175" s="616">
        <f>COUNTIFS('ST | Drawing List'!$H:$H,"ST-SS7-1",'ST | Drawing List'!S:S,1)</f>
        <v>0</v>
      </c>
      <c r="CK175" s="616">
        <f>COUNTIFS('ST | Drawing List'!$H:$H,"ST-SS7-1",'ST | Drawing List'!T:T,1)</f>
        <v>0</v>
      </c>
      <c r="CL175" s="616">
        <f>COUNTIFS('ST | Drawing List'!$H:$H,"ST-SS7-1",'ST | Drawing List'!U:U,1)</f>
        <v>0</v>
      </c>
      <c r="CM175" s="343"/>
      <c r="CN175" s="343"/>
      <c r="CO175" s="525">
        <v>0</v>
      </c>
      <c r="CP175" s="343"/>
      <c r="CQ175" s="344"/>
      <c r="CR175" s="618">
        <f t="shared" si="733"/>
        <v>0</v>
      </c>
      <c r="CS175" s="339"/>
      <c r="CT175" s="339"/>
      <c r="CU175" s="339"/>
      <c r="CV175" s="339"/>
      <c r="CW175" s="339"/>
      <c r="CX175" s="339"/>
      <c r="CY175" s="339"/>
      <c r="CZ175" s="339"/>
      <c r="DA175" s="339"/>
      <c r="DB175" s="339"/>
      <c r="DC175" s="339"/>
      <c r="DD175" s="339"/>
      <c r="DE175" s="339"/>
      <c r="DF175" s="603"/>
      <c r="DG175" s="603"/>
      <c r="DH175" s="603"/>
      <c r="DI175" s="341"/>
      <c r="DJ175" s="359"/>
      <c r="DK175" s="328"/>
      <c r="DL175" s="328"/>
      <c r="DM175" s="339"/>
      <c r="DN175" s="339"/>
      <c r="DO175" s="339"/>
      <c r="DP175" s="339"/>
      <c r="DQ175" s="339"/>
      <c r="DR175" s="328"/>
      <c r="DS175" s="339"/>
      <c r="DT175" s="339"/>
      <c r="DU175" s="339"/>
      <c r="DV175" s="339"/>
      <c r="DW175" s="343"/>
      <c r="DX175" s="343"/>
      <c r="DY175" s="525">
        <v>0</v>
      </c>
      <c r="DZ175" s="343"/>
      <c r="EA175" s="344"/>
      <c r="EB175" s="618">
        <f t="shared" si="748"/>
        <v>0</v>
      </c>
      <c r="EC175" s="81"/>
      <c r="ED175" s="81"/>
      <c r="EE175" s="81"/>
      <c r="EF175" s="81"/>
      <c r="EG175" s="81"/>
      <c r="EH175" s="81"/>
      <c r="EI175" s="81"/>
      <c r="EJ175" s="81"/>
      <c r="EK175" s="81"/>
      <c r="EL175" s="81"/>
      <c r="EM175" s="81"/>
      <c r="EN175" s="81"/>
      <c r="EO175" s="81"/>
      <c r="EP175" s="103"/>
      <c r="EQ175" s="103"/>
      <c r="ER175" s="103"/>
      <c r="ES175" s="82"/>
      <c r="ET175" s="56"/>
      <c r="EU175" s="71"/>
      <c r="EV175" s="71"/>
      <c r="EW175" s="81"/>
      <c r="EX175" s="81"/>
      <c r="EY175" s="81"/>
      <c r="EZ175" s="81"/>
      <c r="FA175" s="81"/>
      <c r="FB175" s="71"/>
      <c r="FC175" s="81"/>
      <c r="FD175" s="81"/>
      <c r="FE175" s="81"/>
      <c r="FF175" s="81"/>
      <c r="FG175" s="48"/>
    </row>
    <row r="176" spans="1:163" ht="14.25" hidden="1" outlineLevel="3">
      <c r="A176" s="48"/>
      <c r="B176" s="87" t="s">
        <v>159</v>
      </c>
      <c r="C176" s="276">
        <v>2</v>
      </c>
      <c r="D176" s="272" t="s">
        <v>154</v>
      </c>
      <c r="E176" s="48"/>
      <c r="F176" s="619">
        <f t="shared" si="890"/>
        <v>5.3820765625000003E-2</v>
      </c>
      <c r="G176" s="619">
        <f t="shared" si="891"/>
        <v>5.3820765625000003E-2</v>
      </c>
      <c r="H176" s="615">
        <f t="shared" si="892"/>
        <v>0</v>
      </c>
      <c r="I176" s="615">
        <f t="shared" si="893"/>
        <v>0</v>
      </c>
      <c r="J176" s="615">
        <f t="shared" si="894"/>
        <v>0</v>
      </c>
      <c r="K176" s="615">
        <f t="shared" si="895"/>
        <v>0</v>
      </c>
      <c r="L176" s="615">
        <f t="shared" si="896"/>
        <v>0</v>
      </c>
      <c r="M176" s="620">
        <f t="shared" si="897"/>
        <v>0</v>
      </c>
      <c r="N176" s="287"/>
      <c r="O176" s="615">
        <f t="shared" si="898"/>
        <v>0</v>
      </c>
      <c r="P176" s="615">
        <f t="shared" si="899"/>
        <v>0</v>
      </c>
      <c r="Q176" s="615">
        <f t="shared" si="900"/>
        <v>0</v>
      </c>
      <c r="R176" s="615">
        <f t="shared" si="901"/>
        <v>0</v>
      </c>
      <c r="S176" s="615">
        <f t="shared" si="902"/>
        <v>0</v>
      </c>
      <c r="T176" s="48"/>
      <c r="U176" s="519">
        <v>0</v>
      </c>
      <c r="V176" s="131"/>
      <c r="W176" s="338"/>
      <c r="X176" s="619">
        <f t="shared" si="700"/>
        <v>0</v>
      </c>
      <c r="Y176" s="339"/>
      <c r="Z176" s="339"/>
      <c r="AA176" s="615">
        <f t="shared" si="778"/>
        <v>0</v>
      </c>
      <c r="AB176" s="615">
        <f t="shared" si="779"/>
        <v>0</v>
      </c>
      <c r="AC176" s="615">
        <f t="shared" si="780"/>
        <v>0</v>
      </c>
      <c r="AD176" s="620">
        <f t="shared" si="781"/>
        <v>0</v>
      </c>
      <c r="AE176" s="287"/>
      <c r="AF176" s="339"/>
      <c r="AG176" s="339"/>
      <c r="AH176" s="339"/>
      <c r="AI176" s="339"/>
      <c r="AJ176" s="339"/>
      <c r="AK176" s="339"/>
      <c r="AL176" s="603"/>
      <c r="AM176" s="603"/>
      <c r="AN176" s="603"/>
      <c r="AO176" s="341"/>
      <c r="AP176" s="359"/>
      <c r="AQ176" s="328"/>
      <c r="AR176" s="328"/>
      <c r="AS176" s="328"/>
      <c r="AT176" s="328"/>
      <c r="AU176" s="328"/>
      <c r="AV176" s="328"/>
      <c r="AW176" s="328"/>
      <c r="AX176" s="328"/>
      <c r="AY176" s="328"/>
      <c r="AZ176" s="328"/>
      <c r="BA176" s="328"/>
      <c r="BB176" s="328"/>
      <c r="BC176" s="328"/>
      <c r="BD176" s="328"/>
      <c r="BE176" s="525">
        <v>0.25</v>
      </c>
      <c r="BF176" s="343"/>
      <c r="BG176" s="616">
        <f>$BG$174/$BE$174*BE176</f>
        <v>5.3820765625000003E-2</v>
      </c>
      <c r="BH176" s="618">
        <f t="shared" si="717"/>
        <v>5.3820765625000003E-2</v>
      </c>
      <c r="BI176" s="615">
        <f>IFERROR(IF(BV176=100%,BG176,0),0)</f>
        <v>5.3820765625000003E-2</v>
      </c>
      <c r="BJ176" s="615">
        <f>IFERROR(IF(AND((BV176+BW176)=100%,BV176&lt;1),BG176,0),0)</f>
        <v>0</v>
      </c>
      <c r="BK176" s="615">
        <f t="shared" si="782"/>
        <v>0</v>
      </c>
      <c r="BL176" s="615">
        <f t="shared" si="783"/>
        <v>0</v>
      </c>
      <c r="BM176" s="615">
        <f t="shared" si="784"/>
        <v>0</v>
      </c>
      <c r="BN176" s="615">
        <f t="shared" si="785"/>
        <v>0</v>
      </c>
      <c r="BO176" s="339"/>
      <c r="BP176" s="615">
        <f>IFERROR(IF(AND((BV176+BX176)=100%,BV176&lt;1),BG176,0),0)</f>
        <v>0</v>
      </c>
      <c r="BQ176" s="615">
        <f>IFERROR(IF(AND((CA176+CI176)=BZ176,BI176=0),BG176,0),0)</f>
        <v>0</v>
      </c>
      <c r="BR176" s="615">
        <f>IFERROR(IF(AND((CA176+CI176+CJ176)=BZ176,BI176=0,BQ176=0),BG176,0),0)</f>
        <v>0</v>
      </c>
      <c r="BS176" s="615">
        <f>IFERROR(IF(AND((CA176+CI176+CJ176+CK176)=BZ176,BI176=0,BQ176=0,BR176=0),BG176,0),0)</f>
        <v>0</v>
      </c>
      <c r="BT176" s="615">
        <f>IFERROR(IF(AND((CA176+CI176+CJ176+CK176+CL176)=BZ176,BI176=0,BQ176=0,BR176=0,BS176=0),BG176,0),0)</f>
        <v>0</v>
      </c>
      <c r="BU176" s="339"/>
      <c r="BV176" s="635">
        <f t="shared" si="787"/>
        <v>1</v>
      </c>
      <c r="BW176" s="635">
        <f t="shared" si="788"/>
        <v>0</v>
      </c>
      <c r="BX176" s="635">
        <f t="shared" si="789"/>
        <v>0</v>
      </c>
      <c r="BY176" s="341"/>
      <c r="BZ176" s="615">
        <f>COUNTIF('ST | Drawing List'!$H:$H,"ST-SS7-2")</f>
        <v>3</v>
      </c>
      <c r="CA176" s="616">
        <f>COUNTIFS('ST | Drawing List'!$H:$H,"ST-SS7-2",'ST | Drawing List'!$J:$J,1)</f>
        <v>3</v>
      </c>
      <c r="CB176" s="623">
        <f>COUNTIFS('ST | Drawing List'!$H:$H,"ST-SS7-2",'ST | Drawing List'!$L:$L,1)</f>
        <v>0</v>
      </c>
      <c r="CC176" s="616">
        <f>COUNTIFS('ST | Drawing List'!$H:$H,"ST-SS7-2",'ST | Drawing List'!M:M,1)</f>
        <v>0</v>
      </c>
      <c r="CD176" s="616">
        <f>COUNTIFS('ST | Drawing List'!$H:$H,"ST-SS7-2",'ST | Drawing List'!N:N,1)</f>
        <v>0</v>
      </c>
      <c r="CE176" s="616">
        <f>COUNTIFS('ST | Drawing List'!$H:$H,"ST-SS7-2",'ST | Drawing List'!O:O,1)</f>
        <v>0</v>
      </c>
      <c r="CF176" s="616">
        <f>COUNTIFS('ST | Drawing List'!$H:$H,"ST-SS7-2",'ST | Drawing List'!P:P,1)</f>
        <v>0</v>
      </c>
      <c r="CG176" s="532"/>
      <c r="CH176" s="623">
        <f>COUNTIFS('ST | Drawing List'!$H:$H,"ST-SS7-2",'ST | Drawing List'!$Q:$Q,1)</f>
        <v>0</v>
      </c>
      <c r="CI176" s="616">
        <f>COUNTIFS('ST | Drawing List'!$H:$H,"ST-SS7-2",'ST | Drawing List'!R:R,1)</f>
        <v>0</v>
      </c>
      <c r="CJ176" s="616">
        <f>COUNTIFS('ST | Drawing List'!$H:$H,"ST-SS7-2",'ST | Drawing List'!S:S,1)</f>
        <v>0</v>
      </c>
      <c r="CK176" s="616">
        <f>COUNTIFS('ST | Drawing List'!$H:$H,"ST-SS7-2",'ST | Drawing List'!T:T,1)</f>
        <v>0</v>
      </c>
      <c r="CL176" s="616">
        <f>COUNTIFS('ST | Drawing List'!$H:$H,"ST-SS7-2",'ST | Drawing List'!U:U,1)</f>
        <v>0</v>
      </c>
      <c r="CM176" s="343"/>
      <c r="CN176" s="343"/>
      <c r="CO176" s="525">
        <v>0</v>
      </c>
      <c r="CP176" s="343"/>
      <c r="CQ176" s="344"/>
      <c r="CR176" s="618">
        <f t="shared" si="733"/>
        <v>0</v>
      </c>
      <c r="CS176" s="339"/>
      <c r="CT176" s="339"/>
      <c r="CU176" s="339"/>
      <c r="CV176" s="339"/>
      <c r="CW176" s="339"/>
      <c r="CX176" s="339"/>
      <c r="CY176" s="339"/>
      <c r="CZ176" s="339"/>
      <c r="DA176" s="339"/>
      <c r="DB176" s="339"/>
      <c r="DC176" s="339"/>
      <c r="DD176" s="339"/>
      <c r="DE176" s="339"/>
      <c r="DF176" s="603"/>
      <c r="DG176" s="603"/>
      <c r="DH176" s="603"/>
      <c r="DI176" s="341"/>
      <c r="DJ176" s="359"/>
      <c r="DK176" s="328"/>
      <c r="DL176" s="328"/>
      <c r="DM176" s="339"/>
      <c r="DN176" s="339"/>
      <c r="DO176" s="339"/>
      <c r="DP176" s="339"/>
      <c r="DQ176" s="339"/>
      <c r="DR176" s="328"/>
      <c r="DS176" s="339"/>
      <c r="DT176" s="339"/>
      <c r="DU176" s="339"/>
      <c r="DV176" s="339"/>
      <c r="DW176" s="343"/>
      <c r="DX176" s="343"/>
      <c r="DY176" s="525">
        <v>0</v>
      </c>
      <c r="DZ176" s="343"/>
      <c r="EA176" s="344"/>
      <c r="EB176" s="618">
        <f t="shared" si="748"/>
        <v>0</v>
      </c>
      <c r="EC176" s="81"/>
      <c r="ED176" s="81"/>
      <c r="EE176" s="81"/>
      <c r="EF176" s="81"/>
      <c r="EG176" s="81"/>
      <c r="EH176" s="81"/>
      <c r="EI176" s="81"/>
      <c r="EJ176" s="81"/>
      <c r="EK176" s="81"/>
      <c r="EL176" s="81"/>
      <c r="EM176" s="81"/>
      <c r="EN176" s="81"/>
      <c r="EO176" s="81"/>
      <c r="EP176" s="103"/>
      <c r="EQ176" s="103"/>
      <c r="ER176" s="103"/>
      <c r="ES176" s="82"/>
      <c r="ET176" s="56"/>
      <c r="EU176" s="71"/>
      <c r="EV176" s="71"/>
      <c r="EW176" s="81"/>
      <c r="EX176" s="81"/>
      <c r="EY176" s="81"/>
      <c r="EZ176" s="81"/>
      <c r="FA176" s="81"/>
      <c r="FB176" s="71"/>
      <c r="FC176" s="81"/>
      <c r="FD176" s="81"/>
      <c r="FE176" s="81"/>
      <c r="FF176" s="81"/>
      <c r="FG176" s="48"/>
    </row>
    <row r="177" spans="1:163" ht="14.25" hidden="1" outlineLevel="2">
      <c r="A177" s="48"/>
      <c r="B177" s="100"/>
      <c r="C177" s="279"/>
      <c r="D177" s="272"/>
      <c r="E177" s="48"/>
      <c r="F177" s="338"/>
      <c r="G177" s="619"/>
      <c r="H177" s="339"/>
      <c r="I177" s="339"/>
      <c r="J177" s="615"/>
      <c r="K177" s="615"/>
      <c r="L177" s="615"/>
      <c r="M177" s="620"/>
      <c r="N177" s="287"/>
      <c r="O177" s="339"/>
      <c r="P177" s="339"/>
      <c r="Q177" s="339"/>
      <c r="R177" s="339"/>
      <c r="S177" s="339"/>
      <c r="T177" s="48"/>
      <c r="U177" s="519"/>
      <c r="V177" s="131"/>
      <c r="W177" s="338"/>
      <c r="X177" s="619">
        <f t="shared" si="700"/>
        <v>0</v>
      </c>
      <c r="Y177" s="339"/>
      <c r="Z177" s="339"/>
      <c r="AA177" s="615">
        <f t="shared" si="778"/>
        <v>0</v>
      </c>
      <c r="AB177" s="615">
        <f t="shared" si="779"/>
        <v>0</v>
      </c>
      <c r="AC177" s="615">
        <f t="shared" si="780"/>
        <v>0</v>
      </c>
      <c r="AD177" s="620">
        <f t="shared" si="781"/>
        <v>0</v>
      </c>
      <c r="AE177" s="287"/>
      <c r="AF177" s="339"/>
      <c r="AG177" s="339"/>
      <c r="AH177" s="339"/>
      <c r="AI177" s="339"/>
      <c r="AJ177" s="339"/>
      <c r="AK177" s="339"/>
      <c r="AL177" s="603"/>
      <c r="AM177" s="603"/>
      <c r="AN177" s="603"/>
      <c r="AO177" s="341"/>
      <c r="AP177" s="359"/>
      <c r="AQ177" s="328"/>
      <c r="AR177" s="328"/>
      <c r="AS177" s="328"/>
      <c r="AT177" s="328"/>
      <c r="AU177" s="328"/>
      <c r="AV177" s="328"/>
      <c r="AW177" s="328"/>
      <c r="AX177" s="328"/>
      <c r="AY177" s="328"/>
      <c r="AZ177" s="328"/>
      <c r="BA177" s="328"/>
      <c r="BB177" s="328"/>
      <c r="BC177" s="328"/>
      <c r="BD177" s="328"/>
      <c r="BE177" s="525"/>
      <c r="BF177" s="343"/>
      <c r="BG177" s="344"/>
      <c r="BH177" s="618">
        <f t="shared" si="717"/>
        <v>0</v>
      </c>
      <c r="BI177" s="339"/>
      <c r="BJ177" s="339"/>
      <c r="BK177" s="615">
        <f t="shared" ref="BK177:BK196" si="903">IFERROR(IF(AND((CA177+CC177)=BZ177,BI177=0),BG177,0),0)</f>
        <v>0</v>
      </c>
      <c r="BL177" s="615">
        <f t="shared" ref="BL177:BL196" si="904">IFERROR(IF(AND((CA177+CC177+CD177)=BZ177,BI177=0,BK177=0),BG177,0),0)</f>
        <v>0</v>
      </c>
      <c r="BM177" s="615">
        <f t="shared" ref="BM177:BM196" si="905">IFERROR(IF(AND((CA177+CC177+CD177+CE177)=BZ177,BI177=0,BK177=0,BL177=0),BG177,0),0)</f>
        <v>0</v>
      </c>
      <c r="BN177" s="615">
        <f t="shared" ref="BN177:BN196" si="906">IFERROR(IF(AND((CA177+CC177+CD177+CE177+CF177)=BZ177,BI177=0,BK177=0,BL177=0,BM177=0),BG177,0),0)</f>
        <v>0</v>
      </c>
      <c r="BO177" s="339"/>
      <c r="BP177" s="615">
        <f>IFERROR(IF(AND((BV177+BX177)=100%,BV177&lt;1),BG177,0),0)</f>
        <v>0</v>
      </c>
      <c r="BQ177" s="339"/>
      <c r="BR177" s="339"/>
      <c r="BS177" s="339"/>
      <c r="BT177" s="339"/>
      <c r="BU177" s="339"/>
      <c r="BV177" s="635">
        <f t="shared" si="787"/>
        <v>0</v>
      </c>
      <c r="BW177" s="635">
        <f t="shared" si="788"/>
        <v>0</v>
      </c>
      <c r="BX177" s="635">
        <f t="shared" si="789"/>
        <v>0</v>
      </c>
      <c r="BY177" s="341"/>
      <c r="BZ177" s="540"/>
      <c r="CA177" s="532"/>
      <c r="CB177" s="539"/>
      <c r="CC177" s="536"/>
      <c r="CD177" s="536"/>
      <c r="CE177" s="536"/>
      <c r="CF177" s="536"/>
      <c r="CG177" s="536"/>
      <c r="CH177" s="539"/>
      <c r="CI177" s="536"/>
      <c r="CJ177" s="536"/>
      <c r="CK177" s="536"/>
      <c r="CL177" s="536"/>
      <c r="CM177" s="343"/>
      <c r="CN177" s="343"/>
      <c r="CO177" s="525"/>
      <c r="CP177" s="343"/>
      <c r="CQ177" s="344"/>
      <c r="CR177" s="618">
        <f t="shared" si="733"/>
        <v>0</v>
      </c>
      <c r="CS177" s="339"/>
      <c r="CT177" s="339"/>
      <c r="CU177" s="339"/>
      <c r="CV177" s="339"/>
      <c r="CW177" s="339"/>
      <c r="CX177" s="339"/>
      <c r="CY177" s="339"/>
      <c r="CZ177" s="339"/>
      <c r="DA177" s="339"/>
      <c r="DB177" s="339"/>
      <c r="DC177" s="339"/>
      <c r="DD177" s="339"/>
      <c r="DE177" s="339"/>
      <c r="DF177" s="603"/>
      <c r="DG177" s="603"/>
      <c r="DH177" s="603"/>
      <c r="DI177" s="341"/>
      <c r="DJ177" s="359"/>
      <c r="DK177" s="328"/>
      <c r="DL177" s="328"/>
      <c r="DM177" s="339"/>
      <c r="DN177" s="339"/>
      <c r="DO177" s="339"/>
      <c r="DP177" s="339"/>
      <c r="DQ177" s="339"/>
      <c r="DR177" s="328"/>
      <c r="DS177" s="339"/>
      <c r="DT177" s="339"/>
      <c r="DU177" s="339"/>
      <c r="DV177" s="339"/>
      <c r="DW177" s="343"/>
      <c r="DX177" s="343"/>
      <c r="DY177" s="525"/>
      <c r="DZ177" s="343"/>
      <c r="EA177" s="344"/>
      <c r="EB177" s="618">
        <f t="shared" si="748"/>
        <v>0</v>
      </c>
      <c r="EC177" s="81"/>
      <c r="ED177" s="81"/>
      <c r="EE177" s="81"/>
      <c r="EF177" s="81"/>
      <c r="EG177" s="81"/>
      <c r="EH177" s="81"/>
      <c r="EI177" s="81"/>
      <c r="EJ177" s="81"/>
      <c r="EK177" s="81"/>
      <c r="EL177" s="81"/>
      <c r="EM177" s="81"/>
      <c r="EN177" s="81"/>
      <c r="EO177" s="81"/>
      <c r="EP177" s="103"/>
      <c r="EQ177" s="103"/>
      <c r="ER177" s="103"/>
      <c r="ES177" s="82"/>
      <c r="ET177" s="56"/>
      <c r="EU177" s="71"/>
      <c r="EV177" s="71"/>
      <c r="EW177" s="81"/>
      <c r="EX177" s="81"/>
      <c r="EY177" s="81"/>
      <c r="EZ177" s="81"/>
      <c r="FA177" s="81"/>
      <c r="FB177" s="71"/>
      <c r="FC177" s="81"/>
      <c r="FD177" s="81"/>
      <c r="FE177" s="81"/>
      <c r="FF177" s="81"/>
      <c r="FG177" s="48"/>
    </row>
    <row r="178" spans="1:163" ht="14.25" hidden="1" outlineLevel="2">
      <c r="A178" s="48"/>
      <c r="B178" s="100">
        <v>2.8</v>
      </c>
      <c r="C178" s="279">
        <v>2.8</v>
      </c>
      <c r="D178" s="274" t="s">
        <v>168</v>
      </c>
      <c r="E178" s="48"/>
      <c r="F178" s="322"/>
      <c r="G178" s="630"/>
      <c r="H178" s="339"/>
      <c r="I178" s="339"/>
      <c r="J178" s="615"/>
      <c r="K178" s="615"/>
      <c r="L178" s="615"/>
      <c r="M178" s="620"/>
      <c r="N178" s="287"/>
      <c r="O178" s="339"/>
      <c r="P178" s="339"/>
      <c r="Q178" s="339"/>
      <c r="R178" s="339"/>
      <c r="S178" s="339"/>
      <c r="T178" s="48"/>
      <c r="U178" s="553">
        <v>0</v>
      </c>
      <c r="V178" s="371"/>
      <c r="W178" s="322">
        <v>0</v>
      </c>
      <c r="X178" s="630">
        <f t="shared" si="700"/>
        <v>0</v>
      </c>
      <c r="Y178" s="339"/>
      <c r="Z178" s="339"/>
      <c r="AA178" s="615">
        <f t="shared" si="778"/>
        <v>0</v>
      </c>
      <c r="AB178" s="615">
        <f t="shared" si="779"/>
        <v>0</v>
      </c>
      <c r="AC178" s="615">
        <f t="shared" si="780"/>
        <v>0</v>
      </c>
      <c r="AD178" s="620">
        <f t="shared" si="781"/>
        <v>0</v>
      </c>
      <c r="AE178" s="287"/>
      <c r="AF178" s="339"/>
      <c r="AG178" s="339"/>
      <c r="AH178" s="339"/>
      <c r="AI178" s="339"/>
      <c r="AJ178" s="339"/>
      <c r="AK178" s="339"/>
      <c r="AL178" s="603"/>
      <c r="AM178" s="603"/>
      <c r="AN178" s="603"/>
      <c r="AO178" s="341"/>
      <c r="AP178" s="359"/>
      <c r="AQ178" s="328"/>
      <c r="AR178" s="328"/>
      <c r="AS178" s="328"/>
      <c r="AT178" s="328"/>
      <c r="AU178" s="328"/>
      <c r="AV178" s="328"/>
      <c r="AW178" s="328"/>
      <c r="AX178" s="328"/>
      <c r="AY178" s="328"/>
      <c r="AZ178" s="328"/>
      <c r="BA178" s="328"/>
      <c r="BB178" s="328"/>
      <c r="BC178" s="328"/>
      <c r="BD178" s="328"/>
      <c r="BE178" s="606">
        <f>SUM(BE179:BE180)</f>
        <v>0.5</v>
      </c>
      <c r="BF178" s="371"/>
      <c r="BG178" s="607">
        <f>$BG$144*(95%/12)</f>
        <v>0.10764153125000001</v>
      </c>
      <c r="BH178" s="606">
        <f t="shared" si="717"/>
        <v>0.10764153125000001</v>
      </c>
      <c r="BI178" s="607">
        <f>SUM(BI179:BI180)</f>
        <v>0.10764153125000001</v>
      </c>
      <c r="BJ178" s="607">
        <f>SUM(BJ179:BJ180)</f>
        <v>0</v>
      </c>
      <c r="BK178" s="632">
        <f t="shared" si="903"/>
        <v>0</v>
      </c>
      <c r="BL178" s="615">
        <f t="shared" si="904"/>
        <v>0</v>
      </c>
      <c r="BM178" s="615">
        <f t="shared" si="905"/>
        <v>0</v>
      </c>
      <c r="BN178" s="615">
        <f t="shared" si="906"/>
        <v>0</v>
      </c>
      <c r="BO178" s="339"/>
      <c r="BP178" s="632">
        <f>SUM(BP179:BP180)</f>
        <v>0</v>
      </c>
      <c r="BQ178" s="632">
        <f t="shared" ref="BQ178" si="907">SUM(BQ179:BQ180)</f>
        <v>0</v>
      </c>
      <c r="BR178" s="632">
        <f t="shared" ref="BR178" si="908">SUM(BR179:BR180)</f>
        <v>0</v>
      </c>
      <c r="BS178" s="632">
        <f t="shared" ref="BS178" si="909">SUM(BS179:BS180)</f>
        <v>0</v>
      </c>
      <c r="BT178" s="632">
        <f t="shared" ref="BT178" si="910">SUM(BT179:BT180)</f>
        <v>0</v>
      </c>
      <c r="BU178" s="282"/>
      <c r="BV178" s="635">
        <f t="shared" si="787"/>
        <v>0</v>
      </c>
      <c r="BW178" s="635">
        <f t="shared" si="788"/>
        <v>0</v>
      </c>
      <c r="BX178" s="635">
        <f t="shared" si="789"/>
        <v>0</v>
      </c>
      <c r="BY178" s="341"/>
      <c r="BZ178" s="540"/>
      <c r="CA178" s="532"/>
      <c r="CB178" s="539"/>
      <c r="CC178" s="536"/>
      <c r="CD178" s="536"/>
      <c r="CE178" s="536"/>
      <c r="CF178" s="536"/>
      <c r="CG178" s="536"/>
      <c r="CH178" s="539"/>
      <c r="CI178" s="536"/>
      <c r="CJ178" s="536"/>
      <c r="CK178" s="536"/>
      <c r="CL178" s="536"/>
      <c r="CM178" s="371"/>
      <c r="CN178" s="371"/>
      <c r="CO178" s="553">
        <v>0</v>
      </c>
      <c r="CP178" s="371"/>
      <c r="CQ178" s="344"/>
      <c r="CR178" s="606">
        <f t="shared" si="733"/>
        <v>0</v>
      </c>
      <c r="CS178" s="339"/>
      <c r="CT178" s="339"/>
      <c r="CU178" s="339"/>
      <c r="CV178" s="339"/>
      <c r="CW178" s="339"/>
      <c r="CX178" s="339"/>
      <c r="CY178" s="339"/>
      <c r="CZ178" s="339"/>
      <c r="DA178" s="339"/>
      <c r="DB178" s="339"/>
      <c r="DC178" s="339"/>
      <c r="DD178" s="339"/>
      <c r="DE178" s="339"/>
      <c r="DF178" s="603"/>
      <c r="DG178" s="603"/>
      <c r="DH178" s="603"/>
      <c r="DI178" s="341"/>
      <c r="DJ178" s="359"/>
      <c r="DK178" s="328"/>
      <c r="DL178" s="328"/>
      <c r="DM178" s="339"/>
      <c r="DN178" s="339"/>
      <c r="DO178" s="339"/>
      <c r="DP178" s="339"/>
      <c r="DQ178" s="339"/>
      <c r="DR178" s="328"/>
      <c r="DS178" s="339"/>
      <c r="DT178" s="339"/>
      <c r="DU178" s="339"/>
      <c r="DV178" s="339"/>
      <c r="DW178" s="371"/>
      <c r="DX178" s="371"/>
      <c r="DY178" s="553">
        <v>0</v>
      </c>
      <c r="DZ178" s="371"/>
      <c r="EA178" s="344"/>
      <c r="EB178" s="606">
        <f t="shared" si="748"/>
        <v>0</v>
      </c>
      <c r="EC178" s="81"/>
      <c r="ED178" s="81"/>
      <c r="EE178" s="81"/>
      <c r="EF178" s="81"/>
      <c r="EG178" s="81"/>
      <c r="EH178" s="81"/>
      <c r="EI178" s="81"/>
      <c r="EJ178" s="81"/>
      <c r="EK178" s="81"/>
      <c r="EL178" s="81"/>
      <c r="EM178" s="81"/>
      <c r="EN178" s="81"/>
      <c r="EO178" s="81"/>
      <c r="EP178" s="103"/>
      <c r="EQ178" s="103"/>
      <c r="ER178" s="103"/>
      <c r="ES178" s="82"/>
      <c r="ET178" s="56"/>
      <c r="EU178" s="71"/>
      <c r="EV178" s="71"/>
      <c r="EW178" s="81"/>
      <c r="EX178" s="81"/>
      <c r="EY178" s="81"/>
      <c r="EZ178" s="81"/>
      <c r="FA178" s="81"/>
      <c r="FB178" s="71"/>
      <c r="FC178" s="81"/>
      <c r="FD178" s="81"/>
      <c r="FE178" s="81"/>
      <c r="FF178" s="81"/>
      <c r="FG178" s="48"/>
    </row>
    <row r="179" spans="1:163" ht="14.25" hidden="1" outlineLevel="3">
      <c r="A179" s="48"/>
      <c r="B179" s="87" t="s">
        <v>158</v>
      </c>
      <c r="C179" s="276">
        <v>1</v>
      </c>
      <c r="D179" s="272" t="s">
        <v>152</v>
      </c>
      <c r="E179" s="48"/>
      <c r="F179" s="619">
        <f t="shared" ref="F179:F180" si="911">W179+BG179+CQ179+EA179</f>
        <v>5.3820765625000003E-2</v>
      </c>
      <c r="G179" s="619">
        <f t="shared" ref="G179:G180" si="912">X179+BH179+CR179+EB179</f>
        <v>5.3820765625000003E-2</v>
      </c>
      <c r="H179" s="615">
        <f t="shared" ref="H179:H180" si="913">F179-G179</f>
        <v>0</v>
      </c>
      <c r="I179" s="615">
        <f t="shared" ref="I179:I180" si="914">Z179+BJ179+CT179+ED179</f>
        <v>0</v>
      </c>
      <c r="J179" s="615">
        <f t="shared" ref="J179:J180" si="915">AA179+BK179+CU179+EE179</f>
        <v>0</v>
      </c>
      <c r="K179" s="615">
        <f t="shared" ref="K179:K180" si="916">AB179+BL179+CV179+EF179</f>
        <v>0</v>
      </c>
      <c r="L179" s="615">
        <f t="shared" ref="L179:L180" si="917">AC179+BM179+CW179+EG179</f>
        <v>0</v>
      </c>
      <c r="M179" s="620">
        <f t="shared" ref="M179:M180" si="918">AD179+BN179+CX179+EH179</f>
        <v>0</v>
      </c>
      <c r="N179" s="287"/>
      <c r="O179" s="615">
        <f t="shared" ref="O179:O180" si="919">AF179+BP179+CZ179+EJ179</f>
        <v>0</v>
      </c>
      <c r="P179" s="615">
        <f t="shared" ref="P179:P180" si="920">AG179+BQ179+DA179+EK179</f>
        <v>0</v>
      </c>
      <c r="Q179" s="615">
        <f t="shared" ref="Q179:Q180" si="921">AH179+BR179+DB179+EL179</f>
        <v>0</v>
      </c>
      <c r="R179" s="615">
        <f t="shared" ref="R179:R180" si="922">AI179+BS179+DC179+EM179</f>
        <v>0</v>
      </c>
      <c r="S179" s="615">
        <f t="shared" ref="S179:S180" si="923">AJ179+BT179+DD179+EN179</f>
        <v>0</v>
      </c>
      <c r="T179" s="48"/>
      <c r="U179" s="519">
        <v>0</v>
      </c>
      <c r="V179" s="131"/>
      <c r="W179" s="338"/>
      <c r="X179" s="619">
        <f t="shared" si="700"/>
        <v>0</v>
      </c>
      <c r="Y179" s="339"/>
      <c r="Z179" s="339"/>
      <c r="AA179" s="615">
        <f t="shared" si="778"/>
        <v>0</v>
      </c>
      <c r="AB179" s="615">
        <f t="shared" si="779"/>
        <v>0</v>
      </c>
      <c r="AC179" s="615">
        <f t="shared" si="780"/>
        <v>0</v>
      </c>
      <c r="AD179" s="620">
        <f t="shared" si="781"/>
        <v>0</v>
      </c>
      <c r="AE179" s="287"/>
      <c r="AF179" s="339"/>
      <c r="AG179" s="339"/>
      <c r="AH179" s="339"/>
      <c r="AI179" s="339"/>
      <c r="AJ179" s="339"/>
      <c r="AK179" s="339"/>
      <c r="AL179" s="603"/>
      <c r="AM179" s="603"/>
      <c r="AN179" s="603"/>
      <c r="AO179" s="341"/>
      <c r="AP179" s="359"/>
      <c r="AQ179" s="328"/>
      <c r="AR179" s="328"/>
      <c r="AS179" s="328"/>
      <c r="AT179" s="328"/>
      <c r="AU179" s="328"/>
      <c r="AV179" s="328"/>
      <c r="AW179" s="328"/>
      <c r="AX179" s="328"/>
      <c r="AY179" s="328"/>
      <c r="AZ179" s="328"/>
      <c r="BA179" s="328"/>
      <c r="BB179" s="328"/>
      <c r="BC179" s="328"/>
      <c r="BD179" s="328"/>
      <c r="BE179" s="525">
        <v>0.25</v>
      </c>
      <c r="BF179" s="343"/>
      <c r="BG179" s="616">
        <f>$BG$178/$BE$178*BE179</f>
        <v>5.3820765625000003E-2</v>
      </c>
      <c r="BH179" s="618">
        <f t="shared" si="717"/>
        <v>5.3820765625000003E-2</v>
      </c>
      <c r="BI179" s="615">
        <f>IFERROR(IF(BV179=100%,BG179,0),0)</f>
        <v>5.3820765625000003E-2</v>
      </c>
      <c r="BJ179" s="615">
        <f>IFERROR(IF(AND((BV179+BW179)=100%,BV179&lt;1),BG179,0),0)</f>
        <v>0</v>
      </c>
      <c r="BK179" s="615">
        <f t="shared" si="903"/>
        <v>0</v>
      </c>
      <c r="BL179" s="615">
        <f t="shared" si="904"/>
        <v>0</v>
      </c>
      <c r="BM179" s="615">
        <f t="shared" si="905"/>
        <v>0</v>
      </c>
      <c r="BN179" s="615">
        <f t="shared" si="906"/>
        <v>0</v>
      </c>
      <c r="BO179" s="339"/>
      <c r="BP179" s="615">
        <f>IFERROR(IF(AND((BV179+BX179)=100%,BV179&lt;1),BG179,0),0)</f>
        <v>0</v>
      </c>
      <c r="BQ179" s="615">
        <f>IFERROR(IF(AND((CA179+CI179)=BZ179,BI179=0),BG179,0),0)</f>
        <v>0</v>
      </c>
      <c r="BR179" s="615">
        <f>IFERROR(IF(AND((CA179+CI179+CJ179)=BZ179,BI179=0,BQ179=0),BG179,0),0)</f>
        <v>0</v>
      </c>
      <c r="BS179" s="615">
        <f>IFERROR(IF(AND((CA179+CI179+CJ179+CK179)=BZ179,BI179=0,BQ179=0,BR179=0),BG179,0),0)</f>
        <v>0</v>
      </c>
      <c r="BT179" s="615">
        <f>IFERROR(IF(AND((CA179+CI179+CJ179+CK179+CL179)=BZ179,BI179=0,BQ179=0,BR179=0,BS179=0),BG179,0),0)</f>
        <v>0</v>
      </c>
      <c r="BU179" s="339"/>
      <c r="BV179" s="635">
        <f t="shared" si="787"/>
        <v>1</v>
      </c>
      <c r="BW179" s="635">
        <f t="shared" si="788"/>
        <v>0</v>
      </c>
      <c r="BX179" s="635">
        <f t="shared" si="789"/>
        <v>0</v>
      </c>
      <c r="BY179" s="341"/>
      <c r="BZ179" s="615">
        <f>COUNTIF('ST | Drawing List'!$H:$H,"ST-SS8-1")</f>
        <v>3</v>
      </c>
      <c r="CA179" s="616">
        <f>COUNTIFS('ST | Drawing List'!$H:$H,"ST-SS8-1",'ST | Drawing List'!$J:$J,1)</f>
        <v>3</v>
      </c>
      <c r="CB179" s="623">
        <f>COUNTIFS('ST | Drawing List'!$H:$H,"ST-SS8-1",'ST | Drawing List'!$L:$L,1)</f>
        <v>0</v>
      </c>
      <c r="CC179" s="616">
        <f>COUNTIFS('ST | Drawing List'!$H:$H,"ST-SS8-1",'ST | Drawing List'!M:M,1)</f>
        <v>0</v>
      </c>
      <c r="CD179" s="616">
        <f>COUNTIFS('ST | Drawing List'!$H:$H,"ST-SS8-1",'ST | Drawing List'!N:N,1)</f>
        <v>0</v>
      </c>
      <c r="CE179" s="616">
        <f>COUNTIFS('ST | Drawing List'!$H:$H,"ST-SS8-1",'ST | Drawing List'!O:O,1)</f>
        <v>0</v>
      </c>
      <c r="CF179" s="616">
        <f>COUNTIFS('ST | Drawing List'!$H:$H,"ST-SS8-1",'ST | Drawing List'!P:P,1)</f>
        <v>0</v>
      </c>
      <c r="CG179" s="532"/>
      <c r="CH179" s="623">
        <f>COUNTIFS('ST | Drawing List'!$H:$H,"ST-SS8-1",'ST | Drawing List'!$Q:$Q,1)</f>
        <v>0</v>
      </c>
      <c r="CI179" s="616">
        <f>COUNTIFS('ST | Drawing List'!$H:$H,"ST-SS8-1",'ST | Drawing List'!R:R,1)</f>
        <v>0</v>
      </c>
      <c r="CJ179" s="616">
        <f>COUNTIFS('ST | Drawing List'!$H:$H,"ST-SS8-1",'ST | Drawing List'!S:S,1)</f>
        <v>0</v>
      </c>
      <c r="CK179" s="616">
        <f>COUNTIFS('ST | Drawing List'!$H:$H,"ST-SS8-1",'ST | Drawing List'!T:T,1)</f>
        <v>0</v>
      </c>
      <c r="CL179" s="616">
        <f>COUNTIFS('ST | Drawing List'!$H:$H,"ST-SS8-1",'ST | Drawing List'!U:U,1)</f>
        <v>0</v>
      </c>
      <c r="CM179" s="343"/>
      <c r="CN179" s="343"/>
      <c r="CO179" s="525">
        <v>0</v>
      </c>
      <c r="CP179" s="343"/>
      <c r="CQ179" s="344"/>
      <c r="CR179" s="618">
        <f t="shared" si="733"/>
        <v>0</v>
      </c>
      <c r="CS179" s="339"/>
      <c r="CT179" s="339"/>
      <c r="CU179" s="339"/>
      <c r="CV179" s="339"/>
      <c r="CW179" s="339"/>
      <c r="CX179" s="339"/>
      <c r="CY179" s="339"/>
      <c r="CZ179" s="339"/>
      <c r="DA179" s="339"/>
      <c r="DB179" s="339"/>
      <c r="DC179" s="339"/>
      <c r="DD179" s="339"/>
      <c r="DE179" s="339"/>
      <c r="DF179" s="603"/>
      <c r="DG179" s="603"/>
      <c r="DH179" s="603"/>
      <c r="DI179" s="341"/>
      <c r="DJ179" s="359"/>
      <c r="DK179" s="328"/>
      <c r="DL179" s="328"/>
      <c r="DM179" s="339"/>
      <c r="DN179" s="339"/>
      <c r="DO179" s="339"/>
      <c r="DP179" s="339"/>
      <c r="DQ179" s="339"/>
      <c r="DR179" s="328"/>
      <c r="DS179" s="339"/>
      <c r="DT179" s="339"/>
      <c r="DU179" s="339"/>
      <c r="DV179" s="339"/>
      <c r="DW179" s="343"/>
      <c r="DX179" s="343"/>
      <c r="DY179" s="525">
        <v>0</v>
      </c>
      <c r="DZ179" s="343"/>
      <c r="EA179" s="344"/>
      <c r="EB179" s="618">
        <f t="shared" si="748"/>
        <v>0</v>
      </c>
      <c r="EC179" s="81"/>
      <c r="ED179" s="81"/>
      <c r="EE179" s="81"/>
      <c r="EF179" s="81"/>
      <c r="EG179" s="81"/>
      <c r="EH179" s="81"/>
      <c r="EI179" s="81"/>
      <c r="EJ179" s="81"/>
      <c r="EK179" s="81"/>
      <c r="EL179" s="81"/>
      <c r="EM179" s="81"/>
      <c r="EN179" s="81"/>
      <c r="EO179" s="81"/>
      <c r="EP179" s="103"/>
      <c r="EQ179" s="103"/>
      <c r="ER179" s="103"/>
      <c r="ES179" s="82"/>
      <c r="ET179" s="56"/>
      <c r="EU179" s="71"/>
      <c r="EV179" s="71"/>
      <c r="EW179" s="81"/>
      <c r="EX179" s="81"/>
      <c r="EY179" s="81"/>
      <c r="EZ179" s="81"/>
      <c r="FA179" s="81"/>
      <c r="FB179" s="71"/>
      <c r="FC179" s="81"/>
      <c r="FD179" s="81"/>
      <c r="FE179" s="81"/>
      <c r="FF179" s="81"/>
      <c r="FG179" s="48"/>
    </row>
    <row r="180" spans="1:163" ht="14.25" hidden="1" outlineLevel="3">
      <c r="A180" s="48"/>
      <c r="B180" s="87" t="s">
        <v>159</v>
      </c>
      <c r="C180" s="276">
        <v>2</v>
      </c>
      <c r="D180" s="272" t="s">
        <v>154</v>
      </c>
      <c r="E180" s="48"/>
      <c r="F180" s="619">
        <f t="shared" si="911"/>
        <v>5.3820765625000003E-2</v>
      </c>
      <c r="G180" s="619">
        <f t="shared" si="912"/>
        <v>5.3820765625000003E-2</v>
      </c>
      <c r="H180" s="615">
        <f t="shared" si="913"/>
        <v>0</v>
      </c>
      <c r="I180" s="615">
        <f t="shared" si="914"/>
        <v>0</v>
      </c>
      <c r="J180" s="615">
        <f t="shared" si="915"/>
        <v>0</v>
      </c>
      <c r="K180" s="615">
        <f t="shared" si="916"/>
        <v>0</v>
      </c>
      <c r="L180" s="615">
        <f t="shared" si="917"/>
        <v>0</v>
      </c>
      <c r="M180" s="620">
        <f t="shared" si="918"/>
        <v>0</v>
      </c>
      <c r="N180" s="287"/>
      <c r="O180" s="615">
        <f t="shared" si="919"/>
        <v>0</v>
      </c>
      <c r="P180" s="615">
        <f t="shared" si="920"/>
        <v>0</v>
      </c>
      <c r="Q180" s="615">
        <f t="shared" si="921"/>
        <v>0</v>
      </c>
      <c r="R180" s="615">
        <f t="shared" si="922"/>
        <v>0</v>
      </c>
      <c r="S180" s="615">
        <f t="shared" si="923"/>
        <v>0</v>
      </c>
      <c r="T180" s="48"/>
      <c r="U180" s="519">
        <v>0</v>
      </c>
      <c r="V180" s="131"/>
      <c r="W180" s="338"/>
      <c r="X180" s="619">
        <f t="shared" si="700"/>
        <v>0</v>
      </c>
      <c r="Y180" s="339"/>
      <c r="Z180" s="339"/>
      <c r="AA180" s="615">
        <f t="shared" si="778"/>
        <v>0</v>
      </c>
      <c r="AB180" s="615">
        <f t="shared" si="779"/>
        <v>0</v>
      </c>
      <c r="AC180" s="615">
        <f t="shared" si="780"/>
        <v>0</v>
      </c>
      <c r="AD180" s="620">
        <f t="shared" si="781"/>
        <v>0</v>
      </c>
      <c r="AE180" s="287"/>
      <c r="AF180" s="339"/>
      <c r="AG180" s="339"/>
      <c r="AH180" s="339"/>
      <c r="AI180" s="339"/>
      <c r="AJ180" s="339"/>
      <c r="AK180" s="339"/>
      <c r="AL180" s="603"/>
      <c r="AM180" s="603"/>
      <c r="AN180" s="603"/>
      <c r="AO180" s="341"/>
      <c r="AP180" s="359"/>
      <c r="AQ180" s="328"/>
      <c r="AR180" s="328"/>
      <c r="AS180" s="328"/>
      <c r="AT180" s="328"/>
      <c r="AU180" s="328"/>
      <c r="AV180" s="328"/>
      <c r="AW180" s="328"/>
      <c r="AX180" s="328"/>
      <c r="AY180" s="328"/>
      <c r="AZ180" s="328"/>
      <c r="BA180" s="328"/>
      <c r="BB180" s="328"/>
      <c r="BC180" s="328"/>
      <c r="BD180" s="328"/>
      <c r="BE180" s="525">
        <v>0.25</v>
      </c>
      <c r="BF180" s="343"/>
      <c r="BG180" s="616">
        <f>$BG$178/$BE$178*BE180</f>
        <v>5.3820765625000003E-2</v>
      </c>
      <c r="BH180" s="618">
        <f t="shared" si="717"/>
        <v>5.3820765625000003E-2</v>
      </c>
      <c r="BI180" s="615">
        <f>IFERROR(IF(BV180=100%,BG180,0),0)</f>
        <v>5.3820765625000003E-2</v>
      </c>
      <c r="BJ180" s="615">
        <f>IFERROR(IF(AND((BV180+BW180)=100%,BV180&lt;1),BG180,0),0)</f>
        <v>0</v>
      </c>
      <c r="BK180" s="615">
        <f t="shared" si="903"/>
        <v>0</v>
      </c>
      <c r="BL180" s="615">
        <f t="shared" si="904"/>
        <v>0</v>
      </c>
      <c r="BM180" s="615">
        <f t="shared" si="905"/>
        <v>0</v>
      </c>
      <c r="BN180" s="615">
        <f t="shared" si="906"/>
        <v>0</v>
      </c>
      <c r="BO180" s="339"/>
      <c r="BP180" s="615">
        <f>IFERROR(IF(AND((BV180+BX180)=100%,BV180&lt;1),BG180,0),0)</f>
        <v>0</v>
      </c>
      <c r="BQ180" s="615">
        <f>IFERROR(IF(AND((CA180+CI180)=BZ180,BI180=0),BG180,0),0)</f>
        <v>0</v>
      </c>
      <c r="BR180" s="615">
        <f>IFERROR(IF(AND((CA180+CI180+CJ180)=BZ180,BI180=0,BQ180=0),BG180,0),0)</f>
        <v>0</v>
      </c>
      <c r="BS180" s="615">
        <f>IFERROR(IF(AND((CA180+CI180+CJ180+CK180)=BZ180,BI180=0,BQ180=0,BR180=0),BG180,0),0)</f>
        <v>0</v>
      </c>
      <c r="BT180" s="615">
        <f>IFERROR(IF(AND((CA180+CI180+CJ180+CK180+CL180)=BZ180,BI180=0,BQ180=0,BR180=0,BS180=0),BG180,0),0)</f>
        <v>0</v>
      </c>
      <c r="BU180" s="339"/>
      <c r="BV180" s="635">
        <f t="shared" si="787"/>
        <v>1</v>
      </c>
      <c r="BW180" s="635">
        <f t="shared" si="788"/>
        <v>0</v>
      </c>
      <c r="BX180" s="635">
        <f t="shared" si="789"/>
        <v>0</v>
      </c>
      <c r="BY180" s="341"/>
      <c r="BZ180" s="615">
        <f>COUNTIF('ST | Drawing List'!$H:$H,"ST-SS8-2")</f>
        <v>3</v>
      </c>
      <c r="CA180" s="616">
        <f>COUNTIFS('ST | Drawing List'!$H:$H,"ST-SS8-2",'ST | Drawing List'!$J:$J,1)</f>
        <v>3</v>
      </c>
      <c r="CB180" s="623">
        <f>COUNTIFS('ST | Drawing List'!$H:$H,"ST-SS8-2",'ST | Drawing List'!$L:$L,1)</f>
        <v>0</v>
      </c>
      <c r="CC180" s="616">
        <f>COUNTIFS('ST | Drawing List'!$H:$H,"ST-SS8-2",'ST | Drawing List'!M:M,1)</f>
        <v>0</v>
      </c>
      <c r="CD180" s="616">
        <f>COUNTIFS('ST | Drawing List'!$H:$H,"ST-SS8-2",'ST | Drawing List'!N:N,1)</f>
        <v>0</v>
      </c>
      <c r="CE180" s="616">
        <f>COUNTIFS('ST | Drawing List'!$H:$H,"ST-SS8-2",'ST | Drawing List'!O:O,1)</f>
        <v>0</v>
      </c>
      <c r="CF180" s="616">
        <f>COUNTIFS('ST | Drawing List'!$H:$H,"ST-SS8-2",'ST | Drawing List'!P:P,1)</f>
        <v>0</v>
      </c>
      <c r="CG180" s="532"/>
      <c r="CH180" s="623">
        <f>COUNTIFS('ST | Drawing List'!$H:$H,"ST-SS8-2",'ST | Drawing List'!$Q:$Q,1)</f>
        <v>0</v>
      </c>
      <c r="CI180" s="616">
        <f>COUNTIFS('ST | Drawing List'!$H:$H,"ST-SS8-2",'ST | Drawing List'!R:R,1)</f>
        <v>0</v>
      </c>
      <c r="CJ180" s="616">
        <f>COUNTIFS('ST | Drawing List'!$H:$H,"ST-SS8-2",'ST | Drawing List'!S:S,1)</f>
        <v>0</v>
      </c>
      <c r="CK180" s="616">
        <f>COUNTIFS('ST | Drawing List'!$H:$H,"ST-SS8-2",'ST | Drawing List'!T:T,1)</f>
        <v>0</v>
      </c>
      <c r="CL180" s="616">
        <f>COUNTIFS('ST | Drawing List'!$H:$H,"ST-SS8-2",'ST | Drawing List'!U:U,1)</f>
        <v>0</v>
      </c>
      <c r="CM180" s="343"/>
      <c r="CN180" s="343"/>
      <c r="CO180" s="525">
        <v>0</v>
      </c>
      <c r="CP180" s="343"/>
      <c r="CQ180" s="344"/>
      <c r="CR180" s="618">
        <f t="shared" si="733"/>
        <v>0</v>
      </c>
      <c r="CS180" s="339"/>
      <c r="CT180" s="339"/>
      <c r="CU180" s="339"/>
      <c r="CV180" s="339"/>
      <c r="CW180" s="339"/>
      <c r="CX180" s="339"/>
      <c r="CY180" s="339"/>
      <c r="CZ180" s="339"/>
      <c r="DA180" s="339"/>
      <c r="DB180" s="339"/>
      <c r="DC180" s="339"/>
      <c r="DD180" s="339"/>
      <c r="DE180" s="339"/>
      <c r="DF180" s="603"/>
      <c r="DG180" s="603"/>
      <c r="DH180" s="603"/>
      <c r="DI180" s="341"/>
      <c r="DJ180" s="359"/>
      <c r="DK180" s="328"/>
      <c r="DL180" s="328"/>
      <c r="DM180" s="339"/>
      <c r="DN180" s="339"/>
      <c r="DO180" s="339"/>
      <c r="DP180" s="339"/>
      <c r="DQ180" s="339"/>
      <c r="DR180" s="328"/>
      <c r="DS180" s="339"/>
      <c r="DT180" s="339"/>
      <c r="DU180" s="339"/>
      <c r="DV180" s="339"/>
      <c r="DW180" s="343"/>
      <c r="DX180" s="343"/>
      <c r="DY180" s="525">
        <v>0</v>
      </c>
      <c r="DZ180" s="343"/>
      <c r="EA180" s="344"/>
      <c r="EB180" s="618">
        <f t="shared" si="748"/>
        <v>0</v>
      </c>
      <c r="EC180" s="81"/>
      <c r="ED180" s="81"/>
      <c r="EE180" s="81"/>
      <c r="EF180" s="81"/>
      <c r="EG180" s="81"/>
      <c r="EH180" s="81"/>
      <c r="EI180" s="81"/>
      <c r="EJ180" s="81"/>
      <c r="EK180" s="81"/>
      <c r="EL180" s="81"/>
      <c r="EM180" s="81"/>
      <c r="EN180" s="81"/>
      <c r="EO180" s="81"/>
      <c r="EP180" s="103"/>
      <c r="EQ180" s="103"/>
      <c r="ER180" s="103"/>
      <c r="ES180" s="82"/>
      <c r="ET180" s="56"/>
      <c r="EU180" s="71"/>
      <c r="EV180" s="71"/>
      <c r="EW180" s="81"/>
      <c r="EX180" s="81"/>
      <c r="EY180" s="81"/>
      <c r="EZ180" s="81"/>
      <c r="FA180" s="81"/>
      <c r="FB180" s="71"/>
      <c r="FC180" s="81"/>
      <c r="FD180" s="81"/>
      <c r="FE180" s="81"/>
      <c r="FF180" s="81"/>
      <c r="FG180" s="48"/>
    </row>
    <row r="181" spans="1:163" ht="14.25" hidden="1" outlineLevel="2">
      <c r="A181" s="48"/>
      <c r="B181" s="100"/>
      <c r="C181" s="279"/>
      <c r="D181" s="272"/>
      <c r="E181" s="48"/>
      <c r="F181" s="338"/>
      <c r="G181" s="619"/>
      <c r="H181" s="339"/>
      <c r="I181" s="339"/>
      <c r="J181" s="615"/>
      <c r="K181" s="615"/>
      <c r="L181" s="615"/>
      <c r="M181" s="620"/>
      <c r="N181" s="287"/>
      <c r="O181" s="339"/>
      <c r="P181" s="339"/>
      <c r="Q181" s="339"/>
      <c r="R181" s="339"/>
      <c r="S181" s="339"/>
      <c r="T181" s="48"/>
      <c r="U181" s="519"/>
      <c r="V181" s="131"/>
      <c r="W181" s="338"/>
      <c r="X181" s="619">
        <f t="shared" si="700"/>
        <v>0</v>
      </c>
      <c r="Y181" s="339"/>
      <c r="Z181" s="339"/>
      <c r="AA181" s="615">
        <f t="shared" si="778"/>
        <v>0</v>
      </c>
      <c r="AB181" s="615">
        <f t="shared" si="779"/>
        <v>0</v>
      </c>
      <c r="AC181" s="615">
        <f t="shared" si="780"/>
        <v>0</v>
      </c>
      <c r="AD181" s="620">
        <f t="shared" si="781"/>
        <v>0</v>
      </c>
      <c r="AE181" s="287"/>
      <c r="AF181" s="339"/>
      <c r="AG181" s="339"/>
      <c r="AH181" s="339"/>
      <c r="AI181" s="339"/>
      <c r="AJ181" s="339"/>
      <c r="AK181" s="339"/>
      <c r="AL181" s="603"/>
      <c r="AM181" s="603"/>
      <c r="AN181" s="603"/>
      <c r="AO181" s="341"/>
      <c r="AP181" s="359"/>
      <c r="AQ181" s="328"/>
      <c r="AR181" s="328"/>
      <c r="AS181" s="328"/>
      <c r="AT181" s="328"/>
      <c r="AU181" s="328"/>
      <c r="AV181" s="328"/>
      <c r="AW181" s="328"/>
      <c r="AX181" s="328"/>
      <c r="AY181" s="328"/>
      <c r="AZ181" s="328"/>
      <c r="BA181" s="328"/>
      <c r="BB181" s="328"/>
      <c r="BC181" s="328"/>
      <c r="BD181" s="328"/>
      <c r="BE181" s="525"/>
      <c r="BF181" s="343"/>
      <c r="BG181" s="344"/>
      <c r="BH181" s="618">
        <f t="shared" si="717"/>
        <v>0</v>
      </c>
      <c r="BI181" s="339"/>
      <c r="BJ181" s="339"/>
      <c r="BK181" s="615">
        <f t="shared" si="903"/>
        <v>0</v>
      </c>
      <c r="BL181" s="615">
        <f t="shared" si="904"/>
        <v>0</v>
      </c>
      <c r="BM181" s="615">
        <f t="shared" si="905"/>
        <v>0</v>
      </c>
      <c r="BN181" s="615">
        <f t="shared" si="906"/>
        <v>0</v>
      </c>
      <c r="BO181" s="339"/>
      <c r="BP181" s="615">
        <f>IFERROR(IF(AND((BV181+BX181)=100%,BV181&lt;1),BG181,0),0)</f>
        <v>0</v>
      </c>
      <c r="BQ181" s="339"/>
      <c r="BR181" s="339"/>
      <c r="BS181" s="339"/>
      <c r="BT181" s="339"/>
      <c r="BU181" s="339"/>
      <c r="BV181" s="635">
        <f t="shared" si="787"/>
        <v>0</v>
      </c>
      <c r="BW181" s="635">
        <f t="shared" si="788"/>
        <v>0</v>
      </c>
      <c r="BX181" s="635">
        <f t="shared" si="789"/>
        <v>0</v>
      </c>
      <c r="BY181" s="341"/>
      <c r="BZ181" s="540"/>
      <c r="CA181" s="532"/>
      <c r="CB181" s="539"/>
      <c r="CC181" s="536"/>
      <c r="CD181" s="536"/>
      <c r="CE181" s="536"/>
      <c r="CF181" s="536"/>
      <c r="CG181" s="536"/>
      <c r="CH181" s="539"/>
      <c r="CI181" s="536"/>
      <c r="CJ181" s="536"/>
      <c r="CK181" s="536"/>
      <c r="CL181" s="536"/>
      <c r="CM181" s="343"/>
      <c r="CN181" s="343"/>
      <c r="CO181" s="525"/>
      <c r="CP181" s="343"/>
      <c r="CQ181" s="344"/>
      <c r="CR181" s="618">
        <f t="shared" si="733"/>
        <v>0</v>
      </c>
      <c r="CS181" s="339"/>
      <c r="CT181" s="339"/>
      <c r="CU181" s="339"/>
      <c r="CV181" s="339"/>
      <c r="CW181" s="339"/>
      <c r="CX181" s="339"/>
      <c r="CY181" s="339"/>
      <c r="CZ181" s="339"/>
      <c r="DA181" s="339"/>
      <c r="DB181" s="339"/>
      <c r="DC181" s="339"/>
      <c r="DD181" s="339"/>
      <c r="DE181" s="339"/>
      <c r="DF181" s="603"/>
      <c r="DG181" s="603"/>
      <c r="DH181" s="603"/>
      <c r="DI181" s="341"/>
      <c r="DJ181" s="359"/>
      <c r="DK181" s="328"/>
      <c r="DL181" s="328"/>
      <c r="DM181" s="339"/>
      <c r="DN181" s="339"/>
      <c r="DO181" s="339"/>
      <c r="DP181" s="339"/>
      <c r="DQ181" s="339"/>
      <c r="DR181" s="328"/>
      <c r="DS181" s="339"/>
      <c r="DT181" s="339"/>
      <c r="DU181" s="339"/>
      <c r="DV181" s="339"/>
      <c r="DW181" s="343"/>
      <c r="DX181" s="343"/>
      <c r="DY181" s="525"/>
      <c r="DZ181" s="343"/>
      <c r="EA181" s="344"/>
      <c r="EB181" s="618">
        <f t="shared" si="748"/>
        <v>0</v>
      </c>
      <c r="EC181" s="81"/>
      <c r="ED181" s="81"/>
      <c r="EE181" s="81"/>
      <c r="EF181" s="81"/>
      <c r="EG181" s="81"/>
      <c r="EH181" s="81"/>
      <c r="EI181" s="81"/>
      <c r="EJ181" s="81"/>
      <c r="EK181" s="81"/>
      <c r="EL181" s="81"/>
      <c r="EM181" s="81"/>
      <c r="EN181" s="81"/>
      <c r="EO181" s="81"/>
      <c r="EP181" s="103"/>
      <c r="EQ181" s="103"/>
      <c r="ER181" s="103"/>
      <c r="ES181" s="82"/>
      <c r="ET181" s="56"/>
      <c r="EU181" s="71"/>
      <c r="EV181" s="71"/>
      <c r="EW181" s="81"/>
      <c r="EX181" s="81"/>
      <c r="EY181" s="81"/>
      <c r="EZ181" s="81"/>
      <c r="FA181" s="81"/>
      <c r="FB181" s="71"/>
      <c r="FC181" s="81"/>
      <c r="FD181" s="81"/>
      <c r="FE181" s="81"/>
      <c r="FF181" s="81"/>
      <c r="FG181" s="48"/>
    </row>
    <row r="182" spans="1:163" ht="14.25" hidden="1" outlineLevel="2">
      <c r="A182" s="48"/>
      <c r="B182" s="100">
        <v>2.9</v>
      </c>
      <c r="C182" s="279">
        <v>2.9</v>
      </c>
      <c r="D182" s="274" t="s">
        <v>169</v>
      </c>
      <c r="E182" s="48"/>
      <c r="F182" s="322"/>
      <c r="G182" s="630"/>
      <c r="H182" s="339"/>
      <c r="I182" s="339"/>
      <c r="J182" s="615"/>
      <c r="K182" s="615"/>
      <c r="L182" s="615"/>
      <c r="M182" s="620"/>
      <c r="N182" s="287"/>
      <c r="O182" s="339"/>
      <c r="P182" s="339"/>
      <c r="Q182" s="339"/>
      <c r="R182" s="339"/>
      <c r="S182" s="339"/>
      <c r="T182" s="48"/>
      <c r="U182" s="553">
        <v>0</v>
      </c>
      <c r="V182" s="371"/>
      <c r="W182" s="322">
        <v>0</v>
      </c>
      <c r="X182" s="630">
        <f t="shared" si="700"/>
        <v>0</v>
      </c>
      <c r="Y182" s="339"/>
      <c r="Z182" s="339"/>
      <c r="AA182" s="615">
        <f t="shared" si="778"/>
        <v>0</v>
      </c>
      <c r="AB182" s="615">
        <f t="shared" si="779"/>
        <v>0</v>
      </c>
      <c r="AC182" s="615">
        <f t="shared" si="780"/>
        <v>0</v>
      </c>
      <c r="AD182" s="620">
        <f t="shared" si="781"/>
        <v>0</v>
      </c>
      <c r="AE182" s="287"/>
      <c r="AF182" s="339"/>
      <c r="AG182" s="339"/>
      <c r="AH182" s="339"/>
      <c r="AI182" s="339"/>
      <c r="AJ182" s="339"/>
      <c r="AK182" s="339"/>
      <c r="AL182" s="603"/>
      <c r="AM182" s="603"/>
      <c r="AN182" s="603"/>
      <c r="AO182" s="341"/>
      <c r="AP182" s="359"/>
      <c r="AQ182" s="328"/>
      <c r="AR182" s="328"/>
      <c r="AS182" s="328"/>
      <c r="AT182" s="328"/>
      <c r="AU182" s="328"/>
      <c r="AV182" s="328"/>
      <c r="AW182" s="328"/>
      <c r="AX182" s="328"/>
      <c r="AY182" s="328"/>
      <c r="AZ182" s="328"/>
      <c r="BA182" s="328"/>
      <c r="BB182" s="328"/>
      <c r="BC182" s="328"/>
      <c r="BD182" s="328"/>
      <c r="BE182" s="606">
        <f>SUM(BE183:BE184)</f>
        <v>0.5</v>
      </c>
      <c r="BF182" s="371"/>
      <c r="BG182" s="607">
        <f>$BG$144*(95%/12)</f>
        <v>0.10764153125000001</v>
      </c>
      <c r="BH182" s="606">
        <f t="shared" si="717"/>
        <v>0.10764153125000001</v>
      </c>
      <c r="BI182" s="607">
        <f>SUM(BI183:BI184)</f>
        <v>0.10764153125000001</v>
      </c>
      <c r="BJ182" s="607">
        <f>SUM(BJ183:BJ184)</f>
        <v>0</v>
      </c>
      <c r="BK182" s="632">
        <f t="shared" si="903"/>
        <v>0</v>
      </c>
      <c r="BL182" s="615">
        <f t="shared" si="904"/>
        <v>0</v>
      </c>
      <c r="BM182" s="615">
        <f t="shared" si="905"/>
        <v>0</v>
      </c>
      <c r="BN182" s="615">
        <f t="shared" si="906"/>
        <v>0</v>
      </c>
      <c r="BO182" s="339"/>
      <c r="BP182" s="632">
        <f>SUM(BP183:BP184)</f>
        <v>0</v>
      </c>
      <c r="BQ182" s="632">
        <f t="shared" ref="BQ182" si="924">SUM(BQ183:BQ184)</f>
        <v>0</v>
      </c>
      <c r="BR182" s="632">
        <f t="shared" ref="BR182" si="925">SUM(BR183:BR184)</f>
        <v>0</v>
      </c>
      <c r="BS182" s="632">
        <f t="shared" ref="BS182" si="926">SUM(BS183:BS184)</f>
        <v>0</v>
      </c>
      <c r="BT182" s="632">
        <f t="shared" ref="BT182" si="927">SUM(BT183:BT184)</f>
        <v>0</v>
      </c>
      <c r="BU182" s="282"/>
      <c r="BV182" s="635">
        <f t="shared" si="787"/>
        <v>0</v>
      </c>
      <c r="BW182" s="635">
        <f t="shared" si="788"/>
        <v>0</v>
      </c>
      <c r="BX182" s="635">
        <f t="shared" si="789"/>
        <v>0</v>
      </c>
      <c r="BY182" s="341"/>
      <c r="BZ182" s="540"/>
      <c r="CA182" s="532"/>
      <c r="CB182" s="539"/>
      <c r="CC182" s="536"/>
      <c r="CD182" s="536"/>
      <c r="CE182" s="536"/>
      <c r="CF182" s="536"/>
      <c r="CG182" s="536"/>
      <c r="CH182" s="539"/>
      <c r="CI182" s="536"/>
      <c r="CJ182" s="536"/>
      <c r="CK182" s="536"/>
      <c r="CL182" s="536"/>
      <c r="CM182" s="371"/>
      <c r="CN182" s="371"/>
      <c r="CO182" s="553">
        <v>0</v>
      </c>
      <c r="CP182" s="371"/>
      <c r="CQ182" s="344"/>
      <c r="CR182" s="606">
        <f t="shared" si="733"/>
        <v>0</v>
      </c>
      <c r="CS182" s="339"/>
      <c r="CT182" s="339"/>
      <c r="CU182" s="339"/>
      <c r="CV182" s="339"/>
      <c r="CW182" s="339"/>
      <c r="CX182" s="339"/>
      <c r="CY182" s="339"/>
      <c r="CZ182" s="339"/>
      <c r="DA182" s="339"/>
      <c r="DB182" s="339"/>
      <c r="DC182" s="339"/>
      <c r="DD182" s="339"/>
      <c r="DE182" s="339"/>
      <c r="DF182" s="603"/>
      <c r="DG182" s="603"/>
      <c r="DH182" s="603"/>
      <c r="DI182" s="341"/>
      <c r="DJ182" s="359"/>
      <c r="DK182" s="328"/>
      <c r="DL182" s="328"/>
      <c r="DM182" s="339"/>
      <c r="DN182" s="339"/>
      <c r="DO182" s="339"/>
      <c r="DP182" s="339"/>
      <c r="DQ182" s="339"/>
      <c r="DR182" s="328"/>
      <c r="DS182" s="339"/>
      <c r="DT182" s="339"/>
      <c r="DU182" s="339"/>
      <c r="DV182" s="339"/>
      <c r="DW182" s="371"/>
      <c r="DX182" s="371"/>
      <c r="DY182" s="553">
        <v>0</v>
      </c>
      <c r="DZ182" s="371"/>
      <c r="EA182" s="344"/>
      <c r="EB182" s="606">
        <f t="shared" si="748"/>
        <v>0</v>
      </c>
      <c r="EC182" s="81"/>
      <c r="ED182" s="81"/>
      <c r="EE182" s="81"/>
      <c r="EF182" s="81"/>
      <c r="EG182" s="81"/>
      <c r="EH182" s="81"/>
      <c r="EI182" s="81"/>
      <c r="EJ182" s="81"/>
      <c r="EK182" s="81"/>
      <c r="EL182" s="81"/>
      <c r="EM182" s="81"/>
      <c r="EN182" s="81"/>
      <c r="EO182" s="81"/>
      <c r="EP182" s="103"/>
      <c r="EQ182" s="103"/>
      <c r="ER182" s="103"/>
      <c r="ES182" s="82"/>
      <c r="ET182" s="56"/>
      <c r="EU182" s="71"/>
      <c r="EV182" s="71"/>
      <c r="EW182" s="81"/>
      <c r="EX182" s="81"/>
      <c r="EY182" s="81"/>
      <c r="EZ182" s="81"/>
      <c r="FA182" s="81"/>
      <c r="FB182" s="71"/>
      <c r="FC182" s="81"/>
      <c r="FD182" s="81"/>
      <c r="FE182" s="81"/>
      <c r="FF182" s="81"/>
      <c r="FG182" s="48"/>
    </row>
    <row r="183" spans="1:163" ht="14.25" hidden="1" outlineLevel="3">
      <c r="A183" s="48"/>
      <c r="B183" s="87" t="s">
        <v>170</v>
      </c>
      <c r="C183" s="276">
        <v>1</v>
      </c>
      <c r="D183" s="272" t="s">
        <v>152</v>
      </c>
      <c r="E183" s="48"/>
      <c r="F183" s="619">
        <f t="shared" ref="F183:F184" si="928">W183+BG183+CQ183+EA183</f>
        <v>5.3820765625000003E-2</v>
      </c>
      <c r="G183" s="619">
        <f t="shared" ref="G183:G184" si="929">X183+BH183+CR183+EB183</f>
        <v>5.3820765625000003E-2</v>
      </c>
      <c r="H183" s="615">
        <f t="shared" ref="H183:H184" si="930">F183-G183</f>
        <v>0</v>
      </c>
      <c r="I183" s="615">
        <f t="shared" ref="I183:I184" si="931">Z183+BJ183+CT183+ED183</f>
        <v>0</v>
      </c>
      <c r="J183" s="615">
        <f t="shared" ref="J183:J184" si="932">AA183+BK183+CU183+EE183</f>
        <v>0</v>
      </c>
      <c r="K183" s="615">
        <f t="shared" ref="K183:K184" si="933">AB183+BL183+CV183+EF183</f>
        <v>0</v>
      </c>
      <c r="L183" s="615">
        <f t="shared" ref="L183:L184" si="934">AC183+BM183+CW183+EG183</f>
        <v>0</v>
      </c>
      <c r="M183" s="620">
        <f t="shared" ref="M183:M184" si="935">AD183+BN183+CX183+EH183</f>
        <v>0</v>
      </c>
      <c r="N183" s="287"/>
      <c r="O183" s="615">
        <f t="shared" ref="O183:O184" si="936">AF183+BP183+CZ183+EJ183</f>
        <v>0</v>
      </c>
      <c r="P183" s="615">
        <f t="shared" ref="P183:P184" si="937">AG183+BQ183+DA183+EK183</f>
        <v>0</v>
      </c>
      <c r="Q183" s="615">
        <f t="shared" ref="Q183:Q184" si="938">AH183+BR183+DB183+EL183</f>
        <v>0</v>
      </c>
      <c r="R183" s="615">
        <f t="shared" ref="R183:R184" si="939">AI183+BS183+DC183+EM183</f>
        <v>0</v>
      </c>
      <c r="S183" s="615">
        <f t="shared" ref="S183:S184" si="940">AJ183+BT183+DD183+EN183</f>
        <v>0</v>
      </c>
      <c r="T183" s="48"/>
      <c r="U183" s="519">
        <v>0</v>
      </c>
      <c r="V183" s="131"/>
      <c r="W183" s="338"/>
      <c r="X183" s="619">
        <f t="shared" si="700"/>
        <v>0</v>
      </c>
      <c r="Y183" s="339"/>
      <c r="Z183" s="339"/>
      <c r="AA183" s="615">
        <f t="shared" si="778"/>
        <v>0</v>
      </c>
      <c r="AB183" s="615">
        <f t="shared" si="779"/>
        <v>0</v>
      </c>
      <c r="AC183" s="615">
        <f t="shared" si="780"/>
        <v>0</v>
      </c>
      <c r="AD183" s="620">
        <f t="shared" si="781"/>
        <v>0</v>
      </c>
      <c r="AE183" s="287"/>
      <c r="AF183" s="339"/>
      <c r="AG183" s="339"/>
      <c r="AH183" s="339"/>
      <c r="AI183" s="339"/>
      <c r="AJ183" s="339"/>
      <c r="AK183" s="339"/>
      <c r="AL183" s="603"/>
      <c r="AM183" s="603"/>
      <c r="AN183" s="603"/>
      <c r="AO183" s="341"/>
      <c r="AP183" s="359"/>
      <c r="AQ183" s="328"/>
      <c r="AR183" s="328"/>
      <c r="AS183" s="328"/>
      <c r="AT183" s="328"/>
      <c r="AU183" s="328"/>
      <c r="AV183" s="328"/>
      <c r="AW183" s="328"/>
      <c r="AX183" s="328"/>
      <c r="AY183" s="328"/>
      <c r="AZ183" s="328"/>
      <c r="BA183" s="328"/>
      <c r="BB183" s="328"/>
      <c r="BC183" s="328"/>
      <c r="BD183" s="328"/>
      <c r="BE183" s="525">
        <v>0.25</v>
      </c>
      <c r="BF183" s="343"/>
      <c r="BG183" s="616">
        <f>$BG$182/$BE$182*BE183</f>
        <v>5.3820765625000003E-2</v>
      </c>
      <c r="BH183" s="618">
        <f t="shared" si="717"/>
        <v>5.3820765625000003E-2</v>
      </c>
      <c r="BI183" s="615">
        <f>IFERROR(IF(BV183=100%,BG183,0),0)</f>
        <v>5.3820765625000003E-2</v>
      </c>
      <c r="BJ183" s="615">
        <f>IFERROR(IF(AND((BV183+BW183)=100%,BV183&lt;1),BG183,0),0)</f>
        <v>0</v>
      </c>
      <c r="BK183" s="615">
        <f t="shared" si="903"/>
        <v>0</v>
      </c>
      <c r="BL183" s="615">
        <f t="shared" si="904"/>
        <v>0</v>
      </c>
      <c r="BM183" s="615">
        <f t="shared" si="905"/>
        <v>0</v>
      </c>
      <c r="BN183" s="615">
        <f t="shared" si="906"/>
        <v>0</v>
      </c>
      <c r="BO183" s="339"/>
      <c r="BP183" s="615">
        <f>IFERROR(IF(AND((BV183+BX183)=100%,BV183&lt;1),BG183,0),0)</f>
        <v>0</v>
      </c>
      <c r="BQ183" s="615">
        <f>IFERROR(IF(AND((CA183+CI183)=BZ183,BI183=0),BG183,0),0)</f>
        <v>0</v>
      </c>
      <c r="BR183" s="615">
        <f>IFERROR(IF(AND((CA183+CI183+CJ183)=BZ183,BI183=0,BQ183=0),BG183,0),0)</f>
        <v>0</v>
      </c>
      <c r="BS183" s="615">
        <f>IFERROR(IF(AND((CA183+CI183+CJ183+CK183)=BZ183,BI183=0,BQ183=0,BR183=0),BG183,0),0)</f>
        <v>0</v>
      </c>
      <c r="BT183" s="615">
        <f>IFERROR(IF(AND((CA183+CI183+CJ183+CK183+CL183)=BZ183,BI183=0,BQ183=0,BR183=0,BS183=0),BG183,0),0)</f>
        <v>0</v>
      </c>
      <c r="BU183" s="339"/>
      <c r="BV183" s="635">
        <f t="shared" si="787"/>
        <v>1</v>
      </c>
      <c r="BW183" s="635">
        <f t="shared" si="788"/>
        <v>0</v>
      </c>
      <c r="BX183" s="635">
        <f t="shared" si="789"/>
        <v>0</v>
      </c>
      <c r="BY183" s="341"/>
      <c r="BZ183" s="615">
        <f>COUNTIF('ST | Drawing List'!$H:$H,"ST-SS9-1")</f>
        <v>3</v>
      </c>
      <c r="CA183" s="616">
        <f>COUNTIFS('ST | Drawing List'!$H:$H,"ST-SS9-1",'ST | Drawing List'!$J:$J,1)</f>
        <v>3</v>
      </c>
      <c r="CB183" s="623">
        <f>COUNTIFS('ST | Drawing List'!$H:$H,"ST-SS9-1",'ST | Drawing List'!$L:$L,1)</f>
        <v>0</v>
      </c>
      <c r="CC183" s="616">
        <f>COUNTIFS('ST | Drawing List'!$H:$H,"ST-SS9-1",'ST | Drawing List'!M:M,1)</f>
        <v>0</v>
      </c>
      <c r="CD183" s="616">
        <f>COUNTIFS('ST | Drawing List'!$H:$H,"ST-SS9-1",'ST | Drawing List'!N:N,1)</f>
        <v>0</v>
      </c>
      <c r="CE183" s="616">
        <f>COUNTIFS('ST | Drawing List'!$H:$H,"ST-SS9-1",'ST | Drawing List'!O:O,1)</f>
        <v>0</v>
      </c>
      <c r="CF183" s="616">
        <f>COUNTIFS('ST | Drawing List'!$H:$H,"ST-SS9-1",'ST | Drawing List'!P:P,1)</f>
        <v>0</v>
      </c>
      <c r="CG183" s="532"/>
      <c r="CH183" s="623">
        <f>COUNTIFS('ST | Drawing List'!$H:$H,"ST-SS9-1",'ST | Drawing List'!$Q:$Q,1)</f>
        <v>0</v>
      </c>
      <c r="CI183" s="616">
        <f>COUNTIFS('ST | Drawing List'!$H:$H,"ST-SS9-1",'ST | Drawing List'!R:R,1)</f>
        <v>0</v>
      </c>
      <c r="CJ183" s="616">
        <f>COUNTIFS('ST | Drawing List'!$H:$H,"ST-SS9-1",'ST | Drawing List'!S:S,1)</f>
        <v>0</v>
      </c>
      <c r="CK183" s="616">
        <f>COUNTIFS('ST | Drawing List'!$H:$H,"ST-SS9-1",'ST | Drawing List'!T:T,1)</f>
        <v>0</v>
      </c>
      <c r="CL183" s="616">
        <f>COUNTIFS('ST | Drawing List'!$H:$H,"ST-SS9-1",'ST | Drawing List'!U:U,1)</f>
        <v>0</v>
      </c>
      <c r="CM183" s="343"/>
      <c r="CN183" s="343"/>
      <c r="CO183" s="525">
        <v>0</v>
      </c>
      <c r="CP183" s="343"/>
      <c r="CQ183" s="344"/>
      <c r="CR183" s="618">
        <f t="shared" si="733"/>
        <v>0</v>
      </c>
      <c r="CS183" s="339"/>
      <c r="CT183" s="339"/>
      <c r="CU183" s="339"/>
      <c r="CV183" s="339"/>
      <c r="CW183" s="339"/>
      <c r="CX183" s="339"/>
      <c r="CY183" s="339"/>
      <c r="CZ183" s="339"/>
      <c r="DA183" s="339"/>
      <c r="DB183" s="339"/>
      <c r="DC183" s="339"/>
      <c r="DD183" s="339"/>
      <c r="DE183" s="339"/>
      <c r="DF183" s="603"/>
      <c r="DG183" s="603"/>
      <c r="DH183" s="603"/>
      <c r="DI183" s="341"/>
      <c r="DJ183" s="359"/>
      <c r="DK183" s="328"/>
      <c r="DL183" s="328"/>
      <c r="DM183" s="339"/>
      <c r="DN183" s="339"/>
      <c r="DO183" s="339"/>
      <c r="DP183" s="339"/>
      <c r="DQ183" s="339"/>
      <c r="DR183" s="328"/>
      <c r="DS183" s="339"/>
      <c r="DT183" s="339"/>
      <c r="DU183" s="339"/>
      <c r="DV183" s="339"/>
      <c r="DW183" s="343"/>
      <c r="DX183" s="343"/>
      <c r="DY183" s="525">
        <v>0</v>
      </c>
      <c r="DZ183" s="343"/>
      <c r="EA183" s="344"/>
      <c r="EB183" s="618">
        <f t="shared" si="748"/>
        <v>0</v>
      </c>
      <c r="EC183" s="81"/>
      <c r="ED183" s="81"/>
      <c r="EE183" s="81"/>
      <c r="EF183" s="81"/>
      <c r="EG183" s="81"/>
      <c r="EH183" s="81"/>
      <c r="EI183" s="81"/>
      <c r="EJ183" s="81"/>
      <c r="EK183" s="81"/>
      <c r="EL183" s="81"/>
      <c r="EM183" s="81"/>
      <c r="EN183" s="81"/>
      <c r="EO183" s="81"/>
      <c r="EP183" s="103"/>
      <c r="EQ183" s="103"/>
      <c r="ER183" s="103"/>
      <c r="ES183" s="82"/>
      <c r="ET183" s="56"/>
      <c r="EU183" s="71"/>
      <c r="EV183" s="71"/>
      <c r="EW183" s="81"/>
      <c r="EX183" s="81"/>
      <c r="EY183" s="81"/>
      <c r="EZ183" s="81"/>
      <c r="FA183" s="81"/>
      <c r="FB183" s="71"/>
      <c r="FC183" s="81"/>
      <c r="FD183" s="81"/>
      <c r="FE183" s="81"/>
      <c r="FF183" s="81"/>
      <c r="FG183" s="48"/>
    </row>
    <row r="184" spans="1:163" ht="14.25" hidden="1" outlineLevel="3">
      <c r="A184" s="48"/>
      <c r="B184" s="87" t="s">
        <v>171</v>
      </c>
      <c r="C184" s="276">
        <v>2</v>
      </c>
      <c r="D184" s="272" t="s">
        <v>154</v>
      </c>
      <c r="E184" s="48"/>
      <c r="F184" s="619">
        <f t="shared" si="928"/>
        <v>5.3820765625000003E-2</v>
      </c>
      <c r="G184" s="619">
        <f t="shared" si="929"/>
        <v>5.3820765625000003E-2</v>
      </c>
      <c r="H184" s="615">
        <f t="shared" si="930"/>
        <v>0</v>
      </c>
      <c r="I184" s="615">
        <f t="shared" si="931"/>
        <v>0</v>
      </c>
      <c r="J184" s="615">
        <f t="shared" si="932"/>
        <v>0</v>
      </c>
      <c r="K184" s="615">
        <f t="shared" si="933"/>
        <v>0</v>
      </c>
      <c r="L184" s="615">
        <f t="shared" si="934"/>
        <v>0</v>
      </c>
      <c r="M184" s="620">
        <f t="shared" si="935"/>
        <v>0</v>
      </c>
      <c r="N184" s="287"/>
      <c r="O184" s="615">
        <f t="shared" si="936"/>
        <v>0</v>
      </c>
      <c r="P184" s="615">
        <f t="shared" si="937"/>
        <v>0</v>
      </c>
      <c r="Q184" s="615">
        <f t="shared" si="938"/>
        <v>0</v>
      </c>
      <c r="R184" s="615">
        <f t="shared" si="939"/>
        <v>0</v>
      </c>
      <c r="S184" s="615">
        <f t="shared" si="940"/>
        <v>0</v>
      </c>
      <c r="T184" s="48"/>
      <c r="U184" s="519">
        <v>0</v>
      </c>
      <c r="V184" s="131"/>
      <c r="W184" s="338"/>
      <c r="X184" s="619">
        <f t="shared" si="700"/>
        <v>0</v>
      </c>
      <c r="Y184" s="339"/>
      <c r="Z184" s="339"/>
      <c r="AA184" s="615">
        <f t="shared" si="778"/>
        <v>0</v>
      </c>
      <c r="AB184" s="615">
        <f t="shared" si="779"/>
        <v>0</v>
      </c>
      <c r="AC184" s="615">
        <f t="shared" si="780"/>
        <v>0</v>
      </c>
      <c r="AD184" s="620">
        <f t="shared" si="781"/>
        <v>0</v>
      </c>
      <c r="AE184" s="287"/>
      <c r="AF184" s="339"/>
      <c r="AG184" s="339"/>
      <c r="AH184" s="339"/>
      <c r="AI184" s="339"/>
      <c r="AJ184" s="339"/>
      <c r="AK184" s="339"/>
      <c r="AL184" s="603"/>
      <c r="AM184" s="603"/>
      <c r="AN184" s="603"/>
      <c r="AO184" s="341"/>
      <c r="AP184" s="359"/>
      <c r="AQ184" s="328"/>
      <c r="AR184" s="328"/>
      <c r="AS184" s="328"/>
      <c r="AT184" s="328"/>
      <c r="AU184" s="328"/>
      <c r="AV184" s="328"/>
      <c r="AW184" s="328"/>
      <c r="AX184" s="328"/>
      <c r="AY184" s="328"/>
      <c r="AZ184" s="328"/>
      <c r="BA184" s="328"/>
      <c r="BB184" s="328"/>
      <c r="BC184" s="328"/>
      <c r="BD184" s="328"/>
      <c r="BE184" s="525">
        <v>0.25</v>
      </c>
      <c r="BF184" s="343"/>
      <c r="BG184" s="616">
        <f>$BG$182/$BE$182*BE184</f>
        <v>5.3820765625000003E-2</v>
      </c>
      <c r="BH184" s="618">
        <f t="shared" si="717"/>
        <v>5.3820765625000003E-2</v>
      </c>
      <c r="BI184" s="615">
        <f>IFERROR(IF(BV184=100%,BG184,0),0)</f>
        <v>5.3820765625000003E-2</v>
      </c>
      <c r="BJ184" s="615">
        <f>IFERROR(IF(AND((BV184+BW184)=100%,BV184&lt;1),BG184,0),0)</f>
        <v>0</v>
      </c>
      <c r="BK184" s="615">
        <f t="shared" si="903"/>
        <v>0</v>
      </c>
      <c r="BL184" s="615">
        <f t="shared" si="904"/>
        <v>0</v>
      </c>
      <c r="BM184" s="615">
        <f t="shared" si="905"/>
        <v>0</v>
      </c>
      <c r="BN184" s="615">
        <f t="shared" si="906"/>
        <v>0</v>
      </c>
      <c r="BO184" s="339"/>
      <c r="BP184" s="615">
        <f>IFERROR(IF(AND((BV184+BX184)=100%,BV184&lt;1),BG184,0),0)</f>
        <v>0</v>
      </c>
      <c r="BQ184" s="615">
        <f>IFERROR(IF(AND((CA184+CI184)=BZ184,BI184=0),BG184,0),0)</f>
        <v>0</v>
      </c>
      <c r="BR184" s="615">
        <f>IFERROR(IF(AND((CA184+CI184+CJ184)=BZ184,BI184=0,BQ184=0),BG184,0),0)</f>
        <v>0</v>
      </c>
      <c r="BS184" s="615">
        <f>IFERROR(IF(AND((CA184+CI184+CJ184+CK184)=BZ184,BI184=0,BQ184=0,BR184=0),BG184,0),0)</f>
        <v>0</v>
      </c>
      <c r="BT184" s="615">
        <f>IFERROR(IF(AND((CA184+CI184+CJ184+CK184+CL184)=BZ184,BI184=0,BQ184=0,BR184=0,BS184=0),BG184,0),0)</f>
        <v>0</v>
      </c>
      <c r="BU184" s="339"/>
      <c r="BV184" s="635">
        <f t="shared" si="787"/>
        <v>1</v>
      </c>
      <c r="BW184" s="635">
        <f t="shared" si="788"/>
        <v>0</v>
      </c>
      <c r="BX184" s="635">
        <f t="shared" si="789"/>
        <v>0</v>
      </c>
      <c r="BY184" s="341"/>
      <c r="BZ184" s="615">
        <f>COUNTIF('ST | Drawing List'!$H:$H,"ST-SS9-2")</f>
        <v>3</v>
      </c>
      <c r="CA184" s="616">
        <f>COUNTIFS('ST | Drawing List'!$H:$H,"ST-SS9-2",'ST | Drawing List'!$J:$J,1)</f>
        <v>3</v>
      </c>
      <c r="CB184" s="623">
        <f>COUNTIFS('ST | Drawing List'!$H:$H,"ST-SS9-2",'ST | Drawing List'!$L:$L,1)</f>
        <v>0</v>
      </c>
      <c r="CC184" s="616">
        <f>COUNTIFS('ST | Drawing List'!$H:$H,"ST-SS9-2",'ST | Drawing List'!M:M,1)</f>
        <v>0</v>
      </c>
      <c r="CD184" s="616">
        <f>COUNTIFS('ST | Drawing List'!$H:$H,"ST-SS9-2",'ST | Drawing List'!N:N,1)</f>
        <v>0</v>
      </c>
      <c r="CE184" s="616">
        <f>COUNTIFS('ST | Drawing List'!$H:$H,"ST-SS9-2",'ST | Drawing List'!O:O,1)</f>
        <v>0</v>
      </c>
      <c r="CF184" s="616">
        <f>COUNTIFS('ST | Drawing List'!$H:$H,"ST-SS9-2",'ST | Drawing List'!P:P,1)</f>
        <v>0</v>
      </c>
      <c r="CG184" s="532"/>
      <c r="CH184" s="623">
        <f>COUNTIFS('ST | Drawing List'!$H:$H,"ST-SS9-2",'ST | Drawing List'!$Q:$Q,1)</f>
        <v>0</v>
      </c>
      <c r="CI184" s="616">
        <f>COUNTIFS('ST | Drawing List'!$H:$H,"ST-SS9-2",'ST | Drawing List'!R:R,1)</f>
        <v>0</v>
      </c>
      <c r="CJ184" s="616">
        <f>COUNTIFS('ST | Drawing List'!$H:$H,"ST-SS9-2",'ST | Drawing List'!S:S,1)</f>
        <v>0</v>
      </c>
      <c r="CK184" s="616">
        <f>COUNTIFS('ST | Drawing List'!$H:$H,"ST-SS9-2",'ST | Drawing List'!T:T,1)</f>
        <v>0</v>
      </c>
      <c r="CL184" s="616">
        <f>COUNTIFS('ST | Drawing List'!$H:$H,"ST-SS9-2",'ST | Drawing List'!U:U,1)</f>
        <v>0</v>
      </c>
      <c r="CM184" s="343"/>
      <c r="CN184" s="343"/>
      <c r="CO184" s="525">
        <v>0</v>
      </c>
      <c r="CP184" s="343"/>
      <c r="CQ184" s="344"/>
      <c r="CR184" s="618">
        <f t="shared" si="733"/>
        <v>0</v>
      </c>
      <c r="CS184" s="339"/>
      <c r="CT184" s="339"/>
      <c r="CU184" s="339"/>
      <c r="CV184" s="339"/>
      <c r="CW184" s="339"/>
      <c r="CX184" s="339"/>
      <c r="CY184" s="339"/>
      <c r="CZ184" s="339"/>
      <c r="DA184" s="339"/>
      <c r="DB184" s="339"/>
      <c r="DC184" s="339"/>
      <c r="DD184" s="339"/>
      <c r="DE184" s="339"/>
      <c r="DF184" s="603"/>
      <c r="DG184" s="603"/>
      <c r="DH184" s="603"/>
      <c r="DI184" s="341"/>
      <c r="DJ184" s="359"/>
      <c r="DK184" s="328"/>
      <c r="DL184" s="328"/>
      <c r="DM184" s="339"/>
      <c r="DN184" s="339"/>
      <c r="DO184" s="339"/>
      <c r="DP184" s="339"/>
      <c r="DQ184" s="339"/>
      <c r="DR184" s="328"/>
      <c r="DS184" s="339"/>
      <c r="DT184" s="339"/>
      <c r="DU184" s="339"/>
      <c r="DV184" s="339"/>
      <c r="DW184" s="343"/>
      <c r="DX184" s="343"/>
      <c r="DY184" s="525">
        <v>0</v>
      </c>
      <c r="DZ184" s="343"/>
      <c r="EA184" s="344"/>
      <c r="EB184" s="618">
        <f t="shared" si="748"/>
        <v>0</v>
      </c>
      <c r="EC184" s="81"/>
      <c r="ED184" s="81"/>
      <c r="EE184" s="81"/>
      <c r="EF184" s="81"/>
      <c r="EG184" s="81"/>
      <c r="EH184" s="81"/>
      <c r="EI184" s="81"/>
      <c r="EJ184" s="81"/>
      <c r="EK184" s="81"/>
      <c r="EL184" s="81"/>
      <c r="EM184" s="81"/>
      <c r="EN184" s="81"/>
      <c r="EO184" s="81"/>
      <c r="EP184" s="103"/>
      <c r="EQ184" s="103"/>
      <c r="ER184" s="103"/>
      <c r="ES184" s="82"/>
      <c r="ET184" s="56"/>
      <c r="EU184" s="71"/>
      <c r="EV184" s="71"/>
      <c r="EW184" s="81"/>
      <c r="EX184" s="81"/>
      <c r="EY184" s="81"/>
      <c r="EZ184" s="81"/>
      <c r="FA184" s="81"/>
      <c r="FB184" s="71"/>
      <c r="FC184" s="81"/>
      <c r="FD184" s="81"/>
      <c r="FE184" s="81"/>
      <c r="FF184" s="81"/>
      <c r="FG184" s="48"/>
    </row>
    <row r="185" spans="1:163" ht="14.25" hidden="1" outlineLevel="2">
      <c r="A185" s="48"/>
      <c r="B185" s="100"/>
      <c r="C185" s="279"/>
      <c r="D185" s="272"/>
      <c r="E185" s="48"/>
      <c r="F185" s="338"/>
      <c r="G185" s="619"/>
      <c r="H185" s="339"/>
      <c r="I185" s="339"/>
      <c r="J185" s="615"/>
      <c r="K185" s="615"/>
      <c r="L185" s="615"/>
      <c r="M185" s="620"/>
      <c r="N185" s="287"/>
      <c r="O185" s="339"/>
      <c r="P185" s="339"/>
      <c r="Q185" s="339"/>
      <c r="R185" s="339"/>
      <c r="S185" s="339"/>
      <c r="T185" s="48"/>
      <c r="U185" s="519"/>
      <c r="V185" s="131"/>
      <c r="W185" s="338"/>
      <c r="X185" s="619">
        <f t="shared" si="700"/>
        <v>0</v>
      </c>
      <c r="Y185" s="339"/>
      <c r="Z185" s="339"/>
      <c r="AA185" s="615">
        <f t="shared" si="778"/>
        <v>0</v>
      </c>
      <c r="AB185" s="615">
        <f t="shared" si="779"/>
        <v>0</v>
      </c>
      <c r="AC185" s="615">
        <f t="shared" si="780"/>
        <v>0</v>
      </c>
      <c r="AD185" s="620">
        <f t="shared" si="781"/>
        <v>0</v>
      </c>
      <c r="AE185" s="287"/>
      <c r="AF185" s="339"/>
      <c r="AG185" s="339"/>
      <c r="AH185" s="339"/>
      <c r="AI185" s="339"/>
      <c r="AJ185" s="339"/>
      <c r="AK185" s="339"/>
      <c r="AL185" s="603"/>
      <c r="AM185" s="603"/>
      <c r="AN185" s="603"/>
      <c r="AO185" s="341"/>
      <c r="AP185" s="359"/>
      <c r="AQ185" s="328"/>
      <c r="AR185" s="328"/>
      <c r="AS185" s="328"/>
      <c r="AT185" s="328"/>
      <c r="AU185" s="328"/>
      <c r="AV185" s="328"/>
      <c r="AW185" s="328"/>
      <c r="AX185" s="328"/>
      <c r="AY185" s="328"/>
      <c r="AZ185" s="328"/>
      <c r="BA185" s="328"/>
      <c r="BB185" s="328"/>
      <c r="BC185" s="328"/>
      <c r="BD185" s="328"/>
      <c r="BE185" s="525"/>
      <c r="BF185" s="343"/>
      <c r="BG185" s="344"/>
      <c r="BH185" s="618">
        <f t="shared" si="717"/>
        <v>0</v>
      </c>
      <c r="BI185" s="339"/>
      <c r="BJ185" s="339"/>
      <c r="BK185" s="615">
        <f t="shared" si="903"/>
        <v>0</v>
      </c>
      <c r="BL185" s="615">
        <f t="shared" si="904"/>
        <v>0</v>
      </c>
      <c r="BM185" s="615">
        <f t="shared" si="905"/>
        <v>0</v>
      </c>
      <c r="BN185" s="615">
        <f t="shared" si="906"/>
        <v>0</v>
      </c>
      <c r="BO185" s="339"/>
      <c r="BP185" s="615">
        <f>IFERROR(IF(AND((BV185+BX185)=100%,BV185&lt;1),BG185,0),0)</f>
        <v>0</v>
      </c>
      <c r="BQ185" s="339"/>
      <c r="BR185" s="339"/>
      <c r="BS185" s="339"/>
      <c r="BT185" s="339"/>
      <c r="BU185" s="339"/>
      <c r="BV185" s="635">
        <f t="shared" si="787"/>
        <v>0</v>
      </c>
      <c r="BW185" s="635">
        <f t="shared" si="788"/>
        <v>0</v>
      </c>
      <c r="BX185" s="635">
        <f t="shared" si="789"/>
        <v>0</v>
      </c>
      <c r="BY185" s="341"/>
      <c r="BZ185" s="540"/>
      <c r="CA185" s="532"/>
      <c r="CB185" s="539"/>
      <c r="CC185" s="536"/>
      <c r="CD185" s="536"/>
      <c r="CE185" s="536"/>
      <c r="CF185" s="536"/>
      <c r="CG185" s="536"/>
      <c r="CH185" s="539"/>
      <c r="CI185" s="536"/>
      <c r="CJ185" s="536"/>
      <c r="CK185" s="536"/>
      <c r="CL185" s="536"/>
      <c r="CM185" s="343"/>
      <c r="CN185" s="343"/>
      <c r="CO185" s="525"/>
      <c r="CP185" s="343"/>
      <c r="CQ185" s="344"/>
      <c r="CR185" s="618">
        <f t="shared" si="733"/>
        <v>0</v>
      </c>
      <c r="CS185" s="339"/>
      <c r="CT185" s="339"/>
      <c r="CU185" s="339"/>
      <c r="CV185" s="339"/>
      <c r="CW185" s="339"/>
      <c r="CX185" s="339"/>
      <c r="CY185" s="339"/>
      <c r="CZ185" s="339"/>
      <c r="DA185" s="339"/>
      <c r="DB185" s="339"/>
      <c r="DC185" s="339"/>
      <c r="DD185" s="339"/>
      <c r="DE185" s="339"/>
      <c r="DF185" s="603"/>
      <c r="DG185" s="603"/>
      <c r="DH185" s="603"/>
      <c r="DI185" s="341"/>
      <c r="DJ185" s="359"/>
      <c r="DK185" s="328"/>
      <c r="DL185" s="328"/>
      <c r="DM185" s="339"/>
      <c r="DN185" s="339"/>
      <c r="DO185" s="339"/>
      <c r="DP185" s="339"/>
      <c r="DQ185" s="339"/>
      <c r="DR185" s="328"/>
      <c r="DS185" s="339"/>
      <c r="DT185" s="339"/>
      <c r="DU185" s="339"/>
      <c r="DV185" s="339"/>
      <c r="DW185" s="343"/>
      <c r="DX185" s="343"/>
      <c r="DY185" s="525"/>
      <c r="DZ185" s="343"/>
      <c r="EA185" s="344"/>
      <c r="EB185" s="618">
        <f t="shared" si="748"/>
        <v>0</v>
      </c>
      <c r="EC185" s="81"/>
      <c r="ED185" s="81"/>
      <c r="EE185" s="81"/>
      <c r="EF185" s="81"/>
      <c r="EG185" s="81"/>
      <c r="EH185" s="81"/>
      <c r="EI185" s="81"/>
      <c r="EJ185" s="81"/>
      <c r="EK185" s="81"/>
      <c r="EL185" s="81"/>
      <c r="EM185" s="81"/>
      <c r="EN185" s="81"/>
      <c r="EO185" s="81"/>
      <c r="EP185" s="103"/>
      <c r="EQ185" s="103"/>
      <c r="ER185" s="103"/>
      <c r="ES185" s="82"/>
      <c r="ET185" s="56"/>
      <c r="EU185" s="71"/>
      <c r="EV185" s="71"/>
      <c r="EW185" s="81"/>
      <c r="EX185" s="81"/>
      <c r="EY185" s="81"/>
      <c r="EZ185" s="81"/>
      <c r="FA185" s="81"/>
      <c r="FB185" s="71"/>
      <c r="FC185" s="81"/>
      <c r="FD185" s="81"/>
      <c r="FE185" s="81"/>
      <c r="FF185" s="81"/>
      <c r="FG185" s="48"/>
    </row>
    <row r="186" spans="1:163" ht="14.25" hidden="1" outlineLevel="2">
      <c r="A186" s="48"/>
      <c r="B186" s="96">
        <v>2.1</v>
      </c>
      <c r="C186" s="278">
        <v>2.1</v>
      </c>
      <c r="D186" s="274" t="s">
        <v>172</v>
      </c>
      <c r="E186" s="48"/>
      <c r="F186" s="322"/>
      <c r="G186" s="630"/>
      <c r="H186" s="374"/>
      <c r="I186" s="374"/>
      <c r="J186" s="615"/>
      <c r="K186" s="615"/>
      <c r="L186" s="615"/>
      <c r="M186" s="620"/>
      <c r="N186" s="287"/>
      <c r="O186" s="374"/>
      <c r="P186" s="339"/>
      <c r="Q186" s="339"/>
      <c r="R186" s="339"/>
      <c r="S186" s="339"/>
      <c r="T186" s="48"/>
      <c r="U186" s="553">
        <v>0</v>
      </c>
      <c r="V186" s="371"/>
      <c r="W186" s="322">
        <v>0</v>
      </c>
      <c r="X186" s="630">
        <f t="shared" si="700"/>
        <v>0</v>
      </c>
      <c r="Y186" s="374"/>
      <c r="Z186" s="374"/>
      <c r="AA186" s="615">
        <f t="shared" si="778"/>
        <v>0</v>
      </c>
      <c r="AB186" s="615">
        <f t="shared" si="779"/>
        <v>0</v>
      </c>
      <c r="AC186" s="615">
        <f t="shared" si="780"/>
        <v>0</v>
      </c>
      <c r="AD186" s="620">
        <f t="shared" si="781"/>
        <v>0</v>
      </c>
      <c r="AE186" s="287"/>
      <c r="AF186" s="374"/>
      <c r="AG186" s="339"/>
      <c r="AH186" s="339"/>
      <c r="AI186" s="339"/>
      <c r="AJ186" s="339"/>
      <c r="AK186" s="339"/>
      <c r="AL186" s="603"/>
      <c r="AM186" s="603"/>
      <c r="AN186" s="603"/>
      <c r="AO186" s="345"/>
      <c r="AP186" s="359"/>
      <c r="AQ186" s="359"/>
      <c r="AR186" s="359"/>
      <c r="AS186" s="328"/>
      <c r="AT186" s="328"/>
      <c r="AU186" s="328"/>
      <c r="AV186" s="328"/>
      <c r="AW186" s="328"/>
      <c r="AX186" s="359"/>
      <c r="AY186" s="328"/>
      <c r="AZ186" s="328"/>
      <c r="BA186" s="328"/>
      <c r="BB186" s="328"/>
      <c r="BC186" s="359"/>
      <c r="BD186" s="359"/>
      <c r="BE186" s="606">
        <f>SUM(BE187:BE188)</f>
        <v>0.5</v>
      </c>
      <c r="BF186" s="371"/>
      <c r="BG186" s="607">
        <f>$BG$144*(95%/12)</f>
        <v>0.10764153125000001</v>
      </c>
      <c r="BH186" s="606">
        <f t="shared" si="717"/>
        <v>0.10764153125000001</v>
      </c>
      <c r="BI186" s="607">
        <f>SUM(BI187:BI188)</f>
        <v>0.10764153125000001</v>
      </c>
      <c r="BJ186" s="607">
        <f>SUM(BJ187:BJ188)</f>
        <v>0</v>
      </c>
      <c r="BK186" s="632">
        <f t="shared" si="903"/>
        <v>0</v>
      </c>
      <c r="BL186" s="615">
        <f t="shared" si="904"/>
        <v>0</v>
      </c>
      <c r="BM186" s="615">
        <f t="shared" si="905"/>
        <v>0</v>
      </c>
      <c r="BN186" s="615">
        <f t="shared" si="906"/>
        <v>0</v>
      </c>
      <c r="BO186" s="339"/>
      <c r="BP186" s="632">
        <f>SUM(BP187:BP188)</f>
        <v>0</v>
      </c>
      <c r="BQ186" s="632">
        <f t="shared" ref="BQ186" si="941">SUM(BQ187:BQ188)</f>
        <v>0</v>
      </c>
      <c r="BR186" s="632">
        <f t="shared" ref="BR186" si="942">SUM(BR187:BR188)</f>
        <v>0</v>
      </c>
      <c r="BS186" s="632">
        <f t="shared" ref="BS186" si="943">SUM(BS187:BS188)</f>
        <v>0</v>
      </c>
      <c r="BT186" s="632">
        <f t="shared" ref="BT186" si="944">SUM(BT187:BT188)</f>
        <v>0</v>
      </c>
      <c r="BU186" s="282"/>
      <c r="BV186" s="635">
        <f t="shared" si="787"/>
        <v>0</v>
      </c>
      <c r="BW186" s="635">
        <f t="shared" si="788"/>
        <v>0</v>
      </c>
      <c r="BX186" s="635">
        <f t="shared" si="789"/>
        <v>0</v>
      </c>
      <c r="BY186" s="345"/>
      <c r="BZ186" s="540"/>
      <c r="CA186" s="540"/>
      <c r="CB186" s="542"/>
      <c r="CC186" s="540"/>
      <c r="CD186" s="540"/>
      <c r="CE186" s="540"/>
      <c r="CF186" s="540"/>
      <c r="CG186" s="540"/>
      <c r="CH186" s="542"/>
      <c r="CI186" s="540"/>
      <c r="CJ186" s="540"/>
      <c r="CK186" s="540"/>
      <c r="CL186" s="540"/>
      <c r="CM186" s="371"/>
      <c r="CN186" s="371"/>
      <c r="CO186" s="553">
        <v>0</v>
      </c>
      <c r="CP186" s="371"/>
      <c r="CQ186" s="331"/>
      <c r="CR186" s="606">
        <f t="shared" si="733"/>
        <v>0</v>
      </c>
      <c r="CS186" s="374"/>
      <c r="CT186" s="374"/>
      <c r="CU186" s="374"/>
      <c r="CV186" s="374"/>
      <c r="CW186" s="374"/>
      <c r="CX186" s="374"/>
      <c r="CY186" s="374"/>
      <c r="CZ186" s="374"/>
      <c r="DA186" s="374"/>
      <c r="DB186" s="374"/>
      <c r="DC186" s="374"/>
      <c r="DD186" s="374"/>
      <c r="DE186" s="374"/>
      <c r="DF186" s="603"/>
      <c r="DG186" s="603"/>
      <c r="DH186" s="603"/>
      <c r="DI186" s="345"/>
      <c r="DJ186" s="359"/>
      <c r="DK186" s="359"/>
      <c r="DL186" s="359"/>
      <c r="DM186" s="374"/>
      <c r="DN186" s="374"/>
      <c r="DO186" s="374"/>
      <c r="DP186" s="374"/>
      <c r="DQ186" s="374"/>
      <c r="DR186" s="359"/>
      <c r="DS186" s="374"/>
      <c r="DT186" s="374"/>
      <c r="DU186" s="374"/>
      <c r="DV186" s="374"/>
      <c r="DW186" s="371"/>
      <c r="DX186" s="371"/>
      <c r="DY186" s="553">
        <v>0</v>
      </c>
      <c r="DZ186" s="371"/>
      <c r="EA186" s="331"/>
      <c r="EB186" s="606">
        <f t="shared" si="748"/>
        <v>0</v>
      </c>
      <c r="EC186" s="88"/>
      <c r="ED186" s="88"/>
      <c r="EE186" s="88"/>
      <c r="EF186" s="88"/>
      <c r="EG186" s="88"/>
      <c r="EH186" s="88"/>
      <c r="EI186" s="88"/>
      <c r="EJ186" s="88"/>
      <c r="EK186" s="88"/>
      <c r="EL186" s="88"/>
      <c r="EM186" s="88"/>
      <c r="EN186" s="88"/>
      <c r="EO186" s="88"/>
      <c r="EP186" s="103"/>
      <c r="EQ186" s="103"/>
      <c r="ER186" s="103"/>
      <c r="ES186" s="55"/>
      <c r="ET186" s="56"/>
      <c r="EU186" s="56"/>
      <c r="EV186" s="56"/>
      <c r="EW186" s="88"/>
      <c r="EX186" s="88"/>
      <c r="EY186" s="88"/>
      <c r="EZ186" s="88"/>
      <c r="FA186" s="88"/>
      <c r="FB186" s="56"/>
      <c r="FC186" s="88"/>
      <c r="FD186" s="88"/>
      <c r="FE186" s="88"/>
      <c r="FF186" s="88"/>
      <c r="FG186" s="48"/>
    </row>
    <row r="187" spans="1:163" ht="14.25" hidden="1" outlineLevel="3">
      <c r="A187" s="48"/>
      <c r="B187" s="87" t="s">
        <v>158</v>
      </c>
      <c r="C187" s="276">
        <v>1</v>
      </c>
      <c r="D187" s="272" t="s">
        <v>152</v>
      </c>
      <c r="E187" s="48"/>
      <c r="F187" s="619">
        <f t="shared" ref="F187:F188" si="945">W187+BG187+CQ187+EA187</f>
        <v>5.3820765625000003E-2</v>
      </c>
      <c r="G187" s="619">
        <f t="shared" ref="G187:G188" si="946">X187+BH187+CR187+EB187</f>
        <v>5.3820765625000003E-2</v>
      </c>
      <c r="H187" s="615">
        <f t="shared" ref="H187:H188" si="947">F187-G187</f>
        <v>0</v>
      </c>
      <c r="I187" s="615">
        <f t="shared" ref="I187:I188" si="948">Z187+BJ187+CT187+ED187</f>
        <v>0</v>
      </c>
      <c r="J187" s="615">
        <f t="shared" ref="J187:J188" si="949">AA187+BK187+CU187+EE187</f>
        <v>0</v>
      </c>
      <c r="K187" s="615">
        <f t="shared" ref="K187:K188" si="950">AB187+BL187+CV187+EF187</f>
        <v>0</v>
      </c>
      <c r="L187" s="615">
        <f t="shared" ref="L187:L188" si="951">AC187+BM187+CW187+EG187</f>
        <v>0</v>
      </c>
      <c r="M187" s="620">
        <f t="shared" ref="M187:M188" si="952">AD187+BN187+CX187+EH187</f>
        <v>0</v>
      </c>
      <c r="N187" s="287"/>
      <c r="O187" s="615">
        <f t="shared" ref="O187:O188" si="953">AF187+BP187+CZ187+EJ187</f>
        <v>0</v>
      </c>
      <c r="P187" s="615">
        <f t="shared" ref="P187:P188" si="954">AG187+BQ187+DA187+EK187</f>
        <v>0</v>
      </c>
      <c r="Q187" s="615">
        <f t="shared" ref="Q187:Q188" si="955">AH187+BR187+DB187+EL187</f>
        <v>0</v>
      </c>
      <c r="R187" s="615">
        <f t="shared" ref="R187:R188" si="956">AI187+BS187+DC187+EM187</f>
        <v>0</v>
      </c>
      <c r="S187" s="615">
        <f t="shared" ref="S187:S188" si="957">AJ187+BT187+DD187+EN187</f>
        <v>0</v>
      </c>
      <c r="T187" s="48"/>
      <c r="U187" s="519">
        <v>0</v>
      </c>
      <c r="V187" s="131"/>
      <c r="W187" s="322"/>
      <c r="X187" s="630">
        <f t="shared" si="700"/>
        <v>0</v>
      </c>
      <c r="Y187" s="283"/>
      <c r="Z187" s="283"/>
      <c r="AA187" s="615">
        <f t="shared" si="778"/>
        <v>0</v>
      </c>
      <c r="AB187" s="615">
        <f t="shared" si="779"/>
        <v>0</v>
      </c>
      <c r="AC187" s="615">
        <f t="shared" si="780"/>
        <v>0</v>
      </c>
      <c r="AD187" s="620">
        <f t="shared" si="781"/>
        <v>0</v>
      </c>
      <c r="AE187" s="287"/>
      <c r="AF187" s="283"/>
      <c r="AG187" s="339"/>
      <c r="AH187" s="339"/>
      <c r="AI187" s="339"/>
      <c r="AJ187" s="339"/>
      <c r="AK187" s="339"/>
      <c r="AL187" s="603"/>
      <c r="AM187" s="603"/>
      <c r="AN187" s="603"/>
      <c r="AO187" s="347"/>
      <c r="AP187" s="359"/>
      <c r="AQ187" s="359"/>
      <c r="AR187" s="359"/>
      <c r="AS187" s="328"/>
      <c r="AT187" s="328"/>
      <c r="AU187" s="328"/>
      <c r="AV187" s="328"/>
      <c r="AW187" s="328"/>
      <c r="AX187" s="359"/>
      <c r="AY187" s="328"/>
      <c r="AZ187" s="328"/>
      <c r="BA187" s="328"/>
      <c r="BB187" s="328"/>
      <c r="BC187" s="359"/>
      <c r="BD187" s="359"/>
      <c r="BE187" s="525">
        <v>0.25</v>
      </c>
      <c r="BF187" s="343"/>
      <c r="BG187" s="616">
        <f>$BG$186/$BE$186*BE187</f>
        <v>5.3820765625000003E-2</v>
      </c>
      <c r="BH187" s="606">
        <f t="shared" si="717"/>
        <v>5.3820765625000003E-2</v>
      </c>
      <c r="BI187" s="615">
        <f>IFERROR(IF(BV187=100%,BG187,0),0)</f>
        <v>5.3820765625000003E-2</v>
      </c>
      <c r="BJ187" s="615">
        <f>IFERROR(IF(AND((BV187+BW187)=100%,BV187&lt;1),BG187,0),0)</f>
        <v>0</v>
      </c>
      <c r="BK187" s="615">
        <f t="shared" si="903"/>
        <v>0</v>
      </c>
      <c r="BL187" s="615">
        <f t="shared" si="904"/>
        <v>0</v>
      </c>
      <c r="BM187" s="615">
        <f t="shared" si="905"/>
        <v>0</v>
      </c>
      <c r="BN187" s="615">
        <f t="shared" si="906"/>
        <v>0</v>
      </c>
      <c r="BO187" s="339"/>
      <c r="BP187" s="615">
        <f>IFERROR(IF(AND((BV187+BX187)=100%,BV187&lt;1),BG187,0),0)</f>
        <v>0</v>
      </c>
      <c r="BQ187" s="615">
        <f>IFERROR(IF(AND((CA187+CI187)=BZ187,BI187=0),BG187,0),0)</f>
        <v>0</v>
      </c>
      <c r="BR187" s="615">
        <f>IFERROR(IF(AND((CA187+CI187+CJ187)=BZ187,BI187=0,BQ187=0),BG187,0),0)</f>
        <v>0</v>
      </c>
      <c r="BS187" s="615">
        <f>IFERROR(IF(AND((CA187+CI187+CJ187+CK187)=BZ187,BI187=0,BQ187=0,BR187=0),BG187,0),0)</f>
        <v>0</v>
      </c>
      <c r="BT187" s="615">
        <f>IFERROR(IF(AND((CA187+CI187+CJ187+CK187+CL187)=BZ187,BI187=0,BQ187=0,BR187=0,BS187=0),BG187,0),0)</f>
        <v>0</v>
      </c>
      <c r="BU187" s="339"/>
      <c r="BV187" s="635">
        <f t="shared" si="787"/>
        <v>1</v>
      </c>
      <c r="BW187" s="635">
        <f t="shared" si="788"/>
        <v>0</v>
      </c>
      <c r="BX187" s="635">
        <f t="shared" si="789"/>
        <v>0</v>
      </c>
      <c r="BY187" s="347"/>
      <c r="BZ187" s="615">
        <f>COUNTIF('ST | Drawing List'!$H:$H,"ST-S10-1")</f>
        <v>3</v>
      </c>
      <c r="CA187" s="616">
        <f>COUNTIFS('ST | Drawing List'!$H:$H,"ST-S10-1",'ST | Drawing List'!$J:$J,1)</f>
        <v>3</v>
      </c>
      <c r="CB187" s="623">
        <f>COUNTIFS('ST | Drawing List'!$H:$H,"ST-S10-1",'ST | Drawing List'!$L:$L,1)</f>
        <v>0</v>
      </c>
      <c r="CC187" s="616">
        <f>COUNTIFS('ST | Drawing List'!$H:$H,"ST-S10-1",'ST | Drawing List'!M:M,1)</f>
        <v>0</v>
      </c>
      <c r="CD187" s="616">
        <f>COUNTIFS('ST | Drawing List'!$H:$H,"ST-S10-1",'ST | Drawing List'!N:N,1)</f>
        <v>0</v>
      </c>
      <c r="CE187" s="616">
        <f>COUNTIFS('ST | Drawing List'!$H:$H,"ST-S10-1",'ST | Drawing List'!O:O,1)</f>
        <v>0</v>
      </c>
      <c r="CF187" s="616">
        <f>COUNTIFS('ST | Drawing List'!$H:$H,"ST-S10-1",'ST | Drawing List'!P:P,1)</f>
        <v>0</v>
      </c>
      <c r="CG187" s="532"/>
      <c r="CH187" s="623">
        <f>COUNTIFS('ST | Drawing List'!$H:$H,"ST-S10-1",'ST | Drawing List'!$Q:$Q,1)</f>
        <v>0</v>
      </c>
      <c r="CI187" s="616">
        <f>COUNTIFS('ST | Drawing List'!$H:$H,"ST-S10-1",'ST | Drawing List'!R:R,1)</f>
        <v>0</v>
      </c>
      <c r="CJ187" s="616">
        <f>COUNTIFS('ST | Drawing List'!$H:$H,"ST-S10-1",'ST | Drawing List'!S:S,1)</f>
        <v>0</v>
      </c>
      <c r="CK187" s="616">
        <f>COUNTIFS('ST | Drawing List'!$H:$H,"ST-S10-1",'ST | Drawing List'!T:T,1)</f>
        <v>0</v>
      </c>
      <c r="CL187" s="616">
        <f>COUNTIFS('ST | Drawing List'!$H:$H,"ST-S10-1",'ST | Drawing List'!U:U,1)</f>
        <v>0</v>
      </c>
      <c r="CM187" s="343"/>
      <c r="CN187" s="343"/>
      <c r="CO187" s="525">
        <v>0</v>
      </c>
      <c r="CP187" s="343"/>
      <c r="CQ187" s="331"/>
      <c r="CR187" s="606">
        <f t="shared" si="733"/>
        <v>0</v>
      </c>
      <c r="CS187" s="283"/>
      <c r="CT187" s="283"/>
      <c r="CU187" s="283"/>
      <c r="CV187" s="283"/>
      <c r="CW187" s="283"/>
      <c r="CX187" s="283"/>
      <c r="CY187" s="283"/>
      <c r="CZ187" s="283"/>
      <c r="DA187" s="283"/>
      <c r="DB187" s="283"/>
      <c r="DC187" s="283"/>
      <c r="DD187" s="283"/>
      <c r="DE187" s="283"/>
      <c r="DF187" s="603"/>
      <c r="DG187" s="603"/>
      <c r="DH187" s="603"/>
      <c r="DI187" s="347"/>
      <c r="DJ187" s="359"/>
      <c r="DK187" s="359"/>
      <c r="DL187" s="359"/>
      <c r="DM187" s="283"/>
      <c r="DN187" s="283"/>
      <c r="DO187" s="283"/>
      <c r="DP187" s="283"/>
      <c r="DQ187" s="283"/>
      <c r="DR187" s="359"/>
      <c r="DS187" s="283"/>
      <c r="DT187" s="283"/>
      <c r="DU187" s="283"/>
      <c r="DV187" s="283"/>
      <c r="DW187" s="343"/>
      <c r="DX187" s="343"/>
      <c r="DY187" s="525">
        <v>0</v>
      </c>
      <c r="DZ187" s="343"/>
      <c r="EA187" s="331"/>
      <c r="EB187" s="606">
        <f t="shared" si="748"/>
        <v>0</v>
      </c>
      <c r="EC187" s="70"/>
      <c r="ED187" s="70"/>
      <c r="EE187" s="70"/>
      <c r="EF187" s="70"/>
      <c r="EG187" s="70"/>
      <c r="EH187" s="70"/>
      <c r="EI187" s="70"/>
      <c r="EJ187" s="70"/>
      <c r="EK187" s="70"/>
      <c r="EL187" s="70"/>
      <c r="EM187" s="70"/>
      <c r="EN187" s="70"/>
      <c r="EO187" s="70"/>
      <c r="EP187" s="103"/>
      <c r="EQ187" s="103"/>
      <c r="ER187" s="103"/>
      <c r="ES187" s="83"/>
      <c r="ET187" s="56"/>
      <c r="EU187" s="56"/>
      <c r="EV187" s="56"/>
      <c r="EW187" s="70"/>
      <c r="EX187" s="70"/>
      <c r="EY187" s="70"/>
      <c r="EZ187" s="70"/>
      <c r="FA187" s="70"/>
      <c r="FB187" s="56"/>
      <c r="FC187" s="70"/>
      <c r="FD187" s="70"/>
      <c r="FE187" s="70"/>
      <c r="FF187" s="70"/>
      <c r="FG187" s="48"/>
    </row>
    <row r="188" spans="1:163" ht="14.25" hidden="1" outlineLevel="3">
      <c r="A188" s="48"/>
      <c r="B188" s="87" t="s">
        <v>159</v>
      </c>
      <c r="C188" s="276">
        <v>2</v>
      </c>
      <c r="D188" s="272" t="s">
        <v>154</v>
      </c>
      <c r="E188" s="48"/>
      <c r="F188" s="619">
        <f t="shared" si="945"/>
        <v>5.3820765625000003E-2</v>
      </c>
      <c r="G188" s="619">
        <f t="shared" si="946"/>
        <v>5.3820765625000003E-2</v>
      </c>
      <c r="H188" s="615">
        <f t="shared" si="947"/>
        <v>0</v>
      </c>
      <c r="I188" s="615">
        <f t="shared" si="948"/>
        <v>0</v>
      </c>
      <c r="J188" s="615">
        <f t="shared" si="949"/>
        <v>0</v>
      </c>
      <c r="K188" s="615">
        <f t="shared" si="950"/>
        <v>0</v>
      </c>
      <c r="L188" s="615">
        <f t="shared" si="951"/>
        <v>0</v>
      </c>
      <c r="M188" s="620">
        <f t="shared" si="952"/>
        <v>0</v>
      </c>
      <c r="N188" s="287"/>
      <c r="O188" s="615">
        <f t="shared" si="953"/>
        <v>0</v>
      </c>
      <c r="P188" s="615">
        <f t="shared" si="954"/>
        <v>0</v>
      </c>
      <c r="Q188" s="615">
        <f t="shared" si="955"/>
        <v>0</v>
      </c>
      <c r="R188" s="615">
        <f t="shared" si="956"/>
        <v>0</v>
      </c>
      <c r="S188" s="615">
        <f t="shared" si="957"/>
        <v>0</v>
      </c>
      <c r="T188" s="48"/>
      <c r="U188" s="519">
        <v>0</v>
      </c>
      <c r="V188" s="131"/>
      <c r="W188" s="338"/>
      <c r="X188" s="619">
        <f t="shared" si="700"/>
        <v>0</v>
      </c>
      <c r="Y188" s="339"/>
      <c r="Z188" s="339"/>
      <c r="AA188" s="615">
        <f t="shared" si="778"/>
        <v>0</v>
      </c>
      <c r="AB188" s="615">
        <f t="shared" si="779"/>
        <v>0</v>
      </c>
      <c r="AC188" s="615">
        <f t="shared" si="780"/>
        <v>0</v>
      </c>
      <c r="AD188" s="620">
        <f t="shared" si="781"/>
        <v>0</v>
      </c>
      <c r="AE188" s="287"/>
      <c r="AF188" s="339"/>
      <c r="AG188" s="339"/>
      <c r="AH188" s="339"/>
      <c r="AI188" s="339"/>
      <c r="AJ188" s="339"/>
      <c r="AK188" s="339"/>
      <c r="AL188" s="603"/>
      <c r="AM188" s="603"/>
      <c r="AN188" s="603"/>
      <c r="AO188" s="341"/>
      <c r="AP188" s="359"/>
      <c r="AQ188" s="359"/>
      <c r="AR188" s="359"/>
      <c r="AS188" s="328"/>
      <c r="AT188" s="328"/>
      <c r="AU188" s="328"/>
      <c r="AV188" s="328"/>
      <c r="AW188" s="328"/>
      <c r="AX188" s="359"/>
      <c r="AY188" s="328"/>
      <c r="AZ188" s="328"/>
      <c r="BA188" s="328"/>
      <c r="BB188" s="328"/>
      <c r="BC188" s="359"/>
      <c r="BD188" s="359"/>
      <c r="BE188" s="525">
        <v>0.25</v>
      </c>
      <c r="BF188" s="343"/>
      <c r="BG188" s="616">
        <f>$BG$186/$BE$186*BE188</f>
        <v>5.3820765625000003E-2</v>
      </c>
      <c r="BH188" s="618">
        <f t="shared" si="717"/>
        <v>5.3820765625000003E-2</v>
      </c>
      <c r="BI188" s="615">
        <f>IFERROR(IF(BV188=100%,BG188,0),0)</f>
        <v>5.3820765625000003E-2</v>
      </c>
      <c r="BJ188" s="615">
        <f>IFERROR(IF(AND((BV188+BW188)=100%,BV188&lt;1),BG188,0),0)</f>
        <v>0</v>
      </c>
      <c r="BK188" s="615">
        <f t="shared" si="903"/>
        <v>0</v>
      </c>
      <c r="BL188" s="615">
        <f t="shared" si="904"/>
        <v>0</v>
      </c>
      <c r="BM188" s="615">
        <f t="shared" si="905"/>
        <v>0</v>
      </c>
      <c r="BN188" s="615">
        <f t="shared" si="906"/>
        <v>0</v>
      </c>
      <c r="BO188" s="339"/>
      <c r="BP188" s="615">
        <f>IFERROR(IF(AND((BV188+BX188)=100%,BV188&lt;1),BG188,0),0)</f>
        <v>0</v>
      </c>
      <c r="BQ188" s="615">
        <f>IFERROR(IF(AND((CA188+CI188)=BZ188,BI188=0),BG188,0),0)</f>
        <v>0</v>
      </c>
      <c r="BR188" s="615">
        <f>IFERROR(IF(AND((CA188+CI188+CJ188)=BZ188,BI188=0,BQ188=0),BG188,0),0)</f>
        <v>0</v>
      </c>
      <c r="BS188" s="615">
        <f>IFERROR(IF(AND((CA188+CI188+CJ188+CK188)=BZ188,BI188=0,BQ188=0,BR188=0),BG188,0),0)</f>
        <v>0</v>
      </c>
      <c r="BT188" s="615">
        <f>IFERROR(IF(AND((CA188+CI188+CJ188+CK188+CL188)=BZ188,BI188=0,BQ188=0,BR188=0,BS188=0),BG188,0),0)</f>
        <v>0</v>
      </c>
      <c r="BU188" s="339"/>
      <c r="BV188" s="635">
        <f t="shared" si="787"/>
        <v>1</v>
      </c>
      <c r="BW188" s="635">
        <f t="shared" si="788"/>
        <v>0</v>
      </c>
      <c r="BX188" s="635">
        <f t="shared" si="789"/>
        <v>0</v>
      </c>
      <c r="BY188" s="341"/>
      <c r="BZ188" s="615">
        <f>COUNTIF('ST | Drawing List'!$H:$H,"ST-S10-2")</f>
        <v>3</v>
      </c>
      <c r="CA188" s="616">
        <f>COUNTIFS('ST | Drawing List'!$H:$H,"ST-S10-2",'ST | Drawing List'!$J:$J,1)</f>
        <v>3</v>
      </c>
      <c r="CB188" s="623">
        <f>COUNTIFS('ST | Drawing List'!$H:$H,"ST-S10-2",'ST | Drawing List'!$L:$L,1)</f>
        <v>0</v>
      </c>
      <c r="CC188" s="616">
        <f>COUNTIFS('ST | Drawing List'!$H:$H,"ST-S10-2",'ST | Drawing List'!M:M,1)</f>
        <v>0</v>
      </c>
      <c r="CD188" s="616">
        <f>COUNTIFS('ST | Drawing List'!$H:$H,"ST-S10-2",'ST | Drawing List'!N:N,1)</f>
        <v>0</v>
      </c>
      <c r="CE188" s="616">
        <f>COUNTIFS('ST | Drawing List'!$H:$H,"ST-S10-2",'ST | Drawing List'!O:O,1)</f>
        <v>0</v>
      </c>
      <c r="CF188" s="616">
        <f>COUNTIFS('ST | Drawing List'!$H:$H,"ST-S10-2",'ST | Drawing List'!P:P,1)</f>
        <v>0</v>
      </c>
      <c r="CG188" s="532"/>
      <c r="CH188" s="623">
        <f>COUNTIFS('ST | Drawing List'!$H:$H,"ST-S10-2",'ST | Drawing List'!$Q:$Q,1)</f>
        <v>0</v>
      </c>
      <c r="CI188" s="616">
        <f>COUNTIFS('ST | Drawing List'!$H:$H,"ST-S10-2",'ST | Drawing List'!R:R,1)</f>
        <v>0</v>
      </c>
      <c r="CJ188" s="616">
        <f>COUNTIFS('ST | Drawing List'!$H:$H,"ST-S10-2",'ST | Drawing List'!S:S,1)</f>
        <v>0</v>
      </c>
      <c r="CK188" s="616">
        <f>COUNTIFS('ST | Drawing List'!$H:$H,"ST-S10-2",'ST | Drawing List'!T:T,1)</f>
        <v>0</v>
      </c>
      <c r="CL188" s="616">
        <f>COUNTIFS('ST | Drawing List'!$H:$H,"ST-S10-2",'ST | Drawing List'!U:U,1)</f>
        <v>0</v>
      </c>
      <c r="CM188" s="343"/>
      <c r="CN188" s="343"/>
      <c r="CO188" s="525">
        <v>0</v>
      </c>
      <c r="CP188" s="343"/>
      <c r="CQ188" s="344"/>
      <c r="CR188" s="618">
        <f t="shared" si="733"/>
        <v>0</v>
      </c>
      <c r="CS188" s="339"/>
      <c r="CT188" s="339"/>
      <c r="CU188" s="339"/>
      <c r="CV188" s="339"/>
      <c r="CW188" s="339"/>
      <c r="CX188" s="339"/>
      <c r="CY188" s="339"/>
      <c r="CZ188" s="339"/>
      <c r="DA188" s="339"/>
      <c r="DB188" s="339"/>
      <c r="DC188" s="339"/>
      <c r="DD188" s="339"/>
      <c r="DE188" s="339"/>
      <c r="DF188" s="603"/>
      <c r="DG188" s="603"/>
      <c r="DH188" s="603"/>
      <c r="DI188" s="341"/>
      <c r="DJ188" s="359"/>
      <c r="DK188" s="359"/>
      <c r="DL188" s="359"/>
      <c r="DM188" s="339"/>
      <c r="DN188" s="339"/>
      <c r="DO188" s="339"/>
      <c r="DP188" s="339"/>
      <c r="DQ188" s="339"/>
      <c r="DR188" s="359"/>
      <c r="DS188" s="339"/>
      <c r="DT188" s="339"/>
      <c r="DU188" s="339"/>
      <c r="DV188" s="339"/>
      <c r="DW188" s="343"/>
      <c r="DX188" s="343"/>
      <c r="DY188" s="525">
        <v>0</v>
      </c>
      <c r="DZ188" s="343"/>
      <c r="EA188" s="344"/>
      <c r="EB188" s="618">
        <f t="shared" si="748"/>
        <v>0</v>
      </c>
      <c r="EC188" s="81"/>
      <c r="ED188" s="81"/>
      <c r="EE188" s="81"/>
      <c r="EF188" s="81"/>
      <c r="EG188" s="81"/>
      <c r="EH188" s="81"/>
      <c r="EI188" s="81"/>
      <c r="EJ188" s="81"/>
      <c r="EK188" s="81"/>
      <c r="EL188" s="81"/>
      <c r="EM188" s="81"/>
      <c r="EN188" s="81"/>
      <c r="EO188" s="81"/>
      <c r="EP188" s="103"/>
      <c r="EQ188" s="103"/>
      <c r="ER188" s="103"/>
      <c r="ES188" s="82"/>
      <c r="ET188" s="56"/>
      <c r="EU188" s="56"/>
      <c r="EV188" s="56"/>
      <c r="EW188" s="81"/>
      <c r="EX188" s="81"/>
      <c r="EY188" s="81"/>
      <c r="EZ188" s="81"/>
      <c r="FA188" s="81"/>
      <c r="FB188" s="56"/>
      <c r="FC188" s="81"/>
      <c r="FD188" s="81"/>
      <c r="FE188" s="81"/>
      <c r="FF188" s="81"/>
      <c r="FG188" s="48"/>
    </row>
    <row r="189" spans="1:163" ht="14.25" hidden="1" outlineLevel="2">
      <c r="A189" s="48"/>
      <c r="B189" s="100"/>
      <c r="C189" s="279"/>
      <c r="D189" s="272"/>
      <c r="E189" s="48"/>
      <c r="F189" s="338"/>
      <c r="G189" s="619"/>
      <c r="H189" s="339"/>
      <c r="I189" s="339"/>
      <c r="J189" s="615"/>
      <c r="K189" s="615"/>
      <c r="L189" s="615"/>
      <c r="M189" s="620"/>
      <c r="N189" s="287"/>
      <c r="O189" s="339"/>
      <c r="P189" s="339"/>
      <c r="Q189" s="339"/>
      <c r="R189" s="339"/>
      <c r="S189" s="339"/>
      <c r="T189" s="48"/>
      <c r="U189" s="519"/>
      <c r="V189" s="131"/>
      <c r="W189" s="338"/>
      <c r="X189" s="619">
        <f t="shared" si="700"/>
        <v>0</v>
      </c>
      <c r="Y189" s="339"/>
      <c r="Z189" s="339"/>
      <c r="AA189" s="615">
        <f t="shared" ref="AA189:AA192" si="958">IFERROR(IF(AND((AQ189+AS189)=AP189,Y189=0),W189,0),0)</f>
        <v>0</v>
      </c>
      <c r="AB189" s="615">
        <f t="shared" ref="AB189:AB192" si="959">IFERROR(IF(AND((AQ189+AS189+AT189)=AP189,Y189=0,AA189=0),W189,0),0)</f>
        <v>0</v>
      </c>
      <c r="AC189" s="615">
        <f t="shared" ref="AC189:AC192" si="960">IFERROR(IF(AND((AQ189+AS189+AT189+AU189)=AP189,Y189=0,AA189=0,AB189=0),W189,0),0)</f>
        <v>0</v>
      </c>
      <c r="AD189" s="620">
        <f t="shared" ref="AD189:AD192" si="961">IFERROR(IF(AND((AQ189+AS189+AT189+AU189+AV189)=AP189,Y189=0,AA189=0,AB189=0,AC189=0),W189,0),0)</f>
        <v>0</v>
      </c>
      <c r="AE189" s="287"/>
      <c r="AF189" s="339"/>
      <c r="AG189" s="339"/>
      <c r="AH189" s="339"/>
      <c r="AI189" s="339"/>
      <c r="AJ189" s="339"/>
      <c r="AK189" s="339"/>
      <c r="AL189" s="603"/>
      <c r="AM189" s="603"/>
      <c r="AN189" s="603"/>
      <c r="AO189" s="341"/>
      <c r="AP189" s="359"/>
      <c r="AQ189" s="328"/>
      <c r="AR189" s="328"/>
      <c r="AS189" s="328"/>
      <c r="AT189" s="328"/>
      <c r="AU189" s="328"/>
      <c r="AV189" s="328"/>
      <c r="AW189" s="328"/>
      <c r="AX189" s="328"/>
      <c r="AY189" s="328"/>
      <c r="AZ189" s="328"/>
      <c r="BA189" s="328"/>
      <c r="BB189" s="328"/>
      <c r="BC189" s="328"/>
      <c r="BD189" s="328"/>
      <c r="BE189" s="525"/>
      <c r="BF189" s="343"/>
      <c r="BG189" s="344"/>
      <c r="BH189" s="618">
        <f t="shared" si="717"/>
        <v>0</v>
      </c>
      <c r="BI189" s="339"/>
      <c r="BJ189" s="339"/>
      <c r="BK189" s="615">
        <f t="shared" si="903"/>
        <v>0</v>
      </c>
      <c r="BL189" s="615">
        <f t="shared" si="904"/>
        <v>0</v>
      </c>
      <c r="BM189" s="615">
        <f t="shared" si="905"/>
        <v>0</v>
      </c>
      <c r="BN189" s="615">
        <f t="shared" si="906"/>
        <v>0</v>
      </c>
      <c r="BO189" s="339"/>
      <c r="BP189" s="615">
        <f>IFERROR(IF(AND((BV189+BX189)=100%,BV189&lt;1),BG189,0),0)</f>
        <v>0</v>
      </c>
      <c r="BQ189" s="339"/>
      <c r="BR189" s="339"/>
      <c r="BS189" s="339"/>
      <c r="BT189" s="339"/>
      <c r="BU189" s="339"/>
      <c r="BV189" s="635">
        <f t="shared" ref="BV189:BV192" si="962">IFERROR(CA189/BZ189,0)</f>
        <v>0</v>
      </c>
      <c r="BW189" s="635">
        <f t="shared" ref="BW189:BW192" si="963">IFERROR(CB189/BZ189,0)</f>
        <v>0</v>
      </c>
      <c r="BX189" s="635">
        <f t="shared" ref="BX189:BX192" si="964">IFERROR(CH189/BZ189,0)</f>
        <v>0</v>
      </c>
      <c r="BY189" s="341"/>
      <c r="BZ189" s="540"/>
      <c r="CA189" s="532"/>
      <c r="CB189" s="539"/>
      <c r="CC189" s="536"/>
      <c r="CD189" s="536"/>
      <c r="CE189" s="536"/>
      <c r="CF189" s="536"/>
      <c r="CG189" s="536"/>
      <c r="CH189" s="539"/>
      <c r="CI189" s="536"/>
      <c r="CJ189" s="536"/>
      <c r="CK189" s="536"/>
      <c r="CL189" s="536"/>
      <c r="CM189" s="343"/>
      <c r="CN189" s="343"/>
      <c r="CO189" s="525"/>
      <c r="CP189" s="343"/>
      <c r="CQ189" s="344"/>
      <c r="CR189" s="618">
        <f t="shared" si="733"/>
        <v>0</v>
      </c>
      <c r="CS189" s="339"/>
      <c r="CT189" s="339"/>
      <c r="CU189" s="339"/>
      <c r="CV189" s="339"/>
      <c r="CW189" s="339"/>
      <c r="CX189" s="339"/>
      <c r="CY189" s="339"/>
      <c r="CZ189" s="339"/>
      <c r="DA189" s="339"/>
      <c r="DB189" s="339"/>
      <c r="DC189" s="339"/>
      <c r="DD189" s="339"/>
      <c r="DE189" s="339"/>
      <c r="DF189" s="603"/>
      <c r="DG189" s="603"/>
      <c r="DH189" s="603"/>
      <c r="DI189" s="341"/>
      <c r="DJ189" s="359"/>
      <c r="DK189" s="328"/>
      <c r="DL189" s="328"/>
      <c r="DM189" s="339"/>
      <c r="DN189" s="339"/>
      <c r="DO189" s="339"/>
      <c r="DP189" s="339"/>
      <c r="DQ189" s="339"/>
      <c r="DR189" s="328"/>
      <c r="DS189" s="339"/>
      <c r="DT189" s="339"/>
      <c r="DU189" s="339"/>
      <c r="DV189" s="339"/>
      <c r="DW189" s="343"/>
      <c r="DX189" s="343"/>
      <c r="DY189" s="525"/>
      <c r="DZ189" s="343"/>
      <c r="EA189" s="344"/>
      <c r="EB189" s="618">
        <f t="shared" si="748"/>
        <v>0</v>
      </c>
      <c r="EC189" s="81"/>
      <c r="ED189" s="81"/>
      <c r="EE189" s="81"/>
      <c r="EF189" s="81"/>
      <c r="EG189" s="81"/>
      <c r="EH189" s="81"/>
      <c r="EI189" s="81"/>
      <c r="EJ189" s="81"/>
      <c r="EK189" s="81"/>
      <c r="EL189" s="81"/>
      <c r="EM189" s="81"/>
      <c r="EN189" s="81"/>
      <c r="EO189" s="81"/>
      <c r="EP189" s="103"/>
      <c r="EQ189" s="103"/>
      <c r="ER189" s="103"/>
      <c r="ES189" s="82"/>
      <c r="ET189" s="56"/>
      <c r="EU189" s="71"/>
      <c r="EV189" s="71"/>
      <c r="EW189" s="81"/>
      <c r="EX189" s="81"/>
      <c r="EY189" s="81"/>
      <c r="EZ189" s="81"/>
      <c r="FA189" s="81"/>
      <c r="FB189" s="71"/>
      <c r="FC189" s="81"/>
      <c r="FD189" s="81"/>
      <c r="FE189" s="81"/>
      <c r="FF189" s="81"/>
      <c r="FG189" s="48"/>
    </row>
    <row r="190" spans="1:163" ht="14.25" hidden="1" outlineLevel="2">
      <c r="A190" s="48"/>
      <c r="B190" s="96">
        <v>2.1</v>
      </c>
      <c r="C190" s="278">
        <v>2.11</v>
      </c>
      <c r="D190" s="274" t="s">
        <v>173</v>
      </c>
      <c r="E190" s="48"/>
      <c r="F190" s="322"/>
      <c r="G190" s="630"/>
      <c r="H190" s="374"/>
      <c r="I190" s="374"/>
      <c r="J190" s="615"/>
      <c r="K190" s="615"/>
      <c r="L190" s="615"/>
      <c r="M190" s="620"/>
      <c r="N190" s="287"/>
      <c r="O190" s="374"/>
      <c r="P190" s="339"/>
      <c r="Q190" s="339"/>
      <c r="R190" s="339"/>
      <c r="S190" s="339"/>
      <c r="T190" s="48"/>
      <c r="U190" s="553">
        <v>0</v>
      </c>
      <c r="V190" s="371"/>
      <c r="W190" s="322">
        <v>0</v>
      </c>
      <c r="X190" s="630">
        <f t="shared" si="700"/>
        <v>0</v>
      </c>
      <c r="Y190" s="374"/>
      <c r="Z190" s="374"/>
      <c r="AA190" s="615">
        <f t="shared" si="958"/>
        <v>0</v>
      </c>
      <c r="AB190" s="615">
        <f t="shared" si="959"/>
        <v>0</v>
      </c>
      <c r="AC190" s="615">
        <f t="shared" si="960"/>
        <v>0</v>
      </c>
      <c r="AD190" s="620">
        <f t="shared" si="961"/>
        <v>0</v>
      </c>
      <c r="AE190" s="287"/>
      <c r="AF190" s="374"/>
      <c r="AG190" s="339"/>
      <c r="AH190" s="339"/>
      <c r="AI190" s="339"/>
      <c r="AJ190" s="339"/>
      <c r="AK190" s="339"/>
      <c r="AL190" s="603"/>
      <c r="AM190" s="603"/>
      <c r="AN190" s="603"/>
      <c r="AO190" s="345"/>
      <c r="AP190" s="359"/>
      <c r="AQ190" s="359"/>
      <c r="AR190" s="359"/>
      <c r="AS190" s="328"/>
      <c r="AT190" s="328"/>
      <c r="AU190" s="328"/>
      <c r="AV190" s="328"/>
      <c r="AW190" s="328"/>
      <c r="AX190" s="359"/>
      <c r="AY190" s="328"/>
      <c r="AZ190" s="328"/>
      <c r="BA190" s="328"/>
      <c r="BB190" s="328"/>
      <c r="BC190" s="359"/>
      <c r="BD190" s="359"/>
      <c r="BE190" s="606">
        <f>SUM(BE191:BE192)</f>
        <v>0.5</v>
      </c>
      <c r="BF190" s="371"/>
      <c r="BG190" s="607">
        <f>$BG$144*(95%/12)</f>
        <v>0.10764153125000001</v>
      </c>
      <c r="BH190" s="606">
        <f t="shared" si="717"/>
        <v>0.10764153125000001</v>
      </c>
      <c r="BI190" s="607">
        <f>SUM(BI191:BI192)</f>
        <v>0.10764153125000001</v>
      </c>
      <c r="BJ190" s="607">
        <f>SUM(BJ191:BJ192)</f>
        <v>0</v>
      </c>
      <c r="BK190" s="632">
        <f t="shared" si="903"/>
        <v>0</v>
      </c>
      <c r="BL190" s="615">
        <f t="shared" si="904"/>
        <v>0</v>
      </c>
      <c r="BM190" s="615">
        <f t="shared" si="905"/>
        <v>0</v>
      </c>
      <c r="BN190" s="615">
        <f t="shared" si="906"/>
        <v>0</v>
      </c>
      <c r="BO190" s="339"/>
      <c r="BP190" s="632">
        <f>SUM(BP191:BP192)</f>
        <v>0</v>
      </c>
      <c r="BQ190" s="632">
        <f t="shared" ref="BQ190:BT190" si="965">SUM(BQ191:BQ192)</f>
        <v>0</v>
      </c>
      <c r="BR190" s="632">
        <f t="shared" si="965"/>
        <v>0</v>
      </c>
      <c r="BS190" s="632">
        <f t="shared" si="965"/>
        <v>0</v>
      </c>
      <c r="BT190" s="632">
        <f t="shared" si="965"/>
        <v>0</v>
      </c>
      <c r="BU190" s="282"/>
      <c r="BV190" s="635">
        <f t="shared" si="962"/>
        <v>0</v>
      </c>
      <c r="BW190" s="635">
        <f t="shared" si="963"/>
        <v>0</v>
      </c>
      <c r="BX190" s="635">
        <f t="shared" si="964"/>
        <v>0</v>
      </c>
      <c r="BY190" s="345"/>
      <c r="BZ190" s="540"/>
      <c r="CA190" s="540"/>
      <c r="CB190" s="542"/>
      <c r="CC190" s="540"/>
      <c r="CD190" s="540"/>
      <c r="CE190" s="540"/>
      <c r="CF190" s="540"/>
      <c r="CG190" s="540"/>
      <c r="CH190" s="542"/>
      <c r="CI190" s="540"/>
      <c r="CJ190" s="540"/>
      <c r="CK190" s="540"/>
      <c r="CL190" s="540"/>
      <c r="CM190" s="371"/>
      <c r="CN190" s="371"/>
      <c r="CO190" s="553">
        <v>0</v>
      </c>
      <c r="CP190" s="371"/>
      <c r="CQ190" s="331"/>
      <c r="CR190" s="606">
        <f t="shared" si="733"/>
        <v>0</v>
      </c>
      <c r="CS190" s="374"/>
      <c r="CT190" s="374"/>
      <c r="CU190" s="374"/>
      <c r="CV190" s="374"/>
      <c r="CW190" s="374"/>
      <c r="CX190" s="374"/>
      <c r="CY190" s="374"/>
      <c r="CZ190" s="374"/>
      <c r="DA190" s="374"/>
      <c r="DB190" s="374"/>
      <c r="DC190" s="374"/>
      <c r="DD190" s="374"/>
      <c r="DE190" s="374"/>
      <c r="DF190" s="603"/>
      <c r="DG190" s="603"/>
      <c r="DH190" s="603"/>
      <c r="DI190" s="345"/>
      <c r="DJ190" s="359"/>
      <c r="DK190" s="359"/>
      <c r="DL190" s="359"/>
      <c r="DM190" s="374"/>
      <c r="DN190" s="374"/>
      <c r="DO190" s="374"/>
      <c r="DP190" s="374"/>
      <c r="DQ190" s="374"/>
      <c r="DR190" s="359"/>
      <c r="DS190" s="374"/>
      <c r="DT190" s="374"/>
      <c r="DU190" s="374"/>
      <c r="DV190" s="374"/>
      <c r="DW190" s="371"/>
      <c r="DX190" s="371"/>
      <c r="DY190" s="553">
        <v>0</v>
      </c>
      <c r="DZ190" s="371"/>
      <c r="EA190" s="331"/>
      <c r="EB190" s="606">
        <f t="shared" si="748"/>
        <v>0</v>
      </c>
      <c r="EC190" s="88"/>
      <c r="ED190" s="88"/>
      <c r="EE190" s="88"/>
      <c r="EF190" s="88"/>
      <c r="EG190" s="88"/>
      <c r="EH190" s="88"/>
      <c r="EI190" s="88"/>
      <c r="EJ190" s="88"/>
      <c r="EK190" s="88"/>
      <c r="EL190" s="88"/>
      <c r="EM190" s="88"/>
      <c r="EN190" s="88"/>
      <c r="EO190" s="88"/>
      <c r="EP190" s="103"/>
      <c r="EQ190" s="103"/>
      <c r="ER190" s="103"/>
      <c r="ES190" s="55"/>
      <c r="ET190" s="56"/>
      <c r="EU190" s="56"/>
      <c r="EV190" s="56"/>
      <c r="EW190" s="88"/>
      <c r="EX190" s="88"/>
      <c r="EY190" s="88"/>
      <c r="EZ190" s="88"/>
      <c r="FA190" s="88"/>
      <c r="FB190" s="56"/>
      <c r="FC190" s="88"/>
      <c r="FD190" s="88"/>
      <c r="FE190" s="88"/>
      <c r="FF190" s="88"/>
      <c r="FG190" s="48"/>
    </row>
    <row r="191" spans="1:163" ht="14.25" hidden="1" outlineLevel="3">
      <c r="A191" s="48"/>
      <c r="B191" s="87" t="s">
        <v>158</v>
      </c>
      <c r="C191" s="276">
        <v>1</v>
      </c>
      <c r="D191" s="272" t="s">
        <v>152</v>
      </c>
      <c r="E191" s="48"/>
      <c r="F191" s="619">
        <f t="shared" ref="F191:F192" si="966">W191+BG191+CQ191+EA191</f>
        <v>5.3820765625000003E-2</v>
      </c>
      <c r="G191" s="619">
        <f t="shared" ref="G191:G192" si="967">X191+BH191+CR191+EB191</f>
        <v>5.3820765625000003E-2</v>
      </c>
      <c r="H191" s="615">
        <f t="shared" ref="H191:H192" si="968">F191-G191</f>
        <v>0</v>
      </c>
      <c r="I191" s="615">
        <f t="shared" ref="I191:I192" si="969">Z191+BJ191+CT191+ED191</f>
        <v>0</v>
      </c>
      <c r="J191" s="615">
        <f t="shared" ref="J191:J192" si="970">AA191+BK191+CU191+EE191</f>
        <v>0</v>
      </c>
      <c r="K191" s="615">
        <f t="shared" ref="K191:K192" si="971">AB191+BL191+CV191+EF191</f>
        <v>0</v>
      </c>
      <c r="L191" s="615">
        <f t="shared" ref="L191:L192" si="972">AC191+BM191+CW191+EG191</f>
        <v>0</v>
      </c>
      <c r="M191" s="620">
        <f t="shared" ref="M191:M192" si="973">AD191+BN191+CX191+EH191</f>
        <v>0</v>
      </c>
      <c r="N191" s="287"/>
      <c r="O191" s="615">
        <f t="shared" ref="O191:O192" si="974">AF191+BP191+CZ191+EJ191</f>
        <v>0</v>
      </c>
      <c r="P191" s="615">
        <f t="shared" ref="P191:P192" si="975">AG191+BQ191+DA191+EK191</f>
        <v>0</v>
      </c>
      <c r="Q191" s="615">
        <f t="shared" ref="Q191:Q192" si="976">AH191+BR191+DB191+EL191</f>
        <v>0</v>
      </c>
      <c r="R191" s="615">
        <f t="shared" ref="R191:R192" si="977">AI191+BS191+DC191+EM191</f>
        <v>0</v>
      </c>
      <c r="S191" s="615">
        <f t="shared" ref="S191:S192" si="978">AJ191+BT191+DD191+EN191</f>
        <v>0</v>
      </c>
      <c r="T191" s="48"/>
      <c r="U191" s="519">
        <v>0</v>
      </c>
      <c r="V191" s="131"/>
      <c r="W191" s="322"/>
      <c r="X191" s="630">
        <f t="shared" si="700"/>
        <v>0</v>
      </c>
      <c r="Y191" s="283"/>
      <c r="Z191" s="283"/>
      <c r="AA191" s="615">
        <f t="shared" si="958"/>
        <v>0</v>
      </c>
      <c r="AB191" s="615">
        <f t="shared" si="959"/>
        <v>0</v>
      </c>
      <c r="AC191" s="615">
        <f t="shared" si="960"/>
        <v>0</v>
      </c>
      <c r="AD191" s="620">
        <f t="shared" si="961"/>
        <v>0</v>
      </c>
      <c r="AE191" s="287"/>
      <c r="AF191" s="283"/>
      <c r="AG191" s="339"/>
      <c r="AH191" s="339"/>
      <c r="AI191" s="339"/>
      <c r="AJ191" s="339"/>
      <c r="AK191" s="339"/>
      <c r="AL191" s="603"/>
      <c r="AM191" s="603"/>
      <c r="AN191" s="603"/>
      <c r="AO191" s="347"/>
      <c r="AP191" s="359"/>
      <c r="AQ191" s="359"/>
      <c r="AR191" s="359"/>
      <c r="AS191" s="328"/>
      <c r="AT191" s="328"/>
      <c r="AU191" s="328"/>
      <c r="AV191" s="328"/>
      <c r="AW191" s="328"/>
      <c r="AX191" s="359"/>
      <c r="AY191" s="328"/>
      <c r="AZ191" s="328"/>
      <c r="BA191" s="328"/>
      <c r="BB191" s="328"/>
      <c r="BC191" s="359"/>
      <c r="BD191" s="359"/>
      <c r="BE191" s="525">
        <v>0.25</v>
      </c>
      <c r="BF191" s="343"/>
      <c r="BG191" s="616">
        <f>$BG$190/$BE$190*BE191</f>
        <v>5.3820765625000003E-2</v>
      </c>
      <c r="BH191" s="606">
        <f t="shared" si="717"/>
        <v>5.3820765625000003E-2</v>
      </c>
      <c r="BI191" s="615">
        <f>IFERROR(IF(BV191=100%,BG191,0),0)</f>
        <v>5.3820765625000003E-2</v>
      </c>
      <c r="BJ191" s="615">
        <f>IFERROR(IF(AND((BV191+BW191)=100%,BV191&lt;1),BG191,0),0)</f>
        <v>0</v>
      </c>
      <c r="BK191" s="615">
        <f t="shared" si="903"/>
        <v>0</v>
      </c>
      <c r="BL191" s="615">
        <f t="shared" si="904"/>
        <v>0</v>
      </c>
      <c r="BM191" s="615">
        <f t="shared" si="905"/>
        <v>0</v>
      </c>
      <c r="BN191" s="615">
        <f t="shared" si="906"/>
        <v>0</v>
      </c>
      <c r="BO191" s="339"/>
      <c r="BP191" s="615">
        <f>IFERROR(IF(AND((BV191+BX191)=100%,BV191&lt;1),BG191,0),0)</f>
        <v>0</v>
      </c>
      <c r="BQ191" s="615">
        <f>IFERROR(IF(AND((CA191+CI191)=BZ191,BI191=0),BG191,0),0)</f>
        <v>0</v>
      </c>
      <c r="BR191" s="615">
        <f>IFERROR(IF(AND((CA191+CI191+CJ191)=BZ191,BI191=0,BQ191=0),BG191,0),0)</f>
        <v>0</v>
      </c>
      <c r="BS191" s="615">
        <f>IFERROR(IF(AND((CA191+CI191+CJ191+CK191)=BZ191,BI191=0,BQ191=0,BR191=0),BG191,0),0)</f>
        <v>0</v>
      </c>
      <c r="BT191" s="615">
        <f>IFERROR(IF(AND((CA191+CI191+CJ191+CK191+CL191)=BZ191,BI191=0,BQ191=0,BR191=0,BS191=0),BG191,0),0)</f>
        <v>0</v>
      </c>
      <c r="BU191" s="339"/>
      <c r="BV191" s="635">
        <f t="shared" si="962"/>
        <v>1</v>
      </c>
      <c r="BW191" s="635">
        <f t="shared" si="963"/>
        <v>0</v>
      </c>
      <c r="BX191" s="635">
        <f t="shared" si="964"/>
        <v>0</v>
      </c>
      <c r="BY191" s="347"/>
      <c r="BZ191" s="615">
        <f>COUNTIF('ST | Drawing List'!$H:$H,"ST-S11-1")</f>
        <v>3</v>
      </c>
      <c r="CA191" s="616">
        <f>COUNTIFS('ST | Drawing List'!$H:$H,"ST-S11-1",'ST | Drawing List'!$J:$J,1)</f>
        <v>3</v>
      </c>
      <c r="CB191" s="623">
        <f>COUNTIFS('ST | Drawing List'!$H:$H,"ST-S11-1",'ST | Drawing List'!$L:$L,1)</f>
        <v>0</v>
      </c>
      <c r="CC191" s="616">
        <f>COUNTIFS('ST | Drawing List'!$H:$H,"ST-S11-1",'ST | Drawing List'!M:M,1)</f>
        <v>0</v>
      </c>
      <c r="CD191" s="616">
        <f>COUNTIFS('ST | Drawing List'!$H:$H,"ST-S11-1",'ST | Drawing List'!N:N,1)</f>
        <v>0</v>
      </c>
      <c r="CE191" s="616">
        <f>COUNTIFS('ST | Drawing List'!$H:$H,"ST-S11-1",'ST | Drawing List'!O:O,1)</f>
        <v>0</v>
      </c>
      <c r="CF191" s="616">
        <f>COUNTIFS('ST | Drawing List'!$H:$H,"ST-S11-1",'ST | Drawing List'!P:P,1)</f>
        <v>0</v>
      </c>
      <c r="CG191" s="532"/>
      <c r="CH191" s="623">
        <f>COUNTIFS('ST | Drawing List'!$H:$H,"ST-S11-1",'ST | Drawing List'!$Q:$Q,1)</f>
        <v>0</v>
      </c>
      <c r="CI191" s="616">
        <f>COUNTIFS('ST | Drawing List'!$H:$H,"ST-S11-1",'ST | Drawing List'!R:R,1)</f>
        <v>0</v>
      </c>
      <c r="CJ191" s="616">
        <f>COUNTIFS('ST | Drawing List'!$H:$H,"ST-S11-1",'ST | Drawing List'!S:S,1)</f>
        <v>0</v>
      </c>
      <c r="CK191" s="616">
        <f>COUNTIFS('ST | Drawing List'!$H:$H,"ST-S11-1",'ST | Drawing List'!T:T,1)</f>
        <v>0</v>
      </c>
      <c r="CL191" s="616">
        <f>COUNTIFS('ST | Drawing List'!$H:$H,"ST-S11-1",'ST | Drawing List'!U:U,1)</f>
        <v>0</v>
      </c>
      <c r="CM191" s="343"/>
      <c r="CN191" s="343"/>
      <c r="CO191" s="525">
        <v>0</v>
      </c>
      <c r="CP191" s="343"/>
      <c r="CQ191" s="331"/>
      <c r="CR191" s="606">
        <f t="shared" si="733"/>
        <v>0</v>
      </c>
      <c r="CS191" s="283"/>
      <c r="CT191" s="283"/>
      <c r="CU191" s="283"/>
      <c r="CV191" s="283"/>
      <c r="CW191" s="283"/>
      <c r="CX191" s="283"/>
      <c r="CY191" s="283"/>
      <c r="CZ191" s="283"/>
      <c r="DA191" s="283"/>
      <c r="DB191" s="283"/>
      <c r="DC191" s="283"/>
      <c r="DD191" s="283"/>
      <c r="DE191" s="283"/>
      <c r="DF191" s="603"/>
      <c r="DG191" s="603"/>
      <c r="DH191" s="603"/>
      <c r="DI191" s="347"/>
      <c r="DJ191" s="359"/>
      <c r="DK191" s="359"/>
      <c r="DL191" s="359"/>
      <c r="DM191" s="283"/>
      <c r="DN191" s="283"/>
      <c r="DO191" s="283"/>
      <c r="DP191" s="283"/>
      <c r="DQ191" s="283"/>
      <c r="DR191" s="359"/>
      <c r="DS191" s="283"/>
      <c r="DT191" s="283"/>
      <c r="DU191" s="283"/>
      <c r="DV191" s="283"/>
      <c r="DW191" s="343"/>
      <c r="DX191" s="343"/>
      <c r="DY191" s="525">
        <v>0</v>
      </c>
      <c r="DZ191" s="343"/>
      <c r="EA191" s="331"/>
      <c r="EB191" s="606">
        <f t="shared" si="748"/>
        <v>0</v>
      </c>
      <c r="EC191" s="70"/>
      <c r="ED191" s="70"/>
      <c r="EE191" s="70"/>
      <c r="EF191" s="70"/>
      <c r="EG191" s="70"/>
      <c r="EH191" s="70"/>
      <c r="EI191" s="70"/>
      <c r="EJ191" s="70"/>
      <c r="EK191" s="70"/>
      <c r="EL191" s="70"/>
      <c r="EM191" s="70"/>
      <c r="EN191" s="70"/>
      <c r="EO191" s="70"/>
      <c r="EP191" s="103"/>
      <c r="EQ191" s="103"/>
      <c r="ER191" s="103"/>
      <c r="ES191" s="83"/>
      <c r="ET191" s="56"/>
      <c r="EU191" s="56"/>
      <c r="EV191" s="56"/>
      <c r="EW191" s="70"/>
      <c r="EX191" s="70"/>
      <c r="EY191" s="70"/>
      <c r="EZ191" s="70"/>
      <c r="FA191" s="70"/>
      <c r="FB191" s="56"/>
      <c r="FC191" s="70"/>
      <c r="FD191" s="70"/>
      <c r="FE191" s="70"/>
      <c r="FF191" s="70"/>
      <c r="FG191" s="48"/>
    </row>
    <row r="192" spans="1:163" ht="14.25" hidden="1" outlineLevel="3">
      <c r="A192" s="48"/>
      <c r="B192" s="87" t="s">
        <v>159</v>
      </c>
      <c r="C192" s="276">
        <v>2</v>
      </c>
      <c r="D192" s="272" t="s">
        <v>154</v>
      </c>
      <c r="E192" s="48"/>
      <c r="F192" s="619">
        <f t="shared" si="966"/>
        <v>5.3820765625000003E-2</v>
      </c>
      <c r="G192" s="619">
        <f t="shared" si="967"/>
        <v>5.3820765625000003E-2</v>
      </c>
      <c r="H192" s="615">
        <f t="shared" si="968"/>
        <v>0</v>
      </c>
      <c r="I192" s="615">
        <f t="shared" si="969"/>
        <v>0</v>
      </c>
      <c r="J192" s="615">
        <f t="shared" si="970"/>
        <v>0</v>
      </c>
      <c r="K192" s="615">
        <f t="shared" si="971"/>
        <v>0</v>
      </c>
      <c r="L192" s="615">
        <f t="shared" si="972"/>
        <v>0</v>
      </c>
      <c r="M192" s="620">
        <f t="shared" si="973"/>
        <v>0</v>
      </c>
      <c r="N192" s="287"/>
      <c r="O192" s="615">
        <f t="shared" si="974"/>
        <v>0</v>
      </c>
      <c r="P192" s="615">
        <f t="shared" si="975"/>
        <v>0</v>
      </c>
      <c r="Q192" s="615">
        <f t="shared" si="976"/>
        <v>0</v>
      </c>
      <c r="R192" s="615">
        <f t="shared" si="977"/>
        <v>0</v>
      </c>
      <c r="S192" s="615">
        <f t="shared" si="978"/>
        <v>0</v>
      </c>
      <c r="T192" s="48"/>
      <c r="U192" s="519">
        <v>0</v>
      </c>
      <c r="V192" s="131"/>
      <c r="W192" s="338"/>
      <c r="X192" s="619">
        <f t="shared" si="700"/>
        <v>0</v>
      </c>
      <c r="Y192" s="339"/>
      <c r="Z192" s="339"/>
      <c r="AA192" s="615">
        <f t="shared" si="958"/>
        <v>0</v>
      </c>
      <c r="AB192" s="615">
        <f t="shared" si="959"/>
        <v>0</v>
      </c>
      <c r="AC192" s="615">
        <f t="shared" si="960"/>
        <v>0</v>
      </c>
      <c r="AD192" s="620">
        <f t="shared" si="961"/>
        <v>0</v>
      </c>
      <c r="AE192" s="287"/>
      <c r="AF192" s="339"/>
      <c r="AG192" s="339"/>
      <c r="AH192" s="339"/>
      <c r="AI192" s="339"/>
      <c r="AJ192" s="339"/>
      <c r="AK192" s="339"/>
      <c r="AL192" s="603"/>
      <c r="AM192" s="603"/>
      <c r="AN192" s="603"/>
      <c r="AO192" s="341"/>
      <c r="AP192" s="359"/>
      <c r="AQ192" s="359"/>
      <c r="AR192" s="359"/>
      <c r="AS192" s="328"/>
      <c r="AT192" s="328"/>
      <c r="AU192" s="328"/>
      <c r="AV192" s="328"/>
      <c r="AW192" s="328"/>
      <c r="AX192" s="359"/>
      <c r="AY192" s="328"/>
      <c r="AZ192" s="328"/>
      <c r="BA192" s="328"/>
      <c r="BB192" s="328"/>
      <c r="BC192" s="359"/>
      <c r="BD192" s="359"/>
      <c r="BE192" s="525">
        <v>0.25</v>
      </c>
      <c r="BF192" s="343"/>
      <c r="BG192" s="616">
        <f>$BG$190/$BE$190*BE192</f>
        <v>5.3820765625000003E-2</v>
      </c>
      <c r="BH192" s="618">
        <f t="shared" si="717"/>
        <v>5.3820765625000003E-2</v>
      </c>
      <c r="BI192" s="615">
        <f>IFERROR(IF(BV192=100%,BG192,0),0)</f>
        <v>5.3820765625000003E-2</v>
      </c>
      <c r="BJ192" s="615">
        <f>IFERROR(IF(AND((BV192+BW192)=100%,BV192&lt;1),BG192,0),0)</f>
        <v>0</v>
      </c>
      <c r="BK192" s="615">
        <f t="shared" si="903"/>
        <v>0</v>
      </c>
      <c r="BL192" s="615">
        <f t="shared" si="904"/>
        <v>0</v>
      </c>
      <c r="BM192" s="615">
        <f t="shared" si="905"/>
        <v>0</v>
      </c>
      <c r="BN192" s="615">
        <f t="shared" si="906"/>
        <v>0</v>
      </c>
      <c r="BO192" s="339"/>
      <c r="BP192" s="615">
        <f>IFERROR(IF(AND((BV192+BX192)=100%,BV192&lt;1),BG192,0),0)</f>
        <v>0</v>
      </c>
      <c r="BQ192" s="615">
        <f>IFERROR(IF(AND((CA192+CI192)=BZ192,BI192=0),BG192,0),0)</f>
        <v>0</v>
      </c>
      <c r="BR192" s="615">
        <f>IFERROR(IF(AND((CA192+CI192+CJ192)=BZ192,BI192=0,BQ192=0),BG192,0),0)</f>
        <v>0</v>
      </c>
      <c r="BS192" s="615">
        <f>IFERROR(IF(AND((CA192+CI192+CJ192+CK192)=BZ192,BI192=0,BQ192=0,BR192=0),BG192,0),0)</f>
        <v>0</v>
      </c>
      <c r="BT192" s="615">
        <f>IFERROR(IF(AND((CA192+CI192+CJ192+CK192+CL192)=BZ192,BI192=0,BQ192=0,BR192=0,BS192=0),BG192,0),0)</f>
        <v>0</v>
      </c>
      <c r="BU192" s="339"/>
      <c r="BV192" s="635">
        <f t="shared" si="962"/>
        <v>1</v>
      </c>
      <c r="BW192" s="635">
        <f t="shared" si="963"/>
        <v>0</v>
      </c>
      <c r="BX192" s="635">
        <f t="shared" si="964"/>
        <v>0</v>
      </c>
      <c r="BY192" s="341"/>
      <c r="BZ192" s="615">
        <f>COUNTIF('ST | Drawing List'!$H:$H,"ST-S11-2")</f>
        <v>3</v>
      </c>
      <c r="CA192" s="616">
        <f>COUNTIFS('ST | Drawing List'!$H:$H,"ST-S11-2",'ST | Drawing List'!$J:$J,1)</f>
        <v>3</v>
      </c>
      <c r="CB192" s="623">
        <f>COUNTIFS('ST | Drawing List'!$H:$H,"ST-S11-2",'ST | Drawing List'!$L:$L,1)</f>
        <v>0</v>
      </c>
      <c r="CC192" s="616">
        <f>COUNTIFS('ST | Drawing List'!$H:$H,"ST-S11-2",'ST | Drawing List'!M:M,1)</f>
        <v>0</v>
      </c>
      <c r="CD192" s="616">
        <f>COUNTIFS('ST | Drawing List'!$H:$H,"ST-S11-2",'ST | Drawing List'!N:N,1)</f>
        <v>0</v>
      </c>
      <c r="CE192" s="616">
        <f>COUNTIFS('ST | Drawing List'!$H:$H,"ST-S11-2",'ST | Drawing List'!O:O,1)</f>
        <v>0</v>
      </c>
      <c r="CF192" s="616">
        <f>COUNTIFS('ST | Drawing List'!$H:$H,"ST-S11-2",'ST | Drawing List'!P:P,1)</f>
        <v>0</v>
      </c>
      <c r="CG192" s="532"/>
      <c r="CH192" s="623">
        <f>COUNTIFS('ST | Drawing List'!$H:$H,"ST-S11-2",'ST | Drawing List'!$Q:$Q,1)</f>
        <v>0</v>
      </c>
      <c r="CI192" s="616">
        <f>COUNTIFS('ST | Drawing List'!$H:$H,"ST-S11-2",'ST | Drawing List'!R:R,1)</f>
        <v>0</v>
      </c>
      <c r="CJ192" s="616">
        <f>COUNTIFS('ST | Drawing List'!$H:$H,"ST-S11-2",'ST | Drawing List'!S:S,1)</f>
        <v>0</v>
      </c>
      <c r="CK192" s="616">
        <f>COUNTIFS('ST | Drawing List'!$H:$H,"ST-S11-2",'ST | Drawing List'!T:T,1)</f>
        <v>0</v>
      </c>
      <c r="CL192" s="616">
        <f>COUNTIFS('ST | Drawing List'!$H:$H,"ST-S11-2",'ST | Drawing List'!U:U,1)</f>
        <v>0</v>
      </c>
      <c r="CM192" s="343"/>
      <c r="CN192" s="343"/>
      <c r="CO192" s="525">
        <v>0</v>
      </c>
      <c r="CP192" s="343"/>
      <c r="CQ192" s="344"/>
      <c r="CR192" s="618">
        <f t="shared" si="733"/>
        <v>0</v>
      </c>
      <c r="CS192" s="339"/>
      <c r="CT192" s="339"/>
      <c r="CU192" s="339"/>
      <c r="CV192" s="339"/>
      <c r="CW192" s="339"/>
      <c r="CX192" s="339"/>
      <c r="CY192" s="339"/>
      <c r="CZ192" s="339"/>
      <c r="DA192" s="339"/>
      <c r="DB192" s="339"/>
      <c r="DC192" s="339"/>
      <c r="DD192" s="339"/>
      <c r="DE192" s="339"/>
      <c r="DF192" s="603"/>
      <c r="DG192" s="603"/>
      <c r="DH192" s="603"/>
      <c r="DI192" s="341"/>
      <c r="DJ192" s="359"/>
      <c r="DK192" s="359"/>
      <c r="DL192" s="359"/>
      <c r="DM192" s="339"/>
      <c r="DN192" s="339"/>
      <c r="DO192" s="339"/>
      <c r="DP192" s="339"/>
      <c r="DQ192" s="339"/>
      <c r="DR192" s="359"/>
      <c r="DS192" s="339"/>
      <c r="DT192" s="339"/>
      <c r="DU192" s="339"/>
      <c r="DV192" s="339"/>
      <c r="DW192" s="343"/>
      <c r="DX192" s="343"/>
      <c r="DY192" s="525">
        <v>0</v>
      </c>
      <c r="DZ192" s="343"/>
      <c r="EA192" s="344"/>
      <c r="EB192" s="618">
        <f t="shared" si="748"/>
        <v>0</v>
      </c>
      <c r="EC192" s="81"/>
      <c r="ED192" s="81"/>
      <c r="EE192" s="81"/>
      <c r="EF192" s="81"/>
      <c r="EG192" s="81"/>
      <c r="EH192" s="81"/>
      <c r="EI192" s="81"/>
      <c r="EJ192" s="81"/>
      <c r="EK192" s="81"/>
      <c r="EL192" s="81"/>
      <c r="EM192" s="81"/>
      <c r="EN192" s="81"/>
      <c r="EO192" s="81"/>
      <c r="EP192" s="103"/>
      <c r="EQ192" s="103"/>
      <c r="ER192" s="103"/>
      <c r="ES192" s="82"/>
      <c r="ET192" s="56"/>
      <c r="EU192" s="56"/>
      <c r="EV192" s="56"/>
      <c r="EW192" s="81"/>
      <c r="EX192" s="81"/>
      <c r="EY192" s="81"/>
      <c r="EZ192" s="81"/>
      <c r="FA192" s="81"/>
      <c r="FB192" s="56"/>
      <c r="FC192" s="81"/>
      <c r="FD192" s="81"/>
      <c r="FE192" s="81"/>
      <c r="FF192" s="81"/>
      <c r="FG192" s="48"/>
    </row>
    <row r="193" spans="1:163" ht="14.25" hidden="1" outlineLevel="2">
      <c r="A193" s="48"/>
      <c r="B193" s="100"/>
      <c r="C193" s="279"/>
      <c r="D193" s="272"/>
      <c r="E193" s="48"/>
      <c r="F193" s="338"/>
      <c r="G193" s="619"/>
      <c r="H193" s="339"/>
      <c r="I193" s="339"/>
      <c r="J193" s="615"/>
      <c r="K193" s="615"/>
      <c r="L193" s="615"/>
      <c r="M193" s="620"/>
      <c r="N193" s="287"/>
      <c r="O193" s="339"/>
      <c r="P193" s="339"/>
      <c r="Q193" s="339"/>
      <c r="R193" s="339"/>
      <c r="S193" s="339"/>
      <c r="T193" s="48"/>
      <c r="U193" s="519"/>
      <c r="V193" s="131"/>
      <c r="W193" s="338"/>
      <c r="X193" s="619">
        <f t="shared" si="700"/>
        <v>0</v>
      </c>
      <c r="Y193" s="339"/>
      <c r="Z193" s="339"/>
      <c r="AA193" s="615">
        <f t="shared" ref="AA193:AA196" si="979">IFERROR(IF(AND((AQ193+AS193)=AP193,Y193=0),W193,0),0)</f>
        <v>0</v>
      </c>
      <c r="AB193" s="615">
        <f t="shared" ref="AB193:AB196" si="980">IFERROR(IF(AND((AQ193+AS193+AT193)=AP193,Y193=0,AA193=0),W193,0),0)</f>
        <v>0</v>
      </c>
      <c r="AC193" s="615">
        <f t="shared" ref="AC193:AC196" si="981">IFERROR(IF(AND((AQ193+AS193+AT193+AU193)=AP193,Y193=0,AA193=0,AB193=0),W193,0),0)</f>
        <v>0</v>
      </c>
      <c r="AD193" s="620">
        <f t="shared" ref="AD193:AD196" si="982">IFERROR(IF(AND((AQ193+AS193+AT193+AU193+AV193)=AP193,Y193=0,AA193=0,AB193=0,AC193=0),W193,0),0)</f>
        <v>0</v>
      </c>
      <c r="AE193" s="287"/>
      <c r="AF193" s="339"/>
      <c r="AG193" s="339"/>
      <c r="AH193" s="339"/>
      <c r="AI193" s="339"/>
      <c r="AJ193" s="339"/>
      <c r="AK193" s="339"/>
      <c r="AL193" s="603"/>
      <c r="AM193" s="603"/>
      <c r="AN193" s="603"/>
      <c r="AO193" s="341"/>
      <c r="AP193" s="359"/>
      <c r="AQ193" s="328"/>
      <c r="AR193" s="328"/>
      <c r="AS193" s="328"/>
      <c r="AT193" s="328"/>
      <c r="AU193" s="328"/>
      <c r="AV193" s="328"/>
      <c r="AW193" s="328"/>
      <c r="AX193" s="328"/>
      <c r="AY193" s="328"/>
      <c r="AZ193" s="328"/>
      <c r="BA193" s="328"/>
      <c r="BB193" s="328"/>
      <c r="BC193" s="328"/>
      <c r="BD193" s="328"/>
      <c r="BE193" s="525"/>
      <c r="BF193" s="343"/>
      <c r="BG193" s="344"/>
      <c r="BH193" s="618">
        <f t="shared" si="717"/>
        <v>0</v>
      </c>
      <c r="BI193" s="339"/>
      <c r="BJ193" s="339"/>
      <c r="BK193" s="615">
        <f t="shared" si="903"/>
        <v>0</v>
      </c>
      <c r="BL193" s="615">
        <f t="shared" si="904"/>
        <v>0</v>
      </c>
      <c r="BM193" s="615">
        <f t="shared" si="905"/>
        <v>0</v>
      </c>
      <c r="BN193" s="615">
        <f t="shared" si="906"/>
        <v>0</v>
      </c>
      <c r="BO193" s="339"/>
      <c r="BP193" s="615">
        <f>IFERROR(IF(AND((BV193+BX193)=100%,BV193&lt;1),BG193,0),0)</f>
        <v>0</v>
      </c>
      <c r="BQ193" s="339"/>
      <c r="BR193" s="339"/>
      <c r="BS193" s="339"/>
      <c r="BT193" s="339"/>
      <c r="BU193" s="339"/>
      <c r="BV193" s="635">
        <f t="shared" ref="BV193:BV196" si="983">IFERROR(CA193/BZ193,0)</f>
        <v>0</v>
      </c>
      <c r="BW193" s="635">
        <f t="shared" ref="BW193:BW196" si="984">IFERROR(CB193/BZ193,0)</f>
        <v>0</v>
      </c>
      <c r="BX193" s="635">
        <f t="shared" ref="BX193:BX196" si="985">IFERROR(CH193/BZ193,0)</f>
        <v>0</v>
      </c>
      <c r="BY193" s="341"/>
      <c r="BZ193" s="540"/>
      <c r="CA193" s="532"/>
      <c r="CB193" s="539"/>
      <c r="CC193" s="536"/>
      <c r="CD193" s="536"/>
      <c r="CE193" s="536"/>
      <c r="CF193" s="536"/>
      <c r="CG193" s="536"/>
      <c r="CH193" s="539"/>
      <c r="CI193" s="536"/>
      <c r="CJ193" s="536"/>
      <c r="CK193" s="536"/>
      <c r="CL193" s="536"/>
      <c r="CM193" s="343"/>
      <c r="CN193" s="343"/>
      <c r="CO193" s="525"/>
      <c r="CP193" s="343"/>
      <c r="CQ193" s="344"/>
      <c r="CR193" s="618">
        <f t="shared" si="733"/>
        <v>0</v>
      </c>
      <c r="CS193" s="339"/>
      <c r="CT193" s="339"/>
      <c r="CU193" s="339"/>
      <c r="CV193" s="339"/>
      <c r="CW193" s="339"/>
      <c r="CX193" s="339"/>
      <c r="CY193" s="339"/>
      <c r="CZ193" s="339"/>
      <c r="DA193" s="339"/>
      <c r="DB193" s="339"/>
      <c r="DC193" s="339"/>
      <c r="DD193" s="339"/>
      <c r="DE193" s="339"/>
      <c r="DF193" s="603"/>
      <c r="DG193" s="603"/>
      <c r="DH193" s="603"/>
      <c r="DI193" s="341"/>
      <c r="DJ193" s="359"/>
      <c r="DK193" s="328"/>
      <c r="DL193" s="328"/>
      <c r="DM193" s="339"/>
      <c r="DN193" s="339"/>
      <c r="DO193" s="339"/>
      <c r="DP193" s="339"/>
      <c r="DQ193" s="339"/>
      <c r="DR193" s="328"/>
      <c r="DS193" s="339"/>
      <c r="DT193" s="339"/>
      <c r="DU193" s="339"/>
      <c r="DV193" s="339"/>
      <c r="DW193" s="343"/>
      <c r="DX193" s="343"/>
      <c r="DY193" s="525"/>
      <c r="DZ193" s="343"/>
      <c r="EA193" s="344"/>
      <c r="EB193" s="618">
        <f t="shared" si="748"/>
        <v>0</v>
      </c>
      <c r="EC193" s="81"/>
      <c r="ED193" s="81"/>
      <c r="EE193" s="81"/>
      <c r="EF193" s="81"/>
      <c r="EG193" s="81"/>
      <c r="EH193" s="81"/>
      <c r="EI193" s="81"/>
      <c r="EJ193" s="81"/>
      <c r="EK193" s="81"/>
      <c r="EL193" s="81"/>
      <c r="EM193" s="81"/>
      <c r="EN193" s="81"/>
      <c r="EO193" s="81"/>
      <c r="EP193" s="103"/>
      <c r="EQ193" s="103"/>
      <c r="ER193" s="103"/>
      <c r="ES193" s="82"/>
      <c r="ET193" s="56"/>
      <c r="EU193" s="71"/>
      <c r="EV193" s="71"/>
      <c r="EW193" s="81"/>
      <c r="EX193" s="81"/>
      <c r="EY193" s="81"/>
      <c r="EZ193" s="81"/>
      <c r="FA193" s="81"/>
      <c r="FB193" s="71"/>
      <c r="FC193" s="81"/>
      <c r="FD193" s="81"/>
      <c r="FE193" s="81"/>
      <c r="FF193" s="81"/>
      <c r="FG193" s="48"/>
    </row>
    <row r="194" spans="1:163" ht="14.25" hidden="1" outlineLevel="2">
      <c r="A194" s="48"/>
      <c r="B194" s="96">
        <v>2.1</v>
      </c>
      <c r="C194" s="278">
        <v>2.11</v>
      </c>
      <c r="D194" s="274" t="s">
        <v>174</v>
      </c>
      <c r="E194" s="48"/>
      <c r="F194" s="322"/>
      <c r="G194" s="630"/>
      <c r="H194" s="374"/>
      <c r="I194" s="374"/>
      <c r="J194" s="615"/>
      <c r="K194" s="615"/>
      <c r="L194" s="615"/>
      <c r="M194" s="620"/>
      <c r="N194" s="287"/>
      <c r="O194" s="374"/>
      <c r="P194" s="339"/>
      <c r="Q194" s="339"/>
      <c r="R194" s="339"/>
      <c r="S194" s="339"/>
      <c r="T194" s="48"/>
      <c r="U194" s="553">
        <v>0</v>
      </c>
      <c r="V194" s="371"/>
      <c r="W194" s="322">
        <v>0</v>
      </c>
      <c r="X194" s="630">
        <f t="shared" si="700"/>
        <v>0</v>
      </c>
      <c r="Y194" s="374"/>
      <c r="Z194" s="374"/>
      <c r="AA194" s="615">
        <f t="shared" si="979"/>
        <v>0</v>
      </c>
      <c r="AB194" s="615">
        <f t="shared" si="980"/>
        <v>0</v>
      </c>
      <c r="AC194" s="615">
        <f t="shared" si="981"/>
        <v>0</v>
      </c>
      <c r="AD194" s="620">
        <f t="shared" si="982"/>
        <v>0</v>
      </c>
      <c r="AE194" s="287"/>
      <c r="AF194" s="374"/>
      <c r="AG194" s="339"/>
      <c r="AH194" s="339"/>
      <c r="AI194" s="339"/>
      <c r="AJ194" s="339"/>
      <c r="AK194" s="339"/>
      <c r="AL194" s="603"/>
      <c r="AM194" s="603"/>
      <c r="AN194" s="603"/>
      <c r="AO194" s="345"/>
      <c r="AP194" s="359"/>
      <c r="AQ194" s="359"/>
      <c r="AR194" s="359"/>
      <c r="AS194" s="328"/>
      <c r="AT194" s="328"/>
      <c r="AU194" s="328"/>
      <c r="AV194" s="328"/>
      <c r="AW194" s="328"/>
      <c r="AX194" s="359"/>
      <c r="AY194" s="328"/>
      <c r="AZ194" s="328"/>
      <c r="BA194" s="328"/>
      <c r="BB194" s="328"/>
      <c r="BC194" s="359"/>
      <c r="BD194" s="359"/>
      <c r="BE194" s="606">
        <f>SUM(BE195:BE196)</f>
        <v>0.5</v>
      </c>
      <c r="BF194" s="371"/>
      <c r="BG194" s="607">
        <f>$BG$144*(95%/12)</f>
        <v>0.10764153125000001</v>
      </c>
      <c r="BH194" s="606">
        <f t="shared" si="717"/>
        <v>0.10764153125000001</v>
      </c>
      <c r="BI194" s="607">
        <f>SUM(BI195:BI196)</f>
        <v>0.10764153125000001</v>
      </c>
      <c r="BJ194" s="607">
        <f>SUM(BJ195:BJ196)</f>
        <v>0</v>
      </c>
      <c r="BK194" s="632">
        <f t="shared" si="903"/>
        <v>0</v>
      </c>
      <c r="BL194" s="615">
        <f t="shared" si="904"/>
        <v>0</v>
      </c>
      <c r="BM194" s="615">
        <f t="shared" si="905"/>
        <v>0</v>
      </c>
      <c r="BN194" s="615">
        <f t="shared" si="906"/>
        <v>0</v>
      </c>
      <c r="BO194" s="339"/>
      <c r="BP194" s="632">
        <f>SUM(BP195:BP196)</f>
        <v>0</v>
      </c>
      <c r="BQ194" s="632">
        <f t="shared" ref="BQ194:BT194" si="986">SUM(BQ195:BQ196)</f>
        <v>0</v>
      </c>
      <c r="BR194" s="632">
        <f t="shared" si="986"/>
        <v>0</v>
      </c>
      <c r="BS194" s="632">
        <f t="shared" si="986"/>
        <v>0</v>
      </c>
      <c r="BT194" s="632">
        <f t="shared" si="986"/>
        <v>0</v>
      </c>
      <c r="BU194" s="282"/>
      <c r="BV194" s="635">
        <f t="shared" si="983"/>
        <v>0</v>
      </c>
      <c r="BW194" s="635">
        <f t="shared" si="984"/>
        <v>0</v>
      </c>
      <c r="BX194" s="635">
        <f t="shared" si="985"/>
        <v>0</v>
      </c>
      <c r="BY194" s="345"/>
      <c r="BZ194" s="540"/>
      <c r="CA194" s="540"/>
      <c r="CB194" s="542"/>
      <c r="CC194" s="540"/>
      <c r="CD194" s="540"/>
      <c r="CE194" s="540"/>
      <c r="CF194" s="540"/>
      <c r="CG194" s="540"/>
      <c r="CH194" s="542"/>
      <c r="CI194" s="540"/>
      <c r="CJ194" s="540"/>
      <c r="CK194" s="540"/>
      <c r="CL194" s="540"/>
      <c r="CM194" s="371"/>
      <c r="CN194" s="371"/>
      <c r="CO194" s="553">
        <v>0</v>
      </c>
      <c r="CP194" s="371"/>
      <c r="CQ194" s="331"/>
      <c r="CR194" s="606">
        <f t="shared" si="733"/>
        <v>0</v>
      </c>
      <c r="CS194" s="374"/>
      <c r="CT194" s="374"/>
      <c r="CU194" s="374"/>
      <c r="CV194" s="374"/>
      <c r="CW194" s="374"/>
      <c r="CX194" s="374"/>
      <c r="CY194" s="374"/>
      <c r="CZ194" s="374"/>
      <c r="DA194" s="374"/>
      <c r="DB194" s="374"/>
      <c r="DC194" s="374"/>
      <c r="DD194" s="374"/>
      <c r="DE194" s="374"/>
      <c r="DF194" s="603"/>
      <c r="DG194" s="603"/>
      <c r="DH194" s="603"/>
      <c r="DI194" s="345"/>
      <c r="DJ194" s="359"/>
      <c r="DK194" s="359"/>
      <c r="DL194" s="359"/>
      <c r="DM194" s="374"/>
      <c r="DN194" s="374"/>
      <c r="DO194" s="374"/>
      <c r="DP194" s="374"/>
      <c r="DQ194" s="374"/>
      <c r="DR194" s="359"/>
      <c r="DS194" s="374"/>
      <c r="DT194" s="374"/>
      <c r="DU194" s="374"/>
      <c r="DV194" s="374"/>
      <c r="DW194" s="371"/>
      <c r="DX194" s="371"/>
      <c r="DY194" s="553">
        <v>0</v>
      </c>
      <c r="DZ194" s="371"/>
      <c r="EA194" s="331"/>
      <c r="EB194" s="606">
        <f t="shared" si="748"/>
        <v>0</v>
      </c>
      <c r="EC194" s="88"/>
      <c r="ED194" s="88"/>
      <c r="EE194" s="88"/>
      <c r="EF194" s="88"/>
      <c r="EG194" s="88"/>
      <c r="EH194" s="88"/>
      <c r="EI194" s="88"/>
      <c r="EJ194" s="88"/>
      <c r="EK194" s="88"/>
      <c r="EL194" s="88"/>
      <c r="EM194" s="88"/>
      <c r="EN194" s="88"/>
      <c r="EO194" s="88"/>
      <c r="EP194" s="103"/>
      <c r="EQ194" s="103"/>
      <c r="ER194" s="103"/>
      <c r="ES194" s="55"/>
      <c r="ET194" s="56"/>
      <c r="EU194" s="56"/>
      <c r="EV194" s="56"/>
      <c r="EW194" s="88"/>
      <c r="EX194" s="88"/>
      <c r="EY194" s="88"/>
      <c r="EZ194" s="88"/>
      <c r="FA194" s="88"/>
      <c r="FB194" s="56"/>
      <c r="FC194" s="88"/>
      <c r="FD194" s="88"/>
      <c r="FE194" s="88"/>
      <c r="FF194" s="88"/>
      <c r="FG194" s="48"/>
    </row>
    <row r="195" spans="1:163" ht="14.25" hidden="1" outlineLevel="3">
      <c r="A195" s="48"/>
      <c r="B195" s="87" t="s">
        <v>158</v>
      </c>
      <c r="C195" s="276">
        <v>1</v>
      </c>
      <c r="D195" s="272" t="s">
        <v>152</v>
      </c>
      <c r="E195" s="48"/>
      <c r="F195" s="619">
        <f t="shared" ref="F195:F196" si="987">W195+BG195+CQ195+EA195</f>
        <v>5.3820765625000003E-2</v>
      </c>
      <c r="G195" s="619">
        <f t="shared" ref="G195:G196" si="988">X195+BH195+CR195+EB195</f>
        <v>5.3820765625000003E-2</v>
      </c>
      <c r="H195" s="615">
        <f t="shared" ref="H195:H196" si="989">F195-G195</f>
        <v>0</v>
      </c>
      <c r="I195" s="615">
        <f t="shared" ref="I195:I196" si="990">Z195+BJ195+CT195+ED195</f>
        <v>0</v>
      </c>
      <c r="J195" s="615">
        <f t="shared" ref="J195:J196" si="991">AA195+BK195+CU195+EE195</f>
        <v>0</v>
      </c>
      <c r="K195" s="615">
        <f t="shared" ref="K195:K196" si="992">AB195+BL195+CV195+EF195</f>
        <v>0</v>
      </c>
      <c r="L195" s="615">
        <f t="shared" ref="L195:L196" si="993">AC195+BM195+CW195+EG195</f>
        <v>0</v>
      </c>
      <c r="M195" s="620">
        <f t="shared" ref="M195:M196" si="994">AD195+BN195+CX195+EH195</f>
        <v>0</v>
      </c>
      <c r="N195" s="287"/>
      <c r="O195" s="615">
        <f t="shared" ref="O195:O196" si="995">AF195+BP195+CZ195+EJ195</f>
        <v>0</v>
      </c>
      <c r="P195" s="615">
        <f t="shared" ref="P195:P196" si="996">AG195+BQ195+DA195+EK195</f>
        <v>0</v>
      </c>
      <c r="Q195" s="615">
        <f t="shared" ref="Q195:Q196" si="997">AH195+BR195+DB195+EL195</f>
        <v>0</v>
      </c>
      <c r="R195" s="615">
        <f t="shared" ref="R195:R196" si="998">AI195+BS195+DC195+EM195</f>
        <v>0</v>
      </c>
      <c r="S195" s="615">
        <f t="shared" ref="S195:S196" si="999">AJ195+BT195+DD195+EN195</f>
        <v>0</v>
      </c>
      <c r="T195" s="48"/>
      <c r="U195" s="519">
        <v>0</v>
      </c>
      <c r="V195" s="131"/>
      <c r="W195" s="322"/>
      <c r="X195" s="630">
        <f t="shared" si="700"/>
        <v>0</v>
      </c>
      <c r="Y195" s="283"/>
      <c r="Z195" s="283"/>
      <c r="AA195" s="615">
        <f t="shared" si="979"/>
        <v>0</v>
      </c>
      <c r="AB195" s="615">
        <f t="shared" si="980"/>
        <v>0</v>
      </c>
      <c r="AC195" s="615">
        <f t="shared" si="981"/>
        <v>0</v>
      </c>
      <c r="AD195" s="620">
        <f t="shared" si="982"/>
        <v>0</v>
      </c>
      <c r="AE195" s="287"/>
      <c r="AF195" s="283"/>
      <c r="AG195" s="339"/>
      <c r="AH195" s="339"/>
      <c r="AI195" s="339"/>
      <c r="AJ195" s="339"/>
      <c r="AK195" s="339"/>
      <c r="AL195" s="603"/>
      <c r="AM195" s="603"/>
      <c r="AN195" s="603"/>
      <c r="AO195" s="347"/>
      <c r="AP195" s="359"/>
      <c r="AQ195" s="359"/>
      <c r="AR195" s="359"/>
      <c r="AS195" s="328"/>
      <c r="AT195" s="328"/>
      <c r="AU195" s="328"/>
      <c r="AV195" s="328"/>
      <c r="AW195" s="328"/>
      <c r="AX195" s="359"/>
      <c r="AY195" s="328"/>
      <c r="AZ195" s="328"/>
      <c r="BA195" s="328"/>
      <c r="BB195" s="328"/>
      <c r="BC195" s="359"/>
      <c r="BD195" s="359"/>
      <c r="BE195" s="525">
        <v>0.25</v>
      </c>
      <c r="BF195" s="343"/>
      <c r="BG195" s="616">
        <f>$BG$194/$BE$194*BE195</f>
        <v>5.3820765625000003E-2</v>
      </c>
      <c r="BH195" s="606">
        <f t="shared" si="717"/>
        <v>5.3820765625000003E-2</v>
      </c>
      <c r="BI195" s="615">
        <f>IFERROR(IF(BV195=100%,BG195,0),0)</f>
        <v>5.3820765625000003E-2</v>
      </c>
      <c r="BJ195" s="615">
        <f>IFERROR(IF(AND((BV195+BW195)=100%,BV195&lt;1),BG195,0),0)</f>
        <v>0</v>
      </c>
      <c r="BK195" s="615">
        <f t="shared" si="903"/>
        <v>0</v>
      </c>
      <c r="BL195" s="615">
        <f t="shared" si="904"/>
        <v>0</v>
      </c>
      <c r="BM195" s="615">
        <f t="shared" si="905"/>
        <v>0</v>
      </c>
      <c r="BN195" s="615">
        <f t="shared" si="906"/>
        <v>0</v>
      </c>
      <c r="BO195" s="339"/>
      <c r="BP195" s="615">
        <f>IFERROR(IF(AND((BV195+BX195)=100%,BV195&lt;1),BG195,0),0)</f>
        <v>0</v>
      </c>
      <c r="BQ195" s="615">
        <f>IFERROR(IF(AND((CA195+CI195)=BZ195,BI195=0),BG195,0),0)</f>
        <v>0</v>
      </c>
      <c r="BR195" s="615">
        <f>IFERROR(IF(AND((CA195+CI195+CJ195)=BZ195,BI195=0,BQ195=0),BG195,0),0)</f>
        <v>0</v>
      </c>
      <c r="BS195" s="615">
        <f>IFERROR(IF(AND((CA195+CI195+CJ195+CK195)=BZ195,BI195=0,BQ195=0,BR195=0),BG195,0),0)</f>
        <v>0</v>
      </c>
      <c r="BT195" s="615">
        <f>IFERROR(IF(AND((CA195+CI195+CJ195+CK195+CL195)=BZ195,BI195=0,BQ195=0,BR195=0,BS195=0),BG195,0),0)</f>
        <v>0</v>
      </c>
      <c r="BU195" s="339"/>
      <c r="BV195" s="635">
        <f t="shared" si="983"/>
        <v>1</v>
      </c>
      <c r="BW195" s="635">
        <f t="shared" si="984"/>
        <v>0</v>
      </c>
      <c r="BX195" s="635">
        <f t="shared" si="985"/>
        <v>0</v>
      </c>
      <c r="BY195" s="347"/>
      <c r="BZ195" s="615">
        <f>COUNTIF('ST | Drawing List'!$H:$H,"ST-S12-1")</f>
        <v>2</v>
      </c>
      <c r="CA195" s="616">
        <f>COUNTIFS('ST | Drawing List'!$H:$H,"ST-S12-1",'ST | Drawing List'!$J:$J,1)</f>
        <v>2</v>
      </c>
      <c r="CB195" s="623">
        <f>COUNTIFS('ST | Drawing List'!$H:$H,"ST-S12-1",'ST | Drawing List'!$L:$L,1)</f>
        <v>0</v>
      </c>
      <c r="CC195" s="616">
        <f>COUNTIFS('ST | Drawing List'!$H:$H,"ST-S12-1",'ST | Drawing List'!M:M,1)</f>
        <v>0</v>
      </c>
      <c r="CD195" s="616">
        <f>COUNTIFS('ST | Drawing List'!$H:$H,"ST-S12-1",'ST | Drawing List'!N:N,1)</f>
        <v>0</v>
      </c>
      <c r="CE195" s="616">
        <f>COUNTIFS('ST | Drawing List'!$H:$H,"ST-S12-1",'ST | Drawing List'!O:O,1)</f>
        <v>0</v>
      </c>
      <c r="CF195" s="616">
        <f>COUNTIFS('ST | Drawing List'!$H:$H,"ST-S12-1",'ST | Drawing List'!P:P,1)</f>
        <v>0</v>
      </c>
      <c r="CG195" s="532"/>
      <c r="CH195" s="623">
        <f>COUNTIFS('ST | Drawing List'!$H:$H,"ST-S12-1",'ST | Drawing List'!$Q:$Q,1)</f>
        <v>0</v>
      </c>
      <c r="CI195" s="616">
        <f>COUNTIFS('ST | Drawing List'!$H:$H,"ST-S12-1",'ST | Drawing List'!R:R,1)</f>
        <v>0</v>
      </c>
      <c r="CJ195" s="616">
        <f>COUNTIFS('ST | Drawing List'!$H:$H,"ST-S12-1",'ST | Drawing List'!S:S,1)</f>
        <v>0</v>
      </c>
      <c r="CK195" s="616">
        <f>COUNTIFS('ST | Drawing List'!$H:$H,"ST-S12-1",'ST | Drawing List'!T:T,1)</f>
        <v>0</v>
      </c>
      <c r="CL195" s="616">
        <f>COUNTIFS('ST | Drawing List'!$H:$H,"ST-S12-1",'ST | Drawing List'!U:U,1)</f>
        <v>0</v>
      </c>
      <c r="CM195" s="343"/>
      <c r="CN195" s="343"/>
      <c r="CO195" s="525">
        <v>0</v>
      </c>
      <c r="CP195" s="343"/>
      <c r="CQ195" s="331"/>
      <c r="CR195" s="606">
        <f t="shared" si="733"/>
        <v>0</v>
      </c>
      <c r="CS195" s="283"/>
      <c r="CT195" s="283"/>
      <c r="CU195" s="283"/>
      <c r="CV195" s="283"/>
      <c r="CW195" s="283"/>
      <c r="CX195" s="283"/>
      <c r="CY195" s="283"/>
      <c r="CZ195" s="283"/>
      <c r="DA195" s="283"/>
      <c r="DB195" s="283"/>
      <c r="DC195" s="283"/>
      <c r="DD195" s="283"/>
      <c r="DE195" s="283"/>
      <c r="DF195" s="603"/>
      <c r="DG195" s="603"/>
      <c r="DH195" s="603"/>
      <c r="DI195" s="347"/>
      <c r="DJ195" s="359"/>
      <c r="DK195" s="359"/>
      <c r="DL195" s="359"/>
      <c r="DM195" s="283"/>
      <c r="DN195" s="283"/>
      <c r="DO195" s="283"/>
      <c r="DP195" s="283"/>
      <c r="DQ195" s="283"/>
      <c r="DR195" s="359"/>
      <c r="DS195" s="283"/>
      <c r="DT195" s="283"/>
      <c r="DU195" s="283"/>
      <c r="DV195" s="283"/>
      <c r="DW195" s="343"/>
      <c r="DX195" s="343"/>
      <c r="DY195" s="525">
        <v>0</v>
      </c>
      <c r="DZ195" s="343"/>
      <c r="EA195" s="331"/>
      <c r="EB195" s="606">
        <f t="shared" si="748"/>
        <v>0</v>
      </c>
      <c r="EC195" s="70"/>
      <c r="ED195" s="70"/>
      <c r="EE195" s="70"/>
      <c r="EF195" s="70"/>
      <c r="EG195" s="70"/>
      <c r="EH195" s="70"/>
      <c r="EI195" s="70"/>
      <c r="EJ195" s="70"/>
      <c r="EK195" s="70"/>
      <c r="EL195" s="70"/>
      <c r="EM195" s="70"/>
      <c r="EN195" s="70"/>
      <c r="EO195" s="70"/>
      <c r="EP195" s="103"/>
      <c r="EQ195" s="103"/>
      <c r="ER195" s="103"/>
      <c r="ES195" s="83"/>
      <c r="ET195" s="56"/>
      <c r="EU195" s="56"/>
      <c r="EV195" s="56"/>
      <c r="EW195" s="70"/>
      <c r="EX195" s="70"/>
      <c r="EY195" s="70"/>
      <c r="EZ195" s="70"/>
      <c r="FA195" s="70"/>
      <c r="FB195" s="56"/>
      <c r="FC195" s="70"/>
      <c r="FD195" s="70"/>
      <c r="FE195" s="70"/>
      <c r="FF195" s="70"/>
      <c r="FG195" s="48"/>
    </row>
    <row r="196" spans="1:163" ht="14.25" hidden="1" outlineLevel="3">
      <c r="A196" s="48"/>
      <c r="B196" s="87" t="s">
        <v>159</v>
      </c>
      <c r="C196" s="276">
        <v>2</v>
      </c>
      <c r="D196" s="272" t="s">
        <v>154</v>
      </c>
      <c r="E196" s="48"/>
      <c r="F196" s="619">
        <f t="shared" si="987"/>
        <v>5.3820765625000003E-2</v>
      </c>
      <c r="G196" s="619">
        <f t="shared" si="988"/>
        <v>5.3820765625000003E-2</v>
      </c>
      <c r="H196" s="615">
        <f t="shared" si="989"/>
        <v>0</v>
      </c>
      <c r="I196" s="615">
        <f t="shared" si="990"/>
        <v>0</v>
      </c>
      <c r="J196" s="615">
        <f t="shared" si="991"/>
        <v>0</v>
      </c>
      <c r="K196" s="615">
        <f t="shared" si="992"/>
        <v>0</v>
      </c>
      <c r="L196" s="615">
        <f t="shared" si="993"/>
        <v>0</v>
      </c>
      <c r="M196" s="620">
        <f t="shared" si="994"/>
        <v>0</v>
      </c>
      <c r="N196" s="287"/>
      <c r="O196" s="615">
        <f t="shared" si="995"/>
        <v>0</v>
      </c>
      <c r="P196" s="615">
        <f t="shared" si="996"/>
        <v>0</v>
      </c>
      <c r="Q196" s="615">
        <f t="shared" si="997"/>
        <v>0</v>
      </c>
      <c r="R196" s="615">
        <f t="shared" si="998"/>
        <v>0</v>
      </c>
      <c r="S196" s="615">
        <f t="shared" si="999"/>
        <v>0</v>
      </c>
      <c r="T196" s="48"/>
      <c r="U196" s="519">
        <v>0</v>
      </c>
      <c r="V196" s="131"/>
      <c r="W196" s="338"/>
      <c r="X196" s="619">
        <f t="shared" si="700"/>
        <v>0</v>
      </c>
      <c r="Y196" s="339"/>
      <c r="Z196" s="339"/>
      <c r="AA196" s="615">
        <f t="shared" si="979"/>
        <v>0</v>
      </c>
      <c r="AB196" s="615">
        <f t="shared" si="980"/>
        <v>0</v>
      </c>
      <c r="AC196" s="615">
        <f t="shared" si="981"/>
        <v>0</v>
      </c>
      <c r="AD196" s="620">
        <f t="shared" si="982"/>
        <v>0</v>
      </c>
      <c r="AE196" s="287"/>
      <c r="AF196" s="339"/>
      <c r="AG196" s="339"/>
      <c r="AH196" s="339"/>
      <c r="AI196" s="339"/>
      <c r="AJ196" s="339"/>
      <c r="AK196" s="339"/>
      <c r="AL196" s="603"/>
      <c r="AM196" s="603"/>
      <c r="AN196" s="603"/>
      <c r="AO196" s="341"/>
      <c r="AP196" s="359"/>
      <c r="AQ196" s="359"/>
      <c r="AR196" s="359"/>
      <c r="AS196" s="328"/>
      <c r="AT196" s="328"/>
      <c r="AU196" s="328"/>
      <c r="AV196" s="328"/>
      <c r="AW196" s="328"/>
      <c r="AX196" s="359"/>
      <c r="AY196" s="328"/>
      <c r="AZ196" s="328"/>
      <c r="BA196" s="328"/>
      <c r="BB196" s="328"/>
      <c r="BC196" s="359"/>
      <c r="BD196" s="359"/>
      <c r="BE196" s="525">
        <v>0.25</v>
      </c>
      <c r="BF196" s="343"/>
      <c r="BG196" s="616">
        <f>$BG$194/$BE$194*BE196</f>
        <v>5.3820765625000003E-2</v>
      </c>
      <c r="BH196" s="618">
        <f t="shared" si="717"/>
        <v>5.3820765625000003E-2</v>
      </c>
      <c r="BI196" s="615">
        <f>IFERROR(IF(BV196=100%,BG196,0),0)</f>
        <v>5.3820765625000003E-2</v>
      </c>
      <c r="BJ196" s="615">
        <f>IFERROR(IF(AND((BV196+BW196)=100%,BV196&lt;1),BG196,0),0)</f>
        <v>0</v>
      </c>
      <c r="BK196" s="615">
        <f t="shared" si="903"/>
        <v>0</v>
      </c>
      <c r="BL196" s="615">
        <f t="shared" si="904"/>
        <v>0</v>
      </c>
      <c r="BM196" s="615">
        <f t="shared" si="905"/>
        <v>0</v>
      </c>
      <c r="BN196" s="615">
        <f t="shared" si="906"/>
        <v>0</v>
      </c>
      <c r="BO196" s="339"/>
      <c r="BP196" s="615">
        <f>IFERROR(IF(AND((BV196+BX196)=100%,BV196&lt;1),BG196,0),0)</f>
        <v>0</v>
      </c>
      <c r="BQ196" s="615">
        <f>IFERROR(IF(AND((CA196+CI196)=BZ196,BI196=0),BG196,0),0)</f>
        <v>0</v>
      </c>
      <c r="BR196" s="615">
        <f>IFERROR(IF(AND((CA196+CI196+CJ196)=BZ196,BI196=0,BQ196=0),BG196,0),0)</f>
        <v>0</v>
      </c>
      <c r="BS196" s="615">
        <f>IFERROR(IF(AND((CA196+CI196+CJ196+CK196)=BZ196,BI196=0,BQ196=0,BR196=0),BG196,0),0)</f>
        <v>0</v>
      </c>
      <c r="BT196" s="615">
        <f>IFERROR(IF(AND((CA196+CI196+CJ196+CK196+CL196)=BZ196,BI196=0,BQ196=0,BR196=0,BS196=0),BG196,0),0)</f>
        <v>0</v>
      </c>
      <c r="BU196" s="339"/>
      <c r="BV196" s="635">
        <f t="shared" si="983"/>
        <v>1</v>
      </c>
      <c r="BW196" s="635">
        <f t="shared" si="984"/>
        <v>0</v>
      </c>
      <c r="BX196" s="635">
        <f t="shared" si="985"/>
        <v>0</v>
      </c>
      <c r="BY196" s="341"/>
      <c r="BZ196" s="615">
        <f>COUNTIF('ST | Drawing List'!$H:$H,"ST-S12-2")</f>
        <v>3</v>
      </c>
      <c r="CA196" s="616">
        <f>COUNTIFS('ST | Drawing List'!$H:$H,"ST-S12-2",'ST | Drawing List'!$J:$J,1)</f>
        <v>3</v>
      </c>
      <c r="CB196" s="623">
        <f>COUNTIFS('ST | Drawing List'!$H:$H,"ST-S12-2",'ST | Drawing List'!$L:$L,1)</f>
        <v>0</v>
      </c>
      <c r="CC196" s="616">
        <f>COUNTIFS('ST | Drawing List'!$H:$H,"ST-S12-2",'ST | Drawing List'!M:M,1)</f>
        <v>0</v>
      </c>
      <c r="CD196" s="616">
        <f>COUNTIFS('ST | Drawing List'!$H:$H,"ST-S12-2",'ST | Drawing List'!N:N,1)</f>
        <v>0</v>
      </c>
      <c r="CE196" s="616">
        <f>COUNTIFS('ST | Drawing List'!$H:$H,"ST-S12-2",'ST | Drawing List'!O:O,1)</f>
        <v>0</v>
      </c>
      <c r="CF196" s="616">
        <f>COUNTIFS('ST | Drawing List'!$H:$H,"ST-S12-2",'ST | Drawing List'!P:P,1)</f>
        <v>0</v>
      </c>
      <c r="CG196" s="532"/>
      <c r="CH196" s="623">
        <f>COUNTIFS('ST | Drawing List'!$H:$H,"ST-S12-2",'ST | Drawing List'!$Q:$Q,1)</f>
        <v>0</v>
      </c>
      <c r="CI196" s="616">
        <f>COUNTIFS('ST | Drawing List'!$H:$H,"ST-S12-2",'ST | Drawing List'!R:R,1)</f>
        <v>0</v>
      </c>
      <c r="CJ196" s="616">
        <f>COUNTIFS('ST | Drawing List'!$H:$H,"ST-S12-2",'ST | Drawing List'!S:S,1)</f>
        <v>0</v>
      </c>
      <c r="CK196" s="616">
        <f>COUNTIFS('ST | Drawing List'!$H:$H,"ST-S12-2",'ST | Drawing List'!T:T,1)</f>
        <v>0</v>
      </c>
      <c r="CL196" s="616">
        <f>COUNTIFS('ST | Drawing List'!$H:$H,"ST-S12-2",'ST | Drawing List'!U:U,1)</f>
        <v>0</v>
      </c>
      <c r="CM196" s="343"/>
      <c r="CN196" s="343"/>
      <c r="CO196" s="525">
        <v>0</v>
      </c>
      <c r="CP196" s="343"/>
      <c r="CQ196" s="344"/>
      <c r="CR196" s="618">
        <f t="shared" si="733"/>
        <v>0</v>
      </c>
      <c r="CS196" s="339"/>
      <c r="CT196" s="339"/>
      <c r="CU196" s="339"/>
      <c r="CV196" s="339"/>
      <c r="CW196" s="339"/>
      <c r="CX196" s="339"/>
      <c r="CY196" s="339"/>
      <c r="CZ196" s="339"/>
      <c r="DA196" s="339"/>
      <c r="DB196" s="339"/>
      <c r="DC196" s="339"/>
      <c r="DD196" s="339"/>
      <c r="DE196" s="339"/>
      <c r="DF196" s="603"/>
      <c r="DG196" s="603"/>
      <c r="DH196" s="603"/>
      <c r="DI196" s="341"/>
      <c r="DJ196" s="359"/>
      <c r="DK196" s="359"/>
      <c r="DL196" s="359"/>
      <c r="DM196" s="339"/>
      <c r="DN196" s="339"/>
      <c r="DO196" s="339"/>
      <c r="DP196" s="339"/>
      <c r="DQ196" s="339"/>
      <c r="DR196" s="359"/>
      <c r="DS196" s="339"/>
      <c r="DT196" s="339"/>
      <c r="DU196" s="339"/>
      <c r="DV196" s="339"/>
      <c r="DW196" s="343"/>
      <c r="DX196" s="343"/>
      <c r="DY196" s="525">
        <v>0</v>
      </c>
      <c r="DZ196" s="343"/>
      <c r="EA196" s="344"/>
      <c r="EB196" s="618">
        <f t="shared" si="748"/>
        <v>0</v>
      </c>
      <c r="EC196" s="81"/>
      <c r="ED196" s="81"/>
      <c r="EE196" s="81"/>
      <c r="EF196" s="81"/>
      <c r="EG196" s="81"/>
      <c r="EH196" s="81"/>
      <c r="EI196" s="81"/>
      <c r="EJ196" s="81"/>
      <c r="EK196" s="81"/>
      <c r="EL196" s="81"/>
      <c r="EM196" s="81"/>
      <c r="EN196" s="81"/>
      <c r="EO196" s="81"/>
      <c r="EP196" s="103"/>
      <c r="EQ196" s="103"/>
      <c r="ER196" s="103"/>
      <c r="ES196" s="82"/>
      <c r="ET196" s="56"/>
      <c r="EU196" s="56"/>
      <c r="EV196" s="56"/>
      <c r="EW196" s="81"/>
      <c r="EX196" s="81"/>
      <c r="EY196" s="81"/>
      <c r="EZ196" s="81"/>
      <c r="FA196" s="81"/>
      <c r="FB196" s="56"/>
      <c r="FC196" s="81"/>
      <c r="FD196" s="81"/>
      <c r="FE196" s="81"/>
      <c r="FF196" s="81"/>
      <c r="FG196" s="48"/>
    </row>
    <row r="197" spans="1:163" ht="3" hidden="1" customHeight="1" outlineLevel="1">
      <c r="A197" s="48"/>
      <c r="B197" s="87"/>
      <c r="C197" s="276"/>
      <c r="D197" s="272"/>
      <c r="E197" s="48"/>
      <c r="F197" s="338"/>
      <c r="G197" s="619"/>
      <c r="H197" s="339"/>
      <c r="I197" s="339"/>
      <c r="J197" s="339"/>
      <c r="K197" s="339"/>
      <c r="L197" s="339"/>
      <c r="M197" s="339"/>
      <c r="N197" s="339"/>
      <c r="O197" s="339"/>
      <c r="P197" s="339"/>
      <c r="Q197" s="339"/>
      <c r="R197" s="339"/>
      <c r="S197" s="339"/>
      <c r="T197" s="48"/>
      <c r="U197" s="519"/>
      <c r="V197" s="131"/>
      <c r="W197" s="338"/>
      <c r="X197" s="619">
        <f t="shared" ref="X197:X240" si="1000">Y197+AF197</f>
        <v>0</v>
      </c>
      <c r="Y197" s="339"/>
      <c r="Z197" s="339"/>
      <c r="AA197" s="339"/>
      <c r="AB197" s="339"/>
      <c r="AC197" s="339"/>
      <c r="AD197" s="339"/>
      <c r="AE197" s="339"/>
      <c r="AF197" s="339"/>
      <c r="AG197" s="339"/>
      <c r="AH197" s="339"/>
      <c r="AI197" s="339"/>
      <c r="AJ197" s="339"/>
      <c r="AK197" s="339"/>
      <c r="AL197" s="603"/>
      <c r="AM197" s="603"/>
      <c r="AN197" s="603"/>
      <c r="AO197" s="341"/>
      <c r="AP197" s="359"/>
      <c r="AQ197" s="359"/>
      <c r="AR197" s="359"/>
      <c r="AS197" s="328"/>
      <c r="AT197" s="328"/>
      <c r="AU197" s="328"/>
      <c r="AV197" s="328"/>
      <c r="AW197" s="328"/>
      <c r="AX197" s="359"/>
      <c r="AY197" s="328"/>
      <c r="AZ197" s="328"/>
      <c r="BA197" s="328"/>
      <c r="BB197" s="328"/>
      <c r="BC197" s="359"/>
      <c r="BD197" s="359"/>
      <c r="BE197" s="525"/>
      <c r="BF197" s="343"/>
      <c r="BG197" s="344"/>
      <c r="BH197" s="618">
        <f t="shared" ref="BH197:BH240" si="1001">BI197+BP197</f>
        <v>0</v>
      </c>
      <c r="BI197" s="339"/>
      <c r="BJ197" s="339"/>
      <c r="BK197" s="339"/>
      <c r="BL197" s="339"/>
      <c r="BM197" s="339"/>
      <c r="BN197" s="339"/>
      <c r="BO197" s="339"/>
      <c r="BP197" s="339"/>
      <c r="BQ197" s="339"/>
      <c r="BR197" s="339"/>
      <c r="BS197" s="339"/>
      <c r="BT197" s="339"/>
      <c r="BU197" s="339"/>
      <c r="BV197" s="525"/>
      <c r="BW197" s="525"/>
      <c r="BX197" s="525"/>
      <c r="BY197" s="341"/>
      <c r="BZ197" s="540"/>
      <c r="CA197" s="532"/>
      <c r="CB197" s="539"/>
      <c r="CC197" s="532"/>
      <c r="CD197" s="532"/>
      <c r="CE197" s="532"/>
      <c r="CF197" s="532"/>
      <c r="CG197" s="532"/>
      <c r="CH197" s="539"/>
      <c r="CI197" s="532"/>
      <c r="CJ197" s="532"/>
      <c r="CK197" s="532"/>
      <c r="CL197" s="532"/>
      <c r="CM197" s="343"/>
      <c r="CN197" s="343"/>
      <c r="CO197" s="525"/>
      <c r="CP197" s="343"/>
      <c r="CQ197" s="344"/>
      <c r="CR197" s="618">
        <f t="shared" ref="CR197:CR240" si="1002">CS197+CZ197</f>
        <v>0</v>
      </c>
      <c r="CS197" s="339"/>
      <c r="CT197" s="339"/>
      <c r="CU197" s="339"/>
      <c r="CV197" s="339"/>
      <c r="CW197" s="339"/>
      <c r="CX197" s="339"/>
      <c r="CY197" s="339"/>
      <c r="CZ197" s="339"/>
      <c r="DA197" s="339"/>
      <c r="DB197" s="339"/>
      <c r="DC197" s="339"/>
      <c r="DD197" s="339"/>
      <c r="DE197" s="339"/>
      <c r="DF197" s="603"/>
      <c r="DG197" s="603"/>
      <c r="DH197" s="603"/>
      <c r="DI197" s="341"/>
      <c r="DJ197" s="359"/>
      <c r="DK197" s="359"/>
      <c r="DL197" s="359"/>
      <c r="DM197" s="339"/>
      <c r="DN197" s="339"/>
      <c r="DO197" s="339"/>
      <c r="DP197" s="339"/>
      <c r="DQ197" s="339"/>
      <c r="DR197" s="359"/>
      <c r="DS197" s="339"/>
      <c r="DT197" s="339"/>
      <c r="DU197" s="339"/>
      <c r="DV197" s="339"/>
      <c r="DW197" s="343"/>
      <c r="DX197" s="343"/>
      <c r="DY197" s="525"/>
      <c r="DZ197" s="343"/>
      <c r="EA197" s="344"/>
      <c r="EB197" s="618">
        <f t="shared" ref="EB197:EB240" si="1003">EC197+EJ197</f>
        <v>0</v>
      </c>
      <c r="EC197" s="81"/>
      <c r="ED197" s="81"/>
      <c r="EE197" s="81"/>
      <c r="EF197" s="81"/>
      <c r="EG197" s="81"/>
      <c r="EH197" s="81"/>
      <c r="EI197" s="81"/>
      <c r="EJ197" s="81"/>
      <c r="EK197" s="81"/>
      <c r="EL197" s="81"/>
      <c r="EM197" s="81"/>
      <c r="EN197" s="81"/>
      <c r="EO197" s="81"/>
      <c r="EP197" s="103"/>
      <c r="EQ197" s="103"/>
      <c r="ER197" s="103"/>
      <c r="ES197" s="82"/>
      <c r="ET197" s="56"/>
      <c r="EU197" s="56"/>
      <c r="EV197" s="56"/>
      <c r="EW197" s="81"/>
      <c r="EX197" s="81"/>
      <c r="EY197" s="81"/>
      <c r="EZ197" s="81"/>
      <c r="FA197" s="81"/>
      <c r="FB197" s="56"/>
      <c r="FC197" s="81"/>
      <c r="FD197" s="81"/>
      <c r="FE197" s="81"/>
      <c r="FF197" s="81"/>
      <c r="FG197" s="48"/>
    </row>
    <row r="198" spans="1:163" ht="14.25" hidden="1" outlineLevel="1" collapsed="1">
      <c r="A198" s="48"/>
      <c r="B198" s="73"/>
      <c r="C198" s="275">
        <v>10</v>
      </c>
      <c r="D198" s="271" t="s">
        <v>175</v>
      </c>
      <c r="E198" s="74"/>
      <c r="F198" s="614">
        <f>W198+BG198+CQ198+EA198</f>
        <v>1.6112672975277071</v>
      </c>
      <c r="G198" s="614">
        <f>X198+BH198+CR198+EB198</f>
        <v>1.6112672975277071</v>
      </c>
      <c r="H198" s="612">
        <f>F198-G198</f>
        <v>0</v>
      </c>
      <c r="I198" s="614">
        <f t="shared" ref="I198:I201" si="1004">Z198+BJ198+CT198+ED198</f>
        <v>0</v>
      </c>
      <c r="J198" s="614">
        <f t="shared" ref="J198:J201" si="1005">AA198+BK198+CU198+EE198</f>
        <v>0</v>
      </c>
      <c r="K198" s="614">
        <f t="shared" ref="K198:K201" si="1006">AB198+BL198+CV198+EF198</f>
        <v>0</v>
      </c>
      <c r="L198" s="614">
        <f t="shared" ref="L198:L201" si="1007">AC198+BM198+CW198+EG198</f>
        <v>0</v>
      </c>
      <c r="M198" s="614">
        <f t="shared" ref="M198:M201" si="1008">AD198+BN198+CX198+EH198</f>
        <v>0</v>
      </c>
      <c r="N198" s="281"/>
      <c r="O198" s="614">
        <f t="shared" ref="O198:O201" si="1009">AF198+BP198+CZ198+EJ198</f>
        <v>0</v>
      </c>
      <c r="P198" s="614">
        <f t="shared" ref="P198:P201" si="1010">AG198+BQ198+DA198+EK198</f>
        <v>0</v>
      </c>
      <c r="Q198" s="614">
        <f t="shared" ref="Q198:Q201" si="1011">AH198+BR198+DB198+EL198</f>
        <v>0</v>
      </c>
      <c r="R198" s="614">
        <f t="shared" ref="R198:R201" si="1012">AI198+BS198+DC198+EM198</f>
        <v>0</v>
      </c>
      <c r="S198" s="614">
        <f t="shared" ref="S198:S201" si="1013">AJ198+BT198+DD198+EN198</f>
        <v>0</v>
      </c>
      <c r="T198" s="74"/>
      <c r="U198" s="332">
        <f>SUM(U199:U201)</f>
        <v>0.5</v>
      </c>
      <c r="V198" s="332"/>
      <c r="W198" s="614">
        <f>U198*(5%*'BOQ COST'!E16)*(49/69)*1</f>
        <v>1.0229637681159423</v>
      </c>
      <c r="X198" s="614">
        <f t="shared" si="1000"/>
        <v>1.0229637681159423</v>
      </c>
      <c r="Y198" s="612">
        <f>SUM(Y199:Y201)</f>
        <v>1.0229637681159423</v>
      </c>
      <c r="Z198" s="612">
        <f>SUM(Z199:Z201)</f>
        <v>0</v>
      </c>
      <c r="AA198" s="612">
        <f t="shared" ref="AA198:AD198" si="1014">SUM(AA199:AA201)</f>
        <v>0</v>
      </c>
      <c r="AB198" s="612">
        <f t="shared" si="1014"/>
        <v>0</v>
      </c>
      <c r="AC198" s="612">
        <f t="shared" si="1014"/>
        <v>0</v>
      </c>
      <c r="AD198" s="612">
        <f t="shared" si="1014"/>
        <v>0</v>
      </c>
      <c r="AE198" s="281"/>
      <c r="AF198" s="612">
        <f>SUM(AF199:AF201)</f>
        <v>0</v>
      </c>
      <c r="AG198" s="612">
        <f t="shared" ref="AG198:AJ198" si="1015">SUM(AG199:AG201)</f>
        <v>0</v>
      </c>
      <c r="AH198" s="612">
        <f t="shared" si="1015"/>
        <v>0</v>
      </c>
      <c r="AI198" s="612">
        <f t="shared" si="1015"/>
        <v>0</v>
      </c>
      <c r="AJ198" s="612">
        <f t="shared" si="1015"/>
        <v>0</v>
      </c>
      <c r="AK198" s="281"/>
      <c r="AL198" s="605"/>
      <c r="AM198" s="605"/>
      <c r="AN198" s="605"/>
      <c r="AO198" s="612">
        <f t="shared" ref="AO198" si="1016">SUM(AO199:AO201)</f>
        <v>0</v>
      </c>
      <c r="AP198" s="612">
        <f t="shared" ref="AP198" si="1017">SUM(AP199:AP201)</f>
        <v>48</v>
      </c>
      <c r="AQ198" s="612">
        <f t="shared" ref="AQ198" si="1018">SUM(AQ199:AQ201)</f>
        <v>48</v>
      </c>
      <c r="AR198" s="612">
        <f t="shared" si="684"/>
        <v>0</v>
      </c>
      <c r="AS198" s="612">
        <f t="shared" ref="AS198" si="1019">SUM(AS199:AS201)</f>
        <v>0</v>
      </c>
      <c r="AT198" s="612">
        <f t="shared" ref="AT198" si="1020">SUM(AT199:AT201)</f>
        <v>0</v>
      </c>
      <c r="AU198" s="612">
        <f t="shared" ref="AU198" si="1021">SUM(AU199:AU201)</f>
        <v>0</v>
      </c>
      <c r="AV198" s="612">
        <f t="shared" ref="AV198:AX198" si="1022">SUM(AV199:AV201)</f>
        <v>0</v>
      </c>
      <c r="AW198" s="281"/>
      <c r="AX198" s="612">
        <f t="shared" si="1022"/>
        <v>0</v>
      </c>
      <c r="AY198" s="612">
        <f t="shared" ref="AY198:BB198" si="1023">SUM(AY199:AY201)</f>
        <v>0</v>
      </c>
      <c r="AZ198" s="612">
        <f t="shared" si="1023"/>
        <v>0</v>
      </c>
      <c r="BA198" s="612">
        <f t="shared" si="1023"/>
        <v>0</v>
      </c>
      <c r="BB198" s="612">
        <f t="shared" si="1023"/>
        <v>0</v>
      </c>
      <c r="BC198" s="336"/>
      <c r="BD198" s="336"/>
      <c r="BE198" s="332">
        <f>SUM(BE199:BE201)</f>
        <v>0.55000000000000004</v>
      </c>
      <c r="BF198" s="332"/>
      <c r="BG198" s="614">
        <f>BE198*(3%*'BOQ COST'!$F$16)*(48/68)*1</f>
        <v>0.43443529411764703</v>
      </c>
      <c r="BH198" s="614">
        <f t="shared" si="1001"/>
        <v>0.43443529411764703</v>
      </c>
      <c r="BI198" s="612">
        <f>SUM(BI199:BI201)</f>
        <v>0.43443529411764703</v>
      </c>
      <c r="BJ198" s="612">
        <f>SUM(BJ199:BJ201)</f>
        <v>0</v>
      </c>
      <c r="BK198" s="612">
        <f t="shared" ref="BK198:CF198" si="1024">SUM(BK199:BK201)</f>
        <v>0</v>
      </c>
      <c r="BL198" s="612">
        <f t="shared" si="1024"/>
        <v>0</v>
      </c>
      <c r="BM198" s="612">
        <f t="shared" si="1024"/>
        <v>0</v>
      </c>
      <c r="BN198" s="612">
        <f t="shared" si="1024"/>
        <v>0</v>
      </c>
      <c r="BO198" s="281"/>
      <c r="BP198" s="612">
        <f>SUM(BP199:BP201)</f>
        <v>0</v>
      </c>
      <c r="BQ198" s="612">
        <f t="shared" ref="BQ198:BT198" si="1025">SUM(BQ199:BQ201)</f>
        <v>0</v>
      </c>
      <c r="BR198" s="612">
        <f t="shared" si="1025"/>
        <v>0</v>
      </c>
      <c r="BS198" s="612">
        <f t="shared" si="1025"/>
        <v>0</v>
      </c>
      <c r="BT198" s="612">
        <f t="shared" si="1025"/>
        <v>0</v>
      </c>
      <c r="BU198" s="281"/>
      <c r="BV198" s="524"/>
      <c r="BW198" s="524"/>
      <c r="BX198" s="524"/>
      <c r="BY198" s="612">
        <f t="shared" si="1024"/>
        <v>0</v>
      </c>
      <c r="BZ198" s="612">
        <f t="shared" si="1024"/>
        <v>15</v>
      </c>
      <c r="CA198" s="612">
        <f t="shared" si="1024"/>
        <v>15</v>
      </c>
      <c r="CB198" s="612">
        <f t="shared" si="1024"/>
        <v>0</v>
      </c>
      <c r="CC198" s="612">
        <f t="shared" si="1024"/>
        <v>0</v>
      </c>
      <c r="CD198" s="612">
        <f t="shared" si="1024"/>
        <v>0</v>
      </c>
      <c r="CE198" s="612">
        <f t="shared" si="1024"/>
        <v>0</v>
      </c>
      <c r="CF198" s="612">
        <f t="shared" si="1024"/>
        <v>0</v>
      </c>
      <c r="CG198" s="535"/>
      <c r="CH198" s="612">
        <f t="shared" ref="CH198:CL198" si="1026">SUM(CH199:CH201)</f>
        <v>0</v>
      </c>
      <c r="CI198" s="612">
        <f t="shared" si="1026"/>
        <v>0</v>
      </c>
      <c r="CJ198" s="612">
        <f t="shared" si="1026"/>
        <v>0</v>
      </c>
      <c r="CK198" s="612">
        <f t="shared" si="1026"/>
        <v>0</v>
      </c>
      <c r="CL198" s="612">
        <f t="shared" si="1026"/>
        <v>0</v>
      </c>
      <c r="CM198" s="332"/>
      <c r="CN198" s="332"/>
      <c r="CO198" s="332">
        <f>SUM(CO199:CO201)</f>
        <v>0.65</v>
      </c>
      <c r="CP198" s="332"/>
      <c r="CQ198" s="614">
        <f>CO198*(2%*'BOQ COST'!$G$16)*(48/68)*1</f>
        <v>3.2117647058823535E-2</v>
      </c>
      <c r="CR198" s="614">
        <f t="shared" si="1002"/>
        <v>3.2117647058823535E-2</v>
      </c>
      <c r="CS198" s="612">
        <f>SUM(CS199:CS201)</f>
        <v>3.2117647058823535E-2</v>
      </c>
      <c r="CT198" s="612">
        <f>SUM(CT199:CT201)</f>
        <v>0</v>
      </c>
      <c r="CU198" s="612">
        <f t="shared" ref="CU198:DP198" si="1027">SUM(CU199:CU201)</f>
        <v>0</v>
      </c>
      <c r="CV198" s="612">
        <f t="shared" si="1027"/>
        <v>0</v>
      </c>
      <c r="CW198" s="612">
        <f t="shared" si="1027"/>
        <v>0</v>
      </c>
      <c r="CX198" s="612">
        <f t="shared" si="1027"/>
        <v>0</v>
      </c>
      <c r="CY198" s="281"/>
      <c r="CZ198" s="612">
        <f>SUM(CZ199:CZ201)</f>
        <v>0</v>
      </c>
      <c r="DA198" s="612">
        <f t="shared" ref="DA198:DD198" si="1028">SUM(DA199:DA201)</f>
        <v>0</v>
      </c>
      <c r="DB198" s="612">
        <f t="shared" si="1028"/>
        <v>0</v>
      </c>
      <c r="DC198" s="612">
        <f t="shared" si="1028"/>
        <v>0</v>
      </c>
      <c r="DD198" s="612">
        <f t="shared" si="1028"/>
        <v>0</v>
      </c>
      <c r="DE198" s="281"/>
      <c r="DF198" s="605"/>
      <c r="DG198" s="605"/>
      <c r="DH198" s="605"/>
      <c r="DI198" s="612">
        <f t="shared" si="1027"/>
        <v>0</v>
      </c>
      <c r="DJ198" s="612">
        <f t="shared" si="1027"/>
        <v>10</v>
      </c>
      <c r="DK198" s="612">
        <f t="shared" si="1027"/>
        <v>10</v>
      </c>
      <c r="DL198" s="612">
        <f t="shared" si="1027"/>
        <v>0</v>
      </c>
      <c r="DM198" s="612">
        <f t="shared" si="1027"/>
        <v>0</v>
      </c>
      <c r="DN198" s="612">
        <f t="shared" si="1027"/>
        <v>0</v>
      </c>
      <c r="DO198" s="612">
        <f t="shared" si="1027"/>
        <v>0</v>
      </c>
      <c r="DP198" s="612">
        <f t="shared" si="1027"/>
        <v>0</v>
      </c>
      <c r="DQ198" s="281"/>
      <c r="DR198" s="612">
        <f t="shared" ref="DR198:DV198" si="1029">SUM(DR199:DR201)</f>
        <v>0</v>
      </c>
      <c r="DS198" s="612">
        <f t="shared" si="1029"/>
        <v>0</v>
      </c>
      <c r="DT198" s="612">
        <f t="shared" si="1029"/>
        <v>0</v>
      </c>
      <c r="DU198" s="612">
        <f t="shared" si="1029"/>
        <v>0</v>
      </c>
      <c r="DV198" s="612">
        <f t="shared" si="1029"/>
        <v>0</v>
      </c>
      <c r="DW198" s="332"/>
      <c r="DX198" s="332"/>
      <c r="DY198" s="332">
        <f>SUM(DY199:DY201)</f>
        <v>0.55000000000000004</v>
      </c>
      <c r="DZ198" s="332"/>
      <c r="EA198" s="612">
        <f>(DY198*(7%*'BOQ COST'!$H$16)*1)*(48/68)</f>
        <v>0.12175058823529417</v>
      </c>
      <c r="EB198" s="614">
        <f t="shared" si="1003"/>
        <v>0.12175058823529417</v>
      </c>
      <c r="EC198" s="608">
        <f>SUM(EC199:EC201)</f>
        <v>0.12175058823529417</v>
      </c>
      <c r="ED198" s="608">
        <f>SUM(ED199:ED201)</f>
        <v>0</v>
      </c>
      <c r="EE198" s="608">
        <f t="shared" ref="EE198:EZ198" si="1030">SUM(EE199:EE201)</f>
        <v>0</v>
      </c>
      <c r="EF198" s="608">
        <f t="shared" si="1030"/>
        <v>0</v>
      </c>
      <c r="EG198" s="608">
        <f t="shared" si="1030"/>
        <v>0</v>
      </c>
      <c r="EH198" s="608">
        <f t="shared" si="1030"/>
        <v>0</v>
      </c>
      <c r="EI198" s="127"/>
      <c r="EJ198" s="608">
        <f>SUM(EJ199:EJ201)</f>
        <v>0</v>
      </c>
      <c r="EK198" s="608">
        <f t="shared" ref="EK198:EN198" si="1031">SUM(EK199:EK201)</f>
        <v>0</v>
      </c>
      <c r="EL198" s="608">
        <f t="shared" si="1031"/>
        <v>0</v>
      </c>
      <c r="EM198" s="608">
        <f t="shared" si="1031"/>
        <v>0</v>
      </c>
      <c r="EN198" s="608">
        <f t="shared" si="1031"/>
        <v>0</v>
      </c>
      <c r="EO198" s="127"/>
      <c r="EP198" s="641"/>
      <c r="EQ198" s="641"/>
      <c r="ER198" s="641"/>
      <c r="ES198" s="608">
        <f t="shared" si="1030"/>
        <v>0</v>
      </c>
      <c r="ET198" s="608">
        <f t="shared" si="1030"/>
        <v>3</v>
      </c>
      <c r="EU198" s="608">
        <f t="shared" si="1030"/>
        <v>3</v>
      </c>
      <c r="EV198" s="608">
        <f t="shared" si="1030"/>
        <v>0</v>
      </c>
      <c r="EW198" s="608">
        <f t="shared" si="1030"/>
        <v>0</v>
      </c>
      <c r="EX198" s="608">
        <f t="shared" si="1030"/>
        <v>0</v>
      </c>
      <c r="EY198" s="608">
        <f t="shared" si="1030"/>
        <v>0</v>
      </c>
      <c r="EZ198" s="608">
        <f t="shared" si="1030"/>
        <v>0</v>
      </c>
      <c r="FA198" s="127"/>
      <c r="FB198" s="608">
        <f t="shared" ref="FB198:FF198" si="1032">SUM(FB199:FB201)</f>
        <v>0</v>
      </c>
      <c r="FC198" s="608">
        <f t="shared" si="1032"/>
        <v>0</v>
      </c>
      <c r="FD198" s="608">
        <f t="shared" si="1032"/>
        <v>0</v>
      </c>
      <c r="FE198" s="608">
        <f t="shared" si="1032"/>
        <v>0</v>
      </c>
      <c r="FF198" s="608">
        <f t="shared" si="1032"/>
        <v>0</v>
      </c>
      <c r="FG198" s="48"/>
    </row>
    <row r="199" spans="1:163" ht="14.25" hidden="1" outlineLevel="2">
      <c r="A199" s="48"/>
      <c r="B199" s="87" t="s">
        <v>176</v>
      </c>
      <c r="C199" s="276">
        <v>1</v>
      </c>
      <c r="D199" s="272" t="s">
        <v>177</v>
      </c>
      <c r="E199" s="48"/>
      <c r="F199" s="619">
        <f t="shared" ref="F199:F201" si="1033">W199+BG199+CQ199+EA199</f>
        <v>0.37739275362318847</v>
      </c>
      <c r="G199" s="619">
        <f t="shared" ref="G199:G201" si="1034">X199+BH199+CR199+EB199</f>
        <v>0.37739275362318847</v>
      </c>
      <c r="H199" s="615">
        <f t="shared" ref="H199:H201" si="1035">F199-G199</f>
        <v>0</v>
      </c>
      <c r="I199" s="615">
        <f t="shared" si="1004"/>
        <v>0</v>
      </c>
      <c r="J199" s="615">
        <f t="shared" si="1005"/>
        <v>0</v>
      </c>
      <c r="K199" s="615">
        <f t="shared" si="1006"/>
        <v>0</v>
      </c>
      <c r="L199" s="615">
        <f t="shared" si="1007"/>
        <v>0</v>
      </c>
      <c r="M199" s="620">
        <f t="shared" si="1008"/>
        <v>0</v>
      </c>
      <c r="N199" s="287"/>
      <c r="O199" s="615">
        <f t="shared" si="1009"/>
        <v>0</v>
      </c>
      <c r="P199" s="615">
        <f t="shared" si="1010"/>
        <v>0</v>
      </c>
      <c r="Q199" s="615">
        <f t="shared" si="1011"/>
        <v>0</v>
      </c>
      <c r="R199" s="615">
        <f t="shared" si="1012"/>
        <v>0</v>
      </c>
      <c r="S199" s="615">
        <f t="shared" si="1013"/>
        <v>0</v>
      </c>
      <c r="T199" s="48"/>
      <c r="U199" s="519">
        <v>0.1</v>
      </c>
      <c r="V199" s="131"/>
      <c r="W199" s="619">
        <f>$W$198/$U$198*U199</f>
        <v>0.20459275362318846</v>
      </c>
      <c r="X199" s="619">
        <f t="shared" si="1000"/>
        <v>0.20459275362318846</v>
      </c>
      <c r="Y199" s="615">
        <f>IFERROR(IF(AL199=100%,W199,0),0)</f>
        <v>0.20459275362318846</v>
      </c>
      <c r="Z199" s="615">
        <f>IFERROR(IF(AND((AL199+AM199)=100%,AL199&lt;1),W199,0),0)</f>
        <v>0</v>
      </c>
      <c r="AA199" s="615">
        <f>IFERROR(IF(AND((AQ199+AS199)=AP199,Y199=0),W199,0),0)</f>
        <v>0</v>
      </c>
      <c r="AB199" s="615">
        <f>IFERROR(IF(AND((AQ199+AS199+AT199)=AP199,Y199=0,AA199=0),W199,0),0)</f>
        <v>0</v>
      </c>
      <c r="AC199" s="615">
        <f>IFERROR(IF(AND((AQ199+AS199+AT199+AU199)=AP199,Y199=0,AA199=0,AB199=0),W199,0),0)</f>
        <v>0</v>
      </c>
      <c r="AD199" s="620">
        <f>IFERROR(IF(AND((AQ199+AS199+AT199+AU199+AV199)=AP199,Y199=0,AA199=0,AB199=0,AC199=0),W199,0),0)</f>
        <v>0</v>
      </c>
      <c r="AE199" s="287"/>
      <c r="AF199" s="615">
        <f>IFERROR(IF(AND((AL199+AN199)=100%,AL199&lt;1),W199,0),0)</f>
        <v>0</v>
      </c>
      <c r="AG199" s="615">
        <f>IFERROR(IF(AND((AQ199+AY199)=AP199,Y199=0),W199,0),0)</f>
        <v>0</v>
      </c>
      <c r="AH199" s="615">
        <f>IFERROR(IF(AND((AQ199+AY199+AZ199)=AP199,Y199=0,AG199=0),W199,0),0)</f>
        <v>0</v>
      </c>
      <c r="AI199" s="615">
        <f>IFERROR(IF(AND((AQ199+AY199+AZ199+BA199)=AP199,Y199=0,AG199=0,AH199=0),W199,0),0)</f>
        <v>0</v>
      </c>
      <c r="AJ199" s="615">
        <f>IFERROR(IF(AND((AQ199+AY199+AZ199+BA199+BB199)=AP199,Y199=0,AG199=0,AH199=0,AI199=0),W199,0),0)</f>
        <v>0</v>
      </c>
      <c r="AK199" s="339"/>
      <c r="AL199" s="625">
        <f>IFERROR(AQ199/AP199,0)</f>
        <v>1</v>
      </c>
      <c r="AM199" s="625">
        <f>IFERROR(AR199/AP199,0)</f>
        <v>0</v>
      </c>
      <c r="AN199" s="625">
        <f>IFERROR(AX199/AP199,0)</f>
        <v>0</v>
      </c>
      <c r="AO199" s="345"/>
      <c r="AP199" s="615">
        <f>COUNTIF('AR | Drawing List'!$H:$H,"AR-VC1-1")</f>
        <v>21</v>
      </c>
      <c r="AQ199" s="616">
        <f>COUNTIFS('AR | Drawing List'!$H:$H,"AR-VC1-1",'AR | Drawing List'!$J:$J,1)</f>
        <v>21</v>
      </c>
      <c r="AR199" s="616">
        <f t="shared" si="684"/>
        <v>0</v>
      </c>
      <c r="AS199" s="616">
        <f>COUNTIFS('AR | Drawing List'!$H:$H,"AR-VC1-1",'AR | Drawing List'!M:M,1)</f>
        <v>0</v>
      </c>
      <c r="AT199" s="616">
        <f>COUNTIFS('AR | Drawing List'!$H:$H,"AR-VC1-1",'AR | Drawing List'!N:N,1)</f>
        <v>0</v>
      </c>
      <c r="AU199" s="616">
        <f>COUNTIFS('AR | Drawing List'!$H:$H,"AR-VC1-1",'AR | Drawing List'!O:O,1)</f>
        <v>0</v>
      </c>
      <c r="AV199" s="616">
        <f>COUNTIFS('AR | Drawing List'!$H:$H,"AR-VC1-1",'AR | Drawing List'!P:P,1)</f>
        <v>0</v>
      </c>
      <c r="AW199" s="328"/>
      <c r="AX199" s="616">
        <f t="shared" si="715"/>
        <v>0</v>
      </c>
      <c r="AY199" s="616">
        <f>COUNTIFS('AR | Drawing List'!$H:$H,"AR-VC1-1",'AR | Drawing List'!R:R,1)</f>
        <v>0</v>
      </c>
      <c r="AZ199" s="616">
        <f>COUNTIFS('AR | Drawing List'!$H:$H,"AR-VC1-1",'AR | Drawing List'!S:S,1)</f>
        <v>0</v>
      </c>
      <c r="BA199" s="616">
        <f>COUNTIFS('AR | Drawing List'!$H:$H,"AR-VC1-1",'AR | Drawing List'!T:T,1)</f>
        <v>0</v>
      </c>
      <c r="BB199" s="616">
        <f>COUNTIFS('AR | Drawing List'!$H:$H,"AR-VC1-1",'AR | Drawing List'!U:U,1)</f>
        <v>0</v>
      </c>
      <c r="BC199" s="359"/>
      <c r="BD199" s="359"/>
      <c r="BE199" s="525">
        <v>0.2</v>
      </c>
      <c r="BF199" s="343"/>
      <c r="BG199" s="616">
        <f>$BG$198/$BE$198*BE199</f>
        <v>0.15797647058823527</v>
      </c>
      <c r="BH199" s="618">
        <f t="shared" si="1001"/>
        <v>0.15797647058823527</v>
      </c>
      <c r="BI199" s="615">
        <f>IFERROR(IF(BV199=100%,BG199,0),0)</f>
        <v>0.15797647058823527</v>
      </c>
      <c r="BJ199" s="615">
        <f>IFERROR(IF(AND((BV199+BW199)=100%,BV199&lt;1),BG199,0),0)</f>
        <v>0</v>
      </c>
      <c r="BK199" s="615">
        <f>IFERROR(IF(AND((CA199+CC199)=BZ199,BI199=0),BG199,0),0)</f>
        <v>0</v>
      </c>
      <c r="BL199" s="615">
        <f>IFERROR(IF(AND((CA199+CC199+CD199)=BZ199,BI199=0,BK199=0),BG199,0),0)</f>
        <v>0</v>
      </c>
      <c r="BM199" s="615">
        <f>IFERROR(IF(AND((CA199+CC199+CD199+CE199)=BZ199,BI199=0,BK199=0,BL199=0),BG199,0),0)</f>
        <v>0</v>
      </c>
      <c r="BN199" s="615">
        <f>IFERROR(IF(AND((CA199+CC199+CD199+CE199+CF199)=BZ199,BI199=0,BK199=0,BL199=0,BM199=0),BG199,0),0)</f>
        <v>0</v>
      </c>
      <c r="BO199" s="339"/>
      <c r="BP199" s="615">
        <f>IFERROR(IF(AND((BV199+BX199)=100%,BV199&lt;1),BG199,0),0)</f>
        <v>0</v>
      </c>
      <c r="BQ199" s="615">
        <f>IFERROR(IF(AND((CA199+CI199)=BZ199,BI199=0),BG199,0),0)</f>
        <v>0</v>
      </c>
      <c r="BR199" s="615">
        <f>IFERROR(IF(AND((CA199+CI199+CJ199)=BZ199,BI199=0,BQ199=0),BG199,0),0)</f>
        <v>0</v>
      </c>
      <c r="BS199" s="615">
        <f>IFERROR(IF(AND((CA199+CI199+CJ199+CK199)=BZ199,BI199=0,BQ199=0,BR199=0),BG199,0),0)</f>
        <v>0</v>
      </c>
      <c r="BT199" s="615">
        <f>IFERROR(IF(AND((CA199+CI199+CJ199+CK199+CL199)=BZ199,BI199=0,BQ199=0,BR199=0,BS199=0),BG199,0),0)</f>
        <v>0</v>
      </c>
      <c r="BU199" s="339"/>
      <c r="BV199" s="635">
        <f t="shared" ref="BV199:BV201" si="1036">IFERROR(CA199/BZ199,0)</f>
        <v>1</v>
      </c>
      <c r="BW199" s="635">
        <f t="shared" ref="BW199:BW201" si="1037">IFERROR(CB199/BZ199,0)</f>
        <v>0</v>
      </c>
      <c r="BX199" s="635">
        <f t="shared" ref="BX199:BX201" si="1038">IFERROR(CH199/BZ199,0)</f>
        <v>0</v>
      </c>
      <c r="BY199" s="345"/>
      <c r="BZ199" s="615">
        <f>COUNTIF('ST | Drawing List'!$H:$H,"ST-VC1-1")</f>
        <v>8</v>
      </c>
      <c r="CA199" s="616">
        <f>COUNTIFS('ST | Drawing List'!$H:$H,"ST-VC1-1",'ST | Drawing List'!$J:$J,1)</f>
        <v>8</v>
      </c>
      <c r="CB199" s="623">
        <f>COUNTIFS('ST | Drawing List'!$H:$H,"ST-VC1-1",'ST | Drawing List'!$L:$L,1)</f>
        <v>0</v>
      </c>
      <c r="CC199" s="616">
        <f>COUNTIFS('ST | Drawing List'!$H:$H,"ST-VC1-1",'ST | Drawing List'!M:M,1)</f>
        <v>0</v>
      </c>
      <c r="CD199" s="616">
        <f>COUNTIFS('ST | Drawing List'!$H:$H,"ST-VC1-1",'ST | Drawing List'!N:N,1)</f>
        <v>0</v>
      </c>
      <c r="CE199" s="616">
        <f>COUNTIFS('ST | Drawing List'!$H:$H,"ST-VC1-1",'ST | Drawing List'!O:O,1)</f>
        <v>0</v>
      </c>
      <c r="CF199" s="616">
        <f>COUNTIFS('ST | Drawing List'!$H:$H,"ST-VC1-1",'ST | Drawing List'!P:P,1)</f>
        <v>0</v>
      </c>
      <c r="CG199" s="532"/>
      <c r="CH199" s="623">
        <f>COUNTIFS('ST | Drawing List'!$H:$H,"ST-VC1-1",'ST | Drawing List'!$Q:$Q,1)</f>
        <v>0</v>
      </c>
      <c r="CI199" s="616">
        <f>COUNTIFS('ST | Drawing List'!$H:$H,"ST-VC1-1",'ST | Drawing List'!R:R,1)</f>
        <v>0</v>
      </c>
      <c r="CJ199" s="616">
        <f>COUNTIFS('ST | Drawing List'!$H:$H,"ST-VC1-1",'ST | Drawing List'!S:S,1)</f>
        <v>0</v>
      </c>
      <c r="CK199" s="616">
        <f>COUNTIFS('ST | Drawing List'!$H:$H,"ST-VC1-1",'ST | Drawing List'!T:T,1)</f>
        <v>0</v>
      </c>
      <c r="CL199" s="616">
        <f>COUNTIFS('ST | Drawing List'!$H:$H,"ST-VC1-1",'ST | Drawing List'!U:U,1)</f>
        <v>0</v>
      </c>
      <c r="CM199" s="343"/>
      <c r="CN199" s="343"/>
      <c r="CO199" s="525">
        <v>0.3</v>
      </c>
      <c r="CP199" s="343"/>
      <c r="CQ199" s="616">
        <f>$CQ$198/$CO$198*CO199</f>
        <v>1.4823529411764708E-2</v>
      </c>
      <c r="CR199" s="618">
        <f t="shared" si="1002"/>
        <v>1.4823529411764708E-2</v>
      </c>
      <c r="CS199" s="615">
        <f>IFERROR(IF(DF199=100%,CQ199,0),0)</f>
        <v>1.4823529411764708E-2</v>
      </c>
      <c r="CT199" s="615">
        <f t="shared" ref="CT199:CT201" si="1039">IFERROR(IF(AND((DF199+DG199)=100%,DF199&lt;1),CQ199,0),0)</f>
        <v>0</v>
      </c>
      <c r="CU199" s="615">
        <f t="shared" ref="CU199:CU201" si="1040">IFERROR(IF(AND((DK199+DM199)=DJ199,CS199=0),CQ199,0),0)</f>
        <v>0</v>
      </c>
      <c r="CV199" s="615">
        <f t="shared" ref="CV199:CV201" si="1041">IFERROR(IF(AND((DK199+DM199+DN199)=DJ199,CS199=0,CU199=0),CQ199,0),0)</f>
        <v>0</v>
      </c>
      <c r="CW199" s="615">
        <f t="shared" ref="CW199:CW201" si="1042">IFERROR(IF(AND((DK199+DM199+DN199+DO199)=DJ199,CS199=0,CU199=0,CV199=0),CQ199,0),0)</f>
        <v>0</v>
      </c>
      <c r="CX199" s="615">
        <f t="shared" ref="CX199:CX201" si="1043">IFERROR(IF(AND((DK199+DM199+DN199+DO199+DP199)=DJ199,CS199=0,CU199=0,CV199=0,CW199=0),CQ199,0),0)</f>
        <v>0</v>
      </c>
      <c r="CY199" s="339"/>
      <c r="CZ199" s="615">
        <f t="shared" ref="CZ199:CZ201" si="1044">IFERROR(IF(AND((DF199+DH199)=100%,DF199&lt;1),CQ199,0),0)</f>
        <v>0</v>
      </c>
      <c r="DA199" s="615">
        <f t="shared" ref="DA199:DA201" si="1045">IFERROR(IF(AND((DK199+DS199)=DJ199,CS199=0),CQ199,0),0)</f>
        <v>0</v>
      </c>
      <c r="DB199" s="615">
        <f t="shared" ref="DB199:DB201" si="1046">IFERROR(IF(AND((DK199+DS199+DT199)=DJ199,CS199=0,DA199=0),CQ199,0),0)</f>
        <v>0</v>
      </c>
      <c r="DC199" s="615">
        <f t="shared" ref="DC199:DC201" si="1047">IFERROR(IF(AND((DK199+DS199+DT199+DU199)=DJ199,CS199=0,DA199=0,DB199=0),CQ199,0),0)</f>
        <v>0</v>
      </c>
      <c r="DD199" s="615">
        <f t="shared" ref="DD199:DD201" si="1048">IFERROR(IF(AND((DK199+DS199+DT199+DU199+DV199)=DJ199,CS199=0,DA199=0,DB199=0,DC199=0),CQ199,0),0)</f>
        <v>0</v>
      </c>
      <c r="DE199" s="339"/>
      <c r="DF199" s="625">
        <f t="shared" ref="DF199:DF201" si="1049">IFERROR(DK199/DJ199,0)</f>
        <v>1</v>
      </c>
      <c r="DG199" s="625">
        <f t="shared" ref="DG199:DG201" si="1050">IFERROR(DL199/DJ199,0)</f>
        <v>0</v>
      </c>
      <c r="DH199" s="625">
        <f t="shared" ref="DH199:DH201" si="1051">IFERROR(DR199/DJ199,0)</f>
        <v>0</v>
      </c>
      <c r="DI199" s="345"/>
      <c r="DJ199" s="615">
        <f>COUNTIF('MEP | Drawing List'!$H:$H,"MEP-VC1-1")</f>
        <v>4</v>
      </c>
      <c r="DK199" s="616">
        <f>COUNTIFS('MEP | Drawing List'!$H:$H,"MEP-VC1-1",'MEP | Drawing List'!$J:$J,1)</f>
        <v>4</v>
      </c>
      <c r="DL199" s="616">
        <f>COUNTIFS('MEP | Drawing List'!$H:$H,"MEP-VC1-1",'MEP | Drawing List'!$L:$L,1)</f>
        <v>0</v>
      </c>
      <c r="DM199" s="615">
        <f>COUNTIFS('MEP | Drawing List'!$H:$H,"MEP-VC1-1",'MEP | Drawing List'!M:M,1)</f>
        <v>0</v>
      </c>
      <c r="DN199" s="615">
        <f>COUNTIFS('MEP | Drawing List'!$H:$H,"MEP-VC1-1",'MEP | Drawing List'!N:N,1)</f>
        <v>0</v>
      </c>
      <c r="DO199" s="615">
        <f>COUNTIFS('MEP | Drawing List'!$H:$H,"MEP-VC1-1",'MEP | Drawing List'!O:O,1)</f>
        <v>0</v>
      </c>
      <c r="DP199" s="615">
        <f>COUNTIFS('MEP | Drawing List'!$H:$H,"MEP-VC1-1",'MEP | Drawing List'!P:P,1)</f>
        <v>0</v>
      </c>
      <c r="DQ199" s="339"/>
      <c r="DR199" s="616">
        <f>COUNTIFS('MEP | Drawing List'!$H:$H,"MEP-VC1-1",'MEP | Drawing List'!$Q:$Q,1)</f>
        <v>0</v>
      </c>
      <c r="DS199" s="615">
        <f>COUNTIFS('MEP | Drawing List'!$H:$H,"MEP-VC1-1",'MEP | Drawing List'!R:R,1)</f>
        <v>0</v>
      </c>
      <c r="DT199" s="615">
        <f>COUNTIFS('MEP | Drawing List'!$H:$H,"MEP-VC1-1",'MEP | Drawing List'!S:S,1)</f>
        <v>0</v>
      </c>
      <c r="DU199" s="615">
        <f>COUNTIFS('MEP | Drawing List'!$H:$H,"MEP-VC1-1",'MEP | Drawing List'!T:T,1)</f>
        <v>0</v>
      </c>
      <c r="DV199" s="615">
        <f>COUNTIFS('MEP | Drawing List'!$H:$H,"MEP-VC1-1",'MEP | Drawing List'!U:U,1)</f>
        <v>0</v>
      </c>
      <c r="DW199" s="343"/>
      <c r="DX199" s="343"/>
      <c r="DY199" s="525">
        <v>0</v>
      </c>
      <c r="DZ199" s="343"/>
      <c r="EA199" s="344">
        <v>0</v>
      </c>
      <c r="EB199" s="618">
        <f t="shared" si="1003"/>
        <v>0</v>
      </c>
      <c r="EC199" s="615">
        <f>IFERROR(IF(EP199=100%,EA199,0),0)</f>
        <v>0</v>
      </c>
      <c r="ED199" s="615">
        <f>IFERROR(IF(AND((EP199+EQ199)=100%,EP199&lt;1),EA199,0),0)</f>
        <v>0</v>
      </c>
      <c r="EE199" s="615">
        <f>IFERROR(IF(AND((EU199+EW199)=ET199,EC199=0),EA199,0),0)</f>
        <v>0</v>
      </c>
      <c r="EF199" s="615">
        <f>IFERROR(IF(AND((EU199+EW199+EX199)=ET199,EC199=0,EE199=0),EA199,0),0)</f>
        <v>0</v>
      </c>
      <c r="EG199" s="615">
        <f>IFERROR(IF(AND((EU199+EW199+EX199+EY199)=ET199,EC199=0,EE199=0,EF199=0),EA199,0),0)</f>
        <v>0</v>
      </c>
      <c r="EH199" s="615">
        <f>IFERROR(IF(AND((EU199+EW199+EX199+EY199+EZ199)=ET199,EC199=0,EE199=0,EF199=0,EG199=0),EA199,0),0)</f>
        <v>0</v>
      </c>
      <c r="EI199" s="339"/>
      <c r="EJ199" s="620">
        <f t="shared" ref="EJ199:EJ201" si="1052">IFERROR(IF(AND((EP199+ER199)=100%,EP199&lt;1),EA199,0),0)</f>
        <v>0</v>
      </c>
      <c r="EK199" s="615">
        <f t="shared" ref="EK199:EK201" si="1053">IFERROR(IF(AND((EU199+FC199)=ET199,EC199=0),EA199,0),0)</f>
        <v>0</v>
      </c>
      <c r="EL199" s="615">
        <f t="shared" ref="EL199:EL201" si="1054">IFERROR(IF(AND((EU199+FC199+FD199)=ET199,EC199=0,EK199=0),EA199,0),0)</f>
        <v>0</v>
      </c>
      <c r="EM199" s="615">
        <f t="shared" ref="EM199:EM201" si="1055">IFERROR(IF(AND((EU199+FC199+FD199+FE199)=ET199,EC199=0,EK199=0,EL199=0),EA199,0),0)</f>
        <v>0</v>
      </c>
      <c r="EN199" s="615">
        <f t="shared" ref="EN199:EN201" si="1056">IFERROR(IF(AND((EU199+FC199+FD199+FE199+FF199)=ET199,EC199=0,EK199=0,EL199=0,EM199=0),EA199,0),0)</f>
        <v>0</v>
      </c>
      <c r="EO199" s="339"/>
      <c r="EP199" s="627">
        <f t="shared" ref="EP199:EP201" si="1057">IFERROR(EU199/ET199,0)</f>
        <v>0</v>
      </c>
      <c r="EQ199" s="627">
        <f t="shared" ref="EQ199:EQ201" si="1058">IFERROR(EV199/ET199,0)</f>
        <v>0</v>
      </c>
      <c r="ER199" s="627">
        <f t="shared" ref="ER199:ER201" si="1059">IFERROR(FB199/ET199,0)</f>
        <v>0</v>
      </c>
      <c r="ES199" s="55"/>
      <c r="ET199" s="615">
        <f>COUNTIF('LS | Drawing List'!$H:$H,"LS-V01-1")</f>
        <v>0</v>
      </c>
      <c r="EU199" s="616">
        <f>COUNTIFS('LS | Drawing List'!$H:$H,"LS-V01-1",'LS | Drawing List'!$J:$J,1)</f>
        <v>0</v>
      </c>
      <c r="EV199" s="616">
        <f>COUNTIFS('LS | Drawing List'!$H:$H,"LS-V01-1",'LS | Drawing List'!$L:$L,1)</f>
        <v>0</v>
      </c>
      <c r="EW199" s="615">
        <f>COUNTIFS('LS | Drawing List'!$H:$H,"LS-V01-1",'LS | Drawing List'!M:M,1)</f>
        <v>0</v>
      </c>
      <c r="EX199" s="615">
        <f>COUNTIFS('LS | Drawing List'!$H:$H,"LS-V01-1",'LS | Drawing List'!N:N,1)</f>
        <v>0</v>
      </c>
      <c r="EY199" s="615">
        <f>COUNTIFS('LS | Drawing List'!$H:$H,"LS-V01-1",'LS | Drawing List'!O:O,1)</f>
        <v>0</v>
      </c>
      <c r="EZ199" s="615">
        <f>COUNTIFS('LS | Drawing List'!$H:$H,"LS-V01-1",'LS | Drawing List'!P:P,1)</f>
        <v>0</v>
      </c>
      <c r="FA199" s="81"/>
      <c r="FB199" s="616">
        <f>COUNTIFS('LS | Drawing List'!$H:$H,"LS-V01-1",'LS | Drawing List'!$Q:$Q,1)</f>
        <v>0</v>
      </c>
      <c r="FC199" s="615">
        <f>COUNTIFS('LS | Drawing List'!$H:$H,"LS-V01-1",'LS | Drawing List'!R:R,1)</f>
        <v>0</v>
      </c>
      <c r="FD199" s="615">
        <f>COUNTIFS('LS | Drawing List'!$H:$H,"LS-V01-1",'LS | Drawing List'!S:S,1)</f>
        <v>0</v>
      </c>
      <c r="FE199" s="615">
        <f>COUNTIFS('LS | Drawing List'!$H:$H,"LS-V01-1",'LS | Drawing List'!T:T,1)</f>
        <v>0</v>
      </c>
      <c r="FF199" s="615">
        <f>COUNTIFS('LS | Drawing List'!$H:$H,"LS-V01-1",'LS | Drawing List'!U:U,1)</f>
        <v>0</v>
      </c>
      <c r="FG199" s="48"/>
    </row>
    <row r="200" spans="1:163" ht="14.25" hidden="1" outlineLevel="2">
      <c r="A200" s="48"/>
      <c r="B200" s="87" t="s">
        <v>178</v>
      </c>
      <c r="C200" s="276">
        <v>2</v>
      </c>
      <c r="D200" s="272" t="s">
        <v>179</v>
      </c>
      <c r="E200" s="48"/>
      <c r="F200" s="619">
        <f t="shared" si="1033"/>
        <v>0.65603256606990623</v>
      </c>
      <c r="G200" s="619">
        <f t="shared" si="1034"/>
        <v>0.65603256606990623</v>
      </c>
      <c r="H200" s="615">
        <f t="shared" si="1035"/>
        <v>0</v>
      </c>
      <c r="I200" s="615">
        <f t="shared" si="1004"/>
        <v>0</v>
      </c>
      <c r="J200" s="615">
        <f t="shared" si="1005"/>
        <v>0</v>
      </c>
      <c r="K200" s="615">
        <f t="shared" si="1006"/>
        <v>0</v>
      </c>
      <c r="L200" s="615">
        <f t="shared" si="1007"/>
        <v>0</v>
      </c>
      <c r="M200" s="620">
        <f t="shared" si="1008"/>
        <v>0</v>
      </c>
      <c r="N200" s="287"/>
      <c r="O200" s="615">
        <f t="shared" si="1009"/>
        <v>0</v>
      </c>
      <c r="P200" s="615">
        <f t="shared" si="1010"/>
        <v>0</v>
      </c>
      <c r="Q200" s="615">
        <f t="shared" si="1011"/>
        <v>0</v>
      </c>
      <c r="R200" s="615">
        <f t="shared" si="1012"/>
        <v>0</v>
      </c>
      <c r="S200" s="615">
        <f t="shared" si="1013"/>
        <v>0</v>
      </c>
      <c r="T200" s="48"/>
      <c r="U200" s="519">
        <v>0.2</v>
      </c>
      <c r="V200" s="131"/>
      <c r="W200" s="619">
        <f>$W$198/$U$198*U200</f>
        <v>0.40918550724637692</v>
      </c>
      <c r="X200" s="619">
        <f t="shared" si="1000"/>
        <v>0.40918550724637692</v>
      </c>
      <c r="Y200" s="615">
        <f>IFERROR(IF(AL200=100%,W200,0),0)</f>
        <v>0.40918550724637692</v>
      </c>
      <c r="Z200" s="615">
        <f>IFERROR(IF(AND((AL200+AM200)=100%,AL200&lt;1),W200,0),0)</f>
        <v>0</v>
      </c>
      <c r="AA200" s="615">
        <f>IFERROR(IF(AND((AQ200+AS200)=AP200,Y200=0),W200,0),0)</f>
        <v>0</v>
      </c>
      <c r="AB200" s="615">
        <f>IFERROR(IF(AND((AQ200+AS200+AT200)=AP200,Y200=0,AA200=0),W200,0),0)</f>
        <v>0</v>
      </c>
      <c r="AC200" s="615">
        <f>IFERROR(IF(AND((AQ200+AS200+AT200+AU200)=AP200,Y200=0,AA200=0,AB200=0),W200,0),0)</f>
        <v>0</v>
      </c>
      <c r="AD200" s="620">
        <f>IFERROR(IF(AND((AQ200+AS200+AT200+AU200+AV200)=AP200,Y200=0,AA200=0,AB200=0,AC200=0),W200,0),0)</f>
        <v>0</v>
      </c>
      <c r="AE200" s="287"/>
      <c r="AF200" s="615">
        <f>IFERROR(IF(AND((AL200+AN200)=100%,AL200&lt;1),W200,0),0)</f>
        <v>0</v>
      </c>
      <c r="AG200" s="615">
        <f>IFERROR(IF(AND((AQ200+AY200)=AP200,Y200=0),W200,0),0)</f>
        <v>0</v>
      </c>
      <c r="AH200" s="615">
        <f>IFERROR(IF(AND((AQ200+AY200+AZ200)=AP200,Y200=0,AG200=0),W200,0),0)</f>
        <v>0</v>
      </c>
      <c r="AI200" s="615">
        <f>IFERROR(IF(AND((AQ200+AY200+AZ200+BA200)=AP200,Y200=0,AG200=0,AH200=0),W200,0),0)</f>
        <v>0</v>
      </c>
      <c r="AJ200" s="615">
        <f>IFERROR(IF(AND((AQ200+AY200+AZ200+BA200+BB200)=AP200,Y200=0,AG200=0,AH200=0,AI200=0),W200,0),0)</f>
        <v>0</v>
      </c>
      <c r="AK200" s="339"/>
      <c r="AL200" s="625">
        <f>IFERROR(AQ200/AP200,0)</f>
        <v>1</v>
      </c>
      <c r="AM200" s="625">
        <f>IFERROR(AR200/AP200,0)</f>
        <v>0</v>
      </c>
      <c r="AN200" s="625">
        <f>IFERROR(AX200/AP200,0)</f>
        <v>0</v>
      </c>
      <c r="AO200" s="345"/>
      <c r="AP200" s="615">
        <f>COUNTIF('AR | Drawing List'!$H:$H,"AR-VC1-2")</f>
        <v>5</v>
      </c>
      <c r="AQ200" s="616">
        <f>COUNTIFS('AR | Drawing List'!$H:$H,"AR-VC1-2",'AR | Drawing List'!$J:$J,1)</f>
        <v>5</v>
      </c>
      <c r="AR200" s="616">
        <f t="shared" si="684"/>
        <v>0</v>
      </c>
      <c r="AS200" s="616">
        <f>COUNTIFS('AR | Drawing List'!$H:$H,"AR-VC1-2",'AR | Drawing List'!M:M,1)</f>
        <v>0</v>
      </c>
      <c r="AT200" s="616">
        <f>COUNTIFS('AR | Drawing List'!$H:$H,"AR-VC1-2",'AR | Drawing List'!N:N,1)</f>
        <v>0</v>
      </c>
      <c r="AU200" s="616">
        <f>COUNTIFS('AR | Drawing List'!$H:$H,"AR-VC1-2",'AR | Drawing List'!O:O,1)</f>
        <v>0</v>
      </c>
      <c r="AV200" s="616">
        <f>COUNTIFS('AR | Drawing List'!$H:$H,"AR-VC1-2",'AR | Drawing List'!P:P,1)</f>
        <v>0</v>
      </c>
      <c r="AW200" s="328"/>
      <c r="AX200" s="616">
        <f t="shared" si="715"/>
        <v>0</v>
      </c>
      <c r="AY200" s="616">
        <f>COUNTIFS('AR | Drawing List'!$H:$H,"AR-VC1-2",'AR | Drawing List'!R:R,1)</f>
        <v>0</v>
      </c>
      <c r="AZ200" s="616">
        <f>COUNTIFS('AR | Drawing List'!$H:$H,"AR-VC1-2",'AR | Drawing List'!S:S,1)</f>
        <v>0</v>
      </c>
      <c r="BA200" s="616">
        <f>COUNTIFS('AR | Drawing List'!$H:$H,"AR-VC1-2",'AR | Drawing List'!T:T,1)</f>
        <v>0</v>
      </c>
      <c r="BB200" s="616">
        <f>COUNTIFS('AR | Drawing List'!$H:$H,"AR-VC1-2",'AR | Drawing List'!U:U,1)</f>
        <v>0</v>
      </c>
      <c r="BC200" s="359"/>
      <c r="BD200" s="359"/>
      <c r="BE200" s="525">
        <v>0.3</v>
      </c>
      <c r="BF200" s="343"/>
      <c r="BG200" s="616">
        <f>$BG$198/$BE$198*BE200</f>
        <v>0.23696470588235291</v>
      </c>
      <c r="BH200" s="618">
        <f t="shared" si="1001"/>
        <v>0.23696470588235291</v>
      </c>
      <c r="BI200" s="615">
        <f>IFERROR(IF(BV200=100%,BG200,0),0)</f>
        <v>0.23696470588235291</v>
      </c>
      <c r="BJ200" s="615">
        <f>IFERROR(IF(AND((BV200+BW200)=100%,BV200&lt;1),BG200,0),0)</f>
        <v>0</v>
      </c>
      <c r="BK200" s="615">
        <f>IFERROR(IF(AND((CA200+CC200)=BZ200,BI200=0),BG200,0),0)</f>
        <v>0</v>
      </c>
      <c r="BL200" s="615">
        <f>IFERROR(IF(AND((CA200+CC200+CD200)=BZ200,BI200=0,BK200=0),BG200,0),0)</f>
        <v>0</v>
      </c>
      <c r="BM200" s="615">
        <f>IFERROR(IF(AND((CA200+CC200+CD200+CE200)=BZ200,BI200=0,BK200=0,BL200=0),BG200,0),0)</f>
        <v>0</v>
      </c>
      <c r="BN200" s="615">
        <f>IFERROR(IF(AND((CA200+CC200+CD200+CE200+CF200)=BZ200,BI200=0,BK200=0,BL200=0,BM200=0),BG200,0),0)</f>
        <v>0</v>
      </c>
      <c r="BO200" s="339"/>
      <c r="BP200" s="615">
        <f>IFERROR(IF(AND((BV200+BX200)=100%,BV200&lt;1),BG200,0),0)</f>
        <v>0</v>
      </c>
      <c r="BQ200" s="615">
        <f>IFERROR(IF(AND((CA200+CI200)=BZ200,BI200=0),BG200,0),0)</f>
        <v>0</v>
      </c>
      <c r="BR200" s="615">
        <f>IFERROR(IF(AND((CA200+CI200+CJ200)=BZ200,BI200=0,BQ200=0),BG200,0),0)</f>
        <v>0</v>
      </c>
      <c r="BS200" s="615">
        <f>IFERROR(IF(AND((CA200+CI200+CJ200+CK200)=BZ200,BI200=0,BQ200=0,BR200=0),BG200,0),0)</f>
        <v>0</v>
      </c>
      <c r="BT200" s="615">
        <f>IFERROR(IF(AND((CA200+CI200+CJ200+CK200+CL200)=BZ200,BI200=0,BQ200=0,BR200=0,BS200=0),BG200,0),0)</f>
        <v>0</v>
      </c>
      <c r="BU200" s="339"/>
      <c r="BV200" s="635">
        <f t="shared" si="1036"/>
        <v>1</v>
      </c>
      <c r="BW200" s="635">
        <f t="shared" si="1037"/>
        <v>0</v>
      </c>
      <c r="BX200" s="635">
        <f t="shared" si="1038"/>
        <v>0</v>
      </c>
      <c r="BY200" s="345"/>
      <c r="BZ200" s="615">
        <f>COUNTIF('ST | Drawing List'!$H:$H,"ST-VC1-2")</f>
        <v>5</v>
      </c>
      <c r="CA200" s="616">
        <f>COUNTIFS('ST | Drawing List'!$H:$H,"ST-VC1-2",'ST | Drawing List'!$J:$J,1)</f>
        <v>5</v>
      </c>
      <c r="CB200" s="623">
        <f>COUNTIFS('ST | Drawing List'!$H:$H,"ST-VC1-2",'ST | Drawing List'!$L:$L,1)</f>
        <v>0</v>
      </c>
      <c r="CC200" s="616">
        <f>COUNTIFS('ST | Drawing List'!$H:$H,"ST-VC1-2",'ST | Drawing List'!M:M,1)</f>
        <v>0</v>
      </c>
      <c r="CD200" s="616">
        <f>COUNTIFS('ST | Drawing List'!$H:$H,"ST-VC1-2",'ST | Drawing List'!N:N,1)</f>
        <v>0</v>
      </c>
      <c r="CE200" s="616">
        <f>COUNTIFS('ST | Drawing List'!$H:$H,"ST-VC1-2",'ST | Drawing List'!O:O,1)</f>
        <v>0</v>
      </c>
      <c r="CF200" s="616">
        <f>COUNTIFS('ST | Drawing List'!$H:$H,"ST-VC1-2",'ST | Drawing List'!P:P,1)</f>
        <v>0</v>
      </c>
      <c r="CG200" s="532"/>
      <c r="CH200" s="623">
        <f>COUNTIFS('ST | Drawing List'!$H:$H,"ST-VC1-2",'ST | Drawing List'!$Q:$Q,1)</f>
        <v>0</v>
      </c>
      <c r="CI200" s="616">
        <f>COUNTIFS('ST | Drawing List'!$H:$H,"ST-VC1-2",'ST | Drawing List'!R:R,1)</f>
        <v>0</v>
      </c>
      <c r="CJ200" s="616">
        <f>COUNTIFS('ST | Drawing List'!$H:$H,"ST-VC1-2",'ST | Drawing List'!S:S,1)</f>
        <v>0</v>
      </c>
      <c r="CK200" s="616">
        <f>COUNTIFS('ST | Drawing List'!$H:$H,"ST-VC1-2",'ST | Drawing List'!T:T,1)</f>
        <v>0</v>
      </c>
      <c r="CL200" s="616">
        <f>COUNTIFS('ST | Drawing List'!$H:$H,"ST-VC1-2",'ST | Drawing List'!U:U,1)</f>
        <v>0</v>
      </c>
      <c r="CM200" s="343"/>
      <c r="CN200" s="343"/>
      <c r="CO200" s="525">
        <v>0.2</v>
      </c>
      <c r="CP200" s="343"/>
      <c r="CQ200" s="616">
        <f>$CQ$198/$CO$198*CO200</f>
        <v>9.8823529411764741E-3</v>
      </c>
      <c r="CR200" s="618">
        <f t="shared" si="1002"/>
        <v>9.8823529411764741E-3</v>
      </c>
      <c r="CS200" s="615">
        <f>IFERROR(IF(DF200=100%,CQ200,0),0)</f>
        <v>9.8823529411764741E-3</v>
      </c>
      <c r="CT200" s="615">
        <f t="shared" si="1039"/>
        <v>0</v>
      </c>
      <c r="CU200" s="615">
        <f t="shared" si="1040"/>
        <v>0</v>
      </c>
      <c r="CV200" s="615">
        <f t="shared" si="1041"/>
        <v>0</v>
      </c>
      <c r="CW200" s="615">
        <f t="shared" si="1042"/>
        <v>0</v>
      </c>
      <c r="CX200" s="615">
        <f t="shared" si="1043"/>
        <v>0</v>
      </c>
      <c r="CY200" s="339"/>
      <c r="CZ200" s="615">
        <f t="shared" si="1044"/>
        <v>0</v>
      </c>
      <c r="DA200" s="615">
        <f t="shared" si="1045"/>
        <v>0</v>
      </c>
      <c r="DB200" s="615">
        <f t="shared" si="1046"/>
        <v>0</v>
      </c>
      <c r="DC200" s="615">
        <f t="shared" si="1047"/>
        <v>0</v>
      </c>
      <c r="DD200" s="615">
        <f t="shared" si="1048"/>
        <v>0</v>
      </c>
      <c r="DE200" s="339"/>
      <c r="DF200" s="625">
        <f t="shared" si="1049"/>
        <v>1</v>
      </c>
      <c r="DG200" s="625">
        <f t="shared" si="1050"/>
        <v>0</v>
      </c>
      <c r="DH200" s="625">
        <f t="shared" si="1051"/>
        <v>0</v>
      </c>
      <c r="DI200" s="345"/>
      <c r="DJ200" s="615">
        <f>COUNTIF('MEP | Drawing List'!$H:$H,"MEP-VC1-2")</f>
        <v>4</v>
      </c>
      <c r="DK200" s="616">
        <f>COUNTIFS('MEP | Drawing List'!$H:$H,"MEP-VC1-2",'MEP | Drawing List'!$J:$J,1)</f>
        <v>4</v>
      </c>
      <c r="DL200" s="616">
        <f>COUNTIFS('MEP | Drawing List'!$H:$H,"MEP-VC1-2",'MEP | Drawing List'!$L:$L,1)</f>
        <v>0</v>
      </c>
      <c r="DM200" s="615">
        <f>COUNTIFS('MEP | Drawing List'!$H:$H,"MEP-VC1-2",'MEP | Drawing List'!M:M,1)</f>
        <v>0</v>
      </c>
      <c r="DN200" s="615">
        <f>COUNTIFS('MEP | Drawing List'!$H:$H,"MEP-VC1-2",'MEP | Drawing List'!N:N,1)</f>
        <v>0</v>
      </c>
      <c r="DO200" s="615">
        <f>COUNTIFS('MEP | Drawing List'!$H:$H,"MEP-VC1-2",'MEP | Drawing List'!O:O,1)</f>
        <v>0</v>
      </c>
      <c r="DP200" s="615">
        <f>COUNTIFS('MEP | Drawing List'!$H:$H,"MEP-VC1-2",'MEP | Drawing List'!P:P,1)</f>
        <v>0</v>
      </c>
      <c r="DQ200" s="339"/>
      <c r="DR200" s="616">
        <f>COUNTIFS('MEP | Drawing List'!$H:$H,"MEP-VC1-2",'MEP | Drawing List'!$Q:$Q,1)</f>
        <v>0</v>
      </c>
      <c r="DS200" s="615">
        <f>COUNTIFS('MEP | Drawing List'!$H:$H,"MEP-VC1-2",'MEP | Drawing List'!R:R,1)</f>
        <v>0</v>
      </c>
      <c r="DT200" s="615">
        <f>COUNTIFS('MEP | Drawing List'!$H:$H,"MEP-VC1-2",'MEP | Drawing List'!S:S,1)</f>
        <v>0</v>
      </c>
      <c r="DU200" s="615">
        <f>COUNTIFS('MEP | Drawing List'!$H:$H,"MEP-VC1-2",'MEP | Drawing List'!T:T,1)</f>
        <v>0</v>
      </c>
      <c r="DV200" s="615">
        <f>COUNTIFS('MEP | Drawing List'!$H:$H,"MEP-VC1-2",'MEP | Drawing List'!U:U,1)</f>
        <v>0</v>
      </c>
      <c r="DW200" s="343"/>
      <c r="DX200" s="343"/>
      <c r="DY200" s="525">
        <v>0</v>
      </c>
      <c r="DZ200" s="343"/>
      <c r="EA200" s="344">
        <v>0</v>
      </c>
      <c r="EB200" s="618">
        <f t="shared" si="1003"/>
        <v>0</v>
      </c>
      <c r="EC200" s="615">
        <f>IFERROR(IF(EP200=100%,EA200,0),0)</f>
        <v>0</v>
      </c>
      <c r="ED200" s="615">
        <f>IFERROR(IF(AND((EP200+EQ200)=100%,EP200&lt;1),EA200,0),0)</f>
        <v>0</v>
      </c>
      <c r="EE200" s="615">
        <f>IFERROR(IF(AND((EU200+EW200)=ET200,EC200=0),EA200,0),0)</f>
        <v>0</v>
      </c>
      <c r="EF200" s="615">
        <f>IFERROR(IF(AND((EU200+EW200+EX200)=ET200,EC200=0,EE200=0),EA200,0),0)</f>
        <v>0</v>
      </c>
      <c r="EG200" s="615">
        <f>IFERROR(IF(AND((EU200+EW200+EX200+EY200)=ET200,EC200=0,EE200=0,EF200=0),EA200,0),0)</f>
        <v>0</v>
      </c>
      <c r="EH200" s="615">
        <f>IFERROR(IF(AND((EU200+EW200+EX200+EY200+EZ200)=ET200,EC200=0,EE200=0,EF200=0,EG200=0),EA200,0),0)</f>
        <v>0</v>
      </c>
      <c r="EI200" s="339"/>
      <c r="EJ200" s="620">
        <f t="shared" si="1052"/>
        <v>0</v>
      </c>
      <c r="EK200" s="615">
        <f t="shared" si="1053"/>
        <v>0</v>
      </c>
      <c r="EL200" s="615">
        <f t="shared" si="1054"/>
        <v>0</v>
      </c>
      <c r="EM200" s="615">
        <f t="shared" si="1055"/>
        <v>0</v>
      </c>
      <c r="EN200" s="615">
        <f t="shared" si="1056"/>
        <v>0</v>
      </c>
      <c r="EO200" s="339"/>
      <c r="EP200" s="627">
        <f t="shared" si="1057"/>
        <v>0</v>
      </c>
      <c r="EQ200" s="627">
        <f t="shared" si="1058"/>
        <v>0</v>
      </c>
      <c r="ER200" s="627">
        <f t="shared" si="1059"/>
        <v>0</v>
      </c>
      <c r="ES200" s="55"/>
      <c r="ET200" s="615">
        <f>COUNTIF('LS | Drawing List'!$H:$H,"LS-V01-2")</f>
        <v>0</v>
      </c>
      <c r="EU200" s="616">
        <f>COUNTIFS('LS | Drawing List'!$H:$H,"LS-V01-2",'LS | Drawing List'!$J:$J,1)</f>
        <v>0</v>
      </c>
      <c r="EV200" s="616">
        <f>COUNTIFS('LS | Drawing List'!$H:$H,"LS-V01-2",'LS | Drawing List'!$L:$L,1)</f>
        <v>0</v>
      </c>
      <c r="EW200" s="615">
        <f>COUNTIFS('LS | Drawing List'!$H:$H,"LS-V01-2",'LS | Drawing List'!M:M,1)</f>
        <v>0</v>
      </c>
      <c r="EX200" s="615">
        <f>COUNTIFS('LS | Drawing List'!$H:$H,"LS-V01-2",'LS | Drawing List'!N:N,1)</f>
        <v>0</v>
      </c>
      <c r="EY200" s="615">
        <f>COUNTIFS('LS | Drawing List'!$H:$H,"LS-V01-2",'LS | Drawing List'!O:O,1)</f>
        <v>0</v>
      </c>
      <c r="EZ200" s="615">
        <f>COUNTIFS('LS | Drawing List'!$H:$H,"LS-V01-2",'LS | Drawing List'!P:P,1)</f>
        <v>0</v>
      </c>
      <c r="FA200" s="81"/>
      <c r="FB200" s="616">
        <f>COUNTIFS('LS | Drawing List'!$H:$H,"LS-V01-2",'LS | Drawing List'!$Q:$Q,1)</f>
        <v>0</v>
      </c>
      <c r="FC200" s="615">
        <f>COUNTIFS('LS | Drawing List'!$H:$H,"LS-V01-2",'LS | Drawing List'!R:R,1)</f>
        <v>0</v>
      </c>
      <c r="FD200" s="615">
        <f>COUNTIFS('LS | Drawing List'!$H:$H,"LS-V01-2",'LS | Drawing List'!S:S,1)</f>
        <v>0</v>
      </c>
      <c r="FE200" s="615">
        <f>COUNTIFS('LS | Drawing List'!$H:$H,"LS-V01-2",'LS | Drawing List'!T:T,1)</f>
        <v>0</v>
      </c>
      <c r="FF200" s="615">
        <f>COUNTIFS('LS | Drawing List'!$H:$H,"LS-V01-2",'LS | Drawing List'!U:U,1)</f>
        <v>0</v>
      </c>
      <c r="FG200" s="48"/>
    </row>
    <row r="201" spans="1:163" ht="14.25" hidden="1" outlineLevel="2">
      <c r="A201" s="48"/>
      <c r="B201" s="87" t="s">
        <v>180</v>
      </c>
      <c r="C201" s="276">
        <v>3</v>
      </c>
      <c r="D201" s="272" t="s">
        <v>156</v>
      </c>
      <c r="E201" s="48"/>
      <c r="F201" s="619">
        <f t="shared" si="1033"/>
        <v>0.57784197783461222</v>
      </c>
      <c r="G201" s="619">
        <f t="shared" si="1034"/>
        <v>0.57784197783461222</v>
      </c>
      <c r="H201" s="615">
        <f t="shared" si="1035"/>
        <v>0</v>
      </c>
      <c r="I201" s="615">
        <f t="shared" si="1004"/>
        <v>0</v>
      </c>
      <c r="J201" s="615">
        <f t="shared" si="1005"/>
        <v>0</v>
      </c>
      <c r="K201" s="615">
        <f t="shared" si="1006"/>
        <v>0</v>
      </c>
      <c r="L201" s="615">
        <f t="shared" si="1007"/>
        <v>0</v>
      </c>
      <c r="M201" s="620">
        <f t="shared" si="1008"/>
        <v>0</v>
      </c>
      <c r="N201" s="287"/>
      <c r="O201" s="615">
        <f t="shared" si="1009"/>
        <v>0</v>
      </c>
      <c r="P201" s="615">
        <f t="shared" si="1010"/>
        <v>0</v>
      </c>
      <c r="Q201" s="615">
        <f t="shared" si="1011"/>
        <v>0</v>
      </c>
      <c r="R201" s="615">
        <f t="shared" si="1012"/>
        <v>0</v>
      </c>
      <c r="S201" s="615">
        <f t="shared" si="1013"/>
        <v>0</v>
      </c>
      <c r="T201" s="48"/>
      <c r="U201" s="519">
        <v>0.2</v>
      </c>
      <c r="V201" s="131"/>
      <c r="W201" s="619">
        <f>$W$198/$U$198*U201</f>
        <v>0.40918550724637692</v>
      </c>
      <c r="X201" s="619">
        <f t="shared" si="1000"/>
        <v>0.40918550724637692</v>
      </c>
      <c r="Y201" s="615">
        <f>IFERROR(IF(AL201=100%,W201,0),0)</f>
        <v>0.40918550724637692</v>
      </c>
      <c r="Z201" s="615">
        <f>IFERROR(IF(AND((AL201+AM201)=100%,AL201&lt;1),W201,0),0)</f>
        <v>0</v>
      </c>
      <c r="AA201" s="615">
        <f>IFERROR(IF(AND((AQ201+AS201)=AP201,Y201=0),W201,0),0)</f>
        <v>0</v>
      </c>
      <c r="AB201" s="615">
        <f>IFERROR(IF(AND((AQ201+AS201+AT201)=AP201,Y201=0,AA201=0),W201,0),0)</f>
        <v>0</v>
      </c>
      <c r="AC201" s="615">
        <f>IFERROR(IF(AND((AQ201+AS201+AT201+AU201)=AP201,Y201=0,AA201=0,AB201=0),W201,0),0)</f>
        <v>0</v>
      </c>
      <c r="AD201" s="620">
        <f>IFERROR(IF(AND((AQ201+AS201+AT201+AU201+AV201)=AP201,Y201=0,AA201=0,AB201=0,AC201=0),W201,0),0)</f>
        <v>0</v>
      </c>
      <c r="AE201" s="287"/>
      <c r="AF201" s="615">
        <f>IFERROR(IF(AND((AL201+AN201)=100%,AL201&lt;1),W201,0),0)</f>
        <v>0</v>
      </c>
      <c r="AG201" s="615">
        <f>IFERROR(IF(AND((AQ201+AY201)=AP201,Y201=0),W201,0),0)</f>
        <v>0</v>
      </c>
      <c r="AH201" s="615">
        <f>IFERROR(IF(AND((AQ201+AY201+AZ201)=AP201,Y201=0,AG201=0),W201,0),0)</f>
        <v>0</v>
      </c>
      <c r="AI201" s="615">
        <f>IFERROR(IF(AND((AQ201+AY201+AZ201+BA201)=AP201,Y201=0,AG201=0,AH201=0),W201,0),0)</f>
        <v>0</v>
      </c>
      <c r="AJ201" s="615">
        <f>IFERROR(IF(AND((AQ201+AY201+AZ201+BA201+BB201)=AP201,Y201=0,AG201=0,AH201=0,AI201=0),W201,0),0)</f>
        <v>0</v>
      </c>
      <c r="AK201" s="339"/>
      <c r="AL201" s="625">
        <f>IFERROR(AQ201/AP201,0)</f>
        <v>1</v>
      </c>
      <c r="AM201" s="625">
        <f>IFERROR(AR201/AP201,0)</f>
        <v>0</v>
      </c>
      <c r="AN201" s="625">
        <f>IFERROR(AX201/AP201,0)</f>
        <v>0</v>
      </c>
      <c r="AO201" s="345"/>
      <c r="AP201" s="615">
        <f>COUNTIF('AR | Drawing List'!$H:$H,"AR-VC1-3")</f>
        <v>22</v>
      </c>
      <c r="AQ201" s="616">
        <f>COUNTIFS('AR | Drawing List'!$H:$H,"AR-VC1-3",'AR | Drawing List'!$J:$J,1)</f>
        <v>22</v>
      </c>
      <c r="AR201" s="616">
        <f t="shared" si="684"/>
        <v>0</v>
      </c>
      <c r="AS201" s="616">
        <f>COUNTIFS('AR | Drawing List'!$H:$H,"AR-VC1-3",'AR | Drawing List'!M:M,1)</f>
        <v>0</v>
      </c>
      <c r="AT201" s="616">
        <f>COUNTIFS('AR | Drawing List'!$H:$H,"AR-VC1-3",'AR | Drawing List'!N:N,1)</f>
        <v>0</v>
      </c>
      <c r="AU201" s="616">
        <f>COUNTIFS('AR | Drawing List'!$H:$H,"AR-VC1-3",'AR | Drawing List'!O:O,1)</f>
        <v>0</v>
      </c>
      <c r="AV201" s="616">
        <f>COUNTIFS('AR | Drawing List'!$H:$H,"AR-VC1-3",'AR | Drawing List'!P:P,1)</f>
        <v>0</v>
      </c>
      <c r="AW201" s="328"/>
      <c r="AX201" s="616">
        <f t="shared" si="715"/>
        <v>0</v>
      </c>
      <c r="AY201" s="616">
        <f>COUNTIFS('AR | Drawing List'!$H:$H,"AR-VC1-3",'AR | Drawing List'!R:R,1)</f>
        <v>0</v>
      </c>
      <c r="AZ201" s="616">
        <f>COUNTIFS('AR | Drawing List'!$H:$H,"AR-VC1-3",'AR | Drawing List'!S:S,1)</f>
        <v>0</v>
      </c>
      <c r="BA201" s="616">
        <f>COUNTIFS('AR | Drawing List'!$H:$H,"AR-VC1-3",'AR | Drawing List'!T:T,1)</f>
        <v>0</v>
      </c>
      <c r="BB201" s="616">
        <f>COUNTIFS('AR | Drawing List'!$H:$H,"AR-VC1-3",'AR | Drawing List'!U:U,1)</f>
        <v>0</v>
      </c>
      <c r="BC201" s="359"/>
      <c r="BD201" s="359"/>
      <c r="BE201" s="525">
        <v>0.05</v>
      </c>
      <c r="BF201" s="343"/>
      <c r="BG201" s="616">
        <f>$BG$198/$BE$198*BE201</f>
        <v>3.9494117647058818E-2</v>
      </c>
      <c r="BH201" s="618">
        <f t="shared" si="1001"/>
        <v>3.9494117647058818E-2</v>
      </c>
      <c r="BI201" s="615">
        <f>IFERROR(IF(BV201=100%,BG201,0),0)</f>
        <v>3.9494117647058818E-2</v>
      </c>
      <c r="BJ201" s="615">
        <f>IFERROR(IF(AND((BV201+BW201)=100%,BV201&lt;1),BG201,0),0)</f>
        <v>0</v>
      </c>
      <c r="BK201" s="615">
        <f>IFERROR(IF(AND((CA201+CC201)=BZ201,BI201=0),BG201,0),0)</f>
        <v>0</v>
      </c>
      <c r="BL201" s="615">
        <f>IFERROR(IF(AND((CA201+CC201+CD201)=BZ201,BI201=0,BK201=0),BG201,0),0)</f>
        <v>0</v>
      </c>
      <c r="BM201" s="615">
        <f>IFERROR(IF(AND((CA201+CC201+CD201+CE201)=BZ201,BI201=0,BK201=0,BL201=0),BG201,0),0)</f>
        <v>0</v>
      </c>
      <c r="BN201" s="615">
        <f>IFERROR(IF(AND((CA201+CC201+CD201+CE201+CF201)=BZ201,BI201=0,BK201=0,BL201=0,BM201=0),BG201,0),0)</f>
        <v>0</v>
      </c>
      <c r="BO201" s="339"/>
      <c r="BP201" s="615">
        <f>IFERROR(IF(AND((BV201+BX201)=100%,BV201&lt;1),BG201,0),0)</f>
        <v>0</v>
      </c>
      <c r="BQ201" s="615">
        <f>IFERROR(IF(AND((CA201+CI201)=BZ201,BI201=0),BG201,0),0)</f>
        <v>0</v>
      </c>
      <c r="BR201" s="615">
        <f>IFERROR(IF(AND((CA201+CI201+CJ201)=BZ201,BI201=0,BQ201=0),BG201,0),0)</f>
        <v>0</v>
      </c>
      <c r="BS201" s="615">
        <f>IFERROR(IF(AND((CA201+CI201+CJ201+CK201)=BZ201,BI201=0,BQ201=0,BR201=0),BG201,0),0)</f>
        <v>0</v>
      </c>
      <c r="BT201" s="615">
        <f>IFERROR(IF(AND((CA201+CI201+CJ201+CK201+CL201)=BZ201,BI201=0,BQ201=0,BR201=0,BS201=0),BG201,0),0)</f>
        <v>0</v>
      </c>
      <c r="BU201" s="339"/>
      <c r="BV201" s="635">
        <f t="shared" si="1036"/>
        <v>1</v>
      </c>
      <c r="BW201" s="635">
        <f t="shared" si="1037"/>
        <v>0</v>
      </c>
      <c r="BX201" s="635">
        <f t="shared" si="1038"/>
        <v>0</v>
      </c>
      <c r="BY201" s="345"/>
      <c r="BZ201" s="615">
        <f>COUNTIF('ST | Drawing List'!$H:$H,"ST-VC1-3")</f>
        <v>2</v>
      </c>
      <c r="CA201" s="616">
        <f>COUNTIFS('ST | Drawing List'!$H:$H,"ST-VC1-3",'ST | Drawing List'!$J:$J,1)</f>
        <v>2</v>
      </c>
      <c r="CB201" s="623">
        <f>COUNTIFS('ST | Drawing List'!$H:$H,"ST-VC1-3",'ST | Drawing List'!$L:$L,1)</f>
        <v>0</v>
      </c>
      <c r="CC201" s="616">
        <f>COUNTIFS('ST | Drawing List'!$H:$H,"ST-VC1-3",'ST | Drawing List'!M:M,1)</f>
        <v>0</v>
      </c>
      <c r="CD201" s="616">
        <f>COUNTIFS('ST | Drawing List'!$H:$H,"ST-VC1-3",'ST | Drawing List'!N:N,1)</f>
        <v>0</v>
      </c>
      <c r="CE201" s="616">
        <f>COUNTIFS('ST | Drawing List'!$H:$H,"ST-VC1-3",'ST | Drawing List'!O:O,1)</f>
        <v>0</v>
      </c>
      <c r="CF201" s="616">
        <f>COUNTIFS('ST | Drawing List'!$H:$H,"ST-VC1-3",'ST | Drawing List'!P:P,1)</f>
        <v>0</v>
      </c>
      <c r="CG201" s="532"/>
      <c r="CH201" s="623">
        <f>COUNTIFS('ST | Drawing List'!$H:$H,"ST-VC1-3",'ST | Drawing List'!$Q:$Q,1)</f>
        <v>0</v>
      </c>
      <c r="CI201" s="616">
        <f>COUNTIFS('ST | Drawing List'!$H:$H,"ST-VC1-3",'ST | Drawing List'!R:R,1)</f>
        <v>0</v>
      </c>
      <c r="CJ201" s="616">
        <f>COUNTIFS('ST | Drawing List'!$H:$H,"ST-VC1-3",'ST | Drawing List'!S:S,1)</f>
        <v>0</v>
      </c>
      <c r="CK201" s="616">
        <f>COUNTIFS('ST | Drawing List'!$H:$H,"ST-VC1-3",'ST | Drawing List'!T:T,1)</f>
        <v>0</v>
      </c>
      <c r="CL201" s="616">
        <f>COUNTIFS('ST | Drawing List'!$H:$H,"ST-VC1-3",'ST | Drawing List'!U:U,1)</f>
        <v>0</v>
      </c>
      <c r="CM201" s="343"/>
      <c r="CN201" s="343"/>
      <c r="CO201" s="525">
        <v>0.15</v>
      </c>
      <c r="CP201" s="343"/>
      <c r="CQ201" s="616">
        <f>$CQ$198/$CO$198*CO201</f>
        <v>7.4117647058823538E-3</v>
      </c>
      <c r="CR201" s="618">
        <f t="shared" si="1002"/>
        <v>7.4117647058823538E-3</v>
      </c>
      <c r="CS201" s="615">
        <f>IFERROR(IF(DF201=100%,CQ201,0),0)</f>
        <v>7.4117647058823538E-3</v>
      </c>
      <c r="CT201" s="615">
        <f t="shared" si="1039"/>
        <v>0</v>
      </c>
      <c r="CU201" s="615">
        <f t="shared" si="1040"/>
        <v>0</v>
      </c>
      <c r="CV201" s="615">
        <f t="shared" si="1041"/>
        <v>0</v>
      </c>
      <c r="CW201" s="615">
        <f t="shared" si="1042"/>
        <v>0</v>
      </c>
      <c r="CX201" s="615">
        <f t="shared" si="1043"/>
        <v>0</v>
      </c>
      <c r="CY201" s="339"/>
      <c r="CZ201" s="615">
        <f t="shared" si="1044"/>
        <v>0</v>
      </c>
      <c r="DA201" s="615">
        <f t="shared" si="1045"/>
        <v>0</v>
      </c>
      <c r="DB201" s="615">
        <f t="shared" si="1046"/>
        <v>0</v>
      </c>
      <c r="DC201" s="615">
        <f t="shared" si="1047"/>
        <v>0</v>
      </c>
      <c r="DD201" s="615">
        <f t="shared" si="1048"/>
        <v>0</v>
      </c>
      <c r="DE201" s="339"/>
      <c r="DF201" s="625">
        <f t="shared" si="1049"/>
        <v>1</v>
      </c>
      <c r="DG201" s="625">
        <f t="shared" si="1050"/>
        <v>0</v>
      </c>
      <c r="DH201" s="625">
        <f t="shared" si="1051"/>
        <v>0</v>
      </c>
      <c r="DI201" s="345"/>
      <c r="DJ201" s="615">
        <f>COUNTIF('MEP | Drawing List'!$H:$H,"MEP-VC1-3")</f>
        <v>2</v>
      </c>
      <c r="DK201" s="616">
        <f>COUNTIFS('MEP | Drawing List'!$H:$H,"MEP-VC1-3",'MEP | Drawing List'!$J:$J,1)</f>
        <v>2</v>
      </c>
      <c r="DL201" s="616">
        <f>COUNTIFS('MEP | Drawing List'!$H:$H,"MEP-VC1-3",'MEP | Drawing List'!$L:$L,1)</f>
        <v>0</v>
      </c>
      <c r="DM201" s="615">
        <f>COUNTIFS('MEP | Drawing List'!$H:$H,"MEP-VC1-3",'MEP | Drawing List'!M:M,1)</f>
        <v>0</v>
      </c>
      <c r="DN201" s="615">
        <f>COUNTIFS('MEP | Drawing List'!$H:$H,"MEP-VC1-3",'MEP | Drawing List'!N:N,1)</f>
        <v>0</v>
      </c>
      <c r="DO201" s="615">
        <f>COUNTIFS('MEP | Drawing List'!$H:$H,"MEP-VC1-3",'MEP | Drawing List'!O:O,1)</f>
        <v>0</v>
      </c>
      <c r="DP201" s="615">
        <f>COUNTIFS('MEP | Drawing List'!$H:$H,"MEP-VC1-3",'MEP | Drawing List'!P:P,1)</f>
        <v>0</v>
      </c>
      <c r="DQ201" s="339"/>
      <c r="DR201" s="616">
        <f>COUNTIFS('MEP | Drawing List'!$H:$H,"MEP-VC1-3",'MEP | Drawing List'!$Q:$Q,1)</f>
        <v>0</v>
      </c>
      <c r="DS201" s="615">
        <f>COUNTIFS('MEP | Drawing List'!$H:$H,"MEP-VC1-3",'MEP | Drawing List'!R:R,1)</f>
        <v>0</v>
      </c>
      <c r="DT201" s="615">
        <f>COUNTIFS('MEP | Drawing List'!$H:$H,"MEP-VC1-3",'MEP | Drawing List'!S:S,1)</f>
        <v>0</v>
      </c>
      <c r="DU201" s="615">
        <f>COUNTIFS('MEP | Drawing List'!$H:$H,"MEP-VC1-3",'MEP | Drawing List'!T:T,1)</f>
        <v>0</v>
      </c>
      <c r="DV201" s="615">
        <f>COUNTIFS('MEP | Drawing List'!$H:$H,"MEP-VC1-3",'MEP | Drawing List'!U:U,1)</f>
        <v>0</v>
      </c>
      <c r="DW201" s="343"/>
      <c r="DX201" s="343"/>
      <c r="DY201" s="525">
        <v>0.55000000000000004</v>
      </c>
      <c r="DZ201" s="343"/>
      <c r="EA201" s="616">
        <f>$EA$198/$DY$198*DY201</f>
        <v>0.12175058823529417</v>
      </c>
      <c r="EB201" s="618">
        <f t="shared" si="1003"/>
        <v>0.12175058823529417</v>
      </c>
      <c r="EC201" s="615">
        <f>IFERROR(IF(EP201=100%,EA201,0),0)</f>
        <v>0.12175058823529417</v>
      </c>
      <c r="ED201" s="615">
        <f>IFERROR(IF(AND((EP201+EQ201)=100%,EP201&lt;1),EA201,0),0)</f>
        <v>0</v>
      </c>
      <c r="EE201" s="615">
        <f>IFERROR(IF(AND((EU201+EW201)=ET201,EC201=0),EA201,0),0)</f>
        <v>0</v>
      </c>
      <c r="EF201" s="615">
        <f>IFERROR(IF(AND((EU201+EW201+EX201)=ET201,EC201=0,EE201=0),EA201,0),0)</f>
        <v>0</v>
      </c>
      <c r="EG201" s="615">
        <f>IFERROR(IF(AND((EU201+EW201+EX201+EY201)=ET201,EC201=0,EE201=0,EF201=0),EA201,0),0)</f>
        <v>0</v>
      </c>
      <c r="EH201" s="615">
        <f>IFERROR(IF(AND((EU201+EW201+EX201+EY201+EZ201)=ET201,EC201=0,EE201=0,EF201=0,EG201=0),EA201,0),0)</f>
        <v>0</v>
      </c>
      <c r="EI201" s="339"/>
      <c r="EJ201" s="620">
        <f t="shared" si="1052"/>
        <v>0</v>
      </c>
      <c r="EK201" s="615">
        <f t="shared" si="1053"/>
        <v>0</v>
      </c>
      <c r="EL201" s="615">
        <f t="shared" si="1054"/>
        <v>0</v>
      </c>
      <c r="EM201" s="615">
        <f t="shared" si="1055"/>
        <v>0</v>
      </c>
      <c r="EN201" s="615">
        <f t="shared" si="1056"/>
        <v>0</v>
      </c>
      <c r="EO201" s="339"/>
      <c r="EP201" s="627">
        <f t="shared" si="1057"/>
        <v>1</v>
      </c>
      <c r="EQ201" s="627">
        <f t="shared" si="1058"/>
        <v>0</v>
      </c>
      <c r="ER201" s="627">
        <f t="shared" si="1059"/>
        <v>0</v>
      </c>
      <c r="ES201" s="55"/>
      <c r="ET201" s="615">
        <f>COUNTIF('LS | Drawing List'!$H:$H,"LS-V01-3")</f>
        <v>3</v>
      </c>
      <c r="EU201" s="616">
        <f>COUNTIFS('LS | Drawing List'!$H:$H,"LS-V01-3",'LS | Drawing List'!$J:$J,1)</f>
        <v>3</v>
      </c>
      <c r="EV201" s="616">
        <f>COUNTIFS('LS | Drawing List'!$H:$H,"LS-V01-3",'LS | Drawing List'!$L:$L,1)</f>
        <v>0</v>
      </c>
      <c r="EW201" s="615">
        <f>COUNTIFS('LS | Drawing List'!$H:$H,"LS-V01-3",'LS | Drawing List'!M:M,1)</f>
        <v>0</v>
      </c>
      <c r="EX201" s="615">
        <f>COUNTIFS('LS | Drawing List'!$H:$H,"LS-V01-3",'LS | Drawing List'!N:N,1)</f>
        <v>0</v>
      </c>
      <c r="EY201" s="615">
        <f>COUNTIFS('LS | Drawing List'!$H:$H,"LS-V01-3",'LS | Drawing List'!O:O,1)</f>
        <v>0</v>
      </c>
      <c r="EZ201" s="615">
        <f>COUNTIFS('LS | Drawing List'!$H:$H,"LS-V01-3",'LS | Drawing List'!P:P,1)</f>
        <v>0</v>
      </c>
      <c r="FA201" s="81"/>
      <c r="FB201" s="616">
        <f>COUNTIFS('LS | Drawing List'!$H:$H,"LS-V01-3",'LS | Drawing List'!$Q:$Q,1)</f>
        <v>0</v>
      </c>
      <c r="FC201" s="615">
        <f>COUNTIFS('LS | Drawing List'!$H:$H,"LS-V01-3",'LS | Drawing List'!R:R,1)</f>
        <v>0</v>
      </c>
      <c r="FD201" s="615">
        <f>COUNTIFS('LS | Drawing List'!$H:$H,"LS-V01-3",'LS | Drawing List'!S:S,1)</f>
        <v>0</v>
      </c>
      <c r="FE201" s="615">
        <f>COUNTIFS('LS | Drawing List'!$H:$H,"LS-V01-3",'LS | Drawing List'!T:T,1)</f>
        <v>0</v>
      </c>
      <c r="FF201" s="615">
        <f>COUNTIFS('LS | Drawing List'!$H:$H,"LS-V01-3",'LS | Drawing List'!U:U,1)</f>
        <v>0</v>
      </c>
      <c r="FG201" s="48"/>
    </row>
    <row r="202" spans="1:163" ht="3" hidden="1" customHeight="1" outlineLevel="1">
      <c r="A202" s="48"/>
      <c r="B202" s="49"/>
      <c r="C202" s="280"/>
      <c r="D202" s="272"/>
      <c r="E202" s="48"/>
      <c r="F202" s="338"/>
      <c r="G202" s="619"/>
      <c r="H202" s="374"/>
      <c r="I202" s="374"/>
      <c r="J202" s="374"/>
      <c r="K202" s="374"/>
      <c r="L202" s="374"/>
      <c r="M202" s="374"/>
      <c r="N202" s="374"/>
      <c r="O202" s="374"/>
      <c r="P202" s="374"/>
      <c r="Q202" s="374"/>
      <c r="R202" s="374"/>
      <c r="S202" s="374"/>
      <c r="T202" s="48"/>
      <c r="U202" s="519"/>
      <c r="V202" s="131"/>
      <c r="W202" s="338"/>
      <c r="X202" s="619">
        <f t="shared" si="1000"/>
        <v>0</v>
      </c>
      <c r="Y202" s="374"/>
      <c r="Z202" s="374"/>
      <c r="AA202" s="374"/>
      <c r="AB202" s="374"/>
      <c r="AC202" s="374"/>
      <c r="AD202" s="374"/>
      <c r="AE202" s="374"/>
      <c r="AF202" s="374"/>
      <c r="AG202" s="374"/>
      <c r="AH202" s="374"/>
      <c r="AI202" s="374"/>
      <c r="AJ202" s="374"/>
      <c r="AK202" s="374"/>
      <c r="AL202" s="603"/>
      <c r="AM202" s="603"/>
      <c r="AN202" s="603"/>
      <c r="AO202" s="345"/>
      <c r="AP202" s="359"/>
      <c r="AQ202" s="359"/>
      <c r="AR202" s="359"/>
      <c r="AS202" s="359"/>
      <c r="AT202" s="359"/>
      <c r="AU202" s="359"/>
      <c r="AV202" s="359"/>
      <c r="AW202" s="359"/>
      <c r="AX202" s="359"/>
      <c r="AY202" s="359"/>
      <c r="AZ202" s="359"/>
      <c r="BA202" s="359"/>
      <c r="BB202" s="359"/>
      <c r="BC202" s="359"/>
      <c r="BD202" s="359"/>
      <c r="BE202" s="525"/>
      <c r="BF202" s="343"/>
      <c r="BG202" s="344"/>
      <c r="BH202" s="618">
        <f t="shared" si="1001"/>
        <v>0</v>
      </c>
      <c r="BI202" s="374"/>
      <c r="BJ202" s="374"/>
      <c r="BK202" s="374"/>
      <c r="BL202" s="374"/>
      <c r="BM202" s="374"/>
      <c r="BN202" s="374"/>
      <c r="BO202" s="374"/>
      <c r="BP202" s="374"/>
      <c r="BQ202" s="374"/>
      <c r="BR202" s="374"/>
      <c r="BS202" s="374"/>
      <c r="BT202" s="374"/>
      <c r="BU202" s="374"/>
      <c r="BV202" s="525"/>
      <c r="BW202" s="525"/>
      <c r="BX202" s="525"/>
      <c r="BY202" s="345"/>
      <c r="BZ202" s="540"/>
      <c r="CA202" s="540"/>
      <c r="CB202" s="542"/>
      <c r="CC202" s="540"/>
      <c r="CD202" s="540"/>
      <c r="CE202" s="540"/>
      <c r="CF202" s="540"/>
      <c r="CG202" s="540"/>
      <c r="CH202" s="542"/>
      <c r="CI202" s="540"/>
      <c r="CJ202" s="540"/>
      <c r="CK202" s="540"/>
      <c r="CL202" s="540"/>
      <c r="CM202" s="343"/>
      <c r="CN202" s="343"/>
      <c r="CO202" s="525"/>
      <c r="CP202" s="343"/>
      <c r="CQ202" s="344"/>
      <c r="CR202" s="618">
        <f t="shared" si="1002"/>
        <v>0</v>
      </c>
      <c r="CS202" s="374"/>
      <c r="CT202" s="374"/>
      <c r="CU202" s="374"/>
      <c r="CV202" s="374"/>
      <c r="CW202" s="374"/>
      <c r="CX202" s="374"/>
      <c r="CY202" s="374"/>
      <c r="CZ202" s="374"/>
      <c r="DA202" s="374"/>
      <c r="DB202" s="374"/>
      <c r="DC202" s="374"/>
      <c r="DD202" s="374"/>
      <c r="DE202" s="374"/>
      <c r="DF202" s="603"/>
      <c r="DG202" s="603"/>
      <c r="DH202" s="603"/>
      <c r="DI202" s="345"/>
      <c r="DJ202" s="359"/>
      <c r="DK202" s="359"/>
      <c r="DL202" s="359"/>
      <c r="DM202" s="374"/>
      <c r="DN202" s="374"/>
      <c r="DO202" s="374"/>
      <c r="DP202" s="374"/>
      <c r="DQ202" s="374"/>
      <c r="DR202" s="359"/>
      <c r="DS202" s="374"/>
      <c r="DT202" s="374"/>
      <c r="DU202" s="374"/>
      <c r="DV202" s="374"/>
      <c r="DW202" s="343"/>
      <c r="DX202" s="343"/>
      <c r="DY202" s="525"/>
      <c r="DZ202" s="343"/>
      <c r="EA202" s="344"/>
      <c r="EB202" s="618">
        <f t="shared" si="1003"/>
        <v>0</v>
      </c>
      <c r="EC202" s="88"/>
      <c r="ED202" s="88"/>
      <c r="EE202" s="88"/>
      <c r="EF202" s="88"/>
      <c r="EG202" s="88"/>
      <c r="EH202" s="88"/>
      <c r="EI202" s="88"/>
      <c r="EJ202" s="88"/>
      <c r="EK202" s="88"/>
      <c r="EL202" s="88"/>
      <c r="EM202" s="88"/>
      <c r="EN202" s="88"/>
      <c r="EO202" s="88"/>
      <c r="EP202" s="103"/>
      <c r="EQ202" s="103"/>
      <c r="ER202" s="103"/>
      <c r="ES202" s="55"/>
      <c r="ET202" s="56"/>
      <c r="EU202" s="56"/>
      <c r="EV202" s="56"/>
      <c r="EW202" s="88"/>
      <c r="EX202" s="88"/>
      <c r="EY202" s="88"/>
      <c r="EZ202" s="88"/>
      <c r="FA202" s="88"/>
      <c r="FB202" s="56"/>
      <c r="FC202" s="88"/>
      <c r="FD202" s="88"/>
      <c r="FE202" s="88"/>
      <c r="FF202" s="88"/>
      <c r="FG202" s="48"/>
    </row>
    <row r="203" spans="1:163" ht="14.25" outlineLevel="1">
      <c r="A203" s="48"/>
      <c r="B203" s="73"/>
      <c r="C203" s="275">
        <v>11</v>
      </c>
      <c r="D203" s="271" t="s">
        <v>181</v>
      </c>
      <c r="E203" s="74"/>
      <c r="F203" s="614">
        <f>W203+BG203+CQ203+EA203</f>
        <v>0.66266270247229342</v>
      </c>
      <c r="G203" s="614">
        <f>X203+BH203+CR203+EB203</f>
        <v>0.22989842284739986</v>
      </c>
      <c r="H203" s="612">
        <f>F203-G203</f>
        <v>0.43276427962489356</v>
      </c>
      <c r="I203" s="614">
        <f t="shared" ref="I203:I206" si="1060">Z203+BJ203+CT203+ED203</f>
        <v>0.66266270247229342</v>
      </c>
      <c r="J203" s="614">
        <f t="shared" ref="J203:J206" si="1061">AA203+BK203+CU203+EE203</f>
        <v>0.66266270247229342</v>
      </c>
      <c r="K203" s="614">
        <f t="shared" ref="K203:K206" si="1062">AB203+BL203+CV203+EF203</f>
        <v>0</v>
      </c>
      <c r="L203" s="614">
        <f t="shared" ref="L203:L206" si="1063">AC203+BM203+CW203+EG203</f>
        <v>0</v>
      </c>
      <c r="M203" s="614">
        <f t="shared" ref="M203:M206" si="1064">AD203+BN203+CX203+EH203</f>
        <v>0</v>
      </c>
      <c r="N203" s="281"/>
      <c r="O203" s="614">
        <f t="shared" ref="O203:O206" si="1065">AF203+BP203+CZ203+EJ203</f>
        <v>0.22989842284739986</v>
      </c>
      <c r="P203" s="614">
        <f t="shared" ref="P203:P206" si="1066">AG203+BQ203+DA203+EK203</f>
        <v>0</v>
      </c>
      <c r="Q203" s="614">
        <f t="shared" ref="Q203:Q206" si="1067">AH203+BR203+DB203+EL203</f>
        <v>8.3507246376811617E-2</v>
      </c>
      <c r="R203" s="614">
        <f t="shared" ref="R203:R206" si="1068">AI203+BS203+DC203+EM203</f>
        <v>9.5661764705882349E-2</v>
      </c>
      <c r="S203" s="614">
        <f t="shared" ref="S203:S206" si="1069">AJ203+BT203+DD203+EN203</f>
        <v>5.0729411764705898E-2</v>
      </c>
      <c r="T203" s="74"/>
      <c r="U203" s="332">
        <f>SUM(U204:U206)</f>
        <v>0.5</v>
      </c>
      <c r="V203" s="332"/>
      <c r="W203" s="614">
        <f>U203*(5%*'BOQ COST'!E16)*(20/69)*1</f>
        <v>0.41753623188405803</v>
      </c>
      <c r="X203" s="614">
        <f t="shared" si="1000"/>
        <v>8.3507246376811617E-2</v>
      </c>
      <c r="Y203" s="612">
        <f>SUM(Y204:Y206)</f>
        <v>0</v>
      </c>
      <c r="Z203" s="612">
        <f>SUM(Z204:Z206)</f>
        <v>0.41753623188405808</v>
      </c>
      <c r="AA203" s="612">
        <f t="shared" ref="AA203:AD203" si="1070">SUM(AA204:AA206)</f>
        <v>0.41753623188405808</v>
      </c>
      <c r="AB203" s="612">
        <f t="shared" si="1070"/>
        <v>0</v>
      </c>
      <c r="AC203" s="612">
        <f t="shared" si="1070"/>
        <v>0</v>
      </c>
      <c r="AD203" s="612">
        <f t="shared" si="1070"/>
        <v>0</v>
      </c>
      <c r="AE203" s="281"/>
      <c r="AF203" s="612">
        <f>SUM(AF204:AF206)</f>
        <v>8.3507246376811617E-2</v>
      </c>
      <c r="AG203" s="612">
        <f t="shared" ref="AG203:AJ203" si="1071">SUM(AG204:AG206)</f>
        <v>0</v>
      </c>
      <c r="AH203" s="612">
        <f t="shared" si="1071"/>
        <v>8.3507246376811617E-2</v>
      </c>
      <c r="AI203" s="612">
        <f t="shared" si="1071"/>
        <v>0</v>
      </c>
      <c r="AJ203" s="612">
        <f t="shared" si="1071"/>
        <v>0</v>
      </c>
      <c r="AK203" s="281"/>
      <c r="AL203" s="605"/>
      <c r="AM203" s="605"/>
      <c r="AN203" s="605"/>
      <c r="AO203" s="612">
        <f t="shared" ref="AO203" si="1072">SUM(AO204:AO206)</f>
        <v>0</v>
      </c>
      <c r="AP203" s="612">
        <f t="shared" ref="AP203" si="1073">SUM(AP204:AP206)</f>
        <v>14</v>
      </c>
      <c r="AQ203" s="612">
        <f t="shared" ref="AQ203" si="1074">SUM(AQ204:AQ206)</f>
        <v>0</v>
      </c>
      <c r="AR203" s="612">
        <f t="shared" ref="AR203:AR236" si="1075">SUM(AS203:AV203)</f>
        <v>14</v>
      </c>
      <c r="AS203" s="612">
        <f t="shared" ref="AS203" si="1076">SUM(AS204:AS206)</f>
        <v>14</v>
      </c>
      <c r="AT203" s="612">
        <f t="shared" ref="AT203" si="1077">SUM(AT204:AT206)</f>
        <v>0</v>
      </c>
      <c r="AU203" s="612">
        <f t="shared" ref="AU203" si="1078">SUM(AU204:AU206)</f>
        <v>0</v>
      </c>
      <c r="AV203" s="612">
        <f t="shared" ref="AV203:AX203" si="1079">SUM(AV204:AV206)</f>
        <v>0</v>
      </c>
      <c r="AW203" s="281"/>
      <c r="AX203" s="612">
        <f t="shared" si="1079"/>
        <v>8</v>
      </c>
      <c r="AY203" s="612">
        <f t="shared" ref="AY203:BB203" si="1080">SUM(AY204:AY206)</f>
        <v>0</v>
      </c>
      <c r="AZ203" s="612">
        <f t="shared" si="1080"/>
        <v>8</v>
      </c>
      <c r="BA203" s="612">
        <f t="shared" si="1080"/>
        <v>0</v>
      </c>
      <c r="BB203" s="612">
        <f t="shared" si="1080"/>
        <v>0</v>
      </c>
      <c r="BC203" s="336"/>
      <c r="BD203" s="336"/>
      <c r="BE203" s="332">
        <f>SUM(BE204:BE206)</f>
        <v>0.55000000000000004</v>
      </c>
      <c r="BF203" s="332"/>
      <c r="BG203" s="614">
        <f>BE203*(3%*'BOQ COST'!$F$16)*(20/68)*1</f>
        <v>0.18101470588235294</v>
      </c>
      <c r="BH203" s="614">
        <f t="shared" si="1001"/>
        <v>8.2279411764705879E-2</v>
      </c>
      <c r="BI203" s="612">
        <f>SUM(BI204:BI206)</f>
        <v>0</v>
      </c>
      <c r="BJ203" s="612">
        <f>SUM(BJ204:BJ206)</f>
        <v>0.18101470588235291</v>
      </c>
      <c r="BK203" s="612">
        <f t="shared" ref="BK203:CE203" si="1081">SUM(BK204:BK206)</f>
        <v>0.18101470588235291</v>
      </c>
      <c r="BL203" s="612">
        <f t="shared" si="1081"/>
        <v>0</v>
      </c>
      <c r="BM203" s="612">
        <f t="shared" si="1081"/>
        <v>0</v>
      </c>
      <c r="BN203" s="612">
        <f t="shared" si="1081"/>
        <v>0</v>
      </c>
      <c r="BO203" s="281"/>
      <c r="BP203" s="612">
        <f>SUM(BP204:BP206)</f>
        <v>8.2279411764705879E-2</v>
      </c>
      <c r="BQ203" s="612">
        <f t="shared" ref="BQ203:BT203" si="1082">SUM(BQ204:BQ206)</f>
        <v>0</v>
      </c>
      <c r="BR203" s="612">
        <f t="shared" si="1082"/>
        <v>0</v>
      </c>
      <c r="BS203" s="612">
        <f t="shared" si="1082"/>
        <v>8.2279411764705879E-2</v>
      </c>
      <c r="BT203" s="612">
        <f t="shared" si="1082"/>
        <v>0</v>
      </c>
      <c r="BU203" s="281"/>
      <c r="BV203" s="524"/>
      <c r="BW203" s="524"/>
      <c r="BX203" s="524"/>
      <c r="BY203" s="612">
        <f t="shared" si="1081"/>
        <v>0</v>
      </c>
      <c r="BZ203" s="612">
        <f t="shared" si="1081"/>
        <v>15</v>
      </c>
      <c r="CA203" s="612">
        <f t="shared" si="1081"/>
        <v>0</v>
      </c>
      <c r="CB203" s="612">
        <f t="shared" si="1081"/>
        <v>15</v>
      </c>
      <c r="CC203" s="612">
        <f t="shared" si="1081"/>
        <v>15</v>
      </c>
      <c r="CD203" s="612">
        <f t="shared" si="1081"/>
        <v>0</v>
      </c>
      <c r="CE203" s="612">
        <f t="shared" si="1081"/>
        <v>0</v>
      </c>
      <c r="CF203" s="612">
        <f>SUM(CF204:CF206)</f>
        <v>0</v>
      </c>
      <c r="CG203" s="535"/>
      <c r="CH203" s="612">
        <f t="shared" ref="CH203:CK203" si="1083">SUM(CH204:CH206)</f>
        <v>8</v>
      </c>
      <c r="CI203" s="612">
        <f t="shared" si="1083"/>
        <v>0</v>
      </c>
      <c r="CJ203" s="612">
        <f t="shared" si="1083"/>
        <v>0</v>
      </c>
      <c r="CK203" s="612">
        <f t="shared" si="1083"/>
        <v>8</v>
      </c>
      <c r="CL203" s="612">
        <f>SUM(CL204:CL206)</f>
        <v>0</v>
      </c>
      <c r="CM203" s="332"/>
      <c r="CN203" s="332"/>
      <c r="CO203" s="332">
        <f>SUM(CO204:CO206)</f>
        <v>0.65</v>
      </c>
      <c r="CP203" s="332"/>
      <c r="CQ203" s="614">
        <f>CO203*(2%*'BOQ COST'!$G$16)*(20/68)*1</f>
        <v>1.3382352941176472E-2</v>
      </c>
      <c r="CR203" s="614">
        <f t="shared" si="1002"/>
        <v>1.338235294117647E-2</v>
      </c>
      <c r="CS203" s="612">
        <f>SUM(CS204:CS206)</f>
        <v>0</v>
      </c>
      <c r="CT203" s="612">
        <f>SUM(CT204:CT206)</f>
        <v>1.338235294117647E-2</v>
      </c>
      <c r="CU203" s="612">
        <f t="shared" ref="CU203:DP203" si="1084">SUM(CU204:CU206)</f>
        <v>1.338235294117647E-2</v>
      </c>
      <c r="CV203" s="612">
        <f t="shared" si="1084"/>
        <v>0</v>
      </c>
      <c r="CW203" s="612">
        <f t="shared" si="1084"/>
        <v>0</v>
      </c>
      <c r="CX203" s="612">
        <f t="shared" si="1084"/>
        <v>0</v>
      </c>
      <c r="CY203" s="281"/>
      <c r="CZ203" s="612">
        <f>SUM(CZ204:CZ206)</f>
        <v>1.338235294117647E-2</v>
      </c>
      <c r="DA203" s="612">
        <f t="shared" ref="DA203:DD203" si="1085">SUM(DA204:DA206)</f>
        <v>0</v>
      </c>
      <c r="DB203" s="612">
        <f t="shared" si="1085"/>
        <v>0</v>
      </c>
      <c r="DC203" s="612">
        <f t="shared" si="1085"/>
        <v>1.338235294117647E-2</v>
      </c>
      <c r="DD203" s="612">
        <f t="shared" si="1085"/>
        <v>0</v>
      </c>
      <c r="DE203" s="281"/>
      <c r="DF203" s="605"/>
      <c r="DG203" s="605"/>
      <c r="DH203" s="605"/>
      <c r="DI203" s="612">
        <f t="shared" si="1084"/>
        <v>0</v>
      </c>
      <c r="DJ203" s="612">
        <f t="shared" si="1084"/>
        <v>11</v>
      </c>
      <c r="DK203" s="612">
        <f t="shared" si="1084"/>
        <v>0</v>
      </c>
      <c r="DL203" s="612">
        <f t="shared" si="1084"/>
        <v>11</v>
      </c>
      <c r="DM203" s="612">
        <f t="shared" si="1084"/>
        <v>11</v>
      </c>
      <c r="DN203" s="612">
        <f t="shared" si="1084"/>
        <v>0</v>
      </c>
      <c r="DO203" s="612">
        <f t="shared" si="1084"/>
        <v>0</v>
      </c>
      <c r="DP203" s="612">
        <f t="shared" si="1084"/>
        <v>0</v>
      </c>
      <c r="DQ203" s="281"/>
      <c r="DR203" s="612">
        <f t="shared" ref="DR203:DV203" si="1086">SUM(DR204:DR206)</f>
        <v>11</v>
      </c>
      <c r="DS203" s="612">
        <f t="shared" si="1086"/>
        <v>0</v>
      </c>
      <c r="DT203" s="612">
        <f t="shared" si="1086"/>
        <v>0</v>
      </c>
      <c r="DU203" s="612">
        <f t="shared" si="1086"/>
        <v>11</v>
      </c>
      <c r="DV203" s="612">
        <f t="shared" si="1086"/>
        <v>0</v>
      </c>
      <c r="DW203" s="332"/>
      <c r="DX203" s="332"/>
      <c r="DY203" s="332">
        <f>SUM(DY204:DY206)</f>
        <v>0.55000000000000004</v>
      </c>
      <c r="DZ203" s="332"/>
      <c r="EA203" s="612">
        <f>(DY203*(7%*'BOQ COST'!$H$16)*1)*(20/68)</f>
        <v>5.0729411764705898E-2</v>
      </c>
      <c r="EB203" s="614">
        <f t="shared" si="1003"/>
        <v>5.0729411764705898E-2</v>
      </c>
      <c r="EC203" s="608">
        <f>SUM(EC204:EC206)</f>
        <v>0</v>
      </c>
      <c r="ED203" s="608">
        <f>SUM(ED204:ED206)</f>
        <v>5.0729411764705898E-2</v>
      </c>
      <c r="EE203" s="608">
        <f t="shared" ref="EE203:EZ203" si="1087">SUM(EE204:EE206)</f>
        <v>5.0729411764705898E-2</v>
      </c>
      <c r="EF203" s="608">
        <f t="shared" si="1087"/>
        <v>0</v>
      </c>
      <c r="EG203" s="608">
        <f t="shared" si="1087"/>
        <v>0</v>
      </c>
      <c r="EH203" s="608">
        <f t="shared" si="1087"/>
        <v>0</v>
      </c>
      <c r="EI203" s="127"/>
      <c r="EJ203" s="608">
        <f>SUM(EJ204:EJ206)</f>
        <v>5.0729411764705898E-2</v>
      </c>
      <c r="EK203" s="608">
        <f t="shared" ref="EK203:EN203" si="1088">SUM(EK204:EK206)</f>
        <v>0</v>
      </c>
      <c r="EL203" s="608">
        <f t="shared" si="1088"/>
        <v>0</v>
      </c>
      <c r="EM203" s="608">
        <f t="shared" si="1088"/>
        <v>0</v>
      </c>
      <c r="EN203" s="608">
        <f t="shared" si="1088"/>
        <v>5.0729411764705898E-2</v>
      </c>
      <c r="EO203" s="127"/>
      <c r="EP203" s="641"/>
      <c r="EQ203" s="641"/>
      <c r="ER203" s="641"/>
      <c r="ES203" s="608">
        <f t="shared" si="1087"/>
        <v>0</v>
      </c>
      <c r="ET203" s="608">
        <f t="shared" si="1087"/>
        <v>3</v>
      </c>
      <c r="EU203" s="608">
        <f t="shared" si="1087"/>
        <v>0</v>
      </c>
      <c r="EV203" s="608">
        <f t="shared" si="1087"/>
        <v>3</v>
      </c>
      <c r="EW203" s="608">
        <f t="shared" si="1087"/>
        <v>3</v>
      </c>
      <c r="EX203" s="608">
        <f t="shared" si="1087"/>
        <v>0</v>
      </c>
      <c r="EY203" s="608">
        <f t="shared" si="1087"/>
        <v>0</v>
      </c>
      <c r="EZ203" s="608">
        <f t="shared" si="1087"/>
        <v>0</v>
      </c>
      <c r="FA203" s="127"/>
      <c r="FB203" s="608">
        <f t="shared" ref="FB203:FF203" si="1089">SUM(FB204:FB206)</f>
        <v>3</v>
      </c>
      <c r="FC203" s="608">
        <f t="shared" si="1089"/>
        <v>0</v>
      </c>
      <c r="FD203" s="608">
        <f t="shared" si="1089"/>
        <v>0</v>
      </c>
      <c r="FE203" s="608">
        <f t="shared" si="1089"/>
        <v>0</v>
      </c>
      <c r="FF203" s="608">
        <f t="shared" si="1089"/>
        <v>3</v>
      </c>
      <c r="FG203" s="48"/>
    </row>
    <row r="204" spans="1:163" ht="14.25" hidden="1" outlineLevel="2">
      <c r="A204" s="48"/>
      <c r="B204" s="87" t="s">
        <v>182</v>
      </c>
      <c r="C204" s="276">
        <v>1</v>
      </c>
      <c r="D204" s="272" t="s">
        <v>177</v>
      </c>
      <c r="E204" s="48"/>
      <c r="F204" s="619">
        <f t="shared" ref="F204:F206" si="1090">W204+BG204+CQ204+EA204</f>
        <v>0.17196312872975278</v>
      </c>
      <c r="G204" s="619">
        <f t="shared" ref="G204:G206" si="1091">X204+BH204+CR204+EB204</f>
        <v>0.17196312872975278</v>
      </c>
      <c r="H204" s="615">
        <f t="shared" ref="H204:H206" si="1092">F204-G204</f>
        <v>0</v>
      </c>
      <c r="I204" s="615">
        <f t="shared" si="1060"/>
        <v>0.17196312872975278</v>
      </c>
      <c r="J204" s="615">
        <f t="shared" si="1061"/>
        <v>0.17196312872975278</v>
      </c>
      <c r="K204" s="615">
        <f t="shared" si="1062"/>
        <v>0</v>
      </c>
      <c r="L204" s="615">
        <f t="shared" si="1063"/>
        <v>0</v>
      </c>
      <c r="M204" s="620">
        <f t="shared" si="1064"/>
        <v>0</v>
      </c>
      <c r="N204" s="287"/>
      <c r="O204" s="615">
        <f t="shared" si="1065"/>
        <v>0.17196312872975278</v>
      </c>
      <c r="P204" s="615">
        <f t="shared" si="1066"/>
        <v>0</v>
      </c>
      <c r="Q204" s="615">
        <f t="shared" si="1067"/>
        <v>8.3507246376811617E-2</v>
      </c>
      <c r="R204" s="615">
        <f t="shared" si="1068"/>
        <v>8.8455882352941176E-2</v>
      </c>
      <c r="S204" s="615">
        <f t="shared" si="1069"/>
        <v>0</v>
      </c>
      <c r="T204" s="48"/>
      <c r="U204" s="519">
        <v>0.1</v>
      </c>
      <c r="V204" s="131"/>
      <c r="W204" s="619">
        <f>$W$203/$U$203*U204</f>
        <v>8.3507246376811617E-2</v>
      </c>
      <c r="X204" s="619">
        <f t="shared" si="1000"/>
        <v>8.3507246376811617E-2</v>
      </c>
      <c r="Y204" s="615">
        <f>IFERROR(IF(AL204=100%,W204,0),0)</f>
        <v>0</v>
      </c>
      <c r="Z204" s="615">
        <f>IFERROR(IF(AND((AL204+AM204)=100%,AL204&lt;1),W204,0),0)</f>
        <v>8.3507246376811617E-2</v>
      </c>
      <c r="AA204" s="615">
        <f>IFERROR(IF(AND((AQ204+AS204)=AP204,Y204=0),W204,0),0)</f>
        <v>8.3507246376811617E-2</v>
      </c>
      <c r="AB204" s="615">
        <f>IFERROR(IF(AND((AQ204+AS204+AT204)=AP204,Y204=0,AA204=0),W204,0),0)</f>
        <v>0</v>
      </c>
      <c r="AC204" s="615">
        <f>IFERROR(IF(AND((AQ204+AS204+AT204+AU204)=AP204,Y204=0,AA204=0,AB204=0),W204,0),0)</f>
        <v>0</v>
      </c>
      <c r="AD204" s="620">
        <f>IFERROR(IF(AND((AQ204+AS204+AT204+AU204+AV204)=AP204,Y204=0,AA204=0,AB204=0,AC204=0),W204,0),0)</f>
        <v>0</v>
      </c>
      <c r="AE204" s="287"/>
      <c r="AF204" s="615">
        <f>IFERROR(IF(AND((AL204+AN204)=100%,AL204&lt;1),W204,0),0)</f>
        <v>8.3507246376811617E-2</v>
      </c>
      <c r="AG204" s="615">
        <f>IFERROR(IF(AND((AQ204+AY204)=AP204,Y204=0),W204,0),0)</f>
        <v>0</v>
      </c>
      <c r="AH204" s="615">
        <f>IFERROR(IF(AND((AQ204+AY204+AZ204)=AP204,Y204=0,AG204=0),W204,0),0)</f>
        <v>8.3507246376811617E-2</v>
      </c>
      <c r="AI204" s="615">
        <f>IFERROR(IF(AND((AQ204+AY204+AZ204+BA204)=AP204,Y204=0,AG204=0,AH204=0),W204,0),0)</f>
        <v>0</v>
      </c>
      <c r="AJ204" s="615">
        <f>IFERROR(IF(AND((AQ204+AY204+AZ204+BA204+BB204)=AP204,Y204=0,AG204=0,AH204=0,AI204=0),W204,0),0)</f>
        <v>0</v>
      </c>
      <c r="AK204" s="339"/>
      <c r="AL204" s="625">
        <f>IFERROR(AQ204/AP204,0)</f>
        <v>0</v>
      </c>
      <c r="AM204" s="625">
        <f>IFERROR(AR204/AP204,0)</f>
        <v>1</v>
      </c>
      <c r="AN204" s="625">
        <f>IFERROR(AX204/AP204,0)</f>
        <v>1</v>
      </c>
      <c r="AO204" s="345"/>
      <c r="AP204" s="615">
        <f>COUNTIF('AR | Drawing List'!$H:$H,"AR-VC3-1")</f>
        <v>6</v>
      </c>
      <c r="AQ204" s="616">
        <f>COUNTIFS('AR | Drawing List'!$H:$H,"AR-VC3-1",'AR | Drawing List'!$J:$J,1)</f>
        <v>0</v>
      </c>
      <c r="AR204" s="616">
        <f t="shared" si="1075"/>
        <v>6</v>
      </c>
      <c r="AS204" s="616">
        <f>COUNTIFS('AR | Drawing List'!$H:$H,"AR-VC3-1",'AR | Drawing List'!M:M,1)</f>
        <v>6</v>
      </c>
      <c r="AT204" s="616">
        <f>COUNTIFS('AR | Drawing List'!$H:$H,"AR-VC3-1",'AR | Drawing List'!N:N,1)</f>
        <v>0</v>
      </c>
      <c r="AU204" s="616">
        <f>COUNTIFS('AR | Drawing List'!$H:$H,"AR-VC3-1",'AR | Drawing List'!O:O,1)</f>
        <v>0</v>
      </c>
      <c r="AV204" s="616">
        <f>COUNTIFS('AR | Drawing List'!$H:$H,"AR-VC3-1",'AR | Drawing List'!P:P,1)</f>
        <v>0</v>
      </c>
      <c r="AW204" s="328"/>
      <c r="AX204" s="616">
        <f t="shared" ref="AX204:AX231" si="1093">SUM(AY204:BB204)</f>
        <v>6</v>
      </c>
      <c r="AY204" s="616">
        <f>COUNTIFS('AR | Drawing List'!$H:$H,"AR-VC3-1",'AR | Drawing List'!R:R,1)</f>
        <v>0</v>
      </c>
      <c r="AZ204" s="616">
        <f>COUNTIFS('AR | Drawing List'!$H:$H,"AR-VC3-1",'AR | Drawing List'!S:S,1)</f>
        <v>6</v>
      </c>
      <c r="BA204" s="616">
        <f>COUNTIFS('AR | Drawing List'!$H:$H,"AR-VC3-1",'AR | Drawing List'!T:T,1)</f>
        <v>0</v>
      </c>
      <c r="BB204" s="616">
        <f>COUNTIFS('AR | Drawing List'!$H:$H,"AR-VC3-1",'AR | Drawing List'!U:U,1)</f>
        <v>0</v>
      </c>
      <c r="BC204" s="359"/>
      <c r="BD204" s="359"/>
      <c r="BE204" s="525">
        <v>0.25</v>
      </c>
      <c r="BF204" s="343"/>
      <c r="BG204" s="616">
        <f>$BG$203/$BE$203*BE204</f>
        <v>8.2279411764705879E-2</v>
      </c>
      <c r="BH204" s="618">
        <f t="shared" si="1001"/>
        <v>8.2279411764705879E-2</v>
      </c>
      <c r="BI204" s="615">
        <f>IFERROR(IF(BV204=100%,BG204,0),0)</f>
        <v>0</v>
      </c>
      <c r="BJ204" s="615">
        <f>IFERROR(IF(AND((BV204+BW204)=100%,BV204&lt;1),BG204,0),0)</f>
        <v>8.2279411764705879E-2</v>
      </c>
      <c r="BK204" s="615">
        <f>IFERROR(IF(AND((CA204+CC204)=BZ204,BI204=0),BG204,0),0)</f>
        <v>8.2279411764705879E-2</v>
      </c>
      <c r="BL204" s="615">
        <f>IFERROR(IF(AND((CA204+CC204+CD204)=BZ204,BI204=0,BK204=0),BG204,0),0)</f>
        <v>0</v>
      </c>
      <c r="BM204" s="615">
        <f>IFERROR(IF(AND((CA204+CC204+CD204+CE204)=BZ204,BI204=0,BK204=0,BL204=0),BG204,0),0)</f>
        <v>0</v>
      </c>
      <c r="BN204" s="615">
        <f>IFERROR(IF(AND((CA204+CC204+CD204+CE204+CF204)=BZ204,BI204=0,BK204=0,BL204=0,BM204=0),BG204,0),0)</f>
        <v>0</v>
      </c>
      <c r="BO204" s="339"/>
      <c r="BP204" s="615">
        <f>IFERROR(IF(AND((BV204+BX204)=100%,BV204&lt;1),BG204,0),0)</f>
        <v>8.2279411764705879E-2</v>
      </c>
      <c r="BQ204" s="615">
        <f>IFERROR(IF(AND((CA204+CI204)=BZ204,BI204=0),BG204,0),0)</f>
        <v>0</v>
      </c>
      <c r="BR204" s="615">
        <f>IFERROR(IF(AND((CA204+CI204+CJ204)=BZ204,BI204=0,BQ204=0),BG204,0),0)</f>
        <v>0</v>
      </c>
      <c r="BS204" s="615">
        <f>IFERROR(IF(AND((CA204+CI204+CJ204+CK204)=BZ204,BI204=0,BQ204=0,BR204=0),BG204,0),0)</f>
        <v>8.2279411764705879E-2</v>
      </c>
      <c r="BT204" s="615">
        <f>IFERROR(IF(AND((CA204+CI204+CJ204+CK204+CL204)=BZ204,BI204=0,BQ204=0,BR204=0,BS204=0),BG204,0),0)</f>
        <v>0</v>
      </c>
      <c r="BU204" s="339"/>
      <c r="BV204" s="635">
        <f t="shared" ref="BV204:BV206" si="1094">IFERROR(CA204/BZ204,0)</f>
        <v>0</v>
      </c>
      <c r="BW204" s="635">
        <f t="shared" ref="BW204:BW206" si="1095">IFERROR(CB204/BZ204,0)</f>
        <v>1</v>
      </c>
      <c r="BX204" s="635">
        <f t="shared" ref="BX204:BX206" si="1096">IFERROR(CH204/BZ204,0)</f>
        <v>1</v>
      </c>
      <c r="BY204" s="345"/>
      <c r="BZ204" s="615">
        <f>COUNTIF('ST | Drawing List'!$H:$H,"ST-VC3-1")</f>
        <v>8</v>
      </c>
      <c r="CA204" s="616">
        <f>COUNTIFS('ST | Drawing List'!$H:$H,"ST-VC3-1",'ST | Drawing List'!$J:$J,1)</f>
        <v>0</v>
      </c>
      <c r="CB204" s="623">
        <f>COUNTIFS('ST | Drawing List'!$H:$H,"ST-VC3-1",'ST | Drawing List'!$L:$L,1)</f>
        <v>8</v>
      </c>
      <c r="CC204" s="616">
        <f>COUNTIFS('ST | Drawing List'!$H:$H,"ST-VC3-1",'ST | Drawing List'!M:M,1)</f>
        <v>8</v>
      </c>
      <c r="CD204" s="616">
        <f>COUNTIFS('ST | Drawing List'!$H:$H,"ST-VC3-1",'ST | Drawing List'!N:N,1)</f>
        <v>0</v>
      </c>
      <c r="CE204" s="616">
        <f>COUNTIFS('ST | Drawing List'!$H:$H,"ST-VC3-1",'ST | Drawing List'!O:O,1)</f>
        <v>0</v>
      </c>
      <c r="CF204" s="616">
        <f>COUNTIFS('ST | Drawing List'!$H:$H,"ST-VC3-1",'ST | Drawing List'!P:P,1)</f>
        <v>0</v>
      </c>
      <c r="CG204" s="532"/>
      <c r="CH204" s="623">
        <f>COUNTIFS('ST | Drawing List'!$H:$H,"ST-VC3-1",'ST | Drawing List'!$Q:$Q,1)</f>
        <v>8</v>
      </c>
      <c r="CI204" s="616">
        <f>COUNTIFS('ST | Drawing List'!$H:$H,"ST-VC3-1",'ST | Drawing List'!R:R,1)</f>
        <v>0</v>
      </c>
      <c r="CJ204" s="616">
        <f>COUNTIFS('ST | Drawing List'!$H:$H,"ST-VC3-1",'ST | Drawing List'!S:S,1)</f>
        <v>0</v>
      </c>
      <c r="CK204" s="616">
        <f>COUNTIFS('ST | Drawing List'!$H:$H,"ST-VC3-1",'ST | Drawing List'!T:T,1)</f>
        <v>8</v>
      </c>
      <c r="CL204" s="616">
        <f>COUNTIFS('ST | Drawing List'!$H:$H,"ST-VC3-1",'ST | Drawing List'!U:U,1)</f>
        <v>0</v>
      </c>
      <c r="CM204" s="343"/>
      <c r="CN204" s="343"/>
      <c r="CO204" s="525">
        <v>0.3</v>
      </c>
      <c r="CP204" s="343"/>
      <c r="CQ204" s="616">
        <f>$CQ$203/$CO$203*CO204</f>
        <v>6.1764705882352937E-3</v>
      </c>
      <c r="CR204" s="618">
        <f t="shared" si="1002"/>
        <v>6.1764705882352937E-3</v>
      </c>
      <c r="CS204" s="615">
        <f>IFERROR(IF(DF204=100%,CQ204,0),0)</f>
        <v>0</v>
      </c>
      <c r="CT204" s="615">
        <f t="shared" ref="CT204:CT206" si="1097">IFERROR(IF(AND((DF204+DG204)=100%,DF204&lt;1),CQ204,0),0)</f>
        <v>6.1764705882352937E-3</v>
      </c>
      <c r="CU204" s="615">
        <f t="shared" ref="CU204:CU206" si="1098">IFERROR(IF(AND((DK204+DM204)=DJ204,CS204=0),CQ204,0),0)</f>
        <v>6.1764705882352937E-3</v>
      </c>
      <c r="CV204" s="615">
        <f t="shared" ref="CV204:CV206" si="1099">IFERROR(IF(AND((DK204+DM204+DN204)=DJ204,CS204=0,CU204=0),CQ204,0),0)</f>
        <v>0</v>
      </c>
      <c r="CW204" s="615">
        <f t="shared" ref="CW204:CW206" si="1100">IFERROR(IF(AND((DK204+DM204+DN204+DO204)=DJ204,CS204=0,CU204=0,CV204=0),CQ204,0),0)</f>
        <v>0</v>
      </c>
      <c r="CX204" s="615">
        <f t="shared" ref="CX204:CX206" si="1101">IFERROR(IF(AND((DK204+DM204+DN204+DO204+DP204)=DJ204,CS204=0,CU204=0,CV204=0,CW204=0),CQ204,0),0)</f>
        <v>0</v>
      </c>
      <c r="CY204" s="339"/>
      <c r="CZ204" s="615">
        <f t="shared" ref="CZ204:CZ206" si="1102">IFERROR(IF(AND((DF204+DH204)=100%,DF204&lt;1),CQ204,0),0)</f>
        <v>6.1764705882352937E-3</v>
      </c>
      <c r="DA204" s="615">
        <f t="shared" ref="DA204:DA206" si="1103">IFERROR(IF(AND((DK204+DS204)=DJ204,CS204=0),CQ204,0),0)</f>
        <v>0</v>
      </c>
      <c r="DB204" s="615">
        <f t="shared" ref="DB204:DB206" si="1104">IFERROR(IF(AND((DK204+DS204+DT204)=DJ204,CS204=0,DA204=0),CQ204,0),0)</f>
        <v>0</v>
      </c>
      <c r="DC204" s="615">
        <f t="shared" ref="DC204:DC206" si="1105">IFERROR(IF(AND((DK204+DS204+DT204+DU204)=DJ204,CS204=0,DA204=0,DB204=0),CQ204,0),0)</f>
        <v>6.1764705882352937E-3</v>
      </c>
      <c r="DD204" s="615">
        <f t="shared" ref="DD204:DD206" si="1106">IFERROR(IF(AND((DK204+DS204+DT204+DU204+DV204)=DJ204,CS204=0,DA204=0,DB204=0,DC204=0),CQ204,0),0)</f>
        <v>0</v>
      </c>
      <c r="DE204" s="339"/>
      <c r="DF204" s="625">
        <f t="shared" ref="DF204:DF206" si="1107">IFERROR(DK204/DJ204,0)</f>
        <v>0</v>
      </c>
      <c r="DG204" s="625">
        <f t="shared" ref="DG204:DG206" si="1108">IFERROR(DL204/DJ204,0)</f>
        <v>1</v>
      </c>
      <c r="DH204" s="625">
        <f t="shared" ref="DH204:DH206" si="1109">IFERROR(DR204/DJ204,0)</f>
        <v>1</v>
      </c>
      <c r="DI204" s="345"/>
      <c r="DJ204" s="615">
        <f>COUNTIF('MEP | Drawing List'!$H:$H,"MEP-VC3-1")</f>
        <v>3</v>
      </c>
      <c r="DK204" s="616">
        <f>COUNTIFS('MEP | Drawing List'!$H:$H,"MEP-VC3-1",'MEP | Drawing List'!$J:$J,1)</f>
        <v>0</v>
      </c>
      <c r="DL204" s="616">
        <f>COUNTIFS('MEP | Drawing List'!$H:$H,"MEP-VC3-1",'MEP | Drawing List'!$L:$L,1)</f>
        <v>3</v>
      </c>
      <c r="DM204" s="615">
        <f>COUNTIFS('MEP | Drawing List'!$H:$H,"MEP-VC3-1",'MEP | Drawing List'!M:M,1)</f>
        <v>3</v>
      </c>
      <c r="DN204" s="615">
        <f>COUNTIFS('MEP | Drawing List'!$H:$H,"MEP-VC3-1",'MEP | Drawing List'!N:N,1)</f>
        <v>0</v>
      </c>
      <c r="DO204" s="615">
        <f>COUNTIFS('MEP | Drawing List'!$H:$H,"MEP-VC3-1",'MEP | Drawing List'!O:O,1)</f>
        <v>0</v>
      </c>
      <c r="DP204" s="615">
        <f>COUNTIFS('MEP | Drawing List'!$H:$H,"MEP-VC3-1",'MEP | Drawing List'!P:P,1)</f>
        <v>0</v>
      </c>
      <c r="DQ204" s="339"/>
      <c r="DR204" s="616">
        <f>COUNTIFS('MEP | Drawing List'!$H:$H,"MEP-VC3-1",'MEP | Drawing List'!$Q:$Q,1)</f>
        <v>3</v>
      </c>
      <c r="DS204" s="615">
        <f>COUNTIFS('MEP | Drawing List'!$H:$H,"MEP-VC3-1",'MEP | Drawing List'!R:R,1)</f>
        <v>0</v>
      </c>
      <c r="DT204" s="615">
        <f>COUNTIFS('MEP | Drawing List'!$H:$H,"MEP-VC3-1",'MEP | Drawing List'!S:S,1)</f>
        <v>0</v>
      </c>
      <c r="DU204" s="615">
        <f>COUNTIFS('MEP | Drawing List'!$H:$H,"MEP-VC3-1",'MEP | Drawing List'!T:T,1)</f>
        <v>3</v>
      </c>
      <c r="DV204" s="615">
        <f>COUNTIFS('MEP | Drawing List'!$H:$H,"MEP-VC3-1",'MEP | Drawing List'!U:U,1)</f>
        <v>0</v>
      </c>
      <c r="DW204" s="343"/>
      <c r="DX204" s="343"/>
      <c r="DY204" s="525">
        <v>0</v>
      </c>
      <c r="DZ204" s="343"/>
      <c r="EA204" s="344">
        <v>0</v>
      </c>
      <c r="EB204" s="618">
        <f t="shared" si="1003"/>
        <v>0</v>
      </c>
      <c r="EC204" s="615">
        <f>IFERROR(IF(EP204=100%,EA204,0),0)</f>
        <v>0</v>
      </c>
      <c r="ED204" s="615">
        <f>IFERROR(IF(AND((EP204+EQ204)=100%,EP204&lt;1),EA204,0),0)</f>
        <v>0</v>
      </c>
      <c r="EE204" s="615">
        <f>IFERROR(IF(AND((EU204+EW204)=ET204,EC204=0),EA204,0),0)</f>
        <v>0</v>
      </c>
      <c r="EF204" s="615">
        <f>IFERROR(IF(AND((EU204+EW204+EX204)=ET204,EC204=0,EE204=0),EA204,0),0)</f>
        <v>0</v>
      </c>
      <c r="EG204" s="615">
        <f>IFERROR(IF(AND((EU204+EW204+EX204+EY204)=ET204,EC204=0,EE204=0,EF204=0),EA204,0),0)</f>
        <v>0</v>
      </c>
      <c r="EH204" s="615">
        <f>IFERROR(IF(AND((EU204+EW204+EX204+EY204+EZ204)=ET204,EC204=0,EE204=0,EF204=0,EG204=0),EA204,0),0)</f>
        <v>0</v>
      </c>
      <c r="EI204" s="339"/>
      <c r="EJ204" s="620">
        <f t="shared" ref="EJ204:EJ206" si="1110">IFERROR(IF(AND((EP204+ER204)=100%,EP204&lt;1),EA204,0),0)</f>
        <v>0</v>
      </c>
      <c r="EK204" s="615">
        <f t="shared" ref="EK204:EK206" si="1111">IFERROR(IF(AND((EU204+FC204)=ET204,EC204=0),EA204,0),0)</f>
        <v>0</v>
      </c>
      <c r="EL204" s="615">
        <f t="shared" ref="EL204:EL206" si="1112">IFERROR(IF(AND((EU204+FC204+FD204)=ET204,EC204=0,EK204=0),EA204,0),0)</f>
        <v>0</v>
      </c>
      <c r="EM204" s="615">
        <f t="shared" ref="EM204:EM206" si="1113">IFERROR(IF(AND((EU204+FC204+FD204+FE204)=ET204,EC204=0,EK204=0,EL204=0),EA204,0),0)</f>
        <v>0</v>
      </c>
      <c r="EN204" s="615">
        <f t="shared" ref="EN204:EN206" si="1114">IFERROR(IF(AND((EU204+FC204+FD204+FE204+FF204)=ET204,EC204=0,EK204=0,EL204=0,EM204=0),EA204,0),0)</f>
        <v>0</v>
      </c>
      <c r="EO204" s="339"/>
      <c r="EP204" s="627">
        <f t="shared" ref="EP204:EP206" si="1115">IFERROR(EU204/ET204,0)</f>
        <v>0</v>
      </c>
      <c r="EQ204" s="627">
        <f t="shared" ref="EQ204:EQ206" si="1116">IFERROR(EV204/ET204,0)</f>
        <v>0</v>
      </c>
      <c r="ER204" s="627">
        <f t="shared" ref="ER204:ER206" si="1117">IFERROR(FB204/ET204,0)</f>
        <v>0</v>
      </c>
      <c r="ES204" s="55"/>
      <c r="ET204" s="615">
        <f>COUNTIF('LS | Drawing List'!$H:$H,"LS-V03-1")</f>
        <v>0</v>
      </c>
      <c r="EU204" s="616">
        <f>COUNTIFS('LS | Drawing List'!$H:$H,"LS-V03-1",'LS | Drawing List'!$J:$J,1)</f>
        <v>0</v>
      </c>
      <c r="EV204" s="616">
        <f>COUNTIFS('LS | Drawing List'!$H:$H,"LS-V03-1",'LS | Drawing List'!$L:$L,1)</f>
        <v>0</v>
      </c>
      <c r="EW204" s="615">
        <f>COUNTIFS('LS | Drawing List'!$H:$H,"LS-V03-1",'LS | Drawing List'!M:M,1)</f>
        <v>0</v>
      </c>
      <c r="EX204" s="615">
        <f>COUNTIFS('LS | Drawing List'!$H:$H,"LS-V03-1",'LS | Drawing List'!N:N,1)</f>
        <v>0</v>
      </c>
      <c r="EY204" s="615">
        <f>COUNTIFS('LS | Drawing List'!$H:$H,"LS-V03-1",'LS | Drawing List'!O:O,1)</f>
        <v>0</v>
      </c>
      <c r="EZ204" s="615">
        <f>COUNTIFS('LS | Drawing List'!$H:$H,"LS-V03-1",'LS | Drawing List'!P:P,1)</f>
        <v>0</v>
      </c>
      <c r="FA204" s="81"/>
      <c r="FB204" s="616">
        <f>COUNTIFS('LS | Drawing List'!$H:$H,"LS-V03-1",'LS | Drawing List'!$Q:$Q,1)</f>
        <v>0</v>
      </c>
      <c r="FC204" s="615">
        <f>COUNTIFS('LS | Drawing List'!$H:$H,"LS-V03-1",'LS | Drawing List'!R:R,1)</f>
        <v>0</v>
      </c>
      <c r="FD204" s="615">
        <f>COUNTIFS('LS | Drawing List'!$H:$H,"LS-V03-1",'LS | Drawing List'!S:S,1)</f>
        <v>0</v>
      </c>
      <c r="FE204" s="615">
        <f>COUNTIFS('LS | Drawing List'!$H:$H,"LS-V03-1",'LS | Drawing List'!T:T,1)</f>
        <v>0</v>
      </c>
      <c r="FF204" s="615">
        <f>COUNTIFS('LS | Drawing List'!$H:$H,"LS-V03-1",'LS | Drawing List'!U:U,1)</f>
        <v>0</v>
      </c>
      <c r="FG204" s="48"/>
    </row>
    <row r="205" spans="1:163" ht="14.25" hidden="1" outlineLevel="2">
      <c r="A205" s="48"/>
      <c r="B205" s="87" t="s">
        <v>183</v>
      </c>
      <c r="C205" s="276">
        <v>2</v>
      </c>
      <c r="D205" s="272" t="s">
        <v>179</v>
      </c>
      <c r="E205" s="48"/>
      <c r="F205" s="619">
        <f t="shared" si="1090"/>
        <v>0.26986743393009377</v>
      </c>
      <c r="G205" s="619">
        <f t="shared" si="1091"/>
        <v>4.1176470588235297E-3</v>
      </c>
      <c r="H205" s="615">
        <f t="shared" si="1092"/>
        <v>0.26574978687127027</v>
      </c>
      <c r="I205" s="615">
        <f t="shared" si="1060"/>
        <v>0.26986743393009377</v>
      </c>
      <c r="J205" s="615">
        <f t="shared" si="1061"/>
        <v>0.26986743393009377</v>
      </c>
      <c r="K205" s="615">
        <f t="shared" si="1062"/>
        <v>0</v>
      </c>
      <c r="L205" s="615">
        <f t="shared" si="1063"/>
        <v>0</v>
      </c>
      <c r="M205" s="620">
        <f t="shared" si="1064"/>
        <v>0</v>
      </c>
      <c r="N205" s="287"/>
      <c r="O205" s="615">
        <f t="shared" si="1065"/>
        <v>4.1176470588235297E-3</v>
      </c>
      <c r="P205" s="615">
        <f t="shared" si="1066"/>
        <v>0</v>
      </c>
      <c r="Q205" s="615">
        <f t="shared" si="1067"/>
        <v>0</v>
      </c>
      <c r="R205" s="615">
        <f t="shared" si="1068"/>
        <v>4.1176470588235297E-3</v>
      </c>
      <c r="S205" s="615">
        <f t="shared" si="1069"/>
        <v>0</v>
      </c>
      <c r="T205" s="48"/>
      <c r="U205" s="519">
        <v>0.2</v>
      </c>
      <c r="V205" s="131"/>
      <c r="W205" s="619">
        <f>$W$203/$U$203*U205</f>
        <v>0.16701449275362323</v>
      </c>
      <c r="X205" s="619">
        <f t="shared" si="1000"/>
        <v>0</v>
      </c>
      <c r="Y205" s="615">
        <f>IFERROR(IF(AL205=100%,W205,0),0)</f>
        <v>0</v>
      </c>
      <c r="Z205" s="615">
        <f>IFERROR(IF(AND((AL205+AM205)=100%,AL205&lt;1),W205,0),0)</f>
        <v>0.16701449275362323</v>
      </c>
      <c r="AA205" s="615">
        <f>IFERROR(IF(AND((AQ205+AS205)=AP205,Y205=0),W205,0),0)</f>
        <v>0.16701449275362323</v>
      </c>
      <c r="AB205" s="615">
        <f>IFERROR(IF(AND((AQ205+AS205+AT205)=AP205,Y205=0,AA205=0),W205,0),0)</f>
        <v>0</v>
      </c>
      <c r="AC205" s="615">
        <f>IFERROR(IF(AND((AQ205+AS205+AT205+AU205)=AP205,Y205=0,AA205=0,AB205=0),W205,0),0)</f>
        <v>0</v>
      </c>
      <c r="AD205" s="620">
        <f>IFERROR(IF(AND((AQ205+AS205+AT205+AU205+AV205)=AP205,Y205=0,AA205=0,AB205=0,AC205=0),W205,0),0)</f>
        <v>0</v>
      </c>
      <c r="AE205" s="287"/>
      <c r="AF205" s="615">
        <f>IFERROR(IF(AND((AL205+AN205)=100%,AL205&lt;1),W205,0),0)</f>
        <v>0</v>
      </c>
      <c r="AG205" s="615">
        <f>IFERROR(IF(AND((AQ205+AY205)=AP205,Y205=0),W205,0),0)</f>
        <v>0</v>
      </c>
      <c r="AH205" s="615">
        <f>IFERROR(IF(AND((AQ205+AY205+AZ205)=AP205,Y205=0,AG205=0),W205,0),0)</f>
        <v>0</v>
      </c>
      <c r="AI205" s="615">
        <f>IFERROR(IF(AND((AQ205+AY205+AZ205+BA205)=AP205,Y205=0,AG205=0,AH205=0),W205,0),0)</f>
        <v>0</v>
      </c>
      <c r="AJ205" s="615">
        <f>IFERROR(IF(AND((AQ205+AY205+AZ205+BA205+BB205)=AP205,Y205=0,AG205=0,AH205=0,AI205=0),W205,0),0)</f>
        <v>0</v>
      </c>
      <c r="AK205" s="339"/>
      <c r="AL205" s="625">
        <f>IFERROR(AQ205/AP205,0)</f>
        <v>0</v>
      </c>
      <c r="AM205" s="625">
        <f>IFERROR(AR205/AP205,0)</f>
        <v>1</v>
      </c>
      <c r="AN205" s="625">
        <f>IFERROR(AX205/AP205,0)</f>
        <v>0</v>
      </c>
      <c r="AO205" s="345"/>
      <c r="AP205" s="615">
        <f>COUNTIF('AR | Drawing List'!$H:$H,"AR-VC3-2")</f>
        <v>2</v>
      </c>
      <c r="AQ205" s="616">
        <f>COUNTIFS('AR | Drawing List'!$H:$H,"AR-VC3-2",'AR | Drawing List'!$J:$J,1)</f>
        <v>0</v>
      </c>
      <c r="AR205" s="616">
        <f t="shared" si="1075"/>
        <v>2</v>
      </c>
      <c r="AS205" s="616">
        <f>COUNTIFS('AR | Drawing List'!$H:$H,"AR-VC3-2",'AR | Drawing List'!M:M,1)</f>
        <v>2</v>
      </c>
      <c r="AT205" s="616">
        <f>COUNTIFS('AR | Drawing List'!$H:$H,"AR-VC3-2",'AR | Drawing List'!N:N,1)</f>
        <v>0</v>
      </c>
      <c r="AU205" s="616">
        <f>COUNTIFS('AR | Drawing List'!$H:$H,"AR-VC3-2",'AR | Drawing List'!O:O,1)</f>
        <v>0</v>
      </c>
      <c r="AV205" s="616">
        <f>COUNTIFS('AR | Drawing List'!$H:$H,"AR-VC3-2",'AR | Drawing List'!P:P,1)</f>
        <v>0</v>
      </c>
      <c r="AW205" s="328"/>
      <c r="AX205" s="616">
        <f t="shared" si="1093"/>
        <v>0</v>
      </c>
      <c r="AY205" s="616">
        <f>COUNTIFS('AR | Drawing List'!$H:$H,"AR-VC3-2",'AR | Drawing List'!R:R,1)</f>
        <v>0</v>
      </c>
      <c r="AZ205" s="616">
        <f>COUNTIFS('AR | Drawing List'!$H:$H,"AR-VC3-2",'AR | Drawing List'!S:S,1)</f>
        <v>0</v>
      </c>
      <c r="BA205" s="616">
        <f>COUNTIFS('AR | Drawing List'!$H:$H,"AR-VC3-2",'AR | Drawing List'!T:T,1)</f>
        <v>0</v>
      </c>
      <c r="BB205" s="616">
        <f>COUNTIFS('AR | Drawing List'!$H:$H,"AR-VC3-2",'AR | Drawing List'!U:U,1)</f>
        <v>0</v>
      </c>
      <c r="BC205" s="359"/>
      <c r="BD205" s="359"/>
      <c r="BE205" s="525">
        <v>0.3</v>
      </c>
      <c r="BF205" s="343"/>
      <c r="BG205" s="616">
        <f>$BG$203/$BE$203*BE205</f>
        <v>9.8735294117647046E-2</v>
      </c>
      <c r="BH205" s="618">
        <f t="shared" si="1001"/>
        <v>0</v>
      </c>
      <c r="BI205" s="615">
        <f>IFERROR(IF(BV205=100%,BG205,0),0)</f>
        <v>0</v>
      </c>
      <c r="BJ205" s="615">
        <f>IFERROR(IF(AND((BV205+BW205)=100%,BV205&lt;1),BG205,0),0)</f>
        <v>9.8735294117647046E-2</v>
      </c>
      <c r="BK205" s="615">
        <f>IFERROR(IF(AND((CA205+CC205)=BZ205,BI205=0),BG205,0),0)</f>
        <v>9.8735294117647046E-2</v>
      </c>
      <c r="BL205" s="615">
        <f>IFERROR(IF(AND((CA205+CC205+CD205)=BZ205,BI205=0,BK205=0),BG205,0),0)</f>
        <v>0</v>
      </c>
      <c r="BM205" s="615">
        <f>IFERROR(IF(AND((CA205+CC205+CD205+CE205)=BZ205,BI205=0,BK205=0,BL205=0),BG205,0),0)</f>
        <v>0</v>
      </c>
      <c r="BN205" s="615">
        <f>IFERROR(IF(AND((CA205+CC205+CD205+CE205+CF205)=BZ205,BI205=0,BK205=0,BL205=0,BM205=0),BG205,0),0)</f>
        <v>0</v>
      </c>
      <c r="BO205" s="339"/>
      <c r="BP205" s="615">
        <f>IFERROR(IF(AND((BV205+BX205)=100%,BV205&lt;1),BG205,0),0)</f>
        <v>0</v>
      </c>
      <c r="BQ205" s="615">
        <f>IFERROR(IF(AND((CA205+CI205)=BZ205,BI205=0),BG205,0),0)</f>
        <v>0</v>
      </c>
      <c r="BR205" s="615">
        <f>IFERROR(IF(AND((CA205+CI205+CJ205)=BZ205,BI205=0,BQ205=0),BG205,0),0)</f>
        <v>0</v>
      </c>
      <c r="BS205" s="615">
        <f>IFERROR(IF(AND((CA205+CI205+CJ205+CK205)=BZ205,BI205=0,BQ205=0,BR205=0),BG205,0),0)</f>
        <v>0</v>
      </c>
      <c r="BT205" s="615">
        <f>IFERROR(IF(AND((CA205+CI205+CJ205+CK205+CL205)=BZ205,BI205=0,BQ205=0,BR205=0,BS205=0),BG205,0),0)</f>
        <v>0</v>
      </c>
      <c r="BU205" s="339"/>
      <c r="BV205" s="635">
        <f t="shared" si="1094"/>
        <v>0</v>
      </c>
      <c r="BW205" s="635">
        <f t="shared" si="1095"/>
        <v>1</v>
      </c>
      <c r="BX205" s="635">
        <f t="shared" si="1096"/>
        <v>0</v>
      </c>
      <c r="BY205" s="345"/>
      <c r="BZ205" s="615">
        <f>COUNTIF('ST | Drawing List'!$H:$H,"ST-VC3-2")</f>
        <v>7</v>
      </c>
      <c r="CA205" s="616">
        <f>COUNTIFS('ST | Drawing List'!$H:$H,"ST-VC3-2",'ST | Drawing List'!$J:$J,1)</f>
        <v>0</v>
      </c>
      <c r="CB205" s="623">
        <f>COUNTIFS('ST | Drawing List'!$H:$H,"ST-VC3-2",'ST | Drawing List'!$L:$L,1)</f>
        <v>7</v>
      </c>
      <c r="CC205" s="616">
        <f>COUNTIFS('ST | Drawing List'!$H:$H,"ST-VC3-2",'ST | Drawing List'!M:M,1)</f>
        <v>7</v>
      </c>
      <c r="CD205" s="616">
        <f>COUNTIFS('ST | Drawing List'!$H:$H,"ST-VC3-2",'ST | Drawing List'!N:N,1)</f>
        <v>0</v>
      </c>
      <c r="CE205" s="616">
        <f>COUNTIFS('ST | Drawing List'!$H:$H,"ST-VC3-2",'ST | Drawing List'!O:O,1)</f>
        <v>0</v>
      </c>
      <c r="CF205" s="616">
        <f>COUNTIFS('ST | Drawing List'!$H:$H,"ST-VC3-2",'ST | Drawing List'!P:P,1)</f>
        <v>0</v>
      </c>
      <c r="CG205" s="532"/>
      <c r="CH205" s="623">
        <f>COUNTIFS('ST | Drawing List'!$H:$H,"ST-VC3-2",'ST | Drawing List'!$Q:$Q,1)</f>
        <v>0</v>
      </c>
      <c r="CI205" s="616">
        <f>COUNTIFS('ST | Drawing List'!$H:$H,"ST-VC3-2",'ST | Drawing List'!R:R,1)</f>
        <v>0</v>
      </c>
      <c r="CJ205" s="616">
        <f>COUNTIFS('ST | Drawing List'!$H:$H,"ST-VC3-2",'ST | Drawing List'!S:S,1)</f>
        <v>0</v>
      </c>
      <c r="CK205" s="616">
        <f>COUNTIFS('ST | Drawing List'!$H:$H,"ST-VC3-2",'ST | Drawing List'!T:T,1)</f>
        <v>0</v>
      </c>
      <c r="CL205" s="616">
        <f>COUNTIFS('ST | Drawing List'!$H:$H,"ST-VC3-2",'ST | Drawing List'!U:U,1)</f>
        <v>0</v>
      </c>
      <c r="CM205" s="343"/>
      <c r="CN205" s="343"/>
      <c r="CO205" s="525">
        <v>0.2</v>
      </c>
      <c r="CP205" s="343"/>
      <c r="CQ205" s="777">
        <f>$CQ$203/$CO$203*CO205</f>
        <v>4.1176470588235297E-3</v>
      </c>
      <c r="CR205" s="618">
        <f t="shared" si="1002"/>
        <v>4.1176470588235297E-3</v>
      </c>
      <c r="CS205" s="615">
        <f>IFERROR(IF(DF205=100%,CQ205,0),0)</f>
        <v>0</v>
      </c>
      <c r="CT205" s="615">
        <f t="shared" si="1097"/>
        <v>4.1176470588235297E-3</v>
      </c>
      <c r="CU205" s="615">
        <f t="shared" si="1098"/>
        <v>4.1176470588235297E-3</v>
      </c>
      <c r="CV205" s="615">
        <f t="shared" si="1099"/>
        <v>0</v>
      </c>
      <c r="CW205" s="615">
        <f t="shared" si="1100"/>
        <v>0</v>
      </c>
      <c r="CX205" s="615">
        <f t="shared" si="1101"/>
        <v>0</v>
      </c>
      <c r="CY205" s="339"/>
      <c r="CZ205" s="615">
        <f t="shared" si="1102"/>
        <v>4.1176470588235297E-3</v>
      </c>
      <c r="DA205" s="615">
        <f t="shared" si="1103"/>
        <v>0</v>
      </c>
      <c r="DB205" s="615">
        <f t="shared" si="1104"/>
        <v>0</v>
      </c>
      <c r="DC205" s="615">
        <f t="shared" si="1105"/>
        <v>4.1176470588235297E-3</v>
      </c>
      <c r="DD205" s="615">
        <f t="shared" si="1106"/>
        <v>0</v>
      </c>
      <c r="DE205" s="339"/>
      <c r="DF205" s="625">
        <f t="shared" si="1107"/>
        <v>0</v>
      </c>
      <c r="DG205" s="625">
        <f t="shared" si="1108"/>
        <v>1</v>
      </c>
      <c r="DH205" s="625">
        <f t="shared" si="1109"/>
        <v>1</v>
      </c>
      <c r="DI205" s="345"/>
      <c r="DJ205" s="615">
        <f>COUNTIF('MEP | Drawing List'!$H:$H,"MEP-VC3-2")</f>
        <v>4</v>
      </c>
      <c r="DK205" s="616">
        <f>COUNTIFS('MEP | Drawing List'!$H:$H,"MEP-VC3-2",'MEP | Drawing List'!$J:$J,1)</f>
        <v>0</v>
      </c>
      <c r="DL205" s="616">
        <f>COUNTIFS('MEP | Drawing List'!$H:$H,"MEP-VC3-2",'MEP | Drawing List'!$L:$L,1)</f>
        <v>4</v>
      </c>
      <c r="DM205" s="615">
        <f>COUNTIFS('MEP | Drawing List'!$H:$H,"MEP-VC3-2",'MEP | Drawing List'!M:M,1)</f>
        <v>4</v>
      </c>
      <c r="DN205" s="615">
        <f>COUNTIFS('MEP | Drawing List'!$H:$H,"MEP-VC3-2",'MEP | Drawing List'!N:N,1)</f>
        <v>0</v>
      </c>
      <c r="DO205" s="615">
        <f>COUNTIFS('MEP | Drawing List'!$H:$H,"MEP-VC3-2",'MEP | Drawing List'!O:O,1)</f>
        <v>0</v>
      </c>
      <c r="DP205" s="615">
        <f>COUNTIFS('MEP | Drawing List'!$H:$H,"MEP-VC3-2",'MEP | Drawing List'!P:P,1)</f>
        <v>0</v>
      </c>
      <c r="DQ205" s="339"/>
      <c r="DR205" s="616">
        <f>COUNTIFS('MEP | Drawing List'!$H:$H,"MEP-VC3-2",'MEP | Drawing List'!$Q:$Q,1)</f>
        <v>4</v>
      </c>
      <c r="DS205" s="615">
        <f>COUNTIFS('MEP | Drawing List'!$H:$H,"MEP-VC3-2",'MEP | Drawing List'!R:R,1)</f>
        <v>0</v>
      </c>
      <c r="DT205" s="615">
        <f>COUNTIFS('MEP | Drawing List'!$H:$H,"MEP-VC3-2",'MEP | Drawing List'!S:S,1)</f>
        <v>0</v>
      </c>
      <c r="DU205" s="615">
        <f>COUNTIFS('MEP | Drawing List'!$H:$H,"MEP-VC3-2",'MEP | Drawing List'!T:T,1)</f>
        <v>4</v>
      </c>
      <c r="DV205" s="615">
        <f>COUNTIFS('MEP | Drawing List'!$H:$H,"MEP-VC3-2",'MEP | Drawing List'!U:U,1)</f>
        <v>0</v>
      </c>
      <c r="DW205" s="343"/>
      <c r="DX205" s="343"/>
      <c r="DY205" s="525">
        <v>0</v>
      </c>
      <c r="DZ205" s="343"/>
      <c r="EA205" s="344">
        <v>0</v>
      </c>
      <c r="EB205" s="618">
        <f t="shared" si="1003"/>
        <v>0</v>
      </c>
      <c r="EC205" s="615">
        <f>IFERROR(IF(EP205=100%,EA205,0),0)</f>
        <v>0</v>
      </c>
      <c r="ED205" s="615">
        <f>IFERROR(IF(AND((EP205+EQ205)=100%,EP205&lt;1),EA205,0),0)</f>
        <v>0</v>
      </c>
      <c r="EE205" s="615">
        <f>IFERROR(IF(AND((EU205+EW205)=ET205,EC205=0),EA205,0),0)</f>
        <v>0</v>
      </c>
      <c r="EF205" s="615">
        <f>IFERROR(IF(AND((EU205+EW205+EX205)=ET205,EC205=0,EE205=0),EA205,0),0)</f>
        <v>0</v>
      </c>
      <c r="EG205" s="615">
        <f>IFERROR(IF(AND((EU205+EW205+EX205+EY205)=ET205,EC205=0,EE205=0,EF205=0),EA205,0),0)</f>
        <v>0</v>
      </c>
      <c r="EH205" s="615">
        <f>IFERROR(IF(AND((EU205+EW205+EX205+EY205+EZ205)=ET205,EC205=0,EE205=0,EF205=0,EG205=0),EA205,0),0)</f>
        <v>0</v>
      </c>
      <c r="EI205" s="339"/>
      <c r="EJ205" s="620">
        <f t="shared" si="1110"/>
        <v>0</v>
      </c>
      <c r="EK205" s="615">
        <f t="shared" si="1111"/>
        <v>0</v>
      </c>
      <c r="EL205" s="615">
        <f t="shared" si="1112"/>
        <v>0</v>
      </c>
      <c r="EM205" s="615">
        <f t="shared" si="1113"/>
        <v>0</v>
      </c>
      <c r="EN205" s="615">
        <f t="shared" si="1114"/>
        <v>0</v>
      </c>
      <c r="EO205" s="339"/>
      <c r="EP205" s="627">
        <f t="shared" si="1115"/>
        <v>0</v>
      </c>
      <c r="EQ205" s="627">
        <f t="shared" si="1116"/>
        <v>0</v>
      </c>
      <c r="ER205" s="627">
        <f t="shared" si="1117"/>
        <v>0</v>
      </c>
      <c r="ES205" s="55"/>
      <c r="ET205" s="615">
        <f>COUNTIF('LS | Drawing List'!$H:$H,"LS-V03-2")</f>
        <v>0</v>
      </c>
      <c r="EU205" s="616">
        <f>COUNTIFS('LS | Drawing List'!$H:$H,"LS-V03-2",'LS | Drawing List'!$J:$J,1)</f>
        <v>0</v>
      </c>
      <c r="EV205" s="616">
        <f>COUNTIFS('LS | Drawing List'!$H:$H,"LS-V03-2",'LS | Drawing List'!$L:$L,1)</f>
        <v>0</v>
      </c>
      <c r="EW205" s="615">
        <f>COUNTIFS('LS | Drawing List'!$H:$H,"LS-V03-2",'LS | Drawing List'!M:M,1)</f>
        <v>0</v>
      </c>
      <c r="EX205" s="615">
        <f>COUNTIFS('LS | Drawing List'!$H:$H,"LS-V03-2",'LS | Drawing List'!N:N,1)</f>
        <v>0</v>
      </c>
      <c r="EY205" s="615">
        <f>COUNTIFS('LS | Drawing List'!$H:$H,"LS-V03-2",'LS | Drawing List'!O:O,1)</f>
        <v>0</v>
      </c>
      <c r="EZ205" s="615">
        <f>COUNTIFS('LS | Drawing List'!$H:$H,"LS-V03-2",'LS | Drawing List'!P:P,1)</f>
        <v>0</v>
      </c>
      <c r="FA205" s="81"/>
      <c r="FB205" s="616">
        <f>COUNTIFS('LS | Drawing List'!$H:$H,"LS-V03-2",'LS | Drawing List'!$Q:$Q,1)</f>
        <v>0</v>
      </c>
      <c r="FC205" s="615">
        <f>COUNTIFS('LS | Drawing List'!$H:$H,"LS-V03-2",'LS | Drawing List'!R:R,1)</f>
        <v>0</v>
      </c>
      <c r="FD205" s="615">
        <f>COUNTIFS('LS | Drawing List'!$H:$H,"LS-V03-2",'LS | Drawing List'!S:S,1)</f>
        <v>0</v>
      </c>
      <c r="FE205" s="615">
        <f>COUNTIFS('LS | Drawing List'!$H:$H,"LS-V03-2",'LS | Drawing List'!T:T,1)</f>
        <v>0</v>
      </c>
      <c r="FF205" s="615">
        <f>COUNTIFS('LS | Drawing List'!$H:$H,"LS-V03-2",'LS | Drawing List'!U:U,1)</f>
        <v>0</v>
      </c>
      <c r="FG205" s="48"/>
    </row>
    <row r="206" spans="1:163" ht="14.25" outlineLevel="2">
      <c r="A206" s="48"/>
      <c r="B206" s="87" t="s">
        <v>184</v>
      </c>
      <c r="C206" s="276">
        <v>3</v>
      </c>
      <c r="D206" s="272" t="s">
        <v>156</v>
      </c>
      <c r="E206" s="48"/>
      <c r="F206" s="619">
        <f t="shared" si="1090"/>
        <v>0.22083213981244676</v>
      </c>
      <c r="G206" s="619">
        <f t="shared" si="1091"/>
        <v>5.3817647058823546E-2</v>
      </c>
      <c r="H206" s="615">
        <f t="shared" si="1092"/>
        <v>0.16701449275362321</v>
      </c>
      <c r="I206" s="615">
        <f t="shared" si="1060"/>
        <v>0.22083213981244676</v>
      </c>
      <c r="J206" s="615">
        <f t="shared" si="1061"/>
        <v>0.22083213981244676</v>
      </c>
      <c r="K206" s="615">
        <f t="shared" si="1062"/>
        <v>0</v>
      </c>
      <c r="L206" s="615">
        <f t="shared" si="1063"/>
        <v>0</v>
      </c>
      <c r="M206" s="620">
        <f t="shared" si="1064"/>
        <v>0</v>
      </c>
      <c r="N206" s="287"/>
      <c r="O206" s="615">
        <f t="shared" si="1065"/>
        <v>5.3817647058823546E-2</v>
      </c>
      <c r="P206" s="615">
        <f t="shared" si="1066"/>
        <v>0</v>
      </c>
      <c r="Q206" s="615">
        <f t="shared" si="1067"/>
        <v>0</v>
      </c>
      <c r="R206" s="615">
        <f t="shared" si="1068"/>
        <v>3.0882352941176468E-3</v>
      </c>
      <c r="S206" s="615">
        <f t="shared" si="1069"/>
        <v>5.0729411764705898E-2</v>
      </c>
      <c r="T206" s="48"/>
      <c r="U206" s="519">
        <v>0.2</v>
      </c>
      <c r="V206" s="131"/>
      <c r="W206" s="619">
        <f>$W$203/$U$203*U206</f>
        <v>0.16701449275362323</v>
      </c>
      <c r="X206" s="619">
        <f t="shared" si="1000"/>
        <v>0</v>
      </c>
      <c r="Y206" s="615">
        <f>IFERROR(IF(AL206=100%,W206,0),0)</f>
        <v>0</v>
      </c>
      <c r="Z206" s="615">
        <f>IFERROR(IF(AND((AL206+AM206)=100%,AL206&lt;1),W206,0),0)</f>
        <v>0.16701449275362323</v>
      </c>
      <c r="AA206" s="615">
        <f>IFERROR(IF(AND((AQ206+AS206)=AP206,Y206=0),W206,0),0)</f>
        <v>0.16701449275362323</v>
      </c>
      <c r="AB206" s="615">
        <f>IFERROR(IF(AND((AQ206+AS206+AT206)=AP206,Y206=0,AA206=0),W206,0),0)</f>
        <v>0</v>
      </c>
      <c r="AC206" s="615">
        <f>IFERROR(IF(AND((AQ206+AS206+AT206+AU206)=AP206,Y206=0,AA206=0,AB206=0),W206,0),0)</f>
        <v>0</v>
      </c>
      <c r="AD206" s="620">
        <f>IFERROR(IF(AND((AQ206+AS206+AT206+AU206+AV206)=AP206,Y206=0,AA206=0,AB206=0,AC206=0),W206,0),0)</f>
        <v>0</v>
      </c>
      <c r="AE206" s="287"/>
      <c r="AF206" s="615">
        <f>IFERROR(IF(AND((AL206+AN206)=100%,AL206&lt;1),W206,0),0)</f>
        <v>0</v>
      </c>
      <c r="AG206" s="615">
        <f>IFERROR(IF(AND((AQ206+AY206)=AP206,Y206=0),W206,0),0)</f>
        <v>0</v>
      </c>
      <c r="AH206" s="615">
        <f>IFERROR(IF(AND((AQ206+AY206+AZ206)=AP206,Y206=0,AG206=0),W206,0),0)</f>
        <v>0</v>
      </c>
      <c r="AI206" s="615">
        <f>IFERROR(IF(AND((AQ206+AY206+AZ206+BA206)=AP206,Y206=0,AG206=0,AH206=0),W206,0),0)</f>
        <v>0</v>
      </c>
      <c r="AJ206" s="615">
        <f>IFERROR(IF(AND((AQ206+AY206+AZ206+BA206+BB206)=AP206,Y206=0,AG206=0,AH206=0,AI206=0),W206,0),0)</f>
        <v>0</v>
      </c>
      <c r="AK206" s="339"/>
      <c r="AL206" s="625">
        <f>IFERROR(AQ206/AP206,0)</f>
        <v>0</v>
      </c>
      <c r="AM206" s="625">
        <f>IFERROR(AR206/AP206,0)</f>
        <v>1</v>
      </c>
      <c r="AN206" s="625">
        <f>IFERROR(AX206/AP206,0)</f>
        <v>0.33333333333333331</v>
      </c>
      <c r="AO206" s="345"/>
      <c r="AP206" s="615">
        <f>COUNTIF('AR | Drawing List'!$H:$H,"AR-VC3-3")</f>
        <v>6</v>
      </c>
      <c r="AQ206" s="616">
        <f>COUNTIFS('AR | Drawing List'!$H:$H,"AR-VC3-3",'AR | Drawing List'!$J:$J,1)</f>
        <v>0</v>
      </c>
      <c r="AR206" s="616">
        <f t="shared" si="1075"/>
        <v>6</v>
      </c>
      <c r="AS206" s="616">
        <f>COUNTIFS('AR | Drawing List'!$H:$H,"AR-VC3-3",'AR | Drawing List'!M:M,1)</f>
        <v>6</v>
      </c>
      <c r="AT206" s="616">
        <f>COUNTIFS('AR | Drawing List'!$H:$H,"AR-VC3-3",'AR | Drawing List'!N:N,1)</f>
        <v>0</v>
      </c>
      <c r="AU206" s="616">
        <f>COUNTIFS('AR | Drawing List'!$H:$H,"AR-VC3-3",'AR | Drawing List'!O:O,1)</f>
        <v>0</v>
      </c>
      <c r="AV206" s="616">
        <f>COUNTIFS('AR | Drawing List'!$H:$H,"AR-VC3-3",'AR | Drawing List'!P:P,1)</f>
        <v>0</v>
      </c>
      <c r="AW206" s="328"/>
      <c r="AX206" s="616">
        <f t="shared" si="1093"/>
        <v>2</v>
      </c>
      <c r="AY206" s="616">
        <f>COUNTIFS('AR | Drawing List'!$H:$H,"AR-VC3-3",'AR | Drawing List'!R:R,1)</f>
        <v>0</v>
      </c>
      <c r="AZ206" s="616">
        <f>COUNTIFS('AR | Drawing List'!$H:$H,"AR-VC3-3",'AR | Drawing List'!S:S,1)</f>
        <v>2</v>
      </c>
      <c r="BA206" s="616">
        <f>COUNTIFS('AR | Drawing List'!$H:$H,"AR-VC3-3",'AR | Drawing List'!T:T,1)</f>
        <v>0</v>
      </c>
      <c r="BB206" s="616">
        <f>COUNTIFS('AR | Drawing List'!$H:$H,"AR-VC3-3",'AR | Drawing List'!U:U,1)</f>
        <v>0</v>
      </c>
      <c r="BC206" s="359"/>
      <c r="BD206" s="359"/>
      <c r="BE206" s="525"/>
      <c r="BF206" s="343"/>
      <c r="BG206" s="616">
        <f>$BG$203/$BE$203*BE206</f>
        <v>0</v>
      </c>
      <c r="BH206" s="618">
        <f t="shared" si="1001"/>
        <v>0</v>
      </c>
      <c r="BI206" s="615">
        <f>IFERROR(IF(BV206=100%,BG206,0),0)</f>
        <v>0</v>
      </c>
      <c r="BJ206" s="615">
        <f>IFERROR(IF(AND((BV206+BW206)=100%,BV206&lt;1),BG206,0),0)</f>
        <v>0</v>
      </c>
      <c r="BK206" s="615">
        <f>IFERROR(IF(AND((CA206+CC206)=BZ206,BI206=0),BG206,0),0)</f>
        <v>0</v>
      </c>
      <c r="BL206" s="615">
        <f>IFERROR(IF(AND((CA206+CC206+CD206)=BZ206,BI206=0,BK206=0),BG206,0),0)</f>
        <v>0</v>
      </c>
      <c r="BM206" s="615">
        <f>IFERROR(IF(AND((CA206+CC206+CD206+CE206)=BZ206,BI206=0,BK206=0,BL206=0),BG206,0),0)</f>
        <v>0</v>
      </c>
      <c r="BN206" s="615">
        <f>IFERROR(IF(AND((CA206+CC206+CD206+CE206+CF206)=BZ206,BI206=0,BK206=0,BL206=0,BM206=0),BG206,0),0)</f>
        <v>0</v>
      </c>
      <c r="BO206" s="339"/>
      <c r="BP206" s="615">
        <f>IFERROR(IF(AND((BV206+BX206)=100%,BV206&lt;1),BG206,0),0)</f>
        <v>0</v>
      </c>
      <c r="BQ206" s="615">
        <f>IFERROR(IF(AND((CA206+CI206)=BZ206,BI206=0),BG206,0),0)</f>
        <v>0</v>
      </c>
      <c r="BR206" s="615">
        <f>IFERROR(IF(AND((CA206+CI206+CJ206)=BZ206,BI206=0,BQ206=0),BG206,0),0)</f>
        <v>0</v>
      </c>
      <c r="BS206" s="615">
        <f>IFERROR(IF(AND((CA206+CI206+CJ206+CK206)=BZ206,BI206=0,BQ206=0,BR206=0),BG206,0),0)</f>
        <v>0</v>
      </c>
      <c r="BT206" s="615">
        <f>IFERROR(IF(AND((CA206+CI206+CJ206+CK206+CL206)=BZ206,BI206=0,BQ206=0,BR206=0,BS206=0),BG206,0),0)</f>
        <v>0</v>
      </c>
      <c r="BU206" s="339"/>
      <c r="BV206" s="635">
        <f t="shared" si="1094"/>
        <v>0</v>
      </c>
      <c r="BW206" s="635">
        <f t="shared" si="1095"/>
        <v>0</v>
      </c>
      <c r="BX206" s="635">
        <f t="shared" si="1096"/>
        <v>0</v>
      </c>
      <c r="BY206" s="345"/>
      <c r="BZ206" s="615">
        <f>COUNTIF('ST | Drawing List'!$H:$H,"ST-VC3-3")</f>
        <v>0</v>
      </c>
      <c r="CA206" s="616">
        <f>COUNTIFS('ST | Drawing List'!$H:$H,"ST-VC3-3",'ST | Drawing List'!$J:$J,1)</f>
        <v>0</v>
      </c>
      <c r="CB206" s="623">
        <f>COUNTIFS('ST | Drawing List'!$H:$H,"ST-VC3-3",'ST | Drawing List'!$L:$L,1)</f>
        <v>0</v>
      </c>
      <c r="CC206" s="616">
        <f>COUNTIFS('ST | Drawing List'!$H:$H,"ST-VC3-3",'ST | Drawing List'!M:M,1)</f>
        <v>0</v>
      </c>
      <c r="CD206" s="616">
        <f>COUNTIFS('ST | Drawing List'!$H:$H,"ST-VC3-3",'ST | Drawing List'!N:N,1)</f>
        <v>0</v>
      </c>
      <c r="CE206" s="616">
        <f>COUNTIFS('ST | Drawing List'!$H:$H,"ST-VC3-3",'ST | Drawing List'!O:O,1)</f>
        <v>0</v>
      </c>
      <c r="CF206" s="616">
        <f>COUNTIFS('ST | Drawing List'!$H:$H,"ST-VC3-3",'ST | Drawing List'!P:P,1)</f>
        <v>0</v>
      </c>
      <c r="CG206" s="532"/>
      <c r="CH206" s="623">
        <f>COUNTIFS('ST | Drawing List'!$H:$H,"ST-VC3-3",'ST | Drawing List'!$Q:$Q,1)</f>
        <v>0</v>
      </c>
      <c r="CI206" s="616">
        <f>COUNTIFS('ST | Drawing List'!$H:$H,"ST-VC3-3",'ST | Drawing List'!R:R,1)</f>
        <v>0</v>
      </c>
      <c r="CJ206" s="616">
        <f>COUNTIFS('ST | Drawing List'!$H:$H,"ST-VC3-3",'ST | Drawing List'!S:S,1)</f>
        <v>0</v>
      </c>
      <c r="CK206" s="616">
        <f>COUNTIFS('ST | Drawing List'!$H:$H,"ST-VC3-3",'ST | Drawing List'!T:T,1)</f>
        <v>0</v>
      </c>
      <c r="CL206" s="616">
        <f>COUNTIFS('ST | Drawing List'!$H:$H,"ST-VC3-3",'ST | Drawing List'!U:U,1)</f>
        <v>0</v>
      </c>
      <c r="CM206" s="343"/>
      <c r="CN206" s="343"/>
      <c r="CO206" s="525">
        <v>0.15</v>
      </c>
      <c r="CP206" s="343"/>
      <c r="CQ206" s="777">
        <f>$CQ$203/$CO$203*CO206</f>
        <v>3.0882352941176468E-3</v>
      </c>
      <c r="CR206" s="618">
        <f t="shared" si="1002"/>
        <v>3.0882352941176468E-3</v>
      </c>
      <c r="CS206" s="615">
        <f>IFERROR(IF(DF206=100%,CQ206,0),0)</f>
        <v>0</v>
      </c>
      <c r="CT206" s="615">
        <f t="shared" si="1097"/>
        <v>3.0882352941176468E-3</v>
      </c>
      <c r="CU206" s="615">
        <f t="shared" si="1098"/>
        <v>3.0882352941176468E-3</v>
      </c>
      <c r="CV206" s="615">
        <f t="shared" si="1099"/>
        <v>0</v>
      </c>
      <c r="CW206" s="615">
        <f t="shared" si="1100"/>
        <v>0</v>
      </c>
      <c r="CX206" s="615">
        <f t="shared" si="1101"/>
        <v>0</v>
      </c>
      <c r="CY206" s="339"/>
      <c r="CZ206" s="615">
        <f t="shared" si="1102"/>
        <v>3.0882352941176468E-3</v>
      </c>
      <c r="DA206" s="615">
        <f t="shared" si="1103"/>
        <v>0</v>
      </c>
      <c r="DB206" s="615">
        <f t="shared" si="1104"/>
        <v>0</v>
      </c>
      <c r="DC206" s="615">
        <f t="shared" si="1105"/>
        <v>3.0882352941176468E-3</v>
      </c>
      <c r="DD206" s="615">
        <f t="shared" si="1106"/>
        <v>0</v>
      </c>
      <c r="DE206" s="339"/>
      <c r="DF206" s="625">
        <f t="shared" si="1107"/>
        <v>0</v>
      </c>
      <c r="DG206" s="625">
        <f t="shared" si="1108"/>
        <v>1</v>
      </c>
      <c r="DH206" s="625">
        <f t="shared" si="1109"/>
        <v>1</v>
      </c>
      <c r="DI206" s="345"/>
      <c r="DJ206" s="615">
        <f>COUNTIF('MEP | Drawing List'!$H:$H,"MEP-VC3-3")</f>
        <v>4</v>
      </c>
      <c r="DK206" s="616">
        <f>COUNTIFS('MEP | Drawing List'!$H:$H,"MEP-VC3-3",'MEP | Drawing List'!$J:$J,1)</f>
        <v>0</v>
      </c>
      <c r="DL206" s="616">
        <f>COUNTIFS('MEP | Drawing List'!$H:$H,"MEP-VC3-3",'MEP | Drawing List'!$L:$L,1)</f>
        <v>4</v>
      </c>
      <c r="DM206" s="615">
        <f>COUNTIFS('MEP | Drawing List'!$H:$H,"MEP-VC3-3",'MEP | Drawing List'!M:M,1)</f>
        <v>4</v>
      </c>
      <c r="DN206" s="615">
        <f>COUNTIFS('MEP | Drawing List'!$H:$H,"MEP-VC3-3",'MEP | Drawing List'!N:N,1)</f>
        <v>0</v>
      </c>
      <c r="DO206" s="615">
        <f>COUNTIFS('MEP | Drawing List'!$H:$H,"MEP-VC3-3",'MEP | Drawing List'!O:O,1)</f>
        <v>0</v>
      </c>
      <c r="DP206" s="615">
        <f>COUNTIFS('MEP | Drawing List'!$H:$H,"MEP-VC3-3",'MEP | Drawing List'!P:P,1)</f>
        <v>0</v>
      </c>
      <c r="DQ206" s="339"/>
      <c r="DR206" s="616">
        <f>COUNTIFS('MEP | Drawing List'!$H:$H,"MEP-VC3-3",'MEP | Drawing List'!$Q:$Q,1)</f>
        <v>4</v>
      </c>
      <c r="DS206" s="615">
        <f>COUNTIFS('MEP | Drawing List'!$H:$H,"MEP-VC3-3",'MEP | Drawing List'!R:R,1)</f>
        <v>0</v>
      </c>
      <c r="DT206" s="615">
        <f>COUNTIFS('MEP | Drawing List'!$H:$H,"MEP-VC3-3",'MEP | Drawing List'!S:S,1)</f>
        <v>0</v>
      </c>
      <c r="DU206" s="615">
        <f>COUNTIFS('MEP | Drawing List'!$H:$H,"MEP-VC3-3",'MEP | Drawing List'!T:T,1)</f>
        <v>4</v>
      </c>
      <c r="DV206" s="615">
        <f>COUNTIFS('MEP | Drawing List'!$H:$H,"MEP-VC3-3",'MEP | Drawing List'!U:U,1)</f>
        <v>0</v>
      </c>
      <c r="DW206" s="343"/>
      <c r="DX206" s="343"/>
      <c r="DY206" s="525">
        <v>0.55000000000000004</v>
      </c>
      <c r="DZ206" s="343"/>
      <c r="EA206" s="616">
        <f>$EA$203/$DY$203*DY206</f>
        <v>5.0729411764705898E-2</v>
      </c>
      <c r="EB206" s="618">
        <f t="shared" si="1003"/>
        <v>5.0729411764705898E-2</v>
      </c>
      <c r="EC206" s="615">
        <f>IFERROR(IF(EP206=100%,EA206,0),0)</f>
        <v>0</v>
      </c>
      <c r="ED206" s="615">
        <f>IFERROR(IF(AND((EP206+EQ206)=100%,EP206&lt;1),EA206,0),0)</f>
        <v>5.0729411764705898E-2</v>
      </c>
      <c r="EE206" s="615">
        <f>IFERROR(IF(AND((EU206+EW206)=ET206,EC206=0),EA206,0),0)</f>
        <v>5.0729411764705898E-2</v>
      </c>
      <c r="EF206" s="615">
        <f>IFERROR(IF(AND((EU206+EW206+EX206)=ET206,EC206=0,EE206=0),EA206,0),0)</f>
        <v>0</v>
      </c>
      <c r="EG206" s="615">
        <f>IFERROR(IF(AND((EU206+EW206+EX206+EY206)=ET206,EC206=0,EE206=0,EF206=0),EA206,0),0)</f>
        <v>0</v>
      </c>
      <c r="EH206" s="615">
        <f>IFERROR(IF(AND((EU206+EW206+EX206+EY206+EZ206)=ET206,EC206=0,EE206=0,EF206=0,EG206=0),EA206,0),0)</f>
        <v>0</v>
      </c>
      <c r="EI206" s="339"/>
      <c r="EJ206" s="620">
        <f t="shared" si="1110"/>
        <v>5.0729411764705898E-2</v>
      </c>
      <c r="EK206" s="615">
        <f t="shared" si="1111"/>
        <v>0</v>
      </c>
      <c r="EL206" s="615">
        <f t="shared" si="1112"/>
        <v>0</v>
      </c>
      <c r="EM206" s="615">
        <f t="shared" si="1113"/>
        <v>0</v>
      </c>
      <c r="EN206" s="615">
        <f t="shared" si="1114"/>
        <v>5.0729411764705898E-2</v>
      </c>
      <c r="EO206" s="339"/>
      <c r="EP206" s="627">
        <f t="shared" si="1115"/>
        <v>0</v>
      </c>
      <c r="EQ206" s="627">
        <f t="shared" si="1116"/>
        <v>1</v>
      </c>
      <c r="ER206" s="627">
        <f t="shared" si="1117"/>
        <v>1</v>
      </c>
      <c r="ES206" s="55"/>
      <c r="ET206" s="615">
        <f>COUNTIF('LS | Drawing List'!$H:$H,"LS-V03-3")</f>
        <v>3</v>
      </c>
      <c r="EU206" s="616">
        <f>COUNTIFS('LS | Drawing List'!$H:$H,"LS-V03-3",'LS | Drawing List'!$J:$J,1)</f>
        <v>0</v>
      </c>
      <c r="EV206" s="616">
        <f>COUNTIFS('LS | Drawing List'!$H:$H,"LS-V03-3",'LS | Drawing List'!$L:$L,1)</f>
        <v>3</v>
      </c>
      <c r="EW206" s="615">
        <f>COUNTIFS('LS | Drawing List'!$H:$H,"LS-V03-3",'LS | Drawing List'!M:M,1)</f>
        <v>3</v>
      </c>
      <c r="EX206" s="615">
        <f>COUNTIFS('LS | Drawing List'!$H:$H,"LS-V03-3",'LS | Drawing List'!N:N,1)</f>
        <v>0</v>
      </c>
      <c r="EY206" s="615">
        <f>COUNTIFS('LS | Drawing List'!$H:$H,"LS-V03-3",'LS | Drawing List'!O:O,1)</f>
        <v>0</v>
      </c>
      <c r="EZ206" s="615">
        <f>COUNTIFS('LS | Drawing List'!$H:$H,"LS-V03-3",'LS | Drawing List'!P:P,1)</f>
        <v>0</v>
      </c>
      <c r="FA206" s="81"/>
      <c r="FB206" s="616">
        <f>COUNTIFS('LS | Drawing List'!$H:$H,"LS-V03-3",'LS | Drawing List'!$Q:$Q,1)</f>
        <v>3</v>
      </c>
      <c r="FC206" s="615">
        <f>COUNTIFS('LS | Drawing List'!$H:$H,"LS-V03-3",'LS | Drawing List'!R:R,1)</f>
        <v>0</v>
      </c>
      <c r="FD206" s="615">
        <f>COUNTIFS('LS | Drawing List'!$H:$H,"LS-V03-3",'LS | Drawing List'!S:S,1)</f>
        <v>0</v>
      </c>
      <c r="FE206" s="615">
        <f>COUNTIFS('LS | Drawing List'!$H:$H,"LS-V03-3",'LS | Drawing List'!T:T,1)</f>
        <v>0</v>
      </c>
      <c r="FF206" s="615">
        <f>COUNTIFS('LS | Drawing List'!$H:$H,"LS-V03-3",'LS | Drawing List'!U:U,1)</f>
        <v>3</v>
      </c>
      <c r="FG206" s="48"/>
    </row>
    <row r="207" spans="1:163" ht="3" hidden="1" customHeight="1" outlineLevel="1">
      <c r="A207" s="48"/>
      <c r="B207" s="49"/>
      <c r="C207" s="280"/>
      <c r="D207" s="272"/>
      <c r="E207" s="48"/>
      <c r="F207" s="338"/>
      <c r="G207" s="619"/>
      <c r="H207" s="374"/>
      <c r="I207" s="374"/>
      <c r="J207" s="374"/>
      <c r="K207" s="374"/>
      <c r="L207" s="374"/>
      <c r="M207" s="374"/>
      <c r="N207" s="374"/>
      <c r="O207" s="374"/>
      <c r="P207" s="374"/>
      <c r="Q207" s="374"/>
      <c r="R207" s="374"/>
      <c r="S207" s="374"/>
      <c r="T207" s="48"/>
      <c r="U207" s="519"/>
      <c r="V207" s="131"/>
      <c r="W207" s="338"/>
      <c r="X207" s="619">
        <f t="shared" si="1000"/>
        <v>0</v>
      </c>
      <c r="Y207" s="374"/>
      <c r="Z207" s="374"/>
      <c r="AA207" s="374"/>
      <c r="AB207" s="374"/>
      <c r="AC207" s="374"/>
      <c r="AD207" s="374"/>
      <c r="AE207" s="374"/>
      <c r="AF207" s="374"/>
      <c r="AG207" s="374"/>
      <c r="AH207" s="374"/>
      <c r="AI207" s="374"/>
      <c r="AJ207" s="374"/>
      <c r="AK207" s="374"/>
      <c r="AL207" s="603"/>
      <c r="AM207" s="603"/>
      <c r="AN207" s="603"/>
      <c r="AO207" s="345"/>
      <c r="AP207" s="359"/>
      <c r="AQ207" s="359"/>
      <c r="AR207" s="359"/>
      <c r="AS207" s="359"/>
      <c r="AT207" s="359"/>
      <c r="AU207" s="359"/>
      <c r="AV207" s="359"/>
      <c r="AW207" s="359"/>
      <c r="AX207" s="359"/>
      <c r="AY207" s="359"/>
      <c r="AZ207" s="359"/>
      <c r="BA207" s="359"/>
      <c r="BB207" s="359"/>
      <c r="BC207" s="359"/>
      <c r="BD207" s="359"/>
      <c r="BE207" s="525"/>
      <c r="BF207" s="343"/>
      <c r="BG207" s="344"/>
      <c r="BH207" s="618">
        <f t="shared" si="1001"/>
        <v>0</v>
      </c>
      <c r="BI207" s="374"/>
      <c r="BJ207" s="374"/>
      <c r="BK207" s="374"/>
      <c r="BL207" s="374"/>
      <c r="BM207" s="374"/>
      <c r="BN207" s="374"/>
      <c r="BO207" s="374"/>
      <c r="BP207" s="374"/>
      <c r="BQ207" s="374"/>
      <c r="BR207" s="374"/>
      <c r="BS207" s="374"/>
      <c r="BT207" s="374"/>
      <c r="BU207" s="374"/>
      <c r="BV207" s="525"/>
      <c r="BW207" s="525"/>
      <c r="BX207" s="525"/>
      <c r="BY207" s="345"/>
      <c r="BZ207" s="540"/>
      <c r="CA207" s="540"/>
      <c r="CB207" s="542"/>
      <c r="CC207" s="540"/>
      <c r="CD207" s="540"/>
      <c r="CE207" s="540"/>
      <c r="CF207" s="540"/>
      <c r="CG207" s="540"/>
      <c r="CH207" s="542"/>
      <c r="CI207" s="540"/>
      <c r="CJ207" s="540"/>
      <c r="CK207" s="540"/>
      <c r="CL207" s="540"/>
      <c r="CM207" s="343"/>
      <c r="CN207" s="343"/>
      <c r="CO207" s="525"/>
      <c r="CP207" s="343"/>
      <c r="CQ207" s="344"/>
      <c r="CR207" s="618">
        <f t="shared" si="1002"/>
        <v>0</v>
      </c>
      <c r="CS207" s="374"/>
      <c r="CT207" s="374"/>
      <c r="CU207" s="374"/>
      <c r="CV207" s="374"/>
      <c r="CW207" s="374"/>
      <c r="CX207" s="374"/>
      <c r="CY207" s="374"/>
      <c r="CZ207" s="374"/>
      <c r="DA207" s="374"/>
      <c r="DB207" s="374"/>
      <c r="DC207" s="374"/>
      <c r="DD207" s="374"/>
      <c r="DE207" s="374"/>
      <c r="DF207" s="603"/>
      <c r="DG207" s="603"/>
      <c r="DH207" s="603"/>
      <c r="DI207" s="345"/>
      <c r="DJ207" s="359"/>
      <c r="DK207" s="359"/>
      <c r="DL207" s="359"/>
      <c r="DM207" s="374"/>
      <c r="DN207" s="374"/>
      <c r="DO207" s="374"/>
      <c r="DP207" s="374"/>
      <c r="DQ207" s="374"/>
      <c r="DR207" s="359"/>
      <c r="DS207" s="374"/>
      <c r="DT207" s="374"/>
      <c r="DU207" s="374"/>
      <c r="DV207" s="374"/>
      <c r="DW207" s="343"/>
      <c r="DX207" s="343"/>
      <c r="DY207" s="525"/>
      <c r="DZ207" s="343"/>
      <c r="EA207" s="344"/>
      <c r="EB207" s="618">
        <f t="shared" si="1003"/>
        <v>0</v>
      </c>
      <c r="EC207" s="88"/>
      <c r="ED207" s="88"/>
      <c r="EE207" s="88"/>
      <c r="EF207" s="88"/>
      <c r="EG207" s="88"/>
      <c r="EH207" s="88"/>
      <c r="EI207" s="88"/>
      <c r="EJ207" s="88"/>
      <c r="EK207" s="88"/>
      <c r="EL207" s="88"/>
      <c r="EM207" s="88"/>
      <c r="EN207" s="88"/>
      <c r="EO207" s="88"/>
      <c r="EP207" s="103"/>
      <c r="EQ207" s="103"/>
      <c r="ER207" s="103"/>
      <c r="ES207" s="55"/>
      <c r="ET207" s="56"/>
      <c r="EU207" s="56"/>
      <c r="EV207" s="56"/>
      <c r="EW207" s="88"/>
      <c r="EX207" s="88"/>
      <c r="EY207" s="88"/>
      <c r="EZ207" s="88"/>
      <c r="FA207" s="88"/>
      <c r="FB207" s="56"/>
      <c r="FC207" s="88"/>
      <c r="FD207" s="88"/>
      <c r="FE207" s="88"/>
      <c r="FF207" s="88"/>
      <c r="FG207" s="48"/>
    </row>
    <row r="208" spans="1:163" ht="14.25" outlineLevel="1">
      <c r="A208" s="48"/>
      <c r="B208" s="73"/>
      <c r="C208" s="275">
        <v>14</v>
      </c>
      <c r="D208" s="271" t="s">
        <v>185</v>
      </c>
      <c r="E208" s="74"/>
      <c r="F208" s="614">
        <f>W208+BG208+CQ208+EA208</f>
        <v>13.435389623856771</v>
      </c>
      <c r="G208" s="614">
        <f>X208+BH208+CR208+EB208</f>
        <v>9.4089055080347404</v>
      </c>
      <c r="H208" s="612">
        <f>F208-G208</f>
        <v>4.026484115822031</v>
      </c>
      <c r="I208" s="614">
        <f t="shared" ref="I208:I218" si="1118">Z208+BJ208+CT208+ED208</f>
        <v>8.0612337743140632</v>
      </c>
      <c r="J208" s="614">
        <f t="shared" ref="J208:J218" si="1119">AA208+BK208+CU208+EE208</f>
        <v>8.0612337743140632</v>
      </c>
      <c r="K208" s="614">
        <f t="shared" ref="K208:K218" si="1120">AB208+BL208+CV208+EF208</f>
        <v>0</v>
      </c>
      <c r="L208" s="614">
        <f t="shared" ref="L208:L218" si="1121">AC208+BM208+CW208+EG208</f>
        <v>0</v>
      </c>
      <c r="M208" s="614">
        <f t="shared" ref="M208:M218" si="1122">AD208+BN208+CX208+EH208</f>
        <v>0</v>
      </c>
      <c r="N208" s="281"/>
      <c r="O208" s="614">
        <f t="shared" ref="O208:O218" si="1123">AF208+BP208+CZ208+EJ208</f>
        <v>4.0347496584920313</v>
      </c>
      <c r="P208" s="614">
        <f t="shared" ref="P208:P218" si="1124">AG208+BQ208+DA208+EK208</f>
        <v>0</v>
      </c>
      <c r="Q208" s="614">
        <f t="shared" ref="Q208:Q218" si="1125">AH208+BR208+DB208+EL208</f>
        <v>2.3655275904450002</v>
      </c>
      <c r="R208" s="614">
        <f t="shared" ref="R208:R218" si="1126">AI208+BS208+DC208+EM208</f>
        <v>1.182075</v>
      </c>
      <c r="S208" s="614">
        <f t="shared" ref="S208:S218" si="1127">AJ208+BT208+DD208+EN208</f>
        <v>0.48714706804703151</v>
      </c>
      <c r="T208" s="74"/>
      <c r="U208" s="332">
        <v>0.5</v>
      </c>
      <c r="V208" s="332"/>
      <c r="W208" s="614">
        <f>U208*(5%*'BOQ COST'!E17)*1</f>
        <v>11.82075</v>
      </c>
      <c r="X208" s="614">
        <f t="shared" si="1000"/>
        <v>8.2745250000000006</v>
      </c>
      <c r="Y208" s="612">
        <f>SUM(Y209:Y218)</f>
        <v>4.7282999999999999</v>
      </c>
      <c r="Z208" s="612">
        <f t="shared" ref="Z208:AD208" si="1128">SUM(Z209:Z218)</f>
        <v>7.0924500000000004</v>
      </c>
      <c r="AA208" s="612">
        <f t="shared" si="1128"/>
        <v>7.0924500000000004</v>
      </c>
      <c r="AB208" s="612">
        <f t="shared" si="1128"/>
        <v>0</v>
      </c>
      <c r="AC208" s="612">
        <f t="shared" si="1128"/>
        <v>0</v>
      </c>
      <c r="AD208" s="612">
        <f t="shared" si="1128"/>
        <v>0</v>
      </c>
      <c r="AE208" s="281"/>
      <c r="AF208" s="612">
        <f t="shared" ref="AF208:AJ208" si="1129">SUM(AF209:AF218)</f>
        <v>3.5462249999999997</v>
      </c>
      <c r="AG208" s="612">
        <f t="shared" si="1129"/>
        <v>0</v>
      </c>
      <c r="AH208" s="612">
        <f t="shared" si="1129"/>
        <v>2.36415</v>
      </c>
      <c r="AI208" s="612">
        <f t="shared" si="1129"/>
        <v>1.182075</v>
      </c>
      <c r="AJ208" s="612">
        <f t="shared" si="1129"/>
        <v>0</v>
      </c>
      <c r="AK208" s="281"/>
      <c r="AL208" s="605"/>
      <c r="AM208" s="605"/>
      <c r="AN208" s="605"/>
      <c r="AO208" s="612">
        <f t="shared" ref="AO208" si="1130">SUM(AO209:AO213)</f>
        <v>0</v>
      </c>
      <c r="AP208" s="612">
        <f t="shared" ref="AP208" si="1131">SUM(AP209:AP218)</f>
        <v>597</v>
      </c>
      <c r="AQ208" s="612">
        <f t="shared" ref="AQ208" si="1132">SUM(AQ209:AQ218)</f>
        <v>180</v>
      </c>
      <c r="AR208" s="612">
        <f t="shared" ref="AR208" si="1133">SUM(AR209:AR218)</f>
        <v>417</v>
      </c>
      <c r="AS208" s="612">
        <f t="shared" ref="AS208" si="1134">SUM(AS209:AS218)</f>
        <v>417</v>
      </c>
      <c r="AT208" s="612">
        <f t="shared" ref="AT208" si="1135">SUM(AT209:AT218)</f>
        <v>0</v>
      </c>
      <c r="AU208" s="612">
        <f t="shared" ref="AU208" si="1136">SUM(AU209:AU218)</f>
        <v>0</v>
      </c>
      <c r="AV208" s="612">
        <f t="shared" ref="AV208" si="1137">SUM(AV209:AV218)</f>
        <v>0</v>
      </c>
      <c r="AW208" s="612">
        <f t="shared" ref="AW208" si="1138">SUM(AW209:AW218)</f>
        <v>0</v>
      </c>
      <c r="AX208" s="612">
        <f t="shared" ref="AX208" si="1139">SUM(AX209:AX218)</f>
        <v>210</v>
      </c>
      <c r="AY208" s="612">
        <f t="shared" ref="AY208" si="1140">SUM(AY209:AY218)</f>
        <v>0</v>
      </c>
      <c r="AZ208" s="612">
        <f t="shared" ref="AZ208" si="1141">SUM(AZ209:AZ218)</f>
        <v>140</v>
      </c>
      <c r="BA208" s="612">
        <f t="shared" ref="BA208" si="1142">SUM(BA209:BA218)</f>
        <v>70</v>
      </c>
      <c r="BB208" s="612">
        <f t="shared" ref="BB208" si="1143">SUM(BB209:BB218)</f>
        <v>0</v>
      </c>
      <c r="BC208" s="336"/>
      <c r="BD208" s="336"/>
      <c r="BE208" s="332">
        <f>SUM(BE209:BE213)</f>
        <v>0</v>
      </c>
      <c r="BF208" s="332"/>
      <c r="BG208" s="361">
        <v>0</v>
      </c>
      <c r="BH208" s="614">
        <f t="shared" si="1001"/>
        <v>0</v>
      </c>
      <c r="BI208" s="612">
        <f>SUM(BI209:BI218)</f>
        <v>0</v>
      </c>
      <c r="BJ208" s="612">
        <f t="shared" ref="BJ208" si="1144">SUM(BJ209:BJ218)</f>
        <v>0</v>
      </c>
      <c r="BK208" s="612">
        <f t="shared" ref="BK208" si="1145">SUM(BK209:BK218)</f>
        <v>0</v>
      </c>
      <c r="BL208" s="612">
        <f t="shared" ref="BL208" si="1146">SUM(BL209:BL218)</f>
        <v>0</v>
      </c>
      <c r="BM208" s="612">
        <f t="shared" ref="BM208" si="1147">SUM(BM209:BM218)</f>
        <v>0</v>
      </c>
      <c r="BN208" s="612">
        <f t="shared" ref="BN208" si="1148">SUM(BN209:BN218)</f>
        <v>0</v>
      </c>
      <c r="BO208" s="281"/>
      <c r="BP208" s="612">
        <f t="shared" ref="BP208" si="1149">SUM(BP209:BP218)</f>
        <v>0</v>
      </c>
      <c r="BQ208" s="612">
        <f t="shared" ref="BQ208" si="1150">SUM(BQ209:BQ218)</f>
        <v>0</v>
      </c>
      <c r="BR208" s="612">
        <f t="shared" ref="BR208" si="1151">SUM(BR209:BR218)</f>
        <v>0</v>
      </c>
      <c r="BS208" s="612">
        <f t="shared" ref="BS208" si="1152">SUM(BS209:BS218)</f>
        <v>0</v>
      </c>
      <c r="BT208" s="612">
        <f t="shared" ref="BT208" si="1153">SUM(BT209:BT218)</f>
        <v>0</v>
      </c>
      <c r="BU208" s="281"/>
      <c r="BV208" s="605"/>
      <c r="BW208" s="605"/>
      <c r="BX208" s="605"/>
      <c r="BY208" s="612">
        <f t="shared" ref="BY208" si="1154">SUM(BY209:BY213)</f>
        <v>0</v>
      </c>
      <c r="BZ208" s="612">
        <f t="shared" ref="BZ208" si="1155">SUM(BZ209:BZ218)</f>
        <v>0</v>
      </c>
      <c r="CA208" s="612">
        <f t="shared" ref="CA208" si="1156">SUM(CA209:CA218)</f>
        <v>0</v>
      </c>
      <c r="CB208" s="612">
        <f t="shared" ref="CB208" si="1157">SUM(CB209:CB218)</f>
        <v>0</v>
      </c>
      <c r="CC208" s="612">
        <f t="shared" ref="CC208" si="1158">SUM(CC209:CC218)</f>
        <v>0</v>
      </c>
      <c r="CD208" s="612">
        <f t="shared" ref="CD208" si="1159">SUM(CD209:CD218)</f>
        <v>0</v>
      </c>
      <c r="CE208" s="612">
        <f t="shared" ref="CE208" si="1160">SUM(CE209:CE218)</f>
        <v>0</v>
      </c>
      <c r="CF208" s="612">
        <f t="shared" ref="CF208" si="1161">SUM(CF209:CF218)</f>
        <v>0</v>
      </c>
      <c r="CG208" s="535"/>
      <c r="CH208" s="612">
        <f t="shared" ref="CH208:CL208" si="1162">SUM(CH209:CH213)</f>
        <v>0</v>
      </c>
      <c r="CI208" s="612">
        <f t="shared" si="1162"/>
        <v>0</v>
      </c>
      <c r="CJ208" s="612">
        <f t="shared" si="1162"/>
        <v>0</v>
      </c>
      <c r="CK208" s="612">
        <f t="shared" si="1162"/>
        <v>0</v>
      </c>
      <c r="CL208" s="612">
        <f t="shared" si="1162"/>
        <v>0</v>
      </c>
      <c r="CM208" s="332"/>
      <c r="CN208" s="332"/>
      <c r="CO208" s="332">
        <f>SUM(CO209:CP218)</f>
        <v>0.64999999999999991</v>
      </c>
      <c r="CP208" s="332"/>
      <c r="CQ208" s="614">
        <f>CO208*(2%*'BOQ COST'!$G$17)*1</f>
        <v>1.6008637194067716</v>
      </c>
      <c r="CR208" s="614">
        <f t="shared" si="1002"/>
        <v>1.1206046035847401</v>
      </c>
      <c r="CS208" s="612">
        <f>SUM(CS209:CS218)</f>
        <v>0.64034548776270872</v>
      </c>
      <c r="CT208" s="612">
        <f t="shared" ref="CT208" si="1163">SUM(CT209:CT218)</f>
        <v>0.96051823164406314</v>
      </c>
      <c r="CU208" s="612">
        <f t="shared" ref="CU208" si="1164">SUM(CU209:CU218)</f>
        <v>0.96051823164406314</v>
      </c>
      <c r="CV208" s="612">
        <f t="shared" ref="CV208" si="1165">SUM(CV209:CV218)</f>
        <v>0</v>
      </c>
      <c r="CW208" s="612">
        <f t="shared" ref="CW208" si="1166">SUM(CW209:CW218)</f>
        <v>0</v>
      </c>
      <c r="CX208" s="612">
        <f t="shared" ref="CX208" si="1167">SUM(CX209:CX218)</f>
        <v>0</v>
      </c>
      <c r="CY208" s="281"/>
      <c r="CZ208" s="612">
        <f t="shared" ref="CZ208" si="1168">SUM(CZ209:CZ218)</f>
        <v>0.48025911582203151</v>
      </c>
      <c r="DA208" s="612">
        <f t="shared" ref="DA208" si="1169">SUM(DA209:DA218)</f>
        <v>0</v>
      </c>
      <c r="DB208" s="612">
        <f t="shared" ref="DB208" si="1170">SUM(DB209:DB218)</f>
        <v>0</v>
      </c>
      <c r="DC208" s="612">
        <f t="shared" ref="DC208" si="1171">SUM(DC209:DC218)</f>
        <v>0</v>
      </c>
      <c r="DD208" s="612">
        <f t="shared" ref="DD208" si="1172">SUM(DD209:DD218)</f>
        <v>0.48025911582203151</v>
      </c>
      <c r="DE208" s="281"/>
      <c r="DF208" s="605"/>
      <c r="DG208" s="605"/>
      <c r="DH208" s="605"/>
      <c r="DI208" s="612">
        <f t="shared" ref="DI208" si="1173">SUM(DI209:DI213)</f>
        <v>0</v>
      </c>
      <c r="DJ208" s="612">
        <f t="shared" ref="DJ208" si="1174">SUM(DJ209:DJ218)</f>
        <v>277</v>
      </c>
      <c r="DK208" s="612">
        <f t="shared" ref="DK208" si="1175">SUM(DK209:DK218)</f>
        <v>127</v>
      </c>
      <c r="DL208" s="612">
        <f t="shared" ref="DL208" si="1176">SUM(DL209:DL218)</f>
        <v>150</v>
      </c>
      <c r="DM208" s="612">
        <f t="shared" ref="DM208" si="1177">SUM(DM209:DM218)</f>
        <v>150</v>
      </c>
      <c r="DN208" s="612">
        <f t="shared" ref="DN208" si="1178">SUM(DN209:DN218)</f>
        <v>0</v>
      </c>
      <c r="DO208" s="612">
        <f t="shared" ref="DO208" si="1179">SUM(DO209:DO218)</f>
        <v>0</v>
      </c>
      <c r="DP208" s="612">
        <f t="shared" ref="DP208" si="1180">SUM(DP209:DP218)</f>
        <v>0</v>
      </c>
      <c r="DQ208" s="633">
        <f t="shared" ref="DQ208:DV208" si="1181">SUM(DQ209:DQ218)</f>
        <v>0</v>
      </c>
      <c r="DR208" s="612">
        <f t="shared" si="1181"/>
        <v>96</v>
      </c>
      <c r="DS208" s="612">
        <f t="shared" si="1181"/>
        <v>1</v>
      </c>
      <c r="DT208" s="612">
        <f t="shared" si="1181"/>
        <v>0</v>
      </c>
      <c r="DU208" s="612">
        <f t="shared" si="1181"/>
        <v>0</v>
      </c>
      <c r="DV208" s="612">
        <f t="shared" si="1181"/>
        <v>95</v>
      </c>
      <c r="DW208" s="332"/>
      <c r="DX208" s="332"/>
      <c r="DY208" s="634">
        <f>SUM(DY209:DY218)</f>
        <v>0.55000000000000004</v>
      </c>
      <c r="DZ208" s="332"/>
      <c r="EA208" s="612">
        <f>(DY208*(7%*'BOQ COST'!$H$17)*1)</f>
        <v>1.3775904450000003E-2</v>
      </c>
      <c r="EB208" s="614">
        <f t="shared" si="1003"/>
        <v>1.3775904450000005E-2</v>
      </c>
      <c r="EC208" s="612">
        <f>SUM(EC209:EC218)</f>
        <v>5.5103617800000013E-3</v>
      </c>
      <c r="ED208" s="612">
        <f t="shared" ref="ED208" si="1182">SUM(ED209:ED218)</f>
        <v>8.2655426700000024E-3</v>
      </c>
      <c r="EE208" s="612">
        <f t="shared" ref="EE208" si="1183">SUM(EE209:EE218)</f>
        <v>8.2655426700000024E-3</v>
      </c>
      <c r="EF208" s="612">
        <f t="shared" ref="EF208" si="1184">SUM(EF209:EF218)</f>
        <v>0</v>
      </c>
      <c r="EG208" s="612">
        <f t="shared" ref="EG208" si="1185">SUM(EG209:EG218)</f>
        <v>0</v>
      </c>
      <c r="EH208" s="612">
        <f t="shared" ref="EH208" si="1186">SUM(EH209:EH218)</f>
        <v>0</v>
      </c>
      <c r="EI208" s="281"/>
      <c r="EJ208" s="612">
        <f t="shared" ref="EJ208" si="1187">SUM(EJ209:EJ218)</f>
        <v>8.2655426700000024E-3</v>
      </c>
      <c r="EK208" s="612">
        <f t="shared" ref="EK208" si="1188">SUM(EK209:EK218)</f>
        <v>0</v>
      </c>
      <c r="EL208" s="612">
        <f t="shared" ref="EL208" si="1189">SUM(EL209:EL218)</f>
        <v>1.3775904450000003E-3</v>
      </c>
      <c r="EM208" s="612">
        <f t="shared" ref="EM208" si="1190">SUM(EM209:EM218)</f>
        <v>0</v>
      </c>
      <c r="EN208" s="612">
        <f t="shared" ref="EN208" si="1191">SUM(EN209:EN218)</f>
        <v>6.8879522250000014E-3</v>
      </c>
      <c r="EO208" s="281"/>
      <c r="EP208" s="605"/>
      <c r="EQ208" s="605"/>
      <c r="ER208" s="605"/>
      <c r="ES208" s="612">
        <f t="shared" ref="ES208" si="1192">SUM(ES209:ES213)</f>
        <v>0</v>
      </c>
      <c r="ET208" s="612">
        <f t="shared" ref="ET208" si="1193">SUM(ET209:ET218)</f>
        <v>104</v>
      </c>
      <c r="EU208" s="612">
        <f t="shared" ref="EU208" si="1194">SUM(EU209:EU218)</f>
        <v>34</v>
      </c>
      <c r="EV208" s="612">
        <f t="shared" ref="EV208" si="1195">SUM(EV209:EV218)</f>
        <v>70</v>
      </c>
      <c r="EW208" s="612">
        <f t="shared" ref="EW208" si="1196">SUM(EW209:EW218)</f>
        <v>70</v>
      </c>
      <c r="EX208" s="612">
        <f t="shared" ref="EX208" si="1197">SUM(EX209:EX218)</f>
        <v>0</v>
      </c>
      <c r="EY208" s="612">
        <f t="shared" ref="EY208" si="1198">SUM(EY209:EY218)</f>
        <v>0</v>
      </c>
      <c r="EZ208" s="612">
        <f t="shared" ref="EZ208" si="1199">SUM(EZ209:EZ218)</f>
        <v>0</v>
      </c>
      <c r="FA208" s="127"/>
      <c r="FB208" s="608">
        <f t="shared" ref="FB208:FF208" si="1200">SUM(FB209:FB213)</f>
        <v>10</v>
      </c>
      <c r="FC208" s="608">
        <f t="shared" si="1200"/>
        <v>0</v>
      </c>
      <c r="FD208" s="608">
        <f t="shared" si="1200"/>
        <v>0</v>
      </c>
      <c r="FE208" s="608">
        <f t="shared" si="1200"/>
        <v>0</v>
      </c>
      <c r="FF208" s="608">
        <f t="shared" si="1200"/>
        <v>10</v>
      </c>
      <c r="FG208" s="48"/>
    </row>
    <row r="209" spans="1:163" ht="14.25" hidden="1" outlineLevel="2">
      <c r="A209" s="48"/>
      <c r="B209" s="87" t="s">
        <v>186</v>
      </c>
      <c r="C209" s="276">
        <v>1</v>
      </c>
      <c r="D209" s="273" t="s">
        <v>187</v>
      </c>
      <c r="E209" s="48"/>
      <c r="F209" s="619">
        <f t="shared" ref="F209:F218" si="1201">W209+BG209+CQ209+EA209</f>
        <v>1.343538962385677</v>
      </c>
      <c r="G209" s="619">
        <f t="shared" ref="G209:G218" si="1202">X209+BH209+CR209+EB209</f>
        <v>1.343538962385677</v>
      </c>
      <c r="H209" s="615">
        <f t="shared" ref="H209:H218" si="1203">F209-G209</f>
        <v>0</v>
      </c>
      <c r="I209" s="615">
        <f t="shared" si="1118"/>
        <v>0</v>
      </c>
      <c r="J209" s="615">
        <f t="shared" si="1119"/>
        <v>0</v>
      </c>
      <c r="K209" s="615">
        <f t="shared" si="1120"/>
        <v>0</v>
      </c>
      <c r="L209" s="615">
        <f t="shared" si="1121"/>
        <v>0</v>
      </c>
      <c r="M209" s="620">
        <f t="shared" si="1122"/>
        <v>0</v>
      </c>
      <c r="N209" s="287"/>
      <c r="O209" s="615">
        <f t="shared" si="1123"/>
        <v>0</v>
      </c>
      <c r="P209" s="615">
        <f t="shared" si="1124"/>
        <v>0</v>
      </c>
      <c r="Q209" s="615">
        <f t="shared" si="1125"/>
        <v>0</v>
      </c>
      <c r="R209" s="615">
        <f t="shared" si="1126"/>
        <v>0</v>
      </c>
      <c r="S209" s="615">
        <f t="shared" si="1127"/>
        <v>0</v>
      </c>
      <c r="T209" s="48"/>
      <c r="U209" s="635">
        <f>0.5/10</f>
        <v>0.05</v>
      </c>
      <c r="V209" s="131"/>
      <c r="W209" s="619">
        <f t="shared" ref="W209:W215" si="1204">$W$208/$U$208*U209</f>
        <v>1.182075</v>
      </c>
      <c r="X209" s="619">
        <f t="shared" si="1000"/>
        <v>1.182075</v>
      </c>
      <c r="Y209" s="615">
        <f t="shared" ref="Y209:Y215" si="1205">IFERROR(IF(AL209=100%,W209,0),0)</f>
        <v>1.182075</v>
      </c>
      <c r="Z209" s="615">
        <f t="shared" ref="Z209:Z215" si="1206">IFERROR(IF(AND((AL209+AM209)=100%,AL209&lt;1),W209,0),0)</f>
        <v>0</v>
      </c>
      <c r="AA209" s="615">
        <f t="shared" ref="AA209:AA215" si="1207">IFERROR(IF(AND((AQ209+AS209)=AP209,Y209=0),W209,0),0)</f>
        <v>0</v>
      </c>
      <c r="AB209" s="615">
        <f t="shared" ref="AB209:AB215" si="1208">IFERROR(IF(AND((AQ209+AS209+AT209)=AP209,Y209=0,AA209=0),W209,0),0)</f>
        <v>0</v>
      </c>
      <c r="AC209" s="615">
        <f t="shared" ref="AC209:AC215" si="1209">IFERROR(IF(AND((AQ209+AS209+AT209+AU209)=AP209,Y209=0,AA209=0,AB209=0),W209,0),0)</f>
        <v>0</v>
      </c>
      <c r="AD209" s="620">
        <f t="shared" ref="AD209:AD215" si="1210">IFERROR(IF(AND((AQ209+AS209+AT209+AU209+AV209)=AP209,Y209=0,AA209=0,AB209=0,AC209=0),W209,0),0)</f>
        <v>0</v>
      </c>
      <c r="AE209" s="287"/>
      <c r="AF209" s="615">
        <f t="shared" ref="AF209:AF215" si="1211">IFERROR(IF(AND((AL209+AN209)=100%,AL209&lt;1),W209,0),0)</f>
        <v>0</v>
      </c>
      <c r="AG209" s="615">
        <f t="shared" ref="AG209:AG215" si="1212">IFERROR(IF(AND((AQ209+AY209)=AP209,Y209=0),W209,0),0)</f>
        <v>0</v>
      </c>
      <c r="AH209" s="615">
        <f t="shared" ref="AH209:AH215" si="1213">IFERROR(IF(AND((AQ209+AY209+AZ209)=AP209,Y209=0,AG209=0),W209,0),0)</f>
        <v>0</v>
      </c>
      <c r="AI209" s="615">
        <f t="shared" ref="AI209:AI215" si="1214">IFERROR(IF(AND((AQ209+AY209+AZ209+BA209)=AP209,Y209=0,AG209=0,AH209=0),W209,0),0)</f>
        <v>0</v>
      </c>
      <c r="AJ209" s="615">
        <f t="shared" ref="AJ209:AJ215" si="1215">IFERROR(IF(AND((AQ209+AY209+AZ209+BA209+BB209)=AP209,Y209=0,AG209=0,AH209=0,AI209=0),W209,0),0)</f>
        <v>0</v>
      </c>
      <c r="AK209" s="339"/>
      <c r="AL209" s="625">
        <f t="shared" ref="AL209:AL215" si="1216">IFERROR(AQ209/AP209,0)</f>
        <v>1</v>
      </c>
      <c r="AM209" s="625">
        <f t="shared" ref="AM209:AM215" si="1217">IFERROR(AR209/AP209,0)</f>
        <v>0</v>
      </c>
      <c r="AN209" s="625">
        <f t="shared" ref="AN209:AN215" si="1218">IFERROR(AX209/AP209,0)</f>
        <v>0</v>
      </c>
      <c r="AO209" s="345"/>
      <c r="AP209" s="615">
        <f>COUNTIF('AR | Drawing List'!$H:$H,"AR-C20-1")</f>
        <v>47</v>
      </c>
      <c r="AQ209" s="616">
        <f>COUNTIFS('AR | Drawing List'!$H:$H,"AR-C20-1",'AR | Drawing List'!$J:$J,1)</f>
        <v>47</v>
      </c>
      <c r="AR209" s="616">
        <f t="shared" si="1075"/>
        <v>0</v>
      </c>
      <c r="AS209" s="616">
        <f>COUNTIFS('AR | Drawing List'!$H:$H,"AR-C20-1",'AR | Drawing List'!M:M,1)</f>
        <v>0</v>
      </c>
      <c r="AT209" s="616">
        <f>COUNTIFS('AR | Drawing List'!$H:$H,"AR-C20-1",'AR | Drawing List'!N:N,1)</f>
        <v>0</v>
      </c>
      <c r="AU209" s="616">
        <f>COUNTIFS('AR | Drawing List'!$H:$H,"AR-C20-1",'AR | Drawing List'!O:O,1)</f>
        <v>0</v>
      </c>
      <c r="AV209" s="616">
        <f>COUNTIFS('AR | Drawing List'!$H:$H,"AR-C20-1",'AR | Drawing List'!P:P,1)</f>
        <v>0</v>
      </c>
      <c r="AW209" s="328"/>
      <c r="AX209" s="616">
        <f t="shared" si="1093"/>
        <v>0</v>
      </c>
      <c r="AY209" s="616">
        <f>COUNTIFS('AR | Drawing List'!$H:$H,"AR-C20-1",'AR | Drawing List'!R:R,1)</f>
        <v>0</v>
      </c>
      <c r="AZ209" s="616">
        <f>COUNTIFS('AR | Drawing List'!$H:$H,"AR-C20-1",'AR | Drawing List'!S:S,1)</f>
        <v>0</v>
      </c>
      <c r="BA209" s="616">
        <f>COUNTIFS('AR | Drawing List'!$H:$H,"AR-C20-1",'AR | Drawing List'!T:T,1)</f>
        <v>0</v>
      </c>
      <c r="BB209" s="616">
        <f>COUNTIFS('AR | Drawing List'!$H:$H,"AR-C20-1",'AR | Drawing List'!U:U,1)</f>
        <v>0</v>
      </c>
      <c r="BC209" s="359"/>
      <c r="BD209" s="359"/>
      <c r="BE209" s="525">
        <v>0</v>
      </c>
      <c r="BF209" s="343"/>
      <c r="BG209" s="344"/>
      <c r="BH209" s="618">
        <f t="shared" si="1001"/>
        <v>0</v>
      </c>
      <c r="BI209" s="374"/>
      <c r="BJ209" s="374"/>
      <c r="BK209" s="615">
        <f t="shared" ref="BK209:BK215" si="1219">IFERROR(IF(AND((CA209+CC209)=BZ209,BI209=0),BG209,0),0)</f>
        <v>0</v>
      </c>
      <c r="BL209" s="615">
        <f t="shared" ref="BL209:BL215" si="1220">IFERROR(IF(AND((CA209+CC209+CD209)=BZ209,BI209=0,BK209=0),BG209,0),0)</f>
        <v>0</v>
      </c>
      <c r="BM209" s="615">
        <f t="shared" ref="BM209:BM215" si="1221">IFERROR(IF(AND((CA209+CC209+CD209+CE209)=BZ209,BI209=0,BK209=0,BL209=0),BG209,0),0)</f>
        <v>0</v>
      </c>
      <c r="BN209" s="615">
        <f t="shared" ref="BN209:BN215" si="1222">IFERROR(IF(AND((CA209+CC209+CD209+CE209+CF209)=BZ209,BI209=0,BK209=0,BL209=0,BM209=0),BG209,0),0)</f>
        <v>0</v>
      </c>
      <c r="BO209" s="339"/>
      <c r="BP209" s="615">
        <f t="shared" ref="BP209:BP215" si="1223">IFERROR(IF(AND((BV209+BX209)=100%,BV209&lt;1),BG209,0),0)</f>
        <v>0</v>
      </c>
      <c r="BQ209" s="615">
        <f t="shared" ref="BQ209:BQ215" si="1224">IFERROR(IF(AND((CA209+CI209)=BZ209,BI209=0),BG209,0),0)</f>
        <v>0</v>
      </c>
      <c r="BR209" s="615">
        <f t="shared" ref="BR209:BR215" si="1225">IFERROR(IF(AND((CA209+CI209+CJ209)=BZ209,BI209=0,BQ209=0),BG209,0),0)</f>
        <v>0</v>
      </c>
      <c r="BS209" s="615">
        <f t="shared" ref="BS209:BS215" si="1226">IFERROR(IF(AND((CA209+CI209+CJ209+CK209)=BZ209,BI209=0,BQ209=0,BR209=0),BG209,0),0)</f>
        <v>0</v>
      </c>
      <c r="BT209" s="615">
        <f t="shared" ref="BT209:BT215" si="1227">IFERROR(IF(AND((CA209+CI209+CJ209+CK209+CL209)=BZ209,BI209=0,BQ209=0,BR209=0,BS209=0),BG209,0),0)</f>
        <v>0</v>
      </c>
      <c r="BU209" s="339"/>
      <c r="BV209" s="635">
        <f t="shared" ref="BV209:BV213" si="1228">IFERROR(CA209/BZ209,0)</f>
        <v>0</v>
      </c>
      <c r="BW209" s="635">
        <f t="shared" ref="BW209:BW213" si="1229">IFERROR(CB209/BZ209,0)</f>
        <v>0</v>
      </c>
      <c r="BX209" s="635">
        <f t="shared" ref="BX209:BX213" si="1230">IFERROR(CH209/BZ209,0)</f>
        <v>0</v>
      </c>
      <c r="BY209" s="345"/>
      <c r="BZ209" s="540"/>
      <c r="CA209" s="540"/>
      <c r="CB209" s="542"/>
      <c r="CC209" s="616">
        <f>COUNTIFS('ST | Drawing List'!$H:$H,"ST-T01-1",'ST | Drawing List'!M:M,1)</f>
        <v>0</v>
      </c>
      <c r="CD209" s="616">
        <f>COUNTIFS('ST | Drawing List'!$H:$H,"ST-T01-1",'ST | Drawing List'!N:N,1)</f>
        <v>0</v>
      </c>
      <c r="CE209" s="616">
        <f>COUNTIFS('ST | Drawing List'!$H:$H,"ST-T01-1",'ST | Drawing List'!O:O,1)</f>
        <v>0</v>
      </c>
      <c r="CF209" s="616">
        <f>COUNTIFS('ST | Drawing List'!$H:$H,"ST-T01-1",'ST | Drawing List'!P:P,1)</f>
        <v>0</v>
      </c>
      <c r="CG209" s="532"/>
      <c r="CH209" s="542"/>
      <c r="CI209" s="616">
        <f>COUNTIFS('ST | Drawing List'!$H:$H,"ST-T01-1",'ST | Drawing List'!R:R,1)</f>
        <v>0</v>
      </c>
      <c r="CJ209" s="616">
        <f>COUNTIFS('ST | Drawing List'!$H:$H,"ST-T01-1",'ST | Drawing List'!S:S,1)</f>
        <v>0</v>
      </c>
      <c r="CK209" s="616">
        <f>COUNTIFS('ST | Drawing List'!$H:$H,"ST-T01-1",'ST | Drawing List'!T:T,1)</f>
        <v>0</v>
      </c>
      <c r="CL209" s="616">
        <f>COUNTIFS('ST | Drawing List'!$H:$H,"ST-T01-1",'ST | Drawing List'!U:U,1)</f>
        <v>0</v>
      </c>
      <c r="CM209" s="343"/>
      <c r="CN209" s="343"/>
      <c r="CO209" s="635">
        <f>0.65/10</f>
        <v>6.5000000000000002E-2</v>
      </c>
      <c r="CP209" s="343"/>
      <c r="CQ209" s="616">
        <f t="shared" ref="CQ209:CQ215" si="1231">$CQ$208/$CO$208*CO209</f>
        <v>0.16008637194067718</v>
      </c>
      <c r="CR209" s="618">
        <f t="shared" si="1002"/>
        <v>0.16008637194067718</v>
      </c>
      <c r="CS209" s="615">
        <f t="shared" ref="CS209:CS215" si="1232">IFERROR(IF(DF209=100%,CQ209,0),0)</f>
        <v>0.16008637194067718</v>
      </c>
      <c r="CT209" s="615">
        <f t="shared" ref="CT209:CT213" si="1233">IFERROR(IF(AND((DF209+DG209)=100%,DF209&lt;1),CQ209,0),0)</f>
        <v>0</v>
      </c>
      <c r="CU209" s="615">
        <f t="shared" ref="CU209:CU213" si="1234">IFERROR(IF(AND((DK209+DM209)=DJ209,CS209=0),CQ209,0),0)</f>
        <v>0</v>
      </c>
      <c r="CV209" s="615">
        <f t="shared" ref="CV209:CV213" si="1235">IFERROR(IF(AND((DK209+DM209+DN209)=DJ209,CS209=0,CU209=0),CQ209,0),0)</f>
        <v>0</v>
      </c>
      <c r="CW209" s="615">
        <f t="shared" ref="CW209:CW213" si="1236">IFERROR(IF(AND((DK209+DM209+DN209+DO209)=DJ209,CS209=0,CU209=0,CV209=0),CQ209,0),0)</f>
        <v>0</v>
      </c>
      <c r="CX209" s="615">
        <f t="shared" ref="CX209:CX213" si="1237">IFERROR(IF(AND((DK209+DM209+DN209+DO209+DP209)=DJ209,CS209=0,CU209=0,CV209=0,CW209=0),CQ209,0),0)</f>
        <v>0</v>
      </c>
      <c r="CY209" s="339"/>
      <c r="CZ209" s="615">
        <f t="shared" ref="CZ209:CZ213" si="1238">IFERROR(IF(AND((DF209+DH209)=100%,DF209&lt;1),CQ209,0),0)</f>
        <v>0</v>
      </c>
      <c r="DA209" s="615">
        <f t="shared" ref="DA209:DA213" si="1239">IFERROR(IF(AND((DK209+DS209)=DJ209,CS209=0),CQ209,0),0)</f>
        <v>0</v>
      </c>
      <c r="DB209" s="615">
        <f t="shared" ref="DB209:DB213" si="1240">IFERROR(IF(AND((DK209+DS209+DT209)=DJ209,CS209=0,DA209=0),CQ209,0),0)</f>
        <v>0</v>
      </c>
      <c r="DC209" s="615">
        <f t="shared" ref="DC209:DC213" si="1241">IFERROR(IF(AND((DK209+DS209+DT209+DU209)=DJ209,CS209=0,DA209=0,DB209=0),CQ209,0),0)</f>
        <v>0</v>
      </c>
      <c r="DD209" s="615">
        <f t="shared" ref="DD209:DD213" si="1242">IFERROR(IF(AND((DK209+DS209+DT209+DU209+DV209)=DJ209,CS209=0,DA209=0,DB209=0,DC209=0),CQ209,0),0)</f>
        <v>0</v>
      </c>
      <c r="DE209" s="339"/>
      <c r="DF209" s="625">
        <f t="shared" ref="DF209:DF213" si="1243">IFERROR(DK209/DJ209,0)</f>
        <v>1</v>
      </c>
      <c r="DG209" s="625">
        <f t="shared" ref="DG209:DG213" si="1244">IFERROR(DL209/DJ209,0)</f>
        <v>0</v>
      </c>
      <c r="DH209" s="625">
        <f t="shared" ref="DH209:DH213" si="1245">IFERROR(DR209/DJ209,0)</f>
        <v>0</v>
      </c>
      <c r="DI209" s="345"/>
      <c r="DJ209" s="615">
        <f>COUNTIF('MEP | Drawing List'!$H:$H,"MEP-C20-1")</f>
        <v>24</v>
      </c>
      <c r="DK209" s="616">
        <f>COUNTIFS('MEP | Drawing List'!$H:$H,"MEP-C20-1",'MEP | Drawing List'!$J:$J,1)</f>
        <v>24</v>
      </c>
      <c r="DL209" s="616">
        <f>COUNTIFS('MEP | Drawing List'!$H:$H,"MEP-C20-1",'MEP | Drawing List'!$L:$L,1)</f>
        <v>0</v>
      </c>
      <c r="DM209" s="615">
        <f>COUNTIFS('MEP | Drawing List'!$H:$H,"MEP-C20-1",'MEP | Drawing List'!M:M,1)</f>
        <v>0</v>
      </c>
      <c r="DN209" s="615">
        <f>COUNTIFS('MEP | Drawing List'!$H:$H,"MEP-C20-1",'MEP | Drawing List'!N:N,1)</f>
        <v>0</v>
      </c>
      <c r="DO209" s="615">
        <f>COUNTIFS('MEP | Drawing List'!$H:$H,"MEP-C20-1",'MEP | Drawing List'!O:O,1)</f>
        <v>0</v>
      </c>
      <c r="DP209" s="615">
        <f>COUNTIFS('MEP | Drawing List'!$H:$H,"MEP-C20-1",'MEP | Drawing List'!P:P,1)</f>
        <v>0</v>
      </c>
      <c r="DQ209" s="339"/>
      <c r="DR209" s="616">
        <f>COUNTIFS('MEP | Drawing List'!$H:$H,"MEP-C20-1",'MEP | Drawing List'!$Q:$Q,1)</f>
        <v>0</v>
      </c>
      <c r="DS209" s="615">
        <f>COUNTIFS('MEP | Drawing List'!$H:$H,"MEP-C20-1",'MEP | Drawing List'!R:R,1)</f>
        <v>0</v>
      </c>
      <c r="DT209" s="615">
        <f>COUNTIFS('MEP | Drawing List'!$H:$H,"MEP-C20-1",'MEP | Drawing List'!S:S,1)</f>
        <v>0</v>
      </c>
      <c r="DU209" s="615">
        <f>COUNTIFS('MEP | Drawing List'!$H:$H,"MEP-C20-1",'MEP | Drawing List'!T:T,1)</f>
        <v>0</v>
      </c>
      <c r="DV209" s="615">
        <f>COUNTIFS('MEP | Drawing List'!$H:$H,"MEP-C20-1",'MEP | Drawing List'!U:U,1)</f>
        <v>0</v>
      </c>
      <c r="DW209" s="343"/>
      <c r="DX209" s="343"/>
      <c r="DY209" s="635">
        <f>0.55/10</f>
        <v>5.5000000000000007E-2</v>
      </c>
      <c r="DZ209" s="343"/>
      <c r="EA209" s="616">
        <f t="shared" ref="EA209:EA215" si="1246">$EA$208/$DY$208*DY209</f>
        <v>1.3775904450000003E-3</v>
      </c>
      <c r="EB209" s="618">
        <f t="shared" si="1003"/>
        <v>1.3775904450000003E-3</v>
      </c>
      <c r="EC209" s="615">
        <f t="shared" ref="EC209:EC215" si="1247">IFERROR(IF(EP209=100%,EA209,0),0)</f>
        <v>1.3775904450000003E-3</v>
      </c>
      <c r="ED209" s="615">
        <f t="shared" ref="ED209:ED215" si="1248">IFERROR(IF(AND((EP209+EQ209)=100%,EP209&lt;1),EA209,0),0)</f>
        <v>0</v>
      </c>
      <c r="EE209" s="615">
        <f t="shared" ref="EE209:EE215" si="1249">IFERROR(IF(AND((EU209+EW209)=ET209,EC209=0),EA209,0),0)</f>
        <v>0</v>
      </c>
      <c r="EF209" s="615">
        <f t="shared" ref="EF209:EF215" si="1250">IFERROR(IF(AND((EU209+EW209+EX209)=ET209,EC209=0,EE209=0),EA209,0),0)</f>
        <v>0</v>
      </c>
      <c r="EG209" s="615">
        <f t="shared" ref="EG209:EG215" si="1251">IFERROR(IF(AND((EU209+EW209+EX209+EY209)=ET209,EC209=0,EE209=0,EF209=0),EA209,0),0)</f>
        <v>0</v>
      </c>
      <c r="EH209" s="615">
        <f t="shared" ref="EH209:EH215" si="1252">IFERROR(IF(AND((EU209+EW209+EX209+EY209+EZ209)=ET209,EC209=0,EE209=0,EF209=0,EG209=0),EA209,0),0)</f>
        <v>0</v>
      </c>
      <c r="EI209" s="339"/>
      <c r="EJ209" s="620">
        <f t="shared" ref="EJ209:EJ213" si="1253">IFERROR(IF(AND((EP209+ER209)=100%,EP209&lt;1),EA209,0),0)</f>
        <v>0</v>
      </c>
      <c r="EK209" s="615">
        <f t="shared" ref="EK209:EK213" si="1254">IFERROR(IF(AND((EU209+FC209)=ET209,EC209=0),EA209,0),0)</f>
        <v>0</v>
      </c>
      <c r="EL209" s="615">
        <f t="shared" ref="EL209:EL213" si="1255">IFERROR(IF(AND((EU209+FC209+FD209)=ET209,EC209=0,EK209=0),EA209,0),0)</f>
        <v>0</v>
      </c>
      <c r="EM209" s="615">
        <f t="shared" ref="EM209:EM213" si="1256">IFERROR(IF(AND((EU209+FC209+FD209+FE209)=ET209,EC209=0,EK209=0,EL209=0),EA209,0),0)</f>
        <v>0</v>
      </c>
      <c r="EN209" s="615">
        <f t="shared" ref="EN209:EN213" si="1257">IFERROR(IF(AND((EU209+FC209+FD209+FE209+FF209)=ET209,EC209=0,EK209=0,EL209=0,EM209=0),EA209,0),0)</f>
        <v>0</v>
      </c>
      <c r="EO209" s="339"/>
      <c r="EP209" s="627">
        <f t="shared" ref="EP209:EP213" si="1258">IFERROR(EU209/ET209,0)</f>
        <v>1</v>
      </c>
      <c r="EQ209" s="627">
        <f t="shared" ref="EQ209:EQ213" si="1259">IFERROR(EV209/ET209,0)</f>
        <v>0</v>
      </c>
      <c r="ER209" s="627">
        <f t="shared" ref="ER209:ER213" si="1260">IFERROR(FB209/ET209,0)</f>
        <v>0</v>
      </c>
      <c r="ES209" s="55"/>
      <c r="ET209" s="615">
        <f>COUNTIF('LS | Drawing List'!$H:$H,"LS-C20-1")</f>
        <v>8</v>
      </c>
      <c r="EU209" s="616">
        <f>COUNTIFS('LS | Drawing List'!$H:$H,"LS-C20-1",'LS | Drawing List'!$J:$J,1)</f>
        <v>8</v>
      </c>
      <c r="EV209" s="616">
        <f>COUNTIFS('LS | Drawing List'!$H:$H,"LS-C20-1",'LS | Drawing List'!$L:$L,1)</f>
        <v>0</v>
      </c>
      <c r="EW209" s="615">
        <f>COUNTIFS('LS | Drawing List'!$H:$H,"LS-C20-1",'LS | Drawing List'!M:M,1)</f>
        <v>0</v>
      </c>
      <c r="EX209" s="615">
        <f>COUNTIFS('LS | Drawing List'!$H:$H,"LS-C20-1",'LS | Drawing List'!N:N,1)</f>
        <v>0</v>
      </c>
      <c r="EY209" s="615">
        <f>COUNTIFS('LS | Drawing List'!$H:$H,"LS-C20-1",'LS | Drawing List'!O:O,1)</f>
        <v>0</v>
      </c>
      <c r="EZ209" s="615">
        <f>COUNTIFS('LS | Drawing List'!$H:$H,"LS-C20-1",'LS | Drawing List'!P:P,1)</f>
        <v>0</v>
      </c>
      <c r="FA209" s="81"/>
      <c r="FB209" s="616">
        <f>COUNTIFS('LS | Drawing List'!$H:$H,"LS-C20-1",'LS | Drawing List'!$Q:$Q,1)</f>
        <v>0</v>
      </c>
      <c r="FC209" s="615">
        <f>COUNTIFS('LS | Drawing List'!$H:$H,"LS-C20-1",'LS | Drawing List'!R:R,1)</f>
        <v>0</v>
      </c>
      <c r="FD209" s="615">
        <f>COUNTIFS('LS | Drawing List'!$H:$H,"LS-C20-1",'LS | Drawing List'!S:S,1)</f>
        <v>0</v>
      </c>
      <c r="FE209" s="615">
        <f>COUNTIFS('LS | Drawing List'!$H:$H,"LS-C20-1",'LS | Drawing List'!T:T,1)</f>
        <v>0</v>
      </c>
      <c r="FF209" s="615">
        <f>COUNTIFS('LS | Drawing List'!$H:$H,"LS-C20-1",'LS | Drawing List'!U:U,1)</f>
        <v>0</v>
      </c>
      <c r="FG209" s="48"/>
    </row>
    <row r="210" spans="1:163" ht="14.25" hidden="1" outlineLevel="2">
      <c r="A210" s="48"/>
      <c r="B210" s="87" t="s">
        <v>188</v>
      </c>
      <c r="C210" s="276">
        <v>2</v>
      </c>
      <c r="D210" s="273" t="s">
        <v>189</v>
      </c>
      <c r="E210" s="48"/>
      <c r="F210" s="619">
        <f t="shared" si="1201"/>
        <v>1.343538962385677</v>
      </c>
      <c r="G210" s="619">
        <f t="shared" si="1202"/>
        <v>1.343538962385677</v>
      </c>
      <c r="H210" s="615">
        <f t="shared" si="1203"/>
        <v>0</v>
      </c>
      <c r="I210" s="615">
        <f t="shared" si="1118"/>
        <v>0</v>
      </c>
      <c r="J210" s="615">
        <f t="shared" si="1119"/>
        <v>0</v>
      </c>
      <c r="K210" s="615">
        <f t="shared" si="1120"/>
        <v>0</v>
      </c>
      <c r="L210" s="615">
        <f t="shared" si="1121"/>
        <v>0</v>
      </c>
      <c r="M210" s="620">
        <f t="shared" si="1122"/>
        <v>0</v>
      </c>
      <c r="N210" s="287"/>
      <c r="O210" s="615">
        <f t="shared" si="1123"/>
        <v>0</v>
      </c>
      <c r="P210" s="615">
        <f t="shared" si="1124"/>
        <v>0</v>
      </c>
      <c r="Q210" s="615">
        <f t="shared" si="1125"/>
        <v>0</v>
      </c>
      <c r="R210" s="615">
        <f t="shared" si="1126"/>
        <v>0</v>
      </c>
      <c r="S210" s="615">
        <f t="shared" si="1127"/>
        <v>0</v>
      </c>
      <c r="T210" s="48"/>
      <c r="U210" s="635">
        <f t="shared" ref="U210:U218" si="1261">0.5/10</f>
        <v>0.05</v>
      </c>
      <c r="V210" s="131"/>
      <c r="W210" s="619">
        <f t="shared" si="1204"/>
        <v>1.182075</v>
      </c>
      <c r="X210" s="619">
        <f t="shared" si="1000"/>
        <v>1.182075</v>
      </c>
      <c r="Y210" s="615">
        <f t="shared" si="1205"/>
        <v>1.182075</v>
      </c>
      <c r="Z210" s="615">
        <f t="shared" si="1206"/>
        <v>0</v>
      </c>
      <c r="AA210" s="615">
        <f t="shared" si="1207"/>
        <v>0</v>
      </c>
      <c r="AB210" s="615">
        <f t="shared" si="1208"/>
        <v>0</v>
      </c>
      <c r="AC210" s="615">
        <f t="shared" si="1209"/>
        <v>0</v>
      </c>
      <c r="AD210" s="620">
        <f t="shared" si="1210"/>
        <v>0</v>
      </c>
      <c r="AE210" s="287"/>
      <c r="AF210" s="615">
        <f t="shared" si="1211"/>
        <v>0</v>
      </c>
      <c r="AG210" s="615">
        <f t="shared" si="1212"/>
        <v>0</v>
      </c>
      <c r="AH210" s="615">
        <f t="shared" si="1213"/>
        <v>0</v>
      </c>
      <c r="AI210" s="615">
        <f t="shared" si="1214"/>
        <v>0</v>
      </c>
      <c r="AJ210" s="615">
        <f t="shared" si="1215"/>
        <v>0</v>
      </c>
      <c r="AK210" s="339"/>
      <c r="AL210" s="625">
        <f t="shared" si="1216"/>
        <v>1</v>
      </c>
      <c r="AM210" s="625">
        <f t="shared" si="1217"/>
        <v>0</v>
      </c>
      <c r="AN210" s="625">
        <f t="shared" si="1218"/>
        <v>0</v>
      </c>
      <c r="AO210" s="345"/>
      <c r="AP210" s="615">
        <f>COUNTIF('AR | Drawing List'!$H:$H,"AR-L30-1")</f>
        <v>36</v>
      </c>
      <c r="AQ210" s="616">
        <f>COUNTIFS('AR | Drawing List'!$H:$H,"AR-L30-1",'AR | Drawing List'!$J:$J,1)</f>
        <v>36</v>
      </c>
      <c r="AR210" s="616">
        <f t="shared" si="1075"/>
        <v>0</v>
      </c>
      <c r="AS210" s="616">
        <f>COUNTIFS('AR | Drawing List'!$H:$H,"AR-L30-1",'AR | Drawing List'!M:M,1)</f>
        <v>0</v>
      </c>
      <c r="AT210" s="616">
        <f>COUNTIFS('AR | Drawing List'!$H:$H,"AR-L30-1",'AR | Drawing List'!N:N,1)</f>
        <v>0</v>
      </c>
      <c r="AU210" s="616">
        <f>COUNTIFS('AR | Drawing List'!$H:$H,"AR-L30-1",'AR | Drawing List'!O:O,1)</f>
        <v>0</v>
      </c>
      <c r="AV210" s="616">
        <f>COUNTIFS('AR | Drawing List'!$H:$H,"AR-L30-1",'AR | Drawing List'!P:P,1)</f>
        <v>0</v>
      </c>
      <c r="AW210" s="328"/>
      <c r="AX210" s="616">
        <f t="shared" si="1093"/>
        <v>0</v>
      </c>
      <c r="AY210" s="616">
        <f>COUNTIFS('AR | Drawing List'!$H:$H,"AR-L30-1",'AR | Drawing List'!R:R,1)</f>
        <v>0</v>
      </c>
      <c r="AZ210" s="616">
        <f>COUNTIFS('AR | Drawing List'!$H:$H,"AR-L30-1",'AR | Drawing List'!S:S,1)</f>
        <v>0</v>
      </c>
      <c r="BA210" s="616">
        <f>COUNTIFS('AR | Drawing List'!$H:$H,"AR-L30-1",'AR | Drawing List'!T:T,1)</f>
        <v>0</v>
      </c>
      <c r="BB210" s="616">
        <f>COUNTIFS('AR | Drawing List'!$H:$H,"AR-L30-1",'AR | Drawing List'!U:U,1)</f>
        <v>0</v>
      </c>
      <c r="BC210" s="359"/>
      <c r="BD210" s="359"/>
      <c r="BE210" s="525">
        <v>0</v>
      </c>
      <c r="BF210" s="343"/>
      <c r="BG210" s="344"/>
      <c r="BH210" s="618">
        <f t="shared" si="1001"/>
        <v>0</v>
      </c>
      <c r="BI210" s="374"/>
      <c r="BJ210" s="374"/>
      <c r="BK210" s="615">
        <f t="shared" si="1219"/>
        <v>0</v>
      </c>
      <c r="BL210" s="615">
        <f t="shared" si="1220"/>
        <v>0</v>
      </c>
      <c r="BM210" s="615">
        <f t="shared" si="1221"/>
        <v>0</v>
      </c>
      <c r="BN210" s="615">
        <f t="shared" si="1222"/>
        <v>0</v>
      </c>
      <c r="BO210" s="339"/>
      <c r="BP210" s="615">
        <f t="shared" si="1223"/>
        <v>0</v>
      </c>
      <c r="BQ210" s="615">
        <f t="shared" si="1224"/>
        <v>0</v>
      </c>
      <c r="BR210" s="615">
        <f t="shared" si="1225"/>
        <v>0</v>
      </c>
      <c r="BS210" s="615">
        <f t="shared" si="1226"/>
        <v>0</v>
      </c>
      <c r="BT210" s="615">
        <f t="shared" si="1227"/>
        <v>0</v>
      </c>
      <c r="BU210" s="339"/>
      <c r="BV210" s="635">
        <f t="shared" si="1228"/>
        <v>0</v>
      </c>
      <c r="BW210" s="635">
        <f t="shared" si="1229"/>
        <v>0</v>
      </c>
      <c r="BX210" s="635">
        <f t="shared" si="1230"/>
        <v>0</v>
      </c>
      <c r="BY210" s="345"/>
      <c r="BZ210" s="540"/>
      <c r="CA210" s="540"/>
      <c r="CB210" s="542"/>
      <c r="CC210" s="616">
        <f>COUNTIFS('ST | Drawing List'!$H:$H,"ST-T01-2",'ST | Drawing List'!M:M,1)</f>
        <v>0</v>
      </c>
      <c r="CD210" s="616">
        <f>COUNTIFS('ST | Drawing List'!$H:$H,"ST-T01-2",'ST | Drawing List'!N:N,1)</f>
        <v>0</v>
      </c>
      <c r="CE210" s="616">
        <f>COUNTIFS('ST | Drawing List'!$H:$H,"ST-T01-2",'ST | Drawing List'!O:O,1)</f>
        <v>0</v>
      </c>
      <c r="CF210" s="616">
        <f>COUNTIFS('ST | Drawing List'!$H:$H,"ST-T01-2",'ST | Drawing List'!P:P,1)</f>
        <v>0</v>
      </c>
      <c r="CG210" s="532"/>
      <c r="CH210" s="542"/>
      <c r="CI210" s="616">
        <f>COUNTIFS('ST | Drawing List'!$H:$H,"ST-T01-2",'ST | Drawing List'!R:R,1)</f>
        <v>0</v>
      </c>
      <c r="CJ210" s="616">
        <f>COUNTIFS('ST | Drawing List'!$H:$H,"ST-T01-2",'ST | Drawing List'!S:S,1)</f>
        <v>0</v>
      </c>
      <c r="CK210" s="616">
        <f>COUNTIFS('ST | Drawing List'!$H:$H,"ST-T01-2",'ST | Drawing List'!T:T,1)</f>
        <v>0</v>
      </c>
      <c r="CL210" s="616">
        <f>COUNTIFS('ST | Drawing List'!$H:$H,"ST-T01-2",'ST | Drawing List'!U:U,1)</f>
        <v>0</v>
      </c>
      <c r="CM210" s="343"/>
      <c r="CN210" s="343"/>
      <c r="CO210" s="635">
        <f t="shared" ref="CO210:CO218" si="1262">0.65/10</f>
        <v>6.5000000000000002E-2</v>
      </c>
      <c r="CP210" s="343"/>
      <c r="CQ210" s="616">
        <f t="shared" si="1231"/>
        <v>0.16008637194067718</v>
      </c>
      <c r="CR210" s="618">
        <f t="shared" si="1002"/>
        <v>0.16008637194067718</v>
      </c>
      <c r="CS210" s="615">
        <f t="shared" si="1232"/>
        <v>0.16008637194067718</v>
      </c>
      <c r="CT210" s="615">
        <f t="shared" si="1233"/>
        <v>0</v>
      </c>
      <c r="CU210" s="615">
        <f t="shared" si="1234"/>
        <v>0</v>
      </c>
      <c r="CV210" s="615">
        <f t="shared" si="1235"/>
        <v>0</v>
      </c>
      <c r="CW210" s="615">
        <f t="shared" si="1236"/>
        <v>0</v>
      </c>
      <c r="CX210" s="615">
        <f t="shared" si="1237"/>
        <v>0</v>
      </c>
      <c r="CY210" s="339"/>
      <c r="CZ210" s="615">
        <f t="shared" si="1238"/>
        <v>0</v>
      </c>
      <c r="DA210" s="615">
        <f t="shared" si="1239"/>
        <v>0</v>
      </c>
      <c r="DB210" s="615">
        <f t="shared" si="1240"/>
        <v>0</v>
      </c>
      <c r="DC210" s="615">
        <f t="shared" si="1241"/>
        <v>0</v>
      </c>
      <c r="DD210" s="615">
        <f t="shared" si="1242"/>
        <v>0</v>
      </c>
      <c r="DE210" s="339"/>
      <c r="DF210" s="625">
        <f t="shared" si="1243"/>
        <v>1</v>
      </c>
      <c r="DG210" s="625">
        <f t="shared" si="1244"/>
        <v>0</v>
      </c>
      <c r="DH210" s="625">
        <f t="shared" si="1245"/>
        <v>0</v>
      </c>
      <c r="DI210" s="345"/>
      <c r="DJ210" s="615">
        <f>COUNTIF('MEP | Drawing List'!$H:$H,"MEP-L30-1")</f>
        <v>23</v>
      </c>
      <c r="DK210" s="616">
        <f>COUNTIFS('MEP | Drawing List'!$H:$H,"MEP-L30-1",'MEP | Drawing List'!$J:$J,1)</f>
        <v>23</v>
      </c>
      <c r="DL210" s="616">
        <f>COUNTIFS('MEP | Drawing List'!$H:$H,"MEP-L30-1",'MEP | Drawing List'!$L:$L,1)</f>
        <v>0</v>
      </c>
      <c r="DM210" s="615">
        <f>COUNTIFS('MEP | Drawing List'!$H:$H,"MEP-L30-1",'MEP | Drawing List'!M:M,1)</f>
        <v>0</v>
      </c>
      <c r="DN210" s="615">
        <f>COUNTIFS('MEP | Drawing List'!$H:$H,"MEP-L30-1",'MEP | Drawing List'!N:N,1)</f>
        <v>0</v>
      </c>
      <c r="DO210" s="615">
        <f>COUNTIFS('MEP | Drawing List'!$H:$H,"MEP-L30-1",'MEP | Drawing List'!O:O,1)</f>
        <v>0</v>
      </c>
      <c r="DP210" s="615">
        <f>COUNTIFS('MEP | Drawing List'!$H:$H,"MEP-L30-1",'MEP | Drawing List'!P:P,1)</f>
        <v>0</v>
      </c>
      <c r="DQ210" s="339"/>
      <c r="DR210" s="616">
        <f>COUNTIFS('MEP | Drawing List'!$H:$H,"MEP-L30-1",'MEP | Drawing List'!$Q:$Q,1)</f>
        <v>0</v>
      </c>
      <c r="DS210" s="615">
        <f>COUNTIFS('MEP | Drawing List'!$H:$H,"MEP-L30-1",'MEP | Drawing List'!R:R,1)</f>
        <v>0</v>
      </c>
      <c r="DT210" s="615">
        <f>COUNTIFS('MEP | Drawing List'!$H:$H,"MEP-L30-1",'MEP | Drawing List'!S:S,1)</f>
        <v>0</v>
      </c>
      <c r="DU210" s="615">
        <f>COUNTIFS('MEP | Drawing List'!$H:$H,"MEP-L30-1",'MEP | Drawing List'!T:T,1)</f>
        <v>0</v>
      </c>
      <c r="DV210" s="615">
        <f>COUNTIFS('MEP | Drawing List'!$H:$H,"MEP-L30-1",'MEP | Drawing List'!U:U,1)</f>
        <v>0</v>
      </c>
      <c r="DW210" s="343"/>
      <c r="DX210" s="343"/>
      <c r="DY210" s="635">
        <f t="shared" ref="DY210:DY218" si="1263">0.55/10</f>
        <v>5.5000000000000007E-2</v>
      </c>
      <c r="DZ210" s="343"/>
      <c r="EA210" s="616">
        <f t="shared" si="1246"/>
        <v>1.3775904450000003E-3</v>
      </c>
      <c r="EB210" s="618">
        <f t="shared" si="1003"/>
        <v>1.3775904450000003E-3</v>
      </c>
      <c r="EC210" s="615">
        <f t="shared" si="1247"/>
        <v>1.3775904450000003E-3</v>
      </c>
      <c r="ED210" s="615">
        <f t="shared" si="1248"/>
        <v>0</v>
      </c>
      <c r="EE210" s="615">
        <f t="shared" si="1249"/>
        <v>0</v>
      </c>
      <c r="EF210" s="615">
        <f t="shared" si="1250"/>
        <v>0</v>
      </c>
      <c r="EG210" s="615">
        <f t="shared" si="1251"/>
        <v>0</v>
      </c>
      <c r="EH210" s="615">
        <f t="shared" si="1252"/>
        <v>0</v>
      </c>
      <c r="EI210" s="339"/>
      <c r="EJ210" s="620">
        <f t="shared" si="1253"/>
        <v>0</v>
      </c>
      <c r="EK210" s="615">
        <f t="shared" si="1254"/>
        <v>0</v>
      </c>
      <c r="EL210" s="615">
        <f t="shared" si="1255"/>
        <v>0</v>
      </c>
      <c r="EM210" s="615">
        <f t="shared" si="1256"/>
        <v>0</v>
      </c>
      <c r="EN210" s="615">
        <f t="shared" si="1257"/>
        <v>0</v>
      </c>
      <c r="EO210" s="339"/>
      <c r="EP210" s="627">
        <f t="shared" si="1258"/>
        <v>1</v>
      </c>
      <c r="EQ210" s="627">
        <f t="shared" si="1259"/>
        <v>0</v>
      </c>
      <c r="ER210" s="627">
        <f t="shared" si="1260"/>
        <v>0</v>
      </c>
      <c r="ES210" s="55"/>
      <c r="ET210" s="615">
        <f>COUNTIF('LS | Drawing List'!$H:$H,"LS-L30-1")</f>
        <v>8</v>
      </c>
      <c r="EU210" s="616">
        <f>COUNTIFS('LS | Drawing List'!$H:$H,"LS-L30-1",'LS | Drawing List'!$J:$J,1)</f>
        <v>8</v>
      </c>
      <c r="EV210" s="616">
        <f>COUNTIFS('LS | Drawing List'!$H:$H,"LS-L30-1",'LS | Drawing List'!$L:$L,1)</f>
        <v>0</v>
      </c>
      <c r="EW210" s="615">
        <f>COUNTIFS('LS | Drawing List'!$H:$H,"LS-L30-1",'LS | Drawing List'!M:M,1)</f>
        <v>0</v>
      </c>
      <c r="EX210" s="615">
        <f>COUNTIFS('LS | Drawing List'!$H:$H,"LS-L30-1",'LS | Drawing List'!N:N,1)</f>
        <v>0</v>
      </c>
      <c r="EY210" s="615">
        <f>COUNTIFS('LS | Drawing List'!$H:$H,"LS-L30-1",'LS | Drawing List'!O:O,1)</f>
        <v>0</v>
      </c>
      <c r="EZ210" s="615">
        <f>COUNTIFS('LS | Drawing List'!$H:$H,"LS-L30-1",'LS | Drawing List'!P:P,1)</f>
        <v>0</v>
      </c>
      <c r="FA210" s="81"/>
      <c r="FB210" s="616">
        <f>COUNTIFS('LS | Drawing List'!$H:$H,"LS-L30-1",'LS | Drawing List'!$Q:$Q,1)</f>
        <v>0</v>
      </c>
      <c r="FC210" s="615">
        <f>COUNTIFS('LS | Drawing List'!$H:$H,"LS-L30-1",'LS | Drawing List'!R:R,1)</f>
        <v>0</v>
      </c>
      <c r="FD210" s="615">
        <f>COUNTIFS('LS | Drawing List'!$H:$H,"LS-L30-1",'LS | Drawing List'!S:S,1)</f>
        <v>0</v>
      </c>
      <c r="FE210" s="615">
        <f>COUNTIFS('LS | Drawing List'!$H:$H,"LS-L30-1",'LS | Drawing List'!T:T,1)</f>
        <v>0</v>
      </c>
      <c r="FF210" s="615">
        <f>COUNTIFS('LS | Drawing List'!$H:$H,"LS-L30-1",'LS | Drawing List'!U:U,1)</f>
        <v>0</v>
      </c>
      <c r="FG210" s="48"/>
    </row>
    <row r="211" spans="1:163" ht="14.25" hidden="1" outlineLevel="2">
      <c r="A211" s="48"/>
      <c r="B211" s="87" t="s">
        <v>190</v>
      </c>
      <c r="C211" s="276">
        <v>3</v>
      </c>
      <c r="D211" s="273" t="s">
        <v>191</v>
      </c>
      <c r="E211" s="48"/>
      <c r="F211" s="619">
        <f t="shared" si="1201"/>
        <v>1.343538962385677</v>
      </c>
      <c r="G211" s="619">
        <f t="shared" si="1202"/>
        <v>1.343538962385677</v>
      </c>
      <c r="H211" s="615">
        <f t="shared" si="1203"/>
        <v>0</v>
      </c>
      <c r="I211" s="615">
        <f t="shared" si="1118"/>
        <v>0</v>
      </c>
      <c r="J211" s="615">
        <f t="shared" si="1119"/>
        <v>0</v>
      </c>
      <c r="K211" s="615">
        <f t="shared" si="1120"/>
        <v>0</v>
      </c>
      <c r="L211" s="615">
        <f t="shared" si="1121"/>
        <v>0</v>
      </c>
      <c r="M211" s="620">
        <f t="shared" si="1122"/>
        <v>0</v>
      </c>
      <c r="N211" s="287"/>
      <c r="O211" s="615">
        <f t="shared" si="1123"/>
        <v>0</v>
      </c>
      <c r="P211" s="615">
        <f t="shared" si="1124"/>
        <v>0</v>
      </c>
      <c r="Q211" s="615">
        <f t="shared" si="1125"/>
        <v>0</v>
      </c>
      <c r="R211" s="615">
        <f t="shared" si="1126"/>
        <v>0</v>
      </c>
      <c r="S211" s="615">
        <f t="shared" si="1127"/>
        <v>0</v>
      </c>
      <c r="T211" s="48"/>
      <c r="U211" s="635">
        <f t="shared" si="1261"/>
        <v>0.05</v>
      </c>
      <c r="V211" s="131"/>
      <c r="W211" s="619">
        <f t="shared" si="1204"/>
        <v>1.182075</v>
      </c>
      <c r="X211" s="619">
        <f t="shared" si="1000"/>
        <v>1.182075</v>
      </c>
      <c r="Y211" s="615">
        <f t="shared" si="1205"/>
        <v>1.182075</v>
      </c>
      <c r="Z211" s="615">
        <f t="shared" si="1206"/>
        <v>0</v>
      </c>
      <c r="AA211" s="615">
        <f t="shared" si="1207"/>
        <v>0</v>
      </c>
      <c r="AB211" s="615">
        <f t="shared" si="1208"/>
        <v>0</v>
      </c>
      <c r="AC211" s="615">
        <f t="shared" si="1209"/>
        <v>0</v>
      </c>
      <c r="AD211" s="620">
        <f t="shared" si="1210"/>
        <v>0</v>
      </c>
      <c r="AE211" s="287"/>
      <c r="AF211" s="615">
        <f t="shared" si="1211"/>
        <v>0</v>
      </c>
      <c r="AG211" s="615">
        <f t="shared" si="1212"/>
        <v>0</v>
      </c>
      <c r="AH211" s="615">
        <f t="shared" si="1213"/>
        <v>0</v>
      </c>
      <c r="AI211" s="615">
        <f t="shared" si="1214"/>
        <v>0</v>
      </c>
      <c r="AJ211" s="615">
        <f t="shared" si="1215"/>
        <v>0</v>
      </c>
      <c r="AK211" s="339"/>
      <c r="AL211" s="625">
        <f t="shared" si="1216"/>
        <v>1</v>
      </c>
      <c r="AM211" s="625">
        <f t="shared" si="1217"/>
        <v>0</v>
      </c>
      <c r="AN211" s="625">
        <f t="shared" si="1218"/>
        <v>0</v>
      </c>
      <c r="AO211" s="345"/>
      <c r="AP211" s="615">
        <f>COUNTIF('AR | Drawing List'!$H:$H,"AR-L45-1")</f>
        <v>24</v>
      </c>
      <c r="AQ211" s="616">
        <f>COUNTIFS('AR | Drawing List'!$H:$H,"AR-L45-1",'AR | Drawing List'!$J:$J,1)</f>
        <v>24</v>
      </c>
      <c r="AR211" s="616">
        <f t="shared" si="1075"/>
        <v>0</v>
      </c>
      <c r="AS211" s="616">
        <f>COUNTIFS('AR | Drawing List'!$H:$H,"AR-L45-1",'AR | Drawing List'!M:M,1)</f>
        <v>0</v>
      </c>
      <c r="AT211" s="616">
        <f>COUNTIFS('AR | Drawing List'!$H:$H,"AR-L45-1",'AR | Drawing List'!N:N,1)</f>
        <v>0</v>
      </c>
      <c r="AU211" s="616">
        <f>COUNTIFS('AR | Drawing List'!$H:$H,"AR-L45-1",'AR | Drawing List'!O:O,1)</f>
        <v>0</v>
      </c>
      <c r="AV211" s="616">
        <f>COUNTIFS('AR | Drawing List'!$H:$H,"AR-L45-1",'AR | Drawing List'!P:P,1)</f>
        <v>0</v>
      </c>
      <c r="AW211" s="328"/>
      <c r="AX211" s="616">
        <f t="shared" si="1093"/>
        <v>0</v>
      </c>
      <c r="AY211" s="616">
        <f>COUNTIFS('AR | Drawing List'!$H:$H,"AR-L45-1",'AR | Drawing List'!R:R,1)</f>
        <v>0</v>
      </c>
      <c r="AZ211" s="616">
        <f>COUNTIFS('AR | Drawing List'!$H:$H,"AR-L45-1",'AR | Drawing List'!S:S,1)</f>
        <v>0</v>
      </c>
      <c r="BA211" s="616">
        <f>COUNTIFS('AR | Drawing List'!$H:$H,"AR-L45-1",'AR | Drawing List'!T:T,1)</f>
        <v>0</v>
      </c>
      <c r="BB211" s="616">
        <f>COUNTIFS('AR | Drawing List'!$H:$H,"AR-L45-1",'AR | Drawing List'!U:U,1)</f>
        <v>0</v>
      </c>
      <c r="BC211" s="359"/>
      <c r="BD211" s="359"/>
      <c r="BE211" s="525">
        <v>0</v>
      </c>
      <c r="BF211" s="343"/>
      <c r="BG211" s="344"/>
      <c r="BH211" s="618">
        <f t="shared" si="1001"/>
        <v>0</v>
      </c>
      <c r="BI211" s="374"/>
      <c r="BJ211" s="374"/>
      <c r="BK211" s="615">
        <f t="shared" si="1219"/>
        <v>0</v>
      </c>
      <c r="BL211" s="615">
        <f t="shared" si="1220"/>
        <v>0</v>
      </c>
      <c r="BM211" s="615">
        <f t="shared" si="1221"/>
        <v>0</v>
      </c>
      <c r="BN211" s="615">
        <f t="shared" si="1222"/>
        <v>0</v>
      </c>
      <c r="BO211" s="339"/>
      <c r="BP211" s="615">
        <f t="shared" si="1223"/>
        <v>0</v>
      </c>
      <c r="BQ211" s="615">
        <f t="shared" si="1224"/>
        <v>0</v>
      </c>
      <c r="BR211" s="615">
        <f t="shared" si="1225"/>
        <v>0</v>
      </c>
      <c r="BS211" s="615">
        <f t="shared" si="1226"/>
        <v>0</v>
      </c>
      <c r="BT211" s="615">
        <f t="shared" si="1227"/>
        <v>0</v>
      </c>
      <c r="BU211" s="339"/>
      <c r="BV211" s="635">
        <f t="shared" si="1228"/>
        <v>0</v>
      </c>
      <c r="BW211" s="635">
        <f t="shared" si="1229"/>
        <v>0</v>
      </c>
      <c r="BX211" s="635">
        <f t="shared" si="1230"/>
        <v>0</v>
      </c>
      <c r="BY211" s="345"/>
      <c r="BZ211" s="540"/>
      <c r="CA211" s="540"/>
      <c r="CB211" s="542"/>
      <c r="CC211" s="616">
        <f>COUNTIFS('ST | Drawing List'!$H:$H,"ST-T01-3",'ST | Drawing List'!M:M,1)</f>
        <v>0</v>
      </c>
      <c r="CD211" s="616">
        <f>COUNTIFS('ST | Drawing List'!$H:$H,"ST-T01-3",'ST | Drawing List'!N:N,1)</f>
        <v>0</v>
      </c>
      <c r="CE211" s="616">
        <f>COUNTIFS('ST | Drawing List'!$H:$H,"ST-T01-3",'ST | Drawing List'!O:O,1)</f>
        <v>0</v>
      </c>
      <c r="CF211" s="616">
        <f>COUNTIFS('ST | Drawing List'!$H:$H,"ST-T01-3",'ST | Drawing List'!P:P,1)</f>
        <v>0</v>
      </c>
      <c r="CG211" s="532"/>
      <c r="CH211" s="542"/>
      <c r="CI211" s="616">
        <f>COUNTIFS('ST | Drawing List'!$H:$H,"ST-T01-3",'ST | Drawing List'!R:R,1)</f>
        <v>0</v>
      </c>
      <c r="CJ211" s="616">
        <f>COUNTIFS('ST | Drawing List'!$H:$H,"ST-T01-3",'ST | Drawing List'!S:S,1)</f>
        <v>0</v>
      </c>
      <c r="CK211" s="616">
        <f>COUNTIFS('ST | Drawing List'!$H:$H,"ST-T01-3",'ST | Drawing List'!T:T,1)</f>
        <v>0</v>
      </c>
      <c r="CL211" s="616">
        <f>COUNTIFS('ST | Drawing List'!$H:$H,"ST-T01-3",'ST | Drawing List'!U:U,1)</f>
        <v>0</v>
      </c>
      <c r="CM211" s="343"/>
      <c r="CN211" s="343"/>
      <c r="CO211" s="635">
        <f t="shared" si="1262"/>
        <v>6.5000000000000002E-2</v>
      </c>
      <c r="CP211" s="343"/>
      <c r="CQ211" s="616">
        <f t="shared" si="1231"/>
        <v>0.16008637194067718</v>
      </c>
      <c r="CR211" s="618">
        <f t="shared" si="1002"/>
        <v>0.16008637194067718</v>
      </c>
      <c r="CS211" s="615">
        <f t="shared" si="1232"/>
        <v>0.16008637194067718</v>
      </c>
      <c r="CT211" s="615">
        <f t="shared" si="1233"/>
        <v>0</v>
      </c>
      <c r="CU211" s="615">
        <f t="shared" si="1234"/>
        <v>0</v>
      </c>
      <c r="CV211" s="615">
        <f t="shared" si="1235"/>
        <v>0</v>
      </c>
      <c r="CW211" s="615">
        <f t="shared" si="1236"/>
        <v>0</v>
      </c>
      <c r="CX211" s="615">
        <f t="shared" si="1237"/>
        <v>0</v>
      </c>
      <c r="CY211" s="339"/>
      <c r="CZ211" s="615">
        <f t="shared" si="1238"/>
        <v>0</v>
      </c>
      <c r="DA211" s="615">
        <f t="shared" si="1239"/>
        <v>0</v>
      </c>
      <c r="DB211" s="615">
        <f t="shared" si="1240"/>
        <v>0</v>
      </c>
      <c r="DC211" s="615">
        <f t="shared" si="1241"/>
        <v>0</v>
      </c>
      <c r="DD211" s="615">
        <f t="shared" si="1242"/>
        <v>0</v>
      </c>
      <c r="DE211" s="339"/>
      <c r="DF211" s="625">
        <f t="shared" si="1243"/>
        <v>1</v>
      </c>
      <c r="DG211" s="625">
        <f t="shared" si="1244"/>
        <v>0</v>
      </c>
      <c r="DH211" s="625">
        <f t="shared" si="1245"/>
        <v>0</v>
      </c>
      <c r="DI211" s="345"/>
      <c r="DJ211" s="615">
        <f>COUNTIF('MEP | Drawing List'!$H:$H,"MEP-L45-1")</f>
        <v>49</v>
      </c>
      <c r="DK211" s="616">
        <f>COUNTIFS('MEP | Drawing List'!$H:$H,"MEP-L45-1",'MEP | Drawing List'!$J:$J,1)</f>
        <v>49</v>
      </c>
      <c r="DL211" s="616">
        <f>COUNTIFS('MEP | Drawing List'!$H:$H,"MEP-L45-1",'MEP | Drawing List'!$L:$L,1)</f>
        <v>0</v>
      </c>
      <c r="DM211" s="615">
        <f>COUNTIFS('MEP | Drawing List'!$H:$H,"MEP-L45-1",'MEP | Drawing List'!M:M,1)</f>
        <v>0</v>
      </c>
      <c r="DN211" s="615">
        <f>COUNTIFS('MEP | Drawing List'!$H:$H,"MEP-L45-1",'MEP | Drawing List'!N:N,1)</f>
        <v>0</v>
      </c>
      <c r="DO211" s="615">
        <f>COUNTIFS('MEP | Drawing List'!$H:$H,"MEP-L45-1",'MEP | Drawing List'!O:O,1)</f>
        <v>0</v>
      </c>
      <c r="DP211" s="615">
        <f>COUNTIFS('MEP | Drawing List'!$H:$H,"MEP-L45-1",'MEP | Drawing List'!P:P,1)</f>
        <v>0</v>
      </c>
      <c r="DQ211" s="339"/>
      <c r="DR211" s="616">
        <f>COUNTIFS('MEP | Drawing List'!$H:$H,"MEP-L45-1",'MEP | Drawing List'!$Q:$Q,1)</f>
        <v>0</v>
      </c>
      <c r="DS211" s="615">
        <f>COUNTIFS('MEP | Drawing List'!$H:$H,"MEP-L45-1",'MEP | Drawing List'!R:R,1)</f>
        <v>0</v>
      </c>
      <c r="DT211" s="615">
        <f>COUNTIFS('MEP | Drawing List'!$H:$H,"MEP-L45-1",'MEP | Drawing List'!S:S,1)</f>
        <v>0</v>
      </c>
      <c r="DU211" s="615">
        <f>COUNTIFS('MEP | Drawing List'!$H:$H,"MEP-L45-1",'MEP | Drawing List'!T:T,1)</f>
        <v>0</v>
      </c>
      <c r="DV211" s="615">
        <f>COUNTIFS('MEP | Drawing List'!$H:$H,"MEP-L45-1",'MEP | Drawing List'!U:U,1)</f>
        <v>0</v>
      </c>
      <c r="DW211" s="343"/>
      <c r="DX211" s="343"/>
      <c r="DY211" s="635">
        <f t="shared" si="1263"/>
        <v>5.5000000000000007E-2</v>
      </c>
      <c r="DZ211" s="343"/>
      <c r="EA211" s="616">
        <f t="shared" si="1246"/>
        <v>1.3775904450000003E-3</v>
      </c>
      <c r="EB211" s="618">
        <f t="shared" si="1003"/>
        <v>1.3775904450000003E-3</v>
      </c>
      <c r="EC211" s="615">
        <f t="shared" si="1247"/>
        <v>1.3775904450000003E-3</v>
      </c>
      <c r="ED211" s="615">
        <f t="shared" si="1248"/>
        <v>0</v>
      </c>
      <c r="EE211" s="615">
        <f t="shared" si="1249"/>
        <v>0</v>
      </c>
      <c r="EF211" s="615">
        <f t="shared" si="1250"/>
        <v>0</v>
      </c>
      <c r="EG211" s="615">
        <f t="shared" si="1251"/>
        <v>0</v>
      </c>
      <c r="EH211" s="615">
        <f t="shared" si="1252"/>
        <v>0</v>
      </c>
      <c r="EI211" s="339"/>
      <c r="EJ211" s="620">
        <f t="shared" si="1253"/>
        <v>0</v>
      </c>
      <c r="EK211" s="615">
        <f t="shared" si="1254"/>
        <v>0</v>
      </c>
      <c r="EL211" s="615">
        <f t="shared" si="1255"/>
        <v>0</v>
      </c>
      <c r="EM211" s="615">
        <f t="shared" si="1256"/>
        <v>0</v>
      </c>
      <c r="EN211" s="615">
        <f t="shared" si="1257"/>
        <v>0</v>
      </c>
      <c r="EO211" s="339"/>
      <c r="EP211" s="627">
        <f t="shared" si="1258"/>
        <v>1</v>
      </c>
      <c r="EQ211" s="627">
        <f t="shared" si="1259"/>
        <v>0</v>
      </c>
      <c r="ER211" s="627">
        <f t="shared" si="1260"/>
        <v>0</v>
      </c>
      <c r="ES211" s="55"/>
      <c r="ET211" s="615">
        <f>COUNTIF('LS | Drawing List'!$H:$H,"LS-L45-1")</f>
        <v>8</v>
      </c>
      <c r="EU211" s="616">
        <f>COUNTIFS('LS | Drawing List'!$H:$H,"LS-L45-1",'LS | Drawing List'!$J:$J,1)</f>
        <v>8</v>
      </c>
      <c r="EV211" s="616">
        <f>COUNTIFS('LS | Drawing List'!$H:$H,"LS-L45-1",'LS | Drawing List'!$L:$L,1)</f>
        <v>0</v>
      </c>
      <c r="EW211" s="615">
        <f>COUNTIFS('LS | Drawing List'!$H:$H,"LS-L45-1",'LS | Drawing List'!M:M,1)</f>
        <v>0</v>
      </c>
      <c r="EX211" s="615">
        <f>COUNTIFS('LS | Drawing List'!$H:$H,"LS-L45-1",'LS | Drawing List'!N:N,1)</f>
        <v>0</v>
      </c>
      <c r="EY211" s="615">
        <f>COUNTIFS('LS | Drawing List'!$H:$H,"LS-L45-1",'LS | Drawing List'!O:O,1)</f>
        <v>0</v>
      </c>
      <c r="EZ211" s="615">
        <f>COUNTIFS('LS | Drawing List'!$H:$H,"LS-L45-1",'LS | Drawing List'!P:P,1)</f>
        <v>0</v>
      </c>
      <c r="FA211" s="81"/>
      <c r="FB211" s="616">
        <f>COUNTIFS('LS | Drawing List'!$H:$H,"LS-L45-1",'LS | Drawing List'!$Q:$Q,1)</f>
        <v>0</v>
      </c>
      <c r="FC211" s="615">
        <f>COUNTIFS('LS | Drawing List'!$H:$H,"LS-L45-1",'LS | Drawing List'!R:R,1)</f>
        <v>0</v>
      </c>
      <c r="FD211" s="615">
        <f>COUNTIFS('LS | Drawing List'!$H:$H,"LS-L45-1",'LS | Drawing List'!S:S,1)</f>
        <v>0</v>
      </c>
      <c r="FE211" s="615">
        <f>COUNTIFS('LS | Drawing List'!$H:$H,"LS-L45-1",'LS | Drawing List'!T:T,1)</f>
        <v>0</v>
      </c>
      <c r="FF211" s="615">
        <f>COUNTIFS('LS | Drawing List'!$H:$H,"LS-L45-1",'LS | Drawing List'!U:U,1)</f>
        <v>0</v>
      </c>
      <c r="FG211" s="48"/>
    </row>
    <row r="212" spans="1:163" ht="14.25" hidden="1" outlineLevel="2">
      <c r="A212" s="48"/>
      <c r="B212" s="87" t="s">
        <v>192</v>
      </c>
      <c r="C212" s="276">
        <v>4</v>
      </c>
      <c r="D212" s="272" t="s">
        <v>193</v>
      </c>
      <c r="E212" s="48"/>
      <c r="F212" s="619">
        <f t="shared" si="1201"/>
        <v>1.343538962385677</v>
      </c>
      <c r="G212" s="619">
        <f t="shared" si="1202"/>
        <v>1.343538962385677</v>
      </c>
      <c r="H212" s="615">
        <f t="shared" si="1203"/>
        <v>0</v>
      </c>
      <c r="I212" s="615">
        <f t="shared" si="1118"/>
        <v>0</v>
      </c>
      <c r="J212" s="615">
        <f t="shared" si="1119"/>
        <v>0</v>
      </c>
      <c r="K212" s="615">
        <f t="shared" si="1120"/>
        <v>0</v>
      </c>
      <c r="L212" s="615">
        <f t="shared" si="1121"/>
        <v>0</v>
      </c>
      <c r="M212" s="620">
        <f t="shared" si="1122"/>
        <v>0</v>
      </c>
      <c r="N212" s="287"/>
      <c r="O212" s="615">
        <f t="shared" si="1123"/>
        <v>0</v>
      </c>
      <c r="P212" s="615">
        <f t="shared" si="1124"/>
        <v>0</v>
      </c>
      <c r="Q212" s="615">
        <f t="shared" si="1125"/>
        <v>0</v>
      </c>
      <c r="R212" s="615">
        <f t="shared" si="1126"/>
        <v>0</v>
      </c>
      <c r="S212" s="615">
        <f t="shared" si="1127"/>
        <v>0</v>
      </c>
      <c r="T212" s="48"/>
      <c r="U212" s="635">
        <f t="shared" si="1261"/>
        <v>0.05</v>
      </c>
      <c r="V212" s="131"/>
      <c r="W212" s="619">
        <f t="shared" si="1204"/>
        <v>1.182075</v>
      </c>
      <c r="X212" s="619">
        <f t="shared" si="1000"/>
        <v>1.182075</v>
      </c>
      <c r="Y212" s="615">
        <f t="shared" si="1205"/>
        <v>1.182075</v>
      </c>
      <c r="Z212" s="615">
        <f t="shared" si="1206"/>
        <v>0</v>
      </c>
      <c r="AA212" s="615">
        <f t="shared" si="1207"/>
        <v>0</v>
      </c>
      <c r="AB212" s="615">
        <f t="shared" si="1208"/>
        <v>0</v>
      </c>
      <c r="AC212" s="615">
        <f t="shared" si="1209"/>
        <v>0</v>
      </c>
      <c r="AD212" s="620">
        <f t="shared" si="1210"/>
        <v>0</v>
      </c>
      <c r="AE212" s="287"/>
      <c r="AF212" s="615">
        <f t="shared" si="1211"/>
        <v>0</v>
      </c>
      <c r="AG212" s="615">
        <f t="shared" si="1212"/>
        <v>0</v>
      </c>
      <c r="AH212" s="615">
        <f t="shared" si="1213"/>
        <v>0</v>
      </c>
      <c r="AI212" s="615">
        <f t="shared" si="1214"/>
        <v>0</v>
      </c>
      <c r="AJ212" s="615">
        <f t="shared" si="1215"/>
        <v>0</v>
      </c>
      <c r="AK212" s="339"/>
      <c r="AL212" s="625">
        <f t="shared" si="1216"/>
        <v>1</v>
      </c>
      <c r="AM212" s="625">
        <f t="shared" si="1217"/>
        <v>0</v>
      </c>
      <c r="AN212" s="625">
        <f t="shared" si="1218"/>
        <v>0</v>
      </c>
      <c r="AO212" s="345"/>
      <c r="AP212" s="615">
        <f>COUNTIF('AR | Drawing List'!$H:$H,"AR-V50-1")</f>
        <v>73</v>
      </c>
      <c r="AQ212" s="616">
        <f>COUNTIFS('AR | Drawing List'!$H:$H,"AR-V50-1",'AR | Drawing List'!$J:$J,1)</f>
        <v>73</v>
      </c>
      <c r="AR212" s="616">
        <f t="shared" si="1075"/>
        <v>0</v>
      </c>
      <c r="AS212" s="616">
        <f>COUNTIFS('AR | Drawing List'!$H:$H,"AR-V50-4",'AR | Drawing List'!M:M,1)</f>
        <v>0</v>
      </c>
      <c r="AT212" s="616">
        <f>COUNTIFS('AR | Drawing List'!$H:$H,"AR-V50-4",'AR | Drawing List'!N:N,1)</f>
        <v>0</v>
      </c>
      <c r="AU212" s="616">
        <f>COUNTIFS('AR | Drawing List'!$H:$H,"AR-V50-4",'AR | Drawing List'!O:O,1)</f>
        <v>0</v>
      </c>
      <c r="AV212" s="616">
        <f>COUNTIFS('AR | Drawing List'!$H:$H,"AR-V50-4",'AR | Drawing List'!P:P,1)</f>
        <v>0</v>
      </c>
      <c r="AW212" s="328"/>
      <c r="AX212" s="616">
        <f t="shared" si="1093"/>
        <v>0</v>
      </c>
      <c r="AY212" s="616">
        <f>COUNTIFS('AR | Drawing List'!$H:$H,"AR-V50-4",'AR | Drawing List'!R:R,1)</f>
        <v>0</v>
      </c>
      <c r="AZ212" s="616">
        <f>COUNTIFS('AR | Drawing List'!$H:$H,"AR-V50-4",'AR | Drawing List'!S:S,1)</f>
        <v>0</v>
      </c>
      <c r="BA212" s="616">
        <f>COUNTIFS('AR | Drawing List'!$H:$H,"AR-V50-4",'AR | Drawing List'!T:T,1)</f>
        <v>0</v>
      </c>
      <c r="BB212" s="616">
        <f>COUNTIFS('AR | Drawing List'!$H:$H,"AR-V50-4",'AR | Drawing List'!U:U,1)</f>
        <v>0</v>
      </c>
      <c r="BC212" s="359"/>
      <c r="BD212" s="359"/>
      <c r="BE212" s="525">
        <v>0</v>
      </c>
      <c r="BF212" s="343"/>
      <c r="BG212" s="344"/>
      <c r="BH212" s="618">
        <f t="shared" si="1001"/>
        <v>0</v>
      </c>
      <c r="BI212" s="374"/>
      <c r="BJ212" s="374"/>
      <c r="BK212" s="615">
        <f t="shared" si="1219"/>
        <v>0</v>
      </c>
      <c r="BL212" s="615">
        <f t="shared" si="1220"/>
        <v>0</v>
      </c>
      <c r="BM212" s="615">
        <f t="shared" si="1221"/>
        <v>0</v>
      </c>
      <c r="BN212" s="615">
        <f t="shared" si="1222"/>
        <v>0</v>
      </c>
      <c r="BO212" s="339"/>
      <c r="BP212" s="615">
        <f t="shared" si="1223"/>
        <v>0</v>
      </c>
      <c r="BQ212" s="615">
        <f t="shared" si="1224"/>
        <v>0</v>
      </c>
      <c r="BR212" s="615">
        <f t="shared" si="1225"/>
        <v>0</v>
      </c>
      <c r="BS212" s="615">
        <f t="shared" si="1226"/>
        <v>0</v>
      </c>
      <c r="BT212" s="615">
        <f t="shared" si="1227"/>
        <v>0</v>
      </c>
      <c r="BU212" s="339"/>
      <c r="BV212" s="635">
        <f t="shared" si="1228"/>
        <v>0</v>
      </c>
      <c r="BW212" s="635">
        <f t="shared" si="1229"/>
        <v>0</v>
      </c>
      <c r="BX212" s="635">
        <f t="shared" si="1230"/>
        <v>0</v>
      </c>
      <c r="BY212" s="345"/>
      <c r="BZ212" s="540"/>
      <c r="CA212" s="540"/>
      <c r="CB212" s="542"/>
      <c r="CC212" s="616">
        <f>COUNTIFS('ST | Drawing List'!$H:$H,"ST-T01-4",'ST | Drawing List'!M:M,1)</f>
        <v>0</v>
      </c>
      <c r="CD212" s="616">
        <f>COUNTIFS('ST | Drawing List'!$H:$H,"ST-T01-4",'ST | Drawing List'!N:N,1)</f>
        <v>0</v>
      </c>
      <c r="CE212" s="616">
        <f>COUNTIFS('ST | Drawing List'!$H:$H,"ST-T01-4",'ST | Drawing List'!O:O,1)</f>
        <v>0</v>
      </c>
      <c r="CF212" s="616">
        <f>COUNTIFS('ST | Drawing List'!$H:$H,"ST-T01-4",'ST | Drawing List'!P:P,1)</f>
        <v>0</v>
      </c>
      <c r="CG212" s="532"/>
      <c r="CH212" s="542"/>
      <c r="CI212" s="616">
        <f>COUNTIFS('ST | Drawing List'!$H:$H,"ST-T01-4",'ST | Drawing List'!R:R,1)</f>
        <v>0</v>
      </c>
      <c r="CJ212" s="616">
        <f>COUNTIFS('ST | Drawing List'!$H:$H,"ST-T01-4",'ST | Drawing List'!S:S,1)</f>
        <v>0</v>
      </c>
      <c r="CK212" s="616">
        <f>COUNTIFS('ST | Drawing List'!$H:$H,"ST-T01-4",'ST | Drawing List'!T:T,1)</f>
        <v>0</v>
      </c>
      <c r="CL212" s="616">
        <f>COUNTIFS('ST | Drawing List'!$H:$H,"ST-T01-4",'ST | Drawing List'!U:U,1)</f>
        <v>0</v>
      </c>
      <c r="CM212" s="343"/>
      <c r="CN212" s="343"/>
      <c r="CO212" s="635">
        <f t="shared" si="1262"/>
        <v>6.5000000000000002E-2</v>
      </c>
      <c r="CP212" s="343"/>
      <c r="CQ212" s="616">
        <f t="shared" si="1231"/>
        <v>0.16008637194067718</v>
      </c>
      <c r="CR212" s="618">
        <f t="shared" si="1002"/>
        <v>0.16008637194067718</v>
      </c>
      <c r="CS212" s="615">
        <f t="shared" si="1232"/>
        <v>0.16008637194067718</v>
      </c>
      <c r="CT212" s="615">
        <f t="shared" si="1233"/>
        <v>0</v>
      </c>
      <c r="CU212" s="615">
        <f t="shared" si="1234"/>
        <v>0</v>
      </c>
      <c r="CV212" s="615">
        <f t="shared" si="1235"/>
        <v>0</v>
      </c>
      <c r="CW212" s="615">
        <f t="shared" si="1236"/>
        <v>0</v>
      </c>
      <c r="CX212" s="615">
        <f t="shared" si="1237"/>
        <v>0</v>
      </c>
      <c r="CY212" s="339"/>
      <c r="CZ212" s="615">
        <f t="shared" si="1238"/>
        <v>0</v>
      </c>
      <c r="DA212" s="615">
        <f t="shared" si="1239"/>
        <v>0</v>
      </c>
      <c r="DB212" s="615">
        <f t="shared" si="1240"/>
        <v>0</v>
      </c>
      <c r="DC212" s="615">
        <f t="shared" si="1241"/>
        <v>0</v>
      </c>
      <c r="DD212" s="615">
        <f t="shared" si="1242"/>
        <v>0</v>
      </c>
      <c r="DE212" s="339"/>
      <c r="DF212" s="625">
        <f t="shared" si="1243"/>
        <v>1</v>
      </c>
      <c r="DG212" s="625">
        <f t="shared" si="1244"/>
        <v>0</v>
      </c>
      <c r="DH212" s="625">
        <f t="shared" si="1245"/>
        <v>0</v>
      </c>
      <c r="DI212" s="345"/>
      <c r="DJ212" s="615">
        <f>COUNTIF('MEP | Drawing List'!$H:$H,"MEP-V50-1")</f>
        <v>31</v>
      </c>
      <c r="DK212" s="616">
        <f>COUNTIFS('MEP | Drawing List'!$H:$H,"MEP-V50-1",'MEP | Drawing List'!$J:$J,1)</f>
        <v>31</v>
      </c>
      <c r="DL212" s="616">
        <f>COUNTIFS('MEP | Drawing List'!$H:$H,"MEP-V50-1",'MEP | Drawing List'!$L:$L,1)</f>
        <v>0</v>
      </c>
      <c r="DM212" s="615">
        <f>COUNTIFS('MEP | Drawing List'!$H:$H,"MEP-V50-1",'MEP | Drawing List'!M:M,1)</f>
        <v>0</v>
      </c>
      <c r="DN212" s="615">
        <f>COUNTIFS('MEP | Drawing List'!$H:$H,"MEP-V50-1",'MEP | Drawing List'!N:N,1)</f>
        <v>0</v>
      </c>
      <c r="DO212" s="615">
        <f>COUNTIFS('MEP | Drawing List'!$H:$H,"MEP-V50-1",'MEP | Drawing List'!O:O,1)</f>
        <v>0</v>
      </c>
      <c r="DP212" s="615">
        <f>COUNTIFS('MEP | Drawing List'!$H:$H,"MEP-V50-1",'MEP | Drawing List'!P:P,1)</f>
        <v>0</v>
      </c>
      <c r="DQ212" s="339"/>
      <c r="DR212" s="616">
        <f>COUNTIFS('MEP | Drawing List'!$H:$H,"MEP-V50-1",'MEP | Drawing List'!$Q:$Q,1)</f>
        <v>0</v>
      </c>
      <c r="DS212" s="615">
        <f>COUNTIFS('MEP | Drawing List'!$H:$H,"MEP-V50-1",'MEP | Drawing List'!R:R,1)</f>
        <v>0</v>
      </c>
      <c r="DT212" s="615">
        <f>COUNTIFS('MEP | Drawing List'!$H:$H,"MEP-V50-1",'MEP | Drawing List'!S:S,1)</f>
        <v>0</v>
      </c>
      <c r="DU212" s="615">
        <f>COUNTIFS('MEP | Drawing List'!$H:$H,"MEP-V50-1",'MEP | Drawing List'!T:T,1)</f>
        <v>0</v>
      </c>
      <c r="DV212" s="615">
        <f>COUNTIFS('MEP | Drawing List'!$H:$H,"MEP-V50-1",'MEP | Drawing List'!U:U,1)</f>
        <v>0</v>
      </c>
      <c r="DW212" s="343"/>
      <c r="DX212" s="343"/>
      <c r="DY212" s="635">
        <f t="shared" si="1263"/>
        <v>5.5000000000000007E-2</v>
      </c>
      <c r="DZ212" s="343"/>
      <c r="EA212" s="616">
        <f t="shared" si="1246"/>
        <v>1.3775904450000003E-3</v>
      </c>
      <c r="EB212" s="618">
        <f t="shared" si="1003"/>
        <v>1.3775904450000003E-3</v>
      </c>
      <c r="EC212" s="615">
        <f t="shared" si="1247"/>
        <v>1.3775904450000003E-3</v>
      </c>
      <c r="ED212" s="615">
        <f t="shared" si="1248"/>
        <v>0</v>
      </c>
      <c r="EE212" s="615">
        <f t="shared" si="1249"/>
        <v>0</v>
      </c>
      <c r="EF212" s="615">
        <f t="shared" si="1250"/>
        <v>0</v>
      </c>
      <c r="EG212" s="615">
        <f t="shared" si="1251"/>
        <v>0</v>
      </c>
      <c r="EH212" s="615">
        <f t="shared" si="1252"/>
        <v>0</v>
      </c>
      <c r="EI212" s="339"/>
      <c r="EJ212" s="620">
        <f t="shared" si="1253"/>
        <v>0</v>
      </c>
      <c r="EK212" s="615">
        <f t="shared" si="1254"/>
        <v>0</v>
      </c>
      <c r="EL212" s="615">
        <f t="shared" si="1255"/>
        <v>0</v>
      </c>
      <c r="EM212" s="615">
        <f t="shared" si="1256"/>
        <v>0</v>
      </c>
      <c r="EN212" s="615">
        <f t="shared" si="1257"/>
        <v>0</v>
      </c>
      <c r="EO212" s="339"/>
      <c r="EP212" s="627">
        <f t="shared" si="1258"/>
        <v>1</v>
      </c>
      <c r="EQ212" s="627">
        <f t="shared" si="1259"/>
        <v>0</v>
      </c>
      <c r="ER212" s="627">
        <f t="shared" si="1260"/>
        <v>0</v>
      </c>
      <c r="ES212" s="55"/>
      <c r="ET212" s="615">
        <f>COUNTIF('LS | Drawing List'!$H:$H,"LS-V50-1")</f>
        <v>10</v>
      </c>
      <c r="EU212" s="616">
        <f>COUNTIFS('LS | Drawing List'!$H:$H,"LS-V50-1",'LS | Drawing List'!$J:$J,1)</f>
        <v>10</v>
      </c>
      <c r="EV212" s="616">
        <f>COUNTIFS('LS | Drawing List'!$H:$H,"LS-V50-1",'LS | Drawing List'!$L:$L,1)</f>
        <v>0</v>
      </c>
      <c r="EW212" s="615">
        <f>COUNTIFS('LS | Drawing List'!$H:$H,"LS-V50-1",'LS | Drawing List'!M:M,1)</f>
        <v>0</v>
      </c>
      <c r="EX212" s="615">
        <f>COUNTIFS('LS | Drawing List'!$H:$H,"LS-V50-1",'LS | Drawing List'!N:N,1)</f>
        <v>0</v>
      </c>
      <c r="EY212" s="615">
        <f>COUNTIFS('LS | Drawing List'!$H:$H,"LS-V50-1",'LS | Drawing List'!O:O,1)</f>
        <v>0</v>
      </c>
      <c r="EZ212" s="615">
        <f>COUNTIFS('LS | Drawing List'!$H:$H,"LS-V50-1",'LS | Drawing List'!P:P,1)</f>
        <v>0</v>
      </c>
      <c r="FA212" s="81"/>
      <c r="FB212" s="616">
        <f>COUNTIFS('LS | Drawing List'!$H:$H,"LS-V50-1",'LS | Drawing List'!$Q:$Q,1)</f>
        <v>0</v>
      </c>
      <c r="FC212" s="615">
        <f>COUNTIFS('LS | Drawing List'!$H:$H,"LS-V50-1",'LS | Drawing List'!R:R,1)</f>
        <v>0</v>
      </c>
      <c r="FD212" s="615">
        <f>COUNTIFS('LS | Drawing List'!$H:$H,"LS-V50-1",'LS | Drawing List'!S:S,1)</f>
        <v>0</v>
      </c>
      <c r="FE212" s="615">
        <f>COUNTIFS('LS | Drawing List'!$H:$H,"LS-V50-1",'LS | Drawing List'!T:T,1)</f>
        <v>0</v>
      </c>
      <c r="FF212" s="615">
        <f>COUNTIFS('LS | Drawing List'!$H:$H,"LS-V50-1",'LS | Drawing List'!U:U,1)</f>
        <v>0</v>
      </c>
      <c r="FG212" s="48"/>
    </row>
    <row r="213" spans="1:163" s="95" customFormat="1" ht="14.25" outlineLevel="2">
      <c r="A213" s="89"/>
      <c r="B213" s="90" t="s">
        <v>194</v>
      </c>
      <c r="C213" s="277">
        <v>5</v>
      </c>
      <c r="D213" s="273" t="s">
        <v>195</v>
      </c>
      <c r="E213" s="89"/>
      <c r="F213" s="619">
        <f t="shared" si="1201"/>
        <v>1.343538962385677</v>
      </c>
      <c r="G213" s="619">
        <f t="shared" si="1202"/>
        <v>1.3775904450000003E-3</v>
      </c>
      <c r="H213" s="615">
        <f t="shared" si="1203"/>
        <v>1.3421613719406771</v>
      </c>
      <c r="I213" s="615">
        <f t="shared" si="1118"/>
        <v>1.343538962385677</v>
      </c>
      <c r="J213" s="615">
        <f t="shared" si="1119"/>
        <v>1.343538962385677</v>
      </c>
      <c r="K213" s="615">
        <f t="shared" si="1120"/>
        <v>0</v>
      </c>
      <c r="L213" s="615">
        <f t="shared" si="1121"/>
        <v>0</v>
      </c>
      <c r="M213" s="620">
        <f t="shared" si="1122"/>
        <v>0</v>
      </c>
      <c r="N213" s="287"/>
      <c r="O213" s="615">
        <f t="shared" si="1123"/>
        <v>1.3775904450000003E-3</v>
      </c>
      <c r="P213" s="615">
        <f t="shared" si="1124"/>
        <v>0</v>
      </c>
      <c r="Q213" s="615">
        <f t="shared" si="1125"/>
        <v>0</v>
      </c>
      <c r="R213" s="615">
        <f t="shared" si="1126"/>
        <v>0</v>
      </c>
      <c r="S213" s="615">
        <f t="shared" si="1127"/>
        <v>1.3775904450000003E-3</v>
      </c>
      <c r="T213" s="89"/>
      <c r="U213" s="635">
        <f t="shared" si="1261"/>
        <v>0.05</v>
      </c>
      <c r="V213" s="133"/>
      <c r="W213" s="628">
        <f t="shared" si="1204"/>
        <v>1.182075</v>
      </c>
      <c r="X213" s="628">
        <f t="shared" si="1000"/>
        <v>0</v>
      </c>
      <c r="Y213" s="620">
        <f t="shared" si="1205"/>
        <v>0</v>
      </c>
      <c r="Z213" s="620">
        <f t="shared" si="1206"/>
        <v>1.182075</v>
      </c>
      <c r="AA213" s="620">
        <f t="shared" si="1207"/>
        <v>1.182075</v>
      </c>
      <c r="AB213" s="620">
        <f t="shared" si="1208"/>
        <v>0</v>
      </c>
      <c r="AC213" s="620">
        <f t="shared" si="1209"/>
        <v>0</v>
      </c>
      <c r="AD213" s="620">
        <f t="shared" si="1210"/>
        <v>0</v>
      </c>
      <c r="AE213" s="287"/>
      <c r="AF213" s="615">
        <f t="shared" si="1211"/>
        <v>0</v>
      </c>
      <c r="AG213" s="615">
        <f t="shared" si="1212"/>
        <v>0</v>
      </c>
      <c r="AH213" s="615">
        <f t="shared" si="1213"/>
        <v>0</v>
      </c>
      <c r="AI213" s="615">
        <f t="shared" si="1214"/>
        <v>0</v>
      </c>
      <c r="AJ213" s="615">
        <f t="shared" si="1215"/>
        <v>0</v>
      </c>
      <c r="AK213" s="339"/>
      <c r="AL213" s="627">
        <f t="shared" si="1216"/>
        <v>0</v>
      </c>
      <c r="AM213" s="627">
        <f t="shared" si="1217"/>
        <v>1</v>
      </c>
      <c r="AN213" s="625">
        <f t="shared" si="1218"/>
        <v>0</v>
      </c>
      <c r="AO213" s="373"/>
      <c r="AP213" s="620">
        <f>COUNTIF('AR | Drawing List'!$H:$H,"AR-V40-1")</f>
        <v>67</v>
      </c>
      <c r="AQ213" s="621">
        <f>COUNTIFS('AR | Drawing List'!$H:$H,"AR-V40-1",'AR | Drawing List'!$J:$J,1)</f>
        <v>0</v>
      </c>
      <c r="AR213" s="621">
        <f t="shared" si="1075"/>
        <v>67</v>
      </c>
      <c r="AS213" s="621">
        <f>COUNTIFS('AR | Drawing List'!$H:$H,"AR-V40-1",'AR | Drawing List'!M:M,1)</f>
        <v>67</v>
      </c>
      <c r="AT213" s="621">
        <f>COUNTIFS('AR | Drawing List'!$H:$H,"AR-V40-1",'AR | Drawing List'!N:N,1)</f>
        <v>0</v>
      </c>
      <c r="AU213" s="621">
        <f>COUNTIFS('AR | Drawing List'!$H:$H,"AR-V40-1",'AR | Drawing List'!O:O,1)</f>
        <v>0</v>
      </c>
      <c r="AV213" s="621">
        <f>COUNTIFS('AR | Drawing List'!$H:$H,"AR-V40-1",'AR | Drawing List'!P:P,1)</f>
        <v>0</v>
      </c>
      <c r="AW213" s="366"/>
      <c r="AX213" s="621">
        <f t="shared" si="1093"/>
        <v>0</v>
      </c>
      <c r="AY213" s="621">
        <f>COUNTIFS('AR | Drawing List'!$H:$H,"AR-V40-1",'AR | Drawing List'!R:R,1)</f>
        <v>0</v>
      </c>
      <c r="AZ213" s="621">
        <f>COUNTIFS('AR | Drawing List'!$H:$H,"AR-V40-1",'AR | Drawing List'!S:S,1)</f>
        <v>0</v>
      </c>
      <c r="BA213" s="621">
        <f>COUNTIFS('AR | Drawing List'!$H:$H,"AR-V40-1",'AR | Drawing List'!T:T,1)</f>
        <v>0</v>
      </c>
      <c r="BB213" s="621">
        <f>COUNTIFS('AR | Drawing List'!$H:$H,"AR-V40-1",'AR | Drawing List'!U:U,1)</f>
        <v>0</v>
      </c>
      <c r="BC213" s="365"/>
      <c r="BD213" s="365"/>
      <c r="BE213" s="554">
        <v>0</v>
      </c>
      <c r="BF213" s="368"/>
      <c r="BG213" s="369"/>
      <c r="BH213" s="622">
        <f t="shared" si="1001"/>
        <v>0</v>
      </c>
      <c r="BI213" s="377"/>
      <c r="BJ213" s="377"/>
      <c r="BK213" s="615">
        <f t="shared" si="1219"/>
        <v>0</v>
      </c>
      <c r="BL213" s="615">
        <f t="shared" si="1220"/>
        <v>0</v>
      </c>
      <c r="BM213" s="615">
        <f t="shared" si="1221"/>
        <v>0</v>
      </c>
      <c r="BN213" s="615">
        <f t="shared" si="1222"/>
        <v>0</v>
      </c>
      <c r="BO213" s="339"/>
      <c r="BP213" s="615">
        <f t="shared" si="1223"/>
        <v>0</v>
      </c>
      <c r="BQ213" s="615">
        <f t="shared" si="1224"/>
        <v>0</v>
      </c>
      <c r="BR213" s="615">
        <f t="shared" si="1225"/>
        <v>0</v>
      </c>
      <c r="BS213" s="615">
        <f t="shared" si="1226"/>
        <v>0</v>
      </c>
      <c r="BT213" s="615">
        <f t="shared" si="1227"/>
        <v>0</v>
      </c>
      <c r="BU213" s="339"/>
      <c r="BV213" s="635">
        <f t="shared" si="1228"/>
        <v>0</v>
      </c>
      <c r="BW213" s="635">
        <f t="shared" si="1229"/>
        <v>0</v>
      </c>
      <c r="BX213" s="635">
        <f t="shared" si="1230"/>
        <v>0</v>
      </c>
      <c r="BY213" s="373"/>
      <c r="BZ213" s="543"/>
      <c r="CA213" s="543"/>
      <c r="CB213" s="548"/>
      <c r="CC213" s="621">
        <f>COUNTIFS('ST | Drawing List'!$H:$H,"ST-T01-5",'ST | Drawing List'!M:M,1)</f>
        <v>0</v>
      </c>
      <c r="CD213" s="621">
        <f>COUNTIFS('ST | Drawing List'!$H:$H,"ST-T01-5",'ST | Drawing List'!N:N,1)</f>
        <v>0</v>
      </c>
      <c r="CE213" s="621">
        <f>COUNTIFS('ST | Drawing List'!$H:$H,"ST-T01-5",'ST | Drawing List'!O:O,1)</f>
        <v>0</v>
      </c>
      <c r="CF213" s="621">
        <f>COUNTIFS('ST | Drawing List'!$H:$H,"ST-T01-5",'ST | Drawing List'!P:P,1)</f>
        <v>0</v>
      </c>
      <c r="CG213" s="541"/>
      <c r="CH213" s="548"/>
      <c r="CI213" s="621">
        <f>COUNTIFS('ST | Drawing List'!$H:$H,"ST-T01-5",'ST | Drawing List'!R:R,1)</f>
        <v>0</v>
      </c>
      <c r="CJ213" s="621">
        <f>COUNTIFS('ST | Drawing List'!$H:$H,"ST-T01-5",'ST | Drawing List'!S:S,1)</f>
        <v>0</v>
      </c>
      <c r="CK213" s="621">
        <f>COUNTIFS('ST | Drawing List'!$H:$H,"ST-T01-5",'ST | Drawing List'!T:T,1)</f>
        <v>0</v>
      </c>
      <c r="CL213" s="621">
        <f>COUNTIFS('ST | Drawing List'!$H:$H,"ST-T01-5",'ST | Drawing List'!U:U,1)</f>
        <v>0</v>
      </c>
      <c r="CM213" s="368"/>
      <c r="CN213" s="368"/>
      <c r="CO213" s="635">
        <f t="shared" si="1262"/>
        <v>6.5000000000000002E-2</v>
      </c>
      <c r="CP213" s="368"/>
      <c r="CQ213" s="621">
        <f t="shared" si="1231"/>
        <v>0.16008637194067718</v>
      </c>
      <c r="CR213" s="622">
        <f t="shared" si="1002"/>
        <v>0</v>
      </c>
      <c r="CS213" s="620">
        <f t="shared" si="1232"/>
        <v>0</v>
      </c>
      <c r="CT213" s="615">
        <f t="shared" si="1233"/>
        <v>0.16008637194067718</v>
      </c>
      <c r="CU213" s="615">
        <f t="shared" si="1234"/>
        <v>0.16008637194067718</v>
      </c>
      <c r="CV213" s="615">
        <f t="shared" si="1235"/>
        <v>0</v>
      </c>
      <c r="CW213" s="615">
        <f t="shared" si="1236"/>
        <v>0</v>
      </c>
      <c r="CX213" s="615">
        <f t="shared" si="1237"/>
        <v>0</v>
      </c>
      <c r="CY213" s="339"/>
      <c r="CZ213" s="615">
        <f t="shared" si="1238"/>
        <v>0</v>
      </c>
      <c r="DA213" s="615">
        <f t="shared" si="1239"/>
        <v>0</v>
      </c>
      <c r="DB213" s="615">
        <f t="shared" si="1240"/>
        <v>0</v>
      </c>
      <c r="DC213" s="615">
        <f t="shared" si="1241"/>
        <v>0</v>
      </c>
      <c r="DD213" s="615">
        <f t="shared" si="1242"/>
        <v>0</v>
      </c>
      <c r="DE213" s="339"/>
      <c r="DF213" s="625">
        <f t="shared" si="1243"/>
        <v>0</v>
      </c>
      <c r="DG213" s="625">
        <f t="shared" si="1244"/>
        <v>1</v>
      </c>
      <c r="DH213" s="625">
        <f t="shared" si="1245"/>
        <v>0</v>
      </c>
      <c r="DI213" s="373"/>
      <c r="DJ213" s="620">
        <f>COUNTIF('MEP | Drawing List'!$H:$H,"MEP-V40-1")</f>
        <v>28</v>
      </c>
      <c r="DK213" s="621">
        <f>COUNTIFS('MEP | Drawing List'!$H:$H,"MEP-V40-1",'MEP | Drawing List'!$J:$J,1)</f>
        <v>0</v>
      </c>
      <c r="DL213" s="621">
        <f>COUNTIFS('MEP | Drawing List'!$H:$H,"MEP-V40-1",'MEP | Drawing List'!$L:$L,1)</f>
        <v>28</v>
      </c>
      <c r="DM213" s="620">
        <f>COUNTIFS('MEP | Drawing List'!$H:$H,"MEP-V40-1",'MEP | Drawing List'!M:M,1)</f>
        <v>28</v>
      </c>
      <c r="DN213" s="620">
        <f>COUNTIFS('MEP | Drawing List'!$H:$H,"MEP-V40-1",'MEP | Drawing List'!N:N,1)</f>
        <v>0</v>
      </c>
      <c r="DO213" s="620">
        <f>COUNTIFS('MEP | Drawing List'!$H:$H,"MEP-V40-1",'MEP | Drawing List'!O:O,1)</f>
        <v>0</v>
      </c>
      <c r="DP213" s="620">
        <f>COUNTIFS('MEP | Drawing List'!$H:$H,"MEP-V40-1",'MEP | Drawing List'!P:P,1)</f>
        <v>0</v>
      </c>
      <c r="DQ213" s="287"/>
      <c r="DR213" s="621">
        <f>COUNTIFS('MEP | Drawing List'!$H:$H,"MEP-V40-1",'MEP | Drawing List'!$Q:$Q,1)</f>
        <v>0</v>
      </c>
      <c r="DS213" s="620">
        <f>COUNTIFS('MEP | Drawing List'!$H:$H,"MEP-V40-1",'MEP | Drawing List'!R:R,1)</f>
        <v>0</v>
      </c>
      <c r="DT213" s="620">
        <f>COUNTIFS('MEP | Drawing List'!$H:$H,"MEP-V40-1",'MEP | Drawing List'!S:S,1)</f>
        <v>0</v>
      </c>
      <c r="DU213" s="620">
        <f>COUNTIFS('MEP | Drawing List'!$H:$H,"MEP-V40-1",'MEP | Drawing List'!T:T,1)</f>
        <v>0</v>
      </c>
      <c r="DV213" s="620">
        <f>COUNTIFS('MEP | Drawing List'!$H:$H,"MEP-V40-1",'MEP | Drawing List'!U:U,1)</f>
        <v>0</v>
      </c>
      <c r="DW213" s="368"/>
      <c r="DX213" s="368"/>
      <c r="DY213" s="635">
        <f t="shared" si="1263"/>
        <v>5.5000000000000007E-2</v>
      </c>
      <c r="DZ213" s="368"/>
      <c r="EA213" s="621">
        <f t="shared" si="1246"/>
        <v>1.3775904450000003E-3</v>
      </c>
      <c r="EB213" s="622">
        <f t="shared" si="1003"/>
        <v>1.3775904450000003E-3</v>
      </c>
      <c r="EC213" s="620">
        <f t="shared" si="1247"/>
        <v>0</v>
      </c>
      <c r="ED213" s="620">
        <f t="shared" si="1248"/>
        <v>1.3775904450000003E-3</v>
      </c>
      <c r="EE213" s="615">
        <f t="shared" si="1249"/>
        <v>1.3775904450000003E-3</v>
      </c>
      <c r="EF213" s="615">
        <f t="shared" si="1250"/>
        <v>0</v>
      </c>
      <c r="EG213" s="615">
        <f t="shared" si="1251"/>
        <v>0</v>
      </c>
      <c r="EH213" s="615">
        <f t="shared" si="1252"/>
        <v>0</v>
      </c>
      <c r="EI213" s="339"/>
      <c r="EJ213" s="620">
        <f t="shared" si="1253"/>
        <v>1.3775904450000003E-3</v>
      </c>
      <c r="EK213" s="615">
        <f t="shared" si="1254"/>
        <v>0</v>
      </c>
      <c r="EL213" s="615">
        <f t="shared" si="1255"/>
        <v>0</v>
      </c>
      <c r="EM213" s="615">
        <f t="shared" si="1256"/>
        <v>0</v>
      </c>
      <c r="EN213" s="615">
        <f t="shared" si="1257"/>
        <v>1.3775904450000003E-3</v>
      </c>
      <c r="EO213" s="339"/>
      <c r="EP213" s="627">
        <f t="shared" si="1258"/>
        <v>0</v>
      </c>
      <c r="EQ213" s="627">
        <f t="shared" si="1259"/>
        <v>1</v>
      </c>
      <c r="ER213" s="627">
        <f t="shared" si="1260"/>
        <v>1</v>
      </c>
      <c r="ES213" s="99"/>
      <c r="ET213" s="620">
        <f>COUNTIF('LS | Drawing List'!$H:$H,"LS-V40-1")</f>
        <v>10</v>
      </c>
      <c r="EU213" s="621">
        <f>COUNTIFS('LS | Drawing List'!$H:$H,"LS-V40-1",'LS | Drawing List'!$J:$J,1)</f>
        <v>0</v>
      </c>
      <c r="EV213" s="621">
        <f>COUNTIFS('LS | Drawing List'!$H:$H,"LS-V40-1",'LS | Drawing List'!$L:$L,1)</f>
        <v>10</v>
      </c>
      <c r="EW213" s="620">
        <f>COUNTIFS('LS | Drawing List'!$H:$H,"LS-V40-1",'LS | Drawing List'!M:M,1)</f>
        <v>10</v>
      </c>
      <c r="EX213" s="620">
        <f>COUNTIFS('LS | Drawing List'!$H:$H,"LS-V40-1",'LS | Drawing List'!N:N,1)</f>
        <v>0</v>
      </c>
      <c r="EY213" s="620">
        <f>COUNTIFS('LS | Drawing List'!$H:$H,"LS-V40-1",'LS | Drawing List'!O:O,1)</f>
        <v>0</v>
      </c>
      <c r="EZ213" s="620">
        <f>COUNTIFS('LS | Drawing List'!$H:$H,"LS-V40-1",'LS | Drawing List'!P:P,1)</f>
        <v>0</v>
      </c>
      <c r="FA213" s="91"/>
      <c r="FB213" s="621">
        <f>COUNTIFS('LS | Drawing List'!$H:$H,"LS-V40-1",'LS | Drawing List'!$Q:$Q,1)</f>
        <v>10</v>
      </c>
      <c r="FC213" s="620">
        <f>COUNTIFS('LS | Drawing List'!$H:$H,"LS-V40-1",'LS | Drawing List'!R:R,1)</f>
        <v>0</v>
      </c>
      <c r="FD213" s="620">
        <f>COUNTIFS('LS | Drawing List'!$H:$H,"LS-V40-1",'LS | Drawing List'!S:S,1)</f>
        <v>0</v>
      </c>
      <c r="FE213" s="620">
        <f>COUNTIFS('LS | Drawing List'!$H:$H,"LS-V40-1",'LS | Drawing List'!T:T,1)</f>
        <v>0</v>
      </c>
      <c r="FF213" s="620">
        <f>COUNTIFS('LS | Drawing List'!$H:$H,"LS-V40-1",'LS | Drawing List'!U:U,1)</f>
        <v>10</v>
      </c>
      <c r="FG213" s="89"/>
    </row>
    <row r="214" spans="1:163" ht="14.25" outlineLevel="2">
      <c r="A214" s="48"/>
      <c r="B214" s="87" t="s">
        <v>251</v>
      </c>
      <c r="C214" s="276">
        <v>6</v>
      </c>
      <c r="D214" s="272" t="s">
        <v>196</v>
      </c>
      <c r="E214" s="48"/>
      <c r="F214" s="619">
        <f t="shared" si="1201"/>
        <v>1.343538962385677</v>
      </c>
      <c r="G214" s="619">
        <f t="shared" si="1202"/>
        <v>1.183452590445</v>
      </c>
      <c r="H214" s="615">
        <f t="shared" si="1203"/>
        <v>0.1600863719406771</v>
      </c>
      <c r="I214" s="615">
        <f t="shared" si="1118"/>
        <v>1.343538962385677</v>
      </c>
      <c r="J214" s="615">
        <f t="shared" si="1119"/>
        <v>1.343538962385677</v>
      </c>
      <c r="K214" s="615">
        <f t="shared" si="1120"/>
        <v>0</v>
      </c>
      <c r="L214" s="615">
        <f t="shared" si="1121"/>
        <v>0</v>
      </c>
      <c r="M214" s="620">
        <f t="shared" si="1122"/>
        <v>0</v>
      </c>
      <c r="N214" s="287"/>
      <c r="O214" s="615">
        <f t="shared" si="1123"/>
        <v>1.183452590445</v>
      </c>
      <c r="P214" s="615">
        <f t="shared" si="1124"/>
        <v>0</v>
      </c>
      <c r="Q214" s="615">
        <f t="shared" si="1125"/>
        <v>0</v>
      </c>
      <c r="R214" s="615">
        <f t="shared" si="1126"/>
        <v>1.182075</v>
      </c>
      <c r="S214" s="615">
        <f t="shared" si="1127"/>
        <v>1.3775904450000003E-3</v>
      </c>
      <c r="T214" s="48"/>
      <c r="U214" s="635">
        <f t="shared" si="1261"/>
        <v>0.05</v>
      </c>
      <c r="V214" s="131"/>
      <c r="W214" s="619">
        <f t="shared" si="1204"/>
        <v>1.182075</v>
      </c>
      <c r="X214" s="619">
        <f t="shared" si="1000"/>
        <v>1.182075</v>
      </c>
      <c r="Y214" s="615">
        <f t="shared" si="1205"/>
        <v>0</v>
      </c>
      <c r="Z214" s="615">
        <f t="shared" si="1206"/>
        <v>1.182075</v>
      </c>
      <c r="AA214" s="615">
        <f t="shared" si="1207"/>
        <v>1.182075</v>
      </c>
      <c r="AB214" s="615">
        <f t="shared" si="1208"/>
        <v>0</v>
      </c>
      <c r="AC214" s="615">
        <f t="shared" si="1209"/>
        <v>0</v>
      </c>
      <c r="AD214" s="620">
        <f t="shared" si="1210"/>
        <v>0</v>
      </c>
      <c r="AE214" s="287"/>
      <c r="AF214" s="615">
        <f t="shared" si="1211"/>
        <v>1.182075</v>
      </c>
      <c r="AG214" s="615">
        <f t="shared" si="1212"/>
        <v>0</v>
      </c>
      <c r="AH214" s="615">
        <f t="shared" si="1213"/>
        <v>0</v>
      </c>
      <c r="AI214" s="615">
        <f t="shared" si="1214"/>
        <v>1.182075</v>
      </c>
      <c r="AJ214" s="615">
        <f t="shared" si="1215"/>
        <v>0</v>
      </c>
      <c r="AK214" s="339"/>
      <c r="AL214" s="625">
        <f t="shared" si="1216"/>
        <v>0</v>
      </c>
      <c r="AM214" s="625">
        <f t="shared" si="1217"/>
        <v>1</v>
      </c>
      <c r="AN214" s="625">
        <f t="shared" si="1218"/>
        <v>1</v>
      </c>
      <c r="AO214" s="345"/>
      <c r="AP214" s="615">
        <f>COUNTIF('AR | Drawing List'!$H:$H,"AR-R11-1")</f>
        <v>70</v>
      </c>
      <c r="AQ214" s="616">
        <f>COUNTIFS('AR | Drawing List'!$H:$H,"AR-R11-1",'AR | Drawing List'!$J:$J,1)</f>
        <v>0</v>
      </c>
      <c r="AR214" s="616">
        <f t="shared" ref="AR214:AR215" si="1264">SUM(AS214:AV214)</f>
        <v>70</v>
      </c>
      <c r="AS214" s="616">
        <f>COUNTIFS('AR | Drawing List'!$H:$H,"AR-R11-1",'AR | Drawing List'!M:M,1)</f>
        <v>70</v>
      </c>
      <c r="AT214" s="616">
        <f>COUNTIFS('AR | Drawing List'!$H:$H,"AR-R11-1",'AR | Drawing List'!N:N,1)</f>
        <v>0</v>
      </c>
      <c r="AU214" s="616">
        <f>COUNTIFS('AR | Drawing List'!$H:$H,"AR-R11-1",'AR | Drawing List'!O:O,1)</f>
        <v>0</v>
      </c>
      <c r="AV214" s="616">
        <f>COUNTIFS('AR | Drawing List'!$H:$H,"AR-R11-1",'AR | Drawing List'!P:P,1)</f>
        <v>0</v>
      </c>
      <c r="AW214" s="328"/>
      <c r="AX214" s="616">
        <f t="shared" ref="AX214:AX218" si="1265">SUM(AY214:BB214)</f>
        <v>70</v>
      </c>
      <c r="AY214" s="616">
        <f>COUNTIFS('AR | Drawing List'!$H:$H,"AR-R11-1",'AR | Drawing List'!R:R,1)</f>
        <v>0</v>
      </c>
      <c r="AZ214" s="616">
        <f>COUNTIFS('AR | Drawing List'!$H:$H,"AR-R11-1",'AR | Drawing List'!S:S,1)</f>
        <v>0</v>
      </c>
      <c r="BA214" s="616">
        <f>COUNTIFS('AR | Drawing List'!$H:$H,"AR-R11-1",'AR | Drawing List'!T:T,1)</f>
        <v>70</v>
      </c>
      <c r="BB214" s="616">
        <f>COUNTIFS('AR | Drawing List'!$H:$H,"AR-R11-1",'AR | Drawing List'!U:U,1)</f>
        <v>0</v>
      </c>
      <c r="BC214" s="359"/>
      <c r="BD214" s="359"/>
      <c r="BE214" s="525">
        <v>0</v>
      </c>
      <c r="BF214" s="343"/>
      <c r="BG214" s="344"/>
      <c r="BH214" s="618">
        <f t="shared" si="1001"/>
        <v>0</v>
      </c>
      <c r="BI214" s="374"/>
      <c r="BJ214" s="374"/>
      <c r="BK214" s="615">
        <f t="shared" si="1219"/>
        <v>0</v>
      </c>
      <c r="BL214" s="615">
        <f t="shared" si="1220"/>
        <v>0</v>
      </c>
      <c r="BM214" s="615">
        <f t="shared" si="1221"/>
        <v>0</v>
      </c>
      <c r="BN214" s="615">
        <f t="shared" si="1222"/>
        <v>0</v>
      </c>
      <c r="BO214" s="339"/>
      <c r="BP214" s="615">
        <f t="shared" si="1223"/>
        <v>0</v>
      </c>
      <c r="BQ214" s="615">
        <f t="shared" si="1224"/>
        <v>0</v>
      </c>
      <c r="BR214" s="615">
        <f t="shared" si="1225"/>
        <v>0</v>
      </c>
      <c r="BS214" s="615">
        <f t="shared" si="1226"/>
        <v>0</v>
      </c>
      <c r="BT214" s="615">
        <f t="shared" si="1227"/>
        <v>0</v>
      </c>
      <c r="BU214" s="339"/>
      <c r="BV214" s="635">
        <f t="shared" ref="BV214:BV218" si="1266">IFERROR(CA214/BZ214,0)</f>
        <v>0</v>
      </c>
      <c r="BW214" s="635">
        <f t="shared" ref="BW214:BW218" si="1267">IFERROR(CB214/BZ214,0)</f>
        <v>0</v>
      </c>
      <c r="BX214" s="635">
        <f t="shared" ref="BX214:BX218" si="1268">IFERROR(CH214/BZ214,0)</f>
        <v>0</v>
      </c>
      <c r="BY214" s="345"/>
      <c r="BZ214" s="540"/>
      <c r="CA214" s="540"/>
      <c r="CB214" s="542"/>
      <c r="CC214" s="616">
        <f>COUNTIFS('ST | Drawing List'!$H:$H,"ST-T01-4",'ST | Drawing List'!M:M,1)</f>
        <v>0</v>
      </c>
      <c r="CD214" s="616">
        <f>COUNTIFS('ST | Drawing List'!$H:$H,"ST-T01-4",'ST | Drawing List'!N:N,1)</f>
        <v>0</v>
      </c>
      <c r="CE214" s="616">
        <f>COUNTIFS('ST | Drawing List'!$H:$H,"ST-T01-4",'ST | Drawing List'!O:O,1)</f>
        <v>0</v>
      </c>
      <c r="CF214" s="616">
        <f>COUNTIFS('ST | Drawing List'!$H:$H,"ST-T01-4",'ST | Drawing List'!P:P,1)</f>
        <v>0</v>
      </c>
      <c r="CG214" s="532"/>
      <c r="CH214" s="542"/>
      <c r="CI214" s="616">
        <f>COUNTIFS('ST | Drawing List'!$H:$H,"ST-T01-4",'ST | Drawing List'!R:R,1)</f>
        <v>0</v>
      </c>
      <c r="CJ214" s="616">
        <f>COUNTIFS('ST | Drawing List'!$H:$H,"ST-T01-4",'ST | Drawing List'!S:S,1)</f>
        <v>0</v>
      </c>
      <c r="CK214" s="616">
        <f>COUNTIFS('ST | Drawing List'!$H:$H,"ST-T01-4",'ST | Drawing List'!T:T,1)</f>
        <v>0</v>
      </c>
      <c r="CL214" s="616">
        <f>COUNTIFS('ST | Drawing List'!$H:$H,"ST-T01-4",'ST | Drawing List'!U:U,1)</f>
        <v>0</v>
      </c>
      <c r="CM214" s="343"/>
      <c r="CN214" s="343"/>
      <c r="CO214" s="635">
        <f t="shared" si="1262"/>
        <v>6.5000000000000002E-2</v>
      </c>
      <c r="CP214" s="343"/>
      <c r="CQ214" s="616">
        <f t="shared" si="1231"/>
        <v>0.16008637194067718</v>
      </c>
      <c r="CR214" s="618">
        <f t="shared" si="1002"/>
        <v>0</v>
      </c>
      <c r="CS214" s="615">
        <f t="shared" si="1232"/>
        <v>0</v>
      </c>
      <c r="CT214" s="615">
        <f t="shared" ref="CT214:CT218" si="1269">IFERROR(IF(AND((DF214+DG214)=100%,DF214&lt;1),CQ214,0),0)</f>
        <v>0.16008637194067718</v>
      </c>
      <c r="CU214" s="615">
        <f t="shared" ref="CU214:CU218" si="1270">IFERROR(IF(AND((DK214+DM214)=DJ214,CS214=0),CQ214,0),0)</f>
        <v>0.16008637194067718</v>
      </c>
      <c r="CV214" s="615">
        <f t="shared" ref="CV214:CV218" si="1271">IFERROR(IF(AND((DK214+DM214+DN214)=DJ214,CS214=0,CU214=0),CQ214,0),0)</f>
        <v>0</v>
      </c>
      <c r="CW214" s="615">
        <f t="shared" ref="CW214:CW218" si="1272">IFERROR(IF(AND((DK214+DM214+DN214+DO214)=DJ214,CS214=0,CU214=0,CV214=0),CQ214,0),0)</f>
        <v>0</v>
      </c>
      <c r="CX214" s="615">
        <f t="shared" ref="CX214:CX218" si="1273">IFERROR(IF(AND((DK214+DM214+DN214+DO214+DP214)=DJ214,CS214=0,CU214=0,CV214=0,CW214=0),CQ214,0),0)</f>
        <v>0</v>
      </c>
      <c r="CY214" s="339"/>
      <c r="CZ214" s="615">
        <f t="shared" ref="CZ214:CZ218" si="1274">IFERROR(IF(AND((DF214+DH214)=100%,DF214&lt;1),CQ214,0),0)</f>
        <v>0</v>
      </c>
      <c r="DA214" s="615">
        <f t="shared" ref="DA214:DA218" si="1275">IFERROR(IF(AND((DK214+DS214)=DJ214,CS214=0),CQ214,0),0)</f>
        <v>0</v>
      </c>
      <c r="DB214" s="615">
        <f t="shared" ref="DB214:DB218" si="1276">IFERROR(IF(AND((DK214+DS214+DT214)=DJ214,CS214=0,DA214=0),CQ214,0),0)</f>
        <v>0</v>
      </c>
      <c r="DC214" s="615">
        <f t="shared" ref="DC214:DC218" si="1277">IFERROR(IF(AND((DK214+DS214+DT214+DU214)=DJ214,CS214=0,DA214=0,DB214=0),CQ214,0),0)</f>
        <v>0</v>
      </c>
      <c r="DD214" s="615">
        <f t="shared" ref="DD214:DD218" si="1278">IFERROR(IF(AND((DK214+DS214+DT214+DU214+DV214)=DJ214,CS214=0,DA214=0,DB214=0,DC214=0),CQ214,0),0)</f>
        <v>0</v>
      </c>
      <c r="DE214" s="339"/>
      <c r="DF214" s="625">
        <f t="shared" ref="DF214:DF218" si="1279">IFERROR(DK214/DJ214,0)</f>
        <v>0</v>
      </c>
      <c r="DG214" s="625">
        <f t="shared" ref="DG214:DG218" si="1280">IFERROR(DL214/DJ214,0)</f>
        <v>1</v>
      </c>
      <c r="DH214" s="625">
        <f t="shared" ref="DH214:DH218" si="1281">IFERROR(DR214/DJ214,0)</f>
        <v>0</v>
      </c>
      <c r="DI214" s="345"/>
      <c r="DJ214" s="615">
        <f>COUNTIF('MEP | Drawing List'!$H:$H,"MEP-R11-1")</f>
        <v>13</v>
      </c>
      <c r="DK214" s="616">
        <f>COUNTIFS('MEP | Drawing List'!$H:$H,"MEP-R11-1",'MEP | Drawing List'!$J:$J,1)</f>
        <v>0</v>
      </c>
      <c r="DL214" s="616">
        <f>COUNTIFS('MEP | Drawing List'!$H:$H,"MEP-R11-1",'MEP | Drawing List'!$L:$L,1)</f>
        <v>13</v>
      </c>
      <c r="DM214" s="615">
        <f>COUNTIFS('MEP | Drawing List'!$H:$H,"MEP-R11-1",'MEP | Drawing List'!M:M,1)</f>
        <v>13</v>
      </c>
      <c r="DN214" s="615">
        <f>COUNTIFS('MEP | Drawing List'!$H:$H,"MEP-R11-1",'MEP | Drawing List'!N:N,1)</f>
        <v>0</v>
      </c>
      <c r="DO214" s="615">
        <f>COUNTIFS('MEP | Drawing List'!$H:$H,"MEP-R11-1",'MEP | Drawing List'!O:O,1)</f>
        <v>0</v>
      </c>
      <c r="DP214" s="615">
        <f>COUNTIFS('MEP | Drawing List'!$H:$H,"MEP-R11-1",'MEP | Drawing List'!P:P,1)</f>
        <v>0</v>
      </c>
      <c r="DQ214" s="339"/>
      <c r="DR214" s="616">
        <f>COUNTIFS('MEP | Drawing List'!$H:$H,"MEP-R11-1",'MEP | Drawing List'!$Q:$Q,1)</f>
        <v>0</v>
      </c>
      <c r="DS214" s="615">
        <f>COUNTIFS('MEP | Drawing List'!$H:$H,"MEP-R11-1",'MEP | Drawing List'!R:R,1)</f>
        <v>0</v>
      </c>
      <c r="DT214" s="615">
        <f>COUNTIFS('MEP | Drawing List'!$H:$H,"MEP-R11-1",'MEP | Drawing List'!S:S,1)</f>
        <v>0</v>
      </c>
      <c r="DU214" s="615">
        <f>COUNTIFS('MEP | Drawing List'!$H:$H,"MEP-R11-1",'MEP | Drawing List'!T:T,1)</f>
        <v>0</v>
      </c>
      <c r="DV214" s="615">
        <f>COUNTIFS('MEP | Drawing List'!$H:$H,"MEP-R11-1",'MEP | Drawing List'!U:U,1)</f>
        <v>0</v>
      </c>
      <c r="DW214" s="343"/>
      <c r="DX214" s="343"/>
      <c r="DY214" s="635">
        <f t="shared" si="1263"/>
        <v>5.5000000000000007E-2</v>
      </c>
      <c r="DZ214" s="343"/>
      <c r="EA214" s="616">
        <f t="shared" si="1246"/>
        <v>1.3775904450000003E-3</v>
      </c>
      <c r="EB214" s="618">
        <f t="shared" si="1003"/>
        <v>1.3775904450000003E-3</v>
      </c>
      <c r="EC214" s="615">
        <f t="shared" si="1247"/>
        <v>0</v>
      </c>
      <c r="ED214" s="615">
        <f t="shared" si="1248"/>
        <v>1.3775904450000003E-3</v>
      </c>
      <c r="EE214" s="615">
        <f t="shared" si="1249"/>
        <v>1.3775904450000003E-3</v>
      </c>
      <c r="EF214" s="615">
        <f t="shared" si="1250"/>
        <v>0</v>
      </c>
      <c r="EG214" s="615">
        <f t="shared" si="1251"/>
        <v>0</v>
      </c>
      <c r="EH214" s="615">
        <f t="shared" si="1252"/>
        <v>0</v>
      </c>
      <c r="EI214" s="339"/>
      <c r="EJ214" s="620">
        <f t="shared" ref="EJ214:EJ218" si="1282">IFERROR(IF(AND((EP214+ER214)=100%,EP214&lt;1),EA214,0),0)</f>
        <v>1.3775904450000003E-3</v>
      </c>
      <c r="EK214" s="615">
        <f t="shared" ref="EK214:EK218" si="1283">IFERROR(IF(AND((EU214+FC214)=ET214,EC214=0),EA214,0),0)</f>
        <v>0</v>
      </c>
      <c r="EL214" s="615">
        <f t="shared" ref="EL214:EL218" si="1284">IFERROR(IF(AND((EU214+FC214+FD214)=ET214,EC214=0,EK214=0),EA214,0),0)</f>
        <v>0</v>
      </c>
      <c r="EM214" s="615">
        <f t="shared" ref="EM214:EM218" si="1285">IFERROR(IF(AND((EU214+FC214+FD214+FE214)=ET214,EC214=0,EK214=0,EL214=0),EA214,0),0)</f>
        <v>0</v>
      </c>
      <c r="EN214" s="615">
        <f t="shared" ref="EN214:EN218" si="1286">IFERROR(IF(AND((EU214+FC214+FD214+FE214+FF214)=ET214,EC214=0,EK214=0,EL214=0,EM214=0),EA214,0),0)</f>
        <v>1.3775904450000003E-3</v>
      </c>
      <c r="EO214" s="339"/>
      <c r="EP214" s="627">
        <f t="shared" ref="EP214:EP218" si="1287">IFERROR(EU214/ET214,0)</f>
        <v>0</v>
      </c>
      <c r="EQ214" s="627">
        <f t="shared" ref="EQ214:EQ218" si="1288">IFERROR(EV214/ET214,0)</f>
        <v>1</v>
      </c>
      <c r="ER214" s="627">
        <f t="shared" ref="ER214:ER218" si="1289">IFERROR(FB214/ET214,0)</f>
        <v>1</v>
      </c>
      <c r="ES214" s="55"/>
      <c r="ET214" s="615">
        <f>COUNTIF('LS | Drawing List'!$H:$H,"LS-R11-1")</f>
        <v>10</v>
      </c>
      <c r="EU214" s="616">
        <f>COUNTIFS('LS | Drawing List'!$H:$H,"LS-R11-1",'LS | Drawing List'!$J:$J,1)</f>
        <v>0</v>
      </c>
      <c r="EV214" s="616">
        <f>COUNTIFS('LS | Drawing List'!$H:$H,"LS-R11-1",'LS | Drawing List'!$L:$L,1)</f>
        <v>10</v>
      </c>
      <c r="EW214" s="615">
        <f>COUNTIFS('LS | Drawing List'!$H:$H,"LS-R11-1",'LS | Drawing List'!M:M,1)</f>
        <v>10</v>
      </c>
      <c r="EX214" s="615">
        <f>COUNTIFS('LS | Drawing List'!$H:$H,"LS-R11-1",'LS | Drawing List'!N:N,1)</f>
        <v>0</v>
      </c>
      <c r="EY214" s="615">
        <f>COUNTIFS('LS | Drawing List'!$H:$H,"LS-R11-1",'LS | Drawing List'!O:O,1)</f>
        <v>0</v>
      </c>
      <c r="EZ214" s="615">
        <f>COUNTIFS('LS | Drawing List'!$H:$H,"LS-R11-1",'LS | Drawing List'!P:P,1)</f>
        <v>0</v>
      </c>
      <c r="FA214" s="81"/>
      <c r="FB214" s="616">
        <f>COUNTIFS('LS | Drawing List'!$H:$H,"LS-R11-1",'LS | Drawing List'!$Q:$Q,1)</f>
        <v>10</v>
      </c>
      <c r="FC214" s="615">
        <f>COUNTIFS('LS | Drawing List'!$H:$H,"LS-R11-1",'LS | Drawing List'!R:R,1)</f>
        <v>0</v>
      </c>
      <c r="FD214" s="615">
        <f>COUNTIFS('LS | Drawing List'!$H:$H,"LS-R11-1",'LS | Drawing List'!S:S,1)</f>
        <v>0</v>
      </c>
      <c r="FE214" s="615">
        <f>COUNTIFS('LS | Drawing List'!$H:$H,"LS-R11-1",'LS | Drawing List'!T:T,1)</f>
        <v>0</v>
      </c>
      <c r="FF214" s="615">
        <f>COUNTIFS('LS | Drawing List'!$H:$H,"LS-R11-1",'LS | Drawing List'!U:U,1)</f>
        <v>10</v>
      </c>
      <c r="FG214" s="48"/>
    </row>
    <row r="215" spans="1:163" s="95" customFormat="1" ht="14.25" outlineLevel="2">
      <c r="A215" s="89"/>
      <c r="B215" s="90" t="s">
        <v>252</v>
      </c>
      <c r="C215" s="277">
        <v>7</v>
      </c>
      <c r="D215" s="273" t="s">
        <v>197</v>
      </c>
      <c r="E215" s="89"/>
      <c r="F215" s="619">
        <f t="shared" si="1201"/>
        <v>1.343538962385677</v>
      </c>
      <c r="G215" s="619">
        <f t="shared" si="1202"/>
        <v>1.3775904450000003E-3</v>
      </c>
      <c r="H215" s="615">
        <f t="shared" si="1203"/>
        <v>1.3421613719406771</v>
      </c>
      <c r="I215" s="615">
        <f t="shared" si="1118"/>
        <v>1.343538962385677</v>
      </c>
      <c r="J215" s="615">
        <f t="shared" si="1119"/>
        <v>1.343538962385677</v>
      </c>
      <c r="K215" s="615">
        <f t="shared" si="1120"/>
        <v>0</v>
      </c>
      <c r="L215" s="615">
        <f t="shared" si="1121"/>
        <v>0</v>
      </c>
      <c r="M215" s="620">
        <f t="shared" si="1122"/>
        <v>0</v>
      </c>
      <c r="N215" s="287"/>
      <c r="O215" s="615">
        <f t="shared" si="1123"/>
        <v>1.3775904450000003E-3</v>
      </c>
      <c r="P215" s="615">
        <f t="shared" si="1124"/>
        <v>0</v>
      </c>
      <c r="Q215" s="615">
        <f t="shared" si="1125"/>
        <v>0</v>
      </c>
      <c r="R215" s="615">
        <f t="shared" si="1126"/>
        <v>0</v>
      </c>
      <c r="S215" s="615">
        <f t="shared" si="1127"/>
        <v>1.3775904450000003E-3</v>
      </c>
      <c r="T215" s="89"/>
      <c r="U215" s="635">
        <f t="shared" si="1261"/>
        <v>0.05</v>
      </c>
      <c r="V215" s="133"/>
      <c r="W215" s="628">
        <f t="shared" si="1204"/>
        <v>1.182075</v>
      </c>
      <c r="X215" s="628">
        <f t="shared" si="1000"/>
        <v>0</v>
      </c>
      <c r="Y215" s="620">
        <f t="shared" si="1205"/>
        <v>0</v>
      </c>
      <c r="Z215" s="620">
        <f t="shared" si="1206"/>
        <v>1.182075</v>
      </c>
      <c r="AA215" s="620">
        <f t="shared" si="1207"/>
        <v>1.182075</v>
      </c>
      <c r="AB215" s="620">
        <f t="shared" si="1208"/>
        <v>0</v>
      </c>
      <c r="AC215" s="620">
        <f t="shared" si="1209"/>
        <v>0</v>
      </c>
      <c r="AD215" s="620">
        <f t="shared" si="1210"/>
        <v>0</v>
      </c>
      <c r="AE215" s="287"/>
      <c r="AF215" s="615">
        <f t="shared" si="1211"/>
        <v>0</v>
      </c>
      <c r="AG215" s="615">
        <f t="shared" si="1212"/>
        <v>0</v>
      </c>
      <c r="AH215" s="615">
        <f t="shared" si="1213"/>
        <v>0</v>
      </c>
      <c r="AI215" s="615">
        <f t="shared" si="1214"/>
        <v>0</v>
      </c>
      <c r="AJ215" s="615">
        <f t="shared" si="1215"/>
        <v>0</v>
      </c>
      <c r="AK215" s="339"/>
      <c r="AL215" s="627">
        <f t="shared" si="1216"/>
        <v>0</v>
      </c>
      <c r="AM215" s="627">
        <f t="shared" si="1217"/>
        <v>1</v>
      </c>
      <c r="AN215" s="625">
        <f t="shared" si="1218"/>
        <v>0</v>
      </c>
      <c r="AO215" s="373"/>
      <c r="AP215" s="620">
        <f>COUNTIF('AR | Drawing List'!$H:$H,"AR-R22-1")</f>
        <v>70</v>
      </c>
      <c r="AQ215" s="621">
        <f>COUNTIFS('AR | Drawing List'!$H:$H,"AR-R22-1",'AR | Drawing List'!$J:$J,1)</f>
        <v>0</v>
      </c>
      <c r="AR215" s="621">
        <f t="shared" si="1264"/>
        <v>70</v>
      </c>
      <c r="AS215" s="621">
        <f>COUNTIFS('AR | Drawing List'!$H:$H,"AR-R22-1",'AR | Drawing List'!M:M,1)</f>
        <v>70</v>
      </c>
      <c r="AT215" s="621">
        <f>COUNTIFS('AR | Drawing List'!$H:$H,"AR-R22-1",'AR | Drawing List'!N:N,1)</f>
        <v>0</v>
      </c>
      <c r="AU215" s="621">
        <f>COUNTIFS('AR | Drawing List'!$H:$H,"AR-R22-1",'AR | Drawing List'!O:O,1)</f>
        <v>0</v>
      </c>
      <c r="AV215" s="621">
        <f>COUNTIFS('AR | Drawing List'!$H:$H,"AR-R22-1",'AR | Drawing List'!P:P,1)</f>
        <v>0</v>
      </c>
      <c r="AW215" s="366"/>
      <c r="AX215" s="621">
        <f t="shared" si="1265"/>
        <v>0</v>
      </c>
      <c r="AY215" s="621">
        <f>COUNTIFS('AR | Drawing List'!$H:$H,"AR-R22-1",'AR | Drawing List'!R:R,1)</f>
        <v>0</v>
      </c>
      <c r="AZ215" s="621">
        <f>COUNTIFS('AR | Drawing List'!$H:$H,"AR-R22-1",'AR | Drawing List'!S:S,1)</f>
        <v>0</v>
      </c>
      <c r="BA215" s="621">
        <f>COUNTIFS('AR | Drawing List'!$H:$H,"AR-R22-1",'AR | Drawing List'!T:T,1)</f>
        <v>0</v>
      </c>
      <c r="BB215" s="621">
        <f>COUNTIFS('AR | Drawing List'!$H:$H,"AR-R22-1",'AR | Drawing List'!U:U,1)</f>
        <v>0</v>
      </c>
      <c r="BC215" s="365"/>
      <c r="BD215" s="365"/>
      <c r="BE215" s="554">
        <v>0</v>
      </c>
      <c r="BF215" s="368"/>
      <c r="BG215" s="369"/>
      <c r="BH215" s="622">
        <f t="shared" si="1001"/>
        <v>0</v>
      </c>
      <c r="BI215" s="377"/>
      <c r="BJ215" s="377"/>
      <c r="BK215" s="615">
        <f t="shared" si="1219"/>
        <v>0</v>
      </c>
      <c r="BL215" s="615">
        <f t="shared" si="1220"/>
        <v>0</v>
      </c>
      <c r="BM215" s="615">
        <f t="shared" si="1221"/>
        <v>0</v>
      </c>
      <c r="BN215" s="615">
        <f t="shared" si="1222"/>
        <v>0</v>
      </c>
      <c r="BO215" s="339"/>
      <c r="BP215" s="615">
        <f t="shared" si="1223"/>
        <v>0</v>
      </c>
      <c r="BQ215" s="615">
        <f t="shared" si="1224"/>
        <v>0</v>
      </c>
      <c r="BR215" s="615">
        <f t="shared" si="1225"/>
        <v>0</v>
      </c>
      <c r="BS215" s="615">
        <f t="shared" si="1226"/>
        <v>0</v>
      </c>
      <c r="BT215" s="615">
        <f t="shared" si="1227"/>
        <v>0</v>
      </c>
      <c r="BU215" s="339"/>
      <c r="BV215" s="635">
        <f t="shared" si="1266"/>
        <v>0</v>
      </c>
      <c r="BW215" s="635">
        <f t="shared" si="1267"/>
        <v>0</v>
      </c>
      <c r="BX215" s="635">
        <f t="shared" si="1268"/>
        <v>0</v>
      </c>
      <c r="BY215" s="373"/>
      <c r="BZ215" s="543"/>
      <c r="CA215" s="543"/>
      <c r="CB215" s="548"/>
      <c r="CC215" s="621">
        <f>COUNTIFS('ST | Drawing List'!$H:$H,"ST-T01-5",'ST | Drawing List'!M:M,1)</f>
        <v>0</v>
      </c>
      <c r="CD215" s="621">
        <f>COUNTIFS('ST | Drawing List'!$H:$H,"ST-T01-5",'ST | Drawing List'!N:N,1)</f>
        <v>0</v>
      </c>
      <c r="CE215" s="621">
        <f>COUNTIFS('ST | Drawing List'!$H:$H,"ST-T01-5",'ST | Drawing List'!O:O,1)</f>
        <v>0</v>
      </c>
      <c r="CF215" s="621">
        <f>COUNTIFS('ST | Drawing List'!$H:$H,"ST-T01-5",'ST | Drawing List'!P:P,1)</f>
        <v>0</v>
      </c>
      <c r="CG215" s="541"/>
      <c r="CH215" s="548"/>
      <c r="CI215" s="621">
        <f>COUNTIFS('ST | Drawing List'!$H:$H,"ST-T01-5",'ST | Drawing List'!R:R,1)</f>
        <v>0</v>
      </c>
      <c r="CJ215" s="621">
        <f>COUNTIFS('ST | Drawing List'!$H:$H,"ST-T01-5",'ST | Drawing List'!S:S,1)</f>
        <v>0</v>
      </c>
      <c r="CK215" s="621">
        <f>COUNTIFS('ST | Drawing List'!$H:$H,"ST-T01-5",'ST | Drawing List'!T:T,1)</f>
        <v>0</v>
      </c>
      <c r="CL215" s="621">
        <f>COUNTIFS('ST | Drawing List'!$H:$H,"ST-T01-5",'ST | Drawing List'!U:U,1)</f>
        <v>0</v>
      </c>
      <c r="CM215" s="368"/>
      <c r="CN215" s="368"/>
      <c r="CO215" s="635">
        <f t="shared" si="1262"/>
        <v>6.5000000000000002E-2</v>
      </c>
      <c r="CP215" s="368"/>
      <c r="CQ215" s="621">
        <f t="shared" si="1231"/>
        <v>0.16008637194067718</v>
      </c>
      <c r="CR215" s="622">
        <f t="shared" si="1002"/>
        <v>0</v>
      </c>
      <c r="CS215" s="620">
        <f t="shared" si="1232"/>
        <v>0</v>
      </c>
      <c r="CT215" s="615">
        <f t="shared" si="1269"/>
        <v>0.16008637194067718</v>
      </c>
      <c r="CU215" s="615">
        <f t="shared" si="1270"/>
        <v>0.16008637194067718</v>
      </c>
      <c r="CV215" s="615">
        <f t="shared" si="1271"/>
        <v>0</v>
      </c>
      <c r="CW215" s="615">
        <f t="shared" si="1272"/>
        <v>0</v>
      </c>
      <c r="CX215" s="615">
        <f t="shared" si="1273"/>
        <v>0</v>
      </c>
      <c r="CY215" s="339"/>
      <c r="CZ215" s="615">
        <f t="shared" si="1274"/>
        <v>0</v>
      </c>
      <c r="DA215" s="615">
        <f t="shared" si="1275"/>
        <v>0</v>
      </c>
      <c r="DB215" s="615">
        <f t="shared" si="1276"/>
        <v>0</v>
      </c>
      <c r="DC215" s="615">
        <f t="shared" si="1277"/>
        <v>0</v>
      </c>
      <c r="DD215" s="615">
        <f t="shared" si="1278"/>
        <v>0</v>
      </c>
      <c r="DE215" s="339"/>
      <c r="DF215" s="625">
        <f t="shared" si="1279"/>
        <v>0</v>
      </c>
      <c r="DG215" s="625">
        <f t="shared" si="1280"/>
        <v>1</v>
      </c>
      <c r="DH215" s="625">
        <f t="shared" si="1281"/>
        <v>0</v>
      </c>
      <c r="DI215" s="373"/>
      <c r="DJ215" s="620">
        <f>COUNTIF('MEP | Drawing List'!$H:$H,"MEP-R22-1")</f>
        <v>13</v>
      </c>
      <c r="DK215" s="621">
        <f>COUNTIFS('MEP | Drawing List'!$H:$H,"MEP-R22-1",'MEP | Drawing List'!$J:$J,1)</f>
        <v>0</v>
      </c>
      <c r="DL215" s="621">
        <f>COUNTIFS('MEP | Drawing List'!$H:$H,"MEP-R22-1",'MEP | Drawing List'!$L:$L,1)</f>
        <v>13</v>
      </c>
      <c r="DM215" s="620">
        <f>COUNTIFS('MEP | Drawing List'!$H:$H,"MEP-R22-1",'MEP | Drawing List'!M:M,1)</f>
        <v>13</v>
      </c>
      <c r="DN215" s="620">
        <f>COUNTIFS('MEP | Drawing List'!$H:$H,"MEP-R22-1",'MEP | Drawing List'!N:N,1)</f>
        <v>0</v>
      </c>
      <c r="DO215" s="620">
        <f>COUNTIFS('MEP | Drawing List'!$H:$H,"MEP-R22-1",'MEP | Drawing List'!O:O,1)</f>
        <v>0</v>
      </c>
      <c r="DP215" s="620">
        <f>COUNTIFS('MEP | Drawing List'!$H:$H,"MEP-R22-1",'MEP | Drawing List'!P:P,1)</f>
        <v>0</v>
      </c>
      <c r="DQ215" s="287"/>
      <c r="DR215" s="621">
        <f>COUNTIFS('MEP | Drawing List'!$H:$H,"MEP-R22-1",'MEP | Drawing List'!$Q:$Q,1)</f>
        <v>0</v>
      </c>
      <c r="DS215" s="620">
        <f>COUNTIFS('MEP | Drawing List'!$H:$H,"MEP-R22-1",'MEP | Drawing List'!R:R,1)</f>
        <v>0</v>
      </c>
      <c r="DT215" s="620">
        <f>COUNTIFS('MEP | Drawing List'!$H:$H,"MEP-R22-1",'MEP | Drawing List'!S:S,1)</f>
        <v>0</v>
      </c>
      <c r="DU215" s="620">
        <f>COUNTIFS('MEP | Drawing List'!$H:$H,"MEP-R22-1",'MEP | Drawing List'!T:T,1)</f>
        <v>0</v>
      </c>
      <c r="DV215" s="620">
        <f>COUNTIFS('MEP | Drawing List'!$H:$H,"MEP-R22-1",'MEP | Drawing List'!U:U,1)</f>
        <v>0</v>
      </c>
      <c r="DW215" s="368"/>
      <c r="DX215" s="368"/>
      <c r="DY215" s="635">
        <f t="shared" si="1263"/>
        <v>5.5000000000000007E-2</v>
      </c>
      <c r="DZ215" s="368"/>
      <c r="EA215" s="621">
        <f t="shared" si="1246"/>
        <v>1.3775904450000003E-3</v>
      </c>
      <c r="EB215" s="622">
        <f t="shared" si="1003"/>
        <v>1.3775904450000003E-3</v>
      </c>
      <c r="EC215" s="620">
        <f t="shared" si="1247"/>
        <v>0</v>
      </c>
      <c r="ED215" s="620">
        <f t="shared" si="1248"/>
        <v>1.3775904450000003E-3</v>
      </c>
      <c r="EE215" s="615">
        <f t="shared" si="1249"/>
        <v>1.3775904450000003E-3</v>
      </c>
      <c r="EF215" s="615">
        <f t="shared" si="1250"/>
        <v>0</v>
      </c>
      <c r="EG215" s="615">
        <f t="shared" si="1251"/>
        <v>0</v>
      </c>
      <c r="EH215" s="615">
        <f t="shared" si="1252"/>
        <v>0</v>
      </c>
      <c r="EI215" s="339"/>
      <c r="EJ215" s="620">
        <f t="shared" si="1282"/>
        <v>1.3775904450000003E-3</v>
      </c>
      <c r="EK215" s="615">
        <f t="shared" si="1283"/>
        <v>0</v>
      </c>
      <c r="EL215" s="615">
        <f t="shared" si="1284"/>
        <v>0</v>
      </c>
      <c r="EM215" s="615">
        <f t="shared" si="1285"/>
        <v>0</v>
      </c>
      <c r="EN215" s="615">
        <f t="shared" si="1286"/>
        <v>1.3775904450000003E-3</v>
      </c>
      <c r="EO215" s="339"/>
      <c r="EP215" s="627">
        <f t="shared" si="1287"/>
        <v>0</v>
      </c>
      <c r="EQ215" s="627">
        <f t="shared" si="1288"/>
        <v>1</v>
      </c>
      <c r="ER215" s="627">
        <f t="shared" si="1289"/>
        <v>1</v>
      </c>
      <c r="ES215" s="99"/>
      <c r="ET215" s="620">
        <f>COUNTIF('LS | Drawing List'!$H:$H,"LS-R22-1")</f>
        <v>10</v>
      </c>
      <c r="EU215" s="621">
        <f>COUNTIFS('LS | Drawing List'!$H:$H,"LS-R22-1",'LS | Drawing List'!$J:$J,1)</f>
        <v>0</v>
      </c>
      <c r="EV215" s="621">
        <f>COUNTIFS('LS | Drawing List'!$H:$H,"LS-R22-1",'LS | Drawing List'!$L:$L,1)</f>
        <v>10</v>
      </c>
      <c r="EW215" s="620">
        <f>COUNTIFS('LS | Drawing List'!$H:$H,"LS-R22-1",'LS | Drawing List'!M:M,1)</f>
        <v>10</v>
      </c>
      <c r="EX215" s="620">
        <f>COUNTIFS('LS | Drawing List'!$H:$H,"LS-R22-1",'LS | Drawing List'!N:N,1)</f>
        <v>0</v>
      </c>
      <c r="EY215" s="620">
        <f>COUNTIFS('LS | Drawing List'!$H:$H,"LS-R22-1",'LS | Drawing List'!O:O,1)</f>
        <v>0</v>
      </c>
      <c r="EZ215" s="620">
        <f>COUNTIFS('LS | Drawing List'!$H:$H,"LS-R22-1",'LS | Drawing List'!P:P,1)</f>
        <v>0</v>
      </c>
      <c r="FA215" s="91"/>
      <c r="FB215" s="621">
        <f>COUNTIFS('LS | Drawing List'!$H:$H,"LS-R22-1",'LS | Drawing List'!$Q:$Q,1)</f>
        <v>10</v>
      </c>
      <c r="FC215" s="620">
        <f>COUNTIFS('LS | Drawing List'!$H:$H,"LS-R22-1",'LS | Drawing List'!R:R,1)</f>
        <v>0</v>
      </c>
      <c r="FD215" s="620">
        <f>COUNTIFS('LS | Drawing List'!$H:$H,"LS-R22-1",'LS | Drawing List'!S:S,1)</f>
        <v>0</v>
      </c>
      <c r="FE215" s="620">
        <f>COUNTIFS('LS | Drawing List'!$H:$H,"LS-R22-1",'LS | Drawing List'!T:T,1)</f>
        <v>0</v>
      </c>
      <c r="FF215" s="620">
        <f>COUNTIFS('LS | Drawing List'!$H:$H,"LS-R22-1",'LS | Drawing List'!U:U,1)</f>
        <v>10</v>
      </c>
      <c r="FG215" s="89"/>
    </row>
    <row r="216" spans="1:163" ht="14.25" hidden="1" outlineLevel="2">
      <c r="A216" s="48"/>
      <c r="B216" s="87" t="s">
        <v>253</v>
      </c>
      <c r="C216" s="276">
        <v>8</v>
      </c>
      <c r="D216" s="273" t="s">
        <v>198</v>
      </c>
      <c r="E216" s="48"/>
      <c r="F216" s="619">
        <f t="shared" si="1201"/>
        <v>1.343538962385677</v>
      </c>
      <c r="G216" s="619">
        <f t="shared" si="1202"/>
        <v>1.343538962385677</v>
      </c>
      <c r="H216" s="615">
        <f t="shared" si="1203"/>
        <v>0</v>
      </c>
      <c r="I216" s="615">
        <f t="shared" si="1118"/>
        <v>1.343538962385677</v>
      </c>
      <c r="J216" s="615">
        <f t="shared" si="1119"/>
        <v>1.343538962385677</v>
      </c>
      <c r="K216" s="615">
        <f t="shared" si="1120"/>
        <v>0</v>
      </c>
      <c r="L216" s="615">
        <f t="shared" si="1121"/>
        <v>0</v>
      </c>
      <c r="M216" s="620">
        <f t="shared" si="1122"/>
        <v>0</v>
      </c>
      <c r="N216" s="287"/>
      <c r="O216" s="615">
        <f t="shared" si="1123"/>
        <v>1.343538962385677</v>
      </c>
      <c r="P216" s="615">
        <f t="shared" si="1124"/>
        <v>0</v>
      </c>
      <c r="Q216" s="615">
        <f t="shared" si="1125"/>
        <v>1.183452590445</v>
      </c>
      <c r="R216" s="615">
        <f t="shared" si="1126"/>
        <v>0</v>
      </c>
      <c r="S216" s="615">
        <f t="shared" si="1127"/>
        <v>0.16008637194067718</v>
      </c>
      <c r="T216" s="48"/>
      <c r="U216" s="635">
        <f t="shared" si="1261"/>
        <v>0.05</v>
      </c>
      <c r="V216" s="131"/>
      <c r="W216" s="619">
        <f t="shared" ref="W216:W218" si="1290">$W$208/$U$208*U216</f>
        <v>1.182075</v>
      </c>
      <c r="X216" s="619">
        <f t="shared" ref="X216:X218" si="1291">Y216+AF216</f>
        <v>1.182075</v>
      </c>
      <c r="Y216" s="615">
        <f t="shared" ref="Y216:Y218" si="1292">IFERROR(IF(AL216=100%,W216,0),0)</f>
        <v>0</v>
      </c>
      <c r="Z216" s="615">
        <f t="shared" ref="Z216:Z218" si="1293">IFERROR(IF(AND((AL216+AM216)=100%,AL216&lt;1),W216,0),0)</f>
        <v>1.182075</v>
      </c>
      <c r="AA216" s="615">
        <f t="shared" ref="AA216:AA218" si="1294">IFERROR(IF(AND((AQ216+AS216)=AP216,Y216=0),W216,0),0)</f>
        <v>1.182075</v>
      </c>
      <c r="AB216" s="615">
        <f t="shared" ref="AB216:AB218" si="1295">IFERROR(IF(AND((AQ216+AS216+AT216)=AP216,Y216=0,AA216=0),W216,0),0)</f>
        <v>0</v>
      </c>
      <c r="AC216" s="615">
        <f t="shared" ref="AC216:AC218" si="1296">IFERROR(IF(AND((AQ216+AS216+AT216+AU216)=AP216,Y216=0,AA216=0,AB216=0),W216,0),0)</f>
        <v>0</v>
      </c>
      <c r="AD216" s="620">
        <f t="shared" ref="AD216:AD218" si="1297">IFERROR(IF(AND((AQ216+AS216+AT216+AU216+AV216)=AP216,Y216=0,AA216=0,AB216=0,AC216=0),W216,0),0)</f>
        <v>0</v>
      </c>
      <c r="AE216" s="287"/>
      <c r="AF216" s="615">
        <f t="shared" ref="AF216:AF218" si="1298">IFERROR(IF(AND((AL216+AN216)=100%,AL216&lt;1),W216,0),0)</f>
        <v>1.182075</v>
      </c>
      <c r="AG216" s="615">
        <f t="shared" ref="AG216:AG218" si="1299">IFERROR(IF(AND((AQ216+AY216)=AP216,Y216=0),W216,0),0)</f>
        <v>0</v>
      </c>
      <c r="AH216" s="615">
        <f t="shared" ref="AH216:AH218" si="1300">IFERROR(IF(AND((AQ216+AY216+AZ216)=AP216,Y216=0,AG216=0),W216,0),0)</f>
        <v>1.182075</v>
      </c>
      <c r="AI216" s="615">
        <f t="shared" ref="AI216:AI218" si="1301">IFERROR(IF(AND((AQ216+AY216+AZ216+BA216)=AP216,Y216=0,AG216=0,AH216=0),W216,0),0)</f>
        <v>0</v>
      </c>
      <c r="AJ216" s="615">
        <f t="shared" ref="AJ216:AJ218" si="1302">IFERROR(IF(AND((AQ216+AY216+AZ216+BA216+BB216)=AP216,Y216=0,AG216=0,AH216=0,AI216=0),W216,0),0)</f>
        <v>0</v>
      </c>
      <c r="AK216" s="339"/>
      <c r="AL216" s="625">
        <f t="shared" ref="AL216:AL218" si="1303">IFERROR(AQ216/AP216,0)</f>
        <v>0</v>
      </c>
      <c r="AM216" s="625">
        <f t="shared" ref="AM216:AM218" si="1304">IFERROR(AR216/AP216,0)</f>
        <v>1</v>
      </c>
      <c r="AN216" s="625">
        <f t="shared" ref="AN216:AN218" si="1305">IFERROR(AX216/AP216,0)</f>
        <v>1</v>
      </c>
      <c r="AO216" s="345"/>
      <c r="AP216" s="615">
        <f>COUNTIF('AR | Drawing List'!$H:$H,"AR-C20P-1")</f>
        <v>70</v>
      </c>
      <c r="AQ216" s="616">
        <f>COUNTIFS('AR | Drawing List'!$H:$H,"AR-C20P-1",'AR | Drawing List'!$J:$J,1)</f>
        <v>0</v>
      </c>
      <c r="AR216" s="616">
        <f t="shared" ref="AR216:AR218" si="1306">SUM(AS216:AV216)</f>
        <v>70</v>
      </c>
      <c r="AS216" s="616">
        <f>COUNTIFS('AR | Drawing List'!$H:$H,"AR-C20P-1",'AR | Drawing List'!M:M,1)</f>
        <v>70</v>
      </c>
      <c r="AT216" s="616">
        <f>COUNTIFS('AR | Drawing List'!$H:$H,"AR-C20P-1",'AR | Drawing List'!N:N,1)</f>
        <v>0</v>
      </c>
      <c r="AU216" s="616">
        <f>COUNTIFS('AR | Drawing List'!$H:$H,"AR-C20P-1",'AR | Drawing List'!O:O,1)</f>
        <v>0</v>
      </c>
      <c r="AV216" s="616">
        <f>COUNTIFS('AR | Drawing List'!$H:$H,"AR-C20P-1",'AR | Drawing List'!P:P,1)</f>
        <v>0</v>
      </c>
      <c r="AW216" s="328"/>
      <c r="AX216" s="616">
        <f t="shared" si="1265"/>
        <v>70</v>
      </c>
      <c r="AY216" s="616">
        <f>COUNTIFS('AR | Drawing List'!$H:$H,"AR-C20P-1",'AR | Drawing List'!R:R,1)</f>
        <v>0</v>
      </c>
      <c r="AZ216" s="616">
        <f>COUNTIFS('AR | Drawing List'!$H:$H,"AR-C20P-1",'AR | Drawing List'!S:S,1)</f>
        <v>70</v>
      </c>
      <c r="BA216" s="616">
        <f>COUNTIFS('AR | Drawing List'!$H:$H,"AR-C20P-1",'AR | Drawing List'!T:T,1)</f>
        <v>0</v>
      </c>
      <c r="BB216" s="616">
        <f>COUNTIFS('AR | Drawing List'!$H:$H,"AR-C20P-1",'AR | Drawing List'!U:U,1)</f>
        <v>0</v>
      </c>
      <c r="BC216" s="359"/>
      <c r="BD216" s="359"/>
      <c r="BE216" s="525">
        <v>0</v>
      </c>
      <c r="BF216" s="343"/>
      <c r="BG216" s="344"/>
      <c r="BH216" s="618">
        <f t="shared" ref="BH216:BH218" si="1307">BI216+BP216</f>
        <v>0</v>
      </c>
      <c r="BI216" s="374"/>
      <c r="BJ216" s="374"/>
      <c r="BK216" s="615">
        <f t="shared" ref="BK216:BK218" si="1308">IFERROR(IF(AND((CA216+CC216)=BZ216,BI216=0),BG216,0),0)</f>
        <v>0</v>
      </c>
      <c r="BL216" s="615">
        <f t="shared" ref="BL216:BL218" si="1309">IFERROR(IF(AND((CA216+CC216+CD216)=BZ216,BI216=0,BK216=0),BG216,0),0)</f>
        <v>0</v>
      </c>
      <c r="BM216" s="615">
        <f t="shared" ref="BM216:BM218" si="1310">IFERROR(IF(AND((CA216+CC216+CD216+CE216)=BZ216,BI216=0,BK216=0,BL216=0),BG216,0),0)</f>
        <v>0</v>
      </c>
      <c r="BN216" s="615">
        <f t="shared" ref="BN216:BN218" si="1311">IFERROR(IF(AND((CA216+CC216+CD216+CE216+CF216)=BZ216,BI216=0,BK216=0,BL216=0,BM216=0),BG216,0),0)</f>
        <v>0</v>
      </c>
      <c r="BO216" s="339"/>
      <c r="BP216" s="615">
        <f t="shared" ref="BP216:BP218" si="1312">IFERROR(IF(AND((BV216+BX216)=100%,BV216&lt;1),BG216,0),0)</f>
        <v>0</v>
      </c>
      <c r="BQ216" s="615">
        <f t="shared" ref="BQ216:BQ218" si="1313">IFERROR(IF(AND((CA216+CI216)=BZ216,BI216=0),BG216,0),0)</f>
        <v>0</v>
      </c>
      <c r="BR216" s="615">
        <f t="shared" ref="BR216:BR218" si="1314">IFERROR(IF(AND((CA216+CI216+CJ216)=BZ216,BI216=0,BQ216=0),BG216,0),0)</f>
        <v>0</v>
      </c>
      <c r="BS216" s="615">
        <f t="shared" ref="BS216:BS218" si="1315">IFERROR(IF(AND((CA216+CI216+CJ216+CK216)=BZ216,BI216=0,BQ216=0,BR216=0),BG216,0),0)</f>
        <v>0</v>
      </c>
      <c r="BT216" s="615">
        <f t="shared" ref="BT216:BT218" si="1316">IFERROR(IF(AND((CA216+CI216+CJ216+CK216+CL216)=BZ216,BI216=0,BQ216=0,BR216=0,BS216=0),BG216,0),0)</f>
        <v>0</v>
      </c>
      <c r="BU216" s="339"/>
      <c r="BV216" s="635">
        <f t="shared" si="1266"/>
        <v>0</v>
      </c>
      <c r="BW216" s="635">
        <f t="shared" si="1267"/>
        <v>0</v>
      </c>
      <c r="BX216" s="635">
        <f t="shared" si="1268"/>
        <v>0</v>
      </c>
      <c r="BY216" s="345"/>
      <c r="BZ216" s="540"/>
      <c r="CA216" s="540"/>
      <c r="CB216" s="542"/>
      <c r="CC216" s="616">
        <f>COUNTIFS('ST | Drawing List'!$H:$H,"ST-T01-1",'ST | Drawing List'!M:M,1)</f>
        <v>0</v>
      </c>
      <c r="CD216" s="616">
        <f>COUNTIFS('ST | Drawing List'!$H:$H,"ST-T01-1",'ST | Drawing List'!N:N,1)</f>
        <v>0</v>
      </c>
      <c r="CE216" s="616">
        <f>COUNTIFS('ST | Drawing List'!$H:$H,"ST-T01-1",'ST | Drawing List'!O:O,1)</f>
        <v>0</v>
      </c>
      <c r="CF216" s="616">
        <f>COUNTIFS('ST | Drawing List'!$H:$H,"ST-T01-1",'ST | Drawing List'!P:P,1)</f>
        <v>0</v>
      </c>
      <c r="CG216" s="532"/>
      <c r="CH216" s="542"/>
      <c r="CI216" s="616">
        <f>COUNTIFS('ST | Drawing List'!$H:$H,"ST-T01-1",'ST | Drawing List'!R:R,1)</f>
        <v>0</v>
      </c>
      <c r="CJ216" s="616">
        <f>COUNTIFS('ST | Drawing List'!$H:$H,"ST-T01-1",'ST | Drawing List'!S:S,1)</f>
        <v>0</v>
      </c>
      <c r="CK216" s="616">
        <f>COUNTIFS('ST | Drawing List'!$H:$H,"ST-T01-1",'ST | Drawing List'!T:T,1)</f>
        <v>0</v>
      </c>
      <c r="CL216" s="616">
        <f>COUNTIFS('ST | Drawing List'!$H:$H,"ST-T01-1",'ST | Drawing List'!U:U,1)</f>
        <v>0</v>
      </c>
      <c r="CM216" s="343"/>
      <c r="CN216" s="343"/>
      <c r="CO216" s="635">
        <f t="shared" si="1262"/>
        <v>6.5000000000000002E-2</v>
      </c>
      <c r="CP216" s="343"/>
      <c r="CQ216" s="616">
        <f t="shared" ref="CQ216:CQ218" si="1317">$CQ$208/$CO$208*CO216</f>
        <v>0.16008637194067718</v>
      </c>
      <c r="CR216" s="618">
        <f t="shared" ref="CR216:CR218" si="1318">CS216+CZ216</f>
        <v>0.16008637194067718</v>
      </c>
      <c r="CS216" s="615">
        <f t="shared" ref="CS216:CS218" si="1319">IFERROR(IF(DF216=100%,CQ216,0),0)</f>
        <v>0</v>
      </c>
      <c r="CT216" s="615">
        <f t="shared" si="1269"/>
        <v>0.16008637194067718</v>
      </c>
      <c r="CU216" s="615">
        <f t="shared" si="1270"/>
        <v>0.16008637194067718</v>
      </c>
      <c r="CV216" s="615">
        <f t="shared" si="1271"/>
        <v>0</v>
      </c>
      <c r="CW216" s="615">
        <f t="shared" si="1272"/>
        <v>0</v>
      </c>
      <c r="CX216" s="615">
        <f t="shared" si="1273"/>
        <v>0</v>
      </c>
      <c r="CY216" s="339"/>
      <c r="CZ216" s="615">
        <f t="shared" si="1274"/>
        <v>0.16008637194067718</v>
      </c>
      <c r="DA216" s="615">
        <f t="shared" si="1275"/>
        <v>0</v>
      </c>
      <c r="DB216" s="615">
        <f t="shared" si="1276"/>
        <v>0</v>
      </c>
      <c r="DC216" s="615">
        <f t="shared" si="1277"/>
        <v>0</v>
      </c>
      <c r="DD216" s="615">
        <f t="shared" si="1278"/>
        <v>0.16008637194067718</v>
      </c>
      <c r="DE216" s="339"/>
      <c r="DF216" s="625">
        <f t="shared" si="1279"/>
        <v>0</v>
      </c>
      <c r="DG216" s="625">
        <f t="shared" si="1280"/>
        <v>1</v>
      </c>
      <c r="DH216" s="625">
        <f t="shared" si="1281"/>
        <v>1</v>
      </c>
      <c r="DI216" s="345"/>
      <c r="DJ216" s="615">
        <f>COUNTIF('MEP | Drawing List'!$H:$H,"MEP-C20P-1")</f>
        <v>24</v>
      </c>
      <c r="DK216" s="616">
        <f>COUNTIFS('MEP | Drawing List'!$H:$H,"MEP-C20P-1",'MEP | Drawing List'!$J:$J,1)</f>
        <v>0</v>
      </c>
      <c r="DL216" s="616">
        <f>COUNTIFS('MEP | Drawing List'!$H:$H,"MEP-C20P-1",'MEP | Drawing List'!$L:$L,1)</f>
        <v>24</v>
      </c>
      <c r="DM216" s="615">
        <f>COUNTIFS('MEP | Drawing List'!$H:$H,"MEP-C20P-1",'MEP | Drawing List'!M:M,1)</f>
        <v>24</v>
      </c>
      <c r="DN216" s="615">
        <f>COUNTIFS('MEP | Drawing List'!$H:$H,"MEP-C20P-1",'MEP | Drawing List'!N:N,1)</f>
        <v>0</v>
      </c>
      <c r="DO216" s="615">
        <f>COUNTIFS('MEP | Drawing List'!$H:$H,"MEP-C20P-1",'MEP | Drawing List'!O:O,1)</f>
        <v>0</v>
      </c>
      <c r="DP216" s="615">
        <f>COUNTIFS('MEP | Drawing List'!$H:$H,"MEP-C20P-1",'MEP | Drawing List'!P:P,1)</f>
        <v>0</v>
      </c>
      <c r="DQ216" s="339"/>
      <c r="DR216" s="616">
        <f>COUNTIFS('MEP | Drawing List'!$H:$H,"MEP-C20P-1",'MEP | Drawing List'!$Q:$Q,1)</f>
        <v>24</v>
      </c>
      <c r="DS216" s="615">
        <f>COUNTIFS('MEP | Drawing List'!$H:$H,"MEP-C20P-1",'MEP | Drawing List'!R:R,1)</f>
        <v>1</v>
      </c>
      <c r="DT216" s="615">
        <f>COUNTIFS('MEP | Drawing List'!$H:$H,"MEP-C20P-1",'MEP | Drawing List'!S:S,1)</f>
        <v>0</v>
      </c>
      <c r="DU216" s="615">
        <f>COUNTIFS('MEP | Drawing List'!$H:$H,"MEP-C20P-1",'MEP | Drawing List'!T:T,1)</f>
        <v>0</v>
      </c>
      <c r="DV216" s="615">
        <f>COUNTIFS('MEP | Drawing List'!$H:$H,"MEP-C20P-1",'MEP | Drawing List'!U:U,1)</f>
        <v>23</v>
      </c>
      <c r="DW216" s="343"/>
      <c r="DX216" s="343"/>
      <c r="DY216" s="635">
        <f t="shared" si="1263"/>
        <v>5.5000000000000007E-2</v>
      </c>
      <c r="DZ216" s="343"/>
      <c r="EA216" s="616">
        <f t="shared" ref="EA216:EA218" si="1320">$EA$208/$DY$208*DY216</f>
        <v>1.3775904450000003E-3</v>
      </c>
      <c r="EB216" s="618">
        <f t="shared" ref="EB216:EB218" si="1321">EC216+EJ216</f>
        <v>1.3775904450000003E-3</v>
      </c>
      <c r="EC216" s="615">
        <f t="shared" ref="EC216:EC218" si="1322">IFERROR(IF(EP216=100%,EA216,0),0)</f>
        <v>0</v>
      </c>
      <c r="ED216" s="615">
        <f t="shared" ref="ED216:ED218" si="1323">IFERROR(IF(AND((EP216+EQ216)=100%,EP216&lt;1),EA216,0),0)</f>
        <v>1.3775904450000003E-3</v>
      </c>
      <c r="EE216" s="615">
        <f t="shared" ref="EE216:EE218" si="1324">IFERROR(IF(AND((EU216+EW216)=ET216,EC216=0),EA216,0),0)</f>
        <v>1.3775904450000003E-3</v>
      </c>
      <c r="EF216" s="615">
        <f t="shared" ref="EF216:EF218" si="1325">IFERROR(IF(AND((EU216+EW216+EX216)=ET216,EC216=0,EE216=0),EA216,0),0)</f>
        <v>0</v>
      </c>
      <c r="EG216" s="615">
        <f t="shared" ref="EG216:EG218" si="1326">IFERROR(IF(AND((EU216+EW216+EX216+EY216)=ET216,EC216=0,EE216=0,EF216=0),EA216,0),0)</f>
        <v>0</v>
      </c>
      <c r="EH216" s="615">
        <f t="shared" ref="EH216:EH218" si="1327">IFERROR(IF(AND((EU216+EW216+EX216+EY216+EZ216)=ET216,EC216=0,EE216=0,EF216=0,EG216=0),EA216,0),0)</f>
        <v>0</v>
      </c>
      <c r="EI216" s="339"/>
      <c r="EJ216" s="620">
        <f t="shared" si="1282"/>
        <v>1.3775904450000003E-3</v>
      </c>
      <c r="EK216" s="615">
        <f t="shared" si="1283"/>
        <v>0</v>
      </c>
      <c r="EL216" s="615">
        <f t="shared" si="1284"/>
        <v>1.3775904450000003E-3</v>
      </c>
      <c r="EM216" s="615">
        <f t="shared" si="1285"/>
        <v>0</v>
      </c>
      <c r="EN216" s="615">
        <f t="shared" si="1286"/>
        <v>0</v>
      </c>
      <c r="EO216" s="339"/>
      <c r="EP216" s="627">
        <f t="shared" si="1287"/>
        <v>0</v>
      </c>
      <c r="EQ216" s="627">
        <f t="shared" si="1288"/>
        <v>1</v>
      </c>
      <c r="ER216" s="627">
        <f t="shared" si="1289"/>
        <v>1</v>
      </c>
      <c r="ES216" s="55"/>
      <c r="ET216" s="615">
        <f>COUNTIF('LS | Drawing List'!$H:$H,"LS-C20P-1")</f>
        <v>5</v>
      </c>
      <c r="EU216" s="616">
        <f>COUNTIFS('LS | Drawing List'!$H:$H,"LS-C20P-1",'LS | Drawing List'!$J:$J,1)</f>
        <v>0</v>
      </c>
      <c r="EV216" s="616">
        <f>COUNTIFS('LS | Drawing List'!$H:$H,"LS-C20P-1",'LS | Drawing List'!$L:$L,1)</f>
        <v>5</v>
      </c>
      <c r="EW216" s="615">
        <f>COUNTIFS('LS | Drawing List'!$H:$H,"LS-C20P-1",'LS | Drawing List'!M:M,1)</f>
        <v>5</v>
      </c>
      <c r="EX216" s="615">
        <f>COUNTIFS('LS | Drawing List'!$H:$H,"LS-C20P-1",'LS | Drawing List'!N:N,1)</f>
        <v>0</v>
      </c>
      <c r="EY216" s="615">
        <f>COUNTIFS('LS | Drawing List'!$H:$H,"LS-C20P-1",'LS | Drawing List'!O:O,1)</f>
        <v>0</v>
      </c>
      <c r="EZ216" s="615">
        <f>COUNTIFS('LS | Drawing List'!$H:$H,"LS-C20P-1",'LS | Drawing List'!P:P,1)</f>
        <v>0</v>
      </c>
      <c r="FA216" s="81"/>
      <c r="FB216" s="616">
        <f>COUNTIFS('LS | Drawing List'!$H:$H,"LS-C20P-1",'LS | Drawing List'!$Q:$Q,1)</f>
        <v>5</v>
      </c>
      <c r="FC216" s="615">
        <f>COUNTIFS('LS | Drawing List'!$H:$H,"LS-C20P-1",'LS | Drawing List'!R:R,1)</f>
        <v>0</v>
      </c>
      <c r="FD216" s="615">
        <f>COUNTIFS('LS | Drawing List'!$H:$H,"LS-C20P-1",'LS | Drawing List'!S:S,1)</f>
        <v>5</v>
      </c>
      <c r="FE216" s="615">
        <f>COUNTIFS('LS | Drawing List'!$H:$H,"LS-C20P-1",'LS | Drawing List'!T:T,1)</f>
        <v>0</v>
      </c>
      <c r="FF216" s="615">
        <f>COUNTIFS('LS | Drawing List'!$H:$H,"LS-C20P-1",'LS | Drawing List'!U:U,1)</f>
        <v>0</v>
      </c>
      <c r="FG216" s="48"/>
    </row>
    <row r="217" spans="1:163" ht="14.25" outlineLevel="2">
      <c r="A217" s="48"/>
      <c r="B217" s="87" t="s">
        <v>254</v>
      </c>
      <c r="C217" s="277">
        <v>9</v>
      </c>
      <c r="D217" s="273" t="s">
        <v>199</v>
      </c>
      <c r="E217" s="48"/>
      <c r="F217" s="619">
        <f t="shared" si="1201"/>
        <v>1.343538962385677</v>
      </c>
      <c r="G217" s="619">
        <f t="shared" si="1202"/>
        <v>0.16146396238567717</v>
      </c>
      <c r="H217" s="615">
        <f t="shared" si="1203"/>
        <v>1.1820749999999998</v>
      </c>
      <c r="I217" s="615">
        <f t="shared" si="1118"/>
        <v>1.343538962385677</v>
      </c>
      <c r="J217" s="615">
        <f t="shared" si="1119"/>
        <v>1.343538962385677</v>
      </c>
      <c r="K217" s="615">
        <f t="shared" si="1120"/>
        <v>0</v>
      </c>
      <c r="L217" s="615">
        <f t="shared" si="1121"/>
        <v>0</v>
      </c>
      <c r="M217" s="620">
        <f t="shared" si="1122"/>
        <v>0</v>
      </c>
      <c r="N217" s="287"/>
      <c r="O217" s="615">
        <f t="shared" si="1123"/>
        <v>0.16146396238567717</v>
      </c>
      <c r="P217" s="615">
        <f t="shared" si="1124"/>
        <v>0</v>
      </c>
      <c r="Q217" s="615">
        <f t="shared" si="1125"/>
        <v>0</v>
      </c>
      <c r="R217" s="615">
        <f t="shared" si="1126"/>
        <v>0</v>
      </c>
      <c r="S217" s="615">
        <f t="shared" si="1127"/>
        <v>0.16146396238567717</v>
      </c>
      <c r="T217" s="48"/>
      <c r="U217" s="635">
        <f t="shared" si="1261"/>
        <v>0.05</v>
      </c>
      <c r="V217" s="131"/>
      <c r="W217" s="619">
        <f t="shared" si="1290"/>
        <v>1.182075</v>
      </c>
      <c r="X217" s="619">
        <f t="shared" si="1291"/>
        <v>0</v>
      </c>
      <c r="Y217" s="615">
        <f t="shared" si="1292"/>
        <v>0</v>
      </c>
      <c r="Z217" s="615">
        <f t="shared" si="1293"/>
        <v>1.182075</v>
      </c>
      <c r="AA217" s="615">
        <f t="shared" si="1294"/>
        <v>1.182075</v>
      </c>
      <c r="AB217" s="615">
        <f t="shared" si="1295"/>
        <v>0</v>
      </c>
      <c r="AC217" s="615">
        <f t="shared" si="1296"/>
        <v>0</v>
      </c>
      <c r="AD217" s="620">
        <f t="shared" si="1297"/>
        <v>0</v>
      </c>
      <c r="AE217" s="287"/>
      <c r="AF217" s="615">
        <f t="shared" si="1298"/>
        <v>0</v>
      </c>
      <c r="AG217" s="615">
        <f t="shared" si="1299"/>
        <v>0</v>
      </c>
      <c r="AH217" s="615">
        <f t="shared" si="1300"/>
        <v>0</v>
      </c>
      <c r="AI217" s="615">
        <f t="shared" si="1301"/>
        <v>0</v>
      </c>
      <c r="AJ217" s="615">
        <f t="shared" si="1302"/>
        <v>0</v>
      </c>
      <c r="AK217" s="339"/>
      <c r="AL217" s="625">
        <f t="shared" si="1303"/>
        <v>0</v>
      </c>
      <c r="AM217" s="625">
        <f t="shared" si="1304"/>
        <v>1</v>
      </c>
      <c r="AN217" s="625">
        <f t="shared" si="1305"/>
        <v>0</v>
      </c>
      <c r="AO217" s="345"/>
      <c r="AP217" s="615">
        <f>COUNTIF('AR | Drawing List'!$H:$H,"AR-L30P-1")</f>
        <v>70</v>
      </c>
      <c r="AQ217" s="616">
        <f>COUNTIFS('AR | Drawing List'!$H:$H,"AR-L30P-1",'AR | Drawing List'!$J:$J,1)</f>
        <v>0</v>
      </c>
      <c r="AR217" s="616">
        <f t="shared" si="1306"/>
        <v>70</v>
      </c>
      <c r="AS217" s="616">
        <f>COUNTIFS('AR | Drawing List'!$H:$H,"AR-L30P-1",'AR | Drawing List'!M:M,1)</f>
        <v>70</v>
      </c>
      <c r="AT217" s="616">
        <f>COUNTIFS('AR | Drawing List'!$H:$H,"AR-L30P-1",'AR | Drawing List'!N:N,1)</f>
        <v>0</v>
      </c>
      <c r="AU217" s="616">
        <f>COUNTIFS('AR | Drawing List'!$H:$H,"AR-L30P-1",'AR | Drawing List'!O:O,1)</f>
        <v>0</v>
      </c>
      <c r="AV217" s="616">
        <f>COUNTIFS('AR | Drawing List'!$H:$H,"AR-L30P-1",'AR | Drawing List'!P:P,1)</f>
        <v>0</v>
      </c>
      <c r="AW217" s="328"/>
      <c r="AX217" s="616">
        <f t="shared" si="1265"/>
        <v>0</v>
      </c>
      <c r="AY217" s="616">
        <f>COUNTIFS('AR | Drawing List'!$H:$H,"AR-L30P-1",'AR | Drawing List'!R:R,1)</f>
        <v>0</v>
      </c>
      <c r="AZ217" s="616">
        <f>COUNTIFS('AR | Drawing List'!$H:$H,"AR-L30P-1",'AR | Drawing List'!S:S,1)</f>
        <v>0</v>
      </c>
      <c r="BA217" s="616">
        <f>COUNTIFS('AR | Drawing List'!$H:$H,"AR-L30P-1",'AR | Drawing List'!T:T,1)</f>
        <v>0</v>
      </c>
      <c r="BB217" s="616">
        <f>COUNTIFS('AR | Drawing List'!$H:$H,"AR-L30P-1",'AR | Drawing List'!U:U,1)</f>
        <v>0</v>
      </c>
      <c r="BC217" s="359"/>
      <c r="BD217" s="359"/>
      <c r="BE217" s="525">
        <v>0</v>
      </c>
      <c r="BF217" s="343"/>
      <c r="BG217" s="344"/>
      <c r="BH217" s="618">
        <f t="shared" si="1307"/>
        <v>0</v>
      </c>
      <c r="BI217" s="374"/>
      <c r="BJ217" s="374"/>
      <c r="BK217" s="615">
        <f t="shared" si="1308"/>
        <v>0</v>
      </c>
      <c r="BL217" s="615">
        <f t="shared" si="1309"/>
        <v>0</v>
      </c>
      <c r="BM217" s="615">
        <f t="shared" si="1310"/>
        <v>0</v>
      </c>
      <c r="BN217" s="615">
        <f t="shared" si="1311"/>
        <v>0</v>
      </c>
      <c r="BO217" s="339"/>
      <c r="BP217" s="615">
        <f t="shared" si="1312"/>
        <v>0</v>
      </c>
      <c r="BQ217" s="615">
        <f t="shared" si="1313"/>
        <v>0</v>
      </c>
      <c r="BR217" s="615">
        <f t="shared" si="1314"/>
        <v>0</v>
      </c>
      <c r="BS217" s="615">
        <f t="shared" si="1315"/>
        <v>0</v>
      </c>
      <c r="BT217" s="615">
        <f t="shared" si="1316"/>
        <v>0</v>
      </c>
      <c r="BU217" s="339"/>
      <c r="BV217" s="635">
        <f t="shared" si="1266"/>
        <v>0</v>
      </c>
      <c r="BW217" s="635">
        <f t="shared" si="1267"/>
        <v>0</v>
      </c>
      <c r="BX217" s="635">
        <f t="shared" si="1268"/>
        <v>0</v>
      </c>
      <c r="BY217" s="345"/>
      <c r="BZ217" s="540"/>
      <c r="CA217" s="540"/>
      <c r="CB217" s="542"/>
      <c r="CC217" s="616">
        <f>COUNTIFS('ST | Drawing List'!$H:$H,"ST-T01-2",'ST | Drawing List'!M:M,1)</f>
        <v>0</v>
      </c>
      <c r="CD217" s="616">
        <f>COUNTIFS('ST | Drawing List'!$H:$H,"ST-T01-2",'ST | Drawing List'!N:N,1)</f>
        <v>0</v>
      </c>
      <c r="CE217" s="616">
        <f>COUNTIFS('ST | Drawing List'!$H:$H,"ST-T01-2",'ST | Drawing List'!O:O,1)</f>
        <v>0</v>
      </c>
      <c r="CF217" s="616">
        <f>COUNTIFS('ST | Drawing List'!$H:$H,"ST-T01-2",'ST | Drawing List'!P:P,1)</f>
        <v>0</v>
      </c>
      <c r="CG217" s="532"/>
      <c r="CH217" s="542"/>
      <c r="CI217" s="616">
        <f>COUNTIFS('ST | Drawing List'!$H:$H,"ST-T01-2",'ST | Drawing List'!R:R,1)</f>
        <v>0</v>
      </c>
      <c r="CJ217" s="616">
        <f>COUNTIFS('ST | Drawing List'!$H:$H,"ST-T01-2",'ST | Drawing List'!S:S,1)</f>
        <v>0</v>
      </c>
      <c r="CK217" s="616">
        <f>COUNTIFS('ST | Drawing List'!$H:$H,"ST-T01-2",'ST | Drawing List'!T:T,1)</f>
        <v>0</v>
      </c>
      <c r="CL217" s="616">
        <f>COUNTIFS('ST | Drawing List'!$H:$H,"ST-T01-2",'ST | Drawing List'!U:U,1)</f>
        <v>0</v>
      </c>
      <c r="CM217" s="343"/>
      <c r="CN217" s="343"/>
      <c r="CO217" s="635">
        <f t="shared" si="1262"/>
        <v>6.5000000000000002E-2</v>
      </c>
      <c r="CP217" s="343"/>
      <c r="CQ217" s="616">
        <f t="shared" si="1317"/>
        <v>0.16008637194067718</v>
      </c>
      <c r="CR217" s="618">
        <f t="shared" si="1318"/>
        <v>0.16008637194067718</v>
      </c>
      <c r="CS217" s="615">
        <f t="shared" si="1319"/>
        <v>0</v>
      </c>
      <c r="CT217" s="615">
        <f t="shared" si="1269"/>
        <v>0.16008637194067718</v>
      </c>
      <c r="CU217" s="615">
        <f t="shared" si="1270"/>
        <v>0.16008637194067718</v>
      </c>
      <c r="CV217" s="615">
        <f t="shared" si="1271"/>
        <v>0</v>
      </c>
      <c r="CW217" s="615">
        <f t="shared" si="1272"/>
        <v>0</v>
      </c>
      <c r="CX217" s="615">
        <f t="shared" si="1273"/>
        <v>0</v>
      </c>
      <c r="CY217" s="339"/>
      <c r="CZ217" s="615">
        <f t="shared" si="1274"/>
        <v>0.16008637194067718</v>
      </c>
      <c r="DA217" s="615">
        <f t="shared" si="1275"/>
        <v>0</v>
      </c>
      <c r="DB217" s="615">
        <f t="shared" si="1276"/>
        <v>0</v>
      </c>
      <c r="DC217" s="615">
        <f t="shared" si="1277"/>
        <v>0</v>
      </c>
      <c r="DD217" s="615">
        <f t="shared" si="1278"/>
        <v>0.16008637194067718</v>
      </c>
      <c r="DE217" s="339"/>
      <c r="DF217" s="625">
        <f t="shared" si="1279"/>
        <v>0</v>
      </c>
      <c r="DG217" s="625">
        <f t="shared" si="1280"/>
        <v>1</v>
      </c>
      <c r="DH217" s="625">
        <f t="shared" si="1281"/>
        <v>1</v>
      </c>
      <c r="DI217" s="345"/>
      <c r="DJ217" s="615">
        <f>COUNTIF('MEP | Drawing List'!$H:$H,"MEP-L30P-1")</f>
        <v>23</v>
      </c>
      <c r="DK217" s="616">
        <f>COUNTIFS('MEP | Drawing List'!$H:$H,"MEP-L30P-1",'MEP | Drawing List'!$J:$J,1)</f>
        <v>0</v>
      </c>
      <c r="DL217" s="616">
        <f>COUNTIFS('MEP | Drawing List'!$H:$H,"MEP-L30P-1",'MEP | Drawing List'!$L:$L,1)</f>
        <v>23</v>
      </c>
      <c r="DM217" s="615">
        <f>COUNTIFS('MEP | Drawing List'!$H:$H,"MEP-L30P-1",'MEP | Drawing List'!M:M,1)</f>
        <v>23</v>
      </c>
      <c r="DN217" s="615">
        <f>COUNTIFS('MEP | Drawing List'!$H:$H,"MEP-L30P-1",'MEP | Drawing List'!N:N,1)</f>
        <v>0</v>
      </c>
      <c r="DO217" s="615">
        <f>COUNTIFS('MEP | Drawing List'!$H:$H,"MEP-L30P-1",'MEP | Drawing List'!O:O,1)</f>
        <v>0</v>
      </c>
      <c r="DP217" s="615">
        <f>COUNTIFS('MEP | Drawing List'!$H:$H,"MEP-L30P-1",'MEP | Drawing List'!P:P,1)</f>
        <v>0</v>
      </c>
      <c r="DQ217" s="339"/>
      <c r="DR217" s="616">
        <f>COUNTIFS('MEP | Drawing List'!$H:$H,"MEP-L30P-1",'MEP | Drawing List'!$Q:$Q,1)</f>
        <v>23</v>
      </c>
      <c r="DS217" s="615">
        <f>COUNTIFS('MEP | Drawing List'!$H:$H,"MEP-L30P-1",'MEP | Drawing List'!R:R,1)</f>
        <v>0</v>
      </c>
      <c r="DT217" s="615">
        <f>COUNTIFS('MEP | Drawing List'!$H:$H,"MEP-L30P-1",'MEP | Drawing List'!S:S,1)</f>
        <v>0</v>
      </c>
      <c r="DU217" s="615">
        <f>COUNTIFS('MEP | Drawing List'!$H:$H,"MEP-L30P-1",'MEP | Drawing List'!T:T,1)</f>
        <v>0</v>
      </c>
      <c r="DV217" s="615">
        <f>COUNTIFS('MEP | Drawing List'!$H:$H,"MEP-L30P-1",'MEP | Drawing List'!U:U,1)</f>
        <v>23</v>
      </c>
      <c r="DW217" s="343"/>
      <c r="DX217" s="343"/>
      <c r="DY217" s="635">
        <f t="shared" si="1263"/>
        <v>5.5000000000000007E-2</v>
      </c>
      <c r="DZ217" s="343"/>
      <c r="EA217" s="616">
        <f t="shared" si="1320"/>
        <v>1.3775904450000003E-3</v>
      </c>
      <c r="EB217" s="618">
        <f t="shared" si="1321"/>
        <v>1.3775904450000003E-3</v>
      </c>
      <c r="EC217" s="615">
        <f t="shared" si="1322"/>
        <v>0</v>
      </c>
      <c r="ED217" s="615">
        <f t="shared" si="1323"/>
        <v>1.3775904450000003E-3</v>
      </c>
      <c r="EE217" s="615">
        <f t="shared" si="1324"/>
        <v>1.3775904450000003E-3</v>
      </c>
      <c r="EF217" s="615">
        <f t="shared" si="1325"/>
        <v>0</v>
      </c>
      <c r="EG217" s="615">
        <f t="shared" si="1326"/>
        <v>0</v>
      </c>
      <c r="EH217" s="615">
        <f t="shared" si="1327"/>
        <v>0</v>
      </c>
      <c r="EI217" s="339"/>
      <c r="EJ217" s="620">
        <f t="shared" si="1282"/>
        <v>1.3775904450000003E-3</v>
      </c>
      <c r="EK217" s="615">
        <f t="shared" si="1283"/>
        <v>0</v>
      </c>
      <c r="EL217" s="615">
        <f t="shared" si="1284"/>
        <v>0</v>
      </c>
      <c r="EM217" s="615">
        <f t="shared" si="1285"/>
        <v>0</v>
      </c>
      <c r="EN217" s="615">
        <f t="shared" si="1286"/>
        <v>1.3775904450000003E-3</v>
      </c>
      <c r="EO217" s="339"/>
      <c r="EP217" s="627">
        <f t="shared" si="1287"/>
        <v>0</v>
      </c>
      <c r="EQ217" s="627">
        <f t="shared" si="1288"/>
        <v>1</v>
      </c>
      <c r="ER217" s="627">
        <f t="shared" si="1289"/>
        <v>1</v>
      </c>
      <c r="ES217" s="55"/>
      <c r="ET217" s="615">
        <f>COUNTIF('LS | Drawing List'!$H:$H,"LS-L30P-1")</f>
        <v>10</v>
      </c>
      <c r="EU217" s="616">
        <f>COUNTIFS('LS | Drawing List'!$H:$H,"LS-L30P-1",'LS | Drawing List'!$J:$J,1)</f>
        <v>0</v>
      </c>
      <c r="EV217" s="616">
        <f>COUNTIFS('LS | Drawing List'!$H:$H,"LS-L30P-1",'LS | Drawing List'!$L:$L,1)</f>
        <v>10</v>
      </c>
      <c r="EW217" s="615">
        <f>COUNTIFS('LS | Drawing List'!$H:$H,"LS-L30P-1",'LS | Drawing List'!M:M,1)</f>
        <v>10</v>
      </c>
      <c r="EX217" s="615">
        <f>COUNTIFS('LS | Drawing List'!$H:$H,"LS-L30P-1",'LS | Drawing List'!N:N,1)</f>
        <v>0</v>
      </c>
      <c r="EY217" s="615">
        <f>COUNTIFS('LS | Drawing List'!$H:$H,"LS-L30P-1",'LS | Drawing List'!O:O,1)</f>
        <v>0</v>
      </c>
      <c r="EZ217" s="615">
        <f>COUNTIFS('LS | Drawing List'!$H:$H,"LS-L30P-1",'LS | Drawing List'!P:P,1)</f>
        <v>0</v>
      </c>
      <c r="FA217" s="81"/>
      <c r="FB217" s="616">
        <f>COUNTIFS('LS | Drawing List'!$H:$H,"LS-L30P-1",'LS | Drawing List'!$Q:$Q,1)</f>
        <v>10</v>
      </c>
      <c r="FC217" s="615">
        <f>COUNTIFS('LS | Drawing List'!$H:$H,"LS-L30P-1",'LS | Drawing List'!R:R,1)</f>
        <v>0</v>
      </c>
      <c r="FD217" s="615">
        <f>COUNTIFS('LS | Drawing List'!$H:$H,"LS-L30P-1",'LS | Drawing List'!S:S,1)</f>
        <v>0</v>
      </c>
      <c r="FE217" s="615">
        <f>COUNTIFS('LS | Drawing List'!$H:$H,"LS-L30P-1",'LS | Drawing List'!T:T,1)</f>
        <v>0</v>
      </c>
      <c r="FF217" s="615">
        <f>COUNTIFS('LS | Drawing List'!$H:$H,"LS-L30P-1",'LS | Drawing List'!U:U,1)</f>
        <v>10</v>
      </c>
      <c r="FG217" s="48"/>
    </row>
    <row r="218" spans="1:163" ht="14.25" outlineLevel="2">
      <c r="A218" s="48"/>
      <c r="B218" s="87" t="s">
        <v>255</v>
      </c>
      <c r="C218" s="276">
        <v>10</v>
      </c>
      <c r="D218" s="273" t="s">
        <v>200</v>
      </c>
      <c r="E218" s="48"/>
      <c r="F218" s="619">
        <f t="shared" si="1201"/>
        <v>1.343538962385677</v>
      </c>
      <c r="G218" s="619">
        <f t="shared" si="1202"/>
        <v>1.343538962385677</v>
      </c>
      <c r="H218" s="615">
        <f t="shared" si="1203"/>
        <v>0</v>
      </c>
      <c r="I218" s="615">
        <f t="shared" si="1118"/>
        <v>1.343538962385677</v>
      </c>
      <c r="J218" s="615">
        <f t="shared" si="1119"/>
        <v>1.343538962385677</v>
      </c>
      <c r="K218" s="615">
        <f t="shared" si="1120"/>
        <v>0</v>
      </c>
      <c r="L218" s="615">
        <f t="shared" si="1121"/>
        <v>0</v>
      </c>
      <c r="M218" s="620">
        <f t="shared" si="1122"/>
        <v>0</v>
      </c>
      <c r="N218" s="287"/>
      <c r="O218" s="615">
        <f t="shared" si="1123"/>
        <v>1.343538962385677</v>
      </c>
      <c r="P218" s="615">
        <f t="shared" si="1124"/>
        <v>0</v>
      </c>
      <c r="Q218" s="615">
        <f t="shared" si="1125"/>
        <v>1.182075</v>
      </c>
      <c r="R218" s="615">
        <f t="shared" si="1126"/>
        <v>0</v>
      </c>
      <c r="S218" s="615">
        <f t="shared" si="1127"/>
        <v>0.16146396238567717</v>
      </c>
      <c r="T218" s="48"/>
      <c r="U218" s="635">
        <f t="shared" si="1261"/>
        <v>0.05</v>
      </c>
      <c r="V218" s="131"/>
      <c r="W218" s="619">
        <f t="shared" si="1290"/>
        <v>1.182075</v>
      </c>
      <c r="X218" s="619">
        <f t="shared" si="1291"/>
        <v>1.182075</v>
      </c>
      <c r="Y218" s="615">
        <f t="shared" si="1292"/>
        <v>0</v>
      </c>
      <c r="Z218" s="615">
        <f t="shared" si="1293"/>
        <v>1.182075</v>
      </c>
      <c r="AA218" s="615">
        <f t="shared" si="1294"/>
        <v>1.182075</v>
      </c>
      <c r="AB218" s="615">
        <f t="shared" si="1295"/>
        <v>0</v>
      </c>
      <c r="AC218" s="615">
        <f t="shared" si="1296"/>
        <v>0</v>
      </c>
      <c r="AD218" s="620">
        <f t="shared" si="1297"/>
        <v>0</v>
      </c>
      <c r="AE218" s="287"/>
      <c r="AF218" s="615">
        <f t="shared" si="1298"/>
        <v>1.182075</v>
      </c>
      <c r="AG218" s="615">
        <f t="shared" si="1299"/>
        <v>0</v>
      </c>
      <c r="AH218" s="615">
        <f t="shared" si="1300"/>
        <v>1.182075</v>
      </c>
      <c r="AI218" s="615">
        <f t="shared" si="1301"/>
        <v>0</v>
      </c>
      <c r="AJ218" s="615">
        <f t="shared" si="1302"/>
        <v>0</v>
      </c>
      <c r="AK218" s="339"/>
      <c r="AL218" s="625">
        <f t="shared" si="1303"/>
        <v>0</v>
      </c>
      <c r="AM218" s="625">
        <f t="shared" si="1304"/>
        <v>1</v>
      </c>
      <c r="AN218" s="625">
        <f t="shared" si="1305"/>
        <v>1</v>
      </c>
      <c r="AO218" s="345"/>
      <c r="AP218" s="615">
        <f>COUNTIF('AR | Drawing List'!$H:$H,"AR-L45P-1")</f>
        <v>70</v>
      </c>
      <c r="AQ218" s="616">
        <f>COUNTIFS('AR | Drawing List'!$H:$H,"AR-L45P-1",'AR | Drawing List'!$J:$J,1)</f>
        <v>0</v>
      </c>
      <c r="AR218" s="616">
        <f t="shared" si="1306"/>
        <v>70</v>
      </c>
      <c r="AS218" s="616">
        <f>COUNTIFS('AR | Drawing List'!$H:$H,"AR-L45P-1",'AR | Drawing List'!M:M,1)</f>
        <v>70</v>
      </c>
      <c r="AT218" s="616">
        <f>COUNTIFS('AR | Drawing List'!$H:$H,"AR-L45P-1",'AR | Drawing List'!N:N,1)</f>
        <v>0</v>
      </c>
      <c r="AU218" s="616">
        <f>COUNTIFS('AR | Drawing List'!$H:$H,"AR-L45P-1",'AR | Drawing List'!O:O,1)</f>
        <v>0</v>
      </c>
      <c r="AV218" s="616">
        <f>COUNTIFS('AR | Drawing List'!$H:$H,"AR-L45P-1",'AR | Drawing List'!P:P,1)</f>
        <v>0</v>
      </c>
      <c r="AW218" s="328"/>
      <c r="AX218" s="616">
        <f t="shared" si="1265"/>
        <v>70</v>
      </c>
      <c r="AY218" s="616">
        <f>COUNTIFS('AR | Drawing List'!$H:$H,"AR-L45P-1",'AR | Drawing List'!R:R,1)</f>
        <v>0</v>
      </c>
      <c r="AZ218" s="616">
        <f>COUNTIFS('AR | Drawing List'!$H:$H,"AR-L45P-1",'AR | Drawing List'!S:S,1)</f>
        <v>70</v>
      </c>
      <c r="BA218" s="616">
        <f>COUNTIFS('AR | Drawing List'!$H:$H,"AR-L45P-1",'AR | Drawing List'!T:T,1)</f>
        <v>0</v>
      </c>
      <c r="BB218" s="616">
        <f>COUNTIFS('AR | Drawing List'!$H:$H,"AR-L45P-1",'AR | Drawing List'!U:U,1)</f>
        <v>0</v>
      </c>
      <c r="BC218" s="359"/>
      <c r="BD218" s="359"/>
      <c r="BE218" s="525">
        <v>0</v>
      </c>
      <c r="BF218" s="343"/>
      <c r="BG218" s="344"/>
      <c r="BH218" s="618">
        <f t="shared" si="1307"/>
        <v>0</v>
      </c>
      <c r="BI218" s="374"/>
      <c r="BJ218" s="374"/>
      <c r="BK218" s="615">
        <f t="shared" si="1308"/>
        <v>0</v>
      </c>
      <c r="BL218" s="615">
        <f t="shared" si="1309"/>
        <v>0</v>
      </c>
      <c r="BM218" s="615">
        <f t="shared" si="1310"/>
        <v>0</v>
      </c>
      <c r="BN218" s="615">
        <f t="shared" si="1311"/>
        <v>0</v>
      </c>
      <c r="BO218" s="339"/>
      <c r="BP218" s="615">
        <f t="shared" si="1312"/>
        <v>0</v>
      </c>
      <c r="BQ218" s="615">
        <f t="shared" si="1313"/>
        <v>0</v>
      </c>
      <c r="BR218" s="615">
        <f t="shared" si="1314"/>
        <v>0</v>
      </c>
      <c r="BS218" s="615">
        <f t="shared" si="1315"/>
        <v>0</v>
      </c>
      <c r="BT218" s="615">
        <f t="shared" si="1316"/>
        <v>0</v>
      </c>
      <c r="BU218" s="339"/>
      <c r="BV218" s="635">
        <f t="shared" si="1266"/>
        <v>0</v>
      </c>
      <c r="BW218" s="635">
        <f t="shared" si="1267"/>
        <v>0</v>
      </c>
      <c r="BX218" s="635">
        <f t="shared" si="1268"/>
        <v>0</v>
      </c>
      <c r="BY218" s="345"/>
      <c r="BZ218" s="540"/>
      <c r="CA218" s="540"/>
      <c r="CB218" s="542"/>
      <c r="CC218" s="616">
        <f>COUNTIFS('ST | Drawing List'!$H:$H,"ST-T01-3",'ST | Drawing List'!M:M,1)</f>
        <v>0</v>
      </c>
      <c r="CD218" s="616">
        <f>COUNTIFS('ST | Drawing List'!$H:$H,"ST-T01-3",'ST | Drawing List'!N:N,1)</f>
        <v>0</v>
      </c>
      <c r="CE218" s="616">
        <f>COUNTIFS('ST | Drawing List'!$H:$H,"ST-T01-3",'ST | Drawing List'!O:O,1)</f>
        <v>0</v>
      </c>
      <c r="CF218" s="616">
        <f>COUNTIFS('ST | Drawing List'!$H:$H,"ST-T01-3",'ST | Drawing List'!P:P,1)</f>
        <v>0</v>
      </c>
      <c r="CG218" s="532"/>
      <c r="CH218" s="542"/>
      <c r="CI218" s="616">
        <f>COUNTIFS('ST | Drawing List'!$H:$H,"ST-T01-3",'ST | Drawing List'!R:R,1)</f>
        <v>0</v>
      </c>
      <c r="CJ218" s="616">
        <f>COUNTIFS('ST | Drawing List'!$H:$H,"ST-T01-3",'ST | Drawing List'!S:S,1)</f>
        <v>0</v>
      </c>
      <c r="CK218" s="616">
        <f>COUNTIFS('ST | Drawing List'!$H:$H,"ST-T01-3",'ST | Drawing List'!T:T,1)</f>
        <v>0</v>
      </c>
      <c r="CL218" s="616">
        <f>COUNTIFS('ST | Drawing List'!$H:$H,"ST-T01-3",'ST | Drawing List'!U:U,1)</f>
        <v>0</v>
      </c>
      <c r="CM218" s="343"/>
      <c r="CN218" s="343"/>
      <c r="CO218" s="635">
        <f t="shared" si="1262"/>
        <v>6.5000000000000002E-2</v>
      </c>
      <c r="CP218" s="343"/>
      <c r="CQ218" s="616">
        <f t="shared" si="1317"/>
        <v>0.16008637194067718</v>
      </c>
      <c r="CR218" s="618">
        <f t="shared" si="1318"/>
        <v>0.16008637194067718</v>
      </c>
      <c r="CS218" s="615">
        <f t="shared" si="1319"/>
        <v>0</v>
      </c>
      <c r="CT218" s="615">
        <f t="shared" si="1269"/>
        <v>0.16008637194067718</v>
      </c>
      <c r="CU218" s="615">
        <f t="shared" si="1270"/>
        <v>0.16008637194067718</v>
      </c>
      <c r="CV218" s="615">
        <f t="shared" si="1271"/>
        <v>0</v>
      </c>
      <c r="CW218" s="615">
        <f t="shared" si="1272"/>
        <v>0</v>
      </c>
      <c r="CX218" s="615">
        <f t="shared" si="1273"/>
        <v>0</v>
      </c>
      <c r="CY218" s="339"/>
      <c r="CZ218" s="615">
        <f t="shared" si="1274"/>
        <v>0.16008637194067718</v>
      </c>
      <c r="DA218" s="615">
        <f t="shared" si="1275"/>
        <v>0</v>
      </c>
      <c r="DB218" s="615">
        <f t="shared" si="1276"/>
        <v>0</v>
      </c>
      <c r="DC218" s="615">
        <f t="shared" si="1277"/>
        <v>0</v>
      </c>
      <c r="DD218" s="615">
        <f t="shared" si="1278"/>
        <v>0.16008637194067718</v>
      </c>
      <c r="DE218" s="339"/>
      <c r="DF218" s="625">
        <f t="shared" si="1279"/>
        <v>0</v>
      </c>
      <c r="DG218" s="625">
        <f t="shared" si="1280"/>
        <v>1</v>
      </c>
      <c r="DH218" s="625">
        <f t="shared" si="1281"/>
        <v>1</v>
      </c>
      <c r="DI218" s="345"/>
      <c r="DJ218" s="615">
        <f>COUNTIF('MEP | Drawing List'!$H:$H,"MEP-L45P-1")</f>
        <v>49</v>
      </c>
      <c r="DK218" s="616">
        <f>COUNTIFS('MEP | Drawing List'!$H:$H,"MEP-L45P-1",'MEP | Drawing List'!$J:$J,1)</f>
        <v>0</v>
      </c>
      <c r="DL218" s="616">
        <f>COUNTIFS('MEP | Drawing List'!$H:$H,"MEP-L45P-1",'MEP | Drawing List'!$L:$L,1)</f>
        <v>49</v>
      </c>
      <c r="DM218" s="615">
        <f>COUNTIFS('MEP | Drawing List'!$H:$H,"MEP-L45P-1",'MEP | Drawing List'!M:M,1)</f>
        <v>49</v>
      </c>
      <c r="DN218" s="615">
        <f>COUNTIFS('MEP | Drawing List'!$H:$H,"MEP-L45P-1",'MEP | Drawing List'!N:N,1)</f>
        <v>0</v>
      </c>
      <c r="DO218" s="615">
        <f>COUNTIFS('MEP | Drawing List'!$H:$H,"MEP-L45P-1",'MEP | Drawing List'!O:O,1)</f>
        <v>0</v>
      </c>
      <c r="DP218" s="615">
        <f>COUNTIFS('MEP | Drawing List'!$H:$H,"MEP-L45P-1",'MEP | Drawing List'!P:P,1)</f>
        <v>0</v>
      </c>
      <c r="DQ218" s="339"/>
      <c r="DR218" s="616">
        <f>COUNTIFS('MEP | Drawing List'!$H:$H,"MEP-L45P-1",'MEP | Drawing List'!$Q:$Q,1)</f>
        <v>49</v>
      </c>
      <c r="DS218" s="615">
        <f>COUNTIFS('MEP | Drawing List'!$H:$H,"MEP-L45P-1",'MEP | Drawing List'!R:R,1)</f>
        <v>0</v>
      </c>
      <c r="DT218" s="615">
        <f>COUNTIFS('MEP | Drawing List'!$H:$H,"MEP-L45P-1",'MEP | Drawing List'!S:S,1)</f>
        <v>0</v>
      </c>
      <c r="DU218" s="615">
        <f>COUNTIFS('MEP | Drawing List'!$H:$H,"MEP-L45P-1",'MEP | Drawing List'!T:T,1)</f>
        <v>0</v>
      </c>
      <c r="DV218" s="615">
        <f>COUNTIFS('MEP | Drawing List'!$H:$H,"MEP-L45P-1",'MEP | Drawing List'!U:U,1)</f>
        <v>49</v>
      </c>
      <c r="DW218" s="343"/>
      <c r="DX218" s="343"/>
      <c r="DY218" s="635">
        <f t="shared" si="1263"/>
        <v>5.5000000000000007E-2</v>
      </c>
      <c r="DZ218" s="343"/>
      <c r="EA218" s="616">
        <f t="shared" si="1320"/>
        <v>1.3775904450000003E-3</v>
      </c>
      <c r="EB218" s="618">
        <f t="shared" si="1321"/>
        <v>1.3775904450000003E-3</v>
      </c>
      <c r="EC218" s="615">
        <f t="shared" si="1322"/>
        <v>0</v>
      </c>
      <c r="ED218" s="615">
        <f t="shared" si="1323"/>
        <v>1.3775904450000003E-3</v>
      </c>
      <c r="EE218" s="615">
        <f t="shared" si="1324"/>
        <v>1.3775904450000003E-3</v>
      </c>
      <c r="EF218" s="615">
        <f t="shared" si="1325"/>
        <v>0</v>
      </c>
      <c r="EG218" s="615">
        <f t="shared" si="1326"/>
        <v>0</v>
      </c>
      <c r="EH218" s="615">
        <f t="shared" si="1327"/>
        <v>0</v>
      </c>
      <c r="EI218" s="339"/>
      <c r="EJ218" s="620">
        <f t="shared" si="1282"/>
        <v>1.3775904450000003E-3</v>
      </c>
      <c r="EK218" s="615">
        <f t="shared" si="1283"/>
        <v>0</v>
      </c>
      <c r="EL218" s="615">
        <f t="shared" si="1284"/>
        <v>0</v>
      </c>
      <c r="EM218" s="615">
        <f t="shared" si="1285"/>
        <v>0</v>
      </c>
      <c r="EN218" s="615">
        <f t="shared" si="1286"/>
        <v>1.3775904450000003E-3</v>
      </c>
      <c r="EO218" s="339"/>
      <c r="EP218" s="627">
        <f t="shared" si="1287"/>
        <v>0</v>
      </c>
      <c r="EQ218" s="627">
        <f t="shared" si="1288"/>
        <v>1</v>
      </c>
      <c r="ER218" s="627">
        <f t="shared" si="1289"/>
        <v>1</v>
      </c>
      <c r="ES218" s="55"/>
      <c r="ET218" s="615">
        <f>COUNTIF('LS | Drawing List'!$H:$H,"LS-L45P-1")</f>
        <v>25</v>
      </c>
      <c r="EU218" s="616">
        <f>COUNTIFS('LS | Drawing List'!$H:$H,"LS-L45P-1",'LS | Drawing List'!$J:$J,1)</f>
        <v>0</v>
      </c>
      <c r="EV218" s="616">
        <f>COUNTIFS('LS | Drawing List'!$H:$H,"LS-L45P-1",'LS | Drawing List'!$L:$L,1)</f>
        <v>25</v>
      </c>
      <c r="EW218" s="615">
        <f>COUNTIFS('LS | Drawing List'!$H:$H,"LS-L45P-1",'LS | Drawing List'!M:M,1)</f>
        <v>25</v>
      </c>
      <c r="EX218" s="615">
        <f>COUNTIFS('LS | Drawing List'!$H:$H,"LS-L45P-1",'LS | Drawing List'!N:N,1)</f>
        <v>0</v>
      </c>
      <c r="EY218" s="615">
        <f>COUNTIFS('LS | Drawing List'!$H:$H,"LS-L45P-1",'LS | Drawing List'!O:O,1)</f>
        <v>0</v>
      </c>
      <c r="EZ218" s="615">
        <f>COUNTIFS('LS | Drawing List'!$H:$H,"LS-L45P-1",'LS | Drawing List'!P:P,1)</f>
        <v>0</v>
      </c>
      <c r="FA218" s="81"/>
      <c r="FB218" s="616">
        <f>COUNTIFS('LS | Drawing List'!$H:$H,"LS-L45P-1",'LS | Drawing List'!$Q:$Q,1)</f>
        <v>25</v>
      </c>
      <c r="FC218" s="615">
        <f>COUNTIFS('LS | Drawing List'!$H:$H,"LS-L45P-1",'LS | Drawing List'!R:R,1)</f>
        <v>0</v>
      </c>
      <c r="FD218" s="615">
        <f>COUNTIFS('LS | Drawing List'!$H:$H,"LS-L45P-1",'LS | Drawing List'!S:S,1)</f>
        <v>0</v>
      </c>
      <c r="FE218" s="615">
        <f>COUNTIFS('LS | Drawing List'!$H:$H,"LS-L45P-1",'LS | Drawing List'!T:T,1)</f>
        <v>0</v>
      </c>
      <c r="FF218" s="615">
        <f>COUNTIFS('LS | Drawing List'!$H:$H,"LS-L45P-1",'LS | Drawing List'!U:U,1)</f>
        <v>25</v>
      </c>
      <c r="FG218" s="48"/>
    </row>
    <row r="219" spans="1:163" ht="3" hidden="1" customHeight="1" outlineLevel="1">
      <c r="A219" s="48"/>
      <c r="B219" s="49"/>
      <c r="C219" s="280"/>
      <c r="D219" s="272"/>
      <c r="E219" s="48"/>
      <c r="F219" s="338"/>
      <c r="G219" s="619"/>
      <c r="H219" s="374"/>
      <c r="I219" s="374"/>
      <c r="J219" s="374"/>
      <c r="K219" s="374"/>
      <c r="L219" s="374"/>
      <c r="M219" s="374"/>
      <c r="N219" s="374"/>
      <c r="O219" s="374"/>
      <c r="P219" s="374"/>
      <c r="Q219" s="374"/>
      <c r="R219" s="374"/>
      <c r="S219" s="374"/>
      <c r="T219" s="48"/>
      <c r="U219" s="519"/>
      <c r="V219" s="131"/>
      <c r="W219" s="338"/>
      <c r="X219" s="619">
        <f t="shared" si="1000"/>
        <v>0</v>
      </c>
      <c r="Y219" s="374"/>
      <c r="Z219" s="374"/>
      <c r="AA219" s="374"/>
      <c r="AB219" s="374"/>
      <c r="AC219" s="374"/>
      <c r="AD219" s="374"/>
      <c r="AE219" s="374"/>
      <c r="AF219" s="374"/>
      <c r="AG219" s="374"/>
      <c r="AH219" s="374"/>
      <c r="AI219" s="374"/>
      <c r="AJ219" s="374"/>
      <c r="AK219" s="374"/>
      <c r="AL219" s="603"/>
      <c r="AM219" s="603"/>
      <c r="AN219" s="603"/>
      <c r="AO219" s="345"/>
      <c r="AP219" s="359"/>
      <c r="AQ219" s="359"/>
      <c r="AR219" s="359"/>
      <c r="AS219" s="359"/>
      <c r="AT219" s="359"/>
      <c r="AU219" s="359"/>
      <c r="AV219" s="359"/>
      <c r="AW219" s="359"/>
      <c r="AX219" s="359"/>
      <c r="AY219" s="359"/>
      <c r="AZ219" s="359"/>
      <c r="BA219" s="359"/>
      <c r="BB219" s="359"/>
      <c r="BC219" s="359"/>
      <c r="BD219" s="359"/>
      <c r="BE219" s="525"/>
      <c r="BF219" s="343"/>
      <c r="BG219" s="344"/>
      <c r="BH219" s="618">
        <f t="shared" si="1001"/>
        <v>0</v>
      </c>
      <c r="BI219" s="374"/>
      <c r="BJ219" s="374"/>
      <c r="BK219" s="374"/>
      <c r="BL219" s="374"/>
      <c r="BM219" s="374"/>
      <c r="BN219" s="374"/>
      <c r="BO219" s="374"/>
      <c r="BP219" s="374"/>
      <c r="BQ219" s="374"/>
      <c r="BR219" s="374"/>
      <c r="BS219" s="374"/>
      <c r="BT219" s="374"/>
      <c r="BU219" s="374"/>
      <c r="BV219" s="525"/>
      <c r="BW219" s="525"/>
      <c r="BX219" s="525"/>
      <c r="BY219" s="345"/>
      <c r="BZ219" s="540"/>
      <c r="CA219" s="540"/>
      <c r="CB219" s="542"/>
      <c r="CC219" s="540"/>
      <c r="CD219" s="540"/>
      <c r="CE219" s="540"/>
      <c r="CF219" s="540"/>
      <c r="CG219" s="540"/>
      <c r="CH219" s="542"/>
      <c r="CI219" s="540"/>
      <c r="CJ219" s="540"/>
      <c r="CK219" s="540"/>
      <c r="CL219" s="540"/>
      <c r="CM219" s="343"/>
      <c r="CN219" s="343"/>
      <c r="CO219" s="525"/>
      <c r="CP219" s="343"/>
      <c r="CQ219" s="344"/>
      <c r="CR219" s="618">
        <f t="shared" si="1002"/>
        <v>0</v>
      </c>
      <c r="CS219" s="374"/>
      <c r="CT219" s="374"/>
      <c r="CU219" s="374"/>
      <c r="CV219" s="374"/>
      <c r="CW219" s="374"/>
      <c r="CX219" s="374"/>
      <c r="CY219" s="374"/>
      <c r="CZ219" s="374"/>
      <c r="DA219" s="374"/>
      <c r="DB219" s="374"/>
      <c r="DC219" s="374"/>
      <c r="DD219" s="374"/>
      <c r="DE219" s="374"/>
      <c r="DF219" s="603"/>
      <c r="DG219" s="603"/>
      <c r="DH219" s="603"/>
      <c r="DI219" s="345"/>
      <c r="DJ219" s="359"/>
      <c r="DK219" s="359"/>
      <c r="DL219" s="359"/>
      <c r="DM219" s="374"/>
      <c r="DN219" s="374"/>
      <c r="DO219" s="374"/>
      <c r="DP219" s="374"/>
      <c r="DQ219" s="374"/>
      <c r="DR219" s="359"/>
      <c r="DS219" s="374"/>
      <c r="DT219" s="374"/>
      <c r="DU219" s="374"/>
      <c r="DV219" s="374"/>
      <c r="DW219" s="343"/>
      <c r="DX219" s="343"/>
      <c r="DY219" s="525"/>
      <c r="DZ219" s="343"/>
      <c r="EA219" s="344"/>
      <c r="EB219" s="618">
        <f t="shared" si="1003"/>
        <v>0</v>
      </c>
      <c r="EC219" s="88"/>
      <c r="ED219" s="88"/>
      <c r="EE219" s="88"/>
      <c r="EF219" s="88"/>
      <c r="EG219" s="88"/>
      <c r="EH219" s="88"/>
      <c r="EI219" s="88"/>
      <c r="EJ219" s="88"/>
      <c r="EK219" s="88"/>
      <c r="EL219" s="88"/>
      <c r="EM219" s="88"/>
      <c r="EN219" s="88"/>
      <c r="EO219" s="88"/>
      <c r="EP219" s="103"/>
      <c r="EQ219" s="103"/>
      <c r="ER219" s="103"/>
      <c r="ES219" s="55"/>
      <c r="ET219" s="56"/>
      <c r="EU219" s="56"/>
      <c r="EV219" s="56"/>
      <c r="EW219" s="88"/>
      <c r="EX219" s="88"/>
      <c r="EY219" s="88"/>
      <c r="EZ219" s="88"/>
      <c r="FA219" s="88"/>
      <c r="FB219" s="56"/>
      <c r="FC219" s="88"/>
      <c r="FD219" s="88"/>
      <c r="FE219" s="88"/>
      <c r="FF219" s="88"/>
      <c r="FG219" s="48"/>
    </row>
    <row r="220" spans="1:163" ht="14.25" hidden="1" outlineLevel="1" collapsed="1">
      <c r="A220" s="48"/>
      <c r="B220" s="73"/>
      <c r="C220" s="275">
        <v>15</v>
      </c>
      <c r="D220" s="271" t="s">
        <v>201</v>
      </c>
      <c r="E220" s="74"/>
      <c r="F220" s="614">
        <f>W220+BG220+CQ220+EA220</f>
        <v>2.6975207422432779</v>
      </c>
      <c r="G220" s="614">
        <f>X220+BH220+CR220+EB220</f>
        <v>1.1319481499999999</v>
      </c>
      <c r="H220" s="612">
        <f>F220-G220</f>
        <v>1.5655725922432779</v>
      </c>
      <c r="I220" s="614">
        <f t="shared" ref="I220:I224" si="1328">Z220+BJ220+CT220+ED220</f>
        <v>2.6975207422432779</v>
      </c>
      <c r="J220" s="614">
        <f t="shared" ref="J220:J224" si="1329">AA220+BK220+CU220+EE220</f>
        <v>2.3400697422432777</v>
      </c>
      <c r="K220" s="614">
        <f t="shared" ref="K220:K224" si="1330">AB220+BL220+CV220+EF220</f>
        <v>0</v>
      </c>
      <c r="L220" s="614">
        <f t="shared" ref="L220:L224" si="1331">AC220+BM220+CW220+EG220</f>
        <v>0</v>
      </c>
      <c r="M220" s="614">
        <f t="shared" ref="M220:M224" si="1332">AD220+BN220+CX220+EH220</f>
        <v>0.35745100000000002</v>
      </c>
      <c r="N220" s="281"/>
      <c r="O220" s="614">
        <f t="shared" ref="O220:O224" si="1333">AF220+BP220+CZ220+EJ220</f>
        <v>1.1319481499999999</v>
      </c>
      <c r="P220" s="614">
        <f t="shared" ref="P220:P224" si="1334">AG220+BQ220+DA220+EK220</f>
        <v>0</v>
      </c>
      <c r="Q220" s="614">
        <f t="shared" ref="Q220:Q224" si="1335">AH220+BR220+DB220+EL220</f>
        <v>1.1319481499999999</v>
      </c>
      <c r="R220" s="614">
        <f t="shared" ref="R220:R224" si="1336">AI220+BS220+DC220+EM220</f>
        <v>0</v>
      </c>
      <c r="S220" s="614">
        <f t="shared" ref="S220:S224" si="1337">AJ220+BT220+DD220+EN220</f>
        <v>0</v>
      </c>
      <c r="T220" s="74"/>
      <c r="U220" s="332">
        <f>SUM(U221:U224)</f>
        <v>0.5</v>
      </c>
      <c r="V220" s="332"/>
      <c r="W220" s="614">
        <f>U220*(5%*'BOQ COST'!$E$18)*1</f>
        <v>1.5033750000000001</v>
      </c>
      <c r="X220" s="614">
        <f t="shared" si="1000"/>
        <v>0.75168750000000006</v>
      </c>
      <c r="Y220" s="612">
        <f t="shared" ref="Y220:AJ220" si="1338">SUM(Y221:Y224)</f>
        <v>0</v>
      </c>
      <c r="Z220" s="612">
        <f t="shared" si="1338"/>
        <v>1.5033750000000001</v>
      </c>
      <c r="AA220" s="612">
        <f t="shared" si="1338"/>
        <v>1.5033750000000001</v>
      </c>
      <c r="AB220" s="612">
        <f t="shared" si="1338"/>
        <v>0</v>
      </c>
      <c r="AC220" s="612">
        <f t="shared" si="1338"/>
        <v>0</v>
      </c>
      <c r="AD220" s="612">
        <f t="shared" si="1338"/>
        <v>0</v>
      </c>
      <c r="AE220" s="281"/>
      <c r="AF220" s="612">
        <f t="shared" si="1338"/>
        <v>0.75168750000000006</v>
      </c>
      <c r="AG220" s="612">
        <f t="shared" si="1338"/>
        <v>0</v>
      </c>
      <c r="AH220" s="612">
        <f t="shared" si="1338"/>
        <v>0.75168750000000006</v>
      </c>
      <c r="AI220" s="612">
        <f t="shared" si="1338"/>
        <v>0</v>
      </c>
      <c r="AJ220" s="612">
        <f t="shared" si="1338"/>
        <v>0</v>
      </c>
      <c r="AK220" s="281"/>
      <c r="AL220" s="605"/>
      <c r="AM220" s="605"/>
      <c r="AN220" s="605"/>
      <c r="AO220" s="612">
        <f>SUM(AO221:AO224)</f>
        <v>0</v>
      </c>
      <c r="AP220" s="612">
        <f>SUM(AP221:AP224)</f>
        <v>178</v>
      </c>
      <c r="AQ220" s="612">
        <f>SUM(AQ221:AQ224)</f>
        <v>137</v>
      </c>
      <c r="AR220" s="612">
        <f t="shared" si="1075"/>
        <v>41</v>
      </c>
      <c r="AS220" s="612">
        <f t="shared" ref="AS220:BB220" si="1339">SUM(AS221:AS224)</f>
        <v>41</v>
      </c>
      <c r="AT220" s="612">
        <f t="shared" si="1339"/>
        <v>0</v>
      </c>
      <c r="AU220" s="612">
        <f t="shared" si="1339"/>
        <v>0</v>
      </c>
      <c r="AV220" s="612">
        <f t="shared" si="1339"/>
        <v>0</v>
      </c>
      <c r="AW220" s="281"/>
      <c r="AX220" s="612">
        <f t="shared" si="1339"/>
        <v>5</v>
      </c>
      <c r="AY220" s="612">
        <f t="shared" si="1339"/>
        <v>4</v>
      </c>
      <c r="AZ220" s="612">
        <f t="shared" si="1339"/>
        <v>1</v>
      </c>
      <c r="BA220" s="612">
        <f t="shared" si="1339"/>
        <v>0</v>
      </c>
      <c r="BB220" s="612">
        <f t="shared" si="1339"/>
        <v>0</v>
      </c>
      <c r="BC220" s="336"/>
      <c r="BD220" s="336"/>
      <c r="BE220" s="332">
        <f>SUM(BE221:BE224)</f>
        <v>0.55000000000000004</v>
      </c>
      <c r="BF220" s="332"/>
      <c r="BG220" s="614">
        <f>BE220*(3%*'BOQ COST'!$F$18)*1</f>
        <v>0.34919879224327777</v>
      </c>
      <c r="BH220" s="614">
        <f t="shared" si="1001"/>
        <v>0</v>
      </c>
      <c r="BI220" s="612">
        <f t="shared" ref="BI220:BT220" si="1340">SUM(BI221:BI224)</f>
        <v>0</v>
      </c>
      <c r="BJ220" s="612">
        <f t="shared" si="1340"/>
        <v>0.34919879224327777</v>
      </c>
      <c r="BK220" s="612">
        <f t="shared" si="1340"/>
        <v>0.34919879224327777</v>
      </c>
      <c r="BL220" s="612">
        <f t="shared" si="1340"/>
        <v>0</v>
      </c>
      <c r="BM220" s="612">
        <f t="shared" si="1340"/>
        <v>0</v>
      </c>
      <c r="BN220" s="612">
        <f t="shared" si="1340"/>
        <v>0</v>
      </c>
      <c r="BO220" s="281"/>
      <c r="BP220" s="612">
        <f t="shared" si="1340"/>
        <v>0</v>
      </c>
      <c r="BQ220" s="612">
        <f t="shared" si="1340"/>
        <v>0</v>
      </c>
      <c r="BR220" s="612">
        <f t="shared" si="1340"/>
        <v>0</v>
      </c>
      <c r="BS220" s="612">
        <f t="shared" si="1340"/>
        <v>0</v>
      </c>
      <c r="BT220" s="612">
        <f t="shared" si="1340"/>
        <v>0</v>
      </c>
      <c r="BU220" s="281"/>
      <c r="BV220" s="524"/>
      <c r="BW220" s="524"/>
      <c r="BX220" s="524"/>
      <c r="BY220" s="612">
        <f t="shared" ref="BY220:CL220" si="1341">SUM(BY221:BY224)</f>
        <v>0</v>
      </c>
      <c r="BZ220" s="612">
        <f t="shared" si="1341"/>
        <v>51</v>
      </c>
      <c r="CA220" s="612">
        <f t="shared" si="1341"/>
        <v>28</v>
      </c>
      <c r="CB220" s="612">
        <f t="shared" si="1341"/>
        <v>23</v>
      </c>
      <c r="CC220" s="612">
        <f t="shared" si="1341"/>
        <v>23</v>
      </c>
      <c r="CD220" s="612">
        <f t="shared" si="1341"/>
        <v>0</v>
      </c>
      <c r="CE220" s="612">
        <f t="shared" si="1341"/>
        <v>0</v>
      </c>
      <c r="CF220" s="612">
        <f t="shared" si="1341"/>
        <v>0</v>
      </c>
      <c r="CG220" s="535"/>
      <c r="CH220" s="612">
        <f t="shared" si="1341"/>
        <v>16</v>
      </c>
      <c r="CI220" s="612">
        <f t="shared" si="1341"/>
        <v>11</v>
      </c>
      <c r="CJ220" s="612">
        <f t="shared" si="1341"/>
        <v>5</v>
      </c>
      <c r="CK220" s="612">
        <f t="shared" si="1341"/>
        <v>0</v>
      </c>
      <c r="CL220" s="612">
        <f t="shared" si="1341"/>
        <v>0</v>
      </c>
      <c r="CM220" s="332"/>
      <c r="CN220" s="332"/>
      <c r="CO220" s="332">
        <f>SUM(CO221:CO224)</f>
        <v>0.65</v>
      </c>
      <c r="CP220" s="332"/>
      <c r="CQ220" s="614">
        <f>CO220*(2%*'BOQ COST'!$G$18)*1</f>
        <v>0.46468630000000005</v>
      </c>
      <c r="CR220" s="614">
        <f t="shared" si="1002"/>
        <v>0</v>
      </c>
      <c r="CS220" s="612">
        <f t="shared" ref="CS220:DD220" si="1342">SUM(CS221:CS224)</f>
        <v>0</v>
      </c>
      <c r="CT220" s="612">
        <f t="shared" si="1342"/>
        <v>0.4646863</v>
      </c>
      <c r="CU220" s="612">
        <f t="shared" si="1342"/>
        <v>0.10723530000000001</v>
      </c>
      <c r="CV220" s="612">
        <f t="shared" si="1342"/>
        <v>0</v>
      </c>
      <c r="CW220" s="612">
        <f t="shared" si="1342"/>
        <v>0</v>
      </c>
      <c r="CX220" s="612">
        <f t="shared" si="1342"/>
        <v>0.35745100000000002</v>
      </c>
      <c r="CY220" s="281"/>
      <c r="CZ220" s="612">
        <f t="shared" si="1342"/>
        <v>0</v>
      </c>
      <c r="DA220" s="612">
        <f t="shared" si="1342"/>
        <v>0</v>
      </c>
      <c r="DB220" s="612">
        <f t="shared" si="1342"/>
        <v>0</v>
      </c>
      <c r="DC220" s="612">
        <f t="shared" si="1342"/>
        <v>0</v>
      </c>
      <c r="DD220" s="612">
        <f t="shared" si="1342"/>
        <v>0</v>
      </c>
      <c r="DE220" s="281"/>
      <c r="DF220" s="605"/>
      <c r="DG220" s="605"/>
      <c r="DH220" s="605"/>
      <c r="DI220" s="612">
        <f t="shared" ref="DI220:DV220" si="1343">SUM(DI221:DI224)</f>
        <v>0</v>
      </c>
      <c r="DJ220" s="612">
        <f t="shared" si="1343"/>
        <v>88</v>
      </c>
      <c r="DK220" s="612">
        <f t="shared" si="1343"/>
        <v>69</v>
      </c>
      <c r="DL220" s="612">
        <f t="shared" si="1343"/>
        <v>19</v>
      </c>
      <c r="DM220" s="612">
        <f t="shared" si="1343"/>
        <v>17</v>
      </c>
      <c r="DN220" s="612">
        <f t="shared" si="1343"/>
        <v>0</v>
      </c>
      <c r="DO220" s="612">
        <f t="shared" si="1343"/>
        <v>0</v>
      </c>
      <c r="DP220" s="612">
        <f t="shared" si="1343"/>
        <v>2</v>
      </c>
      <c r="DQ220" s="281"/>
      <c r="DR220" s="612">
        <f t="shared" si="1343"/>
        <v>11</v>
      </c>
      <c r="DS220" s="612">
        <f t="shared" si="1343"/>
        <v>0</v>
      </c>
      <c r="DT220" s="612">
        <f t="shared" si="1343"/>
        <v>11</v>
      </c>
      <c r="DU220" s="612">
        <f t="shared" si="1343"/>
        <v>0</v>
      </c>
      <c r="DV220" s="612">
        <f t="shared" si="1343"/>
        <v>0</v>
      </c>
      <c r="DW220" s="332"/>
      <c r="DX220" s="332"/>
      <c r="DY220" s="332">
        <f>SUM(DY221:DY224)</f>
        <v>0.55000000000000004</v>
      </c>
      <c r="DZ220" s="332"/>
      <c r="EA220" s="612">
        <f>DY220*(7%*'BOQ COST'!H18)*1</f>
        <v>0.38026065000000003</v>
      </c>
      <c r="EB220" s="614">
        <f t="shared" si="1003"/>
        <v>0.38026064999999998</v>
      </c>
      <c r="EC220" s="608">
        <f t="shared" ref="EC220:EN220" si="1344">SUM(EC221:EC224)</f>
        <v>0</v>
      </c>
      <c r="ED220" s="608">
        <f t="shared" si="1344"/>
        <v>0.38026064999999998</v>
      </c>
      <c r="EE220" s="608">
        <f t="shared" si="1344"/>
        <v>0.38026064999999998</v>
      </c>
      <c r="EF220" s="608">
        <f t="shared" si="1344"/>
        <v>0</v>
      </c>
      <c r="EG220" s="608">
        <f t="shared" si="1344"/>
        <v>0</v>
      </c>
      <c r="EH220" s="608">
        <f t="shared" si="1344"/>
        <v>0</v>
      </c>
      <c r="EI220" s="127"/>
      <c r="EJ220" s="608">
        <f t="shared" si="1344"/>
        <v>0.38026064999999998</v>
      </c>
      <c r="EK220" s="608">
        <f t="shared" si="1344"/>
        <v>0</v>
      </c>
      <c r="EL220" s="608">
        <f t="shared" si="1344"/>
        <v>0.38026064999999998</v>
      </c>
      <c r="EM220" s="608">
        <f t="shared" si="1344"/>
        <v>0</v>
      </c>
      <c r="EN220" s="608">
        <f t="shared" si="1344"/>
        <v>0</v>
      </c>
      <c r="EO220" s="127"/>
      <c r="EP220" s="641"/>
      <c r="EQ220" s="641"/>
      <c r="ER220" s="641"/>
      <c r="ES220" s="608">
        <f t="shared" ref="ES220:FF220" si="1345">SUM(ES221:ES224)</f>
        <v>0</v>
      </c>
      <c r="ET220" s="608">
        <f t="shared" si="1345"/>
        <v>39</v>
      </c>
      <c r="EU220" s="608">
        <f t="shared" si="1345"/>
        <v>18</v>
      </c>
      <c r="EV220" s="608">
        <f t="shared" si="1345"/>
        <v>21</v>
      </c>
      <c r="EW220" s="608">
        <f t="shared" si="1345"/>
        <v>21</v>
      </c>
      <c r="EX220" s="608">
        <f t="shared" si="1345"/>
        <v>0</v>
      </c>
      <c r="EY220" s="608">
        <f t="shared" si="1345"/>
        <v>0</v>
      </c>
      <c r="EZ220" s="608">
        <f t="shared" si="1345"/>
        <v>0</v>
      </c>
      <c r="FA220" s="127"/>
      <c r="FB220" s="608">
        <f t="shared" si="1345"/>
        <v>21</v>
      </c>
      <c r="FC220" s="608">
        <f t="shared" si="1345"/>
        <v>11</v>
      </c>
      <c r="FD220" s="608">
        <f t="shared" si="1345"/>
        <v>10</v>
      </c>
      <c r="FE220" s="608">
        <f t="shared" si="1345"/>
        <v>0</v>
      </c>
      <c r="FF220" s="608">
        <f t="shared" si="1345"/>
        <v>0</v>
      </c>
      <c r="FG220" s="48"/>
    </row>
    <row r="221" spans="1:163" ht="14.25" hidden="1" outlineLevel="2">
      <c r="A221" s="48"/>
      <c r="B221" s="87" t="s">
        <v>202</v>
      </c>
      <c r="C221" s="276">
        <v>1</v>
      </c>
      <c r="D221" s="272" t="s">
        <v>27</v>
      </c>
      <c r="E221" s="48"/>
      <c r="F221" s="619">
        <f t="shared" ref="F221:F224" si="1346">W221+BG221+CQ221+EA221</f>
        <v>1.03176855</v>
      </c>
      <c r="G221" s="619">
        <f t="shared" ref="G221:G224" si="1347">X221+BH221+CR221+EB221</f>
        <v>0.92453325000000008</v>
      </c>
      <c r="H221" s="615">
        <f t="shared" ref="H221:H224" si="1348">F221-G221</f>
        <v>0.10723529999999992</v>
      </c>
      <c r="I221" s="615">
        <f t="shared" si="1328"/>
        <v>1.03176855</v>
      </c>
      <c r="J221" s="615">
        <f t="shared" si="1329"/>
        <v>1.03176855</v>
      </c>
      <c r="K221" s="615">
        <f t="shared" si="1330"/>
        <v>0</v>
      </c>
      <c r="L221" s="615">
        <f t="shared" si="1331"/>
        <v>0</v>
      </c>
      <c r="M221" s="620">
        <f t="shared" si="1332"/>
        <v>0</v>
      </c>
      <c r="N221" s="287"/>
      <c r="O221" s="615">
        <f t="shared" si="1333"/>
        <v>0.92453325000000008</v>
      </c>
      <c r="P221" s="615">
        <f t="shared" si="1334"/>
        <v>0</v>
      </c>
      <c r="Q221" s="615">
        <f t="shared" si="1335"/>
        <v>0.92453325000000008</v>
      </c>
      <c r="R221" s="615">
        <f t="shared" si="1336"/>
        <v>0</v>
      </c>
      <c r="S221" s="615">
        <f t="shared" si="1337"/>
        <v>0</v>
      </c>
      <c r="T221" s="48"/>
      <c r="U221" s="519">
        <v>0.25</v>
      </c>
      <c r="V221" s="131"/>
      <c r="W221" s="619">
        <f t="shared" ref="W221:W224" si="1349">$W$220/$U$220*U221</f>
        <v>0.75168750000000006</v>
      </c>
      <c r="X221" s="619">
        <f t="shared" si="1000"/>
        <v>0.75168750000000006</v>
      </c>
      <c r="Y221" s="621">
        <f t="shared" ref="Y221:Y224" si="1350">IFERROR(IF(AL221=100%,W221,0),0)</f>
        <v>0</v>
      </c>
      <c r="Z221" s="621">
        <f t="shared" ref="Z221:Z224" si="1351">IFERROR(IF(AND((AL221+AM221)=100%,AL221&lt;1),W221,0),0)</f>
        <v>0.75168750000000006</v>
      </c>
      <c r="AA221" s="615">
        <f t="shared" ref="AA221:AA224" si="1352">IFERROR(IF(AND((AQ221+AS221)=AP221,Y221=0),W221,0),0)</f>
        <v>0.75168750000000006</v>
      </c>
      <c r="AB221" s="615">
        <f t="shared" ref="AB221:AB224" si="1353">IFERROR(IF(AND((AQ221+AS221+AT221)=AP221,Y221=0,AA221=0),W221,0),0)</f>
        <v>0</v>
      </c>
      <c r="AC221" s="615">
        <f t="shared" ref="AC221:AC224" si="1354">IFERROR(IF(AND((AQ221+AS221+AT221+AU221)=AP221,Y221=0,AA221=0,AB221=0),W221,0),0)</f>
        <v>0</v>
      </c>
      <c r="AD221" s="620">
        <f t="shared" ref="AD221:AD224" si="1355">IFERROR(IF(AND((AQ221+AS221+AT221+AU221+AV221)=AP221,Y221=0,AA221=0,AB221=0,AC221=0),W221,0),0)</f>
        <v>0</v>
      </c>
      <c r="AE221" s="287"/>
      <c r="AF221" s="615">
        <f t="shared" ref="AF221:AF224" si="1356">IFERROR(IF(AND((AL221+AN221)=100%,AL221&lt;1),W221,0),0)</f>
        <v>0.75168750000000006</v>
      </c>
      <c r="AG221" s="615">
        <f>IFERROR(IF(AND((AQ221+AY221)=AP221,Y221=0),W221,0),0)</f>
        <v>0</v>
      </c>
      <c r="AH221" s="615">
        <f>IFERROR(IF(AND((AQ221+AY221+AZ221)=AP221,Y221=0,AG221=0),W221,0),0)</f>
        <v>0.75168750000000006</v>
      </c>
      <c r="AI221" s="615">
        <f>IFERROR(IF(AND((AQ221+AY221+AZ221+BA221)=AP221,Y221=0,AG221=0,AH221=0),W221,0),0)</f>
        <v>0</v>
      </c>
      <c r="AJ221" s="615">
        <f>IFERROR(IF(AND((AQ221+AY221+AZ221+BA221+BB221)=AP221,Y221=0,AG221=0,AH221=0,AI221=0),W221,0),0)</f>
        <v>0</v>
      </c>
      <c r="AK221" s="339"/>
      <c r="AL221" s="625">
        <f t="shared" ref="AL221:AL224" si="1357">IFERROR(AQ221/AP221,0)</f>
        <v>0.98148148148148151</v>
      </c>
      <c r="AM221" s="625">
        <f t="shared" ref="AM221:AM224" si="1358">IFERROR(AR221/AP221,0)</f>
        <v>1.8518518518518517E-2</v>
      </c>
      <c r="AN221" s="625">
        <f>IFERROR(AX221/AP221,0)</f>
        <v>1.8518518518518517E-2</v>
      </c>
      <c r="AO221" s="345"/>
      <c r="AP221" s="615">
        <f>COUNTIF('AR | Drawing List'!$H:$H,"AR-SDV-1")</f>
        <v>54</v>
      </c>
      <c r="AQ221" s="616">
        <f>COUNTIFS('AR | Drawing List'!$H:$H,"AR-SDV-1",'AR | Drawing List'!$J:$J,1)</f>
        <v>53</v>
      </c>
      <c r="AR221" s="616">
        <f t="shared" si="1075"/>
        <v>1</v>
      </c>
      <c r="AS221" s="616">
        <f>COUNTIFS('AR | Drawing List'!$H:$H,"AR-SDV-1",'AR | Drawing List'!M:M,1)</f>
        <v>1</v>
      </c>
      <c r="AT221" s="616">
        <f>COUNTIFS('AR | Drawing List'!$H:$H,"AR-SDV-1",'AR | Drawing List'!N:N,1)</f>
        <v>0</v>
      </c>
      <c r="AU221" s="616">
        <f>COUNTIFS('AR | Drawing List'!$H:$H,"AR-SDV-1",'AR | Drawing List'!O:O,1)</f>
        <v>0</v>
      </c>
      <c r="AV221" s="616">
        <f>COUNTIFS('AR | Drawing List'!$H:$H,"AR-SDV-1",'AR | Drawing List'!P:P,1)</f>
        <v>0</v>
      </c>
      <c r="AW221" s="328"/>
      <c r="AX221" s="616">
        <f t="shared" si="1093"/>
        <v>1</v>
      </c>
      <c r="AY221" s="616">
        <f>COUNTIFS('AR | Drawing List'!$H:$H,"AR-SDV-1",'AR | Drawing List'!R:R,1)</f>
        <v>0</v>
      </c>
      <c r="AZ221" s="616">
        <f>COUNTIFS('AR | Drawing List'!$H:$H,"AR-SDV-1",'AR | Drawing List'!S:S,1)</f>
        <v>1</v>
      </c>
      <c r="BA221" s="616">
        <f>COUNTIFS('AR | Drawing List'!$H:$H,"AR-SDV-1",'AR | Drawing List'!T:T,1)</f>
        <v>0</v>
      </c>
      <c r="BB221" s="616">
        <f>COUNTIFS('AR | Drawing List'!$H:$H,"AR-SDV-1",'AR | Drawing List'!U:U,1)</f>
        <v>0</v>
      </c>
      <c r="BC221" s="359"/>
      <c r="BD221" s="359"/>
      <c r="BE221" s="666">
        <v>0</v>
      </c>
      <c r="BF221" s="343"/>
      <c r="BG221" s="616">
        <f t="shared" ref="BG221:BG224" si="1359">$BG$220/$BE$220*BE221</f>
        <v>0</v>
      </c>
      <c r="BH221" s="618">
        <f t="shared" si="1001"/>
        <v>0</v>
      </c>
      <c r="BI221" s="615">
        <f>IFERROR(IF(BV221=100%,BG221,0),0)</f>
        <v>0</v>
      </c>
      <c r="BJ221" s="615">
        <f>IFERROR(IF(AND((BV221+BW221)=100%,BV221&lt;1),BG221,0),0)</f>
        <v>0</v>
      </c>
      <c r="BK221" s="615">
        <f>IFERROR(IF(AND((CA221+CC221)=BZ221,BI221=0),BG221,0),0)</f>
        <v>0</v>
      </c>
      <c r="BL221" s="615">
        <f>IFERROR(IF(AND((CA221+CC221+CD221)=BZ221,BI221=0,BK221=0),BG221,0),0)</f>
        <v>0</v>
      </c>
      <c r="BM221" s="615">
        <f>IFERROR(IF(AND((CA221+CC221+CD221+CE221)=BZ221,BI221=0,BK221=0,BL221=0),BG221,0),0)</f>
        <v>0</v>
      </c>
      <c r="BN221" s="615">
        <f>IFERROR(IF(AND((CA221+CC221+CD221+CE221+CF221)=BZ221,BI221=0,BK221=0,BL221=0,BM221=0),BG221,0),0)</f>
        <v>0</v>
      </c>
      <c r="BO221" s="339"/>
      <c r="BP221" s="615">
        <f>IFERROR(IF(AND((BV221+BX221)=100%,BV221&lt;1),BG221,0),0)</f>
        <v>0</v>
      </c>
      <c r="BQ221" s="615">
        <f>IFERROR(IF(AND((CA221+CI221)=BZ221,BI221=0),BG221,0),0)</f>
        <v>0</v>
      </c>
      <c r="BR221" s="615">
        <f>IFERROR(IF(AND((CA221+CI221+CJ221)=BZ221,BI221=0,BQ221=0),BG221,0),0)</f>
        <v>0</v>
      </c>
      <c r="BS221" s="615">
        <f>IFERROR(IF(AND((CA221+CI221+CJ221+CK221)=BZ221,BI221=0,BQ221=0,BR221=0),BG221,0),0)</f>
        <v>0</v>
      </c>
      <c r="BT221" s="615">
        <f>IFERROR(IF(AND((CA221+CI221+CJ221+CK221+CL221)=BZ221,BI221=0,BQ221=0,BR221=0,BS221=0),BG221,0),0)</f>
        <v>0</v>
      </c>
      <c r="BU221" s="339"/>
      <c r="BV221" s="635">
        <f t="shared" ref="BV221:BV224" si="1360">IFERROR(CA221/BZ221,0)</f>
        <v>0</v>
      </c>
      <c r="BW221" s="635">
        <f t="shared" ref="BW221:BW224" si="1361">IFERROR(CB221/BZ221,0)</f>
        <v>0</v>
      </c>
      <c r="BX221" s="635">
        <f t="shared" ref="BX221:BX224" si="1362">IFERROR(CH221/BZ221,0)</f>
        <v>0</v>
      </c>
      <c r="BY221" s="345"/>
      <c r="BZ221" s="615">
        <f>COUNTIF('ST | Drawing List'!$H:$H,"ST-SDV-1")</f>
        <v>0</v>
      </c>
      <c r="CA221" s="616">
        <f>COUNTIFS('ST | Drawing List'!$H:$H,"ST-SDV-1",'ST | Drawing List'!$J:$J,1)</f>
        <v>0</v>
      </c>
      <c r="CB221" s="623">
        <f>COUNTIFS('ST | Drawing List'!$H:$H,"ST-SDV-1",'ST | Drawing List'!$L:$L,1)</f>
        <v>0</v>
      </c>
      <c r="CC221" s="616">
        <f>COUNTIFS('ST | Drawing List'!$H:$H,"ST-SDV-1",'ST | Drawing List'!M:M,1)</f>
        <v>0</v>
      </c>
      <c r="CD221" s="616">
        <f>COUNTIFS('ST | Drawing List'!$H:$H,"ST-SDV-1",'ST | Drawing List'!N:N,1)</f>
        <v>0</v>
      </c>
      <c r="CE221" s="616">
        <f>COUNTIFS('ST | Drawing List'!$H:$H,"ST-SDV-1",'ST | Drawing List'!O:O,1)</f>
        <v>0</v>
      </c>
      <c r="CF221" s="616">
        <f>COUNTIFS('ST | Drawing List'!$H:$H,"ST-SDV-1",'ST | Drawing List'!P:P,1)</f>
        <v>0</v>
      </c>
      <c r="CG221" s="532"/>
      <c r="CH221" s="623">
        <f>COUNTIFS('ST | Drawing List'!$H:$H,"ST-SDV-1",'ST | Drawing List'!$Q:$Q,1)</f>
        <v>0</v>
      </c>
      <c r="CI221" s="616">
        <f>COUNTIFS('ST | Drawing List'!$H:$H,"ST-SDV-1",'ST | Drawing List'!R:R,1)</f>
        <v>0</v>
      </c>
      <c r="CJ221" s="616">
        <f>COUNTIFS('ST | Drawing List'!$H:$H,"ST-SDV-1",'ST | Drawing List'!S:S,1)</f>
        <v>0</v>
      </c>
      <c r="CK221" s="616">
        <f>COUNTIFS('ST | Drawing List'!$H:$H,"ST-SDV-1",'ST | Drawing List'!T:T,1)</f>
        <v>0</v>
      </c>
      <c r="CL221" s="616">
        <f>COUNTIFS('ST | Drawing List'!$H:$H,"ST-SDV-1",'ST | Drawing List'!U:U,1)</f>
        <v>0</v>
      </c>
      <c r="CM221" s="343"/>
      <c r="CN221" s="343"/>
      <c r="CO221" s="525">
        <v>0.15</v>
      </c>
      <c r="CP221" s="343"/>
      <c r="CQ221" s="616">
        <f t="shared" ref="CQ221:CQ224" si="1363">$CQ$220/$CO$220*CO221</f>
        <v>0.10723530000000001</v>
      </c>
      <c r="CR221" s="618">
        <f t="shared" si="1002"/>
        <v>0</v>
      </c>
      <c r="CS221" s="615">
        <f t="shared" ref="CS221:CS224" si="1364">IFERROR(IF(DF221=100%,CQ221,0),0)</f>
        <v>0</v>
      </c>
      <c r="CT221" s="615">
        <f t="shared" ref="CT221:CT224" si="1365">IFERROR(IF(AND((DF221+DG221)=100%,DF221&lt;1),CQ221,0),0)</f>
        <v>0.10723530000000001</v>
      </c>
      <c r="CU221" s="615">
        <f t="shared" ref="CU221:CU224" si="1366">IFERROR(IF(AND((DK221+DM221)=DJ221,CS221=0),CQ221,0),0)</f>
        <v>0.10723530000000001</v>
      </c>
      <c r="CV221" s="615">
        <f t="shared" ref="CV221:CV224" si="1367">IFERROR(IF(AND((DK221+DM221+DN221)=DJ221,CS221=0,CU221=0),CQ221,0),0)</f>
        <v>0</v>
      </c>
      <c r="CW221" s="615">
        <f t="shared" ref="CW221:CW224" si="1368">IFERROR(IF(AND((DK221+DM221+DN221+DO221)=DJ221,CS221=0,CU221=0,CV221=0),CQ221,0),0)</f>
        <v>0</v>
      </c>
      <c r="CX221" s="615">
        <f t="shared" ref="CX221:CX224" si="1369">IFERROR(IF(AND((DK221+DM221+DN221+DO221+DP221)=DJ221,CS221=0,CU221=0,CV221=0,CW221=0),CQ221,0),0)</f>
        <v>0</v>
      </c>
      <c r="CY221" s="339"/>
      <c r="CZ221" s="615">
        <f t="shared" ref="CZ221:CZ224" si="1370">IFERROR(IF(AND((DF221+DH221)=100%,DF221&lt;1),CQ221,0),0)</f>
        <v>0</v>
      </c>
      <c r="DA221" s="615">
        <f t="shared" ref="DA221:DA224" si="1371">IFERROR(IF(AND((DK221+DS221)=DJ221,CS221=0),CQ221,0),0)</f>
        <v>0</v>
      </c>
      <c r="DB221" s="615">
        <f t="shared" ref="DB221:DB224" si="1372">IFERROR(IF(AND((DK221+DS221+DT221)=DJ221,CS221=0,DA221=0),CQ221,0),0)</f>
        <v>0</v>
      </c>
      <c r="DC221" s="615">
        <f t="shared" ref="DC221:DC224" si="1373">IFERROR(IF(AND((DK221+DS221+DT221+DU221)=DJ221,CS221=0,DA221=0,DB221=0),CQ221,0),0)</f>
        <v>0</v>
      </c>
      <c r="DD221" s="615">
        <f t="shared" ref="DD221:DD224" si="1374">IFERROR(IF(AND((DK221+DS221+DT221+DU221+DV221)=DJ221,CS221=0,DA221=0,DB221=0,DC221=0),CQ221,0),0)</f>
        <v>0</v>
      </c>
      <c r="DE221" s="339"/>
      <c r="DF221" s="625">
        <f t="shared" ref="DF221:DF224" si="1375">IFERROR(DK221/DJ221,0)</f>
        <v>0.91836734693877553</v>
      </c>
      <c r="DG221" s="625">
        <f t="shared" ref="DG221:DG224" si="1376">IFERROR(DL221/DJ221,0)</f>
        <v>8.1632653061224483E-2</v>
      </c>
      <c r="DH221" s="625">
        <f t="shared" ref="DH221:DH224" si="1377">IFERROR(DR221/DJ221,0)</f>
        <v>0</v>
      </c>
      <c r="DI221" s="345"/>
      <c r="DJ221" s="615">
        <f>COUNTIF('MEP | Drawing List'!$H:$H,"MEP-SDV-1")</f>
        <v>49</v>
      </c>
      <c r="DK221" s="616">
        <f>COUNTIFS('MEP | Drawing List'!$H:$H,"MEP-SDV-1",'MEP | Drawing List'!$J:$J,1)</f>
        <v>45</v>
      </c>
      <c r="DL221" s="616">
        <f>COUNTIFS('MEP | Drawing List'!$H:$H,"MEP-SDV-1",'MEP | Drawing List'!$L:$L,1)</f>
        <v>4</v>
      </c>
      <c r="DM221" s="615">
        <f>COUNTIFS('MEP | Drawing List'!$H:$H,"MEP-SDV-1",'MEP | Drawing List'!M:M,1)</f>
        <v>4</v>
      </c>
      <c r="DN221" s="615">
        <f>COUNTIFS('MEP | Drawing List'!$H:$H,"MEP-SDV-1",'MEP | Drawing List'!N:N,1)</f>
        <v>0</v>
      </c>
      <c r="DO221" s="615">
        <f>COUNTIFS('MEP | Drawing List'!$H:$H,"MEP-SDV-1",'MEP | Drawing List'!O:O,1)</f>
        <v>0</v>
      </c>
      <c r="DP221" s="615">
        <f>COUNTIFS('MEP | Drawing List'!$H:$H,"MEP-SDV-1",'MEP | Drawing List'!P:P,1)</f>
        <v>0</v>
      </c>
      <c r="DQ221" s="339"/>
      <c r="DR221" s="616">
        <f>COUNTIFS('MEP | Drawing List'!$H:$H,"MEP-SDV-1",'MEP | Drawing List'!$Q:$Q,1)</f>
        <v>0</v>
      </c>
      <c r="DS221" s="615">
        <f>COUNTIFS('MEP | Drawing List'!$H:$H,"MEP-SDV-1",'MEP | Drawing List'!R:R,1)</f>
        <v>0</v>
      </c>
      <c r="DT221" s="615">
        <f>COUNTIFS('MEP | Drawing List'!$H:$H,"MEP-SDV-1",'MEP | Drawing List'!S:S,1)</f>
        <v>0</v>
      </c>
      <c r="DU221" s="615">
        <f>COUNTIFS('MEP | Drawing List'!$H:$H,"MEP-SDV-1",'MEP | Drawing List'!T:T,1)</f>
        <v>0</v>
      </c>
      <c r="DV221" s="615">
        <f>COUNTIFS('MEP | Drawing List'!$H:$H,"MEP-SDV-1",'MEP | Drawing List'!U:U,1)</f>
        <v>0</v>
      </c>
      <c r="DW221" s="343"/>
      <c r="DX221" s="343"/>
      <c r="DY221" s="525">
        <v>0.25</v>
      </c>
      <c r="DZ221" s="343"/>
      <c r="EA221" s="616">
        <f t="shared" ref="EA221:EA224" si="1378">$EA$220/$DY$220*DY221</f>
        <v>0.17284574999999999</v>
      </c>
      <c r="EB221" s="618">
        <f t="shared" si="1003"/>
        <v>0.17284574999999999</v>
      </c>
      <c r="EC221" s="615">
        <f t="shared" ref="EC221:EC224" si="1379">IFERROR(IF(EP221=100%,EA221,0),0)</f>
        <v>0</v>
      </c>
      <c r="ED221" s="615">
        <f t="shared" ref="ED221:ED224" si="1380">IFERROR(IF(AND((EP221+EQ221)=100%,EP221&lt;1),EA221,0),0)</f>
        <v>0.17284574999999999</v>
      </c>
      <c r="EE221" s="615">
        <f t="shared" ref="EE221:EE224" si="1381">IFERROR(IF(AND((EU221+EW221)=ET221,EC221=0),EA221,0),0)</f>
        <v>0.17284574999999999</v>
      </c>
      <c r="EF221" s="615">
        <f t="shared" ref="EF221:EF224" si="1382">IFERROR(IF(AND((EU221+EW221+EX221)=ET221,EC221=0,EE221=0),EA221,0),0)</f>
        <v>0</v>
      </c>
      <c r="EG221" s="615">
        <f t="shared" ref="EG221:EG224" si="1383">IFERROR(IF(AND((EU221+EW221+EX221+EY221)=ET221,EC221=0,EE221=0,EF221=0),EA221,0),0)</f>
        <v>0</v>
      </c>
      <c r="EH221" s="615">
        <f t="shared" ref="EH221:EH224" si="1384">IFERROR(IF(AND((EU221+EW221+EX221+EY221+EZ221)=ET221,EC221=0,EE221=0,EF221=0,EG221=0),EA221,0),0)</f>
        <v>0</v>
      </c>
      <c r="EI221" s="339"/>
      <c r="EJ221" s="620">
        <f t="shared" ref="EJ221:EJ224" si="1385">IFERROR(IF(AND((EP221+ER221)=100%,EP221&lt;1),EA221,0),0)</f>
        <v>0.17284574999999999</v>
      </c>
      <c r="EK221" s="615">
        <f t="shared" ref="EK221:EK224" si="1386">IFERROR(IF(AND((EU221+FC221)=ET221,EC221=0),EA221,0),0)</f>
        <v>0</v>
      </c>
      <c r="EL221" s="615">
        <f t="shared" ref="EL221:EL224" si="1387">IFERROR(IF(AND((EU221+FC221+FD221)=ET221,EC221=0,EK221=0),EA221,0),0)</f>
        <v>0.17284574999999999</v>
      </c>
      <c r="EM221" s="615">
        <f t="shared" ref="EM221:EM224" si="1388">IFERROR(IF(AND((EU221+FC221+FD221+FE221)=ET221,EC221=0,EK221=0,EL221=0),EA221,0),0)</f>
        <v>0</v>
      </c>
      <c r="EN221" s="615">
        <f t="shared" ref="EN221:EN224" si="1389">IFERROR(IF(AND((EU221+FC221+FD221+FE221+FF221)=ET221,EC221=0,EK221=0,EL221=0,EM221=0),EA221,0),0)</f>
        <v>0</v>
      </c>
      <c r="EO221" s="339"/>
      <c r="EP221" s="627">
        <f t="shared" ref="EP221:EP224" si="1390">IFERROR(EU221/ET221,0)</f>
        <v>0.2</v>
      </c>
      <c r="EQ221" s="627">
        <f t="shared" ref="EQ221:EQ224" si="1391">IFERROR(EV221/ET221,0)</f>
        <v>0.8</v>
      </c>
      <c r="ER221" s="627">
        <f t="shared" ref="ER221:ER224" si="1392">IFERROR(FB221/ET221,0)</f>
        <v>0.8</v>
      </c>
      <c r="ES221" s="55"/>
      <c r="ET221" s="615">
        <f>COUNTIF('LS | Drawing List'!$H:$H,"LS-SDV-1")</f>
        <v>5</v>
      </c>
      <c r="EU221" s="616">
        <f>COUNTIFS('LS | Drawing List'!$H:$H,"LS-SDV-1",'LS | Drawing List'!$J:$J,1)</f>
        <v>1</v>
      </c>
      <c r="EV221" s="616">
        <f>COUNTIFS('LS | Drawing List'!$H:$H,"LS-SDV-1",'LS | Drawing List'!$L:$L,1)</f>
        <v>4</v>
      </c>
      <c r="EW221" s="615">
        <f>COUNTIFS('LS | Drawing List'!$H:$H,"LS-SDV-1",'LS | Drawing List'!M:M,1)</f>
        <v>4</v>
      </c>
      <c r="EX221" s="615">
        <f>COUNTIFS('LS | Drawing List'!$H:$H,"LS-SDV-1",'LS | Drawing List'!N:N,1)</f>
        <v>0</v>
      </c>
      <c r="EY221" s="615">
        <f>COUNTIFS('LS | Drawing List'!$H:$H,"LS-SDV-1",'LS | Drawing List'!O:O,1)</f>
        <v>0</v>
      </c>
      <c r="EZ221" s="615">
        <f>COUNTIFS('LS | Drawing List'!$H:$H,"LS-SDV-1",'LS | Drawing List'!P:P,1)</f>
        <v>0</v>
      </c>
      <c r="FA221" s="81"/>
      <c r="FB221" s="616">
        <f>COUNTIFS('LS | Drawing List'!$H:$H,"LS-SDV-1",'LS | Drawing List'!$Q:$Q,1)</f>
        <v>4</v>
      </c>
      <c r="FC221" s="615">
        <f>COUNTIFS('LS | Drawing List'!$H:$H,"LS-SDV-1",'LS | Drawing List'!R:R,1)</f>
        <v>2</v>
      </c>
      <c r="FD221" s="615">
        <f>COUNTIFS('LS | Drawing List'!$H:$H,"LS-SDV-1",'LS | Drawing List'!S:S,1)</f>
        <v>2</v>
      </c>
      <c r="FE221" s="615">
        <f>COUNTIFS('LS | Drawing List'!$H:$H,"LS-SDV-1",'LS | Drawing List'!T:T,1)</f>
        <v>0</v>
      </c>
      <c r="FF221" s="615">
        <f>COUNTIFS('LS | Drawing List'!$H:$H,"LS-SDV-1",'LS | Drawing List'!U:U,1)</f>
        <v>0</v>
      </c>
      <c r="FG221" s="48"/>
    </row>
    <row r="222" spans="1:163" ht="14.25" hidden="1" outlineLevel="2">
      <c r="A222" s="48"/>
      <c r="B222" s="87" t="s">
        <v>203</v>
      </c>
      <c r="C222" s="276">
        <v>2</v>
      </c>
      <c r="D222" s="272" t="s">
        <v>204</v>
      </c>
      <c r="E222" s="48"/>
      <c r="F222" s="619">
        <f t="shared" si="1346"/>
        <v>0.6414845684963334</v>
      </c>
      <c r="G222" s="619">
        <f t="shared" si="1347"/>
        <v>0</v>
      </c>
      <c r="H222" s="615">
        <f t="shared" si="1348"/>
        <v>0.6414845684963334</v>
      </c>
      <c r="I222" s="615">
        <f t="shared" si="1328"/>
        <v>0.6414845684963334</v>
      </c>
      <c r="J222" s="615">
        <f t="shared" si="1329"/>
        <v>0.6414845684963334</v>
      </c>
      <c r="K222" s="615">
        <f t="shared" si="1330"/>
        <v>0</v>
      </c>
      <c r="L222" s="615">
        <f t="shared" si="1331"/>
        <v>0</v>
      </c>
      <c r="M222" s="620">
        <f t="shared" si="1332"/>
        <v>0</v>
      </c>
      <c r="N222" s="287"/>
      <c r="O222" s="615">
        <f t="shared" si="1333"/>
        <v>0</v>
      </c>
      <c r="P222" s="615">
        <f t="shared" si="1334"/>
        <v>0</v>
      </c>
      <c r="Q222" s="615">
        <f t="shared" si="1335"/>
        <v>0</v>
      </c>
      <c r="R222" s="615">
        <f t="shared" si="1336"/>
        <v>0</v>
      </c>
      <c r="S222" s="615">
        <f t="shared" si="1337"/>
        <v>0</v>
      </c>
      <c r="T222" s="48"/>
      <c r="U222" s="519">
        <v>0.15</v>
      </c>
      <c r="V222" s="131"/>
      <c r="W222" s="619">
        <f t="shared" si="1349"/>
        <v>0.45101250000000004</v>
      </c>
      <c r="X222" s="619">
        <f t="shared" si="1000"/>
        <v>0</v>
      </c>
      <c r="Y222" s="621">
        <f t="shared" si="1350"/>
        <v>0</v>
      </c>
      <c r="Z222" s="621">
        <f t="shared" si="1351"/>
        <v>0.45101250000000004</v>
      </c>
      <c r="AA222" s="615">
        <f t="shared" si="1352"/>
        <v>0.45101250000000004</v>
      </c>
      <c r="AB222" s="615">
        <f t="shared" si="1353"/>
        <v>0</v>
      </c>
      <c r="AC222" s="615">
        <f t="shared" si="1354"/>
        <v>0</v>
      </c>
      <c r="AD222" s="620">
        <f t="shared" si="1355"/>
        <v>0</v>
      </c>
      <c r="AE222" s="287"/>
      <c r="AF222" s="615">
        <f t="shared" si="1356"/>
        <v>0</v>
      </c>
      <c r="AG222" s="615">
        <f>IFERROR(IF(AND((AQ222+AY222)=AP222,Y222=0),W222,0),0)</f>
        <v>0</v>
      </c>
      <c r="AH222" s="615">
        <f>IFERROR(IF(AND((AQ222+AY222+AZ222)=AP222,Y222=0,AG222=0),W222,0),0)</f>
        <v>0</v>
      </c>
      <c r="AI222" s="615">
        <f>IFERROR(IF(AND((AQ222+AY222+AZ222+BA222)=AP222,Y222=0,AG222=0,AH222=0),W222,0),0)</f>
        <v>0</v>
      </c>
      <c r="AJ222" s="615">
        <f>IFERROR(IF(AND((AQ222+AY222+AZ222+BA222+BB222)=AP222,Y222=0,AG222=0,AH222=0,AI222=0),W222,0),0)</f>
        <v>0</v>
      </c>
      <c r="AK222" s="339"/>
      <c r="AL222" s="625">
        <f t="shared" si="1357"/>
        <v>0.93670886075949367</v>
      </c>
      <c r="AM222" s="625">
        <f t="shared" si="1358"/>
        <v>6.3291139240506333E-2</v>
      </c>
      <c r="AN222" s="625">
        <f>IFERROR(AX222/AP222,0)</f>
        <v>2.5316455696202531E-2</v>
      </c>
      <c r="AO222" s="345"/>
      <c r="AP222" s="615">
        <f>COUNTIF('AR | Drawing List'!$H:$H,"AR-SDV-2")</f>
        <v>79</v>
      </c>
      <c r="AQ222" s="616">
        <f>COUNTIFS('AR | Drawing List'!$H:$H,"AR-SDV-2",'AR | Drawing List'!$J:$J,1)</f>
        <v>74</v>
      </c>
      <c r="AR222" s="616">
        <f t="shared" si="1075"/>
        <v>5</v>
      </c>
      <c r="AS222" s="616">
        <f>COUNTIFS('AR | Drawing List'!$H:$H,"AR-SDV-2",'AR | Drawing List'!M:M,1)</f>
        <v>5</v>
      </c>
      <c r="AT222" s="616">
        <f>COUNTIFS('AR | Drawing List'!$H:$H,"AR-SDV-2",'AR | Drawing List'!N:N,1)</f>
        <v>0</v>
      </c>
      <c r="AU222" s="616">
        <f>COUNTIFS('AR | Drawing List'!$H:$H,"AR-SDV-2",'AR | Drawing List'!O:O,1)</f>
        <v>0</v>
      </c>
      <c r="AV222" s="616">
        <f>COUNTIFS('AR | Drawing List'!$H:$H,"AR-SDV-2",'AR | Drawing List'!P:P,1)</f>
        <v>0</v>
      </c>
      <c r="AW222" s="328"/>
      <c r="AX222" s="616">
        <f t="shared" si="1093"/>
        <v>2</v>
      </c>
      <c r="AY222" s="616">
        <f>COUNTIFS('AR | Drawing List'!$H:$H,"AR-SDV-2",'AR | Drawing List'!R:R,1)</f>
        <v>2</v>
      </c>
      <c r="AZ222" s="616">
        <f>COUNTIFS('AR | Drawing List'!$H:$H,"AR-SDV-2",'AR | Drawing List'!S:S,1)</f>
        <v>0</v>
      </c>
      <c r="BA222" s="616">
        <f>COUNTIFS('AR | Drawing List'!$H:$H,"AR-SDV-2",'AR | Drawing List'!T:T,1)</f>
        <v>0</v>
      </c>
      <c r="BB222" s="616">
        <f>COUNTIFS('AR | Drawing List'!$H:$H,"AR-SDV-2",'AR | Drawing List'!U:U,1)</f>
        <v>0</v>
      </c>
      <c r="BC222" s="359"/>
      <c r="BD222" s="359"/>
      <c r="BE222" s="525">
        <v>0.3</v>
      </c>
      <c r="BF222" s="343"/>
      <c r="BG222" s="616">
        <f t="shared" si="1359"/>
        <v>0.19047206849633333</v>
      </c>
      <c r="BH222" s="618">
        <f t="shared" si="1001"/>
        <v>0</v>
      </c>
      <c r="BI222" s="615">
        <f>IFERROR(IF(BV222=100%,BG222,0),0)</f>
        <v>0</v>
      </c>
      <c r="BJ222" s="615">
        <f>IFERROR(IF(AND((BV222+BW222)=100%,BV222&lt;1),BG222,0),0)</f>
        <v>0.19047206849633333</v>
      </c>
      <c r="BK222" s="615">
        <f>IFERROR(IF(AND((CA222+CC222)=BZ222,BI222=0),BG222,0),0)</f>
        <v>0.19047206849633333</v>
      </c>
      <c r="BL222" s="615">
        <f>IFERROR(IF(AND((CA222+CC222+CD222)=BZ222,BI222=0,BK222=0),BG222,0),0)</f>
        <v>0</v>
      </c>
      <c r="BM222" s="615">
        <f>IFERROR(IF(AND((CA222+CC222+CD222+CE222)=BZ222,BI222=0,BK222=0,BL222=0),BG222,0),0)</f>
        <v>0</v>
      </c>
      <c r="BN222" s="615">
        <f>IFERROR(IF(AND((CA222+CC222+CD222+CE222+CF222)=BZ222,BI222=0,BK222=0,BL222=0,BM222=0),BG222,0),0)</f>
        <v>0</v>
      </c>
      <c r="BO222" s="339"/>
      <c r="BP222" s="615">
        <f>IFERROR(IF(AND((BV222+BX222)=100%,BV222&lt;1),BG222,0),0)</f>
        <v>0</v>
      </c>
      <c r="BQ222" s="615">
        <f>IFERROR(IF(AND((CA222+CI222)=BZ222,BI222=0),BG222,0),0)</f>
        <v>0</v>
      </c>
      <c r="BR222" s="615">
        <f>IFERROR(IF(AND((CA222+CI222+CJ222)=BZ222,BI222=0,BQ222=0),BG222,0),0)</f>
        <v>0</v>
      </c>
      <c r="BS222" s="615">
        <f>IFERROR(IF(AND((CA222+CI222+CJ222+CK222)=BZ222,BI222=0,BQ222=0,BR222=0),BG222,0),0)</f>
        <v>0</v>
      </c>
      <c r="BT222" s="615">
        <f>IFERROR(IF(AND((CA222+CI222+CJ222+CK222+CL222)=BZ222,BI222=0,BQ222=0,BR222=0,BS222=0),BG222,0),0)</f>
        <v>0</v>
      </c>
      <c r="BU222" s="339"/>
      <c r="BV222" s="635">
        <f t="shared" si="1360"/>
        <v>0.74285714285714288</v>
      </c>
      <c r="BW222" s="635">
        <f t="shared" si="1361"/>
        <v>0.25714285714285712</v>
      </c>
      <c r="BX222" s="635">
        <f t="shared" si="1362"/>
        <v>0.2</v>
      </c>
      <c r="BY222" s="345"/>
      <c r="BZ222" s="615">
        <f>COUNTIF('ST | Drawing List'!$H:$H,"ST-SDV-2")</f>
        <v>35</v>
      </c>
      <c r="CA222" s="616">
        <f>COUNTIFS('ST | Drawing List'!$H:$H,"ST-SDV-2",'ST | Drawing List'!$J:$J,1)</f>
        <v>26</v>
      </c>
      <c r="CB222" s="623">
        <f>COUNTIFS('ST | Drawing List'!$H:$H,"ST-SDV-2",'ST | Drawing List'!$L:$L,1)</f>
        <v>9</v>
      </c>
      <c r="CC222" s="616">
        <f>COUNTIFS('ST | Drawing List'!$H:$H,"ST-SDV-2",'ST | Drawing List'!M:M,1)</f>
        <v>9</v>
      </c>
      <c r="CD222" s="616">
        <f>COUNTIFS('ST | Drawing List'!$H:$H,"ST-SDV-2",'ST | Drawing List'!N:N,1)</f>
        <v>0</v>
      </c>
      <c r="CE222" s="616">
        <f>COUNTIFS('ST | Drawing List'!$H:$H,"ST-SDV-2",'ST | Drawing List'!O:O,1)</f>
        <v>0</v>
      </c>
      <c r="CF222" s="616">
        <f>COUNTIFS('ST | Drawing List'!$H:$H,"ST-SDV-2",'ST | Drawing List'!P:P,1)</f>
        <v>0</v>
      </c>
      <c r="CG222" s="532"/>
      <c r="CH222" s="623">
        <f>COUNTIFS('ST | Drawing List'!$H:$H,"ST-SDV-2",'ST | Drawing List'!$Q:$Q,1)</f>
        <v>7</v>
      </c>
      <c r="CI222" s="616">
        <f>COUNTIFS('ST | Drawing List'!$H:$H,"ST-SDV-2",'ST | Drawing List'!R:R,1)</f>
        <v>7</v>
      </c>
      <c r="CJ222" s="616">
        <f>COUNTIFS('ST | Drawing List'!$H:$H,"ST-SDV-2",'ST | Drawing List'!S:S,1)</f>
        <v>0</v>
      </c>
      <c r="CK222" s="616">
        <f>COUNTIFS('ST | Drawing List'!$H:$H,"ST-SDV-2",'ST | Drawing List'!T:T,1)</f>
        <v>0</v>
      </c>
      <c r="CL222" s="616">
        <f>COUNTIFS('ST | Drawing List'!$H:$H,"ST-SDV-2",'ST | Drawing List'!U:U,1)</f>
        <v>0</v>
      </c>
      <c r="CM222" s="343"/>
      <c r="CN222" s="343"/>
      <c r="CO222" s="666">
        <v>0</v>
      </c>
      <c r="CP222" s="343"/>
      <c r="CQ222" s="616">
        <f t="shared" si="1363"/>
        <v>0</v>
      </c>
      <c r="CR222" s="618">
        <f t="shared" si="1002"/>
        <v>0</v>
      </c>
      <c r="CS222" s="615">
        <f t="shared" si="1364"/>
        <v>0</v>
      </c>
      <c r="CT222" s="615">
        <f t="shared" si="1365"/>
        <v>0</v>
      </c>
      <c r="CU222" s="615">
        <f t="shared" si="1366"/>
        <v>0</v>
      </c>
      <c r="CV222" s="615">
        <f t="shared" si="1367"/>
        <v>0</v>
      </c>
      <c r="CW222" s="615">
        <f t="shared" si="1368"/>
        <v>0</v>
      </c>
      <c r="CX222" s="615">
        <f t="shared" si="1369"/>
        <v>0</v>
      </c>
      <c r="CY222" s="339"/>
      <c r="CZ222" s="615">
        <f t="shared" si="1370"/>
        <v>0</v>
      </c>
      <c r="DA222" s="615">
        <f t="shared" si="1371"/>
        <v>0</v>
      </c>
      <c r="DB222" s="615">
        <f t="shared" si="1372"/>
        <v>0</v>
      </c>
      <c r="DC222" s="615">
        <f t="shared" si="1373"/>
        <v>0</v>
      </c>
      <c r="DD222" s="615">
        <f t="shared" si="1374"/>
        <v>0</v>
      </c>
      <c r="DE222" s="339"/>
      <c r="DF222" s="625">
        <f t="shared" si="1375"/>
        <v>0</v>
      </c>
      <c r="DG222" s="625">
        <f t="shared" si="1376"/>
        <v>0</v>
      </c>
      <c r="DH222" s="625">
        <f t="shared" si="1377"/>
        <v>0</v>
      </c>
      <c r="DI222" s="345"/>
      <c r="DJ222" s="615">
        <f>COUNTIF('MEP | Drawing List'!$H:$H,"MEP-SDV-2")</f>
        <v>0</v>
      </c>
      <c r="DK222" s="616">
        <f>COUNTIFS('MEP | Drawing List'!$H:$H,"MEP-SDV-2",'MEP | Drawing List'!$J:$J,1)</f>
        <v>0</v>
      </c>
      <c r="DL222" s="616">
        <f>COUNTIFS('MEP | Drawing List'!$H:$H,"MEP-SDV-2",'MEP | Drawing List'!$L:$L,1)</f>
        <v>0</v>
      </c>
      <c r="DM222" s="615">
        <f>COUNTIFS('MEP | Drawing List'!$H:$H,"MEP-SDV-2",'MEP | Drawing List'!M:M,1)</f>
        <v>0</v>
      </c>
      <c r="DN222" s="615">
        <f>COUNTIFS('MEP | Drawing List'!$H:$H,"MEP-SDV-2",'MEP | Drawing List'!N:N,1)</f>
        <v>0</v>
      </c>
      <c r="DO222" s="615">
        <f>COUNTIFS('MEP | Drawing List'!$H:$H,"MEP-SDV-2",'MEP | Drawing List'!O:O,1)</f>
        <v>0</v>
      </c>
      <c r="DP222" s="615">
        <f>COUNTIFS('MEP | Drawing List'!$H:$H,"MEP-SDV-2",'MEP | Drawing List'!P:P,1)</f>
        <v>0</v>
      </c>
      <c r="DQ222" s="339"/>
      <c r="DR222" s="616">
        <f>COUNTIFS('MEP | Drawing List'!$H:$H,"MEP-SDV-2",'MEP | Drawing List'!$Q:$Q,1)</f>
        <v>0</v>
      </c>
      <c r="DS222" s="615">
        <f>COUNTIFS('MEP | Drawing List'!$H:$H,"MEP-SDV-2",'MEP | Drawing List'!R:R,1)</f>
        <v>0</v>
      </c>
      <c r="DT222" s="615">
        <f>COUNTIFS('MEP | Drawing List'!$H:$H,"MEP-SDV-2",'MEP | Drawing List'!S:S,1)</f>
        <v>0</v>
      </c>
      <c r="DU222" s="615">
        <f>COUNTIFS('MEP | Drawing List'!$H:$H,"MEP-SDV-2",'MEP | Drawing List'!T:T,1)</f>
        <v>0</v>
      </c>
      <c r="DV222" s="615">
        <f>COUNTIFS('MEP | Drawing List'!$H:$H,"MEP-SDV-2",'MEP | Drawing List'!U:U,1)</f>
        <v>0</v>
      </c>
      <c r="DW222" s="343"/>
      <c r="DX222" s="343"/>
      <c r="DY222" s="525">
        <v>0</v>
      </c>
      <c r="DZ222" s="343"/>
      <c r="EA222" s="616">
        <f t="shared" si="1378"/>
        <v>0</v>
      </c>
      <c r="EB222" s="618">
        <f t="shared" si="1003"/>
        <v>0</v>
      </c>
      <c r="EC222" s="615">
        <f t="shared" si="1379"/>
        <v>0</v>
      </c>
      <c r="ED222" s="615">
        <f t="shared" si="1380"/>
        <v>0</v>
      </c>
      <c r="EE222" s="615">
        <f t="shared" si="1381"/>
        <v>0</v>
      </c>
      <c r="EF222" s="615">
        <f t="shared" si="1382"/>
        <v>0</v>
      </c>
      <c r="EG222" s="615">
        <f t="shared" si="1383"/>
        <v>0</v>
      </c>
      <c r="EH222" s="615">
        <f t="shared" si="1384"/>
        <v>0</v>
      </c>
      <c r="EI222" s="339"/>
      <c r="EJ222" s="620">
        <f t="shared" si="1385"/>
        <v>0</v>
      </c>
      <c r="EK222" s="615">
        <f t="shared" si="1386"/>
        <v>0</v>
      </c>
      <c r="EL222" s="615">
        <f t="shared" si="1387"/>
        <v>0</v>
      </c>
      <c r="EM222" s="615">
        <f t="shared" si="1388"/>
        <v>0</v>
      </c>
      <c r="EN222" s="615">
        <f t="shared" si="1389"/>
        <v>0</v>
      </c>
      <c r="EO222" s="339"/>
      <c r="EP222" s="627">
        <f t="shared" si="1390"/>
        <v>0</v>
      </c>
      <c r="EQ222" s="627">
        <f t="shared" si="1391"/>
        <v>0</v>
      </c>
      <c r="ER222" s="627">
        <f t="shared" si="1392"/>
        <v>0</v>
      </c>
      <c r="ES222" s="55"/>
      <c r="ET222" s="615">
        <f>COUNTIF('LS | Drawing List'!$H:$H,"LS-SDV-2")</f>
        <v>0</v>
      </c>
      <c r="EU222" s="616">
        <f>COUNTIFS('LS | Drawing List'!$H:$H,"LS-SDV-2",'LS | Drawing List'!$J:$J,1)</f>
        <v>0</v>
      </c>
      <c r="EV222" s="616">
        <f>COUNTIFS('LS | Drawing List'!$H:$H,"LS-SDV-2",'LS | Drawing List'!$L:$L,1)</f>
        <v>0</v>
      </c>
      <c r="EW222" s="615">
        <f>COUNTIFS('LS | Drawing List'!$H:$H,"LS-SDV-2",'LS | Drawing List'!M:M,1)</f>
        <v>0</v>
      </c>
      <c r="EX222" s="615">
        <f>COUNTIFS('LS | Drawing List'!$H:$H,"LS-SDV-2",'LS | Drawing List'!N:N,1)</f>
        <v>0</v>
      </c>
      <c r="EY222" s="615">
        <f>COUNTIFS('LS | Drawing List'!$H:$H,"LS-SDV-2",'LS | Drawing List'!O:O,1)</f>
        <v>0</v>
      </c>
      <c r="EZ222" s="615">
        <f>COUNTIFS('LS | Drawing List'!$H:$H,"LS-SDV-2",'LS | Drawing List'!P:P,1)</f>
        <v>0</v>
      </c>
      <c r="FA222" s="81"/>
      <c r="FB222" s="616">
        <f>COUNTIFS('LS | Drawing List'!$H:$H,"LS-SDV-2",'LS | Drawing List'!$Q:$Q,1)</f>
        <v>0</v>
      </c>
      <c r="FC222" s="615">
        <f>COUNTIFS('LS | Drawing List'!$H:$H,"LS-SDV-2",'LS | Drawing List'!R:R,1)</f>
        <v>0</v>
      </c>
      <c r="FD222" s="615">
        <f>COUNTIFS('LS | Drawing List'!$H:$H,"LS-SDV-2",'LS | Drawing List'!S:S,1)</f>
        <v>0</v>
      </c>
      <c r="FE222" s="615">
        <f>COUNTIFS('LS | Drawing List'!$H:$H,"LS-SDV-2",'LS | Drawing List'!T:T,1)</f>
        <v>0</v>
      </c>
      <c r="FF222" s="615">
        <f>COUNTIFS('LS | Drawing List'!$H:$H,"LS-SDV-2",'LS | Drawing List'!U:U,1)</f>
        <v>0</v>
      </c>
      <c r="FG222" s="48"/>
    </row>
    <row r="223" spans="1:163" ht="14.25" hidden="1" outlineLevel="2">
      <c r="A223" s="48"/>
      <c r="B223" s="87" t="s">
        <v>205</v>
      </c>
      <c r="C223" s="276">
        <v>3</v>
      </c>
      <c r="D223" s="272" t="s">
        <v>206</v>
      </c>
      <c r="E223" s="48"/>
      <c r="F223" s="619">
        <f t="shared" si="1346"/>
        <v>0.6665152237469445</v>
      </c>
      <c r="G223" s="619">
        <f t="shared" si="1347"/>
        <v>0</v>
      </c>
      <c r="H223" s="615">
        <f t="shared" si="1348"/>
        <v>0.6665152237469445</v>
      </c>
      <c r="I223" s="615">
        <f t="shared" si="1328"/>
        <v>0.6665152237469445</v>
      </c>
      <c r="J223" s="615">
        <f t="shared" si="1329"/>
        <v>0.30906422374694442</v>
      </c>
      <c r="K223" s="615">
        <f t="shared" si="1330"/>
        <v>0</v>
      </c>
      <c r="L223" s="615">
        <f t="shared" si="1331"/>
        <v>0</v>
      </c>
      <c r="M223" s="620">
        <f t="shared" si="1332"/>
        <v>0.35745100000000002</v>
      </c>
      <c r="N223" s="287"/>
      <c r="O223" s="615">
        <f t="shared" si="1333"/>
        <v>0</v>
      </c>
      <c r="P223" s="615">
        <f t="shared" si="1334"/>
        <v>0</v>
      </c>
      <c r="Q223" s="615">
        <f t="shared" si="1335"/>
        <v>0</v>
      </c>
      <c r="R223" s="615">
        <f t="shared" si="1336"/>
        <v>0</v>
      </c>
      <c r="S223" s="615">
        <f t="shared" si="1337"/>
        <v>0</v>
      </c>
      <c r="T223" s="48"/>
      <c r="U223" s="519">
        <v>0.05</v>
      </c>
      <c r="V223" s="131"/>
      <c r="W223" s="619">
        <f t="shared" si="1349"/>
        <v>0.15033750000000001</v>
      </c>
      <c r="X223" s="619">
        <f t="shared" si="1000"/>
        <v>0</v>
      </c>
      <c r="Y223" s="621">
        <f t="shared" si="1350"/>
        <v>0</v>
      </c>
      <c r="Z223" s="621">
        <f t="shared" si="1351"/>
        <v>0.15033750000000001</v>
      </c>
      <c r="AA223" s="615">
        <f t="shared" si="1352"/>
        <v>0.15033750000000001</v>
      </c>
      <c r="AB223" s="615">
        <f t="shared" si="1353"/>
        <v>0</v>
      </c>
      <c r="AC223" s="615">
        <f t="shared" si="1354"/>
        <v>0</v>
      </c>
      <c r="AD223" s="620">
        <f t="shared" si="1355"/>
        <v>0</v>
      </c>
      <c r="AE223" s="287"/>
      <c r="AF223" s="615">
        <f t="shared" si="1356"/>
        <v>0</v>
      </c>
      <c r="AG223" s="615">
        <f>IFERROR(IF(AND((AQ223+AY223)=AP223,Y223=0),W223,0),0)</f>
        <v>0</v>
      </c>
      <c r="AH223" s="615">
        <f>IFERROR(IF(AND((AQ223+AY223+AZ223)=AP223,Y223=0,AG223=0),W223,0),0)</f>
        <v>0</v>
      </c>
      <c r="AI223" s="615">
        <f>IFERROR(IF(AND((AQ223+AY223+AZ223+BA223)=AP223,Y223=0,AG223=0,AH223=0),W223,0),0)</f>
        <v>0</v>
      </c>
      <c r="AJ223" s="615">
        <f>IFERROR(IF(AND((AQ223+AY223+AZ223+BA223+BB223)=AP223,Y223=0,AG223=0,AH223=0,AI223=0),W223,0),0)</f>
        <v>0</v>
      </c>
      <c r="AK223" s="339"/>
      <c r="AL223" s="625">
        <f t="shared" si="1357"/>
        <v>0.13157894736842105</v>
      </c>
      <c r="AM223" s="625">
        <f t="shared" si="1358"/>
        <v>0.86842105263157898</v>
      </c>
      <c r="AN223" s="625">
        <f>IFERROR(AX223/AP223,0)</f>
        <v>5.2631578947368418E-2</v>
      </c>
      <c r="AO223" s="345"/>
      <c r="AP223" s="615">
        <f>COUNTIF('AR | Drawing List'!$H:$H,"AR-SDV-3")</f>
        <v>38</v>
      </c>
      <c r="AQ223" s="616">
        <f>COUNTIFS('AR | Drawing List'!$H:$H,"AR-SDV-3",'AR | Drawing List'!$J:$J,1)</f>
        <v>5</v>
      </c>
      <c r="AR223" s="616">
        <f t="shared" si="1075"/>
        <v>33</v>
      </c>
      <c r="AS223" s="616">
        <f>COUNTIFS('AR | Drawing List'!$H:$H,"AR-SDV-3",'AR | Drawing List'!M:M,1)</f>
        <v>33</v>
      </c>
      <c r="AT223" s="616">
        <f>COUNTIFS('AR | Drawing List'!$H:$H,"AR-SDV-3",'AR | Drawing List'!N:N,1)</f>
        <v>0</v>
      </c>
      <c r="AU223" s="616">
        <f>COUNTIFS('AR | Drawing List'!$H:$H,"AR-SDV-3",'AR | Drawing List'!O:O,1)</f>
        <v>0</v>
      </c>
      <c r="AV223" s="616">
        <f>COUNTIFS('AR | Drawing List'!$H:$H,"AR-SDV-3",'AR | Drawing List'!P:P,1)</f>
        <v>0</v>
      </c>
      <c r="AW223" s="328"/>
      <c r="AX223" s="616">
        <f t="shared" si="1093"/>
        <v>2</v>
      </c>
      <c r="AY223" s="616">
        <f>COUNTIFS('AR | Drawing List'!$H:$H,"AR-SDV-3",'AR | Drawing List'!R:R,1)</f>
        <v>2</v>
      </c>
      <c r="AZ223" s="616">
        <f>COUNTIFS('AR | Drawing List'!$H:$H,"AR-SDV-3",'AR | Drawing List'!S:S,1)</f>
        <v>0</v>
      </c>
      <c r="BA223" s="616">
        <f>COUNTIFS('AR | Drawing List'!$H:$H,"AR-SDV-3",'AR | Drawing List'!T:T,1)</f>
        <v>0</v>
      </c>
      <c r="BB223" s="616">
        <f>COUNTIFS('AR | Drawing List'!$H:$H,"AR-SDV-3",'AR | Drawing List'!U:U,1)</f>
        <v>0</v>
      </c>
      <c r="BC223" s="359"/>
      <c r="BD223" s="359"/>
      <c r="BE223" s="525">
        <v>0.25</v>
      </c>
      <c r="BF223" s="343"/>
      <c r="BG223" s="616">
        <f t="shared" si="1359"/>
        <v>0.15872672374694444</v>
      </c>
      <c r="BH223" s="618">
        <f t="shared" si="1001"/>
        <v>0</v>
      </c>
      <c r="BI223" s="615">
        <f>IFERROR(IF(BV223=100%,BG223,0),0)</f>
        <v>0</v>
      </c>
      <c r="BJ223" s="615">
        <f>IFERROR(IF(AND((BV223+BW223)=100%,BV223&lt;1),BG223,0),0)</f>
        <v>0.15872672374694444</v>
      </c>
      <c r="BK223" s="615">
        <f>IFERROR(IF(AND((CA223+CC223)=BZ223,BI223=0),BG223,0),0)</f>
        <v>0.15872672374694444</v>
      </c>
      <c r="BL223" s="615">
        <f>IFERROR(IF(AND((CA223+CC223+CD223)=BZ223,BI223=0,BK223=0),BG223,0),0)</f>
        <v>0</v>
      </c>
      <c r="BM223" s="615">
        <f>IFERROR(IF(AND((CA223+CC223+CD223+CE223)=BZ223,BI223=0,BK223=0,BL223=0),BG223,0),0)</f>
        <v>0</v>
      </c>
      <c r="BN223" s="615">
        <f>IFERROR(IF(AND((CA223+CC223+CD223+CE223+CF223)=BZ223,BI223=0,BK223=0,BL223=0,BM223=0),BG223,0),0)</f>
        <v>0</v>
      </c>
      <c r="BO223" s="339"/>
      <c r="BP223" s="615">
        <f>IFERROR(IF(AND((BV223+BX223)=100%,BV223&lt;1),BG223,0),0)</f>
        <v>0</v>
      </c>
      <c r="BQ223" s="615">
        <f>IFERROR(IF(AND((CA223+CI223)=BZ223,BI223=0),BG223,0),0)</f>
        <v>0</v>
      </c>
      <c r="BR223" s="615">
        <f>IFERROR(IF(AND((CA223+CI223+CJ223)=BZ223,BI223=0,BQ223=0),BG223,0),0)</f>
        <v>0</v>
      </c>
      <c r="BS223" s="615">
        <f>IFERROR(IF(AND((CA223+CI223+CJ223+CK223)=BZ223,BI223=0,BQ223=0,BR223=0),BG223,0),0)</f>
        <v>0</v>
      </c>
      <c r="BT223" s="615">
        <f>IFERROR(IF(AND((CA223+CI223+CJ223+CK223+CL223)=BZ223,BI223=0,BQ223=0,BR223=0,BS223=0),BG223,0),0)</f>
        <v>0</v>
      </c>
      <c r="BU223" s="339"/>
      <c r="BV223" s="635">
        <f t="shared" si="1360"/>
        <v>0.125</v>
      </c>
      <c r="BW223" s="635">
        <f t="shared" si="1361"/>
        <v>0.875</v>
      </c>
      <c r="BX223" s="635">
        <f t="shared" si="1362"/>
        <v>0.5625</v>
      </c>
      <c r="BY223" s="345"/>
      <c r="BZ223" s="615">
        <f>COUNTIF('ST | Drawing List'!$H:$H,"ST-SDV-3")</f>
        <v>16</v>
      </c>
      <c r="CA223" s="616">
        <f>COUNTIFS('ST | Drawing List'!$H:$H,"ST-SDV-3",'ST | Drawing List'!$J:$J,1)</f>
        <v>2</v>
      </c>
      <c r="CB223" s="623">
        <f>COUNTIFS('ST | Drawing List'!$H:$H,"ST-SDV-3",'ST | Drawing List'!$L:$L,1)</f>
        <v>14</v>
      </c>
      <c r="CC223" s="616">
        <f>COUNTIFS('ST | Drawing List'!$H:$H,"ST-SDV-3",'ST | Drawing List'!M:M,1)</f>
        <v>14</v>
      </c>
      <c r="CD223" s="616">
        <f>COUNTIFS('ST | Drawing List'!$H:$H,"ST-SDV-3",'ST | Drawing List'!N:N,1)</f>
        <v>0</v>
      </c>
      <c r="CE223" s="616">
        <f>COUNTIFS('ST | Drawing List'!$H:$H,"ST-SDV-3",'ST | Drawing List'!O:O,1)</f>
        <v>0</v>
      </c>
      <c r="CF223" s="616">
        <f>COUNTIFS('ST | Drawing List'!$H:$H,"ST-SDV-3",'ST | Drawing List'!P:P,1)</f>
        <v>0</v>
      </c>
      <c r="CG223" s="532"/>
      <c r="CH223" s="623">
        <f>COUNTIFS('ST | Drawing List'!$H:$H,"ST-SDV-3",'ST | Drawing List'!$Q:$Q,1)</f>
        <v>9</v>
      </c>
      <c r="CI223" s="616">
        <f>COUNTIFS('ST | Drawing List'!$H:$H,"ST-SDV-3",'ST | Drawing List'!R:R,1)</f>
        <v>4</v>
      </c>
      <c r="CJ223" s="616">
        <f>COUNTIFS('ST | Drawing List'!$H:$H,"ST-SDV-3",'ST | Drawing List'!S:S,1)</f>
        <v>5</v>
      </c>
      <c r="CK223" s="616">
        <f>COUNTIFS('ST | Drawing List'!$H:$H,"ST-SDV-3",'ST | Drawing List'!T:T,1)</f>
        <v>0</v>
      </c>
      <c r="CL223" s="616">
        <f>COUNTIFS('ST | Drawing List'!$H:$H,"ST-SDV-3",'ST | Drawing List'!U:U,1)</f>
        <v>0</v>
      </c>
      <c r="CM223" s="343"/>
      <c r="CN223" s="343"/>
      <c r="CO223" s="525">
        <v>0.5</v>
      </c>
      <c r="CP223" s="343"/>
      <c r="CQ223" s="616">
        <f t="shared" si="1363"/>
        <v>0.35745100000000002</v>
      </c>
      <c r="CR223" s="618">
        <f t="shared" si="1002"/>
        <v>0</v>
      </c>
      <c r="CS223" s="615">
        <f t="shared" si="1364"/>
        <v>0</v>
      </c>
      <c r="CT223" s="615">
        <f t="shared" si="1365"/>
        <v>0.35745100000000002</v>
      </c>
      <c r="CU223" s="615">
        <f t="shared" si="1366"/>
        <v>0</v>
      </c>
      <c r="CV223" s="615">
        <f t="shared" si="1367"/>
        <v>0</v>
      </c>
      <c r="CW223" s="615">
        <f t="shared" si="1368"/>
        <v>0</v>
      </c>
      <c r="CX223" s="615">
        <f t="shared" si="1369"/>
        <v>0.35745100000000002</v>
      </c>
      <c r="CY223" s="339"/>
      <c r="CZ223" s="615">
        <f t="shared" si="1370"/>
        <v>0</v>
      </c>
      <c r="DA223" s="615">
        <f t="shared" si="1371"/>
        <v>0</v>
      </c>
      <c r="DB223" s="615">
        <f t="shared" si="1372"/>
        <v>0</v>
      </c>
      <c r="DC223" s="615">
        <f t="shared" si="1373"/>
        <v>0</v>
      </c>
      <c r="DD223" s="615">
        <f t="shared" si="1374"/>
        <v>0</v>
      </c>
      <c r="DE223" s="339"/>
      <c r="DF223" s="625">
        <f t="shared" si="1375"/>
        <v>0.61538461538461542</v>
      </c>
      <c r="DG223" s="625">
        <f t="shared" si="1376"/>
        <v>0.38461538461538464</v>
      </c>
      <c r="DH223" s="625">
        <f t="shared" si="1377"/>
        <v>0.28205128205128205</v>
      </c>
      <c r="DI223" s="345"/>
      <c r="DJ223" s="615">
        <f>COUNTIF('MEP | Drawing List'!$H:$H,"MEP-SDV-3")</f>
        <v>39</v>
      </c>
      <c r="DK223" s="616">
        <f>COUNTIFS('MEP | Drawing List'!$H:$H,"MEP-SDV-3",'MEP | Drawing List'!$J:$J,1)</f>
        <v>24</v>
      </c>
      <c r="DL223" s="616">
        <f>COUNTIFS('MEP | Drawing List'!$H:$H,"MEP-SDV-3",'MEP | Drawing List'!$L:$L,1)</f>
        <v>15</v>
      </c>
      <c r="DM223" s="615">
        <f>COUNTIFS('MEP | Drawing List'!$H:$H,"MEP-SDV-3",'MEP | Drawing List'!M:M,1)</f>
        <v>13</v>
      </c>
      <c r="DN223" s="615">
        <f>COUNTIFS('MEP | Drawing List'!$H:$H,"MEP-SDV-3",'MEP | Drawing List'!N:N,1)</f>
        <v>0</v>
      </c>
      <c r="DO223" s="615">
        <f>COUNTIFS('MEP | Drawing List'!$H:$H,"MEP-SDV-3",'MEP | Drawing List'!O:O,1)</f>
        <v>0</v>
      </c>
      <c r="DP223" s="615">
        <f>COUNTIFS('MEP | Drawing List'!$H:$H,"MEP-SDV-3",'MEP | Drawing List'!P:P,1)</f>
        <v>2</v>
      </c>
      <c r="DQ223" s="339"/>
      <c r="DR223" s="616">
        <f>COUNTIFS('MEP | Drawing List'!$H:$H,"MEP-SDV-3",'MEP | Drawing List'!$Q:$Q,1)</f>
        <v>11</v>
      </c>
      <c r="DS223" s="615">
        <f>COUNTIFS('MEP | Drawing List'!$H:$H,"MEP-SDV-3",'MEP | Drawing List'!R:R,1)</f>
        <v>0</v>
      </c>
      <c r="DT223" s="615">
        <f>COUNTIFS('MEP | Drawing List'!$H:$H,"MEP-SDV-3",'MEP | Drawing List'!S:S,1)</f>
        <v>11</v>
      </c>
      <c r="DU223" s="615">
        <f>COUNTIFS('MEP | Drawing List'!$H:$H,"MEP-SDV-3",'MEP | Drawing List'!T:T,1)</f>
        <v>0</v>
      </c>
      <c r="DV223" s="615">
        <f>COUNTIFS('MEP | Drawing List'!$H:$H,"MEP-SDV-3",'MEP | Drawing List'!U:U,1)</f>
        <v>0</v>
      </c>
      <c r="DW223" s="343"/>
      <c r="DX223" s="343"/>
      <c r="DY223" s="525">
        <v>0</v>
      </c>
      <c r="DZ223" s="343"/>
      <c r="EA223" s="616">
        <f t="shared" si="1378"/>
        <v>0</v>
      </c>
      <c r="EB223" s="618">
        <f t="shared" si="1003"/>
        <v>0</v>
      </c>
      <c r="EC223" s="615">
        <f t="shared" si="1379"/>
        <v>0</v>
      </c>
      <c r="ED223" s="615">
        <f t="shared" si="1380"/>
        <v>0</v>
      </c>
      <c r="EE223" s="615">
        <f t="shared" si="1381"/>
        <v>0</v>
      </c>
      <c r="EF223" s="615">
        <f t="shared" si="1382"/>
        <v>0</v>
      </c>
      <c r="EG223" s="615">
        <f t="shared" si="1383"/>
        <v>0</v>
      </c>
      <c r="EH223" s="615">
        <f t="shared" si="1384"/>
        <v>0</v>
      </c>
      <c r="EI223" s="339"/>
      <c r="EJ223" s="620">
        <f t="shared" si="1385"/>
        <v>0</v>
      </c>
      <c r="EK223" s="615">
        <f t="shared" si="1386"/>
        <v>0</v>
      </c>
      <c r="EL223" s="615">
        <f t="shared" si="1387"/>
        <v>0</v>
      </c>
      <c r="EM223" s="615">
        <f t="shared" si="1388"/>
        <v>0</v>
      </c>
      <c r="EN223" s="615">
        <f t="shared" si="1389"/>
        <v>0</v>
      </c>
      <c r="EO223" s="339"/>
      <c r="EP223" s="627">
        <f t="shared" si="1390"/>
        <v>0</v>
      </c>
      <c r="EQ223" s="627">
        <f t="shared" si="1391"/>
        <v>0</v>
      </c>
      <c r="ER223" s="627">
        <f t="shared" si="1392"/>
        <v>0</v>
      </c>
      <c r="ES223" s="55"/>
      <c r="ET223" s="615">
        <f>COUNTIF('LS | Drawing List'!$H:$H,"LS-SDV-3")</f>
        <v>0</v>
      </c>
      <c r="EU223" s="616">
        <f>COUNTIFS('LS | Drawing List'!$H:$H,"LS-SDV-3",'LS | Drawing List'!$J:$J,1)</f>
        <v>0</v>
      </c>
      <c r="EV223" s="616">
        <f>COUNTIFS('LS | Drawing List'!$H:$H,"LS-SDV-3",'LS | Drawing List'!$L:$L,1)</f>
        <v>0</v>
      </c>
      <c r="EW223" s="615">
        <f>COUNTIFS('LS | Drawing List'!$H:$H,"LS-SDV-3",'LS | Drawing List'!M:M,1)</f>
        <v>0</v>
      </c>
      <c r="EX223" s="615">
        <f>COUNTIFS('LS | Drawing List'!$H:$H,"LS-SDV-3",'LS | Drawing List'!N:N,1)</f>
        <v>0</v>
      </c>
      <c r="EY223" s="615">
        <f>COUNTIFS('LS | Drawing List'!$H:$H,"LS-SDV-3",'LS | Drawing List'!O:O,1)</f>
        <v>0</v>
      </c>
      <c r="EZ223" s="615">
        <f>COUNTIFS('LS | Drawing List'!$H:$H,"LS-SDV-3",'LS | Drawing List'!P:P,1)</f>
        <v>0</v>
      </c>
      <c r="FA223" s="81"/>
      <c r="FB223" s="616">
        <f>COUNTIFS('LS | Drawing List'!$H:$H,"LS-SDV-3",'LS | Drawing List'!$Q:$Q,1)</f>
        <v>0</v>
      </c>
      <c r="FC223" s="615">
        <f>COUNTIFS('LS | Drawing List'!$H:$H,"LS-SDV-3",'LS | Drawing List'!R:R,1)</f>
        <v>0</v>
      </c>
      <c r="FD223" s="615">
        <f>COUNTIFS('LS | Drawing List'!$H:$H,"LS-SDV-3",'LS | Drawing List'!S:S,1)</f>
        <v>0</v>
      </c>
      <c r="FE223" s="615">
        <f>COUNTIFS('LS | Drawing List'!$H:$H,"LS-SDV-3",'LS | Drawing List'!T:T,1)</f>
        <v>0</v>
      </c>
      <c r="FF223" s="615">
        <f>COUNTIFS('LS | Drawing List'!$H:$H,"LS-SDV-3",'LS | Drawing List'!U:U,1)</f>
        <v>0</v>
      </c>
      <c r="FG223" s="48"/>
    </row>
    <row r="224" spans="1:163" ht="14.25" hidden="1" outlineLevel="2">
      <c r="A224" s="48"/>
      <c r="B224" s="87" t="s">
        <v>207</v>
      </c>
      <c r="C224" s="276">
        <v>4</v>
      </c>
      <c r="D224" s="272" t="s">
        <v>208</v>
      </c>
      <c r="E224" s="48"/>
      <c r="F224" s="619">
        <f t="shared" si="1346"/>
        <v>0.35775239999999997</v>
      </c>
      <c r="G224" s="619">
        <f t="shared" si="1347"/>
        <v>0.20741489999999999</v>
      </c>
      <c r="H224" s="615">
        <f t="shared" si="1348"/>
        <v>0.15033749999999999</v>
      </c>
      <c r="I224" s="615">
        <f t="shared" si="1328"/>
        <v>0.35775239999999997</v>
      </c>
      <c r="J224" s="615">
        <f t="shared" si="1329"/>
        <v>0.35775239999999997</v>
      </c>
      <c r="K224" s="615">
        <f t="shared" si="1330"/>
        <v>0</v>
      </c>
      <c r="L224" s="615">
        <f t="shared" si="1331"/>
        <v>0</v>
      </c>
      <c r="M224" s="620">
        <f t="shared" si="1332"/>
        <v>0</v>
      </c>
      <c r="N224" s="287"/>
      <c r="O224" s="615">
        <f t="shared" si="1333"/>
        <v>0.20741489999999999</v>
      </c>
      <c r="P224" s="615">
        <f t="shared" si="1334"/>
        <v>0</v>
      </c>
      <c r="Q224" s="615">
        <f t="shared" si="1335"/>
        <v>0.20741489999999999</v>
      </c>
      <c r="R224" s="615">
        <f t="shared" si="1336"/>
        <v>0</v>
      </c>
      <c r="S224" s="615">
        <f t="shared" si="1337"/>
        <v>0</v>
      </c>
      <c r="T224" s="48"/>
      <c r="U224" s="519">
        <v>0.05</v>
      </c>
      <c r="V224" s="131"/>
      <c r="W224" s="619">
        <f t="shared" si="1349"/>
        <v>0.15033750000000001</v>
      </c>
      <c r="X224" s="619">
        <f t="shared" si="1000"/>
        <v>0</v>
      </c>
      <c r="Y224" s="621">
        <f t="shared" si="1350"/>
        <v>0</v>
      </c>
      <c r="Z224" s="621">
        <f t="shared" si="1351"/>
        <v>0.15033750000000001</v>
      </c>
      <c r="AA224" s="615">
        <f t="shared" si="1352"/>
        <v>0.15033750000000001</v>
      </c>
      <c r="AB224" s="615">
        <f t="shared" si="1353"/>
        <v>0</v>
      </c>
      <c r="AC224" s="615">
        <f t="shared" si="1354"/>
        <v>0</v>
      </c>
      <c r="AD224" s="620">
        <f t="shared" si="1355"/>
        <v>0</v>
      </c>
      <c r="AE224" s="287"/>
      <c r="AF224" s="615">
        <f t="shared" si="1356"/>
        <v>0</v>
      </c>
      <c r="AG224" s="615">
        <f>IFERROR(IF(AND((AQ224+AY224)=AP224,Y224=0),W224,0),0)</f>
        <v>0</v>
      </c>
      <c r="AH224" s="615">
        <f>IFERROR(IF(AND((AQ224+AY224+AZ224)=AP224,Y224=0,AG224=0),W224,0),0)</f>
        <v>0</v>
      </c>
      <c r="AI224" s="615">
        <f>IFERROR(IF(AND((AQ224+AY224+AZ224+BA224)=AP224,Y224=0,AG224=0,AH224=0),W224,0),0)</f>
        <v>0</v>
      </c>
      <c r="AJ224" s="615">
        <f>IFERROR(IF(AND((AQ224+AY224+AZ224+BA224+BB224)=AP224,Y224=0,AG224=0,AH224=0,AI224=0),W224,0),0)</f>
        <v>0</v>
      </c>
      <c r="AK224" s="339"/>
      <c r="AL224" s="625">
        <f t="shared" si="1357"/>
        <v>0.7142857142857143</v>
      </c>
      <c r="AM224" s="625">
        <f t="shared" si="1358"/>
        <v>0.2857142857142857</v>
      </c>
      <c r="AN224" s="625">
        <f>IFERROR(AX224/AP224,0)</f>
        <v>0</v>
      </c>
      <c r="AO224" s="345"/>
      <c r="AP224" s="615">
        <f>COUNTIF('AR | Drawing List'!$H:$H,"AR-SDV-4")</f>
        <v>7</v>
      </c>
      <c r="AQ224" s="616">
        <f>COUNTIFS('AR | Drawing List'!$H:$H,"AR-SDV-4",'AR | Drawing List'!$J:$J,1)</f>
        <v>5</v>
      </c>
      <c r="AR224" s="616">
        <f t="shared" si="1075"/>
        <v>2</v>
      </c>
      <c r="AS224" s="616">
        <f>COUNTIFS('AR | Drawing List'!$H:$H,"AR-SDV-4",'AR | Drawing List'!M:M,1)</f>
        <v>2</v>
      </c>
      <c r="AT224" s="616">
        <f>COUNTIFS('AR | Drawing List'!$H:$H,"AR-SDV-4",'AR | Drawing List'!N:N,1)</f>
        <v>0</v>
      </c>
      <c r="AU224" s="616">
        <f>COUNTIFS('AR | Drawing List'!$H:$H,"AR-SDV-4",'AR | Drawing List'!O:O,1)</f>
        <v>0</v>
      </c>
      <c r="AV224" s="616">
        <f>COUNTIFS('AR | Drawing List'!$H:$H,"AR-SDV-4",'AR | Drawing List'!P:P,1)</f>
        <v>0</v>
      </c>
      <c r="AW224" s="328"/>
      <c r="AX224" s="616">
        <f t="shared" si="1093"/>
        <v>0</v>
      </c>
      <c r="AY224" s="616">
        <f>COUNTIFS('AR | Drawing List'!$H:$H,"AR-SDV-4",'AR | Drawing List'!R:R,1)</f>
        <v>0</v>
      </c>
      <c r="AZ224" s="616">
        <f>COUNTIFS('AR | Drawing List'!$H:$H,"AR-SDV-4",'AR | Drawing List'!S:S,1)</f>
        <v>0</v>
      </c>
      <c r="BA224" s="616">
        <f>COUNTIFS('AR | Drawing List'!$H:$H,"AR-SDV-4",'AR | Drawing List'!T:T,1)</f>
        <v>0</v>
      </c>
      <c r="BB224" s="616">
        <f>COUNTIFS('AR | Drawing List'!$H:$H,"AR-SDV-4",'AR | Drawing List'!U:U,1)</f>
        <v>0</v>
      </c>
      <c r="BC224" s="359"/>
      <c r="BD224" s="359"/>
      <c r="BE224" s="666">
        <v>0</v>
      </c>
      <c r="BF224" s="343"/>
      <c r="BG224" s="616">
        <f t="shared" si="1359"/>
        <v>0</v>
      </c>
      <c r="BH224" s="618">
        <f t="shared" si="1001"/>
        <v>0</v>
      </c>
      <c r="BI224" s="615">
        <f>IFERROR(IF(BV224=100%,BG224,0),0)</f>
        <v>0</v>
      </c>
      <c r="BJ224" s="615">
        <f>IFERROR(IF(AND((BV224+BW224)=100%,BV224&lt;1),BG224,0),0)</f>
        <v>0</v>
      </c>
      <c r="BK224" s="615">
        <f>IFERROR(IF(AND((CA224+CC224)=BZ224,BI224=0),BG224,0),0)</f>
        <v>0</v>
      </c>
      <c r="BL224" s="615">
        <f>IFERROR(IF(AND((CA224+CC224+CD224)=BZ224,BI224=0,BK224=0),BG224,0),0)</f>
        <v>0</v>
      </c>
      <c r="BM224" s="615">
        <f>IFERROR(IF(AND((CA224+CC224+CD224+CE224)=BZ224,BI224=0,BK224=0,BL224=0),BG224,0),0)</f>
        <v>0</v>
      </c>
      <c r="BN224" s="615">
        <f>IFERROR(IF(AND((CA224+CC224+CD224+CE224+CF224)=BZ224,BI224=0,BK224=0,BL224=0,BM224=0),BG224,0),0)</f>
        <v>0</v>
      </c>
      <c r="BO224" s="339"/>
      <c r="BP224" s="615">
        <f>IFERROR(IF(AND((BV224+BX224)=100%,BV224&lt;1),BG224,0),0)</f>
        <v>0</v>
      </c>
      <c r="BQ224" s="615">
        <f>IFERROR(IF(AND((CA224+CI224)=BZ224,BI224=0),BG224,0),0)</f>
        <v>0</v>
      </c>
      <c r="BR224" s="615">
        <f>IFERROR(IF(AND((CA224+CI224+CJ224)=BZ224,BI224=0,BQ224=0),BG224,0),0)</f>
        <v>0</v>
      </c>
      <c r="BS224" s="615">
        <f>IFERROR(IF(AND((CA224+CI224+CJ224+CK224)=BZ224,BI224=0,BQ224=0,BR224=0),BG224,0),0)</f>
        <v>0</v>
      </c>
      <c r="BT224" s="615">
        <f>IFERROR(IF(AND((CA224+CI224+CJ224+CK224+CL224)=BZ224,BI224=0,BQ224=0,BR224=0,BS224=0),BG224,0),0)</f>
        <v>0</v>
      </c>
      <c r="BU224" s="339"/>
      <c r="BV224" s="635">
        <f t="shared" si="1360"/>
        <v>0</v>
      </c>
      <c r="BW224" s="635">
        <f t="shared" si="1361"/>
        <v>0</v>
      </c>
      <c r="BX224" s="635">
        <f t="shared" si="1362"/>
        <v>0</v>
      </c>
      <c r="BY224" s="345"/>
      <c r="BZ224" s="615">
        <f>COUNTIF('ST | Drawing List'!$H:$H,"ST-SDV-4")</f>
        <v>0</v>
      </c>
      <c r="CA224" s="616">
        <f>COUNTIFS('ST | Drawing List'!$H:$H,"ST-SDV-4",'ST | Drawing List'!$J:$J,1)</f>
        <v>0</v>
      </c>
      <c r="CB224" s="623">
        <f>COUNTIFS('ST | Drawing List'!$H:$H,"ST-SDV-4",'ST | Drawing List'!$L:$L,1)</f>
        <v>0</v>
      </c>
      <c r="CC224" s="616">
        <f>COUNTIFS('ST | Drawing List'!$H:$H,"ST-SDV-4",'ST | Drawing List'!M:M,1)</f>
        <v>0</v>
      </c>
      <c r="CD224" s="616">
        <f>COUNTIFS('ST | Drawing List'!$H:$H,"ST-SDV-4",'ST | Drawing List'!N:N,1)</f>
        <v>0</v>
      </c>
      <c r="CE224" s="616">
        <f>COUNTIFS('ST | Drawing List'!$H:$H,"ST-SDV-4",'ST | Drawing List'!O:O,1)</f>
        <v>0</v>
      </c>
      <c r="CF224" s="616">
        <f>COUNTIFS('ST | Drawing List'!$H:$H,"ST-SDV-4",'ST | Drawing List'!P:P,1)</f>
        <v>0</v>
      </c>
      <c r="CG224" s="532"/>
      <c r="CH224" s="623">
        <f>COUNTIFS('ST | Drawing List'!$H:$H,"ST-SDV-4",'ST | Drawing List'!$Q:$Q,1)</f>
        <v>0</v>
      </c>
      <c r="CI224" s="616">
        <f>COUNTIFS('ST | Drawing List'!$H:$H,"ST-SDV-4",'ST | Drawing List'!R:R,1)</f>
        <v>0</v>
      </c>
      <c r="CJ224" s="616">
        <f>COUNTIFS('ST | Drawing List'!$H:$H,"ST-SDV-4",'ST | Drawing List'!S:S,1)</f>
        <v>0</v>
      </c>
      <c r="CK224" s="616">
        <f>COUNTIFS('ST | Drawing List'!$H:$H,"ST-SDV-4",'ST | Drawing List'!T:T,1)</f>
        <v>0</v>
      </c>
      <c r="CL224" s="616">
        <f>COUNTIFS('ST | Drawing List'!$H:$H,"ST-SDV-4",'ST | Drawing List'!U:U,1)</f>
        <v>0</v>
      </c>
      <c r="CM224" s="343"/>
      <c r="CN224" s="343"/>
      <c r="CO224" s="666">
        <v>0</v>
      </c>
      <c r="CP224" s="343"/>
      <c r="CQ224" s="616">
        <f t="shared" si="1363"/>
        <v>0</v>
      </c>
      <c r="CR224" s="618">
        <f t="shared" si="1002"/>
        <v>0</v>
      </c>
      <c r="CS224" s="615">
        <f t="shared" si="1364"/>
        <v>0</v>
      </c>
      <c r="CT224" s="615">
        <f t="shared" si="1365"/>
        <v>0</v>
      </c>
      <c r="CU224" s="615">
        <f t="shared" si="1366"/>
        <v>0</v>
      </c>
      <c r="CV224" s="615">
        <f t="shared" si="1367"/>
        <v>0</v>
      </c>
      <c r="CW224" s="615">
        <f t="shared" si="1368"/>
        <v>0</v>
      </c>
      <c r="CX224" s="615">
        <f t="shared" si="1369"/>
        <v>0</v>
      </c>
      <c r="CY224" s="339"/>
      <c r="CZ224" s="615">
        <f t="shared" si="1370"/>
        <v>0</v>
      </c>
      <c r="DA224" s="615">
        <f t="shared" si="1371"/>
        <v>0</v>
      </c>
      <c r="DB224" s="615">
        <f t="shared" si="1372"/>
        <v>0</v>
      </c>
      <c r="DC224" s="615">
        <f t="shared" si="1373"/>
        <v>0</v>
      </c>
      <c r="DD224" s="615">
        <f t="shared" si="1374"/>
        <v>0</v>
      </c>
      <c r="DE224" s="339"/>
      <c r="DF224" s="625">
        <f t="shared" si="1375"/>
        <v>0</v>
      </c>
      <c r="DG224" s="625">
        <f t="shared" si="1376"/>
        <v>0</v>
      </c>
      <c r="DH224" s="625">
        <f t="shared" si="1377"/>
        <v>0</v>
      </c>
      <c r="DI224" s="345"/>
      <c r="DJ224" s="615">
        <f>COUNTIF('MEP | Drawing List'!$H:$H,"MEP-SDV-4")</f>
        <v>0</v>
      </c>
      <c r="DK224" s="616">
        <f>COUNTIFS('MEP | Drawing List'!$H:$H,"MEP-SDV-4",'MEP | Drawing List'!$J:$J,1)</f>
        <v>0</v>
      </c>
      <c r="DL224" s="616">
        <f>COUNTIFS('MEP | Drawing List'!$H:$H,"MEP-SDV-4",'MEP | Drawing List'!$L:$L,1)</f>
        <v>0</v>
      </c>
      <c r="DM224" s="615">
        <f>COUNTIFS('MEP | Drawing List'!$H:$H,"MEP-SDV-4",'MEP | Drawing List'!M:M,1)</f>
        <v>0</v>
      </c>
      <c r="DN224" s="615">
        <f>COUNTIFS('MEP | Drawing List'!$H:$H,"MEP-SDV-4",'MEP | Drawing List'!N:N,1)</f>
        <v>0</v>
      </c>
      <c r="DO224" s="615">
        <f>COUNTIFS('MEP | Drawing List'!$H:$H,"MEP-SDV-4",'MEP | Drawing List'!O:O,1)</f>
        <v>0</v>
      </c>
      <c r="DP224" s="615">
        <f>COUNTIFS('MEP | Drawing List'!$H:$H,"MEP-SDV-4",'MEP | Drawing List'!P:P,1)</f>
        <v>0</v>
      </c>
      <c r="DQ224" s="339"/>
      <c r="DR224" s="616">
        <f>COUNTIFS('MEP | Drawing List'!$H:$H,"MEP-SDV-4",'MEP | Drawing List'!$Q:$Q,1)</f>
        <v>0</v>
      </c>
      <c r="DS224" s="615">
        <f>COUNTIFS('MEP | Drawing List'!$H:$H,"MEP-SDV-4",'MEP | Drawing List'!R:R,1)</f>
        <v>0</v>
      </c>
      <c r="DT224" s="615">
        <f>COUNTIFS('MEP | Drawing List'!$H:$H,"MEP-SDV-4",'MEP | Drawing List'!S:S,1)</f>
        <v>0</v>
      </c>
      <c r="DU224" s="615">
        <f>COUNTIFS('MEP | Drawing List'!$H:$H,"MEP-SDV-4",'MEP | Drawing List'!T:T,1)</f>
        <v>0</v>
      </c>
      <c r="DV224" s="615">
        <f>COUNTIFS('MEP | Drawing List'!$H:$H,"MEP-SDV-4",'MEP | Drawing List'!U:U,1)</f>
        <v>0</v>
      </c>
      <c r="DW224" s="343"/>
      <c r="DX224" s="343"/>
      <c r="DY224" s="525">
        <v>0.3</v>
      </c>
      <c r="DZ224" s="343"/>
      <c r="EA224" s="616">
        <f t="shared" si="1378"/>
        <v>0.20741489999999999</v>
      </c>
      <c r="EB224" s="618">
        <f t="shared" si="1003"/>
        <v>0.20741489999999999</v>
      </c>
      <c r="EC224" s="615">
        <f t="shared" si="1379"/>
        <v>0</v>
      </c>
      <c r="ED224" s="615">
        <f t="shared" si="1380"/>
        <v>0.20741489999999999</v>
      </c>
      <c r="EE224" s="615">
        <f t="shared" si="1381"/>
        <v>0.20741489999999999</v>
      </c>
      <c r="EF224" s="615">
        <f t="shared" si="1382"/>
        <v>0</v>
      </c>
      <c r="EG224" s="615">
        <f t="shared" si="1383"/>
        <v>0</v>
      </c>
      <c r="EH224" s="615">
        <f t="shared" si="1384"/>
        <v>0</v>
      </c>
      <c r="EI224" s="339"/>
      <c r="EJ224" s="620">
        <f t="shared" si="1385"/>
        <v>0.20741489999999999</v>
      </c>
      <c r="EK224" s="615">
        <f t="shared" si="1386"/>
        <v>0</v>
      </c>
      <c r="EL224" s="615">
        <f t="shared" si="1387"/>
        <v>0.20741489999999999</v>
      </c>
      <c r="EM224" s="615">
        <f t="shared" si="1388"/>
        <v>0</v>
      </c>
      <c r="EN224" s="615">
        <f t="shared" si="1389"/>
        <v>0</v>
      </c>
      <c r="EO224" s="339"/>
      <c r="EP224" s="627">
        <f t="shared" si="1390"/>
        <v>0.5</v>
      </c>
      <c r="EQ224" s="627">
        <f t="shared" si="1391"/>
        <v>0.5</v>
      </c>
      <c r="ER224" s="627">
        <f t="shared" si="1392"/>
        <v>0.5</v>
      </c>
      <c r="ES224" s="55"/>
      <c r="ET224" s="615">
        <f>COUNTIF('LS | Drawing List'!$H:$H,"LS-SDV-4")</f>
        <v>34</v>
      </c>
      <c r="EU224" s="616">
        <f>COUNTIFS('LS | Drawing List'!$H:$H,"LS-SDV-4",'LS | Drawing List'!$J:$J,1)</f>
        <v>17</v>
      </c>
      <c r="EV224" s="616">
        <f>COUNTIFS('LS | Drawing List'!$H:$H,"LS-SDV-4",'LS | Drawing List'!$L:$L,1)</f>
        <v>17</v>
      </c>
      <c r="EW224" s="615">
        <f>COUNTIFS('LS | Drawing List'!$H:$H,"LS-SDV-4",'LS | Drawing List'!M:M,1)</f>
        <v>17</v>
      </c>
      <c r="EX224" s="615">
        <f>COUNTIFS('LS | Drawing List'!$H:$H,"LS-SDV-4",'LS | Drawing List'!N:N,1)</f>
        <v>0</v>
      </c>
      <c r="EY224" s="615">
        <f>COUNTIFS('LS | Drawing List'!$H:$H,"LS-SDV-4",'LS | Drawing List'!O:O,1)</f>
        <v>0</v>
      </c>
      <c r="EZ224" s="615">
        <f>COUNTIFS('LS | Drawing List'!$H:$H,"LS-SDV-4",'LS | Drawing List'!P:P,1)</f>
        <v>0</v>
      </c>
      <c r="FA224" s="81"/>
      <c r="FB224" s="616">
        <f>COUNTIFS('LS | Drawing List'!$H:$H,"LS-SDV-4",'LS | Drawing List'!$Q:$Q,1)</f>
        <v>17</v>
      </c>
      <c r="FC224" s="615">
        <f>COUNTIFS('LS | Drawing List'!$H:$H,"LS-SDV-4",'LS | Drawing List'!R:R,1)</f>
        <v>9</v>
      </c>
      <c r="FD224" s="615">
        <f>COUNTIFS('LS | Drawing List'!$H:$H,"LS-SDV-4",'LS | Drawing List'!S:S,1)</f>
        <v>8</v>
      </c>
      <c r="FE224" s="615">
        <f>COUNTIFS('LS | Drawing List'!$H:$H,"LS-SDV-4",'LS | Drawing List'!T:T,1)</f>
        <v>0</v>
      </c>
      <c r="FF224" s="615">
        <f>COUNTIFS('LS | Drawing List'!$H:$H,"LS-SDV-4",'LS | Drawing List'!U:U,1)</f>
        <v>0</v>
      </c>
      <c r="FG224" s="48"/>
    </row>
    <row r="225" spans="1:163" ht="3" hidden="1" customHeight="1" outlineLevel="1">
      <c r="A225" s="48"/>
      <c r="B225" s="49"/>
      <c r="C225" s="280"/>
      <c r="D225" s="272"/>
      <c r="E225" s="48"/>
      <c r="F225" s="338"/>
      <c r="G225" s="619"/>
      <c r="H225" s="374"/>
      <c r="I225" s="374"/>
      <c r="J225" s="374"/>
      <c r="K225" s="374"/>
      <c r="L225" s="374"/>
      <c r="M225" s="374"/>
      <c r="N225" s="374"/>
      <c r="O225" s="374"/>
      <c r="P225" s="374"/>
      <c r="Q225" s="374"/>
      <c r="R225" s="374"/>
      <c r="S225" s="374"/>
      <c r="T225" s="48"/>
      <c r="U225" s="519"/>
      <c r="V225" s="131"/>
      <c r="W225" s="338"/>
      <c r="X225" s="619">
        <f t="shared" si="1000"/>
        <v>0</v>
      </c>
      <c r="Y225" s="374"/>
      <c r="Z225" s="374"/>
      <c r="AA225" s="374"/>
      <c r="AB225" s="374"/>
      <c r="AC225" s="374"/>
      <c r="AD225" s="374"/>
      <c r="AE225" s="374"/>
      <c r="AF225" s="374"/>
      <c r="AG225" s="374"/>
      <c r="AH225" s="374"/>
      <c r="AI225" s="374"/>
      <c r="AJ225" s="374"/>
      <c r="AK225" s="374"/>
      <c r="AL225" s="603"/>
      <c r="AM225" s="603"/>
      <c r="AN225" s="603"/>
      <c r="AO225" s="345"/>
      <c r="AP225" s="359"/>
      <c r="AQ225" s="359"/>
      <c r="AR225" s="359"/>
      <c r="AS225" s="328"/>
      <c r="AT225" s="328"/>
      <c r="AU225" s="328"/>
      <c r="AV225" s="328"/>
      <c r="AW225" s="328"/>
      <c r="AX225" s="359"/>
      <c r="AY225" s="328"/>
      <c r="AZ225" s="328"/>
      <c r="BA225" s="328"/>
      <c r="BB225" s="328"/>
      <c r="BC225" s="359"/>
      <c r="BD225" s="359"/>
      <c r="BE225" s="525"/>
      <c r="BF225" s="343"/>
      <c r="BG225" s="344"/>
      <c r="BH225" s="618">
        <f t="shared" si="1001"/>
        <v>0</v>
      </c>
      <c r="BI225" s="374"/>
      <c r="BJ225" s="374"/>
      <c r="BK225" s="374"/>
      <c r="BL225" s="374"/>
      <c r="BM225" s="374"/>
      <c r="BN225" s="374"/>
      <c r="BO225" s="374"/>
      <c r="BP225" s="374"/>
      <c r="BQ225" s="374"/>
      <c r="BR225" s="374"/>
      <c r="BS225" s="374"/>
      <c r="BT225" s="374"/>
      <c r="BU225" s="374"/>
      <c r="BV225" s="525"/>
      <c r="BW225" s="525"/>
      <c r="BX225" s="525"/>
      <c r="BY225" s="345"/>
      <c r="BZ225" s="540"/>
      <c r="CA225" s="540"/>
      <c r="CB225" s="542"/>
      <c r="CC225" s="540"/>
      <c r="CD225" s="540"/>
      <c r="CE225" s="540"/>
      <c r="CF225" s="540"/>
      <c r="CG225" s="540"/>
      <c r="CH225" s="542"/>
      <c r="CI225" s="540"/>
      <c r="CJ225" s="540"/>
      <c r="CK225" s="540"/>
      <c r="CL225" s="540"/>
      <c r="CM225" s="343"/>
      <c r="CN225" s="343"/>
      <c r="CO225" s="525"/>
      <c r="CP225" s="343"/>
      <c r="CQ225" s="344"/>
      <c r="CR225" s="618">
        <f t="shared" si="1002"/>
        <v>0</v>
      </c>
      <c r="CS225" s="374"/>
      <c r="CT225" s="374"/>
      <c r="CU225" s="374"/>
      <c r="CV225" s="374"/>
      <c r="CW225" s="374"/>
      <c r="CX225" s="374"/>
      <c r="CY225" s="374"/>
      <c r="CZ225" s="374"/>
      <c r="DA225" s="374"/>
      <c r="DB225" s="374"/>
      <c r="DC225" s="374"/>
      <c r="DD225" s="374"/>
      <c r="DE225" s="374"/>
      <c r="DF225" s="603"/>
      <c r="DG225" s="603"/>
      <c r="DH225" s="603"/>
      <c r="DI225" s="345"/>
      <c r="DJ225" s="359"/>
      <c r="DK225" s="359"/>
      <c r="DL225" s="359"/>
      <c r="DM225" s="374"/>
      <c r="DN225" s="374"/>
      <c r="DO225" s="374"/>
      <c r="DP225" s="374"/>
      <c r="DQ225" s="374"/>
      <c r="DR225" s="359"/>
      <c r="DS225" s="374"/>
      <c r="DT225" s="374"/>
      <c r="DU225" s="374"/>
      <c r="DV225" s="374"/>
      <c r="DW225" s="343"/>
      <c r="DX225" s="343"/>
      <c r="DY225" s="525"/>
      <c r="DZ225" s="343"/>
      <c r="EA225" s="344"/>
      <c r="EB225" s="618">
        <f t="shared" si="1003"/>
        <v>0</v>
      </c>
      <c r="EC225" s="88"/>
      <c r="ED225" s="88"/>
      <c r="EE225" s="88"/>
      <c r="EF225" s="88"/>
      <c r="EG225" s="88"/>
      <c r="EH225" s="88"/>
      <c r="EI225" s="88"/>
      <c r="EJ225" s="88"/>
      <c r="EK225" s="88"/>
      <c r="EL225" s="88"/>
      <c r="EM225" s="88"/>
      <c r="EN225" s="88"/>
      <c r="EO225" s="88"/>
      <c r="EP225" s="103"/>
      <c r="EQ225" s="103"/>
      <c r="ER225" s="103"/>
      <c r="ES225" s="55"/>
      <c r="ET225" s="56"/>
      <c r="EU225" s="56"/>
      <c r="EV225" s="56"/>
      <c r="EW225" s="88"/>
      <c r="EX225" s="88"/>
      <c r="EY225" s="88"/>
      <c r="EZ225" s="88"/>
      <c r="FA225" s="88"/>
      <c r="FB225" s="56"/>
      <c r="FC225" s="88"/>
      <c r="FD225" s="88"/>
      <c r="FE225" s="88"/>
      <c r="FF225" s="88"/>
      <c r="FG225" s="48"/>
    </row>
    <row r="226" spans="1:163" ht="14.25" hidden="1" outlineLevel="1" collapsed="1">
      <c r="A226" s="48"/>
      <c r="B226" s="73"/>
      <c r="C226" s="275">
        <v>16</v>
      </c>
      <c r="D226" s="271" t="s">
        <v>209</v>
      </c>
      <c r="E226" s="74"/>
      <c r="F226" s="614">
        <f>W226+BG226+CQ226+EA226</f>
        <v>0.51756774999999999</v>
      </c>
      <c r="G226" s="614">
        <f>X226+BH226+CR226+EB226</f>
        <v>0.40848010000000001</v>
      </c>
      <c r="H226" s="612">
        <f>F226-G226</f>
        <v>0.10908764999999998</v>
      </c>
      <c r="I226" s="614">
        <f t="shared" ref="I226:I231" si="1393">Z226+BJ226+CT226+ED226</f>
        <v>0.29419289999999998</v>
      </c>
      <c r="J226" s="614">
        <f t="shared" ref="J226:J231" si="1394">AA226+BK226+CU226+EE226</f>
        <v>0.29419289999999998</v>
      </c>
      <c r="K226" s="614">
        <f t="shared" ref="K226:K231" si="1395">AB226+BL226+CV226+EF226</f>
        <v>0</v>
      </c>
      <c r="L226" s="614">
        <f t="shared" ref="L226:L231" si="1396">AC226+BM226+CW226+EG226</f>
        <v>0</v>
      </c>
      <c r="M226" s="614">
        <f t="shared" ref="M226:M231" si="1397">AD226+BN226+CX226+EH226</f>
        <v>0</v>
      </c>
      <c r="N226" s="281"/>
      <c r="O226" s="614">
        <f t="shared" ref="O226:O231" si="1398">AF226+BP226+CZ226+EJ226</f>
        <v>0.18510525</v>
      </c>
      <c r="P226" s="614">
        <f t="shared" ref="P226:P231" si="1399">AG226+BQ226+DA226+EK226</f>
        <v>5.048325E-2</v>
      </c>
      <c r="Q226" s="614">
        <f t="shared" ref="Q226:Q231" si="1400">AH226+BR226+DB226+EL226</f>
        <v>0.13462199999999999</v>
      </c>
      <c r="R226" s="614">
        <f t="shared" ref="R226:R231" si="1401">AI226+BS226+DC226+EM226</f>
        <v>0</v>
      </c>
      <c r="S226" s="614">
        <f t="shared" ref="S226:S231" si="1402">AJ226+BT226+DD226+EN226</f>
        <v>0</v>
      </c>
      <c r="T226" s="74"/>
      <c r="U226" s="332">
        <f>SUM(U227:U231)</f>
        <v>0.5</v>
      </c>
      <c r="V226" s="332"/>
      <c r="W226" s="614">
        <f>U226*(5%*'BOQ COST'!E19)*1</f>
        <v>0.33655499999999999</v>
      </c>
      <c r="X226" s="614">
        <f t="shared" si="1000"/>
        <v>0.28607175000000001</v>
      </c>
      <c r="Y226" s="612">
        <f>SUM(Y227:Y231)</f>
        <v>0.1009665</v>
      </c>
      <c r="Z226" s="612">
        <f>SUM(Z227:Z231)</f>
        <v>0.23558850000000001</v>
      </c>
      <c r="AA226" s="612">
        <f t="shared" ref="AA226:AD226" si="1403">SUM(AA227:AA231)</f>
        <v>0.23558850000000001</v>
      </c>
      <c r="AB226" s="612">
        <f t="shared" si="1403"/>
        <v>0</v>
      </c>
      <c r="AC226" s="612">
        <f t="shared" si="1403"/>
        <v>0</v>
      </c>
      <c r="AD226" s="612">
        <f t="shared" si="1403"/>
        <v>0</v>
      </c>
      <c r="AE226" s="281"/>
      <c r="AF226" s="612">
        <f>SUM(AF227:AF231)</f>
        <v>0.18510525</v>
      </c>
      <c r="AG226" s="612">
        <f t="shared" ref="AG226:AJ226" si="1404">SUM(AG227:AG231)</f>
        <v>5.048325E-2</v>
      </c>
      <c r="AH226" s="612">
        <f t="shared" si="1404"/>
        <v>0.13462199999999999</v>
      </c>
      <c r="AI226" s="612">
        <f t="shared" si="1404"/>
        <v>0</v>
      </c>
      <c r="AJ226" s="612">
        <f t="shared" si="1404"/>
        <v>0</v>
      </c>
      <c r="AK226" s="281"/>
      <c r="AL226" s="605"/>
      <c r="AM226" s="605"/>
      <c r="AN226" s="605"/>
      <c r="AO226" s="612">
        <f t="shared" ref="AO226" si="1405">SUM(AO227:AO231)</f>
        <v>0</v>
      </c>
      <c r="AP226" s="612">
        <f t="shared" ref="AP226" si="1406">SUM(AP227:AP231)</f>
        <v>151</v>
      </c>
      <c r="AQ226" s="612">
        <f t="shared" ref="AQ226" si="1407">SUM(AQ227:AQ231)</f>
        <v>88</v>
      </c>
      <c r="AR226" s="612">
        <f t="shared" si="1075"/>
        <v>63</v>
      </c>
      <c r="AS226" s="612">
        <f t="shared" ref="AS226" si="1408">SUM(AS227:AS231)</f>
        <v>63</v>
      </c>
      <c r="AT226" s="612">
        <f t="shared" ref="AT226" si="1409">SUM(AT227:AT231)</f>
        <v>0</v>
      </c>
      <c r="AU226" s="612">
        <f t="shared" ref="AU226" si="1410">SUM(AU227:AU231)</f>
        <v>0</v>
      </c>
      <c r="AV226" s="612">
        <f t="shared" ref="AV226:AX226" si="1411">SUM(AV227:AV231)</f>
        <v>0</v>
      </c>
      <c r="AW226" s="281"/>
      <c r="AX226" s="612">
        <f t="shared" si="1411"/>
        <v>4</v>
      </c>
      <c r="AY226" s="612">
        <f t="shared" ref="AY226:BB226" si="1412">SUM(AY227:AY231)</f>
        <v>3</v>
      </c>
      <c r="AZ226" s="612">
        <f t="shared" si="1412"/>
        <v>1</v>
      </c>
      <c r="BA226" s="612">
        <f t="shared" si="1412"/>
        <v>0</v>
      </c>
      <c r="BB226" s="612">
        <f t="shared" si="1412"/>
        <v>0</v>
      </c>
      <c r="BC226" s="336"/>
      <c r="BD226" s="336"/>
      <c r="BE226" s="332">
        <f>SUM(BE227:BE231)</f>
        <v>0.54999999999999993</v>
      </c>
      <c r="BF226" s="332"/>
      <c r="BG226" s="614">
        <f>BE226*(3%*'BOQ COST'!$F$19)*1</f>
        <v>7.5162449999999992E-2</v>
      </c>
      <c r="BH226" s="614">
        <f t="shared" si="1001"/>
        <v>6.1496549999999997E-2</v>
      </c>
      <c r="BI226" s="612">
        <f>SUM(BI227:BI231)</f>
        <v>6.1496549999999997E-2</v>
      </c>
      <c r="BJ226" s="612">
        <f t="shared" ref="BJ226:CF226" si="1413">SUM(BJ227:BJ231)</f>
        <v>1.3665900000000002E-2</v>
      </c>
      <c r="BK226" s="612">
        <f t="shared" si="1413"/>
        <v>1.3665900000000002E-2</v>
      </c>
      <c r="BL226" s="612">
        <f t="shared" si="1413"/>
        <v>0</v>
      </c>
      <c r="BM226" s="612">
        <f t="shared" si="1413"/>
        <v>0</v>
      </c>
      <c r="BN226" s="612">
        <f t="shared" si="1413"/>
        <v>0</v>
      </c>
      <c r="BO226" s="281"/>
      <c r="BP226" s="612">
        <f t="shared" ref="BP226:BT226" si="1414">SUM(BP227:BP231)</f>
        <v>0</v>
      </c>
      <c r="BQ226" s="612">
        <f t="shared" si="1414"/>
        <v>0</v>
      </c>
      <c r="BR226" s="612">
        <f t="shared" si="1414"/>
        <v>0</v>
      </c>
      <c r="BS226" s="612">
        <f t="shared" si="1414"/>
        <v>0</v>
      </c>
      <c r="BT226" s="612">
        <f t="shared" si="1414"/>
        <v>0</v>
      </c>
      <c r="BU226" s="281"/>
      <c r="BV226" s="524"/>
      <c r="BW226" s="524"/>
      <c r="BX226" s="524"/>
      <c r="BY226" s="612">
        <f t="shared" si="1413"/>
        <v>0</v>
      </c>
      <c r="BZ226" s="612">
        <f t="shared" si="1413"/>
        <v>20</v>
      </c>
      <c r="CA226" s="612">
        <f t="shared" si="1413"/>
        <v>12</v>
      </c>
      <c r="CB226" s="612">
        <f t="shared" si="1413"/>
        <v>8</v>
      </c>
      <c r="CC226" s="612">
        <f t="shared" si="1413"/>
        <v>8</v>
      </c>
      <c r="CD226" s="612">
        <f t="shared" si="1413"/>
        <v>0</v>
      </c>
      <c r="CE226" s="612">
        <f t="shared" si="1413"/>
        <v>0</v>
      </c>
      <c r="CF226" s="612">
        <f t="shared" si="1413"/>
        <v>0</v>
      </c>
      <c r="CG226" s="535"/>
      <c r="CH226" s="612">
        <f t="shared" ref="CH226:CL226" si="1415">SUM(CH227:CH231)</f>
        <v>0</v>
      </c>
      <c r="CI226" s="612">
        <f t="shared" si="1415"/>
        <v>0</v>
      </c>
      <c r="CJ226" s="612">
        <f t="shared" si="1415"/>
        <v>0</v>
      </c>
      <c r="CK226" s="612">
        <f t="shared" si="1415"/>
        <v>0</v>
      </c>
      <c r="CL226" s="612">
        <f t="shared" si="1415"/>
        <v>0</v>
      </c>
      <c r="CM226" s="332"/>
      <c r="CN226" s="332"/>
      <c r="CO226" s="332">
        <f>SUM(CO227:CO231)</f>
        <v>0.65</v>
      </c>
      <c r="CP226" s="332"/>
      <c r="CQ226" s="614">
        <f>CO226*(2%*'BOQ COST'!$G$19)*1</f>
        <v>1.4189499999999999E-2</v>
      </c>
      <c r="CR226" s="614">
        <f t="shared" si="1002"/>
        <v>1.0914999999999998E-2</v>
      </c>
      <c r="CS226" s="612">
        <f>SUM(CS227:CS231)</f>
        <v>1.0914999999999998E-2</v>
      </c>
      <c r="CT226" s="612">
        <f>SUM(CT227:CT231)</f>
        <v>3.2745000000000001E-3</v>
      </c>
      <c r="CU226" s="612">
        <f t="shared" ref="CU226:DP226" si="1416">SUM(CU227:CU231)</f>
        <v>3.2745000000000001E-3</v>
      </c>
      <c r="CV226" s="612">
        <f t="shared" si="1416"/>
        <v>0</v>
      </c>
      <c r="CW226" s="612">
        <f t="shared" si="1416"/>
        <v>0</v>
      </c>
      <c r="CX226" s="612">
        <f t="shared" si="1416"/>
        <v>0</v>
      </c>
      <c r="CY226" s="281"/>
      <c r="CZ226" s="612">
        <f>SUM(CZ227:CZ231)</f>
        <v>0</v>
      </c>
      <c r="DA226" s="612">
        <f t="shared" ref="DA226:DD226" si="1417">SUM(DA227:DA231)</f>
        <v>0</v>
      </c>
      <c r="DB226" s="612">
        <f t="shared" si="1417"/>
        <v>0</v>
      </c>
      <c r="DC226" s="612">
        <f t="shared" si="1417"/>
        <v>0</v>
      </c>
      <c r="DD226" s="612">
        <f t="shared" si="1417"/>
        <v>0</v>
      </c>
      <c r="DE226" s="281"/>
      <c r="DF226" s="605"/>
      <c r="DG226" s="605"/>
      <c r="DH226" s="605"/>
      <c r="DI226" s="612">
        <f t="shared" si="1416"/>
        <v>0</v>
      </c>
      <c r="DJ226" s="612">
        <f t="shared" si="1416"/>
        <v>38</v>
      </c>
      <c r="DK226" s="612">
        <f t="shared" si="1416"/>
        <v>35</v>
      </c>
      <c r="DL226" s="612">
        <f t="shared" si="1416"/>
        <v>3</v>
      </c>
      <c r="DM226" s="612">
        <f t="shared" si="1416"/>
        <v>3</v>
      </c>
      <c r="DN226" s="612">
        <f t="shared" si="1416"/>
        <v>0</v>
      </c>
      <c r="DO226" s="612">
        <f t="shared" si="1416"/>
        <v>0</v>
      </c>
      <c r="DP226" s="612">
        <f t="shared" si="1416"/>
        <v>0</v>
      </c>
      <c r="DQ226" s="281"/>
      <c r="DR226" s="612">
        <f t="shared" ref="DR226:DV226" si="1418">SUM(DR227:DR231)</f>
        <v>1</v>
      </c>
      <c r="DS226" s="612">
        <f t="shared" si="1418"/>
        <v>0</v>
      </c>
      <c r="DT226" s="612">
        <f t="shared" si="1418"/>
        <v>0</v>
      </c>
      <c r="DU226" s="612">
        <f t="shared" si="1418"/>
        <v>1</v>
      </c>
      <c r="DV226" s="612">
        <f t="shared" si="1418"/>
        <v>0</v>
      </c>
      <c r="DW226" s="332"/>
      <c r="DX226" s="332"/>
      <c r="DY226" s="332">
        <f>SUM(DY227:DY231)</f>
        <v>0.55000000000000004</v>
      </c>
      <c r="DZ226" s="332"/>
      <c r="EA226" s="612">
        <f>DY226*('BOQ COST'!H19*7%)*1</f>
        <v>9.1660800000000001E-2</v>
      </c>
      <c r="EB226" s="614">
        <f t="shared" si="1003"/>
        <v>4.9996799999999994E-2</v>
      </c>
      <c r="EC226" s="608">
        <f>SUM(EC227:EC231)</f>
        <v>4.9996799999999994E-2</v>
      </c>
      <c r="ED226" s="608">
        <f>SUM(ED227:ED231)</f>
        <v>4.1664E-2</v>
      </c>
      <c r="EE226" s="608">
        <f t="shared" ref="EE226:EZ226" si="1419">SUM(EE227:EE231)</f>
        <v>4.1664E-2</v>
      </c>
      <c r="EF226" s="608">
        <f t="shared" si="1419"/>
        <v>0</v>
      </c>
      <c r="EG226" s="608">
        <f t="shared" si="1419"/>
        <v>0</v>
      </c>
      <c r="EH226" s="608">
        <f t="shared" si="1419"/>
        <v>0</v>
      </c>
      <c r="EI226" s="127"/>
      <c r="EJ226" s="608">
        <f>SUM(EJ227:EJ231)</f>
        <v>0</v>
      </c>
      <c r="EK226" s="608">
        <f t="shared" ref="EK226:EN226" si="1420">SUM(EK227:EK231)</f>
        <v>0</v>
      </c>
      <c r="EL226" s="608">
        <f t="shared" si="1420"/>
        <v>0</v>
      </c>
      <c r="EM226" s="608">
        <f t="shared" si="1420"/>
        <v>0</v>
      </c>
      <c r="EN226" s="608">
        <f t="shared" si="1420"/>
        <v>0</v>
      </c>
      <c r="EO226" s="127"/>
      <c r="EP226" s="641"/>
      <c r="EQ226" s="641"/>
      <c r="ER226" s="641"/>
      <c r="ES226" s="608">
        <f t="shared" si="1419"/>
        <v>0</v>
      </c>
      <c r="ET226" s="608">
        <f t="shared" si="1419"/>
        <v>60</v>
      </c>
      <c r="EU226" s="608">
        <f t="shared" si="1419"/>
        <v>16</v>
      </c>
      <c r="EV226" s="608">
        <f t="shared" si="1419"/>
        <v>44</v>
      </c>
      <c r="EW226" s="608">
        <f t="shared" si="1419"/>
        <v>44</v>
      </c>
      <c r="EX226" s="608">
        <f t="shared" si="1419"/>
        <v>0</v>
      </c>
      <c r="EY226" s="608">
        <f t="shared" si="1419"/>
        <v>0</v>
      </c>
      <c r="EZ226" s="608">
        <f t="shared" si="1419"/>
        <v>0</v>
      </c>
      <c r="FA226" s="127"/>
      <c r="FB226" s="608">
        <f t="shared" ref="FB226:FF226" si="1421">SUM(FB227:FB231)</f>
        <v>34</v>
      </c>
      <c r="FC226" s="608">
        <f t="shared" si="1421"/>
        <v>0</v>
      </c>
      <c r="FD226" s="608">
        <f t="shared" si="1421"/>
        <v>17</v>
      </c>
      <c r="FE226" s="608">
        <f t="shared" si="1421"/>
        <v>0</v>
      </c>
      <c r="FF226" s="608">
        <f t="shared" si="1421"/>
        <v>17</v>
      </c>
      <c r="FG226" s="48"/>
    </row>
    <row r="227" spans="1:163" ht="14.25" hidden="1" outlineLevel="2">
      <c r="A227" s="48"/>
      <c r="B227" s="87" t="s">
        <v>210</v>
      </c>
      <c r="C227" s="87">
        <v>1</v>
      </c>
      <c r="D227" s="138" t="s">
        <v>211</v>
      </c>
      <c r="E227" s="48"/>
      <c r="F227" s="619">
        <f t="shared" ref="F227:F231" si="1422">W227+BG227+CQ227+EA227</f>
        <v>0.15643764999999998</v>
      </c>
      <c r="G227" s="619">
        <f t="shared" ref="G227:G231" si="1423">X227+BH227+CR227+EB227</f>
        <v>0.15643764999999998</v>
      </c>
      <c r="H227" s="615">
        <f t="shared" ref="H227:H231" si="1424">F227-G227</f>
        <v>0</v>
      </c>
      <c r="I227" s="615">
        <f t="shared" si="1393"/>
        <v>0</v>
      </c>
      <c r="J227" s="615">
        <f t="shared" si="1394"/>
        <v>0</v>
      </c>
      <c r="K227" s="615">
        <f t="shared" si="1395"/>
        <v>0</v>
      </c>
      <c r="L227" s="615">
        <f t="shared" si="1396"/>
        <v>0</v>
      </c>
      <c r="M227" s="620">
        <f t="shared" si="1397"/>
        <v>0</v>
      </c>
      <c r="N227" s="287"/>
      <c r="O227" s="615">
        <f t="shared" si="1398"/>
        <v>0</v>
      </c>
      <c r="P227" s="615">
        <f t="shared" si="1399"/>
        <v>0</v>
      </c>
      <c r="Q227" s="615">
        <f t="shared" si="1400"/>
        <v>0</v>
      </c>
      <c r="R227" s="615">
        <f t="shared" si="1401"/>
        <v>0</v>
      </c>
      <c r="S227" s="615">
        <f t="shared" si="1402"/>
        <v>0</v>
      </c>
      <c r="T227" s="48"/>
      <c r="U227" s="519">
        <v>0.15</v>
      </c>
      <c r="V227" s="131"/>
      <c r="W227" s="619">
        <f>$W$226/$U$226*U227</f>
        <v>0.1009665</v>
      </c>
      <c r="X227" s="619">
        <f t="shared" si="1000"/>
        <v>0.1009665</v>
      </c>
      <c r="Y227" s="615">
        <f>IFERROR(IF(AL227=100%,W227,0),0)</f>
        <v>0.1009665</v>
      </c>
      <c r="Z227" s="615">
        <f>IFERROR(IF(AND((AL227+AM227)=100%,AL227&lt;1),W227,0),0)</f>
        <v>0</v>
      </c>
      <c r="AA227" s="615">
        <f t="shared" ref="AA227:AA232" si="1425">IFERROR(IF(AND((AQ227+AS227)=AP227,Y227=0),W227,0),0)</f>
        <v>0</v>
      </c>
      <c r="AB227" s="615">
        <f t="shared" ref="AB227:AB232" si="1426">IFERROR(IF(AND((AQ227+AS227+AT227)=AP227,Y227=0,AA227=0),W227,0),0)</f>
        <v>0</v>
      </c>
      <c r="AC227" s="615">
        <f t="shared" ref="AC227:AC232" si="1427">IFERROR(IF(AND((AQ227+AS227+AT227+AU227)=AP227,Y227=0,AA227=0,AB227=0),W227,0),0)</f>
        <v>0</v>
      </c>
      <c r="AD227" s="620">
        <f t="shared" ref="AD227:AD232" si="1428">IFERROR(IF(AND((AQ227+AS227+AT227+AU227+AV227)=AP227,Y227=0,AA227=0,AB227=0,AC227=0),W227,0),0)</f>
        <v>0</v>
      </c>
      <c r="AE227" s="287"/>
      <c r="AF227" s="615">
        <f>IFERROR(IF(AND((AL227+AN227)=100%,AL227&lt;1),W227,0),0)</f>
        <v>0</v>
      </c>
      <c r="AG227" s="615">
        <f>IFERROR(IF(AND((AQ227+AY227)=AP227,Y227=0),W227,0),0)</f>
        <v>0</v>
      </c>
      <c r="AH227" s="615">
        <f>IFERROR(IF(AND((AQ227+AY227+AZ227)=AP227,Y227=0,AG227=0),W227,0),0)</f>
        <v>0</v>
      </c>
      <c r="AI227" s="615">
        <f>IFERROR(IF(AND((AQ227+AY227+AZ227+BA227)=AP227,Y227=0,AG227=0,AH227=0),W227,0),0)</f>
        <v>0</v>
      </c>
      <c r="AJ227" s="615">
        <f>IFERROR(IF(AND((AQ227+AY227+AZ227+BA227+BB227)=AP227,Y227=0,AG227=0,AH227=0,AI227=0),W227,0),0)</f>
        <v>0</v>
      </c>
      <c r="AK227" s="339"/>
      <c r="AL227" s="625">
        <f>IFERROR(AQ227/AP227,0)</f>
        <v>1</v>
      </c>
      <c r="AM227" s="625">
        <f>IFERROR(AR227/AP227,0)</f>
        <v>0</v>
      </c>
      <c r="AN227" s="625">
        <f>IFERROR(AX227/AP227,0)</f>
        <v>0</v>
      </c>
      <c r="AO227" s="345"/>
      <c r="AP227" s="615">
        <f>COUNTIF('AR | Drawing List'!$H:$H,"AR-AMN-1")</f>
        <v>27</v>
      </c>
      <c r="AQ227" s="616">
        <f>COUNTIFS('AR | Drawing List'!$H:$H,"AR-AMN-1",'AR | Drawing List'!$J:$J,1)</f>
        <v>27</v>
      </c>
      <c r="AR227" s="616">
        <f t="shared" si="1075"/>
        <v>0</v>
      </c>
      <c r="AS227" s="616">
        <f>COUNTIFS('AR | Drawing List'!$H:$H,"AR-AMN-1",'AR | Drawing List'!M:M,1)</f>
        <v>0</v>
      </c>
      <c r="AT227" s="616">
        <f>COUNTIFS('AR | Drawing List'!$H:$H,"AR-AMN-1",'AR | Drawing List'!N:N,1)</f>
        <v>0</v>
      </c>
      <c r="AU227" s="616">
        <f>COUNTIFS('AR | Drawing List'!$H:$H,"AR-AMN-1",'AR | Drawing List'!O:O,1)</f>
        <v>0</v>
      </c>
      <c r="AV227" s="616">
        <f>COUNTIFS('AR | Drawing List'!$H:$H,"AR-AMN-1",'AR | Drawing List'!P:P,1)</f>
        <v>0</v>
      </c>
      <c r="AW227" s="328"/>
      <c r="AX227" s="616">
        <f t="shared" si="1093"/>
        <v>0</v>
      </c>
      <c r="AY227" s="616">
        <f>COUNTIFS('AR | Drawing List'!$H:$H,"AR-AMN-1",'AR | Drawing List'!R:R,1)</f>
        <v>0</v>
      </c>
      <c r="AZ227" s="616">
        <f>COUNTIFS('AR | Drawing List'!$H:$H,"AR-AMN-1",'AR | Drawing List'!S:S,1)</f>
        <v>0</v>
      </c>
      <c r="BA227" s="616">
        <f>COUNTIFS('AR | Drawing List'!$H:$H,"AR-AMN-1",'AR | Drawing List'!T:T,1)</f>
        <v>0</v>
      </c>
      <c r="BB227" s="616">
        <f>COUNTIFS('AR | Drawing List'!$H:$H,"AR-AMN-1",'AR | Drawing List'!U:U,1)</f>
        <v>0</v>
      </c>
      <c r="BC227" s="359"/>
      <c r="BD227" s="359"/>
      <c r="BE227" s="329">
        <v>0.35</v>
      </c>
      <c r="BF227" s="343"/>
      <c r="BG227" s="616">
        <f>$BG$226/$BE$226*BE227</f>
        <v>4.7830649999999995E-2</v>
      </c>
      <c r="BH227" s="618">
        <f t="shared" si="1001"/>
        <v>4.7830649999999995E-2</v>
      </c>
      <c r="BI227" s="615">
        <f>IFERROR(IF(BV227=100%,BG227,0),0)</f>
        <v>4.7830649999999995E-2</v>
      </c>
      <c r="BJ227" s="615">
        <f>IFERROR(IF(AND((BV227+BW227)=100%,BV227&lt;1),BG227,0),0)</f>
        <v>0</v>
      </c>
      <c r="BK227" s="615">
        <f>IFERROR(IF(AND((CA227+CC227)=BZ227,BI227=0),BG227,0),0)</f>
        <v>0</v>
      </c>
      <c r="BL227" s="615">
        <f>IFERROR(IF(AND((CA227+CC227+CD227)=BZ227,BI227=0,BK227=0),BG227,0),0)</f>
        <v>0</v>
      </c>
      <c r="BM227" s="615">
        <f>IFERROR(IF(AND((CA227+CC227+CD227+CE227)=BZ227,BI227=0,BJ227=0,BK227=0,BL227=0),BG227,0),0)</f>
        <v>0</v>
      </c>
      <c r="BN227" s="615">
        <f>IFERROR(IF(AND((CA227+CC227+CD227+CE227+CF227)=BZ227,BI227=0,BJ227=0,BK227=0,BL227=0,BM227=0),BG227,0),0)</f>
        <v>0</v>
      </c>
      <c r="BO227" s="339"/>
      <c r="BP227" s="615">
        <f>IFERROR(IF(AND((BV227+BX227)=100%,BV227&lt;1),BG227,0),0)</f>
        <v>0</v>
      </c>
      <c r="BQ227" s="615">
        <f>IFERROR(IF(AND((CA227+CI227)=BZ227,BI227=0),BG227,0),0)</f>
        <v>0</v>
      </c>
      <c r="BR227" s="615">
        <f>IFERROR(IF(AND((CA227+CI227+CJ227)=BZ227,BI227=0,BQ227=0),BG227,0),0)</f>
        <v>0</v>
      </c>
      <c r="BS227" s="615">
        <f>IFERROR(IF(AND((CA227+CI227+CJ227+CK227)=BZ227,BI227=0,BQ227=0,BR227=0),BG227,0),0)</f>
        <v>0</v>
      </c>
      <c r="BT227" s="615">
        <f>IFERROR(IF(AND((CA227+CI227+CJ227+CK227+CL227)=BZ227,BI227=0,BQ227=0,BR227=0,BS227=0),BG227,0),0)</f>
        <v>0</v>
      </c>
      <c r="BU227" s="339"/>
      <c r="BV227" s="635">
        <f t="shared" ref="BV227:BV231" si="1429">IFERROR(CA227/BZ227,0)</f>
        <v>1</v>
      </c>
      <c r="BW227" s="635">
        <f t="shared" ref="BW227:BW231" si="1430">IFERROR(CB227/BZ227,0)</f>
        <v>0</v>
      </c>
      <c r="BX227" s="635">
        <f t="shared" ref="BX227:BX231" si="1431">IFERROR(CH227/BZ227,0)</f>
        <v>0</v>
      </c>
      <c r="BY227" s="345"/>
      <c r="BZ227" s="615">
        <f>COUNTIF('ST | Drawing List'!$H:$H,"ST-AMN-1")</f>
        <v>10</v>
      </c>
      <c r="CA227" s="616">
        <f>COUNTIFS('ST | Drawing List'!$H:$H,"ST-AMN-1",'ST | Drawing List'!$J:$J,1)</f>
        <v>10</v>
      </c>
      <c r="CB227" s="623">
        <f>COUNTIFS('ST | Drawing List'!$H:$H,"ST-AMN-1",'ST | Drawing List'!$L:$L,1)</f>
        <v>0</v>
      </c>
      <c r="CC227" s="616">
        <f>COUNTIFS('ST | Drawing List'!$H:$H,"ST-AMN-1",'ST | Drawing List'!M:M,1)</f>
        <v>0</v>
      </c>
      <c r="CD227" s="616">
        <f>COUNTIFS('ST | Drawing List'!$H:$H,"ST-AMN-1",'ST | Drawing List'!N:N,1)</f>
        <v>0</v>
      </c>
      <c r="CE227" s="616">
        <f>COUNTIFS('ST | Drawing List'!$H:$H,"ST-AMN-1",'ST | Drawing List'!O:O,1)</f>
        <v>0</v>
      </c>
      <c r="CF227" s="616">
        <f>COUNTIFS('ST | Drawing List'!$H:$H,"ST-AMN-1",'ST | Drawing List'!P:P,1)</f>
        <v>0</v>
      </c>
      <c r="CG227" s="532"/>
      <c r="CH227" s="623">
        <f>COUNTIFS('ST | Drawing List'!$H:$H,"ST-AMN-1",'ST | Drawing List'!$Q:$Q,1)</f>
        <v>0</v>
      </c>
      <c r="CI227" s="616">
        <f>COUNTIFS('ST | Drawing List'!$H:$H,"ST-AMN-1",'ST | Drawing List'!R:R,1)</f>
        <v>0</v>
      </c>
      <c r="CJ227" s="616">
        <f>COUNTIFS('ST | Drawing List'!$H:$H,"ST-AMN-1",'ST | Drawing List'!S:S,1)</f>
        <v>0</v>
      </c>
      <c r="CK227" s="616">
        <f>COUNTIFS('ST | Drawing List'!$H:$H,"ST-AMN-1",'ST | Drawing List'!T:T,1)</f>
        <v>0</v>
      </c>
      <c r="CL227" s="616">
        <f>COUNTIFS('ST | Drawing List'!$H:$H,"ST-AMN-1",'ST | Drawing List'!U:U,1)</f>
        <v>0</v>
      </c>
      <c r="CM227" s="343"/>
      <c r="CN227" s="343"/>
      <c r="CO227" s="525">
        <v>0.35</v>
      </c>
      <c r="CP227" s="343"/>
      <c r="CQ227" s="616">
        <f>$CQ$226/$CO$226*CO227</f>
        <v>7.6404999999999989E-3</v>
      </c>
      <c r="CR227" s="618">
        <f t="shared" si="1002"/>
        <v>7.6404999999999989E-3</v>
      </c>
      <c r="CS227" s="615">
        <f>IFERROR(IF(DF227=100%,CQ227,0),0)</f>
        <v>7.6404999999999989E-3</v>
      </c>
      <c r="CT227" s="615">
        <f t="shared" ref="CT227:CT231" si="1432">IFERROR(IF(AND((DF227+DG227)=100%,DF227&lt;1),CQ227,0),0)</f>
        <v>0</v>
      </c>
      <c r="CU227" s="615">
        <f t="shared" ref="CU227:CU231" si="1433">IFERROR(IF(AND((DK227+DM227)=DJ227,CS227=0),CQ227,0),0)</f>
        <v>0</v>
      </c>
      <c r="CV227" s="615">
        <f t="shared" ref="CV227:CV231" si="1434">IFERROR(IF(AND((DK227+DM227+DN227)=DJ227,CS227=0,CU227=0),CQ227,0),0)</f>
        <v>0</v>
      </c>
      <c r="CW227" s="615">
        <f t="shared" ref="CW227:CW231" si="1435">IFERROR(IF(AND((DK227+DM227+DN227+DO227)=DJ227,CS227=0,CU227=0,CV227=0),CQ227,0),0)</f>
        <v>0</v>
      </c>
      <c r="CX227" s="615">
        <f t="shared" ref="CX227:CX231" si="1436">IFERROR(IF(AND((DK227+DM227+DN227+DO227+DP227)=DJ227,CS227=0,CU227=0,CV227=0,CW227=0),CQ227,0),0)</f>
        <v>0</v>
      </c>
      <c r="CY227" s="339"/>
      <c r="CZ227" s="615">
        <f t="shared" ref="CZ227:CZ231" si="1437">IFERROR(IF(AND((DF227+DH227)=100%,DF227&lt;1),CQ227,0),0)</f>
        <v>0</v>
      </c>
      <c r="DA227" s="615">
        <f t="shared" ref="DA227:DA231" si="1438">IFERROR(IF(AND((DK227+DS227)=DJ227,CS227=0),CQ227,0),0)</f>
        <v>0</v>
      </c>
      <c r="DB227" s="615">
        <f t="shared" ref="DB227:DB231" si="1439">IFERROR(IF(AND((DK227+DS227+DT227)=DJ227,CS227=0,DA227=0),CQ227,0),0)</f>
        <v>0</v>
      </c>
      <c r="DC227" s="615">
        <f t="shared" ref="DC227:DC231" si="1440">IFERROR(IF(AND((DK227+DS227+DT227+DU227)=DJ227,CS227=0,DA227=0,DB227=0),CQ227,0),0)</f>
        <v>0</v>
      </c>
      <c r="DD227" s="615">
        <f t="shared" ref="DD227:DD231" si="1441">IFERROR(IF(AND((DK227+DS227+DT227+DU227+DV227)=DJ227,CS227=0,DA227=0,DB227=0,DC227=0),CQ227,0),0)</f>
        <v>0</v>
      </c>
      <c r="DE227" s="339"/>
      <c r="DF227" s="625">
        <f t="shared" ref="DF227:DF231" si="1442">IFERROR(DK227/DJ227,0)</f>
        <v>1</v>
      </c>
      <c r="DG227" s="625">
        <f t="shared" ref="DG227:DG231" si="1443">IFERROR(DL227/DJ227,0)</f>
        <v>0</v>
      </c>
      <c r="DH227" s="625">
        <f t="shared" ref="DH227:DH231" si="1444">IFERROR(DR227/DJ227,0)</f>
        <v>0</v>
      </c>
      <c r="DI227" s="345"/>
      <c r="DJ227" s="615">
        <f>COUNTIF('MEP | Drawing List'!$H:$H,"MEP-AMN-1")</f>
        <v>22</v>
      </c>
      <c r="DK227" s="616">
        <f>COUNTIFS('MEP | Drawing List'!$H:$H,"MEP-AMN-1",'MEP | Drawing List'!$J:$J,1)</f>
        <v>22</v>
      </c>
      <c r="DL227" s="616">
        <f>COUNTIFS('MEP | Drawing List'!$H:$H,"MEP-AMN-1",'MEP | Drawing List'!$L:$L,1)</f>
        <v>0</v>
      </c>
      <c r="DM227" s="615">
        <f>COUNTIFS('MEP | Drawing List'!$H:$H,"MEP-AMN-1",'MEP | Drawing List'!M:M,1)</f>
        <v>0</v>
      </c>
      <c r="DN227" s="615">
        <f>COUNTIFS('MEP | Drawing List'!$H:$H,"MEP-AMN-1",'MEP | Drawing List'!N:N,1)</f>
        <v>0</v>
      </c>
      <c r="DO227" s="615">
        <f>COUNTIFS('MEP | Drawing List'!$H:$H,"MEP-AMN-1",'MEP | Drawing List'!O:O,1)</f>
        <v>0</v>
      </c>
      <c r="DP227" s="615">
        <f>COUNTIFS('MEP | Drawing List'!$H:$H,"MEP-AMN-1",'MEP | Drawing List'!P:P,1)</f>
        <v>0</v>
      </c>
      <c r="DQ227" s="339"/>
      <c r="DR227" s="616">
        <f>COUNTIFS('MEP | Drawing List'!$H:$H,"MEP-AMN-1",'MEP | Drawing List'!$Q:$Q,1)</f>
        <v>0</v>
      </c>
      <c r="DS227" s="615">
        <f>COUNTIFS('MEP | Drawing List'!$H:$H,"MEP-AMN-1",'MEP | Drawing List'!R:R,1)</f>
        <v>0</v>
      </c>
      <c r="DT227" s="615">
        <f>COUNTIFS('MEP | Drawing List'!$H:$H,"MEP-AMN-1",'MEP | Drawing List'!S:S,1)</f>
        <v>0</v>
      </c>
      <c r="DU227" s="615">
        <f>COUNTIFS('MEP | Drawing List'!$H:$H,"MEP-AMN-1",'MEP | Drawing List'!T:T,1)</f>
        <v>0</v>
      </c>
      <c r="DV227" s="615">
        <f>COUNTIFS('MEP | Drawing List'!$H:$H,"MEP-AMN-1",'MEP | Drawing List'!U:U,1)</f>
        <v>0</v>
      </c>
      <c r="DW227" s="343"/>
      <c r="DX227" s="343"/>
      <c r="DY227" s="525">
        <v>0</v>
      </c>
      <c r="DZ227" s="343"/>
      <c r="EA227" s="616">
        <f>$EA$226/$DY$226*DY227</f>
        <v>0</v>
      </c>
      <c r="EB227" s="618">
        <f t="shared" si="1003"/>
        <v>0</v>
      </c>
      <c r="EC227" s="615">
        <f>IFERROR(IF(EP227=100%,EA227,0),0)</f>
        <v>0</v>
      </c>
      <c r="ED227" s="615">
        <f>IFERROR(IF(AND((EP227+EQ227)=100%,EP227&lt;1),EA227,0),0)</f>
        <v>0</v>
      </c>
      <c r="EE227" s="615">
        <f>IFERROR(IF(AND((EU227+EW227)=ET227,EC227=0),EA227,0),0)</f>
        <v>0</v>
      </c>
      <c r="EF227" s="615">
        <f>IFERROR(IF(AND((EU227+EW227+EX227)=ET227,EC227=0,EE227=0),EA227,0),0)</f>
        <v>0</v>
      </c>
      <c r="EG227" s="615">
        <f>IFERROR(IF(AND((EU227+EW227+EX227+EY227)=ET227,EC227=0,EE227=0,EF227=0),EA227,0),0)</f>
        <v>0</v>
      </c>
      <c r="EH227" s="615">
        <f>IFERROR(IF(AND((EU227+EW227+EX227+EY227+EZ227)=ET227,EC227=0,EE227=0,EF227=0,EG227=0),EA227,0),0)</f>
        <v>0</v>
      </c>
      <c r="EI227" s="339"/>
      <c r="EJ227" s="620">
        <f t="shared" ref="EJ227:EJ231" si="1445">IFERROR(IF(AND((EP227+ER227)=100%,EP227&lt;1),EA227,0),0)</f>
        <v>0</v>
      </c>
      <c r="EK227" s="615">
        <f t="shared" ref="EK227:EK231" si="1446">IFERROR(IF(AND((EU227+FC227)=ET227,EC227=0),EA227,0),0)</f>
        <v>0</v>
      </c>
      <c r="EL227" s="615">
        <f t="shared" ref="EL227:EL231" si="1447">IFERROR(IF(AND((EU227+FC227+FD227)=ET227,EC227=0,EK227=0),EA227,0),0)</f>
        <v>0</v>
      </c>
      <c r="EM227" s="615">
        <f t="shared" ref="EM227:EM231" si="1448">IFERROR(IF(AND((EU227+FC227+FD227+FE227)=ET227,EC227=0,EK227=0,EL227=0),EA227,0),0)</f>
        <v>0</v>
      </c>
      <c r="EN227" s="615">
        <f t="shared" ref="EN227:EN231" si="1449">IFERROR(IF(AND((EU227+FC227+FD227+FE227+FF227)=ET227,EC227=0,EK227=0,EL227=0,EM227=0),EA227,0),0)</f>
        <v>0</v>
      </c>
      <c r="EO227" s="339"/>
      <c r="EP227" s="627">
        <f t="shared" ref="EP227:EP231" si="1450">IFERROR(EU227/ET227,0)</f>
        <v>0</v>
      </c>
      <c r="EQ227" s="627">
        <f t="shared" ref="EQ227:EQ231" si="1451">IFERROR(EV227/ET227,0)</f>
        <v>0</v>
      </c>
      <c r="ER227" s="627">
        <f t="shared" ref="ER227:ER231" si="1452">IFERROR(FB227/ET227,0)</f>
        <v>0</v>
      </c>
      <c r="ES227" s="55"/>
      <c r="ET227" s="615">
        <f>COUNTIF('LS | Drawing List'!$H:$H,"LS-AMN-1")</f>
        <v>0</v>
      </c>
      <c r="EU227" s="616">
        <f>COUNTIFS('LS | Drawing List'!$H:$H,"LS-AMN-1",'LS | Drawing List'!$J:$J,1)</f>
        <v>0</v>
      </c>
      <c r="EV227" s="616">
        <f>COUNTIFS('LS | Drawing List'!$H:$H,"LS-AMN-1",'LS | Drawing List'!$L:$L,1)</f>
        <v>0</v>
      </c>
      <c r="EW227" s="615">
        <f>COUNTIFS('LS | Drawing List'!$H:$H,"LS-AMN-1",'LS | Drawing List'!M:M,1)</f>
        <v>0</v>
      </c>
      <c r="EX227" s="615">
        <f>COUNTIFS('LS | Drawing List'!$H:$H,"LS-AMN-1",'LS | Drawing List'!N:N,1)</f>
        <v>0</v>
      </c>
      <c r="EY227" s="615">
        <f>COUNTIFS('LS | Drawing List'!$H:$H,"LS-AMN-1",'LS | Drawing List'!O:O,1)</f>
        <v>0</v>
      </c>
      <c r="EZ227" s="615">
        <f>COUNTIFS('LS | Drawing List'!$H:$H,"LS-AMN-1",'LS | Drawing List'!P:P,1)</f>
        <v>0</v>
      </c>
      <c r="FA227" s="81"/>
      <c r="FB227" s="616">
        <f>COUNTIFS('LS | Drawing List'!$H:$H,"LS-AMN-1",'LS | Drawing List'!$Q:$Q,1)</f>
        <v>0</v>
      </c>
      <c r="FC227" s="615">
        <f>COUNTIFS('LS | Drawing List'!$H:$H,"LS-AMN-1",'LS | Drawing List'!R:R,1)</f>
        <v>0</v>
      </c>
      <c r="FD227" s="615">
        <f>COUNTIFS('LS | Drawing List'!$H:$H,"LS-AMN-1",'LS | Drawing List'!S:S,1)</f>
        <v>0</v>
      </c>
      <c r="FE227" s="615">
        <f>COUNTIFS('LS | Drawing List'!$H:$H,"LS-AMN-1",'LS | Drawing List'!T:T,1)</f>
        <v>0</v>
      </c>
      <c r="FF227" s="615">
        <f>COUNTIFS('LS | Drawing List'!$H:$H,"LS-AMN-1",'LS | Drawing List'!U:U,1)</f>
        <v>0</v>
      </c>
      <c r="FG227" s="48"/>
    </row>
    <row r="228" spans="1:163" ht="14.25" hidden="1" outlineLevel="2">
      <c r="A228" s="48"/>
      <c r="B228" s="87" t="s">
        <v>212</v>
      </c>
      <c r="C228" s="87">
        <v>2</v>
      </c>
      <c r="D228" s="138" t="s">
        <v>213</v>
      </c>
      <c r="E228" s="48"/>
      <c r="F228" s="619">
        <f t="shared" si="1422"/>
        <v>0.15456209999999998</v>
      </c>
      <c r="G228" s="619">
        <f t="shared" si="1423"/>
        <v>0.15456209999999998</v>
      </c>
      <c r="H228" s="615">
        <f t="shared" si="1424"/>
        <v>0</v>
      </c>
      <c r="I228" s="615">
        <f t="shared" si="1393"/>
        <v>0.13462199999999999</v>
      </c>
      <c r="J228" s="615">
        <f t="shared" si="1394"/>
        <v>0.13462199999999999</v>
      </c>
      <c r="K228" s="615">
        <f t="shared" si="1395"/>
        <v>0</v>
      </c>
      <c r="L228" s="615">
        <f t="shared" si="1396"/>
        <v>0</v>
      </c>
      <c r="M228" s="620">
        <f t="shared" si="1397"/>
        <v>0</v>
      </c>
      <c r="N228" s="287"/>
      <c r="O228" s="615">
        <f t="shared" si="1398"/>
        <v>0.13462199999999999</v>
      </c>
      <c r="P228" s="615">
        <f t="shared" si="1399"/>
        <v>0</v>
      </c>
      <c r="Q228" s="615">
        <f t="shared" si="1400"/>
        <v>0.13462199999999999</v>
      </c>
      <c r="R228" s="615">
        <f t="shared" si="1401"/>
        <v>0</v>
      </c>
      <c r="S228" s="615">
        <f t="shared" si="1402"/>
        <v>0</v>
      </c>
      <c r="T228" s="48"/>
      <c r="U228" s="519">
        <v>0.2</v>
      </c>
      <c r="V228" s="131"/>
      <c r="W228" s="619">
        <f>$W$226/$U$226*U228</f>
        <v>0.13462199999999999</v>
      </c>
      <c r="X228" s="619">
        <f t="shared" si="1000"/>
        <v>0.13462199999999999</v>
      </c>
      <c r="Y228" s="615">
        <f>IFERROR(IF(AL228=100%,W228,0),0)</f>
        <v>0</v>
      </c>
      <c r="Z228" s="615">
        <f>IFERROR(IF(AND((AL228+AM228)=100%,AL228&lt;1),W228,0),0)</f>
        <v>0.13462199999999999</v>
      </c>
      <c r="AA228" s="615">
        <f t="shared" si="1425"/>
        <v>0.13462199999999999</v>
      </c>
      <c r="AB228" s="615">
        <f t="shared" si="1426"/>
        <v>0</v>
      </c>
      <c r="AC228" s="615">
        <f t="shared" si="1427"/>
        <v>0</v>
      </c>
      <c r="AD228" s="620">
        <f t="shared" si="1428"/>
        <v>0</v>
      </c>
      <c r="AE228" s="287"/>
      <c r="AF228" s="615">
        <f>IFERROR(IF(AND((AL228+AN228)=100%,AL228&lt;1),W228,0),0)</f>
        <v>0.13462199999999999</v>
      </c>
      <c r="AG228" s="615">
        <f>IFERROR(IF(AND((AQ228+AY228)=AP228,Y228=0),W228,0),0)</f>
        <v>0</v>
      </c>
      <c r="AH228" s="615">
        <f>IFERROR(IF(AND((AQ228+AY228+AZ228)=AP228,Y228=0,AG228=0),W228,0),0)</f>
        <v>0.13462199999999999</v>
      </c>
      <c r="AI228" s="615">
        <f>IFERROR(IF(AND((AQ228+AY228+AZ228+BA228)=AP228,Y228=0,AG228=0,AH228=0),W228,0),0)</f>
        <v>0</v>
      </c>
      <c r="AJ228" s="615">
        <f>IFERROR(IF(AND((AQ228+AY228+AZ228+BA228+BB228)=AP228,Y228=0,AG228=0,AH228=0,AI228=0),W228,0),0)</f>
        <v>0</v>
      </c>
      <c r="AK228" s="339"/>
      <c r="AL228" s="625">
        <f>IFERROR(AQ228/AP228,0)</f>
        <v>0.94827586206896552</v>
      </c>
      <c r="AM228" s="625">
        <f>IFERROR(AR228/AP228,0)</f>
        <v>5.1724137931034482E-2</v>
      </c>
      <c r="AN228" s="625">
        <f>IFERROR(AX228/AP228,0)</f>
        <v>5.1724137931034482E-2</v>
      </c>
      <c r="AO228" s="345"/>
      <c r="AP228" s="615">
        <f>COUNTIF('AR | Drawing List'!$H:$H,"AR-AMN-2")</f>
        <v>58</v>
      </c>
      <c r="AQ228" s="616">
        <f>COUNTIFS('AR | Drawing List'!$H:$H,"AR-AMN-2",'AR | Drawing List'!$J:$J,1)</f>
        <v>55</v>
      </c>
      <c r="AR228" s="616">
        <f t="shared" si="1075"/>
        <v>3</v>
      </c>
      <c r="AS228" s="616">
        <f>COUNTIFS('AR | Drawing List'!$H:$H,"AR-AMN-2",'AR | Drawing List'!M:M,1)</f>
        <v>3</v>
      </c>
      <c r="AT228" s="616">
        <f>COUNTIFS('AR | Drawing List'!$H:$H,"AR-AMN-2",'AR | Drawing List'!N:N,1)</f>
        <v>0</v>
      </c>
      <c r="AU228" s="616">
        <f>COUNTIFS('AR | Drawing List'!$H:$H,"AR-AMN-2",'AR | Drawing List'!O:O,1)</f>
        <v>0</v>
      </c>
      <c r="AV228" s="616">
        <f>COUNTIFS('AR | Drawing List'!$H:$H,"AR-AMN-2",'AR | Drawing List'!P:P,1)</f>
        <v>0</v>
      </c>
      <c r="AW228" s="328"/>
      <c r="AX228" s="616">
        <f t="shared" si="1093"/>
        <v>3</v>
      </c>
      <c r="AY228" s="616">
        <f>COUNTIFS('AR | Drawing List'!$H:$H,"AR-AMN-2",'AR | Drawing List'!R:R,1)</f>
        <v>2</v>
      </c>
      <c r="AZ228" s="616">
        <f>COUNTIFS('AR | Drawing List'!$H:$H,"AR-AMN-2",'AR | Drawing List'!S:S,1)</f>
        <v>1</v>
      </c>
      <c r="BA228" s="616">
        <f>COUNTIFS('AR | Drawing List'!$H:$H,"AR-AMN-2",'AR | Drawing List'!T:T,1)</f>
        <v>0</v>
      </c>
      <c r="BB228" s="616">
        <f>COUNTIFS('AR | Drawing List'!$H:$H,"AR-AMN-2",'AR | Drawing List'!U:U,1)</f>
        <v>0</v>
      </c>
      <c r="BC228" s="359"/>
      <c r="BD228" s="359"/>
      <c r="BE228" s="329">
        <v>0</v>
      </c>
      <c r="BF228" s="343"/>
      <c r="BG228" s="616">
        <f>$BG$226/$BE$226*BE228</f>
        <v>0</v>
      </c>
      <c r="BH228" s="618">
        <f t="shared" si="1001"/>
        <v>0</v>
      </c>
      <c r="BI228" s="615">
        <f>IFERROR(IF(BV228=100%,BG228,0),0)</f>
        <v>0</v>
      </c>
      <c r="BJ228" s="615">
        <f>IFERROR(IF(AND((BV228+BW228)=100%,BV228&lt;1),BG228,0),0)</f>
        <v>0</v>
      </c>
      <c r="BK228" s="615">
        <f>IFERROR(IF(AND((CA228+CC228)=BZ228,BI228=0),BG228,0),0)</f>
        <v>0</v>
      </c>
      <c r="BL228" s="615">
        <f>IFERROR(IF(AND((CA228+CC228+CD228)=BZ228,BI228=0,BK228=0),BG228,0),0)</f>
        <v>0</v>
      </c>
      <c r="BM228" s="615">
        <f>IFERROR(IF(AND((CA228+CC228+CD228+CE228)=BZ228,BI228=0,BJ228=0,BK228=0,BL228=0),BG228,0),0)</f>
        <v>0</v>
      </c>
      <c r="BN228" s="615">
        <f>IFERROR(IF(AND((CA228+CC228+CD228+CE228+CF228)=BZ228,BI228=0,BJ228=0,BK228=0,BL228=0,BM228=0),BG228,0),0)</f>
        <v>0</v>
      </c>
      <c r="BO228" s="339"/>
      <c r="BP228" s="615">
        <f>IFERROR(IF(AND((BV228+BX228)=100%,BV228&lt;1),BG228,0),0)</f>
        <v>0</v>
      </c>
      <c r="BQ228" s="615">
        <f>IFERROR(IF(AND((CA228+CI228)=BZ228,BI228=0),BG228,0),0)</f>
        <v>0</v>
      </c>
      <c r="BR228" s="615">
        <f>IFERROR(IF(AND((CA228+CI228+CJ228)=BZ228,BI228=0,BQ228=0),BG228,0),0)</f>
        <v>0</v>
      </c>
      <c r="BS228" s="615">
        <f>IFERROR(IF(AND((CA228+CI228+CJ228+CK228)=BZ228,BI228=0,BQ228=0,BR228=0),BG228,0),0)</f>
        <v>0</v>
      </c>
      <c r="BT228" s="615">
        <f>IFERROR(IF(AND((CA228+CI228+CJ228+CK228+CL228)=BZ228,BI228=0,BQ228=0,BR228=0,BS228=0),BG228,0),0)</f>
        <v>0</v>
      </c>
      <c r="BU228" s="339"/>
      <c r="BV228" s="635">
        <f t="shared" si="1429"/>
        <v>0</v>
      </c>
      <c r="BW228" s="635">
        <f t="shared" si="1430"/>
        <v>0</v>
      </c>
      <c r="BX228" s="635">
        <f t="shared" si="1431"/>
        <v>0</v>
      </c>
      <c r="BY228" s="345"/>
      <c r="BZ228" s="615">
        <f>COUNTIF('ST | Drawing List'!$H:$H,"ST-AMN-2")</f>
        <v>0</v>
      </c>
      <c r="CA228" s="616">
        <f>COUNTIFS('ST | Drawing List'!$H:$H,"ST-AMN-2",'ST | Drawing List'!$J:$J,1)</f>
        <v>0</v>
      </c>
      <c r="CB228" s="623">
        <f>COUNTIFS('ST | Drawing List'!$H:$H,"ST-AMN-2",'ST | Drawing List'!$L:$L,1)</f>
        <v>0</v>
      </c>
      <c r="CC228" s="616">
        <f>COUNTIFS('ST | Drawing List'!$H:$H,"ST-AMN-2",'ST | Drawing List'!M:M,1)</f>
        <v>0</v>
      </c>
      <c r="CD228" s="616">
        <f>COUNTIFS('ST | Drawing List'!$H:$H,"ST-AMN-2",'ST | Drawing List'!N:N,1)</f>
        <v>0</v>
      </c>
      <c r="CE228" s="616">
        <f>COUNTIFS('ST | Drawing List'!$H:$H,"ST-AMN-2",'ST | Drawing List'!O:O,1)</f>
        <v>0</v>
      </c>
      <c r="CF228" s="616">
        <f>COUNTIFS('ST | Drawing List'!$H:$H,"ST-AMN-2",'ST | Drawing List'!P:P,1)</f>
        <v>0</v>
      </c>
      <c r="CG228" s="532"/>
      <c r="CH228" s="623">
        <f>COUNTIFS('ST | Drawing List'!$H:$H,"ST-AMN-2",'ST | Drawing List'!$Q:$Q,1)</f>
        <v>0</v>
      </c>
      <c r="CI228" s="616">
        <f>COUNTIFS('ST | Drawing List'!$H:$H,"ST-AMN-2",'ST | Drawing List'!R:R,1)</f>
        <v>0</v>
      </c>
      <c r="CJ228" s="616">
        <f>COUNTIFS('ST | Drawing List'!$H:$H,"ST-AMN-2",'ST | Drawing List'!S:S,1)</f>
        <v>0</v>
      </c>
      <c r="CK228" s="616">
        <f>COUNTIFS('ST | Drawing List'!$H:$H,"ST-AMN-2",'ST | Drawing List'!T:T,1)</f>
        <v>0</v>
      </c>
      <c r="CL228" s="616">
        <f>COUNTIFS('ST | Drawing List'!$H:$H,"ST-AMN-2",'ST | Drawing List'!U:U,1)</f>
        <v>0</v>
      </c>
      <c r="CM228" s="343"/>
      <c r="CN228" s="343"/>
      <c r="CO228" s="525">
        <v>0.15</v>
      </c>
      <c r="CP228" s="343"/>
      <c r="CQ228" s="616">
        <f>$CQ$226/$CO$226*CO228</f>
        <v>3.2744999999999996E-3</v>
      </c>
      <c r="CR228" s="618">
        <f t="shared" si="1002"/>
        <v>3.2744999999999996E-3</v>
      </c>
      <c r="CS228" s="615">
        <f>IFERROR(IF(DF228=100%,CQ228,0),0)</f>
        <v>3.2744999999999996E-3</v>
      </c>
      <c r="CT228" s="615">
        <f t="shared" si="1432"/>
        <v>0</v>
      </c>
      <c r="CU228" s="615">
        <f t="shared" si="1433"/>
        <v>0</v>
      </c>
      <c r="CV228" s="615">
        <f t="shared" si="1434"/>
        <v>0</v>
      </c>
      <c r="CW228" s="615">
        <f t="shared" si="1435"/>
        <v>0</v>
      </c>
      <c r="CX228" s="615">
        <f t="shared" si="1436"/>
        <v>0</v>
      </c>
      <c r="CY228" s="339"/>
      <c r="CZ228" s="615">
        <f t="shared" si="1437"/>
        <v>0</v>
      </c>
      <c r="DA228" s="615">
        <f t="shared" si="1438"/>
        <v>0</v>
      </c>
      <c r="DB228" s="615">
        <f t="shared" si="1439"/>
        <v>0</v>
      </c>
      <c r="DC228" s="615">
        <f t="shared" si="1440"/>
        <v>0</v>
      </c>
      <c r="DD228" s="615">
        <f t="shared" si="1441"/>
        <v>0</v>
      </c>
      <c r="DE228" s="339"/>
      <c r="DF228" s="625">
        <f t="shared" si="1442"/>
        <v>1</v>
      </c>
      <c r="DG228" s="625">
        <f t="shared" si="1443"/>
        <v>0</v>
      </c>
      <c r="DH228" s="625">
        <f t="shared" si="1444"/>
        <v>0</v>
      </c>
      <c r="DI228" s="345"/>
      <c r="DJ228" s="615">
        <f>COUNTIF('MEP | Drawing List'!$H:$H,"MEP-AMN-2")</f>
        <v>13</v>
      </c>
      <c r="DK228" s="616">
        <f>COUNTIFS('MEP | Drawing List'!$H:$H,"MEP-AMN-2",'MEP | Drawing List'!$J:$J,1)</f>
        <v>13</v>
      </c>
      <c r="DL228" s="616">
        <f>COUNTIFS('MEP | Drawing List'!$H:$H,"MEP-AMN-2",'MEP | Drawing List'!$L:$L,1)</f>
        <v>0</v>
      </c>
      <c r="DM228" s="615">
        <f>COUNTIFS('MEP | Drawing List'!$H:$H,"MEP-AMN-2",'MEP | Drawing List'!M:M,1)</f>
        <v>0</v>
      </c>
      <c r="DN228" s="615">
        <f>COUNTIFS('MEP | Drawing List'!$H:$H,"MEP-AMN-2",'MEP | Drawing List'!N:N,1)</f>
        <v>0</v>
      </c>
      <c r="DO228" s="615">
        <f>COUNTIFS('MEP | Drawing List'!$H:$H,"MEP-AMN-2",'MEP | Drawing List'!O:O,1)</f>
        <v>0</v>
      </c>
      <c r="DP228" s="615">
        <f>COUNTIFS('MEP | Drawing List'!$H:$H,"MEP-AMN-2",'MEP | Drawing List'!P:P,1)</f>
        <v>0</v>
      </c>
      <c r="DQ228" s="339"/>
      <c r="DR228" s="616">
        <f>COUNTIFS('MEP | Drawing List'!$H:$H,"MEP-AMN-2",'MEP | Drawing List'!$Q:$Q,1)</f>
        <v>0</v>
      </c>
      <c r="DS228" s="615">
        <f>COUNTIFS('MEP | Drawing List'!$H:$H,"MEP-AMN-2",'MEP | Drawing List'!R:R,1)</f>
        <v>0</v>
      </c>
      <c r="DT228" s="615">
        <f>COUNTIFS('MEP | Drawing List'!$H:$H,"MEP-AMN-2",'MEP | Drawing List'!S:S,1)</f>
        <v>0</v>
      </c>
      <c r="DU228" s="615">
        <f>COUNTIFS('MEP | Drawing List'!$H:$H,"MEP-AMN-2",'MEP | Drawing List'!T:T,1)</f>
        <v>0</v>
      </c>
      <c r="DV228" s="615">
        <f>COUNTIFS('MEP | Drawing List'!$H:$H,"MEP-AMN-2",'MEP | Drawing List'!U:U,1)</f>
        <v>0</v>
      </c>
      <c r="DW228" s="343"/>
      <c r="DX228" s="343"/>
      <c r="DY228" s="525">
        <v>0.1</v>
      </c>
      <c r="DZ228" s="343"/>
      <c r="EA228" s="616">
        <f>$EA$226/$DY$226*DY228</f>
        <v>1.6665599999999999E-2</v>
      </c>
      <c r="EB228" s="618">
        <f t="shared" si="1003"/>
        <v>1.6665599999999999E-2</v>
      </c>
      <c r="EC228" s="615">
        <f>IFERROR(IF(EP228=100%,EA228,0),0)</f>
        <v>1.6665599999999999E-2</v>
      </c>
      <c r="ED228" s="615">
        <f>IFERROR(IF(AND((EP228+EQ228)=100%,EP228&lt;1),EA228,0),0)</f>
        <v>0</v>
      </c>
      <c r="EE228" s="615">
        <f>IFERROR(IF(AND((EU228+EW228)=ET228,EC228=0),EA228,0),0)</f>
        <v>0</v>
      </c>
      <c r="EF228" s="615">
        <f>IFERROR(IF(AND((EU228+EW228+EX228)=ET228,EC228=0,EE228=0),EA228,0),0)</f>
        <v>0</v>
      </c>
      <c r="EG228" s="615">
        <f>IFERROR(IF(AND((EU228+EW228+EX228+EY228)=ET228,EC228=0,EE228=0,EF228=0),EA228,0),0)</f>
        <v>0</v>
      </c>
      <c r="EH228" s="615">
        <f>IFERROR(IF(AND((EU228+EW228+EX228+EY228+EZ228)=ET228,EC228=0,EE228=0,EF228=0,EG228=0),EA228,0),0)</f>
        <v>0</v>
      </c>
      <c r="EI228" s="339"/>
      <c r="EJ228" s="620">
        <f t="shared" si="1445"/>
        <v>0</v>
      </c>
      <c r="EK228" s="615">
        <f t="shared" si="1446"/>
        <v>0</v>
      </c>
      <c r="EL228" s="615">
        <f t="shared" si="1447"/>
        <v>0</v>
      </c>
      <c r="EM228" s="615">
        <f t="shared" si="1448"/>
        <v>0</v>
      </c>
      <c r="EN228" s="615">
        <f t="shared" si="1449"/>
        <v>0</v>
      </c>
      <c r="EO228" s="339"/>
      <c r="EP228" s="627">
        <f t="shared" si="1450"/>
        <v>1</v>
      </c>
      <c r="EQ228" s="627">
        <f t="shared" si="1451"/>
        <v>0</v>
      </c>
      <c r="ER228" s="627">
        <f t="shared" si="1452"/>
        <v>0</v>
      </c>
      <c r="ES228" s="55"/>
      <c r="ET228" s="615">
        <f>COUNTIF('LS | Drawing List'!$H:$H,"LS-AMN-2")</f>
        <v>1</v>
      </c>
      <c r="EU228" s="616">
        <f>COUNTIFS('LS | Drawing List'!$H:$H,"LS-AMN-2",'LS | Drawing List'!$J:$J,1)</f>
        <v>1</v>
      </c>
      <c r="EV228" s="616">
        <f>COUNTIFS('LS | Drawing List'!$H:$H,"LS-AMN-2",'LS | Drawing List'!$L:$L,1)</f>
        <v>0</v>
      </c>
      <c r="EW228" s="615">
        <f>COUNTIFS('LS | Drawing List'!$H:$H,"LS-AMN-2",'LS | Drawing List'!M:M,1)</f>
        <v>0</v>
      </c>
      <c r="EX228" s="615">
        <f>COUNTIFS('LS | Drawing List'!$H:$H,"LS-AMN-2",'LS | Drawing List'!N:N,1)</f>
        <v>0</v>
      </c>
      <c r="EY228" s="615">
        <f>COUNTIFS('LS | Drawing List'!$H:$H,"LS-AMN-2",'LS | Drawing List'!O:O,1)</f>
        <v>0</v>
      </c>
      <c r="EZ228" s="615">
        <f>COUNTIFS('LS | Drawing List'!$H:$H,"LS-AMN-2",'LS | Drawing List'!P:P,1)</f>
        <v>0</v>
      </c>
      <c r="FA228" s="81"/>
      <c r="FB228" s="616">
        <f>COUNTIFS('LS | Drawing List'!$H:$H,"LS-AMN-2",'LS | Drawing List'!$Q:$Q,1)</f>
        <v>0</v>
      </c>
      <c r="FC228" s="615">
        <f>COUNTIFS('LS | Drawing List'!$H:$H,"LS-AMN-2",'LS | Drawing List'!R:R,1)</f>
        <v>0</v>
      </c>
      <c r="FD228" s="615">
        <f>COUNTIFS('LS | Drawing List'!$H:$H,"LS-AMN-2",'LS | Drawing List'!S:S,1)</f>
        <v>0</v>
      </c>
      <c r="FE228" s="615">
        <f>COUNTIFS('LS | Drawing List'!$H:$H,"LS-AMN-2",'LS | Drawing List'!T:T,1)</f>
        <v>0</v>
      </c>
      <c r="FF228" s="615">
        <f>COUNTIFS('LS | Drawing List'!$H:$H,"LS-AMN-2",'LS | Drawing List'!U:U,1)</f>
        <v>0</v>
      </c>
      <c r="FG228" s="48"/>
    </row>
    <row r="229" spans="1:163" s="95" customFormat="1" ht="14.25" hidden="1" outlineLevel="2">
      <c r="A229" s="89"/>
      <c r="B229" s="87" t="s">
        <v>214</v>
      </c>
      <c r="C229" s="90">
        <v>3</v>
      </c>
      <c r="D229" s="22" t="s">
        <v>215</v>
      </c>
      <c r="E229" s="89"/>
      <c r="F229" s="619">
        <f t="shared" si="1422"/>
        <v>9.2830399999999993E-2</v>
      </c>
      <c r="G229" s="619">
        <f t="shared" si="1423"/>
        <v>9.0647399999999989E-2</v>
      </c>
      <c r="H229" s="615">
        <f t="shared" si="1424"/>
        <v>2.1830000000000044E-3</v>
      </c>
      <c r="I229" s="615">
        <f t="shared" si="1393"/>
        <v>5.2666249999999998E-2</v>
      </c>
      <c r="J229" s="615">
        <f t="shared" si="1394"/>
        <v>5.2666249999999998E-2</v>
      </c>
      <c r="K229" s="615">
        <f t="shared" si="1395"/>
        <v>0</v>
      </c>
      <c r="L229" s="615">
        <f t="shared" si="1396"/>
        <v>0</v>
      </c>
      <c r="M229" s="620">
        <f t="shared" si="1397"/>
        <v>0</v>
      </c>
      <c r="N229" s="287"/>
      <c r="O229" s="615">
        <f t="shared" si="1398"/>
        <v>5.048325E-2</v>
      </c>
      <c r="P229" s="615">
        <f t="shared" si="1399"/>
        <v>5.048325E-2</v>
      </c>
      <c r="Q229" s="615">
        <f t="shared" si="1400"/>
        <v>0</v>
      </c>
      <c r="R229" s="615">
        <f t="shared" si="1401"/>
        <v>0</v>
      </c>
      <c r="S229" s="615">
        <f t="shared" si="1402"/>
        <v>0</v>
      </c>
      <c r="T229" s="89"/>
      <c r="U229" s="552">
        <v>7.4999999999999997E-2</v>
      </c>
      <c r="V229" s="133"/>
      <c r="W229" s="628">
        <f>$W$226/$U$226*U229</f>
        <v>5.048325E-2</v>
      </c>
      <c r="X229" s="628">
        <f t="shared" si="1000"/>
        <v>5.048325E-2</v>
      </c>
      <c r="Y229" s="620">
        <f>IFERROR(IF(AL229=100%,W229,0),0)</f>
        <v>0</v>
      </c>
      <c r="Z229" s="620">
        <f>IFERROR(IF(AND((AL229+AM229)=100%,AL229&lt;1),W229,0),0)</f>
        <v>5.048325E-2</v>
      </c>
      <c r="AA229" s="620">
        <f t="shared" si="1425"/>
        <v>5.048325E-2</v>
      </c>
      <c r="AB229" s="620">
        <f t="shared" si="1426"/>
        <v>0</v>
      </c>
      <c r="AC229" s="620">
        <f t="shared" si="1427"/>
        <v>0</v>
      </c>
      <c r="AD229" s="620">
        <f t="shared" si="1428"/>
        <v>0</v>
      </c>
      <c r="AE229" s="287"/>
      <c r="AF229" s="615">
        <f>IFERROR(IF(AND((AL229+AN229)=100%,AL229&lt;1),W229,0),0)</f>
        <v>5.048325E-2</v>
      </c>
      <c r="AG229" s="615">
        <f>IFERROR(IF(AND((AQ229+AY229)=AP229,Y229=0),W229,0),0)</f>
        <v>5.048325E-2</v>
      </c>
      <c r="AH229" s="615">
        <f>IFERROR(IF(AND((AQ229+AY229+AZ229)=AP229,Y229=0,AG229=0),W229,0),0)</f>
        <v>0</v>
      </c>
      <c r="AI229" s="615">
        <f>IFERROR(IF(AND((AQ229+AY229+AZ229+BA229)=AP229,Y229=0,AG229=0,AH229=0),W229,0),0)</f>
        <v>0</v>
      </c>
      <c r="AJ229" s="615">
        <f>IFERROR(IF(AND((AQ229+AY229+AZ229+BA229+BB229)=AP229,Y229=0,AG229=0,AH229=0,AI229=0),W229,0),0)</f>
        <v>0</v>
      </c>
      <c r="AK229" s="339"/>
      <c r="AL229" s="627">
        <f>IFERROR(AQ229/AP229,0)</f>
        <v>0.83333333333333337</v>
      </c>
      <c r="AM229" s="627">
        <f>IFERROR(AR229/AP229,0)</f>
        <v>0.16666666666666666</v>
      </c>
      <c r="AN229" s="625">
        <f>IFERROR(AX229/AP229,0)</f>
        <v>0.16666666666666666</v>
      </c>
      <c r="AO229" s="373"/>
      <c r="AP229" s="620">
        <f>COUNTIF('AR | Drawing List'!$H:$H,"AR-AMN-3")</f>
        <v>6</v>
      </c>
      <c r="AQ229" s="621">
        <f>COUNTIFS('AR | Drawing List'!$H:$H,"AR-AMN-3",'AR | Drawing List'!$J:$J,1)</f>
        <v>5</v>
      </c>
      <c r="AR229" s="621">
        <f t="shared" si="1075"/>
        <v>1</v>
      </c>
      <c r="AS229" s="621">
        <f>COUNTIFS('AR | Drawing List'!$H:$H,"AR-AMN-3",'AR | Drawing List'!M:M,1)</f>
        <v>1</v>
      </c>
      <c r="AT229" s="621">
        <f>COUNTIFS('AR | Drawing List'!$H:$H,"AR-AMN-3",'AR | Drawing List'!N:N,1)</f>
        <v>0</v>
      </c>
      <c r="AU229" s="621">
        <f>COUNTIFS('AR | Drawing List'!$H:$H,"AR-AMN-3",'AR | Drawing List'!O:O,1)</f>
        <v>0</v>
      </c>
      <c r="AV229" s="621">
        <f>COUNTIFS('AR | Drawing List'!$H:$H,"AR-AMN-3",'AR | Drawing List'!P:P,1)</f>
        <v>0</v>
      </c>
      <c r="AW229" s="366"/>
      <c r="AX229" s="621">
        <f t="shared" si="1093"/>
        <v>1</v>
      </c>
      <c r="AY229" s="621">
        <f>COUNTIFS('AR | Drawing List'!$H:$H,"AR-AMN-3",'AR | Drawing List'!R:R,1)</f>
        <v>1</v>
      </c>
      <c r="AZ229" s="621">
        <f>COUNTIFS('AR | Drawing List'!$H:$H,"AR-AMN-3",'AR | Drawing List'!S:S,1)</f>
        <v>0</v>
      </c>
      <c r="BA229" s="621">
        <f>COUNTIFS('AR | Drawing List'!$H:$H,"AR-AMN-3",'AR | Drawing List'!T:T,1)</f>
        <v>0</v>
      </c>
      <c r="BB229" s="621">
        <f>COUNTIFS('AR | Drawing List'!$H:$H,"AR-AMN-3",'AR | Drawing List'!U:U,1)</f>
        <v>0</v>
      </c>
      <c r="BC229" s="365"/>
      <c r="BD229" s="365"/>
      <c r="BE229" s="370">
        <v>0.05</v>
      </c>
      <c r="BF229" s="368"/>
      <c r="BG229" s="621">
        <f>$BG$226/$BE$226*BE229</f>
        <v>6.8329500000000008E-3</v>
      </c>
      <c r="BH229" s="622">
        <f t="shared" si="1001"/>
        <v>6.8329500000000008E-3</v>
      </c>
      <c r="BI229" s="620">
        <f>IFERROR(IF(BV229=100%,BG229,0),0)</f>
        <v>6.8329500000000008E-3</v>
      </c>
      <c r="BJ229" s="620">
        <f>IFERROR(IF(AND((BV229+BW229)=100%,BV229&lt;1),BG229,0),0)</f>
        <v>0</v>
      </c>
      <c r="BK229" s="620">
        <f>IFERROR(IF(AND((CA229+CC229)=BZ229,BI229=0),BG229,0),0)</f>
        <v>0</v>
      </c>
      <c r="BL229" s="620">
        <f>IFERROR(IF(AND((CA229+CC229+CD229)=BZ229,BI229=0,BK229=0),BG229,0),0)</f>
        <v>0</v>
      </c>
      <c r="BM229" s="620">
        <f>IFERROR(IF(AND((CA229+CC229+CD229+CE229)=BZ229,BI229=0,BJ229=0,BK229=0,BL229=0),BG229,0),0)</f>
        <v>0</v>
      </c>
      <c r="BN229" s="620">
        <f>IFERROR(IF(AND((CA229+CC229+CD229+CE229+CF229)=BZ229,BI229=0,BJ229=0,BK229=0,BL229=0,BM229=0),BG229,0),0)</f>
        <v>0</v>
      </c>
      <c r="BO229" s="287"/>
      <c r="BP229" s="615">
        <f>IFERROR(IF(AND((BV229+BX229)=100%,BV229&lt;1),BG229,0),0)</f>
        <v>0</v>
      </c>
      <c r="BQ229" s="615">
        <f>IFERROR(IF(AND((CA229+CI229)=BZ229,BI229=0),BG229,0),0)</f>
        <v>0</v>
      </c>
      <c r="BR229" s="615">
        <f>IFERROR(IF(AND((CA229+CI229+CJ229)=BZ229,BI229=0,BQ229=0),BG229,0),0)</f>
        <v>0</v>
      </c>
      <c r="BS229" s="615">
        <f>IFERROR(IF(AND((CA229+CI229+CJ229+CK229)=BZ229,BI229=0,BQ229=0,BR229=0),BG229,0),0)</f>
        <v>0</v>
      </c>
      <c r="BT229" s="615">
        <f>IFERROR(IF(AND((CA229+CI229+CJ229+CK229+CL229)=BZ229,BI229=0,BQ229=0,BR229=0,BS229=0),BG229,0),0)</f>
        <v>0</v>
      </c>
      <c r="BU229" s="339"/>
      <c r="BV229" s="635">
        <f t="shared" si="1429"/>
        <v>1</v>
      </c>
      <c r="BW229" s="635">
        <f t="shared" si="1430"/>
        <v>0</v>
      </c>
      <c r="BX229" s="635">
        <f t="shared" si="1431"/>
        <v>0</v>
      </c>
      <c r="BY229" s="373"/>
      <c r="BZ229" s="620">
        <f>COUNTIF('ST | Drawing List'!$H:$H,"ST-AMN-3")</f>
        <v>1</v>
      </c>
      <c r="CA229" s="621">
        <f>COUNTIFS('ST | Drawing List'!$H:$H,"ST-AMN-3",'ST | Drawing List'!$J:$J,1)</f>
        <v>1</v>
      </c>
      <c r="CB229" s="624">
        <f>COUNTIFS('ST | Drawing List'!$H:$H,"ST-AMN-3",'ST | Drawing List'!$L:$L,1)</f>
        <v>0</v>
      </c>
      <c r="CC229" s="621">
        <f>COUNTIFS('ST | Drawing List'!$H:$H,"ST-AMN-3",'ST | Drawing List'!M:M,1)</f>
        <v>0</v>
      </c>
      <c r="CD229" s="621">
        <f>COUNTIFS('ST | Drawing List'!$H:$H,"ST-AMN-3",'ST | Drawing List'!N:N,1)</f>
        <v>0</v>
      </c>
      <c r="CE229" s="621">
        <f>COUNTIFS('ST | Drawing List'!$H:$H,"ST-AMN-3",'ST | Drawing List'!O:O,1)</f>
        <v>0</v>
      </c>
      <c r="CF229" s="621">
        <f>COUNTIFS('ST | Drawing List'!$H:$H,"ST-AMN-3",'ST | Drawing List'!P:P,1)</f>
        <v>0</v>
      </c>
      <c r="CG229" s="541"/>
      <c r="CH229" s="624">
        <f>COUNTIFS('ST | Drawing List'!$H:$H,"ST-AMN-3",'ST | Drawing List'!$Q:$Q,1)</f>
        <v>0</v>
      </c>
      <c r="CI229" s="621">
        <f>COUNTIFS('ST | Drawing List'!$H:$H,"ST-AMN-3",'ST | Drawing List'!R:R,1)</f>
        <v>0</v>
      </c>
      <c r="CJ229" s="621">
        <f>COUNTIFS('ST | Drawing List'!$H:$H,"ST-AMN-3",'ST | Drawing List'!S:S,1)</f>
        <v>0</v>
      </c>
      <c r="CK229" s="621">
        <f>COUNTIFS('ST | Drawing List'!$H:$H,"ST-AMN-3",'ST | Drawing List'!T:T,1)</f>
        <v>0</v>
      </c>
      <c r="CL229" s="621">
        <f>COUNTIFS('ST | Drawing List'!$H:$H,"ST-AMN-3",'ST | Drawing List'!U:U,1)</f>
        <v>0</v>
      </c>
      <c r="CM229" s="368"/>
      <c r="CN229" s="368"/>
      <c r="CO229" s="554">
        <v>0.1</v>
      </c>
      <c r="CP229" s="368"/>
      <c r="CQ229" s="621">
        <f>$CQ$226/$CO$226*CO229</f>
        <v>2.183E-3</v>
      </c>
      <c r="CR229" s="622">
        <f t="shared" si="1002"/>
        <v>0</v>
      </c>
      <c r="CS229" s="620">
        <f>IFERROR(IF(DF229=100%,CQ229,0),0)</f>
        <v>0</v>
      </c>
      <c r="CT229" s="615">
        <f t="shared" si="1432"/>
        <v>2.183E-3</v>
      </c>
      <c r="CU229" s="615">
        <f t="shared" si="1433"/>
        <v>2.183E-3</v>
      </c>
      <c r="CV229" s="615">
        <f t="shared" si="1434"/>
        <v>0</v>
      </c>
      <c r="CW229" s="615">
        <f t="shared" si="1435"/>
        <v>0</v>
      </c>
      <c r="CX229" s="615">
        <f t="shared" si="1436"/>
        <v>0</v>
      </c>
      <c r="CY229" s="339"/>
      <c r="CZ229" s="615">
        <f t="shared" si="1437"/>
        <v>0</v>
      </c>
      <c r="DA229" s="615">
        <f t="shared" si="1438"/>
        <v>0</v>
      </c>
      <c r="DB229" s="615">
        <f t="shared" si="1439"/>
        <v>0</v>
      </c>
      <c r="DC229" s="615">
        <f t="shared" si="1440"/>
        <v>0</v>
      </c>
      <c r="DD229" s="615">
        <f t="shared" si="1441"/>
        <v>0</v>
      </c>
      <c r="DE229" s="339"/>
      <c r="DF229" s="625">
        <f t="shared" si="1442"/>
        <v>0</v>
      </c>
      <c r="DG229" s="625">
        <f t="shared" si="1443"/>
        <v>1</v>
      </c>
      <c r="DH229" s="625">
        <f t="shared" si="1444"/>
        <v>0.5</v>
      </c>
      <c r="DI229" s="373"/>
      <c r="DJ229" s="620">
        <f>COUNTIF('MEP | Drawing List'!$H:$H,"MEP-AMN-3")</f>
        <v>2</v>
      </c>
      <c r="DK229" s="621">
        <f>COUNTIFS('MEP | Drawing List'!$H:$H,"MEP-AMN-3",'MEP | Drawing List'!$J:$J,1)</f>
        <v>0</v>
      </c>
      <c r="DL229" s="621">
        <f>COUNTIFS('MEP | Drawing List'!$H:$H,"MEP-AMN-3",'MEP | Drawing List'!$L:$L,1)</f>
        <v>2</v>
      </c>
      <c r="DM229" s="620">
        <f>COUNTIFS('MEP | Drawing List'!$H:$H,"MEP-AMN-3",'MEP | Drawing List'!M:M,1)</f>
        <v>2</v>
      </c>
      <c r="DN229" s="620">
        <f>COUNTIFS('MEP | Drawing List'!$H:$H,"MEP-AMN-3",'MEP | Drawing List'!N:N,1)</f>
        <v>0</v>
      </c>
      <c r="DO229" s="620">
        <f>COUNTIFS('MEP | Drawing List'!$H:$H,"MEP-AMN-3",'MEP | Drawing List'!O:O,1)</f>
        <v>0</v>
      </c>
      <c r="DP229" s="620">
        <f>COUNTIFS('MEP | Drawing List'!$H:$H,"MEP-AMN-3",'MEP | Drawing List'!P:P,1)</f>
        <v>0</v>
      </c>
      <c r="DQ229" s="287"/>
      <c r="DR229" s="621">
        <f>COUNTIFS('MEP | Drawing List'!$H:$H,"MEP-AMN-3",'MEP | Drawing List'!$Q:$Q,1)</f>
        <v>1</v>
      </c>
      <c r="DS229" s="620">
        <f>COUNTIFS('MEP | Drawing List'!$H:$H,"MEP-AMN-3",'MEP | Drawing List'!R:R,1)</f>
        <v>0</v>
      </c>
      <c r="DT229" s="620">
        <f>COUNTIFS('MEP | Drawing List'!$H:$H,"MEP-AMN-3",'MEP | Drawing List'!S:S,1)</f>
        <v>0</v>
      </c>
      <c r="DU229" s="620">
        <f>COUNTIFS('MEP | Drawing List'!$H:$H,"MEP-AMN-3",'MEP | Drawing List'!T:T,1)</f>
        <v>1</v>
      </c>
      <c r="DV229" s="620">
        <f>COUNTIFS('MEP | Drawing List'!$H:$H,"MEP-AMN-3",'MEP | Drawing List'!U:U,1)</f>
        <v>0</v>
      </c>
      <c r="DW229" s="368"/>
      <c r="DX229" s="368"/>
      <c r="DY229" s="554">
        <v>0.2</v>
      </c>
      <c r="DZ229" s="368"/>
      <c r="EA229" s="621">
        <f>$EA$226/$DY$226*DY229</f>
        <v>3.3331199999999998E-2</v>
      </c>
      <c r="EB229" s="622">
        <f t="shared" si="1003"/>
        <v>3.3331199999999998E-2</v>
      </c>
      <c r="EC229" s="620">
        <f>IFERROR(IF(EP229=100%,EA229,0),0)</f>
        <v>3.3331199999999998E-2</v>
      </c>
      <c r="ED229" s="620">
        <f>IFERROR(IF(AND((EP229+EQ229)=100%,EP229&lt;1),EA229,0),0)</f>
        <v>0</v>
      </c>
      <c r="EE229" s="615">
        <f>IFERROR(IF(AND((EU229+EW229)=ET229,EC229=0),EA229,0),0)</f>
        <v>0</v>
      </c>
      <c r="EF229" s="615">
        <f>IFERROR(IF(AND((EU229+EW229+EX229)=ET229,EC229=0,EE229=0),EA229,0),0)</f>
        <v>0</v>
      </c>
      <c r="EG229" s="615">
        <f>IFERROR(IF(AND((EU229+EW229+EX229+EY229)=ET229,EC229=0,EE229=0,EF229=0),EA229,0),0)</f>
        <v>0</v>
      </c>
      <c r="EH229" s="615">
        <f>IFERROR(IF(AND((EU229+EW229+EX229+EY229+EZ229)=ET229,EC229=0,EE229=0,EF229=0,EG229=0),EA229,0),0)</f>
        <v>0</v>
      </c>
      <c r="EI229" s="339"/>
      <c r="EJ229" s="620">
        <f t="shared" si="1445"/>
        <v>0</v>
      </c>
      <c r="EK229" s="615">
        <f t="shared" si="1446"/>
        <v>0</v>
      </c>
      <c r="EL229" s="615">
        <f t="shared" si="1447"/>
        <v>0</v>
      </c>
      <c r="EM229" s="615">
        <f t="shared" si="1448"/>
        <v>0</v>
      </c>
      <c r="EN229" s="615">
        <f t="shared" si="1449"/>
        <v>0</v>
      </c>
      <c r="EO229" s="339"/>
      <c r="EP229" s="627">
        <f t="shared" si="1450"/>
        <v>1</v>
      </c>
      <c r="EQ229" s="627">
        <f t="shared" si="1451"/>
        <v>0</v>
      </c>
      <c r="ER229" s="627">
        <f t="shared" si="1452"/>
        <v>0</v>
      </c>
      <c r="ES229" s="99"/>
      <c r="ET229" s="620">
        <f>COUNTIF('LS | Drawing List'!$H:$H,"LS-AMN-3")</f>
        <v>15</v>
      </c>
      <c r="EU229" s="621">
        <f>COUNTIFS('LS | Drawing List'!$H:$H,"LS-AMN-3",'LS | Drawing List'!$J:$J,1)</f>
        <v>15</v>
      </c>
      <c r="EV229" s="621">
        <f>COUNTIFS('LS | Drawing List'!$H:$H,"LS-AMN-3",'LS | Drawing List'!$L:$L,1)</f>
        <v>0</v>
      </c>
      <c r="EW229" s="620">
        <f>COUNTIFS('LS | Drawing List'!$H:$H,"LS-AMN-3",'LS | Drawing List'!M:M,1)</f>
        <v>0</v>
      </c>
      <c r="EX229" s="620">
        <f>COUNTIFS('LS | Drawing List'!$H:$H,"LS-AMN-3",'LS | Drawing List'!N:N,1)</f>
        <v>0</v>
      </c>
      <c r="EY229" s="620">
        <f>COUNTIFS('LS | Drawing List'!$H:$H,"LS-AMN-3",'LS | Drawing List'!O:O,1)</f>
        <v>0</v>
      </c>
      <c r="EZ229" s="620">
        <f>COUNTIFS('LS | Drawing List'!$H:$H,"LS-AMN-3",'LS | Drawing List'!P:P,1)</f>
        <v>0</v>
      </c>
      <c r="FA229" s="91"/>
      <c r="FB229" s="621">
        <f>COUNTIFS('LS | Drawing List'!$H:$H,"LS-AMN-3",'LS | Drawing List'!$Q:$Q,1)</f>
        <v>0</v>
      </c>
      <c r="FC229" s="620">
        <f>COUNTIFS('LS | Drawing List'!$H:$H,"LS-AMN-3",'LS | Drawing List'!R:R,1)</f>
        <v>0</v>
      </c>
      <c r="FD229" s="620">
        <f>COUNTIFS('LS | Drawing List'!$H:$H,"LS-AMN-3",'LS | Drawing List'!S:S,1)</f>
        <v>0</v>
      </c>
      <c r="FE229" s="620">
        <f>COUNTIFS('LS | Drawing List'!$H:$H,"LS-AMN-3",'LS | Drawing List'!T:T,1)</f>
        <v>0</v>
      </c>
      <c r="FF229" s="620">
        <f>COUNTIFS('LS | Drawing List'!$H:$H,"LS-AMN-3",'LS | Drawing List'!U:U,1)</f>
        <v>0</v>
      </c>
      <c r="FG229" s="89"/>
    </row>
    <row r="230" spans="1:163" ht="14.25" hidden="1" outlineLevel="2">
      <c r="A230" s="48"/>
      <c r="B230" s="87" t="s">
        <v>216</v>
      </c>
      <c r="C230" s="87">
        <v>4</v>
      </c>
      <c r="D230" s="138" t="s">
        <v>217</v>
      </c>
      <c r="E230" s="48"/>
      <c r="F230" s="619">
        <f t="shared" si="1422"/>
        <v>4.8496949999999997E-2</v>
      </c>
      <c r="G230" s="619">
        <f t="shared" si="1423"/>
        <v>6.8329500000000008E-3</v>
      </c>
      <c r="H230" s="615">
        <f t="shared" si="1424"/>
        <v>4.1663999999999993E-2</v>
      </c>
      <c r="I230" s="615">
        <f t="shared" si="1393"/>
        <v>4.1664E-2</v>
      </c>
      <c r="J230" s="615">
        <f t="shared" si="1394"/>
        <v>4.1664E-2</v>
      </c>
      <c r="K230" s="615">
        <f t="shared" si="1395"/>
        <v>0</v>
      </c>
      <c r="L230" s="615">
        <f t="shared" si="1396"/>
        <v>0</v>
      </c>
      <c r="M230" s="620">
        <f t="shared" si="1397"/>
        <v>0</v>
      </c>
      <c r="N230" s="287"/>
      <c r="O230" s="615">
        <f t="shared" si="1398"/>
        <v>0</v>
      </c>
      <c r="P230" s="615">
        <f t="shared" si="1399"/>
        <v>0</v>
      </c>
      <c r="Q230" s="615">
        <f t="shared" si="1400"/>
        <v>0</v>
      </c>
      <c r="R230" s="615">
        <f t="shared" si="1401"/>
        <v>0</v>
      </c>
      <c r="S230" s="615">
        <f t="shared" si="1402"/>
        <v>0</v>
      </c>
      <c r="T230" s="48"/>
      <c r="U230" s="519">
        <v>0</v>
      </c>
      <c r="V230" s="131"/>
      <c r="W230" s="619">
        <f>$W$226/$U$226*U230</f>
        <v>0</v>
      </c>
      <c r="X230" s="619">
        <f t="shared" si="1000"/>
        <v>0</v>
      </c>
      <c r="Y230" s="615">
        <f>IFERROR(IF(AL230=100%,W230,0),0)</f>
        <v>0</v>
      </c>
      <c r="Z230" s="615">
        <f>IFERROR(IF(AND((AL230+AM230)=100%,AL230&lt;1),W230,0),0)</f>
        <v>0</v>
      </c>
      <c r="AA230" s="615">
        <f t="shared" si="1425"/>
        <v>0</v>
      </c>
      <c r="AB230" s="615">
        <f t="shared" si="1426"/>
        <v>0</v>
      </c>
      <c r="AC230" s="615">
        <f t="shared" si="1427"/>
        <v>0</v>
      </c>
      <c r="AD230" s="620">
        <f t="shared" si="1428"/>
        <v>0</v>
      </c>
      <c r="AE230" s="287"/>
      <c r="AF230" s="615">
        <f>IFERROR(IF(AND((AL230+AN230)=100%,AL230&lt;1),W230,0),0)</f>
        <v>0</v>
      </c>
      <c r="AG230" s="615">
        <f>IFERROR(IF(AND((AQ230+AY230)=AP230,Y230=0),W230,0),0)</f>
        <v>0</v>
      </c>
      <c r="AH230" s="615">
        <f>IFERROR(IF(AND((AQ230+AY230+AZ230)=AP230,Y230=0,AG230=0),W230,0),0)</f>
        <v>0</v>
      </c>
      <c r="AI230" s="615">
        <f>IFERROR(IF(AND((AQ230+AY230+AZ230+BA230)=AP230,Y230=0,AG230=0,AH230=0),W230,0),0)</f>
        <v>0</v>
      </c>
      <c r="AJ230" s="615">
        <f>IFERROR(IF(AND((AQ230+AY230+AZ230+BA230+BB230)=AP230,Y230=0,AG230=0,AH230=0,AI230=0),W230,0),0)</f>
        <v>0</v>
      </c>
      <c r="AK230" s="339"/>
      <c r="AL230" s="625">
        <f>IFERROR(AQ230/AP230,0)</f>
        <v>0</v>
      </c>
      <c r="AM230" s="625">
        <f>IFERROR(AR230/AP230,0)</f>
        <v>0</v>
      </c>
      <c r="AN230" s="625">
        <f>IFERROR(AX230/AP230,0)</f>
        <v>0</v>
      </c>
      <c r="AO230" s="345"/>
      <c r="AP230" s="615">
        <f>COUNTIF('AR | Drawing List'!$H:$H,"AR-AMN-4")</f>
        <v>0</v>
      </c>
      <c r="AQ230" s="616">
        <f>COUNTIFS('AR | Drawing List'!$H:$H,"AR-AMN-4",'AR | Drawing List'!$J:$J,1)</f>
        <v>0</v>
      </c>
      <c r="AR230" s="616">
        <f t="shared" si="1075"/>
        <v>0</v>
      </c>
      <c r="AS230" s="616">
        <f>COUNTIFS('AR | Drawing List'!$H:$H,"AR-AMN-4",'AR | Drawing List'!M:M,1)</f>
        <v>0</v>
      </c>
      <c r="AT230" s="616">
        <f>COUNTIFS('AR | Drawing List'!$H:$H,"AR-AMN-4",'AR | Drawing List'!N:N,1)</f>
        <v>0</v>
      </c>
      <c r="AU230" s="616">
        <f>COUNTIFS('AR | Drawing List'!$H:$H,"AR-AMN-4",'AR | Drawing List'!O:O,1)</f>
        <v>0</v>
      </c>
      <c r="AV230" s="616">
        <f>COUNTIFS('AR | Drawing List'!$H:$H,"AR-AMN-4",'AR | Drawing List'!P:P,1)</f>
        <v>0</v>
      </c>
      <c r="AW230" s="328"/>
      <c r="AX230" s="616">
        <f t="shared" si="1093"/>
        <v>0</v>
      </c>
      <c r="AY230" s="616">
        <f>COUNTIFS('AR | Drawing List'!$H:$H,"AR-AMN-4",'AR | Drawing List'!R:R,1)</f>
        <v>0</v>
      </c>
      <c r="AZ230" s="616">
        <f>COUNTIFS('AR | Drawing List'!$H:$H,"AR-AMN-4",'AR | Drawing List'!S:S,1)</f>
        <v>0</v>
      </c>
      <c r="BA230" s="616">
        <f>COUNTIFS('AR | Drawing List'!$H:$H,"AR-AMN-4",'AR | Drawing List'!T:T,1)</f>
        <v>0</v>
      </c>
      <c r="BB230" s="616">
        <f>COUNTIFS('AR | Drawing List'!$H:$H,"AR-AMN-4",'AR | Drawing List'!U:U,1)</f>
        <v>0</v>
      </c>
      <c r="BC230" s="359"/>
      <c r="BD230" s="359"/>
      <c r="BE230" s="329">
        <v>0.05</v>
      </c>
      <c r="BF230" s="343"/>
      <c r="BG230" s="616">
        <f>$BG$226/$BE$226*BE230</f>
        <v>6.8329500000000008E-3</v>
      </c>
      <c r="BH230" s="618">
        <f t="shared" si="1001"/>
        <v>6.8329500000000008E-3</v>
      </c>
      <c r="BI230" s="615">
        <f>IFERROR(IF(BV230=100%,BG230,0),0)</f>
        <v>6.8329500000000008E-3</v>
      </c>
      <c r="BJ230" s="615">
        <f>IFERROR(IF(AND((BV230+BW230)=100%,BV230&lt;1),BG230,0),0)</f>
        <v>0</v>
      </c>
      <c r="BK230" s="615">
        <f>IFERROR(IF(AND((CA230+CC230)=BZ230,BI230=0),BG230,0),0)</f>
        <v>0</v>
      </c>
      <c r="BL230" s="615">
        <f>IFERROR(IF(AND((CA230+CC230+CD230)=BZ230,BI230=0,BK230=0),BG230,0),0)</f>
        <v>0</v>
      </c>
      <c r="BM230" s="615">
        <f>IFERROR(IF(AND((CA230+CC230+CD230+CE230)=BZ230,BI230=0,BJ230=0,BK230=0,BL230=0),BG230,0),0)</f>
        <v>0</v>
      </c>
      <c r="BN230" s="615">
        <f>IFERROR(IF(AND((CA230+CC230+CD230+CE230+CF230)=BZ230,BI230=0,BJ230=0,BK230=0,BL230=0,BM230=0),BG230,0),0)</f>
        <v>0</v>
      </c>
      <c r="BO230" s="339"/>
      <c r="BP230" s="615">
        <f>IFERROR(IF(AND((BV230+BX230)=100%,BV230&lt;1),BG230,0),0)</f>
        <v>0</v>
      </c>
      <c r="BQ230" s="615">
        <f>IFERROR(IF(AND((CA230+CI230)=BZ230,BI230=0),BG230,0),0)</f>
        <v>0</v>
      </c>
      <c r="BR230" s="615">
        <f>IFERROR(IF(AND((CA230+CI230+CJ230)=BZ230,BI230=0,BQ230=0),BG230,0),0)</f>
        <v>0</v>
      </c>
      <c r="BS230" s="615">
        <f>IFERROR(IF(AND((CA230+CI230+CJ230+CK230)=BZ230,BI230=0,BQ230=0,BR230=0),BG230,0),0)</f>
        <v>0</v>
      </c>
      <c r="BT230" s="615">
        <f>IFERROR(IF(AND((CA230+CI230+CJ230+CK230+CL230)=BZ230,BI230=0,BQ230=0,BR230=0,BS230=0),BG230,0),0)</f>
        <v>0</v>
      </c>
      <c r="BU230" s="339"/>
      <c r="BV230" s="635">
        <f t="shared" si="1429"/>
        <v>1</v>
      </c>
      <c r="BW230" s="635">
        <f t="shared" si="1430"/>
        <v>0</v>
      </c>
      <c r="BX230" s="635">
        <f t="shared" si="1431"/>
        <v>0</v>
      </c>
      <c r="BY230" s="345"/>
      <c r="BZ230" s="615">
        <f>COUNTIF('ST | Drawing List'!$H:$H,"ST-AMN-4")</f>
        <v>1</v>
      </c>
      <c r="CA230" s="616">
        <f>COUNTIFS('ST | Drawing List'!$H:$H,"ST-AMN-4",'ST | Drawing List'!$J:$J,1)</f>
        <v>1</v>
      </c>
      <c r="CB230" s="623">
        <f>COUNTIFS('ST | Drawing List'!$H:$H,"ST-AMN-4",'ST | Drawing List'!$L:$L,1)</f>
        <v>0</v>
      </c>
      <c r="CC230" s="616">
        <f>COUNTIFS('ST | Drawing List'!$H:$H,"ST-AMN-4",'ST | Drawing List'!M:M,1)</f>
        <v>0</v>
      </c>
      <c r="CD230" s="616">
        <f>COUNTIFS('ST | Drawing List'!$H:$H,"ST-AMN-4",'ST | Drawing List'!N:N,1)</f>
        <v>0</v>
      </c>
      <c r="CE230" s="616">
        <f>COUNTIFS('ST | Drawing List'!$H:$H,"ST-AMN-4",'ST | Drawing List'!O:O,1)</f>
        <v>0</v>
      </c>
      <c r="CF230" s="616">
        <f>COUNTIFS('ST | Drawing List'!$H:$H,"ST-AMN-4",'ST | Drawing List'!P:P,1)</f>
        <v>0</v>
      </c>
      <c r="CG230" s="532"/>
      <c r="CH230" s="623">
        <f>COUNTIFS('ST | Drawing List'!$H:$H,"ST-AMN-4",'ST | Drawing List'!$Q:$Q,1)</f>
        <v>0</v>
      </c>
      <c r="CI230" s="616">
        <f>COUNTIFS('ST | Drawing List'!$H:$H,"ST-AMN-4",'ST | Drawing List'!R:R,1)</f>
        <v>0</v>
      </c>
      <c r="CJ230" s="616">
        <f>COUNTIFS('ST | Drawing List'!$H:$H,"ST-AMN-4",'ST | Drawing List'!S:S,1)</f>
        <v>0</v>
      </c>
      <c r="CK230" s="616">
        <f>COUNTIFS('ST | Drawing List'!$H:$H,"ST-AMN-4",'ST | Drawing List'!T:T,1)</f>
        <v>0</v>
      </c>
      <c r="CL230" s="616">
        <f>COUNTIFS('ST | Drawing List'!$H:$H,"ST-AMN-4",'ST | Drawing List'!U:U,1)</f>
        <v>0</v>
      </c>
      <c r="CM230" s="343"/>
      <c r="CN230" s="343"/>
      <c r="CO230" s="666">
        <v>0</v>
      </c>
      <c r="CP230" s="343"/>
      <c r="CQ230" s="616">
        <f>$CQ$226/$CO$226*CO230</f>
        <v>0</v>
      </c>
      <c r="CR230" s="618">
        <f t="shared" si="1002"/>
        <v>0</v>
      </c>
      <c r="CS230" s="615">
        <f>IFERROR(IF(DF230=100%,CQ230,0),0)</f>
        <v>0</v>
      </c>
      <c r="CT230" s="615">
        <f t="shared" si="1432"/>
        <v>0</v>
      </c>
      <c r="CU230" s="615">
        <f t="shared" si="1433"/>
        <v>0</v>
      </c>
      <c r="CV230" s="615">
        <f t="shared" si="1434"/>
        <v>0</v>
      </c>
      <c r="CW230" s="615">
        <f t="shared" si="1435"/>
        <v>0</v>
      </c>
      <c r="CX230" s="615">
        <f t="shared" si="1436"/>
        <v>0</v>
      </c>
      <c r="CY230" s="339"/>
      <c r="CZ230" s="615">
        <f t="shared" si="1437"/>
        <v>0</v>
      </c>
      <c r="DA230" s="615">
        <f t="shared" si="1438"/>
        <v>0</v>
      </c>
      <c r="DB230" s="615">
        <f t="shared" si="1439"/>
        <v>0</v>
      </c>
      <c r="DC230" s="615">
        <f t="shared" si="1440"/>
        <v>0</v>
      </c>
      <c r="DD230" s="615">
        <f t="shared" si="1441"/>
        <v>0</v>
      </c>
      <c r="DE230" s="339"/>
      <c r="DF230" s="625">
        <f t="shared" si="1442"/>
        <v>0</v>
      </c>
      <c r="DG230" s="625">
        <f t="shared" si="1443"/>
        <v>0</v>
      </c>
      <c r="DH230" s="625">
        <f t="shared" si="1444"/>
        <v>0</v>
      </c>
      <c r="DI230" s="345"/>
      <c r="DJ230" s="615">
        <f>COUNTIF('MEP | Drawing List'!$H:$H,"MEP-AMN-4")</f>
        <v>0</v>
      </c>
      <c r="DK230" s="616">
        <f>COUNTIFS('MEP | Drawing List'!$H:$H,"MEP-AMN-4",'MEP | Drawing List'!$J:$J,1)</f>
        <v>0</v>
      </c>
      <c r="DL230" s="616">
        <f>COUNTIFS('MEP | Drawing List'!$H:$H,"MEP-AMN-4",'MEP | Drawing List'!$L:$L,1)</f>
        <v>0</v>
      </c>
      <c r="DM230" s="615">
        <f>COUNTIFS('MEP | Drawing List'!$H:$H,"MEP-AMN-4",'MEP | Drawing List'!M:M,1)</f>
        <v>0</v>
      </c>
      <c r="DN230" s="615">
        <f>COUNTIFS('MEP | Drawing List'!$H:$H,"MEP-AMN-4",'MEP | Drawing List'!N:N,1)</f>
        <v>0</v>
      </c>
      <c r="DO230" s="615">
        <f>COUNTIFS('MEP | Drawing List'!$H:$H,"MEP-AMN-4",'MEP | Drawing List'!O:O,1)</f>
        <v>0</v>
      </c>
      <c r="DP230" s="615">
        <f>COUNTIFS('MEP | Drawing List'!$H:$H,"MEP-AMN-4",'MEP | Drawing List'!P:P,1)</f>
        <v>0</v>
      </c>
      <c r="DQ230" s="339"/>
      <c r="DR230" s="616">
        <f>COUNTIFS('MEP | Drawing List'!$H:$H,"MEP-AMN-4",'MEP | Drawing List'!$Q:$Q,1)</f>
        <v>0</v>
      </c>
      <c r="DS230" s="615">
        <f>COUNTIFS('MEP | Drawing List'!$H:$H,"MEP-AMN-4",'MEP | Drawing List'!R:R,1)</f>
        <v>0</v>
      </c>
      <c r="DT230" s="615">
        <f>COUNTIFS('MEP | Drawing List'!$H:$H,"MEP-AMN-4",'MEP | Drawing List'!S:S,1)</f>
        <v>0</v>
      </c>
      <c r="DU230" s="615">
        <f>COUNTIFS('MEP | Drawing List'!$H:$H,"MEP-AMN-4",'MEP | Drawing List'!T:T,1)</f>
        <v>0</v>
      </c>
      <c r="DV230" s="615">
        <f>COUNTIFS('MEP | Drawing List'!$H:$H,"MEP-AMN-4",'MEP | Drawing List'!U:U,1)</f>
        <v>0</v>
      </c>
      <c r="DW230" s="343"/>
      <c r="DX230" s="343"/>
      <c r="DY230" s="525">
        <v>0.25</v>
      </c>
      <c r="DZ230" s="343"/>
      <c r="EA230" s="616">
        <f>$EA$226/$DY$226*DY230</f>
        <v>4.1664E-2</v>
      </c>
      <c r="EB230" s="618">
        <f t="shared" si="1003"/>
        <v>0</v>
      </c>
      <c r="EC230" s="615">
        <f>IFERROR(IF(EP230=100%,EA230,0),0)</f>
        <v>0</v>
      </c>
      <c r="ED230" s="615">
        <f>IFERROR(IF(AND((EP230+EQ230)=100%,EP230&lt;1),EA230,0),0)</f>
        <v>4.1664E-2</v>
      </c>
      <c r="EE230" s="615">
        <f>IFERROR(IF(AND((EU230+EW230)=ET230,EC230=0),EA230,0),0)</f>
        <v>4.1664E-2</v>
      </c>
      <c r="EF230" s="615">
        <f>IFERROR(IF(AND((EU230+EW230+EX230)=ET230,EC230=0,EE230=0),EA230,0),0)</f>
        <v>0</v>
      </c>
      <c r="EG230" s="615">
        <f>IFERROR(IF(AND((EU230+EW230+EX230+EY230)=ET230,EC230=0,EE230=0,EF230=0),EA230,0),0)</f>
        <v>0</v>
      </c>
      <c r="EH230" s="615">
        <f>IFERROR(IF(AND((EU230+EW230+EX230+EY230+EZ230)=ET230,EC230=0,EE230=0,EF230=0,EG230=0),EA230,0),0)</f>
        <v>0</v>
      </c>
      <c r="EI230" s="339"/>
      <c r="EJ230" s="620">
        <f t="shared" si="1445"/>
        <v>0</v>
      </c>
      <c r="EK230" s="615">
        <f t="shared" si="1446"/>
        <v>0</v>
      </c>
      <c r="EL230" s="615">
        <f t="shared" si="1447"/>
        <v>0</v>
      </c>
      <c r="EM230" s="615">
        <f t="shared" si="1448"/>
        <v>0</v>
      </c>
      <c r="EN230" s="615">
        <f t="shared" si="1449"/>
        <v>0</v>
      </c>
      <c r="EO230" s="339"/>
      <c r="EP230" s="627">
        <f t="shared" si="1450"/>
        <v>0</v>
      </c>
      <c r="EQ230" s="627">
        <f t="shared" si="1451"/>
        <v>1</v>
      </c>
      <c r="ER230" s="627">
        <f t="shared" si="1452"/>
        <v>0.77272727272727271</v>
      </c>
      <c r="ES230" s="55"/>
      <c r="ET230" s="615">
        <f>COUNTIF('LS | Drawing List'!$H:$H,"LS-AMN-4")</f>
        <v>44</v>
      </c>
      <c r="EU230" s="616">
        <f>COUNTIFS('LS | Drawing List'!$H:$H,"LS-AMN-4",'LS | Drawing List'!$J:$J,1)</f>
        <v>0</v>
      </c>
      <c r="EV230" s="616">
        <f>COUNTIFS('LS | Drawing List'!$H:$H,"LS-AMN-4",'LS | Drawing List'!$L:$L,1)</f>
        <v>44</v>
      </c>
      <c r="EW230" s="615">
        <f>COUNTIFS('LS | Drawing List'!$H:$H,"LS-AMN-4",'LS | Drawing List'!M:M,1)</f>
        <v>44</v>
      </c>
      <c r="EX230" s="615">
        <f>COUNTIFS('LS | Drawing List'!$H:$H,"LS-AMN-4",'LS | Drawing List'!N:N,1)</f>
        <v>0</v>
      </c>
      <c r="EY230" s="615">
        <f>COUNTIFS('LS | Drawing List'!$H:$H,"LS-AMN-4",'LS | Drawing List'!O:O,1)</f>
        <v>0</v>
      </c>
      <c r="EZ230" s="615">
        <f>COUNTIFS('LS | Drawing List'!$H:$H,"LS-AMN-4",'LS | Drawing List'!P:P,1)</f>
        <v>0</v>
      </c>
      <c r="FA230" s="81"/>
      <c r="FB230" s="616">
        <f>COUNTIFS('LS | Drawing List'!$H:$H,"LS-AMN-4",'LS | Drawing List'!$Q:$Q,1)</f>
        <v>34</v>
      </c>
      <c r="FC230" s="615">
        <f>COUNTIFS('LS | Drawing List'!$H:$H,"LS-AMN-4",'LS | Drawing List'!R:R,1)</f>
        <v>0</v>
      </c>
      <c r="FD230" s="615">
        <f>COUNTIFS('LS | Drawing List'!$H:$H,"LS-AMN-4",'LS | Drawing List'!S:S,1)</f>
        <v>17</v>
      </c>
      <c r="FE230" s="615">
        <f>COUNTIFS('LS | Drawing List'!$H:$H,"LS-AMN-4",'LS | Drawing List'!T:T,1)</f>
        <v>0</v>
      </c>
      <c r="FF230" s="615">
        <f>COUNTIFS('LS | Drawing List'!$H:$H,"LS-AMN-4",'LS | Drawing List'!U:U,1)</f>
        <v>17</v>
      </c>
      <c r="FG230" s="48"/>
    </row>
    <row r="231" spans="1:163" ht="14.25" hidden="1" outlineLevel="2">
      <c r="A231" s="48"/>
      <c r="B231" s="87" t="s">
        <v>218</v>
      </c>
      <c r="C231" s="87">
        <v>5</v>
      </c>
      <c r="D231" s="138" t="s">
        <v>219</v>
      </c>
      <c r="E231" s="48"/>
      <c r="F231" s="619">
        <f t="shared" si="1422"/>
        <v>6.5240649999999997E-2</v>
      </c>
      <c r="G231" s="619">
        <f t="shared" si="1423"/>
        <v>0</v>
      </c>
      <c r="H231" s="615">
        <f t="shared" si="1424"/>
        <v>6.5240649999999997E-2</v>
      </c>
      <c r="I231" s="615">
        <f t="shared" si="1393"/>
        <v>6.5240649999999997E-2</v>
      </c>
      <c r="J231" s="615">
        <f t="shared" si="1394"/>
        <v>6.5240649999999997E-2</v>
      </c>
      <c r="K231" s="615">
        <f t="shared" si="1395"/>
        <v>0</v>
      </c>
      <c r="L231" s="615">
        <f t="shared" si="1396"/>
        <v>0</v>
      </c>
      <c r="M231" s="620">
        <f t="shared" si="1397"/>
        <v>0</v>
      </c>
      <c r="N231" s="287"/>
      <c r="O231" s="615">
        <f t="shared" si="1398"/>
        <v>0</v>
      </c>
      <c r="P231" s="615">
        <f t="shared" si="1399"/>
        <v>0</v>
      </c>
      <c r="Q231" s="615">
        <f t="shared" si="1400"/>
        <v>0</v>
      </c>
      <c r="R231" s="615">
        <f t="shared" si="1401"/>
        <v>0</v>
      </c>
      <c r="S231" s="615">
        <f t="shared" si="1402"/>
        <v>0</v>
      </c>
      <c r="T231" s="48"/>
      <c r="U231" s="519">
        <v>7.4999999999999997E-2</v>
      </c>
      <c r="V231" s="131"/>
      <c r="W231" s="619">
        <f>$W$226/$U$226*U231</f>
        <v>5.048325E-2</v>
      </c>
      <c r="X231" s="619">
        <f t="shared" si="1000"/>
        <v>0</v>
      </c>
      <c r="Y231" s="615">
        <f>IFERROR(IF(AL231=100%,W231,0),0)</f>
        <v>0</v>
      </c>
      <c r="Z231" s="615">
        <f>IFERROR(IF(AND((AL231+AM231)=100%,AL231&lt;1),W231,0),0)</f>
        <v>5.048325E-2</v>
      </c>
      <c r="AA231" s="615">
        <f t="shared" si="1425"/>
        <v>5.048325E-2</v>
      </c>
      <c r="AB231" s="615">
        <f t="shared" si="1426"/>
        <v>0</v>
      </c>
      <c r="AC231" s="615">
        <f t="shared" si="1427"/>
        <v>0</v>
      </c>
      <c r="AD231" s="620">
        <f t="shared" si="1428"/>
        <v>0</v>
      </c>
      <c r="AE231" s="287"/>
      <c r="AF231" s="615">
        <f>IFERROR(IF(AND((AL231+AN231)=100%,AL231&lt;1),W231,0),0)</f>
        <v>0</v>
      </c>
      <c r="AG231" s="615">
        <f>IFERROR(IF(AND((AQ231+AY231)=AP231,Y231=0),W231,0),0)</f>
        <v>0</v>
      </c>
      <c r="AH231" s="615">
        <f>IFERROR(IF(AND((AQ231+AY231+AZ231)=AP231,Y231=0,AG231=0),W231,0),0)</f>
        <v>0</v>
      </c>
      <c r="AI231" s="615">
        <f>IFERROR(IF(AND((AQ231+AY231+AZ231+BA231)=AP231,Y231=0,AG231=0,AH231=0),W231,0),0)</f>
        <v>0</v>
      </c>
      <c r="AJ231" s="615">
        <f>IFERROR(IF(AND((AQ231+AY231+AZ231+BA231+BB231)=AP231,Y231=0,AG231=0,AH231=0,AI231=0),W231,0),0)</f>
        <v>0</v>
      </c>
      <c r="AK231" s="339"/>
      <c r="AL231" s="625">
        <f>IFERROR(AQ231/AP231,0)</f>
        <v>1.6666666666666666E-2</v>
      </c>
      <c r="AM231" s="625">
        <f>IFERROR(AR231/AP231,0)</f>
        <v>0.98333333333333328</v>
      </c>
      <c r="AN231" s="625">
        <f>IFERROR(AX231/AP231,0)</f>
        <v>0</v>
      </c>
      <c r="AO231" s="345"/>
      <c r="AP231" s="615">
        <f>COUNTIF('AR | Drawing List'!$H:$H,"AR-AMN-5")</f>
        <v>60</v>
      </c>
      <c r="AQ231" s="616">
        <f>COUNTIFS('AR | Drawing List'!$H:$H,"AR-AMN-5",'AR | Drawing List'!$J:$J,1)</f>
        <v>1</v>
      </c>
      <c r="AR231" s="616">
        <f t="shared" si="1075"/>
        <v>59</v>
      </c>
      <c r="AS231" s="616">
        <f>COUNTIFS('AR | Drawing List'!$H:$H,"AR-AMN-5",'AR | Drawing List'!M:M,1)</f>
        <v>59</v>
      </c>
      <c r="AT231" s="616">
        <f>COUNTIFS('AR | Drawing List'!$H:$H,"AR-AMN-5",'AR | Drawing List'!N:N,1)</f>
        <v>0</v>
      </c>
      <c r="AU231" s="616">
        <f>COUNTIFS('AR | Drawing List'!$H:$H,"AR-AMN-5",'AR | Drawing List'!O:O,1)</f>
        <v>0</v>
      </c>
      <c r="AV231" s="616">
        <f>COUNTIFS('AR | Drawing List'!$H:$H,"AR-AMN-5",'AR | Drawing List'!P:P,1)</f>
        <v>0</v>
      </c>
      <c r="AW231" s="328"/>
      <c r="AX231" s="616">
        <f t="shared" si="1093"/>
        <v>0</v>
      </c>
      <c r="AY231" s="616">
        <f>COUNTIFS('AR | Drawing List'!$H:$H,"AR-AMN-5",'AR | Drawing List'!R:R,1)</f>
        <v>0</v>
      </c>
      <c r="AZ231" s="616">
        <f>COUNTIFS('AR | Drawing List'!$H:$H,"AR-AMN-5",'AR | Drawing List'!S:S,1)</f>
        <v>0</v>
      </c>
      <c r="BA231" s="616">
        <f>COUNTIFS('AR | Drawing List'!$H:$H,"AR-AMN-5",'AR | Drawing List'!T:T,1)</f>
        <v>0</v>
      </c>
      <c r="BB231" s="616">
        <f>COUNTIFS('AR | Drawing List'!$H:$H,"AR-AMN-5",'AR | Drawing List'!U:U,1)</f>
        <v>0</v>
      </c>
      <c r="BC231" s="359"/>
      <c r="BD231" s="359"/>
      <c r="BE231" s="329">
        <v>0.1</v>
      </c>
      <c r="BF231" s="343"/>
      <c r="BG231" s="616">
        <f>$BG$226/$BE$226*BE231</f>
        <v>1.3665900000000002E-2</v>
      </c>
      <c r="BH231" s="618">
        <f t="shared" si="1001"/>
        <v>0</v>
      </c>
      <c r="BI231" s="615">
        <f>IFERROR(IF(BV231=100%,BG231,0),0)</f>
        <v>0</v>
      </c>
      <c r="BJ231" s="615">
        <f>IFERROR(IF(AND((BV231+BW231)=100%,BV231&lt;1),BG231,0),0)</f>
        <v>1.3665900000000002E-2</v>
      </c>
      <c r="BK231" s="615">
        <f>IFERROR(IF(AND((CA231+CC231)=BZ231,BI231=0),BG231,0),0)</f>
        <v>1.3665900000000002E-2</v>
      </c>
      <c r="BL231" s="615">
        <f>IFERROR(IF(AND((CA231+CC231+CD231)=BZ231,BI231=0,BK231=0),BG231,0),0)</f>
        <v>0</v>
      </c>
      <c r="BM231" s="615">
        <f>IFERROR(IF(AND((CA231+CC231+CD231+CE231)=BZ231,BI231=0,BJ231=0,BK231=0,BL231=0),BG231,0),0)</f>
        <v>0</v>
      </c>
      <c r="BN231" s="615">
        <f>IFERROR(IF(AND((CA231+CC231+CD231+CE231+CF231)=BZ231,BI231=0,BJ231=0,BK231=0,BL231=0,BM231=0),BG231,0),0)</f>
        <v>0</v>
      </c>
      <c r="BO231" s="339"/>
      <c r="BP231" s="615">
        <f>IFERROR(IF(AND((BV231+BX231)=100%,BV231&lt;1),BG231,0),0)</f>
        <v>0</v>
      </c>
      <c r="BQ231" s="615">
        <f>IFERROR(IF(AND((CA231+CI231)=BZ231,BI231=0),BG231,0),0)</f>
        <v>0</v>
      </c>
      <c r="BR231" s="615">
        <f>IFERROR(IF(AND((CA231+CI231+CJ231)=BZ231,BI231=0,BQ231=0),BG231,0),0)</f>
        <v>0</v>
      </c>
      <c r="BS231" s="615">
        <f>IFERROR(IF(AND((CA231+CI231+CJ231+CK231)=BZ231,BI231=0,BQ231=0,BR231=0),BG231,0),0)</f>
        <v>0</v>
      </c>
      <c r="BT231" s="615">
        <f>IFERROR(IF(AND((CA231+CI231+CJ231+CK231+CL231)=BZ231,BI231=0,BQ231=0,BR231=0,BS231=0),BG231,0),0)</f>
        <v>0</v>
      </c>
      <c r="BU231" s="339"/>
      <c r="BV231" s="635">
        <f t="shared" si="1429"/>
        <v>0</v>
      </c>
      <c r="BW231" s="635">
        <f t="shared" si="1430"/>
        <v>1</v>
      </c>
      <c r="BX231" s="635">
        <f t="shared" si="1431"/>
        <v>0</v>
      </c>
      <c r="BY231" s="345"/>
      <c r="BZ231" s="615">
        <f>COUNTIF('ST | Drawing List'!$H:$H,"ST-AMN-5")</f>
        <v>8</v>
      </c>
      <c r="CA231" s="616">
        <f>COUNTIFS('ST | Drawing List'!$H:$H,"ST-AMN-5",'ST | Drawing List'!$J:$J,1)</f>
        <v>0</v>
      </c>
      <c r="CB231" s="623">
        <f>COUNTIFS('ST | Drawing List'!$H:$H,"ST-AMN-5",'ST | Drawing List'!$L:$L,1)</f>
        <v>8</v>
      </c>
      <c r="CC231" s="616">
        <f>COUNTIFS('ST | Drawing List'!$H:$H,"ST-AMN-5",'ST | Drawing List'!M:M,1)</f>
        <v>8</v>
      </c>
      <c r="CD231" s="616">
        <f>COUNTIFS('ST | Drawing List'!$H:$H,"ST-AMN-5",'ST | Drawing List'!N:N,1)</f>
        <v>0</v>
      </c>
      <c r="CE231" s="616">
        <f>COUNTIFS('ST | Drawing List'!$H:$H,"ST-AMN-5",'ST | Drawing List'!O:O,1)</f>
        <v>0</v>
      </c>
      <c r="CF231" s="616">
        <f>COUNTIFS('ST | Drawing List'!$H:$H,"ST-AMN-5",'ST | Drawing List'!P:P,1)</f>
        <v>0</v>
      </c>
      <c r="CG231" s="532"/>
      <c r="CH231" s="623">
        <f>COUNTIFS('ST | Drawing List'!$H:$H,"ST-AMN-5",'ST | Drawing List'!$Q:$Q,1)</f>
        <v>0</v>
      </c>
      <c r="CI231" s="616">
        <f>COUNTIFS('ST | Drawing List'!$H:$H,"ST-AMN-5",'ST | Drawing List'!R:R,1)</f>
        <v>0</v>
      </c>
      <c r="CJ231" s="616">
        <f>COUNTIFS('ST | Drawing List'!$H:$H,"ST-AMN-5",'ST | Drawing List'!S:S,1)</f>
        <v>0</v>
      </c>
      <c r="CK231" s="616">
        <f>COUNTIFS('ST | Drawing List'!$H:$H,"ST-AMN-5",'ST | Drawing List'!T:T,1)</f>
        <v>0</v>
      </c>
      <c r="CL231" s="616">
        <f>COUNTIFS('ST | Drawing List'!$H:$H,"ST-AMN-5",'ST | Drawing List'!U:U,1)</f>
        <v>0</v>
      </c>
      <c r="CM231" s="343"/>
      <c r="CN231" s="343"/>
      <c r="CO231" s="525">
        <v>0.05</v>
      </c>
      <c r="CP231" s="343"/>
      <c r="CQ231" s="616">
        <f>$CQ$226/$CO$226*CO231</f>
        <v>1.0915E-3</v>
      </c>
      <c r="CR231" s="618">
        <f t="shared" si="1002"/>
        <v>0</v>
      </c>
      <c r="CS231" s="615">
        <f>IFERROR(IF(DF231=100%,CQ231,0),0)</f>
        <v>0</v>
      </c>
      <c r="CT231" s="615">
        <f t="shared" si="1432"/>
        <v>1.0915E-3</v>
      </c>
      <c r="CU231" s="615">
        <f t="shared" si="1433"/>
        <v>1.0915E-3</v>
      </c>
      <c r="CV231" s="615">
        <f t="shared" si="1434"/>
        <v>0</v>
      </c>
      <c r="CW231" s="615">
        <f t="shared" si="1435"/>
        <v>0</v>
      </c>
      <c r="CX231" s="615">
        <f t="shared" si="1436"/>
        <v>0</v>
      </c>
      <c r="CY231" s="339"/>
      <c r="CZ231" s="615">
        <f t="shared" si="1437"/>
        <v>0</v>
      </c>
      <c r="DA231" s="615">
        <f t="shared" si="1438"/>
        <v>0</v>
      </c>
      <c r="DB231" s="615">
        <f t="shared" si="1439"/>
        <v>0</v>
      </c>
      <c r="DC231" s="615">
        <f t="shared" si="1440"/>
        <v>0</v>
      </c>
      <c r="DD231" s="615">
        <f t="shared" si="1441"/>
        <v>0</v>
      </c>
      <c r="DE231" s="339"/>
      <c r="DF231" s="625">
        <f t="shared" si="1442"/>
        <v>0</v>
      </c>
      <c r="DG231" s="625">
        <f t="shared" si="1443"/>
        <v>1</v>
      </c>
      <c r="DH231" s="625">
        <f t="shared" si="1444"/>
        <v>0</v>
      </c>
      <c r="DI231" s="345"/>
      <c r="DJ231" s="615">
        <f>COUNTIF('MEP | Drawing List'!$H:$H,"MEP-AMN-5")</f>
        <v>1</v>
      </c>
      <c r="DK231" s="616">
        <f>COUNTIFS('MEP | Drawing List'!$H:$H,"MEP-AMN-5",'MEP | Drawing List'!$J:$J,1)</f>
        <v>0</v>
      </c>
      <c r="DL231" s="616">
        <f>COUNTIFS('MEP | Drawing List'!$H:$H,"MEP-AMN-5",'MEP | Drawing List'!$L:$L,1)</f>
        <v>1</v>
      </c>
      <c r="DM231" s="615">
        <f>COUNTIFS('MEP | Drawing List'!$H:$H,"MEP-AMN-5",'MEP | Drawing List'!M:M,1)</f>
        <v>1</v>
      </c>
      <c r="DN231" s="615">
        <f>COUNTIFS('MEP | Drawing List'!$H:$H,"MEP-AMN-5",'MEP | Drawing List'!N:N,1)</f>
        <v>0</v>
      </c>
      <c r="DO231" s="615">
        <f>COUNTIFS('MEP | Drawing List'!$H:$H,"MEP-AMN-5",'MEP | Drawing List'!O:O,1)</f>
        <v>0</v>
      </c>
      <c r="DP231" s="615">
        <f>COUNTIFS('MEP | Drawing List'!$H:$H,"MEP-AMN-5",'MEP | Drawing List'!P:P,1)</f>
        <v>0</v>
      </c>
      <c r="DQ231" s="339"/>
      <c r="DR231" s="616">
        <f>COUNTIFS('MEP | Drawing List'!$H:$H,"MEP-AMN-5",'MEP | Drawing List'!$Q:$Q,1)</f>
        <v>0</v>
      </c>
      <c r="DS231" s="615">
        <f>COUNTIFS('MEP | Drawing List'!$H:$H,"MEP-AMN-5",'MEP | Drawing List'!R:R,1)</f>
        <v>0</v>
      </c>
      <c r="DT231" s="615">
        <f>COUNTIFS('MEP | Drawing List'!$H:$H,"MEP-AMN-5",'MEP | Drawing List'!S:S,1)</f>
        <v>0</v>
      </c>
      <c r="DU231" s="615">
        <f>COUNTIFS('MEP | Drawing List'!$H:$H,"MEP-AMN-5",'MEP | Drawing List'!T:T,1)</f>
        <v>0</v>
      </c>
      <c r="DV231" s="615">
        <f>COUNTIFS('MEP | Drawing List'!$H:$H,"MEP-AMN-5",'MEP | Drawing List'!U:U,1)</f>
        <v>0</v>
      </c>
      <c r="DW231" s="343"/>
      <c r="DX231" s="343"/>
      <c r="DY231" s="525">
        <v>0</v>
      </c>
      <c r="DZ231" s="343"/>
      <c r="EA231" s="616">
        <f>$EA$226/$DY$226*DY231</f>
        <v>0</v>
      </c>
      <c r="EB231" s="618">
        <f t="shared" si="1003"/>
        <v>0</v>
      </c>
      <c r="EC231" s="615">
        <f>IFERROR(IF(EP231=100%,EA231,0),0)</f>
        <v>0</v>
      </c>
      <c r="ED231" s="615">
        <f>IFERROR(IF(AND((EP231+EQ231)=100%,EP231&lt;1),EA231,0),0)</f>
        <v>0</v>
      </c>
      <c r="EE231" s="615">
        <f>IFERROR(IF(AND((EU231+EW231)=ET231,EC231=0),EA231,0),0)</f>
        <v>0</v>
      </c>
      <c r="EF231" s="615">
        <f>IFERROR(IF(AND((EU231+EW231+EX231)=ET231,EC231=0,EE231=0),EA231,0),0)</f>
        <v>0</v>
      </c>
      <c r="EG231" s="615">
        <f>IFERROR(IF(AND((EU231+EW231+EX231+EY231)=ET231,EC231=0,EE231=0,EF231=0),EA231,0),0)</f>
        <v>0</v>
      </c>
      <c r="EH231" s="615">
        <f>IFERROR(IF(AND((EU231+EW231+EX231+EY231+EZ231)=ET231,EC231=0,EE231=0,EF231=0,EG231=0),EA231,0),0)</f>
        <v>0</v>
      </c>
      <c r="EI231" s="339"/>
      <c r="EJ231" s="620">
        <f t="shared" si="1445"/>
        <v>0</v>
      </c>
      <c r="EK231" s="615">
        <f t="shared" si="1446"/>
        <v>0</v>
      </c>
      <c r="EL231" s="615">
        <f t="shared" si="1447"/>
        <v>0</v>
      </c>
      <c r="EM231" s="615">
        <f t="shared" si="1448"/>
        <v>0</v>
      </c>
      <c r="EN231" s="615">
        <f t="shared" si="1449"/>
        <v>0</v>
      </c>
      <c r="EO231" s="339"/>
      <c r="EP231" s="627">
        <f t="shared" si="1450"/>
        <v>0</v>
      </c>
      <c r="EQ231" s="627">
        <f t="shared" si="1451"/>
        <v>0</v>
      </c>
      <c r="ER231" s="627">
        <f t="shared" si="1452"/>
        <v>0</v>
      </c>
      <c r="ES231" s="55"/>
      <c r="ET231" s="615">
        <f>COUNTIF('LS | Drawing List'!$H:$H,"LS-AMN-5")</f>
        <v>0</v>
      </c>
      <c r="EU231" s="616">
        <f>COUNTIFS('LS | Drawing List'!$H:$H,"LS-AMN-5",'LS | Drawing List'!$J:$J,1)</f>
        <v>0</v>
      </c>
      <c r="EV231" s="616">
        <f>COUNTIFS('LS | Drawing List'!$H:$H,"LS-AMN-5",'LS | Drawing List'!$L:$L,1)</f>
        <v>0</v>
      </c>
      <c r="EW231" s="615">
        <f>COUNTIFS('LS | Drawing List'!$H:$H,"LS-AMN-5",'LS | Drawing List'!M:M,1)</f>
        <v>0</v>
      </c>
      <c r="EX231" s="615">
        <f>COUNTIFS('LS | Drawing List'!$H:$H,"LS-AMN-5",'LS | Drawing List'!N:N,1)</f>
        <v>0</v>
      </c>
      <c r="EY231" s="615">
        <f>COUNTIFS('LS | Drawing List'!$H:$H,"LS-AMN-5",'LS | Drawing List'!O:O,1)</f>
        <v>0</v>
      </c>
      <c r="EZ231" s="615">
        <f>COUNTIFS('LS | Drawing List'!$H:$H,"LS-AMN-5",'LS | Drawing List'!P:P,1)</f>
        <v>0</v>
      </c>
      <c r="FA231" s="81"/>
      <c r="FB231" s="616">
        <f>COUNTIFS('LS | Drawing List'!$H:$H,"LS-AMN-5",'LS | Drawing List'!$Q:$Q,1)</f>
        <v>0</v>
      </c>
      <c r="FC231" s="615">
        <f>COUNTIFS('LS | Drawing List'!$H:$H,"LS-AMN-5",'LS | Drawing List'!R:R,1)</f>
        <v>0</v>
      </c>
      <c r="FD231" s="615">
        <f>COUNTIFS('LS | Drawing List'!$H:$H,"LS-AMN-5",'LS | Drawing List'!S:S,1)</f>
        <v>0</v>
      </c>
      <c r="FE231" s="615">
        <f>COUNTIFS('LS | Drawing List'!$H:$H,"LS-AMN-5",'LS | Drawing List'!T:T,1)</f>
        <v>0</v>
      </c>
      <c r="FF231" s="615">
        <f>COUNTIFS('LS | Drawing List'!$H:$H,"LS-AMN-5",'LS | Drawing List'!U:U,1)</f>
        <v>0</v>
      </c>
      <c r="FG231" s="48"/>
    </row>
    <row r="232" spans="1:163" ht="3" customHeight="1">
      <c r="A232" s="48"/>
      <c r="B232" s="49"/>
      <c r="C232" s="49"/>
      <c r="D232" s="62"/>
      <c r="E232" s="62"/>
      <c r="F232" s="322"/>
      <c r="G232" s="630"/>
      <c r="H232" s="283"/>
      <c r="I232" s="283"/>
      <c r="J232" s="615"/>
      <c r="K232" s="615"/>
      <c r="L232" s="615"/>
      <c r="M232" s="620"/>
      <c r="N232" s="287"/>
      <c r="O232" s="283"/>
      <c r="P232" s="615"/>
      <c r="Q232" s="615"/>
      <c r="R232" s="615"/>
      <c r="S232" s="615"/>
      <c r="T232" s="62"/>
      <c r="U232" s="525"/>
      <c r="V232" s="121"/>
      <c r="W232" s="322"/>
      <c r="X232" s="630">
        <f t="shared" si="1000"/>
        <v>0</v>
      </c>
      <c r="Y232" s="283"/>
      <c r="Z232" s="283"/>
      <c r="AA232" s="615">
        <f t="shared" si="1425"/>
        <v>0</v>
      </c>
      <c r="AB232" s="615">
        <f t="shared" si="1426"/>
        <v>0</v>
      </c>
      <c r="AC232" s="615">
        <f t="shared" si="1427"/>
        <v>0</v>
      </c>
      <c r="AD232" s="620">
        <f t="shared" si="1428"/>
        <v>0</v>
      </c>
      <c r="AE232" s="287"/>
      <c r="AF232" s="283"/>
      <c r="AG232" s="615">
        <f>IFERROR(IF(AND((AV232+AY232)=AU232,AD232=0),AC232,0),0)</f>
        <v>0</v>
      </c>
      <c r="AH232" s="615">
        <f>IFERROR(IF(AND((AV232+AY232+AZ232)=AU232,AD232=0,AG232=0),AC232,0),0)</f>
        <v>0</v>
      </c>
      <c r="AI232" s="615">
        <f>IFERROR(IF(AND((AV232+AY232+AZ232+BA232)=AU232,AD232=0,AG232=0,AH232=0),AC232,0),0)</f>
        <v>0</v>
      </c>
      <c r="AJ232" s="615">
        <f>IFERROR(IF(AND((AV232+AY232+AZ232+BA232+BB232)=AU232,AD232=0,AG232=0,AH232=0,AI232=0),AC232,0),0)</f>
        <v>0</v>
      </c>
      <c r="AK232" s="339"/>
      <c r="AL232" s="327"/>
      <c r="AM232" s="327"/>
      <c r="AN232" s="327"/>
      <c r="AO232" s="327"/>
      <c r="AP232" s="328"/>
      <c r="AQ232" s="328"/>
      <c r="AR232" s="328"/>
      <c r="AS232" s="328"/>
      <c r="AT232" s="328"/>
      <c r="AU232" s="328"/>
      <c r="AV232" s="328"/>
      <c r="AW232" s="328"/>
      <c r="AX232" s="328"/>
      <c r="AY232" s="328"/>
      <c r="AZ232" s="328"/>
      <c r="BA232" s="328"/>
      <c r="BB232" s="328"/>
      <c r="BC232" s="328"/>
      <c r="BD232" s="328"/>
      <c r="BE232" s="329"/>
      <c r="BF232" s="330"/>
      <c r="BG232" s="331"/>
      <c r="BH232" s="606">
        <f t="shared" si="1001"/>
        <v>0</v>
      </c>
      <c r="BI232" s="283"/>
      <c r="BJ232" s="283"/>
      <c r="BK232" s="339"/>
      <c r="BL232" s="339"/>
      <c r="BM232" s="339"/>
      <c r="BN232" s="339"/>
      <c r="BO232" s="339"/>
      <c r="BP232" s="283"/>
      <c r="BQ232" s="339"/>
      <c r="BR232" s="339"/>
      <c r="BS232" s="339"/>
      <c r="BT232" s="339"/>
      <c r="BU232" s="339"/>
      <c r="BV232" s="523"/>
      <c r="BW232" s="523"/>
      <c r="BX232" s="523"/>
      <c r="BY232" s="327"/>
      <c r="BZ232" s="532"/>
      <c r="CA232" s="532"/>
      <c r="CB232" s="539"/>
      <c r="CC232" s="533"/>
      <c r="CD232" s="533"/>
      <c r="CE232" s="533"/>
      <c r="CF232" s="533"/>
      <c r="CG232" s="533"/>
      <c r="CH232" s="539"/>
      <c r="CI232" s="533"/>
      <c r="CJ232" s="533"/>
      <c r="CK232" s="533"/>
      <c r="CL232" s="533"/>
      <c r="CM232" s="330"/>
      <c r="CN232" s="330"/>
      <c r="CO232" s="523"/>
      <c r="CP232" s="330"/>
      <c r="CQ232" s="331"/>
      <c r="CR232" s="606">
        <f t="shared" si="1002"/>
        <v>0</v>
      </c>
      <c r="CS232" s="283"/>
      <c r="CT232" s="283"/>
      <c r="CU232" s="283"/>
      <c r="CV232" s="283"/>
      <c r="CW232" s="283"/>
      <c r="CX232" s="283"/>
      <c r="CY232" s="283"/>
      <c r="CZ232" s="283"/>
      <c r="DA232" s="283"/>
      <c r="DB232" s="283"/>
      <c r="DC232" s="283"/>
      <c r="DD232" s="283"/>
      <c r="DE232" s="283"/>
      <c r="DF232" s="604"/>
      <c r="DG232" s="604"/>
      <c r="DH232" s="604"/>
      <c r="DI232" s="327"/>
      <c r="DJ232" s="328"/>
      <c r="DK232" s="328"/>
      <c r="DL232" s="328"/>
      <c r="DM232" s="339"/>
      <c r="DN232" s="339"/>
      <c r="DO232" s="339"/>
      <c r="DP232" s="339"/>
      <c r="DQ232" s="339"/>
      <c r="DR232" s="328"/>
      <c r="DS232" s="339"/>
      <c r="DT232" s="339"/>
      <c r="DU232" s="339"/>
      <c r="DV232" s="339"/>
      <c r="DW232" s="330"/>
      <c r="DX232" s="330"/>
      <c r="DY232" s="525"/>
      <c r="DZ232" s="330"/>
      <c r="EA232" s="331"/>
      <c r="EB232" s="606">
        <f t="shared" si="1003"/>
        <v>0</v>
      </c>
      <c r="EC232" s="70"/>
      <c r="ED232" s="70"/>
      <c r="EE232" s="81"/>
      <c r="EF232" s="81"/>
      <c r="EG232" s="81"/>
      <c r="EH232" s="81"/>
      <c r="EI232" s="81"/>
      <c r="EJ232" s="70"/>
      <c r="EK232" s="81"/>
      <c r="EL232" s="81"/>
      <c r="EM232" s="81"/>
      <c r="EN232" s="81"/>
      <c r="EO232" s="81"/>
      <c r="EP232" s="639"/>
      <c r="EQ232" s="639"/>
      <c r="ER232" s="639"/>
      <c r="ES232" s="64"/>
      <c r="ET232" s="71"/>
      <c r="EU232" s="71"/>
      <c r="EV232" s="71"/>
      <c r="EW232" s="70"/>
      <c r="EX232" s="70"/>
      <c r="EY232" s="70"/>
      <c r="EZ232" s="70"/>
      <c r="FA232" s="70"/>
      <c r="FB232" s="71"/>
      <c r="FC232" s="70"/>
      <c r="FD232" s="70"/>
      <c r="FE232" s="70"/>
      <c r="FF232" s="70"/>
      <c r="FG232" s="62"/>
    </row>
    <row r="233" spans="1:163" ht="18" collapsed="1">
      <c r="A233" s="48"/>
      <c r="B233" s="48"/>
      <c r="C233" s="788" t="s">
        <v>220</v>
      </c>
      <c r="D233" s="788"/>
      <c r="E233" s="62"/>
      <c r="F233" s="606"/>
      <c r="G233" s="606"/>
      <c r="H233" s="142"/>
      <c r="I233" s="142"/>
      <c r="J233" s="146"/>
      <c r="K233" s="146"/>
      <c r="L233" s="146"/>
      <c r="M233" s="146"/>
      <c r="N233" s="146"/>
      <c r="O233" s="142"/>
      <c r="P233" s="146"/>
      <c r="Q233" s="146"/>
      <c r="R233" s="146"/>
      <c r="S233" s="146"/>
      <c r="T233" s="62"/>
      <c r="U233" s="521"/>
      <c r="V233" s="130"/>
      <c r="W233" s="606">
        <f>W235</f>
        <v>2.8797155000000001</v>
      </c>
      <c r="X233" s="606">
        <f t="shared" ref="X233:AB233" si="1453">X235</f>
        <v>0</v>
      </c>
      <c r="Y233" s="606">
        <f t="shared" si="1453"/>
        <v>0</v>
      </c>
      <c r="Z233" s="606">
        <f t="shared" si="1453"/>
        <v>2.8797155000000001</v>
      </c>
      <c r="AA233" s="606">
        <f t="shared" si="1453"/>
        <v>0</v>
      </c>
      <c r="AB233" s="606">
        <f t="shared" si="1453"/>
        <v>2.8797155000000001</v>
      </c>
      <c r="AC233" s="146"/>
      <c r="AD233" s="146"/>
      <c r="AE233" s="146"/>
      <c r="AF233" s="142"/>
      <c r="AG233" s="146"/>
      <c r="AH233" s="146"/>
      <c r="AI233" s="146"/>
      <c r="AJ233" s="146"/>
      <c r="AK233" s="146"/>
      <c r="AL233" s="147"/>
      <c r="AM233" s="147"/>
      <c r="AN233" s="147"/>
      <c r="AO233" s="147"/>
      <c r="AP233" s="143"/>
      <c r="AQ233" s="143"/>
      <c r="AR233" s="143"/>
      <c r="AS233" s="143"/>
      <c r="AT233" s="143"/>
      <c r="AU233" s="143"/>
      <c r="AV233" s="143"/>
      <c r="AW233" s="143"/>
      <c r="AX233" s="143"/>
      <c r="AY233" s="143"/>
      <c r="AZ233" s="143"/>
      <c r="BA233" s="143"/>
      <c r="BB233" s="143"/>
      <c r="BC233" s="143"/>
      <c r="BD233" s="143"/>
      <c r="BE233" s="144"/>
      <c r="BF233" s="130"/>
      <c r="BG233" s="607">
        <f>BG235</f>
        <v>0.67382904474938898</v>
      </c>
      <c r="BH233" s="607">
        <f t="shared" ref="BH233:BM233" si="1454">BH235</f>
        <v>0</v>
      </c>
      <c r="BI233" s="607">
        <f t="shared" si="1454"/>
        <v>0</v>
      </c>
      <c r="BJ233" s="607">
        <f t="shared" si="1454"/>
        <v>0.67382904474938898</v>
      </c>
      <c r="BK233" s="607">
        <f t="shared" si="1454"/>
        <v>0</v>
      </c>
      <c r="BL233" s="607">
        <f t="shared" si="1454"/>
        <v>0.67382904474938898</v>
      </c>
      <c r="BM233" s="607">
        <f t="shared" si="1454"/>
        <v>0</v>
      </c>
      <c r="BN233" s="146"/>
      <c r="BO233" s="146"/>
      <c r="BP233" s="148"/>
      <c r="BQ233" s="146"/>
      <c r="BR233" s="146"/>
      <c r="BS233" s="146"/>
      <c r="BT233" s="146"/>
      <c r="BU233" s="146"/>
      <c r="BV233" s="522"/>
      <c r="BW233" s="522"/>
      <c r="BX233" s="522"/>
      <c r="BY233" s="147"/>
      <c r="BZ233" s="529"/>
      <c r="CA233" s="529"/>
      <c r="CB233" s="530"/>
      <c r="CC233" s="531"/>
      <c r="CD233" s="531"/>
      <c r="CE233" s="531"/>
      <c r="CF233" s="531"/>
      <c r="CG233" s="531"/>
      <c r="CH233" s="530"/>
      <c r="CI233" s="531"/>
      <c r="CJ233" s="531"/>
      <c r="CK233" s="531"/>
      <c r="CL233" s="531"/>
      <c r="CM233" s="130"/>
      <c r="CN233" s="130"/>
      <c r="CO233" s="522"/>
      <c r="CP233" s="130"/>
      <c r="CQ233" s="607">
        <f>CQ235</f>
        <v>0.24054326303129014</v>
      </c>
      <c r="CR233" s="607">
        <f t="shared" ref="CR233:CX233" si="1455">CR235</f>
        <v>0</v>
      </c>
      <c r="CS233" s="607">
        <f t="shared" si="1455"/>
        <v>0</v>
      </c>
      <c r="CT233" s="607">
        <f t="shared" si="1455"/>
        <v>0.24054326303129014</v>
      </c>
      <c r="CU233" s="607">
        <f t="shared" si="1455"/>
        <v>0</v>
      </c>
      <c r="CV233" s="607">
        <f t="shared" si="1455"/>
        <v>0.24054326303129014</v>
      </c>
      <c r="CW233" s="607">
        <f t="shared" si="1455"/>
        <v>0</v>
      </c>
      <c r="CX233" s="607">
        <f t="shared" si="1455"/>
        <v>0</v>
      </c>
      <c r="CY233" s="142"/>
      <c r="CZ233" s="148"/>
      <c r="DA233" s="142"/>
      <c r="DB233" s="142"/>
      <c r="DC233" s="142"/>
      <c r="DD233" s="142"/>
      <c r="DE233" s="142"/>
      <c r="DF233" s="636"/>
      <c r="DG233" s="636"/>
      <c r="DH233" s="636"/>
      <c r="DI233" s="147"/>
      <c r="DJ233" s="143"/>
      <c r="DK233" s="143"/>
      <c r="DL233" s="143"/>
      <c r="DM233" s="142"/>
      <c r="DN233" s="142"/>
      <c r="DO233" s="142"/>
      <c r="DP233" s="142"/>
      <c r="DQ233" s="142"/>
      <c r="DR233" s="143"/>
      <c r="DS233" s="142"/>
      <c r="DT233" s="142"/>
      <c r="DU233" s="142"/>
      <c r="DV233" s="142"/>
      <c r="DW233" s="130"/>
      <c r="DX233" s="130"/>
      <c r="DY233" s="521"/>
      <c r="DZ233" s="130"/>
      <c r="EA233" s="607">
        <f>EA235</f>
        <v>6.6729304949999999E-2</v>
      </c>
      <c r="EB233" s="607">
        <f t="shared" ref="EB233:EH233" si="1456">EB235</f>
        <v>0</v>
      </c>
      <c r="EC233" s="607">
        <f t="shared" si="1456"/>
        <v>0</v>
      </c>
      <c r="ED233" s="607">
        <f t="shared" si="1456"/>
        <v>6.6729304949999999E-2</v>
      </c>
      <c r="EE233" s="607">
        <f t="shared" si="1456"/>
        <v>0</v>
      </c>
      <c r="EF233" s="607">
        <f t="shared" si="1456"/>
        <v>6.6729304949999999E-2</v>
      </c>
      <c r="EG233" s="607">
        <f t="shared" si="1456"/>
        <v>0</v>
      </c>
      <c r="EH233" s="607">
        <f t="shared" si="1456"/>
        <v>0</v>
      </c>
      <c r="EI233" s="72"/>
      <c r="EJ233" s="70"/>
      <c r="EK233" s="72"/>
      <c r="EL233" s="72"/>
      <c r="EM233" s="72"/>
      <c r="EN233" s="72"/>
      <c r="EO233" s="72"/>
      <c r="EP233" s="639"/>
      <c r="EQ233" s="639"/>
      <c r="ER233" s="639"/>
      <c r="ES233" s="64"/>
      <c r="ET233" s="71"/>
      <c r="EU233" s="71"/>
      <c r="EV233" s="71"/>
      <c r="EW233" s="72"/>
      <c r="EX233" s="72"/>
      <c r="EY233" s="72"/>
      <c r="EZ233" s="72"/>
      <c r="FA233" s="72"/>
      <c r="FB233" s="71"/>
      <c r="FC233" s="72"/>
      <c r="FD233" s="72"/>
      <c r="FE233" s="72"/>
      <c r="FF233" s="72"/>
      <c r="FG233" s="62"/>
    </row>
    <row r="234" spans="1:163" ht="3" hidden="1" customHeight="1" outlineLevel="1">
      <c r="A234" s="48"/>
      <c r="B234" s="49"/>
      <c r="C234" s="49"/>
      <c r="D234" s="61"/>
      <c r="E234" s="62"/>
      <c r="F234" s="322"/>
      <c r="G234" s="630"/>
      <c r="H234" s="283"/>
      <c r="I234" s="283"/>
      <c r="J234" s="283"/>
      <c r="K234" s="283"/>
      <c r="L234" s="283"/>
      <c r="M234" s="283"/>
      <c r="N234" s="283"/>
      <c r="O234" s="283"/>
      <c r="P234" s="283"/>
      <c r="Q234" s="283"/>
      <c r="R234" s="283"/>
      <c r="S234" s="283"/>
      <c r="T234" s="62"/>
      <c r="U234" s="525"/>
      <c r="V234" s="121"/>
      <c r="W234" s="322"/>
      <c r="X234" s="630">
        <f t="shared" si="1000"/>
        <v>0</v>
      </c>
      <c r="Y234" s="283"/>
      <c r="Z234" s="283"/>
      <c r="AA234" s="283"/>
      <c r="AB234" s="283"/>
      <c r="AC234" s="283"/>
      <c r="AD234" s="283"/>
      <c r="AE234" s="283"/>
      <c r="AF234" s="283"/>
      <c r="AG234" s="283"/>
      <c r="AH234" s="283"/>
      <c r="AI234" s="283"/>
      <c r="AJ234" s="283"/>
      <c r="AK234" s="283"/>
      <c r="AL234" s="327"/>
      <c r="AM234" s="327"/>
      <c r="AN234" s="327"/>
      <c r="AO234" s="327"/>
      <c r="AP234" s="328"/>
      <c r="AQ234" s="328"/>
      <c r="AR234" s="328"/>
      <c r="AS234" s="328"/>
      <c r="AT234" s="328"/>
      <c r="AU234" s="328"/>
      <c r="AV234" s="328"/>
      <c r="AW234" s="328"/>
      <c r="AX234" s="328"/>
      <c r="AY234" s="328"/>
      <c r="AZ234" s="328"/>
      <c r="BA234" s="328"/>
      <c r="BB234" s="328"/>
      <c r="BC234" s="328"/>
      <c r="BD234" s="328"/>
      <c r="BE234" s="329"/>
      <c r="BF234" s="121"/>
      <c r="BG234" s="331"/>
      <c r="BH234" s="606">
        <f t="shared" si="1001"/>
        <v>0</v>
      </c>
      <c r="BI234" s="283"/>
      <c r="BJ234" s="283"/>
      <c r="BK234" s="283"/>
      <c r="BL234" s="283"/>
      <c r="BM234" s="283"/>
      <c r="BN234" s="283"/>
      <c r="BO234" s="283"/>
      <c r="BP234" s="283"/>
      <c r="BQ234" s="283"/>
      <c r="BR234" s="283"/>
      <c r="BS234" s="283"/>
      <c r="BT234" s="283"/>
      <c r="BU234" s="283"/>
      <c r="BV234" s="523"/>
      <c r="BW234" s="523"/>
      <c r="BX234" s="523"/>
      <c r="BY234" s="327"/>
      <c r="BZ234" s="532"/>
      <c r="CA234" s="532"/>
      <c r="CB234" s="539"/>
      <c r="CC234" s="533"/>
      <c r="CD234" s="533"/>
      <c r="CE234" s="533"/>
      <c r="CF234" s="533"/>
      <c r="CG234" s="533"/>
      <c r="CH234" s="539"/>
      <c r="CI234" s="533"/>
      <c r="CJ234" s="533"/>
      <c r="CK234" s="533"/>
      <c r="CL234" s="533"/>
      <c r="CM234" s="121"/>
      <c r="CN234" s="121"/>
      <c r="CO234" s="523"/>
      <c r="CP234" s="121"/>
      <c r="CQ234" s="331"/>
      <c r="CR234" s="606">
        <f t="shared" si="1002"/>
        <v>0</v>
      </c>
      <c r="CS234" s="283"/>
      <c r="CT234" s="283"/>
      <c r="CU234" s="283"/>
      <c r="CV234" s="283"/>
      <c r="CW234" s="283"/>
      <c r="CX234" s="283"/>
      <c r="CY234" s="283"/>
      <c r="CZ234" s="283"/>
      <c r="DA234" s="283"/>
      <c r="DB234" s="283"/>
      <c r="DC234" s="283"/>
      <c r="DD234" s="283"/>
      <c r="DE234" s="283"/>
      <c r="DF234" s="604"/>
      <c r="DG234" s="604"/>
      <c r="DH234" s="604"/>
      <c r="DI234" s="327"/>
      <c r="DJ234" s="328"/>
      <c r="DK234" s="328"/>
      <c r="DL234" s="328"/>
      <c r="DM234" s="283"/>
      <c r="DN234" s="283"/>
      <c r="DO234" s="283"/>
      <c r="DP234" s="283"/>
      <c r="DQ234" s="283"/>
      <c r="DR234" s="328"/>
      <c r="DS234" s="283"/>
      <c r="DT234" s="283"/>
      <c r="DU234" s="283"/>
      <c r="DV234" s="283"/>
      <c r="DW234" s="121"/>
      <c r="DX234" s="121"/>
      <c r="DY234" s="525"/>
      <c r="DZ234" s="121"/>
      <c r="EA234" s="331"/>
      <c r="EB234" s="606">
        <f t="shared" si="1003"/>
        <v>0</v>
      </c>
      <c r="EC234" s="70"/>
      <c r="ED234" s="70"/>
      <c r="EE234" s="70"/>
      <c r="EF234" s="70"/>
      <c r="EG234" s="70"/>
      <c r="EH234" s="70"/>
      <c r="EI234" s="70"/>
      <c r="EJ234" s="70"/>
      <c r="EK234" s="70"/>
      <c r="EL234" s="70"/>
      <c r="EM234" s="70"/>
      <c r="EN234" s="70"/>
      <c r="EO234" s="70"/>
      <c r="EP234" s="639"/>
      <c r="EQ234" s="639"/>
      <c r="ER234" s="639"/>
      <c r="ES234" s="64"/>
      <c r="ET234" s="71"/>
      <c r="EU234" s="71"/>
      <c r="EV234" s="71"/>
      <c r="EW234" s="70"/>
      <c r="EX234" s="70"/>
      <c r="EY234" s="70"/>
      <c r="EZ234" s="70"/>
      <c r="FA234" s="70"/>
      <c r="FB234" s="71"/>
      <c r="FC234" s="70"/>
      <c r="FD234" s="70"/>
      <c r="FE234" s="70"/>
      <c r="FF234" s="70"/>
      <c r="FG234" s="62"/>
    </row>
    <row r="235" spans="1:163" ht="14.25" hidden="1" outlineLevel="1">
      <c r="A235" s="48"/>
      <c r="B235" s="73"/>
      <c r="C235" s="73">
        <v>1</v>
      </c>
      <c r="D235" s="137" t="s">
        <v>221</v>
      </c>
      <c r="E235" s="74"/>
      <c r="F235" s="614"/>
      <c r="G235" s="614"/>
      <c r="H235" s="612"/>
      <c r="I235" s="612"/>
      <c r="J235" s="281"/>
      <c r="K235" s="281"/>
      <c r="L235" s="281"/>
      <c r="M235" s="281"/>
      <c r="N235" s="281"/>
      <c r="O235" s="612"/>
      <c r="P235" s="281"/>
      <c r="Q235" s="281"/>
      <c r="R235" s="281"/>
      <c r="S235" s="281"/>
      <c r="T235" s="74"/>
      <c r="U235" s="524">
        <v>0.05</v>
      </c>
      <c r="V235" s="332"/>
      <c r="W235" s="614">
        <f>U235*(5%*'BOQ COST'!E4)</f>
        <v>2.8797155000000001</v>
      </c>
      <c r="X235" s="614">
        <f t="shared" si="1000"/>
        <v>0</v>
      </c>
      <c r="Y235" s="612">
        <f>Y236</f>
        <v>0</v>
      </c>
      <c r="Z235" s="612">
        <f>Z236</f>
        <v>2.8797155000000001</v>
      </c>
      <c r="AA235" s="612">
        <f t="shared" ref="AA235:AD235" si="1457">AA236</f>
        <v>0</v>
      </c>
      <c r="AB235" s="612">
        <f t="shared" si="1457"/>
        <v>2.8797155000000001</v>
      </c>
      <c r="AC235" s="612">
        <f t="shared" si="1457"/>
        <v>0</v>
      </c>
      <c r="AD235" s="612">
        <f t="shared" si="1457"/>
        <v>0</v>
      </c>
      <c r="AE235" s="281"/>
      <c r="AF235" s="612">
        <f>AF236</f>
        <v>0</v>
      </c>
      <c r="AG235" s="281"/>
      <c r="AH235" s="281"/>
      <c r="AI235" s="281"/>
      <c r="AJ235" s="281"/>
      <c r="AK235" s="281"/>
      <c r="AL235" s="281"/>
      <c r="AM235" s="281"/>
      <c r="AN235" s="281"/>
      <c r="AO235" s="281"/>
      <c r="AP235" s="281"/>
      <c r="AQ235" s="281"/>
      <c r="AR235" s="612">
        <f t="shared" si="1075"/>
        <v>0</v>
      </c>
      <c r="AS235" s="281"/>
      <c r="AT235" s="281"/>
      <c r="AU235" s="281"/>
      <c r="AV235" s="281"/>
      <c r="AW235" s="281"/>
      <c r="AX235" s="612">
        <f t="shared" ref="AX235:AX236" si="1458">SUM(AY235:BB235)</f>
        <v>0</v>
      </c>
      <c r="AY235" s="281"/>
      <c r="AZ235" s="281"/>
      <c r="BA235" s="281"/>
      <c r="BB235" s="281"/>
      <c r="BC235" s="336"/>
      <c r="BD235" s="336"/>
      <c r="BE235" s="332">
        <v>0.05</v>
      </c>
      <c r="BF235" s="332"/>
      <c r="BG235" s="614">
        <f>BE235*(3%*'BOQ COST'!$F$4)*1</f>
        <v>0.67382904474938898</v>
      </c>
      <c r="BH235" s="614">
        <f t="shared" si="1001"/>
        <v>0</v>
      </c>
      <c r="BI235" s="612">
        <f>BI236</f>
        <v>0</v>
      </c>
      <c r="BJ235" s="612">
        <f>BJ236</f>
        <v>0.67382904474938898</v>
      </c>
      <c r="BK235" s="612">
        <f t="shared" ref="BK235:BM235" si="1459">BK236</f>
        <v>0</v>
      </c>
      <c r="BL235" s="612">
        <f t="shared" si="1459"/>
        <v>0.67382904474938898</v>
      </c>
      <c r="BM235" s="612">
        <f t="shared" si="1459"/>
        <v>0</v>
      </c>
      <c r="BN235" s="281"/>
      <c r="BO235" s="281"/>
      <c r="BP235" s="612">
        <f>BP236</f>
        <v>0</v>
      </c>
      <c r="BQ235" s="281"/>
      <c r="BR235" s="281"/>
      <c r="BS235" s="281"/>
      <c r="BT235" s="281"/>
      <c r="BU235" s="281"/>
      <c r="BV235" s="524"/>
      <c r="BW235" s="524"/>
      <c r="BX235" s="524"/>
      <c r="BY235" s="281"/>
      <c r="BZ235" s="535"/>
      <c r="CA235" s="535"/>
      <c r="CB235" s="535"/>
      <c r="CC235" s="535"/>
      <c r="CD235" s="535"/>
      <c r="CE235" s="535"/>
      <c r="CF235" s="535"/>
      <c r="CG235" s="535"/>
      <c r="CH235" s="535"/>
      <c r="CI235" s="535"/>
      <c r="CJ235" s="535"/>
      <c r="CK235" s="535"/>
      <c r="CL235" s="535"/>
      <c r="CM235" s="332"/>
      <c r="CN235" s="332"/>
      <c r="CO235" s="524">
        <v>0.05</v>
      </c>
      <c r="CP235" s="332"/>
      <c r="CQ235" s="614">
        <f>CO235*(2%*'BOQ COST'!$G$4)*1</f>
        <v>0.24054326303129014</v>
      </c>
      <c r="CR235" s="614">
        <f t="shared" si="1002"/>
        <v>0</v>
      </c>
      <c r="CS235" s="612">
        <f>CS236</f>
        <v>0</v>
      </c>
      <c r="CT235" s="612">
        <f>CT236</f>
        <v>0.24054326303129014</v>
      </c>
      <c r="CU235" s="612">
        <f t="shared" ref="CU235:CX235" si="1460">CU236</f>
        <v>0</v>
      </c>
      <c r="CV235" s="612">
        <f t="shared" si="1460"/>
        <v>0.24054326303129014</v>
      </c>
      <c r="CW235" s="612">
        <f t="shared" si="1460"/>
        <v>0</v>
      </c>
      <c r="CX235" s="612">
        <f t="shared" si="1460"/>
        <v>0</v>
      </c>
      <c r="CY235" s="281"/>
      <c r="CZ235" s="612">
        <f>CZ236</f>
        <v>0</v>
      </c>
      <c r="DA235" s="281"/>
      <c r="DB235" s="281"/>
      <c r="DC235" s="281"/>
      <c r="DD235" s="281"/>
      <c r="DE235" s="281"/>
      <c r="DF235" s="605"/>
      <c r="DG235" s="605"/>
      <c r="DH235" s="605"/>
      <c r="DI235" s="281"/>
      <c r="DJ235" s="281"/>
      <c r="DK235" s="281"/>
      <c r="DL235" s="281"/>
      <c r="DM235" s="281"/>
      <c r="DN235" s="281"/>
      <c r="DO235" s="281"/>
      <c r="DP235" s="281"/>
      <c r="DQ235" s="281"/>
      <c r="DR235" s="281"/>
      <c r="DS235" s="281"/>
      <c r="DT235" s="281"/>
      <c r="DU235" s="281"/>
      <c r="DV235" s="281"/>
      <c r="DW235" s="332"/>
      <c r="DX235" s="332"/>
      <c r="DY235" s="524">
        <v>0.05</v>
      </c>
      <c r="DZ235" s="332"/>
      <c r="EA235" s="612">
        <f>DY235*(7%*'BOQ COST'!$H$4)*1</f>
        <v>6.6729304949999999E-2</v>
      </c>
      <c r="EB235" s="614">
        <f t="shared" si="1003"/>
        <v>0</v>
      </c>
      <c r="EC235" s="608">
        <f>EC236</f>
        <v>0</v>
      </c>
      <c r="ED235" s="608">
        <f>ED236</f>
        <v>6.6729304949999999E-2</v>
      </c>
      <c r="EE235" s="608">
        <f t="shared" ref="EE235:EH235" si="1461">EE236</f>
        <v>0</v>
      </c>
      <c r="EF235" s="608">
        <f t="shared" si="1461"/>
        <v>6.6729304949999999E-2</v>
      </c>
      <c r="EG235" s="608">
        <f t="shared" si="1461"/>
        <v>0</v>
      </c>
      <c r="EH235" s="608">
        <f t="shared" si="1461"/>
        <v>0</v>
      </c>
      <c r="EI235" s="127"/>
      <c r="EJ235" s="608">
        <f>EJ236</f>
        <v>0</v>
      </c>
      <c r="EK235" s="127"/>
      <c r="EL235" s="127"/>
      <c r="EM235" s="127"/>
      <c r="EN235" s="127"/>
      <c r="EO235" s="127"/>
      <c r="EP235" s="641"/>
      <c r="EQ235" s="641"/>
      <c r="ER235" s="641"/>
      <c r="ES235" s="127"/>
      <c r="ET235" s="127"/>
      <c r="EU235" s="127"/>
      <c r="EV235" s="127"/>
      <c r="EW235" s="127"/>
      <c r="EX235" s="127"/>
      <c r="EY235" s="127"/>
      <c r="EZ235" s="127"/>
      <c r="FA235" s="127"/>
      <c r="FB235" s="127"/>
      <c r="FC235" s="127"/>
      <c r="FD235" s="127"/>
      <c r="FE235" s="127"/>
      <c r="FF235" s="127"/>
      <c r="FG235" s="48"/>
    </row>
    <row r="236" spans="1:163" ht="14.25" hidden="1" outlineLevel="2">
      <c r="A236" s="48"/>
      <c r="B236" s="87">
        <v>1</v>
      </c>
      <c r="C236" s="87">
        <v>1</v>
      </c>
      <c r="D236" s="50" t="s">
        <v>222</v>
      </c>
      <c r="E236" s="50"/>
      <c r="F236" s="619">
        <f t="shared" ref="F236" si="1462">W236+BG236+CQ236+EA236</f>
        <v>3.8608171127306794</v>
      </c>
      <c r="G236" s="619">
        <f t="shared" ref="G236" si="1463">X236+BH236+CR236+EB236</f>
        <v>0</v>
      </c>
      <c r="H236" s="615">
        <f t="shared" ref="H236" si="1464">F236-G236</f>
        <v>3.8608171127306794</v>
      </c>
      <c r="I236" s="615">
        <f t="shared" ref="I236" si="1465">Z236+BJ236+CT236+ED236</f>
        <v>3.8608171127306794</v>
      </c>
      <c r="J236" s="615">
        <f t="shared" ref="J236" si="1466">AA236+BK236+CU236+EE236</f>
        <v>0</v>
      </c>
      <c r="K236" s="615">
        <f t="shared" ref="K236" si="1467">AB236+BL236+CV236+EF236</f>
        <v>3.8608171127306794</v>
      </c>
      <c r="L236" s="615">
        <f t="shared" ref="L236" si="1468">AC236+BM236+CW236+EG236</f>
        <v>0</v>
      </c>
      <c r="M236" s="620">
        <f t="shared" ref="M236" si="1469">AD236+BN236+CX236+EH236</f>
        <v>0</v>
      </c>
      <c r="N236" s="287"/>
      <c r="O236" s="615">
        <f t="shared" ref="O236" si="1470">AF236+BP236+CZ236+EJ236</f>
        <v>0</v>
      </c>
      <c r="P236" s="615">
        <f t="shared" ref="P236" si="1471">AG236+BQ236+DA236+EK236</f>
        <v>0</v>
      </c>
      <c r="Q236" s="615">
        <f t="shared" ref="Q236" si="1472">AH236+BR236+DB236+EL236</f>
        <v>0</v>
      </c>
      <c r="R236" s="615">
        <f t="shared" ref="R236" si="1473">AI236+BS236+DC236+EM236</f>
        <v>0</v>
      </c>
      <c r="S236" s="615">
        <f t="shared" ref="S236" si="1474">AJ236+BT236+DD236+EN236</f>
        <v>0</v>
      </c>
      <c r="T236" s="50"/>
      <c r="U236" s="519">
        <v>0.05</v>
      </c>
      <c r="V236" s="134"/>
      <c r="W236" s="619">
        <f>W235</f>
        <v>2.8797155000000001</v>
      </c>
      <c r="X236" s="619">
        <f t="shared" si="1000"/>
        <v>0</v>
      </c>
      <c r="Y236" s="615">
        <f>IFERROR(IF(AL236=100%,W236,0),0)</f>
        <v>0</v>
      </c>
      <c r="Z236" s="615">
        <f>W236</f>
        <v>2.8797155000000001</v>
      </c>
      <c r="AA236" s="120"/>
      <c r="AB236" s="615">
        <f>Z236</f>
        <v>2.8797155000000001</v>
      </c>
      <c r="AC236" s="615"/>
      <c r="AD236" s="339"/>
      <c r="AE236" s="339"/>
      <c r="AF236" s="615">
        <f>IFERROR(IF(AND((AQ236+AR236)=100%,AQ236&lt;1),AC236,0),0)</f>
        <v>0</v>
      </c>
      <c r="AG236" s="120"/>
      <c r="AH236" s="339"/>
      <c r="AI236" s="339"/>
      <c r="AJ236" s="339"/>
      <c r="AK236" s="339"/>
      <c r="AL236" s="615">
        <f>IFERROR(AQ236/AP236,0)</f>
        <v>0</v>
      </c>
      <c r="AM236" s="615">
        <f>IFERROR(AR236/AP236,0)</f>
        <v>0</v>
      </c>
      <c r="AN236" s="615">
        <f>IFERROR(#REF!/AP236,0)</f>
        <v>0</v>
      </c>
      <c r="AO236" s="345"/>
      <c r="AP236" s="359"/>
      <c r="AQ236" s="359"/>
      <c r="AR236" s="615">
        <f t="shared" si="1075"/>
        <v>0</v>
      </c>
      <c r="AS236" s="328"/>
      <c r="AT236" s="328"/>
      <c r="AU236" s="328"/>
      <c r="AV236" s="328"/>
      <c r="AW236" s="328"/>
      <c r="AX236" s="615">
        <f t="shared" si="1458"/>
        <v>0</v>
      </c>
      <c r="AY236" s="328"/>
      <c r="AZ236" s="328"/>
      <c r="BA236" s="328"/>
      <c r="BB236" s="328"/>
      <c r="BC236" s="359"/>
      <c r="BD236" s="359"/>
      <c r="BE236" s="124">
        <v>0.05</v>
      </c>
      <c r="BF236" s="134"/>
      <c r="BG236" s="619">
        <f>BG235</f>
        <v>0.67382904474938898</v>
      </c>
      <c r="BH236" s="619">
        <f t="shared" si="1001"/>
        <v>0</v>
      </c>
      <c r="BI236" s="615">
        <f>IFERROR(IF(BV236=100%,BG236,0),0)</f>
        <v>0</v>
      </c>
      <c r="BJ236" s="615">
        <f>BG236</f>
        <v>0.67382904474938898</v>
      </c>
      <c r="BK236" s="120"/>
      <c r="BL236" s="615">
        <f>BJ236</f>
        <v>0.67382904474938898</v>
      </c>
      <c r="BM236" s="615"/>
      <c r="BN236" s="339"/>
      <c r="BO236" s="339"/>
      <c r="BP236" s="615">
        <f>IFERROR(IF(AND((CA236+CB236)=100%,CA236&lt;1),BM236,0),0)</f>
        <v>0</v>
      </c>
      <c r="BQ236" s="120"/>
      <c r="BR236" s="339"/>
      <c r="BS236" s="339"/>
      <c r="BT236" s="339"/>
      <c r="BU236" s="339"/>
      <c r="BV236" s="635">
        <f>IFERROR(CA236/BZ236,0)</f>
        <v>0</v>
      </c>
      <c r="BW236" s="635">
        <f>IFERROR(CB236/BZ236,0)</f>
        <v>0</v>
      </c>
      <c r="BX236" s="635">
        <f>IFERROR(#REF!/BZ236,0)</f>
        <v>0</v>
      </c>
      <c r="BY236" s="345"/>
      <c r="BZ236" s="540"/>
      <c r="CA236" s="540"/>
      <c r="CB236" s="542"/>
      <c r="CC236" s="536"/>
      <c r="CD236" s="536"/>
      <c r="CE236" s="536"/>
      <c r="CF236" s="536"/>
      <c r="CG236" s="536"/>
      <c r="CH236" s="542"/>
      <c r="CI236" s="536"/>
      <c r="CJ236" s="536"/>
      <c r="CK236" s="536"/>
      <c r="CL236" s="536"/>
      <c r="CM236" s="134"/>
      <c r="CN236" s="134"/>
      <c r="CO236" s="519">
        <v>0.05</v>
      </c>
      <c r="CP236" s="134"/>
      <c r="CQ236" s="619">
        <f>CQ235</f>
        <v>0.24054326303129014</v>
      </c>
      <c r="CR236" s="619">
        <f t="shared" si="1002"/>
        <v>0</v>
      </c>
      <c r="CS236" s="615">
        <f>IFERROR(IF(DF236=100%,CQ236,0),0)</f>
        <v>0</v>
      </c>
      <c r="CT236" s="615">
        <f>CQ236</f>
        <v>0.24054326303129014</v>
      </c>
      <c r="CU236" s="120"/>
      <c r="CV236" s="615">
        <f>CT236</f>
        <v>0.24054326303129014</v>
      </c>
      <c r="CW236" s="615"/>
      <c r="CX236" s="339"/>
      <c r="CY236" s="339"/>
      <c r="CZ236" s="615">
        <f>IFERROR(IF(AND((DK236+DL236)=100%,DK236&lt;1),CW236,0),0)</f>
        <v>0</v>
      </c>
      <c r="DA236" s="339"/>
      <c r="DB236" s="339"/>
      <c r="DC236" s="339"/>
      <c r="DD236" s="339"/>
      <c r="DE236" s="339"/>
      <c r="DF236" s="625">
        <f>IFERROR(DK236/DJ236,0)</f>
        <v>0</v>
      </c>
      <c r="DG236" s="625">
        <f>IFERROR(DL236/DJ236,0)</f>
        <v>0</v>
      </c>
      <c r="DH236" s="625">
        <f>IFERROR(#REF!/DJ236,0)</f>
        <v>0</v>
      </c>
      <c r="DI236" s="345"/>
      <c r="DJ236" s="359"/>
      <c r="DK236" s="359"/>
      <c r="DL236" s="359"/>
      <c r="DM236" s="339"/>
      <c r="DN236" s="339"/>
      <c r="DO236" s="339"/>
      <c r="DP236" s="339"/>
      <c r="DQ236" s="339"/>
      <c r="DR236" s="359"/>
      <c r="DS236" s="339"/>
      <c r="DT236" s="339"/>
      <c r="DU236" s="339"/>
      <c r="DV236" s="339"/>
      <c r="DW236" s="134"/>
      <c r="DX236" s="134"/>
      <c r="DY236" s="519">
        <v>0.05</v>
      </c>
      <c r="DZ236" s="134"/>
      <c r="EA236" s="619">
        <f>EA235</f>
        <v>6.6729304949999999E-2</v>
      </c>
      <c r="EB236" s="619">
        <f t="shared" si="1003"/>
        <v>0</v>
      </c>
      <c r="EC236" s="615">
        <f>IFERROR(IF(EP236=100%,EA236,0),0)</f>
        <v>0</v>
      </c>
      <c r="ED236" s="615">
        <f>EA236</f>
        <v>6.6729304949999999E-2</v>
      </c>
      <c r="EE236" s="120"/>
      <c r="EF236" s="615">
        <f>ED236</f>
        <v>6.6729304949999999E-2</v>
      </c>
      <c r="EG236" s="615"/>
      <c r="EH236" s="81"/>
      <c r="EI236" s="81"/>
      <c r="EJ236" s="615">
        <f>IFERROR(IF(AND((EU236+EV236)=100%,EU236&lt;1),EG236,0),0)</f>
        <v>0</v>
      </c>
      <c r="EK236" s="81"/>
      <c r="EL236" s="81"/>
      <c r="EM236" s="81"/>
      <c r="EN236" s="81"/>
      <c r="EO236" s="81"/>
      <c r="EP236" s="625">
        <f>IFERROR(EU236/ET236,0)</f>
        <v>0</v>
      </c>
      <c r="EQ236" s="625">
        <f>IFERROR(EV236/ET236,0)</f>
        <v>0</v>
      </c>
      <c r="ER236" s="625">
        <f>IFERROR(#REF!/ET236,0)</f>
        <v>0</v>
      </c>
      <c r="ES236" s="55"/>
      <c r="ET236" s="56"/>
      <c r="EU236" s="56"/>
      <c r="EV236" s="56"/>
      <c r="EW236" s="81"/>
      <c r="EX236" s="81"/>
      <c r="EY236" s="81"/>
      <c r="EZ236" s="81"/>
      <c r="FA236" s="81"/>
      <c r="FB236" s="56"/>
      <c r="FC236" s="81"/>
      <c r="FD236" s="81"/>
      <c r="FE236" s="81"/>
      <c r="FF236" s="81"/>
      <c r="FG236" s="50"/>
    </row>
    <row r="237" spans="1:163" ht="3" customHeight="1">
      <c r="A237" s="48"/>
      <c r="B237" s="87"/>
      <c r="C237" s="87"/>
      <c r="D237" s="50"/>
      <c r="E237" s="50"/>
      <c r="F237" s="338"/>
      <c r="G237" s="619"/>
      <c r="H237" s="339"/>
      <c r="I237" s="339"/>
      <c r="J237" s="120"/>
      <c r="K237" s="339"/>
      <c r="L237" s="339"/>
      <c r="M237" s="339"/>
      <c r="N237" s="339"/>
      <c r="O237" s="339"/>
      <c r="P237" s="120"/>
      <c r="Q237" s="339"/>
      <c r="R237" s="339"/>
      <c r="S237" s="339"/>
      <c r="T237" s="50"/>
      <c r="U237" s="519"/>
      <c r="V237" s="134"/>
      <c r="W237" s="338"/>
      <c r="X237" s="619">
        <f t="shared" si="1000"/>
        <v>0</v>
      </c>
      <c r="Y237" s="339"/>
      <c r="Z237" s="339"/>
      <c r="AA237" s="120"/>
      <c r="AB237" s="339"/>
      <c r="AC237" s="339"/>
      <c r="AD237" s="339"/>
      <c r="AE237" s="339"/>
      <c r="AF237" s="339"/>
      <c r="AG237" s="120"/>
      <c r="AH237" s="339"/>
      <c r="AI237" s="339"/>
      <c r="AJ237" s="339"/>
      <c r="AK237" s="339"/>
      <c r="AL237" s="340"/>
      <c r="AM237" s="340"/>
      <c r="AN237" s="340"/>
      <c r="AO237" s="345"/>
      <c r="AP237" s="359"/>
      <c r="AQ237" s="359"/>
      <c r="AR237" s="359"/>
      <c r="AS237" s="328"/>
      <c r="AT237" s="328"/>
      <c r="AU237" s="328"/>
      <c r="AV237" s="328"/>
      <c r="AW237" s="328"/>
      <c r="AX237" s="359"/>
      <c r="AY237" s="328"/>
      <c r="AZ237" s="328"/>
      <c r="BA237" s="328"/>
      <c r="BB237" s="328"/>
      <c r="BC237" s="359"/>
      <c r="BD237" s="359"/>
      <c r="BE237" s="124"/>
      <c r="BF237" s="134"/>
      <c r="BG237" s="344"/>
      <c r="BH237" s="618">
        <f t="shared" si="1001"/>
        <v>0</v>
      </c>
      <c r="BI237" s="339"/>
      <c r="BJ237" s="339"/>
      <c r="BK237" s="120"/>
      <c r="BL237" s="339"/>
      <c r="BM237" s="339"/>
      <c r="BN237" s="339"/>
      <c r="BO237" s="339"/>
      <c r="BP237" s="339"/>
      <c r="BQ237" s="120"/>
      <c r="BR237" s="339"/>
      <c r="BS237" s="339"/>
      <c r="BT237" s="339"/>
      <c r="BU237" s="339"/>
      <c r="BV237" s="525"/>
      <c r="BW237" s="525"/>
      <c r="BX237" s="525"/>
      <c r="BY237" s="345"/>
      <c r="BZ237" s="540"/>
      <c r="CA237" s="540"/>
      <c r="CB237" s="542"/>
      <c r="CC237" s="536"/>
      <c r="CD237" s="536"/>
      <c r="CE237" s="536"/>
      <c r="CF237" s="536"/>
      <c r="CG237" s="536"/>
      <c r="CH237" s="542"/>
      <c r="CI237" s="536"/>
      <c r="CJ237" s="536"/>
      <c r="CK237" s="536"/>
      <c r="CL237" s="536"/>
      <c r="CM237" s="134"/>
      <c r="CN237" s="134"/>
      <c r="CO237" s="519"/>
      <c r="CP237" s="134"/>
      <c r="CQ237" s="344"/>
      <c r="CR237" s="618">
        <f t="shared" si="1002"/>
        <v>0</v>
      </c>
      <c r="CS237" s="339"/>
      <c r="CT237" s="339"/>
      <c r="CU237" s="339"/>
      <c r="CV237" s="339"/>
      <c r="CW237" s="339"/>
      <c r="CX237" s="339"/>
      <c r="CY237" s="339"/>
      <c r="CZ237" s="339"/>
      <c r="DA237" s="339"/>
      <c r="DB237" s="339"/>
      <c r="DC237" s="339"/>
      <c r="DD237" s="339"/>
      <c r="DE237" s="339"/>
      <c r="DF237" s="603"/>
      <c r="DG237" s="603"/>
      <c r="DH237" s="603"/>
      <c r="DI237" s="345"/>
      <c r="DJ237" s="359"/>
      <c r="DK237" s="359"/>
      <c r="DL237" s="359"/>
      <c r="DM237" s="339"/>
      <c r="DN237" s="339"/>
      <c r="DO237" s="339"/>
      <c r="DP237" s="339"/>
      <c r="DQ237" s="339"/>
      <c r="DR237" s="359"/>
      <c r="DS237" s="339"/>
      <c r="DT237" s="339"/>
      <c r="DU237" s="339"/>
      <c r="DV237" s="339"/>
      <c r="DW237" s="134"/>
      <c r="DX237" s="134"/>
      <c r="DY237" s="519"/>
      <c r="DZ237" s="134"/>
      <c r="EA237" s="344"/>
      <c r="EB237" s="618">
        <f t="shared" si="1003"/>
        <v>0</v>
      </c>
      <c r="EC237" s="81"/>
      <c r="ED237" s="81"/>
      <c r="EE237" s="81"/>
      <c r="EF237" s="81"/>
      <c r="EG237" s="81"/>
      <c r="EH237" s="81"/>
      <c r="EI237" s="81"/>
      <c r="EJ237" s="81"/>
      <c r="EK237" s="81"/>
      <c r="EL237" s="81"/>
      <c r="EM237" s="81"/>
      <c r="EN237" s="81"/>
      <c r="EO237" s="81"/>
      <c r="EP237" s="103"/>
      <c r="EQ237" s="103"/>
      <c r="ER237" s="103"/>
      <c r="ES237" s="55"/>
      <c r="ET237" s="56"/>
      <c r="EU237" s="56"/>
      <c r="EV237" s="56"/>
      <c r="EW237" s="81"/>
      <c r="EX237" s="81"/>
      <c r="EY237" s="81"/>
      <c r="EZ237" s="81"/>
      <c r="FA237" s="81"/>
      <c r="FB237" s="56"/>
      <c r="FC237" s="81"/>
      <c r="FD237" s="81"/>
      <c r="FE237" s="81"/>
      <c r="FF237" s="81"/>
      <c r="FG237" s="50"/>
    </row>
    <row r="238" spans="1:163" ht="18" collapsed="1">
      <c r="A238" s="48"/>
      <c r="B238" s="48"/>
      <c r="C238" s="778" t="s">
        <v>223</v>
      </c>
      <c r="D238" s="779"/>
      <c r="E238" s="62"/>
      <c r="F238" s="606"/>
      <c r="G238" s="606"/>
      <c r="H238" s="142"/>
      <c r="I238" s="142"/>
      <c r="J238" s="146"/>
      <c r="K238" s="146"/>
      <c r="L238" s="146"/>
      <c r="M238" s="146"/>
      <c r="N238" s="146"/>
      <c r="O238" s="142"/>
      <c r="P238" s="146"/>
      <c r="Q238" s="146"/>
      <c r="R238" s="146"/>
      <c r="S238" s="146"/>
      <c r="T238" s="62"/>
      <c r="U238" s="521"/>
      <c r="V238" s="130"/>
      <c r="W238" s="606">
        <f>W240</f>
        <v>0</v>
      </c>
      <c r="X238" s="606">
        <f t="shared" si="1000"/>
        <v>0</v>
      </c>
      <c r="Y238" s="142"/>
      <c r="Z238" s="142"/>
      <c r="AA238" s="146"/>
      <c r="AB238" s="146"/>
      <c r="AC238" s="146"/>
      <c r="AD238" s="146"/>
      <c r="AE238" s="146"/>
      <c r="AF238" s="142"/>
      <c r="AG238" s="146"/>
      <c r="AH238" s="146"/>
      <c r="AI238" s="146"/>
      <c r="AJ238" s="146"/>
      <c r="AK238" s="146"/>
      <c r="AL238" s="147"/>
      <c r="AM238" s="147"/>
      <c r="AN238" s="147"/>
      <c r="AO238" s="147"/>
      <c r="AP238" s="143"/>
      <c r="AQ238" s="143"/>
      <c r="AR238" s="143"/>
      <c r="AS238" s="143"/>
      <c r="AT238" s="143"/>
      <c r="AU238" s="143"/>
      <c r="AV238" s="143"/>
      <c r="AW238" s="143"/>
      <c r="AX238" s="143"/>
      <c r="AY238" s="143"/>
      <c r="AZ238" s="143"/>
      <c r="BA238" s="143"/>
      <c r="BB238" s="143"/>
      <c r="BC238" s="143"/>
      <c r="BD238" s="143"/>
      <c r="BE238" s="144"/>
      <c r="BF238" s="130"/>
      <c r="BG238" s="607">
        <f>BG240</f>
        <v>0</v>
      </c>
      <c r="BH238" s="606">
        <f t="shared" si="1001"/>
        <v>0</v>
      </c>
      <c r="BI238" s="148"/>
      <c r="BJ238" s="148"/>
      <c r="BK238" s="146"/>
      <c r="BL238" s="146"/>
      <c r="BM238" s="146"/>
      <c r="BN238" s="146"/>
      <c r="BO238" s="146"/>
      <c r="BP238" s="148"/>
      <c r="BQ238" s="146"/>
      <c r="BR238" s="146"/>
      <c r="BS238" s="146"/>
      <c r="BT238" s="146"/>
      <c r="BU238" s="146"/>
      <c r="BV238" s="522"/>
      <c r="BW238" s="522"/>
      <c r="BX238" s="522"/>
      <c r="BY238" s="147"/>
      <c r="BZ238" s="529"/>
      <c r="CA238" s="529"/>
      <c r="CB238" s="530"/>
      <c r="CC238" s="531"/>
      <c r="CD238" s="531"/>
      <c r="CE238" s="531"/>
      <c r="CF238" s="531"/>
      <c r="CG238" s="531"/>
      <c r="CH238" s="530"/>
      <c r="CI238" s="531"/>
      <c r="CJ238" s="531"/>
      <c r="CK238" s="531"/>
      <c r="CL238" s="531"/>
      <c r="CM238" s="130"/>
      <c r="CN238" s="130"/>
      <c r="CO238" s="522"/>
      <c r="CP238" s="130"/>
      <c r="CQ238" s="607">
        <f>CQ240</f>
        <v>0</v>
      </c>
      <c r="CR238" s="606">
        <f t="shared" si="1002"/>
        <v>0</v>
      </c>
      <c r="CS238" s="148"/>
      <c r="CT238" s="148"/>
      <c r="CU238" s="142"/>
      <c r="CV238" s="142"/>
      <c r="CW238" s="142"/>
      <c r="CX238" s="142"/>
      <c r="CY238" s="142"/>
      <c r="CZ238" s="148"/>
      <c r="DA238" s="142"/>
      <c r="DB238" s="142"/>
      <c r="DC238" s="142"/>
      <c r="DD238" s="142"/>
      <c r="DE238" s="142"/>
      <c r="DF238" s="636"/>
      <c r="DG238" s="636"/>
      <c r="DH238" s="636"/>
      <c r="DI238" s="147"/>
      <c r="DJ238" s="143"/>
      <c r="DK238" s="143"/>
      <c r="DL238" s="143"/>
      <c r="DM238" s="142"/>
      <c r="DN238" s="142"/>
      <c r="DO238" s="142"/>
      <c r="DP238" s="142"/>
      <c r="DQ238" s="142"/>
      <c r="DR238" s="143"/>
      <c r="DS238" s="142"/>
      <c r="DT238" s="142"/>
      <c r="DU238" s="142"/>
      <c r="DV238" s="142"/>
      <c r="DW238" s="130"/>
      <c r="DX238" s="130"/>
      <c r="DY238" s="521"/>
      <c r="DZ238" s="130"/>
      <c r="EA238" s="607">
        <f>EA240</f>
        <v>0</v>
      </c>
      <c r="EB238" s="606">
        <f t="shared" si="1003"/>
        <v>0</v>
      </c>
      <c r="EC238" s="70"/>
      <c r="ED238" s="70"/>
      <c r="EE238" s="72"/>
      <c r="EF238" s="72"/>
      <c r="EG238" s="72"/>
      <c r="EH238" s="72"/>
      <c r="EI238" s="72"/>
      <c r="EJ238" s="70"/>
      <c r="EK238" s="72"/>
      <c r="EL238" s="72"/>
      <c r="EM238" s="72"/>
      <c r="EN238" s="72"/>
      <c r="EO238" s="72"/>
      <c r="EP238" s="639"/>
      <c r="EQ238" s="639"/>
      <c r="ER238" s="639"/>
      <c r="ES238" s="64"/>
      <c r="ET238" s="71"/>
      <c r="EU238" s="71"/>
      <c r="EV238" s="71"/>
      <c r="EW238" s="72"/>
      <c r="EX238" s="72"/>
      <c r="EY238" s="72"/>
      <c r="EZ238" s="72"/>
      <c r="FA238" s="72"/>
      <c r="FB238" s="71"/>
      <c r="FC238" s="72"/>
      <c r="FD238" s="72"/>
      <c r="FE238" s="72"/>
      <c r="FF238" s="72"/>
      <c r="FG238" s="62"/>
    </row>
    <row r="239" spans="1:163" ht="3" hidden="1" customHeight="1" outlineLevel="1">
      <c r="A239" s="48"/>
      <c r="B239" s="49"/>
      <c r="C239" s="49"/>
      <c r="D239" s="50"/>
      <c r="E239" s="48"/>
      <c r="F239" s="338"/>
      <c r="G239" s="619"/>
      <c r="H239" s="346"/>
      <c r="I239" s="346"/>
      <c r="J239" s="346"/>
      <c r="K239" s="346"/>
      <c r="L239" s="346"/>
      <c r="M239" s="346"/>
      <c r="N239" s="346"/>
      <c r="O239" s="346"/>
      <c r="P239" s="346"/>
      <c r="Q239" s="346"/>
      <c r="R239" s="346"/>
      <c r="S239" s="346"/>
      <c r="T239" s="48"/>
      <c r="U239" s="525"/>
      <c r="V239" s="343"/>
      <c r="W239" s="338"/>
      <c r="X239" s="619">
        <f t="shared" si="1000"/>
        <v>0</v>
      </c>
      <c r="Y239" s="346"/>
      <c r="Z239" s="346"/>
      <c r="AA239" s="346"/>
      <c r="AB239" s="346"/>
      <c r="AC239" s="346"/>
      <c r="AD239" s="346"/>
      <c r="AE239" s="346"/>
      <c r="AF239" s="346"/>
      <c r="AG239" s="346"/>
      <c r="AH239" s="346"/>
      <c r="AI239" s="346"/>
      <c r="AJ239" s="346"/>
      <c r="AK239" s="346"/>
      <c r="AL239" s="346"/>
      <c r="AM239" s="346"/>
      <c r="AN239" s="346"/>
      <c r="AO239" s="345"/>
      <c r="AP239" s="359"/>
      <c r="AQ239" s="359"/>
      <c r="AR239" s="359"/>
      <c r="AS239" s="359"/>
      <c r="AT239" s="359"/>
      <c r="AU239" s="359"/>
      <c r="AV239" s="359"/>
      <c r="AW239" s="359"/>
      <c r="AX239" s="359"/>
      <c r="AY239" s="359"/>
      <c r="AZ239" s="359"/>
      <c r="BA239" s="359"/>
      <c r="BB239" s="359"/>
      <c r="BC239" s="359"/>
      <c r="BD239" s="359"/>
      <c r="BE239" s="342"/>
      <c r="BF239" s="343"/>
      <c r="BG239" s="344"/>
      <c r="BH239" s="618">
        <f t="shared" si="1001"/>
        <v>0</v>
      </c>
      <c r="BI239" s="346"/>
      <c r="BJ239" s="346"/>
      <c r="BK239" s="346"/>
      <c r="BL239" s="346"/>
      <c r="BM239" s="346"/>
      <c r="BN239" s="346"/>
      <c r="BO239" s="346"/>
      <c r="BP239" s="346"/>
      <c r="BQ239" s="346"/>
      <c r="BR239" s="346"/>
      <c r="BS239" s="346"/>
      <c r="BT239" s="346"/>
      <c r="BU239" s="346"/>
      <c r="BV239" s="525"/>
      <c r="BW239" s="525"/>
      <c r="BX239" s="525"/>
      <c r="BY239" s="345"/>
      <c r="BZ239" s="540"/>
      <c r="CA239" s="540"/>
      <c r="CB239" s="542"/>
      <c r="CC239" s="540"/>
      <c r="CD239" s="540"/>
      <c r="CE239" s="540"/>
      <c r="CF239" s="540"/>
      <c r="CG239" s="540"/>
      <c r="CH239" s="542"/>
      <c r="CI239" s="540"/>
      <c r="CJ239" s="540"/>
      <c r="CK239" s="540"/>
      <c r="CL239" s="540"/>
      <c r="CM239" s="343"/>
      <c r="CN239" s="343"/>
      <c r="CO239" s="525"/>
      <c r="CP239" s="343"/>
      <c r="CQ239" s="344"/>
      <c r="CR239" s="618">
        <f t="shared" si="1002"/>
        <v>0</v>
      </c>
      <c r="CS239" s="346"/>
      <c r="CT239" s="346"/>
      <c r="CU239" s="346"/>
      <c r="CV239" s="346"/>
      <c r="CW239" s="346"/>
      <c r="CX239" s="346"/>
      <c r="CY239" s="346"/>
      <c r="CZ239" s="346"/>
      <c r="DA239" s="346"/>
      <c r="DB239" s="346"/>
      <c r="DC239" s="346"/>
      <c r="DD239" s="346"/>
      <c r="DE239" s="346"/>
      <c r="DF239" s="603"/>
      <c r="DG239" s="603"/>
      <c r="DH239" s="603"/>
      <c r="DI239" s="345"/>
      <c r="DJ239" s="359"/>
      <c r="DK239" s="359"/>
      <c r="DL239" s="359"/>
      <c r="DM239" s="346"/>
      <c r="DN239" s="346"/>
      <c r="DO239" s="346"/>
      <c r="DP239" s="346"/>
      <c r="DQ239" s="346"/>
      <c r="DR239" s="359"/>
      <c r="DS239" s="346"/>
      <c r="DT239" s="346"/>
      <c r="DU239" s="346"/>
      <c r="DV239" s="346"/>
      <c r="DW239" s="343"/>
      <c r="DX239" s="343"/>
      <c r="DY239" s="525"/>
      <c r="DZ239" s="343"/>
      <c r="EA239" s="344"/>
      <c r="EB239" s="618">
        <f t="shared" si="1003"/>
        <v>0</v>
      </c>
      <c r="EC239" s="54"/>
      <c r="ED239" s="54"/>
      <c r="EE239" s="54"/>
      <c r="EF239" s="54"/>
      <c r="EG239" s="54"/>
      <c r="EH239" s="54"/>
      <c r="EI239" s="54"/>
      <c r="EJ239" s="54"/>
      <c r="EK239" s="54"/>
      <c r="EL239" s="54"/>
      <c r="EM239" s="54"/>
      <c r="EN239" s="54"/>
      <c r="EO239" s="54"/>
      <c r="EP239" s="103"/>
      <c r="EQ239" s="103"/>
      <c r="ER239" s="103"/>
      <c r="ES239" s="55"/>
      <c r="ET239" s="56"/>
      <c r="EU239" s="56"/>
      <c r="EV239" s="56"/>
      <c r="EW239" s="54"/>
      <c r="EX239" s="54"/>
      <c r="EY239" s="54"/>
      <c r="EZ239" s="54"/>
      <c r="FA239" s="54"/>
      <c r="FB239" s="56"/>
      <c r="FC239" s="54"/>
      <c r="FD239" s="54"/>
      <c r="FE239" s="54"/>
      <c r="FF239" s="54"/>
      <c r="FG239" s="48"/>
    </row>
    <row r="240" spans="1:163" ht="14.25" hidden="1" outlineLevel="1">
      <c r="A240" s="48"/>
      <c r="B240" s="73"/>
      <c r="C240" s="275">
        <f t="shared" ref="C240:V243" si="1475">C86</f>
        <v>4</v>
      </c>
      <c r="D240" s="271" t="str">
        <f t="shared" si="1475"/>
        <v>GFC | Tower—3V-5V</v>
      </c>
      <c r="E240" s="590">
        <f t="shared" ref="E240" si="1476">E86</f>
        <v>0</v>
      </c>
      <c r="F240" s="573">
        <f t="shared" ref="F240" si="1477">W240+BG240+CQ240+EA240</f>
        <v>0</v>
      </c>
      <c r="G240" s="573">
        <f t="shared" ref="G240" si="1478">X240+BH240+CR240+EB240</f>
        <v>0</v>
      </c>
      <c r="H240" s="574">
        <f t="shared" ref="H240" si="1479">F240-G240</f>
        <v>0</v>
      </c>
      <c r="I240" s="574">
        <f t="shared" ref="I240" si="1480">Z240+BJ240+CT240+ED240</f>
        <v>0</v>
      </c>
      <c r="J240" s="574">
        <f t="shared" ref="J240" si="1481">AA240+BK240+CU240+EE240</f>
        <v>0</v>
      </c>
      <c r="K240" s="574">
        <f t="shared" ref="K240" si="1482">AB240+BL240+CV240+EF240</f>
        <v>0</v>
      </c>
      <c r="L240" s="574">
        <f t="shared" ref="L240" si="1483">AC240+BM240+CW240+EG240</f>
        <v>0</v>
      </c>
      <c r="M240" s="574">
        <f t="shared" ref="M240" si="1484">AD240+BN240+CX240+EH240</f>
        <v>0</v>
      </c>
      <c r="N240" s="281"/>
      <c r="O240" s="574">
        <f t="shared" ref="O240" si="1485">AF240+BP240+CZ240+EJ240</f>
        <v>0</v>
      </c>
      <c r="P240" s="574">
        <f t="shared" ref="P240" si="1486">AG240+BQ240+DA240+EK240</f>
        <v>0</v>
      </c>
      <c r="Q240" s="574">
        <f t="shared" ref="Q240" si="1487">AH240+BR240+DB240+EL240</f>
        <v>0</v>
      </c>
      <c r="R240" s="574">
        <f t="shared" ref="R240" si="1488">AI240+BS240+DC240+EM240</f>
        <v>0</v>
      </c>
      <c r="S240" s="574">
        <f t="shared" ref="S240" si="1489">AJ240+BT240+DD240+EN240</f>
        <v>0</v>
      </c>
      <c r="T240" s="590">
        <f t="shared" si="1475"/>
        <v>0</v>
      </c>
      <c r="U240" s="332">
        <f t="shared" si="1475"/>
        <v>0.5</v>
      </c>
      <c r="V240" s="573">
        <f t="shared" si="1475"/>
        <v>0</v>
      </c>
      <c r="W240" s="573">
        <f>SUM(W241:W250)</f>
        <v>0</v>
      </c>
      <c r="X240" s="573">
        <f t="shared" si="1000"/>
        <v>0</v>
      </c>
      <c r="Y240" s="574">
        <f t="shared" ref="Y240:CT240" si="1490">SUM(Y241:Y250)</f>
        <v>0</v>
      </c>
      <c r="Z240" s="574">
        <f t="shared" si="1490"/>
        <v>0</v>
      </c>
      <c r="AA240" s="574">
        <f t="shared" si="1490"/>
        <v>0</v>
      </c>
      <c r="AB240" s="574">
        <f t="shared" si="1490"/>
        <v>0</v>
      </c>
      <c r="AC240" s="574">
        <f t="shared" si="1490"/>
        <v>0</v>
      </c>
      <c r="AD240" s="574">
        <f t="shared" si="1490"/>
        <v>0</v>
      </c>
      <c r="AE240" s="281"/>
      <c r="AF240" s="574">
        <f t="shared" si="1490"/>
        <v>0</v>
      </c>
      <c r="AG240" s="574">
        <f t="shared" si="1490"/>
        <v>0</v>
      </c>
      <c r="AH240" s="574">
        <f t="shared" si="1490"/>
        <v>0</v>
      </c>
      <c r="AI240" s="574">
        <f t="shared" si="1490"/>
        <v>0</v>
      </c>
      <c r="AJ240" s="574">
        <f t="shared" si="1490"/>
        <v>0</v>
      </c>
      <c r="AK240" s="281"/>
      <c r="AL240" s="574">
        <f t="shared" si="1490"/>
        <v>0</v>
      </c>
      <c r="AM240" s="574">
        <f t="shared" si="1490"/>
        <v>0</v>
      </c>
      <c r="AN240" s="574">
        <f t="shared" si="1490"/>
        <v>0</v>
      </c>
      <c r="AO240" s="574">
        <f t="shared" si="1490"/>
        <v>0</v>
      </c>
      <c r="AP240" s="574">
        <f t="shared" si="1490"/>
        <v>0</v>
      </c>
      <c r="AQ240" s="574">
        <f t="shared" si="1490"/>
        <v>0</v>
      </c>
      <c r="AR240" s="574">
        <f t="shared" si="1490"/>
        <v>0</v>
      </c>
      <c r="AS240" s="574">
        <f t="shared" si="1490"/>
        <v>0</v>
      </c>
      <c r="AT240" s="574">
        <f t="shared" si="1490"/>
        <v>0</v>
      </c>
      <c r="AU240" s="574">
        <f t="shared" si="1490"/>
        <v>0</v>
      </c>
      <c r="AV240" s="574">
        <f t="shared" si="1490"/>
        <v>0</v>
      </c>
      <c r="AW240" s="281"/>
      <c r="AX240" s="574">
        <f t="shared" si="1490"/>
        <v>0</v>
      </c>
      <c r="AY240" s="574">
        <f t="shared" si="1490"/>
        <v>0</v>
      </c>
      <c r="AZ240" s="574">
        <f t="shared" si="1490"/>
        <v>0</v>
      </c>
      <c r="BA240" s="574">
        <f t="shared" si="1490"/>
        <v>0</v>
      </c>
      <c r="BB240" s="574">
        <f t="shared" si="1490"/>
        <v>0</v>
      </c>
      <c r="BC240" s="574">
        <f t="shared" si="1490"/>
        <v>0</v>
      </c>
      <c r="BD240" s="336"/>
      <c r="BE240" s="332">
        <f t="shared" si="1490"/>
        <v>0</v>
      </c>
      <c r="BF240" s="573">
        <f t="shared" si="1490"/>
        <v>0</v>
      </c>
      <c r="BG240" s="573">
        <f t="shared" si="1490"/>
        <v>0</v>
      </c>
      <c r="BH240" s="573">
        <f t="shared" si="1001"/>
        <v>0</v>
      </c>
      <c r="BI240" s="574">
        <f t="shared" si="1490"/>
        <v>0</v>
      </c>
      <c r="BJ240" s="574">
        <f t="shared" si="1490"/>
        <v>0</v>
      </c>
      <c r="BK240" s="574">
        <f t="shared" si="1490"/>
        <v>0</v>
      </c>
      <c r="BL240" s="574">
        <f t="shared" si="1490"/>
        <v>0</v>
      </c>
      <c r="BM240" s="574">
        <f t="shared" si="1490"/>
        <v>0</v>
      </c>
      <c r="BN240" s="574">
        <f t="shared" si="1490"/>
        <v>0</v>
      </c>
      <c r="BO240" s="281"/>
      <c r="BP240" s="574">
        <f t="shared" si="1490"/>
        <v>0</v>
      </c>
      <c r="BQ240" s="574">
        <f t="shared" si="1490"/>
        <v>0</v>
      </c>
      <c r="BR240" s="574">
        <f t="shared" si="1490"/>
        <v>0</v>
      </c>
      <c r="BS240" s="574">
        <f t="shared" si="1490"/>
        <v>0</v>
      </c>
      <c r="BT240" s="574">
        <f t="shared" si="1490"/>
        <v>0</v>
      </c>
      <c r="BU240" s="281"/>
      <c r="BV240" s="524">
        <f t="shared" si="1490"/>
        <v>0</v>
      </c>
      <c r="BW240" s="524">
        <f t="shared" si="1490"/>
        <v>0</v>
      </c>
      <c r="BX240" s="524">
        <f t="shared" si="1490"/>
        <v>0</v>
      </c>
      <c r="BY240" s="574">
        <f t="shared" si="1490"/>
        <v>0</v>
      </c>
      <c r="BZ240" s="574">
        <f t="shared" si="1490"/>
        <v>0</v>
      </c>
      <c r="CA240" s="574">
        <f t="shared" si="1490"/>
        <v>0</v>
      </c>
      <c r="CB240" s="574">
        <f t="shared" si="1490"/>
        <v>0</v>
      </c>
      <c r="CC240" s="574">
        <f t="shared" si="1490"/>
        <v>0</v>
      </c>
      <c r="CD240" s="574">
        <f t="shared" si="1490"/>
        <v>0</v>
      </c>
      <c r="CE240" s="574">
        <f t="shared" si="1490"/>
        <v>0</v>
      </c>
      <c r="CF240" s="574">
        <f t="shared" si="1490"/>
        <v>0</v>
      </c>
      <c r="CG240" s="535"/>
      <c r="CH240" s="574">
        <f t="shared" si="1490"/>
        <v>0</v>
      </c>
      <c r="CI240" s="574">
        <f t="shared" si="1490"/>
        <v>0</v>
      </c>
      <c r="CJ240" s="574">
        <f t="shared" si="1490"/>
        <v>0</v>
      </c>
      <c r="CK240" s="574">
        <f t="shared" si="1490"/>
        <v>0</v>
      </c>
      <c r="CL240" s="574">
        <f t="shared" si="1490"/>
        <v>0</v>
      </c>
      <c r="CM240" s="573">
        <f t="shared" si="1490"/>
        <v>0</v>
      </c>
      <c r="CN240" s="332"/>
      <c r="CO240" s="573">
        <f t="shared" si="1490"/>
        <v>0</v>
      </c>
      <c r="CP240" s="573">
        <f t="shared" si="1490"/>
        <v>0</v>
      </c>
      <c r="CQ240" s="573">
        <f t="shared" si="1490"/>
        <v>0</v>
      </c>
      <c r="CR240" s="573">
        <f t="shared" si="1002"/>
        <v>0</v>
      </c>
      <c r="CS240" s="574">
        <f t="shared" si="1490"/>
        <v>0</v>
      </c>
      <c r="CT240" s="574">
        <f t="shared" si="1490"/>
        <v>0</v>
      </c>
      <c r="CU240" s="574">
        <f t="shared" ref="CU240:FG240" si="1491">SUM(CU241:CU250)</f>
        <v>0</v>
      </c>
      <c r="CV240" s="574">
        <f t="shared" si="1491"/>
        <v>0</v>
      </c>
      <c r="CW240" s="574">
        <f t="shared" si="1491"/>
        <v>0</v>
      </c>
      <c r="CX240" s="574">
        <f t="shared" si="1491"/>
        <v>0</v>
      </c>
      <c r="CY240" s="281"/>
      <c r="CZ240" s="574">
        <f t="shared" si="1491"/>
        <v>0</v>
      </c>
      <c r="DA240" s="574">
        <f t="shared" si="1491"/>
        <v>0</v>
      </c>
      <c r="DB240" s="574">
        <f t="shared" si="1491"/>
        <v>0</v>
      </c>
      <c r="DC240" s="574">
        <f t="shared" si="1491"/>
        <v>0</v>
      </c>
      <c r="DD240" s="574">
        <f t="shared" si="1491"/>
        <v>0</v>
      </c>
      <c r="DE240" s="281"/>
      <c r="DF240" s="605">
        <f t="shared" si="1491"/>
        <v>0</v>
      </c>
      <c r="DG240" s="605">
        <f t="shared" si="1491"/>
        <v>0</v>
      </c>
      <c r="DH240" s="605">
        <f t="shared" si="1491"/>
        <v>0</v>
      </c>
      <c r="DI240" s="574">
        <f t="shared" si="1491"/>
        <v>0</v>
      </c>
      <c r="DJ240" s="574">
        <f t="shared" si="1491"/>
        <v>0</v>
      </c>
      <c r="DK240" s="574">
        <f t="shared" si="1491"/>
        <v>0</v>
      </c>
      <c r="DL240" s="574">
        <f t="shared" si="1491"/>
        <v>0</v>
      </c>
      <c r="DM240" s="574">
        <f t="shared" si="1491"/>
        <v>0</v>
      </c>
      <c r="DN240" s="574">
        <f t="shared" si="1491"/>
        <v>0</v>
      </c>
      <c r="DO240" s="574">
        <f t="shared" si="1491"/>
        <v>0</v>
      </c>
      <c r="DP240" s="574">
        <f t="shared" si="1491"/>
        <v>0</v>
      </c>
      <c r="DQ240" s="281"/>
      <c r="DR240" s="574">
        <f t="shared" si="1491"/>
        <v>0</v>
      </c>
      <c r="DS240" s="574">
        <f t="shared" si="1491"/>
        <v>0</v>
      </c>
      <c r="DT240" s="574">
        <f t="shared" si="1491"/>
        <v>0</v>
      </c>
      <c r="DU240" s="574">
        <f t="shared" si="1491"/>
        <v>0</v>
      </c>
      <c r="DV240" s="574">
        <f t="shared" si="1491"/>
        <v>0</v>
      </c>
      <c r="DW240" s="573">
        <f t="shared" si="1491"/>
        <v>0</v>
      </c>
      <c r="DX240" s="332"/>
      <c r="DY240" s="573">
        <f t="shared" si="1491"/>
        <v>0</v>
      </c>
      <c r="DZ240" s="573">
        <f t="shared" si="1491"/>
        <v>0</v>
      </c>
      <c r="EA240" s="574">
        <f t="shared" si="1491"/>
        <v>0</v>
      </c>
      <c r="EB240" s="573">
        <f t="shared" si="1003"/>
        <v>0</v>
      </c>
      <c r="EC240" s="582">
        <f t="shared" si="1491"/>
        <v>0</v>
      </c>
      <c r="ED240" s="582">
        <f t="shared" si="1491"/>
        <v>0</v>
      </c>
      <c r="EE240" s="582">
        <f t="shared" si="1491"/>
        <v>0</v>
      </c>
      <c r="EF240" s="582">
        <f t="shared" si="1491"/>
        <v>0</v>
      </c>
      <c r="EG240" s="582">
        <f t="shared" si="1491"/>
        <v>0</v>
      </c>
      <c r="EH240" s="582">
        <f t="shared" si="1491"/>
        <v>0</v>
      </c>
      <c r="EI240" s="127"/>
      <c r="EJ240" s="582">
        <f t="shared" si="1491"/>
        <v>0</v>
      </c>
      <c r="EK240" s="582">
        <f t="shared" si="1491"/>
        <v>0</v>
      </c>
      <c r="EL240" s="582">
        <f t="shared" si="1491"/>
        <v>0</v>
      </c>
      <c r="EM240" s="582">
        <f t="shared" si="1491"/>
        <v>0</v>
      </c>
      <c r="EN240" s="582">
        <f t="shared" si="1491"/>
        <v>0</v>
      </c>
      <c r="EO240" s="127"/>
      <c r="EP240" s="641">
        <f t="shared" si="1491"/>
        <v>0</v>
      </c>
      <c r="EQ240" s="641">
        <f t="shared" si="1491"/>
        <v>0</v>
      </c>
      <c r="ER240" s="641">
        <f t="shared" si="1491"/>
        <v>0</v>
      </c>
      <c r="ES240" s="582">
        <f t="shared" si="1491"/>
        <v>0</v>
      </c>
      <c r="ET240" s="582">
        <f t="shared" si="1491"/>
        <v>0</v>
      </c>
      <c r="EU240" s="582">
        <f t="shared" si="1491"/>
        <v>0</v>
      </c>
      <c r="EV240" s="582">
        <f t="shared" si="1491"/>
        <v>0</v>
      </c>
      <c r="EW240" s="582">
        <f t="shared" si="1491"/>
        <v>0</v>
      </c>
      <c r="EX240" s="582">
        <f t="shared" si="1491"/>
        <v>0</v>
      </c>
      <c r="EY240" s="582">
        <f t="shared" si="1491"/>
        <v>0</v>
      </c>
      <c r="EZ240" s="582">
        <f t="shared" si="1491"/>
        <v>0</v>
      </c>
      <c r="FA240" s="127"/>
      <c r="FB240" s="582">
        <f t="shared" si="1491"/>
        <v>0</v>
      </c>
      <c r="FC240" s="582">
        <f t="shared" si="1491"/>
        <v>0</v>
      </c>
      <c r="FD240" s="582">
        <f t="shared" si="1491"/>
        <v>0</v>
      </c>
      <c r="FE240" s="582">
        <f t="shared" si="1491"/>
        <v>0</v>
      </c>
      <c r="FF240" s="582">
        <f t="shared" si="1491"/>
        <v>0</v>
      </c>
      <c r="FG240" s="575">
        <f t="shared" si="1491"/>
        <v>0</v>
      </c>
    </row>
    <row r="241" spans="1:163" ht="14.25" hidden="1" outlineLevel="2">
      <c r="A241" s="48"/>
      <c r="B241" s="87" t="s">
        <v>96</v>
      </c>
      <c r="C241" s="594">
        <f t="shared" si="1475"/>
        <v>1</v>
      </c>
      <c r="D241" s="272" t="str">
        <f t="shared" si="1475"/>
        <v>Foundation and Grade Slab</v>
      </c>
      <c r="E241" s="575">
        <f t="shared" ref="E241" si="1492">E87</f>
        <v>0</v>
      </c>
      <c r="F241" s="619"/>
      <c r="G241" s="619"/>
      <c r="H241" s="615"/>
      <c r="I241" s="615"/>
      <c r="J241" s="615"/>
      <c r="K241" s="615"/>
      <c r="L241" s="615"/>
      <c r="M241" s="620"/>
      <c r="N241" s="287"/>
      <c r="O241" s="615"/>
      <c r="P241" s="615"/>
      <c r="Q241" s="615"/>
      <c r="R241" s="615"/>
      <c r="S241" s="615"/>
      <c r="T241" s="575"/>
      <c r="U241" s="589"/>
      <c r="V241" s="591"/>
      <c r="W241" s="578"/>
      <c r="X241" s="578"/>
      <c r="Y241" s="339"/>
      <c r="Z241" s="579"/>
      <c r="AA241" s="579"/>
      <c r="AB241" s="579"/>
      <c r="AC241" s="579"/>
      <c r="AD241" s="580"/>
      <c r="AE241" s="287"/>
      <c r="AF241" s="579"/>
      <c r="AG241" s="579"/>
      <c r="AH241" s="579"/>
      <c r="AI241" s="579"/>
      <c r="AJ241" s="579"/>
      <c r="AK241" s="339"/>
      <c r="AL241" s="603"/>
      <c r="AM241" s="603"/>
      <c r="AN241" s="603"/>
      <c r="AO241" s="585"/>
      <c r="AP241" s="579"/>
      <c r="AQ241" s="513"/>
      <c r="AR241" s="513"/>
      <c r="AS241" s="513"/>
      <c r="AT241" s="513"/>
      <c r="AU241" s="513"/>
      <c r="AV241" s="513"/>
      <c r="AW241" s="328"/>
      <c r="AX241" s="513"/>
      <c r="AY241" s="513"/>
      <c r="AZ241" s="513"/>
      <c r="BA241" s="513"/>
      <c r="BB241" s="513"/>
      <c r="BC241" s="513"/>
      <c r="BD241" s="328"/>
      <c r="BE241" s="585"/>
      <c r="BF241" s="579"/>
      <c r="BG241" s="513"/>
      <c r="BH241" s="577"/>
      <c r="BI241" s="339"/>
      <c r="BJ241" s="579"/>
      <c r="BK241" s="579"/>
      <c r="BL241" s="579"/>
      <c r="BM241" s="579"/>
      <c r="BN241" s="579"/>
      <c r="BO241" s="339"/>
      <c r="BP241" s="579"/>
      <c r="BQ241" s="579"/>
      <c r="BR241" s="579"/>
      <c r="BS241" s="579"/>
      <c r="BT241" s="579"/>
      <c r="BU241" s="339"/>
      <c r="BV241" s="525"/>
      <c r="BW241" s="525"/>
      <c r="BX241" s="525"/>
      <c r="BY241" s="345"/>
      <c r="BZ241" s="540"/>
      <c r="CA241" s="532"/>
      <c r="CB241" s="539"/>
      <c r="CC241" s="532"/>
      <c r="CD241" s="532"/>
      <c r="CE241" s="532"/>
      <c r="CF241" s="532"/>
      <c r="CG241" s="532"/>
      <c r="CH241" s="539"/>
      <c r="CI241" s="532"/>
      <c r="CJ241" s="532"/>
      <c r="CK241" s="532"/>
      <c r="CL241" s="532"/>
      <c r="CM241" s="579"/>
      <c r="CN241" s="343"/>
      <c r="CO241" s="585"/>
      <c r="CP241" s="579"/>
      <c r="CQ241" s="513"/>
      <c r="CR241" s="577"/>
      <c r="CS241" s="579"/>
      <c r="CT241" s="579"/>
      <c r="CU241" s="579"/>
      <c r="CV241" s="579"/>
      <c r="CW241" s="579"/>
      <c r="CX241" s="579"/>
      <c r="CY241" s="339"/>
      <c r="CZ241" s="579"/>
      <c r="DA241" s="579"/>
      <c r="DB241" s="579"/>
      <c r="DC241" s="579"/>
      <c r="DD241" s="579"/>
      <c r="DE241" s="339"/>
      <c r="DF241" s="603"/>
      <c r="DG241" s="603"/>
      <c r="DH241" s="603"/>
      <c r="DI241" s="585"/>
      <c r="DJ241" s="579"/>
      <c r="DK241" s="513"/>
      <c r="DL241" s="513"/>
      <c r="DM241" s="579"/>
      <c r="DN241" s="579"/>
      <c r="DO241" s="579"/>
      <c r="DP241" s="579"/>
      <c r="DQ241" s="339"/>
      <c r="DR241" s="513"/>
      <c r="DS241" s="579"/>
      <c r="DT241" s="579"/>
      <c r="DU241" s="579"/>
      <c r="DV241" s="579"/>
      <c r="DW241" s="579"/>
      <c r="DX241" s="343"/>
      <c r="DY241" s="585"/>
      <c r="DZ241" s="579"/>
      <c r="EA241" s="513"/>
      <c r="EB241" s="577"/>
      <c r="EC241" s="584"/>
      <c r="ED241" s="584"/>
      <c r="EE241" s="579"/>
      <c r="EF241" s="579"/>
      <c r="EG241" s="579"/>
      <c r="EH241" s="579"/>
      <c r="EI241" s="339"/>
      <c r="EJ241" s="584"/>
      <c r="EK241" s="579"/>
      <c r="EL241" s="579"/>
      <c r="EM241" s="579"/>
      <c r="EN241" s="579"/>
      <c r="EO241" s="339"/>
      <c r="EP241" s="611"/>
      <c r="EQ241" s="611"/>
      <c r="ER241" s="611"/>
      <c r="ES241" s="587"/>
      <c r="ET241" s="575"/>
      <c r="EU241" s="583"/>
      <c r="EV241" s="583"/>
      <c r="EW241" s="575"/>
      <c r="EX241" s="575"/>
      <c r="EY241" s="575"/>
      <c r="EZ241" s="575"/>
      <c r="FA241" s="81"/>
      <c r="FB241" s="583"/>
      <c r="FC241" s="575"/>
      <c r="FD241" s="575"/>
      <c r="FE241" s="575"/>
      <c r="FF241" s="575"/>
      <c r="FG241" s="575">
        <f t="shared" ref="FG241" si="1493">FG87</f>
        <v>0</v>
      </c>
    </row>
    <row r="242" spans="1:163" ht="14.25" hidden="1" outlineLevel="2">
      <c r="A242" s="48"/>
      <c r="B242" s="87" t="s">
        <v>97</v>
      </c>
      <c r="C242" s="594">
        <f t="shared" si="1475"/>
        <v>2</v>
      </c>
      <c r="D242" s="272" t="str">
        <f t="shared" si="1475"/>
        <v>Parking Level-Sub grade</v>
      </c>
      <c r="E242" s="575">
        <f t="shared" ref="E242" si="1494">E88</f>
        <v>0</v>
      </c>
      <c r="F242" s="619"/>
      <c r="G242" s="619"/>
      <c r="H242" s="615"/>
      <c r="I242" s="615"/>
      <c r="J242" s="615"/>
      <c r="K242" s="615"/>
      <c r="L242" s="615"/>
      <c r="M242" s="620"/>
      <c r="N242" s="287"/>
      <c r="O242" s="615"/>
      <c r="P242" s="615"/>
      <c r="Q242" s="615"/>
      <c r="R242" s="615"/>
      <c r="S242" s="615"/>
      <c r="T242" s="575"/>
      <c r="U242" s="589"/>
      <c r="V242" s="591"/>
      <c r="W242" s="578"/>
      <c r="X242" s="578"/>
      <c r="Y242" s="339"/>
      <c r="Z242" s="579"/>
      <c r="AA242" s="579"/>
      <c r="AB242" s="579"/>
      <c r="AC242" s="579"/>
      <c r="AD242" s="580"/>
      <c r="AE242" s="287"/>
      <c r="AF242" s="579"/>
      <c r="AG242" s="579"/>
      <c r="AH242" s="579"/>
      <c r="AI242" s="579"/>
      <c r="AJ242" s="579"/>
      <c r="AK242" s="339"/>
      <c r="AL242" s="603"/>
      <c r="AM242" s="603"/>
      <c r="AN242" s="603"/>
      <c r="AO242" s="585"/>
      <c r="AP242" s="579"/>
      <c r="AQ242" s="513"/>
      <c r="AR242" s="513"/>
      <c r="AS242" s="513"/>
      <c r="AT242" s="513"/>
      <c r="AU242" s="513"/>
      <c r="AV242" s="513"/>
      <c r="AW242" s="328"/>
      <c r="AX242" s="513"/>
      <c r="AY242" s="513"/>
      <c r="AZ242" s="513"/>
      <c r="BA242" s="513"/>
      <c r="BB242" s="513"/>
      <c r="BC242" s="579"/>
      <c r="BD242" s="359"/>
      <c r="BE242" s="585"/>
      <c r="BF242" s="579"/>
      <c r="BG242" s="513"/>
      <c r="BH242" s="577"/>
      <c r="BI242" s="339"/>
      <c r="BJ242" s="579"/>
      <c r="BK242" s="339"/>
      <c r="BL242" s="579"/>
      <c r="BM242" s="579"/>
      <c r="BN242" s="579"/>
      <c r="BO242" s="339"/>
      <c r="BP242" s="579"/>
      <c r="BQ242" s="579"/>
      <c r="BR242" s="579"/>
      <c r="BS242" s="579"/>
      <c r="BT242" s="579"/>
      <c r="BU242" s="339"/>
      <c r="BV242" s="525"/>
      <c r="BW242" s="525"/>
      <c r="BX242" s="525"/>
      <c r="BY242" s="345"/>
      <c r="BZ242" s="540"/>
      <c r="CA242" s="532"/>
      <c r="CB242" s="539"/>
      <c r="CC242" s="532"/>
      <c r="CD242" s="532"/>
      <c r="CE242" s="532"/>
      <c r="CF242" s="532"/>
      <c r="CG242" s="532"/>
      <c r="CH242" s="539"/>
      <c r="CI242" s="532"/>
      <c r="CJ242" s="532"/>
      <c r="CK242" s="532"/>
      <c r="CL242" s="532"/>
      <c r="CM242" s="579"/>
      <c r="CN242" s="343"/>
      <c r="CO242" s="585"/>
      <c r="CP242" s="579"/>
      <c r="CQ242" s="513"/>
      <c r="CR242" s="577"/>
      <c r="CS242" s="579"/>
      <c r="CT242" s="579"/>
      <c r="CU242" s="579"/>
      <c r="CV242" s="579"/>
      <c r="CW242" s="579"/>
      <c r="CX242" s="579"/>
      <c r="CY242" s="339"/>
      <c r="CZ242" s="579"/>
      <c r="DA242" s="579"/>
      <c r="DB242" s="579"/>
      <c r="DC242" s="579"/>
      <c r="DD242" s="579"/>
      <c r="DE242" s="339"/>
      <c r="DF242" s="603"/>
      <c r="DG242" s="603"/>
      <c r="DH242" s="603"/>
      <c r="DI242" s="585"/>
      <c r="DJ242" s="579"/>
      <c r="DK242" s="513"/>
      <c r="DL242" s="513"/>
      <c r="DM242" s="579"/>
      <c r="DN242" s="579"/>
      <c r="DO242" s="579"/>
      <c r="DP242" s="579"/>
      <c r="DQ242" s="339"/>
      <c r="DR242" s="513"/>
      <c r="DS242" s="579"/>
      <c r="DT242" s="579"/>
      <c r="DU242" s="579"/>
      <c r="DV242" s="579"/>
      <c r="DW242" s="579"/>
      <c r="DX242" s="343"/>
      <c r="DY242" s="585"/>
      <c r="DZ242" s="579"/>
      <c r="EA242" s="513"/>
      <c r="EB242" s="577"/>
      <c r="EC242" s="583"/>
      <c r="ED242" s="583"/>
      <c r="EE242" s="579"/>
      <c r="EF242" s="579"/>
      <c r="EG242" s="579"/>
      <c r="EH242" s="579"/>
      <c r="EI242" s="339"/>
      <c r="EJ242" s="583"/>
      <c r="EK242" s="579"/>
      <c r="EL242" s="579"/>
      <c r="EM242" s="579"/>
      <c r="EN242" s="579"/>
      <c r="EO242" s="339"/>
      <c r="EP242" s="610"/>
      <c r="EQ242" s="610"/>
      <c r="ER242" s="610"/>
      <c r="ES242" s="587"/>
      <c r="ET242" s="575"/>
      <c r="EU242" s="583"/>
      <c r="EV242" s="583"/>
      <c r="EW242" s="575"/>
      <c r="EX242" s="575"/>
      <c r="EY242" s="575"/>
      <c r="EZ242" s="575"/>
      <c r="FA242" s="81"/>
      <c r="FB242" s="583"/>
      <c r="FC242" s="575"/>
      <c r="FD242" s="575"/>
      <c r="FE242" s="575"/>
      <c r="FF242" s="575"/>
      <c r="FG242" s="575">
        <f t="shared" ref="FG242" si="1495">FG88</f>
        <v>0</v>
      </c>
    </row>
    <row r="243" spans="1:163" ht="14.25" hidden="1" outlineLevel="2">
      <c r="A243" s="48"/>
      <c r="B243" s="87" t="s">
        <v>98</v>
      </c>
      <c r="C243" s="594">
        <f t="shared" si="1475"/>
        <v>3</v>
      </c>
      <c r="D243" s="272" t="str">
        <f t="shared" si="1475"/>
        <v>Building Envelope and Common Areas [Basement]</v>
      </c>
      <c r="E243" s="575">
        <f t="shared" ref="E243" si="1496">E89</f>
        <v>0</v>
      </c>
      <c r="F243" s="619"/>
      <c r="G243" s="619"/>
      <c r="H243" s="615"/>
      <c r="I243" s="615"/>
      <c r="J243" s="615"/>
      <c r="K243" s="615"/>
      <c r="L243" s="615"/>
      <c r="M243" s="620"/>
      <c r="N243" s="287"/>
      <c r="O243" s="615"/>
      <c r="P243" s="615"/>
      <c r="Q243" s="615"/>
      <c r="R243" s="615"/>
      <c r="S243" s="615"/>
      <c r="T243" s="575"/>
      <c r="U243" s="655"/>
      <c r="V243" s="591"/>
      <c r="W243" s="578"/>
      <c r="X243" s="578"/>
      <c r="Y243" s="339"/>
      <c r="Z243" s="579"/>
      <c r="AA243" s="339"/>
      <c r="AB243" s="579"/>
      <c r="AC243" s="579"/>
      <c r="AD243" s="580"/>
      <c r="AE243" s="287"/>
      <c r="AF243" s="579"/>
      <c r="AG243" s="579"/>
      <c r="AH243" s="579"/>
      <c r="AI243" s="579"/>
      <c r="AJ243" s="579"/>
      <c r="AK243" s="339"/>
      <c r="AL243" s="603"/>
      <c r="AM243" s="603"/>
      <c r="AN243" s="603"/>
      <c r="AO243" s="585"/>
      <c r="AP243" s="579"/>
      <c r="AQ243" s="513"/>
      <c r="AR243" s="513"/>
      <c r="AS243" s="513"/>
      <c r="AT243" s="513"/>
      <c r="AU243" s="513"/>
      <c r="AV243" s="513"/>
      <c r="AW243" s="328"/>
      <c r="AX243" s="513"/>
      <c r="AY243" s="513"/>
      <c r="AZ243" s="513"/>
      <c r="BA243" s="513"/>
      <c r="BB243" s="513"/>
      <c r="BC243" s="579"/>
      <c r="BD243" s="359"/>
      <c r="BE243" s="585"/>
      <c r="BF243" s="579"/>
      <c r="BG243" s="513"/>
      <c r="BH243" s="577"/>
      <c r="BI243" s="339"/>
      <c r="BJ243" s="579"/>
      <c r="BK243" s="579"/>
      <c r="BL243" s="579"/>
      <c r="BM243" s="579"/>
      <c r="BN243" s="579"/>
      <c r="BO243" s="339"/>
      <c r="BP243" s="579"/>
      <c r="BQ243" s="579"/>
      <c r="BR243" s="579"/>
      <c r="BS243" s="579"/>
      <c r="BT243" s="579"/>
      <c r="BU243" s="339"/>
      <c r="BV243" s="525"/>
      <c r="BW243" s="525"/>
      <c r="BX243" s="525"/>
      <c r="BY243" s="347"/>
      <c r="BZ243" s="540"/>
      <c r="CA243" s="532"/>
      <c r="CB243" s="539"/>
      <c r="CC243" s="532"/>
      <c r="CD243" s="532"/>
      <c r="CE243" s="532"/>
      <c r="CF243" s="532"/>
      <c r="CG243" s="532"/>
      <c r="CH243" s="539"/>
      <c r="CI243" s="532"/>
      <c r="CJ243" s="532"/>
      <c r="CK243" s="532"/>
      <c r="CL243" s="532"/>
      <c r="CM243" s="579"/>
      <c r="CN243" s="343"/>
      <c r="CO243" s="585"/>
      <c r="CP243" s="579"/>
      <c r="CQ243" s="513"/>
      <c r="CR243" s="577"/>
      <c r="CS243" s="579"/>
      <c r="CT243" s="579"/>
      <c r="CU243" s="579"/>
      <c r="CV243" s="579"/>
      <c r="CW243" s="579"/>
      <c r="CX243" s="579"/>
      <c r="CY243" s="339"/>
      <c r="CZ243" s="579"/>
      <c r="DA243" s="579"/>
      <c r="DB243" s="579"/>
      <c r="DC243" s="579"/>
      <c r="DD243" s="579"/>
      <c r="DE243" s="339"/>
      <c r="DF243" s="603"/>
      <c r="DG243" s="603"/>
      <c r="DH243" s="603"/>
      <c r="DI243" s="576"/>
      <c r="DJ243" s="579"/>
      <c r="DK243" s="513"/>
      <c r="DL243" s="513"/>
      <c r="DM243" s="579"/>
      <c r="DN243" s="579"/>
      <c r="DO243" s="579"/>
      <c r="DP243" s="579"/>
      <c r="DQ243" s="339"/>
      <c r="DR243" s="513"/>
      <c r="DS243" s="579"/>
      <c r="DT243" s="579"/>
      <c r="DU243" s="579"/>
      <c r="DV243" s="579"/>
      <c r="DW243" s="579"/>
      <c r="DX243" s="343"/>
      <c r="DY243" s="585"/>
      <c r="DZ243" s="579"/>
      <c r="EA243" s="513"/>
      <c r="EB243" s="577"/>
      <c r="EC243" s="575"/>
      <c r="ED243" s="575"/>
      <c r="EE243" s="579"/>
      <c r="EF243" s="579"/>
      <c r="EG243" s="579"/>
      <c r="EH243" s="579"/>
      <c r="EI243" s="339"/>
      <c r="EJ243" s="575"/>
      <c r="EK243" s="579"/>
      <c r="EL243" s="579"/>
      <c r="EM243" s="579"/>
      <c r="EN243" s="579"/>
      <c r="EO243" s="339"/>
      <c r="EP243" s="609"/>
      <c r="EQ243" s="609"/>
      <c r="ER243" s="609"/>
      <c r="ES243" s="588"/>
      <c r="ET243" s="575"/>
      <c r="EU243" s="583"/>
      <c r="EV243" s="583"/>
      <c r="EW243" s="575"/>
      <c r="EX243" s="575"/>
      <c r="EY243" s="575"/>
      <c r="EZ243" s="575"/>
      <c r="FA243" s="81"/>
      <c r="FB243" s="583"/>
      <c r="FC243" s="575"/>
      <c r="FD243" s="575"/>
      <c r="FE243" s="575"/>
      <c r="FF243" s="575"/>
      <c r="FG243" s="575">
        <f t="shared" ref="FG243" si="1497">FG89</f>
        <v>0</v>
      </c>
    </row>
    <row r="244" spans="1:163" ht="14.25" hidden="1" outlineLevel="2">
      <c r="A244" s="48"/>
      <c r="B244" s="87" t="s">
        <v>99</v>
      </c>
      <c r="C244" s="594">
        <f t="shared" ref="C244:D244" si="1498">C90</f>
        <v>4</v>
      </c>
      <c r="D244" s="272" t="str">
        <f t="shared" si="1498"/>
        <v>Habitable Level 01</v>
      </c>
      <c r="E244" s="575">
        <f t="shared" ref="E244" si="1499">E90</f>
        <v>0</v>
      </c>
      <c r="F244" s="619"/>
      <c r="G244" s="619"/>
      <c r="H244" s="615"/>
      <c r="I244" s="615"/>
      <c r="J244" s="615"/>
      <c r="K244" s="615"/>
      <c r="L244" s="615"/>
      <c r="M244" s="620"/>
      <c r="N244" s="287"/>
      <c r="O244" s="615"/>
      <c r="P244" s="615"/>
      <c r="Q244" s="615"/>
      <c r="R244" s="615"/>
      <c r="S244" s="615"/>
      <c r="T244" s="575"/>
      <c r="U244" s="589"/>
      <c r="V244" s="591"/>
      <c r="W244" s="338"/>
      <c r="X244" s="578"/>
      <c r="Y244" s="339"/>
      <c r="Z244" s="339"/>
      <c r="AA244" s="339"/>
      <c r="AB244" s="339"/>
      <c r="AC244" s="339"/>
      <c r="AD244" s="287"/>
      <c r="AE244" s="287"/>
      <c r="AF244" s="339"/>
      <c r="AG244" s="339"/>
      <c r="AH244" s="339"/>
      <c r="AI244" s="339"/>
      <c r="AJ244" s="339"/>
      <c r="AK244" s="339"/>
      <c r="AL244" s="340"/>
      <c r="AM244" s="340"/>
      <c r="AN244" s="340"/>
      <c r="AO244" s="345"/>
      <c r="AP244" s="359"/>
      <c r="AQ244" s="328"/>
      <c r="AR244" s="328"/>
      <c r="AS244" s="328"/>
      <c r="AT244" s="328"/>
      <c r="AU244" s="328"/>
      <c r="AV244" s="328"/>
      <c r="AW244" s="328"/>
      <c r="AX244" s="328"/>
      <c r="AY244" s="328"/>
      <c r="AZ244" s="328"/>
      <c r="BA244" s="328"/>
      <c r="BB244" s="328"/>
      <c r="BC244" s="359"/>
      <c r="BD244" s="359"/>
      <c r="BE244" s="342"/>
      <c r="BF244" s="343"/>
      <c r="BG244" s="344"/>
      <c r="BH244" s="577"/>
      <c r="BI244" s="339"/>
      <c r="BJ244" s="339"/>
      <c r="BK244" s="339"/>
      <c r="BL244" s="339"/>
      <c r="BM244" s="339"/>
      <c r="BN244" s="339"/>
      <c r="BO244" s="339"/>
      <c r="BP244" s="339"/>
      <c r="BQ244" s="339"/>
      <c r="BR244" s="339"/>
      <c r="BS244" s="339"/>
      <c r="BT244" s="339"/>
      <c r="BU244" s="339"/>
      <c r="BV244" s="525"/>
      <c r="BW244" s="525"/>
      <c r="BX244" s="525"/>
      <c r="BY244" s="341"/>
      <c r="BZ244" s="540"/>
      <c r="CA244" s="532"/>
      <c r="CB244" s="539"/>
      <c r="CC244" s="532"/>
      <c r="CD244" s="532"/>
      <c r="CE244" s="532"/>
      <c r="CF244" s="532"/>
      <c r="CG244" s="532"/>
      <c r="CH244" s="539"/>
      <c r="CI244" s="532"/>
      <c r="CJ244" s="532"/>
      <c r="CK244" s="532"/>
      <c r="CL244" s="532"/>
      <c r="CM244" s="343"/>
      <c r="CN244" s="343"/>
      <c r="CO244" s="342"/>
      <c r="CP244" s="343"/>
      <c r="CQ244" s="344"/>
      <c r="CR244" s="577"/>
      <c r="CS244" s="339"/>
      <c r="CT244" s="339"/>
      <c r="CU244" s="339"/>
      <c r="CV244" s="339"/>
      <c r="CW244" s="339"/>
      <c r="CX244" s="339"/>
      <c r="CY244" s="339"/>
      <c r="CZ244" s="339"/>
      <c r="DA244" s="339"/>
      <c r="DB244" s="339"/>
      <c r="DC244" s="339"/>
      <c r="DD244" s="339"/>
      <c r="DE244" s="339"/>
      <c r="DF244" s="603"/>
      <c r="DG244" s="603"/>
      <c r="DH244" s="603"/>
      <c r="DI244" s="341"/>
      <c r="DJ244" s="359"/>
      <c r="DK244" s="328"/>
      <c r="DL244" s="328"/>
      <c r="DM244" s="339"/>
      <c r="DN244" s="339"/>
      <c r="DO244" s="339"/>
      <c r="DP244" s="339"/>
      <c r="DQ244" s="339"/>
      <c r="DR244" s="328"/>
      <c r="DS244" s="339"/>
      <c r="DT244" s="339"/>
      <c r="DU244" s="339"/>
      <c r="DV244" s="339"/>
      <c r="DW244" s="343"/>
      <c r="DX244" s="343"/>
      <c r="DY244" s="342"/>
      <c r="DZ244" s="343"/>
      <c r="EA244" s="344"/>
      <c r="EB244" s="577"/>
      <c r="EC244" s="81"/>
      <c r="ED244" s="81"/>
      <c r="EE244" s="339"/>
      <c r="EF244" s="339"/>
      <c r="EG244" s="339"/>
      <c r="EH244" s="339"/>
      <c r="EI244" s="339"/>
      <c r="EJ244" s="81"/>
      <c r="EK244" s="339"/>
      <c r="EL244" s="339"/>
      <c r="EM244" s="339"/>
      <c r="EN244" s="339"/>
      <c r="EO244" s="339"/>
      <c r="EP244" s="103"/>
      <c r="EQ244" s="103"/>
      <c r="ER244" s="103"/>
      <c r="ES244" s="82"/>
      <c r="ET244" s="56"/>
      <c r="EU244" s="71"/>
      <c r="EV244" s="71"/>
      <c r="EW244" s="81"/>
      <c r="EX244" s="81"/>
      <c r="EY244" s="81"/>
      <c r="EZ244" s="81"/>
      <c r="FA244" s="81"/>
      <c r="FB244" s="71"/>
      <c r="FC244" s="81"/>
      <c r="FD244" s="81"/>
      <c r="FE244" s="81"/>
      <c r="FF244" s="81"/>
      <c r="FG244" s="48"/>
    </row>
    <row r="245" spans="1:163" ht="14.25" hidden="1" outlineLevel="2">
      <c r="A245" s="48"/>
      <c r="B245" s="87" t="s">
        <v>100</v>
      </c>
      <c r="C245" s="594">
        <f t="shared" ref="C245:D245" si="1500">C91</f>
        <v>5</v>
      </c>
      <c r="D245" s="273" t="str">
        <f t="shared" si="1500"/>
        <v>Habitable Level - Even</v>
      </c>
      <c r="E245" s="575">
        <f t="shared" ref="E245" si="1501">E91</f>
        <v>0</v>
      </c>
      <c r="F245" s="619"/>
      <c r="G245" s="619"/>
      <c r="H245" s="615"/>
      <c r="I245" s="615"/>
      <c r="J245" s="615"/>
      <c r="K245" s="615"/>
      <c r="L245" s="615"/>
      <c r="M245" s="620"/>
      <c r="N245" s="287"/>
      <c r="O245" s="615"/>
      <c r="P245" s="615"/>
      <c r="Q245" s="615"/>
      <c r="R245" s="615"/>
      <c r="S245" s="615"/>
      <c r="T245" s="575"/>
      <c r="U245" s="589"/>
      <c r="V245" s="591"/>
      <c r="W245" s="338"/>
      <c r="X245" s="578"/>
      <c r="Y245" s="339"/>
      <c r="Z245" s="339"/>
      <c r="AA245" s="339"/>
      <c r="AB245" s="339"/>
      <c r="AC245" s="339"/>
      <c r="AD245" s="287"/>
      <c r="AE245" s="287"/>
      <c r="AF245" s="339"/>
      <c r="AG245" s="339"/>
      <c r="AH245" s="339"/>
      <c r="AI245" s="339"/>
      <c r="AJ245" s="339"/>
      <c r="AK245" s="339"/>
      <c r="AL245" s="340"/>
      <c r="AM245" s="340"/>
      <c r="AN245" s="340"/>
      <c r="AO245" s="345"/>
      <c r="AP245" s="359"/>
      <c r="AQ245" s="328"/>
      <c r="AR245" s="328"/>
      <c r="AS245" s="328"/>
      <c r="AT245" s="328"/>
      <c r="AU245" s="328"/>
      <c r="AV245" s="328"/>
      <c r="AW245" s="328"/>
      <c r="AX245" s="328"/>
      <c r="AY245" s="328"/>
      <c r="AZ245" s="328"/>
      <c r="BA245" s="328"/>
      <c r="BB245" s="328"/>
      <c r="BC245" s="328"/>
      <c r="BD245" s="328"/>
      <c r="BE245" s="342"/>
      <c r="BF245" s="343"/>
      <c r="BG245" s="344"/>
      <c r="BH245" s="577"/>
      <c r="BI245" s="339"/>
      <c r="BJ245" s="339"/>
      <c r="BK245" s="339"/>
      <c r="BL245" s="339"/>
      <c r="BM245" s="339"/>
      <c r="BN245" s="339"/>
      <c r="BO245" s="339"/>
      <c r="BP245" s="339"/>
      <c r="BQ245" s="339"/>
      <c r="BR245" s="339"/>
      <c r="BS245" s="339"/>
      <c r="BT245" s="339"/>
      <c r="BU245" s="339"/>
      <c r="BV245" s="525"/>
      <c r="BW245" s="525"/>
      <c r="BX245" s="525"/>
      <c r="BY245" s="341"/>
      <c r="BZ245" s="540"/>
      <c r="CA245" s="532"/>
      <c r="CB245" s="539"/>
      <c r="CC245" s="532"/>
      <c r="CD245" s="532"/>
      <c r="CE245" s="532"/>
      <c r="CF245" s="532"/>
      <c r="CG245" s="532"/>
      <c r="CH245" s="539"/>
      <c r="CI245" s="532"/>
      <c r="CJ245" s="532"/>
      <c r="CK245" s="532"/>
      <c r="CL245" s="532"/>
      <c r="CM245" s="343"/>
      <c r="CN245" s="343"/>
      <c r="CO245" s="342"/>
      <c r="CP245" s="343"/>
      <c r="CQ245" s="344"/>
      <c r="CR245" s="577"/>
      <c r="CS245" s="339"/>
      <c r="CT245" s="339"/>
      <c r="CU245" s="339"/>
      <c r="CV245" s="339"/>
      <c r="CW245" s="339"/>
      <c r="CX245" s="339"/>
      <c r="CY245" s="339"/>
      <c r="CZ245" s="339"/>
      <c r="DA245" s="339"/>
      <c r="DB245" s="339"/>
      <c r="DC245" s="339"/>
      <c r="DD245" s="339"/>
      <c r="DE245" s="339"/>
      <c r="DF245" s="603"/>
      <c r="DG245" s="603"/>
      <c r="DH245" s="603"/>
      <c r="DI245" s="341"/>
      <c r="DJ245" s="359"/>
      <c r="DK245" s="328"/>
      <c r="DL245" s="328"/>
      <c r="DM245" s="339"/>
      <c r="DN245" s="339"/>
      <c r="DO245" s="339"/>
      <c r="DP245" s="339"/>
      <c r="DQ245" s="339"/>
      <c r="DR245" s="328"/>
      <c r="DS245" s="339"/>
      <c r="DT245" s="339"/>
      <c r="DU245" s="339"/>
      <c r="DV245" s="339"/>
      <c r="DW245" s="343"/>
      <c r="DX245" s="343"/>
      <c r="DY245" s="342"/>
      <c r="DZ245" s="343"/>
      <c r="EA245" s="344"/>
      <c r="EB245" s="577"/>
      <c r="EC245" s="91"/>
      <c r="ED245" s="91"/>
      <c r="EE245" s="339"/>
      <c r="EF245" s="339"/>
      <c r="EG245" s="339"/>
      <c r="EH245" s="339"/>
      <c r="EI245" s="339"/>
      <c r="EJ245" s="91"/>
      <c r="EK245" s="339"/>
      <c r="EL245" s="339"/>
      <c r="EM245" s="339"/>
      <c r="EN245" s="339"/>
      <c r="EO245" s="339"/>
      <c r="EP245" s="642"/>
      <c r="EQ245" s="642"/>
      <c r="ER245" s="642"/>
      <c r="ES245" s="82"/>
      <c r="ET245" s="56"/>
      <c r="EU245" s="71"/>
      <c r="EV245" s="71"/>
      <c r="EW245" s="81"/>
      <c r="EX245" s="81"/>
      <c r="EY245" s="81"/>
      <c r="EZ245" s="81"/>
      <c r="FA245" s="81"/>
      <c r="FB245" s="71"/>
      <c r="FC245" s="81"/>
      <c r="FD245" s="81"/>
      <c r="FE245" s="81"/>
      <c r="FF245" s="81"/>
      <c r="FG245" s="48"/>
    </row>
    <row r="246" spans="1:163" s="95" customFormat="1" ht="14.25" hidden="1" outlineLevel="2">
      <c r="A246" s="89"/>
      <c r="B246" s="87" t="s">
        <v>101</v>
      </c>
      <c r="C246" s="595">
        <f t="shared" ref="C246:D246" si="1502">C92</f>
        <v>6</v>
      </c>
      <c r="D246" s="273" t="str">
        <f t="shared" si="1502"/>
        <v>Habitable Level - Odd</v>
      </c>
      <c r="E246" s="584">
        <f t="shared" ref="E246" si="1503">E92</f>
        <v>0</v>
      </c>
      <c r="F246" s="619"/>
      <c r="G246" s="619"/>
      <c r="H246" s="615"/>
      <c r="I246" s="615"/>
      <c r="J246" s="615"/>
      <c r="K246" s="615"/>
      <c r="L246" s="615"/>
      <c r="M246" s="620"/>
      <c r="N246" s="287"/>
      <c r="O246" s="615"/>
      <c r="P246" s="615"/>
      <c r="Q246" s="615"/>
      <c r="R246" s="615"/>
      <c r="S246" s="615"/>
      <c r="T246" s="584"/>
      <c r="U246" s="592"/>
      <c r="V246" s="593"/>
      <c r="W246" s="362"/>
      <c r="X246" s="586"/>
      <c r="Y246" s="287"/>
      <c r="Z246" s="287"/>
      <c r="AA246" s="287"/>
      <c r="AB246" s="287"/>
      <c r="AC246" s="287"/>
      <c r="AD246" s="287"/>
      <c r="AE246" s="287"/>
      <c r="AF246" s="339"/>
      <c r="AG246" s="339"/>
      <c r="AH246" s="339"/>
      <c r="AI246" s="339"/>
      <c r="AJ246" s="339"/>
      <c r="AK246" s="339"/>
      <c r="AL246" s="363"/>
      <c r="AM246" s="363"/>
      <c r="AN246" s="340"/>
      <c r="AO246" s="373"/>
      <c r="AP246" s="365"/>
      <c r="AQ246" s="366"/>
      <c r="AR246" s="366"/>
      <c r="AS246" s="366"/>
      <c r="AT246" s="366"/>
      <c r="AU246" s="366"/>
      <c r="AV246" s="366"/>
      <c r="AW246" s="366"/>
      <c r="AX246" s="366"/>
      <c r="AY246" s="366"/>
      <c r="AZ246" s="366"/>
      <c r="BA246" s="366"/>
      <c r="BB246" s="366"/>
      <c r="BC246" s="366"/>
      <c r="BD246" s="366"/>
      <c r="BE246" s="367"/>
      <c r="BF246" s="368"/>
      <c r="BG246" s="369"/>
      <c r="BH246" s="581"/>
      <c r="BI246" s="287"/>
      <c r="BJ246" s="287"/>
      <c r="BK246" s="339"/>
      <c r="BL246" s="339"/>
      <c r="BM246" s="339"/>
      <c r="BN246" s="339"/>
      <c r="BO246" s="339"/>
      <c r="BP246" s="339"/>
      <c r="BQ246" s="339"/>
      <c r="BR246" s="339"/>
      <c r="BS246" s="339"/>
      <c r="BT246" s="339"/>
      <c r="BU246" s="339"/>
      <c r="BV246" s="525"/>
      <c r="BW246" s="525"/>
      <c r="BX246" s="525"/>
      <c r="BY246" s="364"/>
      <c r="BZ246" s="543"/>
      <c r="CA246" s="541"/>
      <c r="CB246" s="544"/>
      <c r="CC246" s="541"/>
      <c r="CD246" s="541"/>
      <c r="CE246" s="541"/>
      <c r="CF246" s="541"/>
      <c r="CG246" s="541"/>
      <c r="CH246" s="544"/>
      <c r="CI246" s="541"/>
      <c r="CJ246" s="541"/>
      <c r="CK246" s="541"/>
      <c r="CL246" s="541"/>
      <c r="CM246" s="368"/>
      <c r="CN246" s="368"/>
      <c r="CO246" s="367"/>
      <c r="CP246" s="368"/>
      <c r="CQ246" s="369"/>
      <c r="CR246" s="581"/>
      <c r="CS246" s="287"/>
      <c r="CT246" s="339"/>
      <c r="CU246" s="339"/>
      <c r="CV246" s="339"/>
      <c r="CW246" s="339"/>
      <c r="CX246" s="339"/>
      <c r="CY246" s="339"/>
      <c r="CZ246" s="339"/>
      <c r="DA246" s="339"/>
      <c r="DB246" s="339"/>
      <c r="DC246" s="339"/>
      <c r="DD246" s="339"/>
      <c r="DE246" s="339"/>
      <c r="DF246" s="603"/>
      <c r="DG246" s="603"/>
      <c r="DH246" s="603"/>
      <c r="DI246" s="364"/>
      <c r="DJ246" s="365"/>
      <c r="DK246" s="366"/>
      <c r="DL246" s="366"/>
      <c r="DM246" s="287"/>
      <c r="DN246" s="287"/>
      <c r="DO246" s="287"/>
      <c r="DP246" s="287"/>
      <c r="DQ246" s="287"/>
      <c r="DR246" s="366"/>
      <c r="DS246" s="287"/>
      <c r="DT246" s="287"/>
      <c r="DU246" s="287"/>
      <c r="DV246" s="287"/>
      <c r="DW246" s="368"/>
      <c r="DX246" s="368"/>
      <c r="DY246" s="367"/>
      <c r="DZ246" s="368"/>
      <c r="EA246" s="369"/>
      <c r="EB246" s="581"/>
      <c r="EC246" s="91"/>
      <c r="ED246" s="91"/>
      <c r="EE246" s="339"/>
      <c r="EF246" s="339"/>
      <c r="EG246" s="339"/>
      <c r="EH246" s="339"/>
      <c r="EI246" s="339"/>
      <c r="EJ246" s="91"/>
      <c r="EK246" s="339"/>
      <c r="EL246" s="339"/>
      <c r="EM246" s="339"/>
      <c r="EN246" s="339"/>
      <c r="EO246" s="339"/>
      <c r="EP246" s="642"/>
      <c r="EQ246" s="642"/>
      <c r="ER246" s="642"/>
      <c r="ES246" s="92"/>
      <c r="ET246" s="93"/>
      <c r="EU246" s="94"/>
      <c r="EV246" s="94"/>
      <c r="EW246" s="91"/>
      <c r="EX246" s="91"/>
      <c r="EY246" s="91"/>
      <c r="EZ246" s="91"/>
      <c r="FA246" s="91"/>
      <c r="FB246" s="94"/>
      <c r="FC246" s="91"/>
      <c r="FD246" s="91"/>
      <c r="FE246" s="91"/>
      <c r="FF246" s="91"/>
      <c r="FG246" s="89"/>
    </row>
    <row r="247" spans="1:163" ht="14.25" hidden="1" outlineLevel="2">
      <c r="A247" s="48"/>
      <c r="B247" s="87" t="s">
        <v>102</v>
      </c>
      <c r="C247" s="594">
        <f t="shared" ref="C247:D247" si="1504">C93</f>
        <v>7</v>
      </c>
      <c r="D247" s="272" t="str">
        <f t="shared" si="1504"/>
        <v>Building Envelope and Common Areas [Typical Tower Levels]</v>
      </c>
      <c r="E247" s="575">
        <f t="shared" ref="E247" si="1505">E93</f>
        <v>0</v>
      </c>
      <c r="F247" s="619"/>
      <c r="G247" s="619"/>
      <c r="H247" s="615"/>
      <c r="I247" s="615"/>
      <c r="J247" s="615"/>
      <c r="K247" s="615"/>
      <c r="L247" s="615"/>
      <c r="M247" s="620"/>
      <c r="N247" s="287"/>
      <c r="O247" s="615"/>
      <c r="P247" s="615"/>
      <c r="Q247" s="615"/>
      <c r="R247" s="615"/>
      <c r="S247" s="615"/>
      <c r="T247" s="575"/>
      <c r="U247" s="589"/>
      <c r="V247" s="591"/>
      <c r="W247" s="338"/>
      <c r="X247" s="578"/>
      <c r="Y247" s="339"/>
      <c r="Z247" s="339"/>
      <c r="AA247" s="339"/>
      <c r="AB247" s="339"/>
      <c r="AC247" s="339"/>
      <c r="AD247" s="287"/>
      <c r="AE247" s="287"/>
      <c r="AF247" s="339"/>
      <c r="AG247" s="339"/>
      <c r="AH247" s="339"/>
      <c r="AI247" s="339"/>
      <c r="AJ247" s="339"/>
      <c r="AK247" s="339"/>
      <c r="AL247" s="340"/>
      <c r="AM247" s="340"/>
      <c r="AN247" s="340"/>
      <c r="AO247" s="345"/>
      <c r="AP247" s="359"/>
      <c r="AQ247" s="328"/>
      <c r="AR247" s="328"/>
      <c r="AS247" s="328"/>
      <c r="AT247" s="328"/>
      <c r="AU247" s="328"/>
      <c r="AV247" s="328"/>
      <c r="AW247" s="328"/>
      <c r="AX247" s="328"/>
      <c r="AY247" s="328"/>
      <c r="AZ247" s="328"/>
      <c r="BA247" s="328"/>
      <c r="BB247" s="328"/>
      <c r="BC247" s="328"/>
      <c r="BD247" s="328"/>
      <c r="BE247" s="342"/>
      <c r="BF247" s="343"/>
      <c r="BG247" s="344"/>
      <c r="BH247" s="577"/>
      <c r="BI247" s="339"/>
      <c r="BJ247" s="339"/>
      <c r="BK247" s="339"/>
      <c r="BL247" s="339"/>
      <c r="BM247" s="339"/>
      <c r="BN247" s="339"/>
      <c r="BO247" s="339"/>
      <c r="BP247" s="339"/>
      <c r="BQ247" s="339"/>
      <c r="BR247" s="339"/>
      <c r="BS247" s="339"/>
      <c r="BT247" s="339"/>
      <c r="BU247" s="339"/>
      <c r="BV247" s="525"/>
      <c r="BW247" s="525"/>
      <c r="BX247" s="525"/>
      <c r="BY247" s="341"/>
      <c r="BZ247" s="540"/>
      <c r="CA247" s="532"/>
      <c r="CB247" s="539"/>
      <c r="CC247" s="532"/>
      <c r="CD247" s="532"/>
      <c r="CE247" s="532"/>
      <c r="CF247" s="532"/>
      <c r="CG247" s="532"/>
      <c r="CH247" s="539"/>
      <c r="CI247" s="532"/>
      <c r="CJ247" s="532"/>
      <c r="CK247" s="532"/>
      <c r="CL247" s="532"/>
      <c r="CM247" s="343"/>
      <c r="CN247" s="343"/>
      <c r="CO247" s="342"/>
      <c r="CP247" s="343"/>
      <c r="CQ247" s="344"/>
      <c r="CR247" s="577"/>
      <c r="CS247" s="339"/>
      <c r="CT247" s="339"/>
      <c r="CU247" s="339"/>
      <c r="CV247" s="339"/>
      <c r="CW247" s="339"/>
      <c r="CX247" s="339"/>
      <c r="CY247" s="339"/>
      <c r="CZ247" s="339"/>
      <c r="DA247" s="339"/>
      <c r="DB247" s="339"/>
      <c r="DC247" s="339"/>
      <c r="DD247" s="339"/>
      <c r="DE247" s="339"/>
      <c r="DF247" s="603"/>
      <c r="DG247" s="603"/>
      <c r="DH247" s="603"/>
      <c r="DI247" s="341"/>
      <c r="DJ247" s="359"/>
      <c r="DK247" s="328"/>
      <c r="DL247" s="328"/>
      <c r="DM247" s="339"/>
      <c r="DN247" s="339"/>
      <c r="DO247" s="339"/>
      <c r="DP247" s="339"/>
      <c r="DQ247" s="339"/>
      <c r="DR247" s="328"/>
      <c r="DS247" s="339"/>
      <c r="DT247" s="339"/>
      <c r="DU247" s="339"/>
      <c r="DV247" s="339"/>
      <c r="DW247" s="343"/>
      <c r="DX247" s="343"/>
      <c r="DY247" s="342"/>
      <c r="DZ247" s="343"/>
      <c r="EA247" s="344"/>
      <c r="EB247" s="577"/>
      <c r="EC247" s="81"/>
      <c r="ED247" s="81"/>
      <c r="EE247" s="339"/>
      <c r="EF247" s="339"/>
      <c r="EG247" s="339"/>
      <c r="EH247" s="339"/>
      <c r="EI247" s="339"/>
      <c r="EJ247" s="81"/>
      <c r="EK247" s="339"/>
      <c r="EL247" s="339"/>
      <c r="EM247" s="339"/>
      <c r="EN247" s="339"/>
      <c r="EO247" s="339"/>
      <c r="EP247" s="103"/>
      <c r="EQ247" s="103"/>
      <c r="ER247" s="103"/>
      <c r="ES247" s="82"/>
      <c r="ET247" s="56"/>
      <c r="EU247" s="71"/>
      <c r="EV247" s="71"/>
      <c r="EW247" s="81"/>
      <c r="EX247" s="81"/>
      <c r="EY247" s="81"/>
      <c r="EZ247" s="81"/>
      <c r="FA247" s="81"/>
      <c r="FB247" s="71"/>
      <c r="FC247" s="81"/>
      <c r="FD247" s="81"/>
      <c r="FE247" s="81"/>
      <c r="FF247" s="81"/>
      <c r="FG247" s="48"/>
    </row>
    <row r="248" spans="1:163" ht="14.25" hidden="1" outlineLevel="2">
      <c r="A248" s="48"/>
      <c r="B248" s="87" t="s">
        <v>103</v>
      </c>
      <c r="C248" s="594">
        <f t="shared" ref="C248:D248" si="1506">C94</f>
        <v>8</v>
      </c>
      <c r="D248" s="272" t="str">
        <f t="shared" si="1506"/>
        <v>Penthouse Levels</v>
      </c>
      <c r="E248" s="575">
        <f t="shared" ref="E248" si="1507">E94</f>
        <v>0</v>
      </c>
      <c r="F248" s="619"/>
      <c r="G248" s="619"/>
      <c r="H248" s="615"/>
      <c r="I248" s="615"/>
      <c r="J248" s="615"/>
      <c r="K248" s="615"/>
      <c r="L248" s="615"/>
      <c r="M248" s="620"/>
      <c r="N248" s="287"/>
      <c r="O248" s="615"/>
      <c r="P248" s="615"/>
      <c r="Q248" s="615"/>
      <c r="R248" s="615"/>
      <c r="S248" s="615"/>
      <c r="T248" s="575"/>
      <c r="U248" s="589"/>
      <c r="V248" s="591"/>
      <c r="W248" s="338"/>
      <c r="X248" s="578"/>
      <c r="Y248" s="339"/>
      <c r="Z248" s="339"/>
      <c r="AA248" s="339"/>
      <c r="AB248" s="339"/>
      <c r="AC248" s="339"/>
      <c r="AD248" s="287"/>
      <c r="AE248" s="287"/>
      <c r="AF248" s="339"/>
      <c r="AG248" s="339"/>
      <c r="AH248" s="339"/>
      <c r="AI248" s="339"/>
      <c r="AJ248" s="339"/>
      <c r="AK248" s="339"/>
      <c r="AL248" s="340"/>
      <c r="AM248" s="340"/>
      <c r="AN248" s="340"/>
      <c r="AO248" s="345"/>
      <c r="AP248" s="359"/>
      <c r="AQ248" s="328"/>
      <c r="AR248" s="328"/>
      <c r="AS248" s="328"/>
      <c r="AT248" s="328"/>
      <c r="AU248" s="328"/>
      <c r="AV248" s="328"/>
      <c r="AW248" s="328"/>
      <c r="AX248" s="328"/>
      <c r="AY248" s="328"/>
      <c r="AZ248" s="328"/>
      <c r="BA248" s="328"/>
      <c r="BB248" s="328"/>
      <c r="BC248" s="328"/>
      <c r="BD248" s="328"/>
      <c r="BE248" s="342"/>
      <c r="BF248" s="343"/>
      <c r="BG248" s="344"/>
      <c r="BH248" s="577"/>
      <c r="BI248" s="339"/>
      <c r="BJ248" s="339"/>
      <c r="BK248" s="339"/>
      <c r="BL248" s="339"/>
      <c r="BM248" s="339"/>
      <c r="BN248" s="339"/>
      <c r="BO248" s="339"/>
      <c r="BP248" s="339"/>
      <c r="BQ248" s="339"/>
      <c r="BR248" s="339"/>
      <c r="BS248" s="339"/>
      <c r="BT248" s="339"/>
      <c r="BU248" s="339"/>
      <c r="BV248" s="525"/>
      <c r="BW248" s="525"/>
      <c r="BX248" s="525"/>
      <c r="BY248" s="341"/>
      <c r="BZ248" s="540"/>
      <c r="CA248" s="532"/>
      <c r="CB248" s="539"/>
      <c r="CC248" s="532"/>
      <c r="CD248" s="532"/>
      <c r="CE248" s="532"/>
      <c r="CF248" s="532"/>
      <c r="CG248" s="532"/>
      <c r="CH248" s="539"/>
      <c r="CI248" s="532"/>
      <c r="CJ248" s="532"/>
      <c r="CK248" s="532"/>
      <c r="CL248" s="532"/>
      <c r="CM248" s="343"/>
      <c r="CN248" s="343"/>
      <c r="CO248" s="342"/>
      <c r="CP248" s="343"/>
      <c r="CQ248" s="344"/>
      <c r="CR248" s="577"/>
      <c r="CS248" s="339"/>
      <c r="CT248" s="339"/>
      <c r="CU248" s="339"/>
      <c r="CV248" s="339"/>
      <c r="CW248" s="339"/>
      <c r="CX248" s="339"/>
      <c r="CY248" s="339"/>
      <c r="CZ248" s="339"/>
      <c r="DA248" s="339"/>
      <c r="DB248" s="339"/>
      <c r="DC248" s="339"/>
      <c r="DD248" s="339"/>
      <c r="DE248" s="339"/>
      <c r="DF248" s="603"/>
      <c r="DG248" s="603"/>
      <c r="DH248" s="603"/>
      <c r="DI248" s="341"/>
      <c r="DJ248" s="359"/>
      <c r="DK248" s="328"/>
      <c r="DL248" s="328"/>
      <c r="DM248" s="339"/>
      <c r="DN248" s="339"/>
      <c r="DO248" s="339"/>
      <c r="DP248" s="339"/>
      <c r="DQ248" s="339"/>
      <c r="DR248" s="328"/>
      <c r="DS248" s="339"/>
      <c r="DT248" s="339"/>
      <c r="DU248" s="339"/>
      <c r="DV248" s="339"/>
      <c r="DW248" s="343"/>
      <c r="DX248" s="343"/>
      <c r="DY248" s="342"/>
      <c r="DZ248" s="343"/>
      <c r="EA248" s="344"/>
      <c r="EB248" s="577"/>
      <c r="EC248" s="85"/>
      <c r="ED248" s="85"/>
      <c r="EE248" s="339"/>
      <c r="EF248" s="339"/>
      <c r="EG248" s="339"/>
      <c r="EH248" s="339"/>
      <c r="EI248" s="339"/>
      <c r="EJ248" s="85"/>
      <c r="EK248" s="339"/>
      <c r="EL248" s="339"/>
      <c r="EM248" s="339"/>
      <c r="EN248" s="339"/>
      <c r="EO248" s="339"/>
      <c r="EP248" s="639"/>
      <c r="EQ248" s="639"/>
      <c r="ER248" s="639"/>
      <c r="ES248" s="82"/>
      <c r="ET248" s="56"/>
      <c r="EU248" s="71"/>
      <c r="EV248" s="71"/>
      <c r="EW248" s="81"/>
      <c r="EX248" s="81"/>
      <c r="EY248" s="81"/>
      <c r="EZ248" s="81"/>
      <c r="FA248" s="81"/>
      <c r="FB248" s="71"/>
      <c r="FC248" s="81"/>
      <c r="FD248" s="81"/>
      <c r="FE248" s="81"/>
      <c r="FF248" s="81"/>
      <c r="FG248" s="48"/>
    </row>
    <row r="249" spans="1:163" ht="14.25" hidden="1" outlineLevel="2">
      <c r="A249" s="48"/>
      <c r="B249" s="87" t="s">
        <v>104</v>
      </c>
      <c r="C249" s="594">
        <f t="shared" ref="C249:D249" si="1508">C95</f>
        <v>9</v>
      </c>
      <c r="D249" s="272" t="str">
        <f t="shared" si="1508"/>
        <v>Terrace Level</v>
      </c>
      <c r="E249" s="575">
        <f t="shared" ref="E249" si="1509">E95</f>
        <v>0</v>
      </c>
      <c r="F249" s="619"/>
      <c r="G249" s="619"/>
      <c r="H249" s="615"/>
      <c r="I249" s="615"/>
      <c r="J249" s="615"/>
      <c r="K249" s="615"/>
      <c r="L249" s="615"/>
      <c r="M249" s="620"/>
      <c r="N249" s="287"/>
      <c r="O249" s="615"/>
      <c r="P249" s="615"/>
      <c r="Q249" s="615"/>
      <c r="R249" s="615"/>
      <c r="S249" s="615"/>
      <c r="T249" s="575"/>
      <c r="U249" s="589"/>
      <c r="V249" s="591"/>
      <c r="W249" s="338"/>
      <c r="X249" s="578"/>
      <c r="Y249" s="339"/>
      <c r="Z249" s="339"/>
      <c r="AA249" s="339"/>
      <c r="AB249" s="339"/>
      <c r="AC249" s="339"/>
      <c r="AD249" s="287"/>
      <c r="AE249" s="287"/>
      <c r="AF249" s="339"/>
      <c r="AG249" s="339"/>
      <c r="AH249" s="339"/>
      <c r="AI249" s="339"/>
      <c r="AJ249" s="339"/>
      <c r="AK249" s="339"/>
      <c r="AL249" s="340"/>
      <c r="AM249" s="340"/>
      <c r="AN249" s="340"/>
      <c r="AO249" s="345"/>
      <c r="AP249" s="359"/>
      <c r="AQ249" s="328"/>
      <c r="AR249" s="328"/>
      <c r="AS249" s="328"/>
      <c r="AT249" s="328"/>
      <c r="AU249" s="328"/>
      <c r="AV249" s="328"/>
      <c r="AW249" s="328"/>
      <c r="AX249" s="328"/>
      <c r="AY249" s="328"/>
      <c r="AZ249" s="328"/>
      <c r="BA249" s="328"/>
      <c r="BB249" s="328"/>
      <c r="BC249" s="328"/>
      <c r="BD249" s="328"/>
      <c r="BE249" s="342"/>
      <c r="BF249" s="343"/>
      <c r="BG249" s="344"/>
      <c r="BH249" s="577"/>
      <c r="BI249" s="339"/>
      <c r="BJ249" s="339"/>
      <c r="BK249" s="339"/>
      <c r="BL249" s="339"/>
      <c r="BM249" s="339"/>
      <c r="BN249" s="339"/>
      <c r="BO249" s="339"/>
      <c r="BP249" s="339"/>
      <c r="BQ249" s="339"/>
      <c r="BR249" s="339"/>
      <c r="BS249" s="339"/>
      <c r="BT249" s="339"/>
      <c r="BU249" s="339"/>
      <c r="BV249" s="525"/>
      <c r="BW249" s="525"/>
      <c r="BX249" s="525"/>
      <c r="BY249" s="341"/>
      <c r="BZ249" s="540"/>
      <c r="CA249" s="532"/>
      <c r="CB249" s="539"/>
      <c r="CC249" s="532"/>
      <c r="CD249" s="532"/>
      <c r="CE249" s="532"/>
      <c r="CF249" s="532"/>
      <c r="CG249" s="532"/>
      <c r="CH249" s="539"/>
      <c r="CI249" s="532"/>
      <c r="CJ249" s="532"/>
      <c r="CK249" s="532"/>
      <c r="CL249" s="532"/>
      <c r="CM249" s="343"/>
      <c r="CN249" s="343"/>
      <c r="CO249" s="342"/>
      <c r="CP249" s="343"/>
      <c r="CQ249" s="344"/>
      <c r="CR249" s="577"/>
      <c r="CS249" s="339"/>
      <c r="CT249" s="339"/>
      <c r="CU249" s="339"/>
      <c r="CV249" s="339"/>
      <c r="CW249" s="339"/>
      <c r="CX249" s="339"/>
      <c r="CY249" s="339"/>
      <c r="CZ249" s="339"/>
      <c r="DA249" s="339"/>
      <c r="DB249" s="339"/>
      <c r="DC249" s="339"/>
      <c r="DD249" s="339"/>
      <c r="DE249" s="339"/>
      <c r="DF249" s="603"/>
      <c r="DG249" s="603"/>
      <c r="DH249" s="603"/>
      <c r="DI249" s="341"/>
      <c r="DJ249" s="359"/>
      <c r="DK249" s="328"/>
      <c r="DL249" s="328"/>
      <c r="DM249" s="339"/>
      <c r="DN249" s="339"/>
      <c r="DO249" s="339"/>
      <c r="DP249" s="339"/>
      <c r="DQ249" s="339"/>
      <c r="DR249" s="328"/>
      <c r="DS249" s="339"/>
      <c r="DT249" s="339"/>
      <c r="DU249" s="339"/>
      <c r="DV249" s="339"/>
      <c r="DW249" s="343"/>
      <c r="DX249" s="343"/>
      <c r="DY249" s="342"/>
      <c r="DZ249" s="343"/>
      <c r="EA249" s="344"/>
      <c r="EB249" s="577"/>
      <c r="EC249" s="81"/>
      <c r="ED249" s="81"/>
      <c r="EE249" s="339"/>
      <c r="EF249" s="339"/>
      <c r="EG249" s="339"/>
      <c r="EH249" s="339"/>
      <c r="EI249" s="339"/>
      <c r="EJ249" s="81"/>
      <c r="EK249" s="339"/>
      <c r="EL249" s="339"/>
      <c r="EM249" s="339"/>
      <c r="EN249" s="339"/>
      <c r="EO249" s="339"/>
      <c r="EP249" s="103"/>
      <c r="EQ249" s="103"/>
      <c r="ER249" s="103"/>
      <c r="ES249" s="82"/>
      <c r="ET249" s="56"/>
      <c r="EU249" s="71"/>
      <c r="EV249" s="71"/>
      <c r="EW249" s="81"/>
      <c r="EX249" s="81"/>
      <c r="EY249" s="81"/>
      <c r="EZ249" s="81"/>
      <c r="FA249" s="81"/>
      <c r="FB249" s="71"/>
      <c r="FC249" s="81"/>
      <c r="FD249" s="81"/>
      <c r="FE249" s="81"/>
      <c r="FF249" s="81"/>
      <c r="FG249" s="48"/>
    </row>
    <row r="250" spans="1:163" ht="14.25" hidden="1" outlineLevel="2">
      <c r="A250" s="48"/>
      <c r="B250" s="87" t="s">
        <v>105</v>
      </c>
      <c r="C250" s="594">
        <f t="shared" ref="C250:D250" si="1510">C96</f>
        <v>10</v>
      </c>
      <c r="D250" s="272" t="str">
        <f t="shared" si="1510"/>
        <v>Building Envelope and Common Areas [Penthouse Levels And Terrace Level]</v>
      </c>
      <c r="E250" s="575">
        <f t="shared" ref="E250" si="1511">E96</f>
        <v>0</v>
      </c>
      <c r="F250" s="619"/>
      <c r="G250" s="619"/>
      <c r="H250" s="615"/>
      <c r="I250" s="615"/>
      <c r="J250" s="615"/>
      <c r="K250" s="615"/>
      <c r="L250" s="615"/>
      <c r="M250" s="620"/>
      <c r="N250" s="287"/>
      <c r="O250" s="615"/>
      <c r="P250" s="615"/>
      <c r="Q250" s="615"/>
      <c r="R250" s="615"/>
      <c r="S250" s="615"/>
      <c r="T250" s="575"/>
      <c r="U250" s="589"/>
      <c r="V250" s="591"/>
      <c r="W250" s="338"/>
      <c r="X250" s="578"/>
      <c r="Y250" s="339"/>
      <c r="Z250" s="339"/>
      <c r="AA250" s="339"/>
      <c r="AB250" s="339"/>
      <c r="AC250" s="339"/>
      <c r="AD250" s="287"/>
      <c r="AE250" s="287"/>
      <c r="AF250" s="339"/>
      <c r="AG250" s="339"/>
      <c r="AH250" s="339"/>
      <c r="AI250" s="339"/>
      <c r="AJ250" s="339"/>
      <c r="AK250" s="339"/>
      <c r="AL250" s="340"/>
      <c r="AM250" s="340"/>
      <c r="AN250" s="340"/>
      <c r="AO250" s="345"/>
      <c r="AP250" s="359"/>
      <c r="AQ250" s="328"/>
      <c r="AR250" s="328"/>
      <c r="AS250" s="328"/>
      <c r="AT250" s="328"/>
      <c r="AU250" s="328"/>
      <c r="AV250" s="328"/>
      <c r="AW250" s="328"/>
      <c r="AX250" s="328"/>
      <c r="AY250" s="328"/>
      <c r="AZ250" s="328"/>
      <c r="BA250" s="328"/>
      <c r="BB250" s="328"/>
      <c r="BC250" s="328"/>
      <c r="BD250" s="328"/>
      <c r="BE250" s="342"/>
      <c r="BF250" s="343"/>
      <c r="BG250" s="344"/>
      <c r="BH250" s="577"/>
      <c r="BI250" s="339"/>
      <c r="BJ250" s="339"/>
      <c r="BK250" s="339"/>
      <c r="BL250" s="339"/>
      <c r="BM250" s="339"/>
      <c r="BN250" s="339"/>
      <c r="BO250" s="339"/>
      <c r="BP250" s="339"/>
      <c r="BQ250" s="339"/>
      <c r="BR250" s="339"/>
      <c r="BS250" s="339"/>
      <c r="BT250" s="339"/>
      <c r="BU250" s="339"/>
      <c r="BV250" s="525"/>
      <c r="BW250" s="525"/>
      <c r="BX250" s="525"/>
      <c r="BY250" s="341"/>
      <c r="BZ250" s="540"/>
      <c r="CA250" s="532"/>
      <c r="CB250" s="539"/>
      <c r="CC250" s="532"/>
      <c r="CD250" s="532"/>
      <c r="CE250" s="532"/>
      <c r="CF250" s="532"/>
      <c r="CG250" s="532"/>
      <c r="CH250" s="539"/>
      <c r="CI250" s="532"/>
      <c r="CJ250" s="532"/>
      <c r="CK250" s="532"/>
      <c r="CL250" s="532"/>
      <c r="CM250" s="343"/>
      <c r="CN250" s="343"/>
      <c r="CO250" s="342"/>
      <c r="CP250" s="343"/>
      <c r="CQ250" s="344"/>
      <c r="CR250" s="577"/>
      <c r="CS250" s="339"/>
      <c r="CT250" s="339"/>
      <c r="CU250" s="339"/>
      <c r="CV250" s="339"/>
      <c r="CW250" s="339"/>
      <c r="CX250" s="339"/>
      <c r="CY250" s="339"/>
      <c r="CZ250" s="339"/>
      <c r="DA250" s="339"/>
      <c r="DB250" s="339"/>
      <c r="DC250" s="339"/>
      <c r="DD250" s="339"/>
      <c r="DE250" s="339"/>
      <c r="DF250" s="603"/>
      <c r="DG250" s="603"/>
      <c r="DH250" s="603"/>
      <c r="DI250" s="341"/>
      <c r="DJ250" s="359"/>
      <c r="DK250" s="328"/>
      <c r="DL250" s="328"/>
      <c r="DM250" s="339"/>
      <c r="DN250" s="339"/>
      <c r="DO250" s="339"/>
      <c r="DP250" s="339"/>
      <c r="DQ250" s="339"/>
      <c r="DR250" s="328"/>
      <c r="DS250" s="339"/>
      <c r="DT250" s="339"/>
      <c r="DU250" s="339"/>
      <c r="DV250" s="339"/>
      <c r="DW250" s="343"/>
      <c r="DX250" s="343"/>
      <c r="DY250" s="342"/>
      <c r="DZ250" s="343"/>
      <c r="EA250" s="344"/>
      <c r="EB250" s="577"/>
      <c r="EC250" s="81"/>
      <c r="ED250" s="81"/>
      <c r="EE250" s="339"/>
      <c r="EF250" s="339"/>
      <c r="EG250" s="339"/>
      <c r="EH250" s="339"/>
      <c r="EI250" s="339"/>
      <c r="EJ250" s="81"/>
      <c r="EK250" s="339"/>
      <c r="EL250" s="339"/>
      <c r="EM250" s="339"/>
      <c r="EN250" s="339"/>
      <c r="EO250" s="339"/>
      <c r="EP250" s="103"/>
      <c r="EQ250" s="103"/>
      <c r="ER250" s="103"/>
      <c r="ES250" s="82"/>
      <c r="ET250" s="56"/>
      <c r="EU250" s="71"/>
      <c r="EV250" s="71"/>
      <c r="EW250" s="81"/>
      <c r="EX250" s="81"/>
      <c r="EY250" s="81"/>
      <c r="EZ250" s="81"/>
      <c r="FA250" s="81"/>
      <c r="FB250" s="71"/>
      <c r="FC250" s="81"/>
      <c r="FD250" s="81"/>
      <c r="FE250" s="81"/>
      <c r="FF250" s="81"/>
      <c r="FG250" s="48"/>
    </row>
    <row r="251" spans="1:163" ht="3" customHeight="1">
      <c r="A251" s="48"/>
      <c r="B251" s="49"/>
      <c r="C251" s="49"/>
      <c r="D251" s="50"/>
      <c r="E251" s="48"/>
      <c r="F251" s="338"/>
      <c r="G251" s="338"/>
      <c r="H251" s="346"/>
      <c r="I251" s="346"/>
      <c r="J251" s="346"/>
      <c r="K251" s="346"/>
      <c r="L251" s="346"/>
      <c r="M251" s="346"/>
      <c r="N251" s="346"/>
      <c r="O251" s="346"/>
      <c r="P251" s="346"/>
      <c r="Q251" s="346"/>
      <c r="R251" s="346"/>
      <c r="S251" s="346"/>
      <c r="T251" s="48"/>
      <c r="U251" s="326"/>
      <c r="V251" s="343"/>
      <c r="W251" s="338"/>
      <c r="X251" s="338"/>
      <c r="Y251" s="346"/>
      <c r="Z251" s="346"/>
      <c r="AA251" s="346"/>
      <c r="AB251" s="346"/>
      <c r="AC251" s="346"/>
      <c r="AD251" s="346"/>
      <c r="AE251" s="346"/>
      <c r="AF251" s="346"/>
      <c r="AG251" s="346"/>
      <c r="AH251" s="346"/>
      <c r="AI251" s="346"/>
      <c r="AJ251" s="346"/>
      <c r="AK251" s="346"/>
      <c r="AL251" s="346"/>
      <c r="AM251" s="346"/>
      <c r="AN251" s="346"/>
      <c r="AO251" s="345"/>
      <c r="AP251" s="359"/>
      <c r="AQ251" s="359"/>
      <c r="AR251" s="359"/>
      <c r="AS251" s="359"/>
      <c r="AT251" s="359"/>
      <c r="AU251" s="359"/>
      <c r="AV251" s="359"/>
      <c r="AW251" s="359"/>
      <c r="AX251" s="359"/>
      <c r="AY251" s="359"/>
      <c r="AZ251" s="359"/>
      <c r="BA251" s="359"/>
      <c r="BB251" s="359"/>
      <c r="BC251" s="359"/>
      <c r="BD251" s="359"/>
      <c r="BE251" s="342"/>
      <c r="BF251" s="343"/>
      <c r="BG251" s="344"/>
      <c r="BH251" s="344"/>
      <c r="BI251" s="346"/>
      <c r="BJ251" s="346"/>
      <c r="BK251" s="346"/>
      <c r="BL251" s="346"/>
      <c r="BM251" s="346"/>
      <c r="BN251" s="346"/>
      <c r="BO251" s="346"/>
      <c r="BP251" s="346"/>
      <c r="BQ251" s="346"/>
      <c r="BR251" s="346"/>
      <c r="BS251" s="346"/>
      <c r="BT251" s="346"/>
      <c r="BU251" s="346"/>
      <c r="BV251" s="525"/>
      <c r="BW251" s="525"/>
      <c r="BX251" s="525"/>
      <c r="BY251" s="345"/>
      <c r="BZ251" s="540"/>
      <c r="CA251" s="540"/>
      <c r="CB251" s="542"/>
      <c r="CC251" s="540"/>
      <c r="CD251" s="540"/>
      <c r="CE251" s="540"/>
      <c r="CF251" s="540"/>
      <c r="CG251" s="540"/>
      <c r="CH251" s="542"/>
      <c r="CI251" s="540"/>
      <c r="CJ251" s="540"/>
      <c r="CK251" s="540"/>
      <c r="CL251" s="540"/>
      <c r="CM251" s="343"/>
      <c r="CN251" s="343"/>
      <c r="CO251" s="342"/>
      <c r="CP251" s="343"/>
      <c r="CQ251" s="344"/>
      <c r="CR251" s="344"/>
      <c r="CS251" s="346"/>
      <c r="CT251" s="346"/>
      <c r="CU251" s="346"/>
      <c r="CV251" s="346"/>
      <c r="CW251" s="346"/>
      <c r="CX251" s="346"/>
      <c r="CY251" s="346"/>
      <c r="CZ251" s="346"/>
      <c r="DA251" s="346"/>
      <c r="DB251" s="346"/>
      <c r="DC251" s="346"/>
      <c r="DD251" s="346"/>
      <c r="DE251" s="346"/>
      <c r="DF251" s="346"/>
      <c r="DG251" s="346"/>
      <c r="DH251" s="346"/>
      <c r="DI251" s="345"/>
      <c r="DJ251" s="359"/>
      <c r="DK251" s="359"/>
      <c r="DL251" s="359"/>
      <c r="DM251" s="346"/>
      <c r="DN251" s="346"/>
      <c r="DO251" s="346"/>
      <c r="DP251" s="346"/>
      <c r="DQ251" s="346"/>
      <c r="DR251" s="359"/>
      <c r="DS251" s="346"/>
      <c r="DT251" s="346"/>
      <c r="DU251" s="346"/>
      <c r="DV251" s="346"/>
      <c r="DW251" s="343"/>
      <c r="DX251" s="343"/>
      <c r="DY251" s="326"/>
      <c r="DZ251" s="343"/>
      <c r="EA251" s="344"/>
      <c r="EB251" s="344"/>
      <c r="EC251" s="54"/>
      <c r="ED251" s="54"/>
      <c r="EE251" s="54"/>
      <c r="EF251" s="54"/>
      <c r="EG251" s="54"/>
      <c r="EH251" s="54"/>
      <c r="EI251" s="54"/>
      <c r="EJ251" s="54"/>
      <c r="EK251" s="54"/>
      <c r="EL251" s="54"/>
      <c r="EM251" s="54"/>
      <c r="EN251" s="54"/>
      <c r="EO251" s="54"/>
      <c r="EP251" s="54"/>
      <c r="EQ251" s="54"/>
      <c r="ER251" s="54"/>
      <c r="ES251" s="55"/>
      <c r="ET251" s="56"/>
      <c r="EU251" s="56"/>
      <c r="EV251" s="56"/>
      <c r="EW251" s="54"/>
      <c r="EX251" s="54"/>
      <c r="EY251" s="54"/>
      <c r="EZ251" s="54"/>
      <c r="FA251" s="54"/>
      <c r="FB251" s="56"/>
      <c r="FC251" s="54"/>
      <c r="FD251" s="54"/>
      <c r="FE251" s="54"/>
      <c r="FF251" s="54"/>
      <c r="FG251" s="48"/>
    </row>
    <row r="252" spans="1:163" s="109" customFormat="1" ht="3" customHeight="1">
      <c r="A252" s="103"/>
      <c r="B252" s="65"/>
      <c r="C252" s="65"/>
      <c r="D252" s="104"/>
      <c r="E252" s="105"/>
      <c r="F252" s="107"/>
      <c r="G252" s="107"/>
      <c r="H252" s="106"/>
      <c r="I252" s="106"/>
      <c r="J252" s="106"/>
      <c r="K252" s="106"/>
      <c r="L252" s="106"/>
      <c r="M252" s="106"/>
      <c r="N252" s="106"/>
      <c r="O252" s="106"/>
      <c r="P252" s="106"/>
      <c r="Q252" s="106"/>
      <c r="R252" s="106"/>
      <c r="S252" s="106"/>
      <c r="T252" s="105"/>
      <c r="U252" s="106"/>
      <c r="V252" s="106"/>
      <c r="W252" s="107"/>
      <c r="X252" s="107"/>
      <c r="Y252" s="106"/>
      <c r="Z252" s="106"/>
      <c r="AA252" s="106"/>
      <c r="AB252" s="106"/>
      <c r="AC252" s="106"/>
      <c r="AD252" s="106"/>
      <c r="AE252" s="106"/>
      <c r="AF252" s="106"/>
      <c r="AG252" s="106"/>
      <c r="AH252" s="106"/>
      <c r="AI252" s="106"/>
      <c r="AJ252" s="106"/>
      <c r="AK252" s="106"/>
      <c r="AL252" s="106"/>
      <c r="AM252" s="106"/>
      <c r="AN252" s="106"/>
      <c r="AO252" s="106"/>
      <c r="AP252" s="106"/>
      <c r="AQ252" s="106"/>
      <c r="AR252" s="106"/>
      <c r="AS252" s="106"/>
      <c r="AT252" s="106"/>
      <c r="AU252" s="106"/>
      <c r="AV252" s="106"/>
      <c r="AW252" s="106"/>
      <c r="AX252" s="106"/>
      <c r="AY252" s="106"/>
      <c r="AZ252" s="106"/>
      <c r="BA252" s="106"/>
      <c r="BB252" s="106"/>
      <c r="BC252" s="106"/>
      <c r="BD252" s="106"/>
      <c r="BE252" s="106"/>
      <c r="BF252" s="106"/>
      <c r="BG252" s="108"/>
      <c r="BH252" s="108"/>
      <c r="BI252" s="106"/>
      <c r="BJ252" s="106"/>
      <c r="BK252" s="106"/>
      <c r="BL252" s="106"/>
      <c r="BM252" s="106"/>
      <c r="BN252" s="106"/>
      <c r="BO252" s="106"/>
      <c r="BP252" s="106"/>
      <c r="BQ252" s="106"/>
      <c r="BR252" s="106"/>
      <c r="BS252" s="106"/>
      <c r="BT252" s="106"/>
      <c r="BU252" s="106"/>
      <c r="BV252" s="527"/>
      <c r="BW252" s="527"/>
      <c r="BX252" s="527"/>
      <c r="BY252" s="106"/>
      <c r="BZ252" s="549"/>
      <c r="CA252" s="549"/>
      <c r="CB252" s="549"/>
      <c r="CC252" s="549"/>
      <c r="CD252" s="549"/>
      <c r="CE252" s="549"/>
      <c r="CF252" s="549"/>
      <c r="CG252" s="549"/>
      <c r="CH252" s="549"/>
      <c r="CI252" s="549"/>
      <c r="CJ252" s="549"/>
      <c r="CK252" s="549"/>
      <c r="CL252" s="549"/>
      <c r="CM252" s="106"/>
      <c r="CN252" s="106"/>
      <c r="CO252" s="106"/>
      <c r="CP252" s="106"/>
      <c r="CQ252" s="108"/>
      <c r="CR252" s="108"/>
      <c r="CS252" s="106"/>
      <c r="CT252" s="106"/>
      <c r="CU252" s="106"/>
      <c r="CV252" s="106"/>
      <c r="CW252" s="106"/>
      <c r="CX252" s="106"/>
      <c r="CY252" s="106"/>
      <c r="CZ252" s="106"/>
      <c r="DA252" s="106"/>
      <c r="DB252" s="106"/>
      <c r="DC252" s="106"/>
      <c r="DD252" s="106"/>
      <c r="DE252" s="106"/>
      <c r="DF252" s="106"/>
      <c r="DG252" s="106"/>
      <c r="DH252" s="106"/>
      <c r="DI252" s="106"/>
      <c r="DJ252" s="106"/>
      <c r="DK252" s="106"/>
      <c r="DL252" s="106"/>
      <c r="DM252" s="106"/>
      <c r="DN252" s="106"/>
      <c r="DO252" s="106"/>
      <c r="DP252" s="106"/>
      <c r="DQ252" s="106"/>
      <c r="DR252" s="106"/>
      <c r="DS252" s="106"/>
      <c r="DT252" s="106"/>
      <c r="DU252" s="106"/>
      <c r="DV252" s="106"/>
      <c r="DW252" s="106"/>
      <c r="DX252" s="106"/>
      <c r="DY252" s="106"/>
      <c r="DZ252" s="106"/>
      <c r="EA252" s="108"/>
      <c r="EB252" s="108"/>
      <c r="EC252" s="106"/>
      <c r="ED252" s="106"/>
      <c r="EE252" s="106"/>
      <c r="EF252" s="106"/>
      <c r="EG252" s="106"/>
      <c r="EH252" s="106"/>
      <c r="EI252" s="106"/>
      <c r="EJ252" s="106"/>
      <c r="EK252" s="106"/>
      <c r="EL252" s="106"/>
      <c r="EM252" s="106"/>
      <c r="EN252" s="106"/>
      <c r="EO252" s="106"/>
      <c r="EP252" s="106"/>
      <c r="EQ252" s="106"/>
      <c r="ER252" s="106"/>
      <c r="ES252" s="106"/>
      <c r="ET252" s="106"/>
      <c r="EU252" s="106"/>
      <c r="EV252" s="106"/>
      <c r="EW252" s="106"/>
      <c r="EX252" s="106"/>
      <c r="EY252" s="106"/>
      <c r="EZ252" s="106"/>
      <c r="FA252" s="106"/>
      <c r="FB252" s="106"/>
      <c r="FC252" s="106"/>
      <c r="FD252" s="106"/>
      <c r="FE252" s="106"/>
      <c r="FF252" s="106"/>
      <c r="FG252" s="106"/>
    </row>
    <row r="253" spans="1:163" ht="3" customHeight="1">
      <c r="A253" s="48"/>
      <c r="B253" s="49"/>
      <c r="C253" s="49"/>
      <c r="D253" s="50"/>
      <c r="E253" s="48"/>
      <c r="F253" s="53"/>
      <c r="G253" s="53"/>
      <c r="H253" s="54"/>
      <c r="I253" s="54"/>
      <c r="J253" s="54"/>
      <c r="K253" s="54"/>
      <c r="L253" s="54"/>
      <c r="M253" s="54"/>
      <c r="N253" s="54"/>
      <c r="O253" s="54"/>
      <c r="P253" s="54"/>
      <c r="Q253" s="54"/>
      <c r="R253" s="54"/>
      <c r="S253" s="54"/>
      <c r="T253" s="48"/>
      <c r="U253" s="51"/>
      <c r="V253" s="52"/>
      <c r="W253" s="53"/>
      <c r="X253" s="53"/>
      <c r="Y253" s="54"/>
      <c r="Z253" s="54"/>
      <c r="AA253" s="54"/>
      <c r="AB253" s="54"/>
      <c r="AC253" s="54"/>
      <c r="AD253" s="54"/>
      <c r="AE253" s="54"/>
      <c r="AF253" s="54"/>
      <c r="AG253" s="54"/>
      <c r="AH253" s="54"/>
      <c r="AI253" s="54"/>
      <c r="AJ253" s="54"/>
      <c r="AK253" s="54"/>
      <c r="AL253" s="54"/>
      <c r="AM253" s="54"/>
      <c r="AN253" s="54"/>
      <c r="AO253" s="55"/>
      <c r="AP253" s="56"/>
      <c r="AQ253" s="56"/>
      <c r="AR253" s="56"/>
      <c r="AS253" s="56"/>
      <c r="AT253" s="56"/>
      <c r="AU253" s="56"/>
      <c r="AV253" s="56"/>
      <c r="AW253" s="56"/>
      <c r="AX253" s="56"/>
      <c r="AY253" s="56"/>
      <c r="AZ253" s="56"/>
      <c r="BA253" s="56"/>
      <c r="BB253" s="56"/>
      <c r="BC253" s="56"/>
      <c r="BD253" s="56"/>
      <c r="BE253" s="57"/>
      <c r="BF253" s="52"/>
      <c r="BG253" s="58"/>
      <c r="BH253" s="58"/>
      <c r="BI253" s="54"/>
      <c r="BJ253" s="54"/>
      <c r="BK253" s="54"/>
      <c r="BL253" s="54"/>
      <c r="BM253" s="54"/>
      <c r="BN253" s="54"/>
      <c r="BO253" s="54"/>
      <c r="BP253" s="54"/>
      <c r="BQ253" s="54"/>
      <c r="BR253" s="54"/>
      <c r="BS253" s="54"/>
      <c r="BT253" s="54"/>
      <c r="BU253" s="54"/>
      <c r="BV253" s="528"/>
      <c r="BW253" s="528"/>
      <c r="BX253" s="528"/>
      <c r="BY253" s="55"/>
      <c r="BZ253" s="550"/>
      <c r="CA253" s="550"/>
      <c r="CB253" s="551"/>
      <c r="CC253" s="550"/>
      <c r="CD253" s="550"/>
      <c r="CE253" s="550"/>
      <c r="CF253" s="550"/>
      <c r="CG253" s="550"/>
      <c r="CH253" s="551"/>
      <c r="CI253" s="550"/>
      <c r="CJ253" s="550"/>
      <c r="CK253" s="550"/>
      <c r="CL253" s="550"/>
      <c r="CM253" s="52"/>
      <c r="CN253" s="52"/>
      <c r="CO253" s="57"/>
      <c r="CP253" s="52"/>
      <c r="CQ253" s="58"/>
      <c r="CR253" s="58"/>
      <c r="CS253" s="54"/>
      <c r="CT253" s="54"/>
      <c r="CU253" s="54"/>
      <c r="CV253" s="54"/>
      <c r="CW253" s="54"/>
      <c r="CX253" s="54"/>
      <c r="CY253" s="54"/>
      <c r="CZ253" s="54"/>
      <c r="DA253" s="54"/>
      <c r="DB253" s="54"/>
      <c r="DC253" s="54"/>
      <c r="DD253" s="54"/>
      <c r="DE253" s="54"/>
      <c r="DF253" s="54"/>
      <c r="DG253" s="54"/>
      <c r="DH253" s="54"/>
      <c r="DI253" s="55"/>
      <c r="DJ253" s="56"/>
      <c r="DK253" s="56"/>
      <c r="DL253" s="56"/>
      <c r="DM253" s="54"/>
      <c r="DN253" s="54"/>
      <c r="DO253" s="54"/>
      <c r="DP253" s="54"/>
      <c r="DQ253" s="54"/>
      <c r="DR253" s="56"/>
      <c r="DS253" s="54"/>
      <c r="DT253" s="54"/>
      <c r="DU253" s="54"/>
      <c r="DV253" s="54"/>
      <c r="DW253" s="52"/>
      <c r="DX253" s="52"/>
      <c r="DY253" s="51"/>
      <c r="DZ253" s="52"/>
      <c r="EA253" s="58"/>
      <c r="EB253" s="58"/>
      <c r="EC253" s="54"/>
      <c r="ED253" s="54"/>
      <c r="EE253" s="54"/>
      <c r="EF253" s="54"/>
      <c r="EG253" s="54"/>
      <c r="EH253" s="54"/>
      <c r="EI253" s="54"/>
      <c r="EJ253" s="54"/>
      <c r="EK253" s="54"/>
      <c r="EL253" s="54"/>
      <c r="EM253" s="54"/>
      <c r="EN253" s="54"/>
      <c r="EO253" s="54"/>
      <c r="EP253" s="54"/>
      <c r="EQ253" s="54"/>
      <c r="ER253" s="54"/>
      <c r="ES253" s="55"/>
      <c r="ET253" s="56"/>
      <c r="EU253" s="56"/>
      <c r="EV253" s="56"/>
      <c r="EW253" s="54"/>
      <c r="EX253" s="54"/>
      <c r="EY253" s="54"/>
      <c r="EZ253" s="54"/>
      <c r="FA253" s="54"/>
      <c r="FB253" s="56"/>
      <c r="FC253" s="54"/>
      <c r="FD253" s="54"/>
      <c r="FE253" s="54"/>
      <c r="FF253" s="54"/>
      <c r="FG253" s="48"/>
    </row>
    <row r="256" spans="1:163" ht="11.85" customHeight="1">
      <c r="D256" s="86" t="str">
        <f>LEFT(B204,4)&amp;D204</f>
        <v>VC3-Foundations and Sub-Grade</v>
      </c>
    </row>
    <row r="257" spans="4:82" ht="11.85" customHeight="1">
      <c r="D257" s="86" t="str">
        <f t="shared" ref="D257:D258" si="1512">LEFT(B205,4)&amp;D205</f>
        <v>VC3-All Levels</v>
      </c>
    </row>
    <row r="258" spans="4:82" ht="11.85" customHeight="1">
      <c r="D258" s="86" t="str">
        <f t="shared" si="1512"/>
        <v>VC3-Building Envelope and Common Areas</v>
      </c>
    </row>
    <row r="270" spans="4:82" ht="11.85" customHeight="1">
      <c r="CB270" s="514">
        <f>13.5/57</f>
        <v>0.23684210526315788</v>
      </c>
      <c r="CC270" s="514">
        <f>4.8/57</f>
        <v>8.4210526315789472E-2</v>
      </c>
      <c r="CD270" s="514">
        <f>1.33/57</f>
        <v>2.3333333333333334E-2</v>
      </c>
    </row>
  </sheetData>
  <sheetProtection selectLockedCells="1" selectUnlockedCells="1"/>
  <autoFilter ref="B2:FF231" xr:uid="{00000000-0001-0000-0000-000000000000}">
    <filterColumn colId="1" showButton="0"/>
    <filterColumn colId="142">
      <filters>
        <filter val="0.00"/>
        <filter val="0.01"/>
        <filter val="0.05"/>
        <filter val="0.06"/>
        <filter val="6.00"/>
      </filters>
    </filterColumn>
  </autoFilter>
  <mergeCells count="15">
    <mergeCell ref="DY2:DY5"/>
    <mergeCell ref="C5:D5"/>
    <mergeCell ref="C4:D4"/>
    <mergeCell ref="EP4:ER4"/>
    <mergeCell ref="AL4:AN4"/>
    <mergeCell ref="BV4:BX4"/>
    <mergeCell ref="DF4:DH4"/>
    <mergeCell ref="C238:D238"/>
    <mergeCell ref="C2:D3"/>
    <mergeCell ref="U2:U5"/>
    <mergeCell ref="BE2:BE5"/>
    <mergeCell ref="CO2:CO5"/>
    <mergeCell ref="C49:D49"/>
    <mergeCell ref="C233:D233"/>
    <mergeCell ref="C9:D9"/>
  </mergeCells>
  <phoneticPr fontId="37" type="noConversion"/>
  <conditionalFormatting sqref="CP3:CR4 DI3:DI4 ES3:ES4 FG2:FG4 CB5:CL5 CP5:CQ5 DL5:DV5 EV5:FG5 AR5:BC5 BC2:BD2 CP2:DE2 DZ2:EO4 BF2:BU4 V2:AK5 BF5:BG5 BI5:BU5 BH5:BH215 CS5:DE5 CR5:CR215 DZ5:EA5 EC5:EO5 EB5:EB215 BC3:BC4 BD3:BD5 CM2:CN5 DW2:DX5 V216:CN218 V210:BG215 CP216:DX218 BI210:CN215 CP210:CQ215 CO210:CO218 CS210:DX215 DZ210:EA215 DY210:DY218 X6:FG8 FH2:FI5 DZ216:XFD218 EC6:FI215 E2 I2:T2 T209:BG209 T210:U218 E209:S218 FJ2:XFD3 FJ5:XFD215 A1:XFD1 A2:C2 V4:BD4 BF4:CN4 CP4:DX4 DZ4:XFD4 A3:B5 E3:T5 A6:D252 E6:BG208 BI6:CQ209 CS6:EA209 E219:XFD252">
    <cfRule type="expression" dxfId="185" priority="68">
      <formula>OR(CELL("col")=COLUMN(),CELL("rom")=ROW())</formula>
    </cfRule>
  </conditionalFormatting>
  <conditionalFormatting sqref="AL2:AQ5">
    <cfRule type="expression" dxfId="184" priority="51">
      <formula>OR(CELL("col")=COLUMN(),CELL("rom")=ROW())</formula>
    </cfRule>
  </conditionalFormatting>
  <conditionalFormatting sqref="AR2:BB4">
    <cfRule type="expression" dxfId="183" priority="50">
      <formula>OR(CELL("col")=COLUMN(),CELL("rom")=ROW())</formula>
    </cfRule>
  </conditionalFormatting>
  <conditionalFormatting sqref="BV3:BV4">
    <cfRule type="expression" dxfId="182" priority="44">
      <formula>OR(CELL("col")=COLUMN(),CELL("rom")=ROW())</formula>
    </cfRule>
  </conditionalFormatting>
  <conditionalFormatting sqref="BW3:CB4">
    <cfRule type="expression" dxfId="181" priority="43">
      <formula>OR(CELL("col")=COLUMN(),CELL("rom")=ROW())</formula>
    </cfRule>
  </conditionalFormatting>
  <conditionalFormatting sqref="CC3:CG4 CI3:CL4">
    <cfRule type="expression" dxfId="180" priority="42">
      <formula>OR(CELL("col")=COLUMN(),CELL("rom")=ROW())</formula>
    </cfRule>
  </conditionalFormatting>
  <conditionalFormatting sqref="CS3:CS4 CU3:CY4 DA3:DE4">
    <cfRule type="expression" dxfId="179" priority="40">
      <formula>OR(CELL("col")=COLUMN(),CELL("rom")=ROW())</formula>
    </cfRule>
  </conditionalFormatting>
  <conditionalFormatting sqref="DF3:DH4">
    <cfRule type="expression" dxfId="178" priority="39">
      <formula>OR(CELL("col")=COLUMN(),CELL("rom")=ROW())</formula>
    </cfRule>
  </conditionalFormatting>
  <conditionalFormatting sqref="DJ3:DL4">
    <cfRule type="expression" dxfId="177" priority="38">
      <formula>OR(CELL("col")=COLUMN(),CELL("rom")=ROW())</formula>
    </cfRule>
  </conditionalFormatting>
  <conditionalFormatting sqref="DM3:DQ4 DS3:DV4">
    <cfRule type="expression" dxfId="176" priority="37">
      <formula>OR(CELL("col")=COLUMN(),CELL("rom")=ROW())</formula>
    </cfRule>
  </conditionalFormatting>
  <conditionalFormatting sqref="EP3:ER4">
    <cfRule type="expression" dxfId="175" priority="35">
      <formula>OR(CELL("col")=COLUMN(),CELL("rom")=ROW())</formula>
    </cfRule>
  </conditionalFormatting>
  <conditionalFormatting sqref="ET3:EV4">
    <cfRule type="expression" dxfId="174" priority="34">
      <formula>OR(CELL("col")=COLUMN(),CELL("rom")=ROW())</formula>
    </cfRule>
  </conditionalFormatting>
  <conditionalFormatting sqref="EW3:FA4 FC3:FF4">
    <cfRule type="expression" dxfId="173" priority="33">
      <formula>OR(CELL("col")=COLUMN(),CELL("rom")=ROW())</formula>
    </cfRule>
  </conditionalFormatting>
  <conditionalFormatting sqref="CH3:CH4">
    <cfRule type="expression" dxfId="172" priority="30">
      <formula>OR(CELL("col")=COLUMN(),CELL("rom")=ROW())</formula>
    </cfRule>
  </conditionalFormatting>
  <conditionalFormatting sqref="DR3:DR4">
    <cfRule type="expression" dxfId="171" priority="29">
      <formula>OR(CELL("col")=COLUMN(),CELL("rom")=ROW())</formula>
    </cfRule>
  </conditionalFormatting>
  <conditionalFormatting sqref="FB3:FB4">
    <cfRule type="expression" dxfId="170" priority="28">
      <formula>OR(CELL("col")=COLUMN(),CELL("rom")=ROW())</formula>
    </cfRule>
  </conditionalFormatting>
  <conditionalFormatting sqref="CT3:CT4">
    <cfRule type="expression" dxfId="169" priority="27">
      <formula>OR(CELL("col")=COLUMN(),CELL("rom")=ROW())</formula>
    </cfRule>
  </conditionalFormatting>
  <conditionalFormatting sqref="CZ3:CZ4">
    <cfRule type="expression" dxfId="168" priority="26">
      <formula>OR(CELL("col")=COLUMN(),CELL("rom")=ROW())</formula>
    </cfRule>
  </conditionalFormatting>
  <conditionalFormatting sqref="BV5:CA5">
    <cfRule type="expression" dxfId="167" priority="24">
      <formula>OR(CELL("col")=COLUMN(),CELL("rom")=ROW())</formula>
    </cfRule>
  </conditionalFormatting>
  <conditionalFormatting sqref="DF5:DK5">
    <cfRule type="expression" dxfId="166" priority="23">
      <formula>OR(CELL("col")=COLUMN(),CELL("rom")=ROW())</formula>
    </cfRule>
  </conditionalFormatting>
  <conditionalFormatting sqref="EP5:EU5">
    <cfRule type="expression" dxfId="165" priority="22">
      <formula>OR(CELL("col")=COLUMN(),CELL("rom")=ROW())</formula>
    </cfRule>
  </conditionalFormatting>
  <conditionalFormatting sqref="BV2:CA2">
    <cfRule type="expression" dxfId="164" priority="21">
      <formula>OR(CELL("col")=COLUMN(),CELL("rom")=ROW())</formula>
    </cfRule>
  </conditionalFormatting>
  <conditionalFormatting sqref="CB2:CL2">
    <cfRule type="expression" dxfId="163" priority="20">
      <formula>OR(CELL("col")=COLUMN(),CELL("rom")=ROW())</formula>
    </cfRule>
  </conditionalFormatting>
  <conditionalFormatting sqref="DF2:DK2">
    <cfRule type="expression" dxfId="162" priority="19">
      <formula>OR(CELL("col")=COLUMN(),CELL("rom")=ROW())</formula>
    </cfRule>
  </conditionalFormatting>
  <conditionalFormatting sqref="DL2:DV2">
    <cfRule type="expression" dxfId="161" priority="18">
      <formula>OR(CELL("col")=COLUMN(),CELL("rom")=ROW())</formula>
    </cfRule>
  </conditionalFormatting>
  <conditionalFormatting sqref="EP2:EU2">
    <cfRule type="expression" dxfId="160" priority="17">
      <formula>OR(CELL("col")=COLUMN(),CELL("rom")=ROW())</formula>
    </cfRule>
  </conditionalFormatting>
  <conditionalFormatting sqref="EV2:FF2">
    <cfRule type="expression" dxfId="159" priority="16">
      <formula>OR(CELL("col")=COLUMN(),CELL("rom")=ROW())</formula>
    </cfRule>
  </conditionalFormatting>
  <conditionalFormatting sqref="U2">
    <cfRule type="expression" dxfId="158" priority="13">
      <formula>OR(CELL("col")=COLUMN(),CELL("rom")=ROW())</formula>
    </cfRule>
  </conditionalFormatting>
  <conditionalFormatting sqref="H2">
    <cfRule type="expression" dxfId="157" priority="4">
      <formula>OR(CELL("col")=COLUMN(),CELL("rom")=ROW())</formula>
    </cfRule>
  </conditionalFormatting>
  <conditionalFormatting sqref="BE2">
    <cfRule type="expression" dxfId="156" priority="3">
      <formula>OR(CELL("col")=COLUMN(),CELL("rom")=ROW())</formula>
    </cfRule>
  </conditionalFormatting>
  <conditionalFormatting sqref="CO2">
    <cfRule type="expression" dxfId="155" priority="2">
      <formula>OR(CELL("col")=COLUMN(),CELL("rom")=ROW())</formula>
    </cfRule>
  </conditionalFormatting>
  <conditionalFormatting sqref="DY2">
    <cfRule type="expression" dxfId="154" priority="1">
      <formula>OR(CELL("col")=COLUMN(),CELL("rom")=ROW())</formula>
    </cfRule>
  </conditionalFormatting>
  <pageMargins left="0.25" right="0.25" top="0.75" bottom="0.75" header="0.3" footer="0.3"/>
  <pageSetup paperSize="9" scale="58" orientation="portrait" r:id="rId1"/>
  <rowBreaks count="1" manualBreakCount="1">
    <brk id="97" max="70" man="1"/>
  </rowBreak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outlinePr summaryBelow="0" summaryRight="0"/>
    <pageSetUpPr fitToPage="1"/>
  </sheetPr>
  <dimension ref="A2:U2568"/>
  <sheetViews>
    <sheetView zoomScaleNormal="100" zoomScaleSheetLayoutView="100" workbookViewId="0">
      <pane ySplit="5" topLeftCell="A1488" activePane="bottomLeft" state="frozen"/>
      <selection pane="bottomLeft" activeCell="H2572" sqref="H2572"/>
    </sheetView>
  </sheetViews>
  <sheetFormatPr defaultColWidth="11.5703125" defaultRowHeight="12.75" outlineLevelRow="3" outlineLevelCol="1"/>
  <cols>
    <col min="1" max="1" width="3.7109375" style="678" customWidth="1"/>
    <col min="2" max="2" width="3.5703125" style="236" customWidth="1"/>
    <col min="3" max="3" width="6.5703125" style="236" bestFit="1" customWidth="1"/>
    <col min="4" max="4" width="6.28515625" style="688" customWidth="1"/>
    <col min="5" max="5" width="57.42578125" style="236" bestFit="1" customWidth="1"/>
    <col min="6" max="6" width="0.42578125" style="236" customWidth="1"/>
    <col min="7" max="7" width="8.42578125" style="244" bestFit="1" customWidth="1"/>
    <col min="8" max="8" width="12.42578125" style="244" bestFit="1" customWidth="1"/>
    <col min="9" max="9" width="5.5703125" style="263" customWidth="1"/>
    <col min="10" max="10" width="10" style="249" bestFit="1" customWidth="1"/>
    <col min="11" max="11" width="8" style="250" bestFit="1" customWidth="1"/>
    <col min="12" max="12" width="9.42578125" style="249" bestFit="1" customWidth="1"/>
    <col min="13" max="16" width="9.42578125" style="249" customWidth="1" outlineLevel="1"/>
    <col min="17" max="17" width="9.42578125" style="249" bestFit="1" customWidth="1"/>
    <col min="18" max="21" width="9.42578125" style="249" customWidth="1" outlineLevel="1"/>
    <col min="22" max="16384" width="11.5703125" style="238"/>
  </cols>
  <sheetData>
    <row r="2" spans="1:21" s="162" customFormat="1" ht="12.75" customHeight="1">
      <c r="A2" s="669" t="s">
        <v>256</v>
      </c>
      <c r="B2" s="670"/>
      <c r="C2" s="671"/>
      <c r="D2" s="672"/>
      <c r="E2" s="670"/>
      <c r="F2" s="154"/>
      <c r="G2" s="799" t="s">
        <v>257</v>
      </c>
      <c r="H2" s="799" t="s">
        <v>258</v>
      </c>
      <c r="I2" s="800" t="s">
        <v>259</v>
      </c>
      <c r="J2" s="229" t="s">
        <v>260</v>
      </c>
      <c r="K2" s="229"/>
      <c r="L2" s="798" t="s">
        <v>261</v>
      </c>
      <c r="M2" s="163"/>
      <c r="N2" s="163"/>
      <c r="O2" s="163"/>
      <c r="P2" s="163"/>
      <c r="Q2" s="798" t="s">
        <v>262</v>
      </c>
      <c r="R2" s="163"/>
      <c r="S2" s="163"/>
      <c r="T2" s="163"/>
      <c r="U2" s="163"/>
    </row>
    <row r="3" spans="1:21" s="162" customFormat="1">
      <c r="A3" s="669"/>
      <c r="B3" s="670"/>
      <c r="C3" s="671"/>
      <c r="D3" s="672"/>
      <c r="E3" s="670"/>
      <c r="F3" s="154"/>
      <c r="G3" s="799"/>
      <c r="H3" s="799"/>
      <c r="I3" s="800"/>
      <c r="J3" s="160"/>
      <c r="K3" s="161"/>
      <c r="L3" s="798"/>
      <c r="M3" s="163"/>
      <c r="N3" s="163"/>
      <c r="O3" s="163"/>
      <c r="P3" s="163"/>
      <c r="Q3" s="798"/>
      <c r="R3" s="163"/>
      <c r="S3" s="163"/>
      <c r="T3" s="163"/>
      <c r="U3" s="163"/>
    </row>
    <row r="4" spans="1:21" s="162" customFormat="1" ht="18">
      <c r="A4" s="673" t="s">
        <v>263</v>
      </c>
      <c r="B4" s="674"/>
      <c r="C4" s="674"/>
      <c r="D4" s="674"/>
      <c r="E4" s="674"/>
      <c r="F4" s="154"/>
      <c r="G4" s="799"/>
      <c r="H4" s="799"/>
      <c r="I4" s="800"/>
      <c r="J4" s="168" t="s">
        <v>264</v>
      </c>
      <c r="K4" s="168" t="s">
        <v>265</v>
      </c>
      <c r="L4" s="798"/>
      <c r="M4" s="163" t="s">
        <v>7</v>
      </c>
      <c r="N4" s="163" t="s">
        <v>8</v>
      </c>
      <c r="O4" s="163" t="s">
        <v>9</v>
      </c>
      <c r="P4" s="163" t="s">
        <v>10</v>
      </c>
      <c r="Q4" s="798"/>
      <c r="R4" s="163" t="s">
        <v>7</v>
      </c>
      <c r="S4" s="163" t="s">
        <v>8</v>
      </c>
      <c r="T4" s="163" t="s">
        <v>9</v>
      </c>
      <c r="U4" s="163" t="s">
        <v>10</v>
      </c>
    </row>
    <row r="5" spans="1:21" s="162" customFormat="1" ht="21" customHeight="1">
      <c r="A5" s="669"/>
      <c r="B5" s="670"/>
      <c r="C5" s="671"/>
      <c r="D5" s="672"/>
      <c r="E5" s="670"/>
      <c r="F5" s="154"/>
      <c r="G5" s="158"/>
      <c r="H5" s="158"/>
      <c r="I5" s="227"/>
      <c r="J5" s="160"/>
      <c r="K5" s="161"/>
      <c r="L5" s="228"/>
      <c r="M5" s="160"/>
      <c r="N5" s="160"/>
      <c r="O5" s="160"/>
      <c r="P5" s="160"/>
      <c r="Q5" s="228"/>
      <c r="R5" s="160"/>
      <c r="S5" s="160"/>
      <c r="T5" s="160"/>
      <c r="U5" s="160"/>
    </row>
    <row r="6" spans="1:21" s="162" customFormat="1" ht="21" customHeight="1">
      <c r="A6" s="669"/>
      <c r="B6" s="670"/>
      <c r="C6" s="671"/>
      <c r="D6" s="672"/>
      <c r="E6" s="670"/>
      <c r="F6" s="154"/>
      <c r="G6" s="158"/>
      <c r="H6" s="158"/>
      <c r="I6" s="227"/>
      <c r="J6" s="160"/>
      <c r="K6" s="161"/>
      <c r="L6" s="230">
        <f t="shared" ref="L6:U6" si="0">SUM(L7,L57,L166,L278,L383,L464,L540,L633,L735,L867,L941,L967,L1852,L2159)</f>
        <v>231</v>
      </c>
      <c r="M6" s="188">
        <f t="shared" si="0"/>
        <v>240</v>
      </c>
      <c r="N6" s="188">
        <f t="shared" si="0"/>
        <v>119</v>
      </c>
      <c r="O6" s="188">
        <f t="shared" si="0"/>
        <v>0</v>
      </c>
      <c r="P6" s="188">
        <f t="shared" si="0"/>
        <v>0</v>
      </c>
      <c r="Q6" s="230">
        <f t="shared" si="0"/>
        <v>86</v>
      </c>
      <c r="R6" s="188">
        <f t="shared" si="0"/>
        <v>79</v>
      </c>
      <c r="S6" s="188">
        <f t="shared" si="0"/>
        <v>2</v>
      </c>
      <c r="T6" s="188">
        <f t="shared" si="0"/>
        <v>0</v>
      </c>
      <c r="U6" s="188">
        <f t="shared" si="0"/>
        <v>0</v>
      </c>
    </row>
    <row r="7" spans="1:21" s="233" customFormat="1" ht="13.5" collapsed="1">
      <c r="A7" s="382" t="s">
        <v>266</v>
      </c>
      <c r="B7" s="675"/>
      <c r="C7" s="676"/>
      <c r="D7" s="677"/>
      <c r="E7" s="676"/>
      <c r="F7" s="231"/>
      <c r="G7" s="186" t="s">
        <v>257</v>
      </c>
      <c r="H7" s="186" t="s">
        <v>258</v>
      </c>
      <c r="I7" s="187" t="s">
        <v>259</v>
      </c>
      <c r="J7" s="197"/>
      <c r="K7" s="232"/>
      <c r="L7" s="230">
        <f t="shared" ref="L7:U7" si="1">SUM(L8:L54)</f>
        <v>6</v>
      </c>
      <c r="M7" s="188">
        <f t="shared" si="1"/>
        <v>6</v>
      </c>
      <c r="N7" s="188">
        <f t="shared" si="1"/>
        <v>0</v>
      </c>
      <c r="O7" s="188">
        <f t="shared" si="1"/>
        <v>0</v>
      </c>
      <c r="P7" s="188">
        <f t="shared" si="1"/>
        <v>0</v>
      </c>
      <c r="Q7" s="230">
        <f t="shared" si="1"/>
        <v>1</v>
      </c>
      <c r="R7" s="188">
        <f t="shared" si="1"/>
        <v>1</v>
      </c>
      <c r="S7" s="188">
        <f t="shared" si="1"/>
        <v>0</v>
      </c>
      <c r="T7" s="188">
        <f t="shared" si="1"/>
        <v>0</v>
      </c>
      <c r="U7" s="188">
        <f t="shared" si="1"/>
        <v>0</v>
      </c>
    </row>
    <row r="8" spans="1:21" s="233" customFormat="1" ht="3" hidden="1" customHeight="1" outlineLevel="1">
      <c r="A8" s="678"/>
      <c r="B8" s="679"/>
      <c r="C8" s="679"/>
      <c r="D8" s="680"/>
      <c r="E8" s="679"/>
      <c r="F8" s="231"/>
      <c r="G8" s="186"/>
      <c r="H8" s="186"/>
      <c r="I8" s="187"/>
      <c r="J8" s="197"/>
      <c r="K8" s="232"/>
      <c r="L8" s="234"/>
      <c r="M8" s="197"/>
      <c r="N8" s="197"/>
      <c r="O8" s="197"/>
      <c r="P8" s="197"/>
      <c r="Q8" s="234"/>
      <c r="R8" s="197"/>
      <c r="S8" s="197"/>
      <c r="T8" s="197"/>
      <c r="U8" s="197"/>
    </row>
    <row r="9" spans="1:21" s="233" customFormat="1" ht="13.5" hidden="1" customHeight="1" outlineLevel="1">
      <c r="A9" s="681"/>
      <c r="B9" s="682" t="s">
        <v>267</v>
      </c>
      <c r="C9" s="683"/>
      <c r="D9" s="684"/>
      <c r="E9" s="683"/>
      <c r="F9" s="235"/>
      <c r="G9" s="186"/>
      <c r="H9" s="186"/>
      <c r="I9" s="187"/>
      <c r="J9" s="197"/>
      <c r="K9" s="232"/>
      <c r="L9" s="234"/>
      <c r="M9" s="197"/>
      <c r="N9" s="197"/>
      <c r="O9" s="197"/>
      <c r="P9" s="197"/>
      <c r="Q9" s="234"/>
      <c r="R9" s="197"/>
      <c r="S9" s="197"/>
      <c r="T9" s="197"/>
      <c r="U9" s="197"/>
    </row>
    <row r="10" spans="1:21" s="233" customFormat="1" ht="13.5" hidden="1" outlineLevel="1">
      <c r="A10" s="681"/>
      <c r="B10" s="299" t="s">
        <v>268</v>
      </c>
      <c r="C10" s="304" t="s">
        <v>269</v>
      </c>
      <c r="D10" s="685" t="s">
        <v>270</v>
      </c>
      <c r="E10" s="306" t="s">
        <v>271</v>
      </c>
      <c r="F10" s="307"/>
      <c r="G10" s="297" t="s">
        <v>272</v>
      </c>
      <c r="H10" s="308" t="str">
        <f>CONCATENATE("AR-",G10,"-",I10)</f>
        <v>AR-SS0-2</v>
      </c>
      <c r="I10" s="661">
        <v>2</v>
      </c>
      <c r="J10" s="197">
        <v>1</v>
      </c>
      <c r="K10" s="232"/>
      <c r="L10" s="234"/>
      <c r="M10" s="197"/>
      <c r="N10" s="197"/>
      <c r="O10" s="197"/>
      <c r="P10" s="197"/>
      <c r="Q10" s="234"/>
      <c r="R10" s="197"/>
      <c r="S10" s="197"/>
      <c r="T10" s="197"/>
      <c r="U10" s="197"/>
    </row>
    <row r="11" spans="1:21" s="233" customFormat="1" ht="13.5" hidden="1" outlineLevel="1">
      <c r="A11" s="681"/>
      <c r="B11" s="299" t="s">
        <v>268</v>
      </c>
      <c r="C11" s="304" t="s">
        <v>269</v>
      </c>
      <c r="D11" s="685" t="s">
        <v>273</v>
      </c>
      <c r="E11" s="306" t="s">
        <v>274</v>
      </c>
      <c r="F11" s="307"/>
      <c r="G11" s="297" t="s">
        <v>272</v>
      </c>
      <c r="H11" s="308" t="str">
        <f>CONCATENATE("AR-",G11,"-",I11)</f>
        <v>AR-SS0-2</v>
      </c>
      <c r="I11" s="661">
        <v>2</v>
      </c>
      <c r="J11" s="197">
        <v>1</v>
      </c>
      <c r="K11" s="232"/>
      <c r="L11" s="234"/>
      <c r="M11" s="197"/>
      <c r="N11" s="197"/>
      <c r="O11" s="197"/>
      <c r="P11" s="197"/>
      <c r="Q11" s="234"/>
      <c r="R11" s="197"/>
      <c r="S11" s="197"/>
      <c r="T11" s="197"/>
      <c r="U11" s="197"/>
    </row>
    <row r="12" spans="1:21" s="233" customFormat="1" ht="13.5" hidden="1" outlineLevel="1">
      <c r="A12" s="681"/>
      <c r="B12" s="299" t="s">
        <v>268</v>
      </c>
      <c r="C12" s="304" t="s">
        <v>269</v>
      </c>
      <c r="D12" s="685" t="s">
        <v>275</v>
      </c>
      <c r="E12" s="306" t="s">
        <v>276</v>
      </c>
      <c r="F12" s="307"/>
      <c r="G12" s="297" t="s">
        <v>272</v>
      </c>
      <c r="H12" s="308" t="str">
        <f>CONCATENATE("AR-",G12,"-",I12)</f>
        <v>AR-SS0-2</v>
      </c>
      <c r="I12" s="661">
        <v>2</v>
      </c>
      <c r="J12" s="197">
        <v>1</v>
      </c>
      <c r="K12" s="232"/>
      <c r="L12" s="234"/>
      <c r="M12" s="197"/>
      <c r="N12" s="197"/>
      <c r="O12" s="197"/>
      <c r="P12" s="197"/>
      <c r="Q12" s="234"/>
      <c r="R12" s="197"/>
      <c r="S12" s="197"/>
      <c r="T12" s="197"/>
      <c r="U12" s="197"/>
    </row>
    <row r="13" spans="1:21" s="233" customFormat="1" ht="3" hidden="1" customHeight="1" outlineLevel="1">
      <c r="A13" s="681"/>
      <c r="B13" s="299"/>
      <c r="C13" s="304"/>
      <c r="D13" s="685"/>
      <c r="E13" s="306" t="s">
        <v>277</v>
      </c>
      <c r="F13" s="307"/>
      <c r="G13" s="297"/>
      <c r="H13" s="308"/>
      <c r="I13" s="661"/>
      <c r="J13" s="197"/>
      <c r="K13" s="232"/>
      <c r="L13" s="234"/>
      <c r="M13" s="197"/>
      <c r="N13" s="197"/>
      <c r="O13" s="197"/>
      <c r="P13" s="197"/>
      <c r="Q13" s="234"/>
      <c r="R13" s="197"/>
      <c r="S13" s="197"/>
      <c r="T13" s="197"/>
      <c r="U13" s="197"/>
    </row>
    <row r="14" spans="1:21" s="233" customFormat="1" ht="13.5" hidden="1" customHeight="1" outlineLevel="1">
      <c r="A14" s="681"/>
      <c r="B14" s="299" t="s">
        <v>278</v>
      </c>
      <c r="C14" s="304"/>
      <c r="D14" s="685"/>
      <c r="E14" s="306" t="s">
        <v>277</v>
      </c>
      <c r="F14" s="307"/>
      <c r="G14" s="297"/>
      <c r="H14" s="308"/>
      <c r="I14" s="661"/>
      <c r="J14" s="197"/>
      <c r="K14" s="232"/>
      <c r="L14" s="234"/>
      <c r="M14" s="197"/>
      <c r="N14" s="197"/>
      <c r="O14" s="197"/>
      <c r="P14" s="197"/>
      <c r="Q14" s="234"/>
      <c r="R14" s="197"/>
      <c r="S14" s="197"/>
      <c r="T14" s="197"/>
      <c r="U14" s="197"/>
    </row>
    <row r="15" spans="1:21" s="233" customFormat="1" ht="14.25" hidden="1" customHeight="1" outlineLevel="1">
      <c r="A15" s="681"/>
      <c r="B15" s="299" t="s">
        <v>268</v>
      </c>
      <c r="C15" s="304" t="s">
        <v>269</v>
      </c>
      <c r="D15" s="685" t="s">
        <v>279</v>
      </c>
      <c r="E15" s="306" t="s">
        <v>280</v>
      </c>
      <c r="F15" s="307"/>
      <c r="G15" s="297" t="s">
        <v>272</v>
      </c>
      <c r="H15" s="308" t="str">
        <f>CONCATENATE("AR-",G15,"-",I15)</f>
        <v>AR-SS0-2</v>
      </c>
      <c r="I15" s="661">
        <v>2</v>
      </c>
      <c r="J15" s="197">
        <v>1</v>
      </c>
      <c r="K15" s="232"/>
      <c r="L15" s="234"/>
      <c r="M15" s="197"/>
      <c r="N15" s="197"/>
      <c r="O15" s="197"/>
      <c r="P15" s="197"/>
      <c r="Q15" s="234"/>
      <c r="R15" s="197"/>
      <c r="S15" s="197"/>
      <c r="T15" s="197"/>
      <c r="U15" s="197"/>
    </row>
    <row r="16" spans="1:21" s="233" customFormat="1" ht="3" hidden="1" customHeight="1" outlineLevel="1">
      <c r="A16" s="681"/>
      <c r="B16" s="299"/>
      <c r="C16" s="304"/>
      <c r="D16" s="685"/>
      <c r="E16" s="306" t="s">
        <v>277</v>
      </c>
      <c r="F16" s="307"/>
      <c r="G16" s="297"/>
      <c r="H16" s="308"/>
      <c r="I16" s="661"/>
      <c r="J16" s="197" t="s">
        <v>281</v>
      </c>
      <c r="K16" s="232"/>
      <c r="L16" s="234"/>
      <c r="M16" s="197"/>
      <c r="N16" s="197"/>
      <c r="O16" s="197"/>
      <c r="P16" s="197"/>
      <c r="Q16" s="234"/>
      <c r="R16" s="197"/>
      <c r="S16" s="197"/>
      <c r="T16" s="197"/>
      <c r="U16" s="197"/>
    </row>
    <row r="17" spans="1:18" s="233" customFormat="1" ht="13.5" hidden="1" customHeight="1" outlineLevel="1">
      <c r="A17" s="681"/>
      <c r="B17" s="299" t="s">
        <v>282</v>
      </c>
      <c r="C17" s="304"/>
      <c r="D17" s="685"/>
      <c r="E17" s="306"/>
      <c r="F17" s="307"/>
      <c r="G17" s="297"/>
      <c r="H17" s="308"/>
      <c r="I17" s="661"/>
      <c r="J17" s="197"/>
      <c r="K17" s="232"/>
      <c r="L17" s="234"/>
      <c r="M17" s="197"/>
      <c r="N17" s="197"/>
      <c r="O17" s="197"/>
      <c r="P17" s="197"/>
      <c r="Q17" s="234"/>
      <c r="R17" s="197"/>
    </row>
    <row r="18" spans="1:18" s="233" customFormat="1" ht="13.5" hidden="1" customHeight="1" outlineLevel="1">
      <c r="A18" s="681"/>
      <c r="B18" s="299" t="s">
        <v>268</v>
      </c>
      <c r="C18" s="304" t="s">
        <v>269</v>
      </c>
      <c r="D18" s="685" t="s">
        <v>283</v>
      </c>
      <c r="E18" s="306" t="s">
        <v>284</v>
      </c>
      <c r="F18" s="307"/>
      <c r="G18" s="297" t="s">
        <v>272</v>
      </c>
      <c r="H18" s="308" t="str">
        <f>CONCATENATE("AR-",G18,"-",I18)</f>
        <v>AR-SS0-2</v>
      </c>
      <c r="I18" s="661">
        <v>2</v>
      </c>
      <c r="J18" s="197">
        <v>1</v>
      </c>
      <c r="K18" s="232"/>
      <c r="L18" s="234"/>
      <c r="M18" s="197"/>
      <c r="N18" s="197"/>
      <c r="O18" s="197"/>
      <c r="P18" s="197"/>
      <c r="Q18" s="234"/>
      <c r="R18" s="197"/>
    </row>
    <row r="19" spans="1:18" s="233" customFormat="1" ht="13.5" hidden="1" customHeight="1" outlineLevel="1">
      <c r="A19" s="681"/>
      <c r="B19" s="299" t="s">
        <v>268</v>
      </c>
      <c r="C19" s="304" t="s">
        <v>285</v>
      </c>
      <c r="D19" s="685" t="s">
        <v>283</v>
      </c>
      <c r="E19" s="306" t="s">
        <v>286</v>
      </c>
      <c r="F19" s="307"/>
      <c r="G19" s="297" t="s">
        <v>272</v>
      </c>
      <c r="H19" s="308" t="str">
        <f>CONCATENATE("AR-",G19,"-",I19)</f>
        <v>AR-SS0-2</v>
      </c>
      <c r="I19" s="661">
        <v>2</v>
      </c>
      <c r="J19" s="197">
        <v>1</v>
      </c>
      <c r="K19" s="232"/>
      <c r="L19" s="234"/>
      <c r="M19" s="197"/>
      <c r="N19" s="197"/>
      <c r="O19" s="197"/>
      <c r="P19" s="197"/>
      <c r="Q19" s="234"/>
      <c r="R19" s="197"/>
    </row>
    <row r="20" spans="1:18" s="233" customFormat="1" ht="13.5" hidden="1" customHeight="1" outlineLevel="1">
      <c r="A20" s="681"/>
      <c r="B20" s="299" t="s">
        <v>268</v>
      </c>
      <c r="C20" s="304" t="s">
        <v>287</v>
      </c>
      <c r="D20" s="685" t="s">
        <v>283</v>
      </c>
      <c r="E20" s="306" t="s">
        <v>286</v>
      </c>
      <c r="F20" s="307"/>
      <c r="G20" s="297" t="s">
        <v>272</v>
      </c>
      <c r="H20" s="308" t="str">
        <f>CONCATENATE("AR-",G20,"-",I20)</f>
        <v>AR-SS0-2</v>
      </c>
      <c r="I20" s="661">
        <v>2</v>
      </c>
      <c r="J20" s="197">
        <v>1</v>
      </c>
      <c r="K20" s="232"/>
      <c r="L20" s="234"/>
      <c r="M20" s="197"/>
      <c r="N20" s="197"/>
      <c r="O20" s="197"/>
      <c r="P20" s="197"/>
      <c r="Q20" s="234"/>
      <c r="R20" s="197"/>
    </row>
    <row r="21" spans="1:18" s="233" customFormat="1" ht="13.5" hidden="1" customHeight="1" outlineLevel="1">
      <c r="A21" s="681"/>
      <c r="B21" s="299" t="s">
        <v>268</v>
      </c>
      <c r="C21" s="304" t="s">
        <v>269</v>
      </c>
      <c r="D21" s="685" t="s">
        <v>288</v>
      </c>
      <c r="E21" s="306" t="s">
        <v>289</v>
      </c>
      <c r="F21" s="307"/>
      <c r="G21" s="297" t="s">
        <v>272</v>
      </c>
      <c r="H21" s="308" t="str">
        <f>CONCATENATE("AR-",G21,"-",I21)</f>
        <v>AR-SS0-3</v>
      </c>
      <c r="I21" s="661">
        <v>3</v>
      </c>
      <c r="J21" s="197"/>
      <c r="K21" s="232"/>
      <c r="L21" s="234">
        <v>1</v>
      </c>
      <c r="M21" s="197">
        <v>1</v>
      </c>
      <c r="N21" s="197"/>
      <c r="O21" s="197"/>
      <c r="P21" s="197"/>
      <c r="Q21" s="234">
        <v>1</v>
      </c>
      <c r="R21" s="197">
        <v>1</v>
      </c>
    </row>
    <row r="22" spans="1:18" s="233" customFormat="1" ht="3" hidden="1" customHeight="1" outlineLevel="1">
      <c r="A22" s="681"/>
      <c r="B22" s="299"/>
      <c r="C22" s="304"/>
      <c r="D22" s="685"/>
      <c r="E22" s="306" t="s">
        <v>277</v>
      </c>
      <c r="F22" s="307"/>
      <c r="G22" s="297"/>
      <c r="H22" s="308"/>
      <c r="I22" s="661"/>
      <c r="J22" s="197"/>
      <c r="K22" s="232"/>
      <c r="L22" s="234"/>
      <c r="M22" s="197"/>
      <c r="N22" s="197"/>
      <c r="O22" s="197"/>
      <c r="P22" s="197"/>
      <c r="Q22" s="234"/>
      <c r="R22" s="197"/>
    </row>
    <row r="23" spans="1:18" s="233" customFormat="1" ht="13.5" hidden="1" customHeight="1" outlineLevel="1">
      <c r="A23" s="681"/>
      <c r="B23" s="299" t="s">
        <v>290</v>
      </c>
      <c r="C23" s="304"/>
      <c r="D23" s="685"/>
      <c r="E23" s="306"/>
      <c r="F23" s="307"/>
      <c r="G23" s="297"/>
      <c r="H23" s="308"/>
      <c r="I23" s="661"/>
      <c r="J23" s="197"/>
      <c r="K23" s="232"/>
      <c r="L23" s="234"/>
      <c r="M23" s="197"/>
      <c r="N23" s="197"/>
      <c r="O23" s="197"/>
      <c r="P23" s="197"/>
      <c r="Q23" s="234"/>
      <c r="R23" s="197"/>
    </row>
    <row r="24" spans="1:18" s="233" customFormat="1" ht="13.5" hidden="1" customHeight="1" outlineLevel="1">
      <c r="A24" s="681"/>
      <c r="B24" s="299" t="s">
        <v>268</v>
      </c>
      <c r="C24" s="304" t="s">
        <v>269</v>
      </c>
      <c r="D24" s="685" t="s">
        <v>291</v>
      </c>
      <c r="E24" s="306" t="s">
        <v>292</v>
      </c>
      <c r="F24" s="307"/>
      <c r="G24" s="297" t="s">
        <v>272</v>
      </c>
      <c r="H24" s="308" t="str">
        <f>CONCATENATE("AR-",G24,"-",I24)</f>
        <v>AR-SS0-NA</v>
      </c>
      <c r="I24" s="665" t="s">
        <v>293</v>
      </c>
      <c r="J24" s="197"/>
      <c r="K24" s="232"/>
      <c r="L24" s="234"/>
      <c r="M24" s="197"/>
      <c r="N24" s="197"/>
      <c r="O24" s="197"/>
      <c r="P24" s="197"/>
      <c r="Q24" s="234"/>
      <c r="R24" s="197"/>
    </row>
    <row r="25" spans="1:18" s="233" customFormat="1" ht="13.5" hidden="1" customHeight="1" outlineLevel="1">
      <c r="A25" s="681"/>
      <c r="B25" s="299" t="s">
        <v>268</v>
      </c>
      <c r="C25" s="304" t="s">
        <v>269</v>
      </c>
      <c r="D25" s="685" t="s">
        <v>294</v>
      </c>
      <c r="E25" s="306" t="s">
        <v>295</v>
      </c>
      <c r="F25" s="307"/>
      <c r="G25" s="297" t="s">
        <v>272</v>
      </c>
      <c r="H25" s="308" t="str">
        <f>CONCATENATE("AR-",G25,"-",I25)</f>
        <v>AR-SS0-NA</v>
      </c>
      <c r="I25" s="665" t="s">
        <v>293</v>
      </c>
      <c r="J25" s="197"/>
      <c r="K25" s="232"/>
      <c r="L25" s="234"/>
      <c r="M25" s="197"/>
      <c r="N25" s="197"/>
      <c r="O25" s="197"/>
      <c r="P25" s="197"/>
      <c r="Q25" s="234"/>
      <c r="R25" s="197"/>
    </row>
    <row r="26" spans="1:18" s="233" customFormat="1" ht="3" hidden="1" customHeight="1" outlineLevel="1">
      <c r="A26" s="681"/>
      <c r="B26" s="299"/>
      <c r="C26" s="304"/>
      <c r="D26" s="685"/>
      <c r="E26" s="306" t="s">
        <v>277</v>
      </c>
      <c r="F26" s="307"/>
      <c r="G26" s="297"/>
      <c r="H26" s="308"/>
      <c r="I26" s="661"/>
      <c r="J26" s="197"/>
      <c r="K26" s="232"/>
      <c r="L26" s="234"/>
      <c r="M26" s="197"/>
      <c r="N26" s="197"/>
      <c r="O26" s="197"/>
      <c r="P26" s="197"/>
      <c r="Q26" s="234"/>
      <c r="R26" s="197"/>
    </row>
    <row r="27" spans="1:18" s="233" customFormat="1" ht="13.5" hidden="1" customHeight="1" outlineLevel="1">
      <c r="A27" s="681"/>
      <c r="B27" s="299" t="s">
        <v>296</v>
      </c>
      <c r="C27" s="304"/>
      <c r="D27" s="685"/>
      <c r="E27" s="306"/>
      <c r="F27" s="307"/>
      <c r="G27" s="297"/>
      <c r="H27" s="308"/>
      <c r="I27" s="661"/>
      <c r="J27" s="197"/>
      <c r="K27" s="232"/>
      <c r="L27" s="234"/>
      <c r="M27" s="197"/>
      <c r="N27" s="197"/>
      <c r="O27" s="197"/>
      <c r="P27" s="197"/>
      <c r="Q27" s="234"/>
      <c r="R27" s="197"/>
    </row>
    <row r="28" spans="1:18" s="233" customFormat="1" ht="13.5" hidden="1" customHeight="1" outlineLevel="1">
      <c r="A28" s="682"/>
      <c r="B28" s="299" t="s">
        <v>268</v>
      </c>
      <c r="C28" s="304" t="s">
        <v>269</v>
      </c>
      <c r="D28" s="685" t="s">
        <v>297</v>
      </c>
      <c r="E28" s="306" t="s">
        <v>298</v>
      </c>
      <c r="F28" s="307"/>
      <c r="G28" s="297" t="s">
        <v>272</v>
      </c>
      <c r="H28" s="308" t="str">
        <f>CONCATENATE("AR-",G28,"-",I28)</f>
        <v>AR-SS0-2</v>
      </c>
      <c r="I28" s="661">
        <v>2</v>
      </c>
      <c r="J28" s="197">
        <v>1</v>
      </c>
      <c r="K28" s="232"/>
      <c r="L28" s="234"/>
      <c r="M28" s="197"/>
      <c r="N28" s="197"/>
      <c r="O28" s="197"/>
      <c r="P28" s="197"/>
      <c r="Q28" s="234"/>
      <c r="R28" s="197"/>
    </row>
    <row r="29" spans="1:18" s="233" customFormat="1" ht="13.5" hidden="1" customHeight="1" outlineLevel="1">
      <c r="A29" s="682"/>
      <c r="B29" s="299" t="s">
        <v>268</v>
      </c>
      <c r="C29" s="304" t="s">
        <v>269</v>
      </c>
      <c r="D29" s="685" t="s">
        <v>297</v>
      </c>
      <c r="E29" s="306" t="s">
        <v>299</v>
      </c>
      <c r="F29" s="307"/>
      <c r="G29" s="297" t="s">
        <v>272</v>
      </c>
      <c r="H29" s="308" t="str">
        <f>CONCATENATE("AR-",G29,"-",I29)</f>
        <v>AR-SS0-3</v>
      </c>
      <c r="I29" s="661">
        <v>3</v>
      </c>
      <c r="J29" s="234">
        <v>1</v>
      </c>
      <c r="K29" s="232"/>
      <c r="L29" s="234"/>
      <c r="M29" s="197"/>
      <c r="N29" s="197"/>
      <c r="O29" s="197"/>
      <c r="P29" s="197"/>
      <c r="Q29" s="234"/>
      <c r="R29" s="197"/>
    </row>
    <row r="30" spans="1:18" s="233" customFormat="1" ht="3" hidden="1" customHeight="1" outlineLevel="1">
      <c r="A30" s="682"/>
      <c r="B30" s="299"/>
      <c r="C30" s="304"/>
      <c r="D30" s="685"/>
      <c r="E30" s="306" t="s">
        <v>277</v>
      </c>
      <c r="F30" s="307"/>
      <c r="G30" s="297"/>
      <c r="H30" s="308"/>
      <c r="I30" s="661"/>
      <c r="J30" s="197"/>
      <c r="K30" s="232"/>
      <c r="L30" s="234"/>
      <c r="M30" s="197"/>
      <c r="N30" s="197"/>
      <c r="O30" s="197"/>
      <c r="P30" s="197"/>
      <c r="Q30" s="234"/>
      <c r="R30" s="197"/>
    </row>
    <row r="31" spans="1:18" s="233" customFormat="1" ht="13.5" hidden="1" customHeight="1" outlineLevel="1">
      <c r="A31" s="682"/>
      <c r="B31" s="299" t="s">
        <v>300</v>
      </c>
      <c r="C31" s="304"/>
      <c r="D31" s="685"/>
      <c r="E31" s="306"/>
      <c r="F31" s="307"/>
      <c r="G31" s="297"/>
      <c r="H31" s="308"/>
      <c r="I31" s="661"/>
      <c r="J31" s="197"/>
      <c r="K31" s="232"/>
      <c r="L31" s="234"/>
      <c r="M31" s="197"/>
      <c r="N31" s="197"/>
      <c r="O31" s="197"/>
      <c r="P31" s="197"/>
      <c r="Q31" s="234"/>
      <c r="R31" s="197"/>
    </row>
    <row r="32" spans="1:18" s="233" customFormat="1" ht="13.5" hidden="1" customHeight="1" outlineLevel="1">
      <c r="A32" s="682"/>
      <c r="B32" s="299" t="s">
        <v>268</v>
      </c>
      <c r="C32" s="304" t="s">
        <v>269</v>
      </c>
      <c r="D32" s="685" t="s">
        <v>301</v>
      </c>
      <c r="E32" s="306" t="s">
        <v>302</v>
      </c>
      <c r="F32" s="307"/>
      <c r="G32" s="297" t="s">
        <v>272</v>
      </c>
      <c r="H32" s="308" t="str">
        <f t="shared" ref="H32:H40" si="2">CONCATENATE("AR-",G32,"-",I32)</f>
        <v>AR-SS0-4</v>
      </c>
      <c r="I32" s="661">
        <v>4</v>
      </c>
      <c r="J32" s="197"/>
      <c r="K32" s="232"/>
      <c r="L32" s="234">
        <v>1</v>
      </c>
      <c r="M32" s="197">
        <v>1</v>
      </c>
      <c r="N32" s="197"/>
      <c r="O32" s="197"/>
      <c r="P32" s="197"/>
      <c r="Q32" s="234"/>
      <c r="R32" s="197"/>
    </row>
    <row r="33" spans="1:18" s="233" customFormat="1" ht="13.5" hidden="1" customHeight="1" outlineLevel="1">
      <c r="A33" s="682"/>
      <c r="B33" s="299" t="s">
        <v>268</v>
      </c>
      <c r="C33" s="304" t="s">
        <v>269</v>
      </c>
      <c r="D33" s="685" t="s">
        <v>303</v>
      </c>
      <c r="E33" s="306" t="s">
        <v>304</v>
      </c>
      <c r="F33" s="307"/>
      <c r="G33" s="297" t="s">
        <v>272</v>
      </c>
      <c r="H33" s="308" t="str">
        <f t="shared" si="2"/>
        <v>AR-SS0-4</v>
      </c>
      <c r="I33" s="661">
        <v>4</v>
      </c>
      <c r="J33" s="234">
        <v>1</v>
      </c>
      <c r="K33" s="232"/>
      <c r="L33" s="234"/>
      <c r="M33" s="197"/>
      <c r="Q33" s="237"/>
    </row>
    <row r="34" spans="1:18" s="233" customFormat="1" ht="13.5" hidden="1" customHeight="1" outlineLevel="1">
      <c r="A34" s="682"/>
      <c r="B34" s="299" t="s">
        <v>268</v>
      </c>
      <c r="C34" s="304" t="s">
        <v>269</v>
      </c>
      <c r="D34" s="685" t="s">
        <v>305</v>
      </c>
      <c r="E34" s="306" t="s">
        <v>306</v>
      </c>
      <c r="F34" s="307"/>
      <c r="G34" s="297" t="s">
        <v>272</v>
      </c>
      <c r="H34" s="308" t="str">
        <f t="shared" si="2"/>
        <v>AR-SS0-4</v>
      </c>
      <c r="I34" s="661">
        <v>4</v>
      </c>
      <c r="J34" s="234">
        <v>1</v>
      </c>
      <c r="K34" s="232"/>
      <c r="L34" s="234"/>
      <c r="M34" s="197"/>
      <c r="Q34" s="237"/>
    </row>
    <row r="35" spans="1:18" s="233" customFormat="1" ht="13.5" hidden="1" customHeight="1" outlineLevel="1">
      <c r="A35" s="682"/>
      <c r="B35" s="299" t="s">
        <v>268</v>
      </c>
      <c r="C35" s="304" t="s">
        <v>269</v>
      </c>
      <c r="D35" s="685" t="s">
        <v>307</v>
      </c>
      <c r="E35" s="306" t="s">
        <v>308</v>
      </c>
      <c r="F35" s="307"/>
      <c r="G35" s="297" t="s">
        <v>272</v>
      </c>
      <c r="H35" s="308" t="str">
        <f t="shared" si="2"/>
        <v>AR-SS0-4</v>
      </c>
      <c r="I35" s="661">
        <v>4</v>
      </c>
      <c r="J35" s="197"/>
      <c r="K35" s="232"/>
      <c r="L35" s="234">
        <v>1</v>
      </c>
      <c r="M35" s="197">
        <v>1</v>
      </c>
      <c r="Q35" s="237"/>
    </row>
    <row r="36" spans="1:18" s="233" customFormat="1" ht="13.5" hidden="1" customHeight="1" outlineLevel="1">
      <c r="A36" s="682"/>
      <c r="B36" s="299" t="s">
        <v>268</v>
      </c>
      <c r="C36" s="304" t="s">
        <v>269</v>
      </c>
      <c r="D36" s="685" t="s">
        <v>309</v>
      </c>
      <c r="E36" s="306" t="s">
        <v>310</v>
      </c>
      <c r="F36" s="307"/>
      <c r="G36" s="297" t="s">
        <v>272</v>
      </c>
      <c r="H36" s="308" t="str">
        <f t="shared" si="2"/>
        <v>AR-SS0-4</v>
      </c>
      <c r="I36" s="661">
        <v>4</v>
      </c>
      <c r="J36" s="197">
        <v>1</v>
      </c>
      <c r="K36" s="232"/>
      <c r="L36" s="237"/>
      <c r="M36" s="197"/>
      <c r="Q36" s="237"/>
    </row>
    <row r="37" spans="1:18" s="233" customFormat="1" ht="13.5" hidden="1" customHeight="1" outlineLevel="1">
      <c r="A37" s="682"/>
      <c r="B37" s="299" t="s">
        <v>268</v>
      </c>
      <c r="C37" s="304" t="s">
        <v>269</v>
      </c>
      <c r="D37" s="685" t="s">
        <v>311</v>
      </c>
      <c r="E37" s="306" t="s">
        <v>312</v>
      </c>
      <c r="F37" s="307"/>
      <c r="G37" s="297" t="s">
        <v>272</v>
      </c>
      <c r="H37" s="308" t="str">
        <f t="shared" si="2"/>
        <v>AR-SS0-4</v>
      </c>
      <c r="I37" s="661">
        <v>4</v>
      </c>
      <c r="J37" s="197">
        <v>1</v>
      </c>
      <c r="K37" s="232"/>
      <c r="L37" s="237"/>
      <c r="M37" s="197"/>
      <c r="Q37" s="237"/>
    </row>
    <row r="38" spans="1:18" s="233" customFormat="1" ht="13.5" hidden="1" customHeight="1" outlineLevel="1">
      <c r="A38" s="682"/>
      <c r="B38" s="299" t="s">
        <v>268</v>
      </c>
      <c r="C38" s="304" t="s">
        <v>269</v>
      </c>
      <c r="D38" s="685" t="s">
        <v>313</v>
      </c>
      <c r="E38" s="306" t="s">
        <v>314</v>
      </c>
      <c r="F38" s="307"/>
      <c r="G38" s="297" t="s">
        <v>272</v>
      </c>
      <c r="H38" s="308" t="str">
        <f t="shared" si="2"/>
        <v>AR-SS0-4</v>
      </c>
      <c r="I38" s="661">
        <v>4</v>
      </c>
      <c r="J38" s="234">
        <v>1</v>
      </c>
      <c r="K38" s="232"/>
      <c r="L38" s="234"/>
      <c r="M38" s="197"/>
      <c r="Q38" s="237"/>
    </row>
    <row r="39" spans="1:18" s="233" customFormat="1" ht="13.5" hidden="1" customHeight="1" outlineLevel="1">
      <c r="A39" s="682"/>
      <c r="B39" s="299" t="s">
        <v>268</v>
      </c>
      <c r="C39" s="304" t="s">
        <v>269</v>
      </c>
      <c r="D39" s="685" t="s">
        <v>315</v>
      </c>
      <c r="E39" s="306" t="s">
        <v>316</v>
      </c>
      <c r="F39" s="307"/>
      <c r="G39" s="297" t="s">
        <v>272</v>
      </c>
      <c r="H39" s="308" t="str">
        <f t="shared" si="2"/>
        <v>AR-SS0-4</v>
      </c>
      <c r="I39" s="661">
        <v>4</v>
      </c>
      <c r="J39" s="234">
        <v>1</v>
      </c>
      <c r="K39" s="232"/>
      <c r="L39" s="234"/>
      <c r="M39" s="197"/>
      <c r="Q39" s="237"/>
    </row>
    <row r="40" spans="1:18" s="233" customFormat="1" ht="13.5" hidden="1" customHeight="1" outlineLevel="1">
      <c r="A40" s="682"/>
      <c r="B40" s="299" t="s">
        <v>268</v>
      </c>
      <c r="C40" s="304" t="s">
        <v>269</v>
      </c>
      <c r="D40" s="685" t="s">
        <v>317</v>
      </c>
      <c r="E40" s="306" t="s">
        <v>318</v>
      </c>
      <c r="F40" s="307"/>
      <c r="G40" s="297" t="s">
        <v>272</v>
      </c>
      <c r="H40" s="308" t="str">
        <f t="shared" si="2"/>
        <v>AR-SS0-4</v>
      </c>
      <c r="I40" s="661">
        <v>4</v>
      </c>
      <c r="J40" s="234">
        <v>1</v>
      </c>
      <c r="K40" s="232"/>
      <c r="L40" s="234"/>
      <c r="M40" s="197"/>
      <c r="Q40" s="237"/>
    </row>
    <row r="41" spans="1:18" s="233" customFormat="1" ht="3" hidden="1" customHeight="1" outlineLevel="1">
      <c r="A41" s="682"/>
      <c r="B41" s="299"/>
      <c r="C41" s="304"/>
      <c r="D41" s="685"/>
      <c r="E41" s="306" t="s">
        <v>277</v>
      </c>
      <c r="F41" s="307"/>
      <c r="G41" s="297"/>
      <c r="H41" s="308"/>
      <c r="I41" s="661"/>
      <c r="J41" s="197"/>
      <c r="K41" s="232"/>
      <c r="L41" s="234"/>
      <c r="M41" s="197"/>
      <c r="Q41" s="237"/>
    </row>
    <row r="42" spans="1:18" s="233" customFormat="1" ht="13.5" hidden="1" customHeight="1" outlineLevel="1">
      <c r="A42" s="682"/>
      <c r="B42" s="299" t="s">
        <v>319</v>
      </c>
      <c r="C42" s="304"/>
      <c r="D42" s="685"/>
      <c r="E42" s="306"/>
      <c r="F42" s="307"/>
      <c r="G42" s="297"/>
      <c r="H42" s="308"/>
      <c r="I42" s="661"/>
      <c r="J42" s="197"/>
      <c r="K42" s="232"/>
      <c r="L42" s="234"/>
      <c r="M42" s="197"/>
      <c r="Q42" s="237"/>
    </row>
    <row r="43" spans="1:18" s="233" customFormat="1" ht="13.5" hidden="1" customHeight="1" outlineLevel="1">
      <c r="A43" s="682"/>
      <c r="B43" s="299" t="s">
        <v>268</v>
      </c>
      <c r="C43" s="304" t="s">
        <v>269</v>
      </c>
      <c r="D43" s="685" t="s">
        <v>320</v>
      </c>
      <c r="E43" s="306" t="s">
        <v>321</v>
      </c>
      <c r="F43" s="307"/>
      <c r="G43" s="297" t="s">
        <v>272</v>
      </c>
      <c r="H43" s="308" t="str">
        <f>CONCATENATE("AR-",G43,"-",I43)</f>
        <v>AR-SS0-4</v>
      </c>
      <c r="I43" s="661">
        <v>4</v>
      </c>
      <c r="J43" s="197"/>
      <c r="K43" s="232"/>
      <c r="L43" s="234">
        <v>1</v>
      </c>
      <c r="M43" s="197">
        <v>1</v>
      </c>
      <c r="Q43" s="237"/>
    </row>
    <row r="44" spans="1:18" s="233" customFormat="1" ht="13.5" hidden="1" customHeight="1" outlineLevel="1">
      <c r="A44" s="682"/>
      <c r="B44" s="299" t="s">
        <v>268</v>
      </c>
      <c r="C44" s="304" t="s">
        <v>269</v>
      </c>
      <c r="D44" s="685" t="s">
        <v>322</v>
      </c>
      <c r="E44" s="306" t="s">
        <v>323</v>
      </c>
      <c r="F44" s="307"/>
      <c r="G44" s="297" t="s">
        <v>272</v>
      </c>
      <c r="H44" s="308" t="str">
        <f>CONCATENATE("AR-",G44,"-",I44)</f>
        <v>AR-SS0-4</v>
      </c>
      <c r="I44" s="661">
        <v>4</v>
      </c>
      <c r="J44" s="197"/>
      <c r="K44" s="232"/>
      <c r="L44" s="234">
        <v>1</v>
      </c>
      <c r="M44" s="197">
        <v>1</v>
      </c>
      <c r="Q44" s="237"/>
    </row>
    <row r="45" spans="1:18" s="233" customFormat="1" ht="13.5" hidden="1" customHeight="1" outlineLevel="1">
      <c r="A45" s="682"/>
      <c r="B45" s="299" t="s">
        <v>268</v>
      </c>
      <c r="C45" s="304" t="s">
        <v>269</v>
      </c>
      <c r="D45" s="685" t="s">
        <v>324</v>
      </c>
      <c r="E45" s="306" t="s">
        <v>325</v>
      </c>
      <c r="F45" s="307"/>
      <c r="G45" s="297" t="s">
        <v>272</v>
      </c>
      <c r="H45" s="308" t="str">
        <f>CONCATENATE("AR-",G45,"-",I45)</f>
        <v>AR-SS0-4</v>
      </c>
      <c r="I45" s="661">
        <v>4</v>
      </c>
      <c r="J45" s="197"/>
      <c r="K45" s="232"/>
      <c r="L45" s="234">
        <v>1</v>
      </c>
      <c r="M45" s="197">
        <v>1</v>
      </c>
      <c r="Q45" s="237"/>
    </row>
    <row r="46" spans="1:18" s="233" customFormat="1" ht="3" hidden="1" customHeight="1" outlineLevel="1">
      <c r="A46" s="181"/>
      <c r="B46" s="299"/>
      <c r="C46" s="304"/>
      <c r="D46" s="685"/>
      <c r="E46" s="306" t="s">
        <v>277</v>
      </c>
      <c r="F46" s="307"/>
      <c r="G46" s="297"/>
      <c r="H46" s="308"/>
      <c r="I46" s="661"/>
      <c r="J46" s="197"/>
      <c r="K46" s="232"/>
      <c r="L46" s="234"/>
      <c r="M46" s="197"/>
      <c r="Q46" s="237"/>
    </row>
    <row r="47" spans="1:18" s="233" customFormat="1" ht="14.25" hidden="1" customHeight="1" outlineLevel="1">
      <c r="A47" s="681"/>
      <c r="B47" s="299" t="s">
        <v>326</v>
      </c>
      <c r="C47" s="304"/>
      <c r="D47" s="685"/>
      <c r="E47" s="306"/>
      <c r="F47" s="307"/>
      <c r="G47" s="297"/>
      <c r="H47" s="308"/>
      <c r="I47" s="661"/>
      <c r="J47" s="197"/>
      <c r="K47" s="232"/>
      <c r="L47" s="234"/>
      <c r="M47" s="197"/>
      <c r="Q47" s="237"/>
    </row>
    <row r="48" spans="1:18" s="233" customFormat="1" ht="14.25" hidden="1" customHeight="1" outlineLevel="1">
      <c r="A48" s="681"/>
      <c r="B48" s="299" t="s">
        <v>268</v>
      </c>
      <c r="C48" s="304" t="s">
        <v>327</v>
      </c>
      <c r="D48" s="685" t="s">
        <v>328</v>
      </c>
      <c r="E48" s="306" t="s">
        <v>329</v>
      </c>
      <c r="F48" s="307"/>
      <c r="G48" s="297" t="s">
        <v>272</v>
      </c>
      <c r="H48" s="308" t="str">
        <f>CONCATENATE("AR-",G48,"-",I48)</f>
        <v>AR-SS0-2</v>
      </c>
      <c r="I48" s="661">
        <v>2</v>
      </c>
      <c r="J48" s="197">
        <v>1</v>
      </c>
      <c r="K48" s="232"/>
      <c r="L48" s="234"/>
      <c r="M48" s="197"/>
      <c r="Q48" s="237"/>
    </row>
    <row r="49" spans="1:21" s="233" customFormat="1" ht="14.25" hidden="1" customHeight="1" outlineLevel="1">
      <c r="A49" s="681"/>
      <c r="B49" s="299" t="s">
        <v>268</v>
      </c>
      <c r="C49" s="304" t="s">
        <v>327</v>
      </c>
      <c r="D49" s="685" t="s">
        <v>330</v>
      </c>
      <c r="E49" s="306" t="s">
        <v>331</v>
      </c>
      <c r="F49" s="307"/>
      <c r="G49" s="297" t="s">
        <v>272</v>
      </c>
      <c r="H49" s="308" t="str">
        <f>CONCATENATE("AR-",G49,"-",I49)</f>
        <v>AR-SS0-2</v>
      </c>
      <c r="I49" s="661">
        <v>2</v>
      </c>
      <c r="J49" s="197">
        <v>1</v>
      </c>
      <c r="K49" s="232"/>
      <c r="L49" s="234"/>
      <c r="M49" s="197"/>
      <c r="N49" s="197"/>
      <c r="O49" s="197"/>
      <c r="P49" s="197"/>
      <c r="Q49" s="234"/>
      <c r="R49" s="197"/>
      <c r="S49" s="197"/>
      <c r="T49" s="197"/>
      <c r="U49" s="197"/>
    </row>
    <row r="50" spans="1:21" s="233" customFormat="1" ht="14.25" hidden="1" customHeight="1" outlineLevel="1">
      <c r="A50" s="681"/>
      <c r="B50" s="299" t="s">
        <v>268</v>
      </c>
      <c r="C50" s="304" t="s">
        <v>327</v>
      </c>
      <c r="D50" s="685" t="s">
        <v>332</v>
      </c>
      <c r="E50" s="306" t="s">
        <v>333</v>
      </c>
      <c r="F50" s="307"/>
      <c r="G50" s="297" t="s">
        <v>272</v>
      </c>
      <c r="H50" s="308" t="str">
        <f>CONCATENATE("AR-",G50,"-",I50)</f>
        <v>AR-SS0-2</v>
      </c>
      <c r="I50" s="661">
        <v>2</v>
      </c>
      <c r="J50" s="197">
        <v>1</v>
      </c>
      <c r="K50" s="232"/>
      <c r="L50" s="234"/>
      <c r="M50" s="197"/>
      <c r="N50" s="197"/>
      <c r="O50" s="197"/>
      <c r="P50" s="197"/>
      <c r="Q50" s="234"/>
      <c r="R50" s="197"/>
      <c r="S50" s="197"/>
      <c r="T50" s="197"/>
      <c r="U50" s="197"/>
    </row>
    <row r="51" spans="1:21" s="233" customFormat="1" ht="3" hidden="1" customHeight="1" outlineLevel="1">
      <c r="A51" s="681"/>
      <c r="B51" s="299"/>
      <c r="C51" s="304"/>
      <c r="D51" s="685"/>
      <c r="E51" s="306" t="s">
        <v>277</v>
      </c>
      <c r="F51" s="307"/>
      <c r="G51" s="297"/>
      <c r="H51" s="308"/>
      <c r="I51" s="661"/>
      <c r="J51" s="197"/>
      <c r="K51" s="232"/>
      <c r="L51" s="234"/>
      <c r="M51" s="197"/>
      <c r="N51" s="197"/>
      <c r="O51" s="197"/>
      <c r="P51" s="197"/>
      <c r="Q51" s="234"/>
      <c r="R51" s="197"/>
      <c r="S51" s="197"/>
      <c r="T51" s="197"/>
      <c r="U51" s="197"/>
    </row>
    <row r="52" spans="1:21" s="233" customFormat="1" ht="14.25" hidden="1" customHeight="1" outlineLevel="1">
      <c r="A52" s="681"/>
      <c r="B52" s="299" t="s">
        <v>334</v>
      </c>
      <c r="C52" s="304"/>
      <c r="D52" s="685"/>
      <c r="E52" s="306"/>
      <c r="F52" s="307"/>
      <c r="G52" s="297"/>
      <c r="H52" s="308"/>
      <c r="I52" s="661"/>
      <c r="J52" s="197"/>
      <c r="K52" s="232"/>
      <c r="L52" s="234"/>
      <c r="M52" s="197"/>
      <c r="N52" s="197"/>
      <c r="O52" s="197"/>
      <c r="P52" s="197"/>
      <c r="Q52" s="234"/>
      <c r="R52" s="197"/>
      <c r="S52" s="197"/>
      <c r="T52" s="197"/>
      <c r="U52" s="197"/>
    </row>
    <row r="53" spans="1:21" s="233" customFormat="1" ht="14.25" hidden="1" customHeight="1" outlineLevel="1">
      <c r="A53" s="678"/>
      <c r="B53" s="299" t="s">
        <v>268</v>
      </c>
      <c r="C53" s="304" t="s">
        <v>327</v>
      </c>
      <c r="D53" s="685" t="s">
        <v>335</v>
      </c>
      <c r="E53" s="306" t="s">
        <v>336</v>
      </c>
      <c r="F53" s="307"/>
      <c r="G53" s="297" t="s">
        <v>272</v>
      </c>
      <c r="H53" s="308" t="str">
        <f>CONCATENATE("AR-",G53,"-",I53)</f>
        <v>AR-SS0-2</v>
      </c>
      <c r="I53" s="661">
        <v>2</v>
      </c>
      <c r="J53" s="197">
        <v>1</v>
      </c>
      <c r="K53" s="232"/>
      <c r="L53" s="234"/>
      <c r="M53" s="197"/>
      <c r="N53" s="197"/>
      <c r="O53" s="197"/>
      <c r="P53" s="197"/>
      <c r="Q53" s="234"/>
      <c r="R53" s="197"/>
      <c r="S53" s="197"/>
      <c r="T53" s="197"/>
      <c r="U53" s="197"/>
    </row>
    <row r="54" spans="1:21" s="233" customFormat="1" ht="14.25" hidden="1" customHeight="1" outlineLevel="1">
      <c r="A54" s="678"/>
      <c r="B54" s="299" t="s">
        <v>268</v>
      </c>
      <c r="C54" s="304" t="s">
        <v>327</v>
      </c>
      <c r="D54" s="685" t="s">
        <v>337</v>
      </c>
      <c r="E54" s="306" t="s">
        <v>338</v>
      </c>
      <c r="F54" s="307"/>
      <c r="G54" s="297" t="s">
        <v>272</v>
      </c>
      <c r="H54" s="308" t="str">
        <f>CONCATENATE("AR-",G54,"-",I54)</f>
        <v>AR-SS0-2</v>
      </c>
      <c r="I54" s="661">
        <v>2</v>
      </c>
      <c r="J54" s="197">
        <v>1</v>
      </c>
      <c r="K54" s="232"/>
      <c r="L54" s="234"/>
      <c r="M54" s="197"/>
      <c r="N54" s="197"/>
      <c r="O54" s="197"/>
      <c r="P54" s="197"/>
      <c r="Q54" s="234"/>
      <c r="R54" s="197"/>
      <c r="S54" s="197"/>
      <c r="T54" s="197"/>
      <c r="U54" s="197"/>
    </row>
    <row r="55" spans="1:21" s="233" customFormat="1" ht="3" hidden="1" customHeight="1" outlineLevel="1">
      <c r="A55" s="682"/>
      <c r="B55" s="299"/>
      <c r="C55" s="304"/>
      <c r="D55" s="685"/>
      <c r="E55" s="306" t="s">
        <v>277</v>
      </c>
      <c r="F55" s="307"/>
      <c r="G55" s="297"/>
      <c r="H55" s="308"/>
      <c r="I55" s="661"/>
      <c r="J55" s="197"/>
      <c r="K55" s="232"/>
      <c r="L55" s="234"/>
      <c r="M55" s="197"/>
      <c r="N55" s="197"/>
      <c r="O55" s="197"/>
      <c r="P55" s="197"/>
      <c r="Q55" s="234"/>
      <c r="R55" s="197"/>
      <c r="S55" s="197"/>
      <c r="T55" s="197"/>
      <c r="U55" s="197"/>
    </row>
    <row r="56" spans="1:21" s="233" customFormat="1" ht="3" customHeight="1">
      <c r="A56" s="682"/>
      <c r="B56" s="299"/>
      <c r="C56" s="304"/>
      <c r="D56" s="685"/>
      <c r="E56" s="306" t="s">
        <v>277</v>
      </c>
      <c r="F56" s="307"/>
      <c r="G56" s="297"/>
      <c r="H56" s="308"/>
      <c r="I56" s="661"/>
      <c r="J56" s="197"/>
      <c r="K56" s="232"/>
      <c r="L56" s="234"/>
      <c r="M56" s="197"/>
      <c r="N56" s="197"/>
      <c r="O56" s="197"/>
      <c r="P56" s="197"/>
      <c r="Q56" s="234"/>
      <c r="R56" s="197"/>
      <c r="S56" s="197"/>
      <c r="T56" s="197"/>
      <c r="U56" s="197"/>
    </row>
    <row r="57" spans="1:21" s="233" customFormat="1" ht="14.25" customHeight="1" collapsed="1">
      <c r="A57" s="382" t="s">
        <v>339</v>
      </c>
      <c r="B57" s="675"/>
      <c r="C57" s="676"/>
      <c r="D57" s="677"/>
      <c r="E57" s="676" t="s">
        <v>277</v>
      </c>
      <c r="F57" s="307"/>
      <c r="G57" s="297"/>
      <c r="H57" s="308"/>
      <c r="I57" s="665"/>
      <c r="J57" s="197"/>
      <c r="K57" s="232"/>
      <c r="L57" s="230">
        <f>SUM(L58:L164)</f>
        <v>0</v>
      </c>
      <c r="M57" s="188"/>
      <c r="N57" s="188"/>
      <c r="O57" s="188">
        <f t="shared" ref="O57:U57" si="3">SUM(O58:O164)</f>
        <v>0</v>
      </c>
      <c r="P57" s="188">
        <f t="shared" si="3"/>
        <v>0</v>
      </c>
      <c r="Q57" s="230">
        <f t="shared" si="3"/>
        <v>0</v>
      </c>
      <c r="R57" s="188">
        <f t="shared" si="3"/>
        <v>0</v>
      </c>
      <c r="S57" s="188">
        <f t="shared" si="3"/>
        <v>0</v>
      </c>
      <c r="T57" s="188">
        <f t="shared" si="3"/>
        <v>0</v>
      </c>
      <c r="U57" s="188">
        <f t="shared" si="3"/>
        <v>0</v>
      </c>
    </row>
    <row r="58" spans="1:21" s="233" customFormat="1" ht="3" hidden="1" customHeight="1" outlineLevel="1">
      <c r="A58" s="678"/>
      <c r="B58" s="299"/>
      <c r="C58" s="304"/>
      <c r="D58" s="685"/>
      <c r="E58" s="306" t="s">
        <v>277</v>
      </c>
      <c r="F58" s="307"/>
      <c r="G58" s="297"/>
      <c r="H58" s="308"/>
      <c r="I58" s="661"/>
      <c r="J58" s="197"/>
      <c r="K58" s="232"/>
      <c r="L58" s="234"/>
      <c r="M58" s="197"/>
      <c r="N58" s="197"/>
      <c r="O58" s="197"/>
      <c r="P58" s="197"/>
      <c r="Q58" s="234"/>
      <c r="R58" s="197"/>
      <c r="S58" s="197"/>
      <c r="T58" s="197"/>
      <c r="U58" s="197"/>
    </row>
    <row r="59" spans="1:21" s="233" customFormat="1" ht="13.5" hidden="1" customHeight="1" outlineLevel="1">
      <c r="A59" s="681"/>
      <c r="B59" s="299" t="s">
        <v>340</v>
      </c>
      <c r="C59" s="304"/>
      <c r="D59" s="685"/>
      <c r="E59" s="306" t="s">
        <v>277</v>
      </c>
      <c r="F59" s="307"/>
      <c r="G59" s="297"/>
      <c r="H59" s="308"/>
      <c r="I59" s="661"/>
      <c r="J59" s="197"/>
      <c r="K59" s="232"/>
      <c r="L59" s="234"/>
      <c r="M59" s="197"/>
      <c r="N59" s="197"/>
      <c r="O59" s="197"/>
      <c r="P59" s="197"/>
      <c r="Q59" s="234"/>
      <c r="R59" s="197"/>
      <c r="S59" s="197"/>
      <c r="T59" s="197"/>
      <c r="U59" s="197"/>
    </row>
    <row r="60" spans="1:21" s="233" customFormat="1" ht="13.5" hidden="1" customHeight="1" outlineLevel="1">
      <c r="A60" s="681"/>
      <c r="B60" s="299" t="s">
        <v>268</v>
      </c>
      <c r="C60" s="304" t="s">
        <v>341</v>
      </c>
      <c r="D60" s="685" t="s">
        <v>270</v>
      </c>
      <c r="E60" s="306" t="s">
        <v>271</v>
      </c>
      <c r="F60" s="307"/>
      <c r="G60" s="297" t="s">
        <v>342</v>
      </c>
      <c r="H60" s="308" t="str">
        <f>CONCATENATE("AR-",G60,"-",I60)</f>
        <v>AR-T01-1</v>
      </c>
      <c r="I60" s="661">
        <v>1</v>
      </c>
      <c r="J60" s="197">
        <v>1</v>
      </c>
      <c r="K60" s="232"/>
      <c r="L60" s="234"/>
      <c r="M60" s="197"/>
      <c r="N60" s="197"/>
      <c r="O60" s="197"/>
      <c r="P60" s="197"/>
      <c r="Q60" s="234"/>
      <c r="R60" s="197"/>
      <c r="S60" s="197"/>
      <c r="T60" s="197"/>
      <c r="U60" s="197"/>
    </row>
    <row r="61" spans="1:21" s="233" customFormat="1" ht="13.5" hidden="1" customHeight="1" outlineLevel="1">
      <c r="A61" s="681"/>
      <c r="B61" s="299" t="s">
        <v>268</v>
      </c>
      <c r="C61" s="304" t="s">
        <v>341</v>
      </c>
      <c r="D61" s="685" t="s">
        <v>273</v>
      </c>
      <c r="E61" s="306" t="s">
        <v>274</v>
      </c>
      <c r="F61" s="307"/>
      <c r="G61" s="297" t="s">
        <v>342</v>
      </c>
      <c r="H61" s="308" t="str">
        <f>CONCATENATE("AR-",G61,"-",I61)</f>
        <v>AR-T01-1</v>
      </c>
      <c r="I61" s="661">
        <v>1</v>
      </c>
      <c r="J61" s="197">
        <v>1</v>
      </c>
      <c r="K61" s="232"/>
      <c r="L61" s="234"/>
      <c r="M61" s="197"/>
      <c r="N61" s="197"/>
      <c r="O61" s="197"/>
      <c r="P61" s="197"/>
      <c r="Q61" s="234"/>
      <c r="R61" s="197"/>
      <c r="S61" s="197"/>
      <c r="T61" s="197"/>
      <c r="U61" s="197"/>
    </row>
    <row r="62" spans="1:21" s="233" customFormat="1" ht="3" hidden="1" customHeight="1" outlineLevel="1">
      <c r="A62" s="681"/>
      <c r="B62" s="299"/>
      <c r="C62" s="304"/>
      <c r="D62" s="685"/>
      <c r="E62" s="306" t="s">
        <v>277</v>
      </c>
      <c r="F62" s="307"/>
      <c r="G62" s="297"/>
      <c r="H62" s="308"/>
      <c r="I62" s="661"/>
      <c r="J62" s="197"/>
      <c r="K62" s="232"/>
      <c r="L62" s="234"/>
      <c r="M62" s="197"/>
      <c r="N62" s="197"/>
      <c r="O62" s="197"/>
      <c r="P62" s="197"/>
      <c r="Q62" s="234"/>
      <c r="R62" s="197"/>
      <c r="S62" s="197"/>
      <c r="T62" s="197"/>
      <c r="U62" s="197"/>
    </row>
    <row r="63" spans="1:21" s="233" customFormat="1" ht="13.5" hidden="1" customHeight="1" outlineLevel="1">
      <c r="A63" s="681"/>
      <c r="B63" s="299" t="s">
        <v>343</v>
      </c>
      <c r="C63" s="304"/>
      <c r="D63" s="685"/>
      <c r="E63" s="306" t="s">
        <v>277</v>
      </c>
      <c r="F63" s="307"/>
      <c r="G63" s="297"/>
      <c r="H63" s="308"/>
      <c r="I63" s="661"/>
      <c r="J63" s="197"/>
      <c r="K63" s="232"/>
      <c r="L63" s="234"/>
      <c r="M63" s="197"/>
      <c r="N63" s="197"/>
      <c r="O63" s="197"/>
      <c r="P63" s="197"/>
      <c r="Q63" s="234"/>
      <c r="R63" s="197"/>
      <c r="S63" s="197"/>
      <c r="T63" s="197"/>
      <c r="U63" s="197"/>
    </row>
    <row r="64" spans="1:21" s="233" customFormat="1" ht="13.5" hidden="1" customHeight="1" outlineLevel="1">
      <c r="A64" s="681"/>
      <c r="B64" s="299" t="s">
        <v>268</v>
      </c>
      <c r="C64" s="304" t="s">
        <v>341</v>
      </c>
      <c r="D64" s="685" t="s">
        <v>344</v>
      </c>
      <c r="E64" s="306" t="s">
        <v>345</v>
      </c>
      <c r="F64" s="307"/>
      <c r="G64" s="297" t="s">
        <v>342</v>
      </c>
      <c r="H64" s="308" t="str">
        <f>CONCATENATE("AR-",G64,"-",I64)</f>
        <v>AR-T01-1</v>
      </c>
      <c r="I64" s="661">
        <v>1</v>
      </c>
      <c r="J64" s="197">
        <v>1</v>
      </c>
      <c r="K64" s="232"/>
      <c r="L64" s="234"/>
      <c r="M64" s="197"/>
      <c r="N64" s="197"/>
      <c r="O64" s="197"/>
      <c r="P64" s="197"/>
      <c r="Q64" s="234"/>
      <c r="R64" s="197"/>
      <c r="S64" s="197"/>
      <c r="T64" s="197"/>
      <c r="U64" s="197"/>
    </row>
    <row r="65" spans="1:17" s="233" customFormat="1" ht="13.5" hidden="1" customHeight="1" outlineLevel="1">
      <c r="A65" s="681"/>
      <c r="B65" s="299" t="s">
        <v>268</v>
      </c>
      <c r="C65" s="304" t="s">
        <v>341</v>
      </c>
      <c r="D65" s="685" t="s">
        <v>346</v>
      </c>
      <c r="E65" s="306" t="s">
        <v>347</v>
      </c>
      <c r="F65" s="307"/>
      <c r="G65" s="297" t="s">
        <v>342</v>
      </c>
      <c r="H65" s="308" t="str">
        <f>CONCATENATE("AR-",G65,"-",I65)</f>
        <v>AR-T01-1</v>
      </c>
      <c r="I65" s="661">
        <v>1</v>
      </c>
      <c r="J65" s="197">
        <v>1</v>
      </c>
      <c r="L65" s="237"/>
      <c r="Q65" s="237"/>
    </row>
    <row r="66" spans="1:17" s="233" customFormat="1" ht="13.5" hidden="1" customHeight="1" outlineLevel="1">
      <c r="A66" s="681"/>
      <c r="B66" s="299" t="s">
        <v>268</v>
      </c>
      <c r="C66" s="304" t="s">
        <v>341</v>
      </c>
      <c r="D66" s="685" t="s">
        <v>348</v>
      </c>
      <c r="E66" s="306" t="s">
        <v>349</v>
      </c>
      <c r="F66" s="307"/>
      <c r="G66" s="297" t="s">
        <v>342</v>
      </c>
      <c r="H66" s="308" t="str">
        <f>CONCATENATE("AR-",G66,"-",I66)</f>
        <v>AR-T01-1</v>
      </c>
      <c r="I66" s="661">
        <v>1</v>
      </c>
      <c r="J66" s="197">
        <v>1</v>
      </c>
      <c r="L66" s="237"/>
      <c r="Q66" s="237"/>
    </row>
    <row r="67" spans="1:17" s="233" customFormat="1" ht="3" hidden="1" customHeight="1" outlineLevel="1">
      <c r="A67" s="681"/>
      <c r="B67" s="299"/>
      <c r="C67" s="304"/>
      <c r="D67" s="685"/>
      <c r="E67" s="306" t="s">
        <v>277</v>
      </c>
      <c r="F67" s="307"/>
      <c r="G67" s="297"/>
      <c r="H67" s="308"/>
      <c r="I67" s="661"/>
      <c r="J67" s="197"/>
      <c r="L67" s="237"/>
      <c r="Q67" s="237"/>
    </row>
    <row r="68" spans="1:17" s="233" customFormat="1" ht="13.5" hidden="1" customHeight="1" outlineLevel="1">
      <c r="A68" s="681"/>
      <c r="B68" s="299" t="s">
        <v>350</v>
      </c>
      <c r="C68" s="304"/>
      <c r="D68" s="685"/>
      <c r="E68" s="306"/>
      <c r="F68" s="307"/>
      <c r="G68" s="297"/>
      <c r="H68" s="308"/>
      <c r="I68" s="661"/>
      <c r="J68" s="197"/>
      <c r="L68" s="237"/>
      <c r="Q68" s="237"/>
    </row>
    <row r="69" spans="1:17" s="233" customFormat="1" ht="14.25" hidden="1" customHeight="1" outlineLevel="1">
      <c r="A69" s="681"/>
      <c r="B69" s="299" t="s">
        <v>268</v>
      </c>
      <c r="C69" s="304" t="s">
        <v>351</v>
      </c>
      <c r="D69" s="685" t="s">
        <v>352</v>
      </c>
      <c r="E69" s="306" t="s">
        <v>353</v>
      </c>
      <c r="F69" s="307"/>
      <c r="G69" s="297" t="s">
        <v>342</v>
      </c>
      <c r="H69" s="308" t="str">
        <f t="shared" ref="H69:H78" si="4">CONCATENATE("AR-",G69,"-",I69)</f>
        <v>AR-T01-1</v>
      </c>
      <c r="I69" s="661">
        <v>1</v>
      </c>
      <c r="J69" s="197">
        <v>1</v>
      </c>
      <c r="L69" s="237"/>
      <c r="Q69" s="237"/>
    </row>
    <row r="70" spans="1:17" s="233" customFormat="1" ht="14.25" hidden="1" customHeight="1" outlineLevel="1">
      <c r="A70" s="681"/>
      <c r="B70" s="299" t="s">
        <v>268</v>
      </c>
      <c r="C70" s="304" t="s">
        <v>341</v>
      </c>
      <c r="D70" s="685" t="s">
        <v>279</v>
      </c>
      <c r="E70" s="306" t="s">
        <v>354</v>
      </c>
      <c r="F70" s="307"/>
      <c r="G70" s="297" t="s">
        <v>342</v>
      </c>
      <c r="H70" s="308" t="str">
        <f t="shared" si="4"/>
        <v>AR-T01-2</v>
      </c>
      <c r="I70" s="661">
        <v>2</v>
      </c>
      <c r="J70" s="197">
        <v>1</v>
      </c>
      <c r="L70" s="237"/>
      <c r="Q70" s="237"/>
    </row>
    <row r="71" spans="1:17" s="233" customFormat="1" ht="14.25" hidden="1" customHeight="1" outlineLevel="1">
      <c r="A71" s="681"/>
      <c r="B71" s="299" t="s">
        <v>268</v>
      </c>
      <c r="C71" s="304" t="s">
        <v>341</v>
      </c>
      <c r="D71" s="685" t="s">
        <v>355</v>
      </c>
      <c r="E71" s="306" t="s">
        <v>356</v>
      </c>
      <c r="F71" s="307"/>
      <c r="G71" s="297" t="s">
        <v>342</v>
      </c>
      <c r="H71" s="308" t="str">
        <f t="shared" si="4"/>
        <v>AR-T01-1</v>
      </c>
      <c r="I71" s="661">
        <v>1</v>
      </c>
      <c r="J71" s="197">
        <v>1</v>
      </c>
      <c r="L71" s="237"/>
      <c r="Q71" s="237"/>
    </row>
    <row r="72" spans="1:17" s="233" customFormat="1" ht="14.25" hidden="1" customHeight="1" outlineLevel="1">
      <c r="A72" s="681"/>
      <c r="B72" s="299" t="s">
        <v>268</v>
      </c>
      <c r="C72" s="304" t="s">
        <v>341</v>
      </c>
      <c r="D72" s="685" t="s">
        <v>357</v>
      </c>
      <c r="E72" s="306" t="s">
        <v>358</v>
      </c>
      <c r="F72" s="307"/>
      <c r="G72" s="297" t="s">
        <v>342</v>
      </c>
      <c r="H72" s="308" t="str">
        <f t="shared" si="4"/>
        <v>AR-T01-1</v>
      </c>
      <c r="I72" s="661">
        <v>1</v>
      </c>
      <c r="J72" s="197">
        <v>1</v>
      </c>
      <c r="L72" s="237"/>
      <c r="Q72" s="237"/>
    </row>
    <row r="73" spans="1:17" s="233" customFormat="1" ht="14.25" hidden="1" customHeight="1" outlineLevel="1">
      <c r="A73" s="681"/>
      <c r="B73" s="299" t="s">
        <v>268</v>
      </c>
      <c r="C73" s="304" t="s">
        <v>341</v>
      </c>
      <c r="D73" s="685" t="s">
        <v>359</v>
      </c>
      <c r="E73" s="306" t="s">
        <v>360</v>
      </c>
      <c r="F73" s="307"/>
      <c r="G73" s="297" t="s">
        <v>342</v>
      </c>
      <c r="H73" s="308" t="str">
        <f t="shared" si="4"/>
        <v>AR-T01-1</v>
      </c>
      <c r="I73" s="661">
        <v>1</v>
      </c>
      <c r="J73" s="197">
        <v>1</v>
      </c>
      <c r="L73" s="237"/>
      <c r="Q73" s="237"/>
    </row>
    <row r="74" spans="1:17" s="233" customFormat="1" ht="14.25" hidden="1" customHeight="1" outlineLevel="1">
      <c r="A74" s="681"/>
      <c r="B74" s="299" t="s">
        <v>268</v>
      </c>
      <c r="C74" s="304" t="s">
        <v>341</v>
      </c>
      <c r="D74" s="685" t="s">
        <v>361</v>
      </c>
      <c r="E74" s="306" t="s">
        <v>362</v>
      </c>
      <c r="F74" s="307"/>
      <c r="G74" s="297" t="s">
        <v>342</v>
      </c>
      <c r="H74" s="308" t="str">
        <f t="shared" si="4"/>
        <v>AR-T01-1</v>
      </c>
      <c r="I74" s="661">
        <v>1</v>
      </c>
      <c r="J74" s="197">
        <v>1</v>
      </c>
      <c r="L74" s="237"/>
      <c r="Q74" s="237"/>
    </row>
    <row r="75" spans="1:17" s="233" customFormat="1" ht="14.25" hidden="1" customHeight="1" outlineLevel="1">
      <c r="A75" s="681"/>
      <c r="B75" s="299" t="s">
        <v>268</v>
      </c>
      <c r="C75" s="304" t="s">
        <v>341</v>
      </c>
      <c r="D75" s="685" t="s">
        <v>363</v>
      </c>
      <c r="E75" s="306" t="s">
        <v>364</v>
      </c>
      <c r="F75" s="307"/>
      <c r="G75" s="297" t="s">
        <v>342</v>
      </c>
      <c r="H75" s="308" t="str">
        <f t="shared" si="4"/>
        <v>AR-T01-1</v>
      </c>
      <c r="I75" s="661">
        <v>1</v>
      </c>
      <c r="J75" s="197">
        <v>1</v>
      </c>
      <c r="L75" s="237"/>
      <c r="Q75" s="237"/>
    </row>
    <row r="76" spans="1:17" s="233" customFormat="1" ht="14.25" hidden="1" customHeight="1" outlineLevel="1">
      <c r="A76" s="681"/>
      <c r="B76" s="299" t="s">
        <v>268</v>
      </c>
      <c r="C76" s="304" t="s">
        <v>341</v>
      </c>
      <c r="D76" s="685" t="s">
        <v>365</v>
      </c>
      <c r="E76" s="306" t="s">
        <v>366</v>
      </c>
      <c r="F76" s="307"/>
      <c r="G76" s="297" t="s">
        <v>342</v>
      </c>
      <c r="H76" s="308" t="str">
        <f t="shared" si="4"/>
        <v>AR-T01-1</v>
      </c>
      <c r="I76" s="661">
        <v>1</v>
      </c>
      <c r="J76" s="197">
        <v>1</v>
      </c>
      <c r="L76" s="237"/>
      <c r="Q76" s="237"/>
    </row>
    <row r="77" spans="1:17" s="233" customFormat="1" ht="14.25" hidden="1" customHeight="1" outlineLevel="1">
      <c r="A77" s="681"/>
      <c r="B77" s="299" t="s">
        <v>268</v>
      </c>
      <c r="C77" s="304" t="s">
        <v>341</v>
      </c>
      <c r="D77" s="685" t="s">
        <v>367</v>
      </c>
      <c r="E77" s="306" t="s">
        <v>368</v>
      </c>
      <c r="F77" s="307"/>
      <c r="G77" s="297" t="s">
        <v>342</v>
      </c>
      <c r="H77" s="308" t="str">
        <f t="shared" si="4"/>
        <v>AR-T01-1</v>
      </c>
      <c r="I77" s="661">
        <v>1</v>
      </c>
      <c r="J77" s="197">
        <v>1</v>
      </c>
      <c r="L77" s="237"/>
      <c r="Q77" s="237"/>
    </row>
    <row r="78" spans="1:17" s="233" customFormat="1" ht="14.25" hidden="1" customHeight="1" outlineLevel="1">
      <c r="A78" s="681"/>
      <c r="B78" s="299" t="s">
        <v>268</v>
      </c>
      <c r="C78" s="304" t="s">
        <v>341</v>
      </c>
      <c r="D78" s="685" t="s">
        <v>369</v>
      </c>
      <c r="E78" s="306" t="s">
        <v>370</v>
      </c>
      <c r="F78" s="307"/>
      <c r="G78" s="297" t="s">
        <v>342</v>
      </c>
      <c r="H78" s="308" t="str">
        <f t="shared" si="4"/>
        <v>AR-T01-1</v>
      </c>
      <c r="I78" s="661">
        <v>1</v>
      </c>
      <c r="J78" s="197">
        <v>1</v>
      </c>
      <c r="L78" s="237"/>
      <c r="Q78" s="237"/>
    </row>
    <row r="79" spans="1:17" s="233" customFormat="1" ht="13.5" hidden="1" customHeight="1" outlineLevel="1">
      <c r="A79" s="681"/>
      <c r="B79" s="299" t="s">
        <v>371</v>
      </c>
      <c r="C79" s="304"/>
      <c r="D79" s="685"/>
      <c r="E79" s="306" t="s">
        <v>277</v>
      </c>
      <c r="F79" s="307"/>
      <c r="G79" s="297"/>
      <c r="H79" s="308"/>
      <c r="I79" s="661"/>
      <c r="J79" s="197"/>
      <c r="L79" s="237"/>
      <c r="Q79" s="237"/>
    </row>
    <row r="80" spans="1:17" s="233" customFormat="1" ht="13.5" hidden="1" customHeight="1" outlineLevel="1">
      <c r="A80" s="681"/>
      <c r="B80" s="299" t="s">
        <v>268</v>
      </c>
      <c r="C80" s="304" t="s">
        <v>341</v>
      </c>
      <c r="D80" s="685" t="s">
        <v>372</v>
      </c>
      <c r="E80" s="306" t="s">
        <v>373</v>
      </c>
      <c r="F80" s="307"/>
      <c r="G80" s="297" t="s">
        <v>342</v>
      </c>
      <c r="H80" s="308" t="str">
        <f t="shared" ref="H80:H87" si="5">CONCATENATE("AR-",G80,"-",I80)</f>
        <v>AR-T01-3</v>
      </c>
      <c r="I80" s="661">
        <v>3</v>
      </c>
      <c r="J80" s="197">
        <v>1</v>
      </c>
      <c r="L80" s="237"/>
      <c r="Q80" s="237"/>
    </row>
    <row r="81" spans="1:17" s="233" customFormat="1" ht="14.25" hidden="1" customHeight="1" outlineLevel="1">
      <c r="A81" s="681"/>
      <c r="B81" s="299" t="s">
        <v>268</v>
      </c>
      <c r="C81" s="304" t="s">
        <v>351</v>
      </c>
      <c r="D81" s="685" t="s">
        <v>374</v>
      </c>
      <c r="E81" s="306" t="s">
        <v>375</v>
      </c>
      <c r="F81" s="307"/>
      <c r="G81" s="297" t="s">
        <v>342</v>
      </c>
      <c r="H81" s="308" t="str">
        <f t="shared" si="5"/>
        <v>AR-T01-3</v>
      </c>
      <c r="I81" s="661">
        <v>3</v>
      </c>
      <c r="J81" s="197">
        <v>1</v>
      </c>
      <c r="L81" s="237"/>
      <c r="Q81" s="237"/>
    </row>
    <row r="82" spans="1:17" s="233" customFormat="1" ht="14.25" hidden="1" customHeight="1" outlineLevel="1">
      <c r="A82" s="681"/>
      <c r="B82" s="299" t="s">
        <v>268</v>
      </c>
      <c r="C82" s="304" t="s">
        <v>351</v>
      </c>
      <c r="D82" s="685" t="s">
        <v>376</v>
      </c>
      <c r="E82" s="306" t="s">
        <v>377</v>
      </c>
      <c r="F82" s="307"/>
      <c r="G82" s="297" t="s">
        <v>342</v>
      </c>
      <c r="H82" s="308" t="str">
        <f t="shared" si="5"/>
        <v>AR-T01-3</v>
      </c>
      <c r="I82" s="661">
        <v>3</v>
      </c>
      <c r="J82" s="197">
        <v>1</v>
      </c>
      <c r="L82" s="237"/>
      <c r="Q82" s="237"/>
    </row>
    <row r="83" spans="1:17" s="233" customFormat="1" ht="14.25" hidden="1" customHeight="1" outlineLevel="1">
      <c r="A83" s="681"/>
      <c r="B83" s="299" t="s">
        <v>268</v>
      </c>
      <c r="C83" s="304" t="s">
        <v>341</v>
      </c>
      <c r="D83" s="685" t="s">
        <v>374</v>
      </c>
      <c r="E83" s="306" t="s">
        <v>378</v>
      </c>
      <c r="F83" s="307"/>
      <c r="G83" s="297" t="s">
        <v>342</v>
      </c>
      <c r="H83" s="308" t="str">
        <f t="shared" si="5"/>
        <v>AR-T01-4</v>
      </c>
      <c r="I83" s="661">
        <v>4</v>
      </c>
      <c r="J83" s="197">
        <v>1</v>
      </c>
      <c r="L83" s="237"/>
      <c r="Q83" s="237"/>
    </row>
    <row r="84" spans="1:17" s="233" customFormat="1" ht="14.25" hidden="1" customHeight="1" outlineLevel="1">
      <c r="A84" s="681"/>
      <c r="B84" s="299" t="s">
        <v>268</v>
      </c>
      <c r="C84" s="304" t="s">
        <v>341</v>
      </c>
      <c r="D84" s="685" t="s">
        <v>376</v>
      </c>
      <c r="E84" s="306" t="s">
        <v>379</v>
      </c>
      <c r="F84" s="307"/>
      <c r="G84" s="297" t="s">
        <v>342</v>
      </c>
      <c r="H84" s="308" t="str">
        <f t="shared" si="5"/>
        <v>AR-T01-5</v>
      </c>
      <c r="I84" s="661">
        <v>5</v>
      </c>
      <c r="J84" s="197">
        <v>1</v>
      </c>
      <c r="L84" s="237"/>
      <c r="Q84" s="237"/>
    </row>
    <row r="85" spans="1:17" s="239" customFormat="1" ht="14.25" hidden="1" customHeight="1" outlineLevel="1">
      <c r="A85" s="686"/>
      <c r="B85" s="299" t="s">
        <v>268</v>
      </c>
      <c r="C85" s="304" t="s">
        <v>341</v>
      </c>
      <c r="D85" s="685" t="s">
        <v>380</v>
      </c>
      <c r="E85" s="306" t="s">
        <v>381</v>
      </c>
      <c r="F85" s="307"/>
      <c r="G85" s="297" t="s">
        <v>342</v>
      </c>
      <c r="H85" s="308" t="str">
        <f t="shared" si="5"/>
        <v>AR-T01-6</v>
      </c>
      <c r="I85" s="661">
        <v>6</v>
      </c>
      <c r="J85" s="197">
        <v>1</v>
      </c>
      <c r="L85" s="707"/>
      <c r="Q85" s="707"/>
    </row>
    <row r="86" spans="1:17" s="233" customFormat="1" ht="14.25" hidden="1" customHeight="1" outlineLevel="1">
      <c r="A86" s="681"/>
      <c r="B86" s="299" t="s">
        <v>268</v>
      </c>
      <c r="C86" s="304" t="s">
        <v>341</v>
      </c>
      <c r="D86" s="685" t="s">
        <v>382</v>
      </c>
      <c r="E86" s="306" t="s">
        <v>383</v>
      </c>
      <c r="F86" s="307"/>
      <c r="G86" s="297" t="s">
        <v>342</v>
      </c>
      <c r="H86" s="308" t="str">
        <f t="shared" si="5"/>
        <v>AR-T01-8</v>
      </c>
      <c r="I86" s="661">
        <v>8</v>
      </c>
      <c r="J86" s="197">
        <v>1</v>
      </c>
      <c r="L86" s="237"/>
      <c r="Q86" s="237"/>
    </row>
    <row r="87" spans="1:17" s="233" customFormat="1" ht="14.25" hidden="1" customHeight="1" outlineLevel="1">
      <c r="A87" s="681"/>
      <c r="B87" s="299" t="s">
        <v>268</v>
      </c>
      <c r="C87" s="304" t="s">
        <v>341</v>
      </c>
      <c r="D87" s="685" t="s">
        <v>384</v>
      </c>
      <c r="E87" s="306" t="s">
        <v>385</v>
      </c>
      <c r="F87" s="307"/>
      <c r="G87" s="297" t="s">
        <v>342</v>
      </c>
      <c r="H87" s="308" t="str">
        <f t="shared" si="5"/>
        <v>AR-T01-8</v>
      </c>
      <c r="I87" s="661">
        <v>8</v>
      </c>
      <c r="J87" s="197">
        <v>1</v>
      </c>
      <c r="L87" s="237"/>
      <c r="Q87" s="237"/>
    </row>
    <row r="88" spans="1:17" s="233" customFormat="1" ht="13.5" hidden="1" customHeight="1" outlineLevel="1">
      <c r="A88" s="681"/>
      <c r="B88" s="299" t="s">
        <v>386</v>
      </c>
      <c r="C88" s="304"/>
      <c r="D88" s="685"/>
      <c r="E88" s="306"/>
      <c r="F88" s="307"/>
      <c r="G88" s="297"/>
      <c r="H88" s="308"/>
      <c r="I88" s="661"/>
      <c r="J88" s="197"/>
      <c r="L88" s="237"/>
      <c r="Q88" s="237"/>
    </row>
    <row r="89" spans="1:17" s="233" customFormat="1" ht="13.5" hidden="1" customHeight="1" outlineLevel="1">
      <c r="A89" s="681"/>
      <c r="B89" s="299" t="s">
        <v>268</v>
      </c>
      <c r="C89" s="304" t="s">
        <v>341</v>
      </c>
      <c r="D89" s="685" t="s">
        <v>387</v>
      </c>
      <c r="E89" s="306" t="s">
        <v>388</v>
      </c>
      <c r="F89" s="307"/>
      <c r="G89" s="297" t="s">
        <v>342</v>
      </c>
      <c r="H89" s="308" t="str">
        <f t="shared" ref="H89:H94" si="6">CONCATENATE("AR-",G89,"-",I89)</f>
        <v>AR-T01-3</v>
      </c>
      <c r="I89" s="661">
        <v>3</v>
      </c>
      <c r="J89" s="197">
        <v>1</v>
      </c>
      <c r="L89" s="237"/>
      <c r="Q89" s="237"/>
    </row>
    <row r="90" spans="1:17" s="233" customFormat="1" ht="14.25" hidden="1" customHeight="1" outlineLevel="1">
      <c r="A90" s="681"/>
      <c r="B90" s="299" t="s">
        <v>268</v>
      </c>
      <c r="C90" s="304" t="s">
        <v>341</v>
      </c>
      <c r="D90" s="685" t="s">
        <v>283</v>
      </c>
      <c r="E90" s="306" t="s">
        <v>389</v>
      </c>
      <c r="F90" s="307"/>
      <c r="G90" s="297" t="s">
        <v>342</v>
      </c>
      <c r="H90" s="308" t="str">
        <f t="shared" si="6"/>
        <v>AR-T01-4</v>
      </c>
      <c r="I90" s="661">
        <v>4</v>
      </c>
      <c r="J90" s="197">
        <v>1</v>
      </c>
      <c r="L90" s="237"/>
      <c r="Q90" s="237"/>
    </row>
    <row r="91" spans="1:17" s="233" customFormat="1" ht="14.25" hidden="1" customHeight="1" outlineLevel="1">
      <c r="A91" s="681"/>
      <c r="B91" s="299" t="s">
        <v>268</v>
      </c>
      <c r="C91" s="304" t="s">
        <v>341</v>
      </c>
      <c r="D91" s="685" t="s">
        <v>390</v>
      </c>
      <c r="E91" s="306" t="s">
        <v>391</v>
      </c>
      <c r="F91" s="307"/>
      <c r="G91" s="297" t="s">
        <v>342</v>
      </c>
      <c r="H91" s="308" t="str">
        <f t="shared" si="6"/>
        <v>AR-T01-5</v>
      </c>
      <c r="I91" s="661">
        <v>5</v>
      </c>
      <c r="J91" s="197">
        <v>1</v>
      </c>
      <c r="L91" s="237"/>
      <c r="Q91" s="237"/>
    </row>
    <row r="92" spans="1:17" s="233" customFormat="1" ht="14.25" hidden="1" customHeight="1" outlineLevel="1">
      <c r="A92" s="681"/>
      <c r="B92" s="299" t="s">
        <v>268</v>
      </c>
      <c r="C92" s="304" t="s">
        <v>341</v>
      </c>
      <c r="D92" s="685" t="s">
        <v>392</v>
      </c>
      <c r="E92" s="306" t="s">
        <v>393</v>
      </c>
      <c r="F92" s="307"/>
      <c r="G92" s="297" t="s">
        <v>342</v>
      </c>
      <c r="H92" s="308" t="str">
        <f t="shared" si="6"/>
        <v>AR-T01-6</v>
      </c>
      <c r="I92" s="661">
        <v>6</v>
      </c>
      <c r="J92" s="197">
        <v>1</v>
      </c>
      <c r="L92" s="237"/>
      <c r="Q92" s="237"/>
    </row>
    <row r="93" spans="1:17" s="233" customFormat="1" ht="14.25" hidden="1" customHeight="1" outlineLevel="1">
      <c r="A93" s="681"/>
      <c r="B93" s="299" t="s">
        <v>268</v>
      </c>
      <c r="C93" s="304" t="s">
        <v>341</v>
      </c>
      <c r="D93" s="685" t="s">
        <v>394</v>
      </c>
      <c r="E93" s="306" t="s">
        <v>395</v>
      </c>
      <c r="F93" s="307"/>
      <c r="G93" s="297" t="s">
        <v>342</v>
      </c>
      <c r="H93" s="308" t="str">
        <f t="shared" si="6"/>
        <v>AR-T01-5</v>
      </c>
      <c r="I93" s="661">
        <v>5</v>
      </c>
      <c r="J93" s="197">
        <v>1</v>
      </c>
      <c r="L93" s="237"/>
      <c r="Q93" s="237"/>
    </row>
    <row r="94" spans="1:17" s="233" customFormat="1" ht="14.25" hidden="1" customHeight="1" outlineLevel="1">
      <c r="A94" s="681"/>
      <c r="B94" s="299" t="s">
        <v>268</v>
      </c>
      <c r="C94" s="304" t="s">
        <v>341</v>
      </c>
      <c r="D94" s="685" t="s">
        <v>396</v>
      </c>
      <c r="E94" s="306" t="s">
        <v>397</v>
      </c>
      <c r="F94" s="307"/>
      <c r="G94" s="297" t="s">
        <v>342</v>
      </c>
      <c r="H94" s="308" t="str">
        <f t="shared" si="6"/>
        <v>AR-T01-8</v>
      </c>
      <c r="I94" s="661">
        <v>8</v>
      </c>
      <c r="J94" s="197">
        <v>1</v>
      </c>
      <c r="L94" s="237"/>
      <c r="Q94" s="237"/>
    </row>
    <row r="95" spans="1:17" s="233" customFormat="1" ht="3" hidden="1" customHeight="1" outlineLevel="1">
      <c r="A95" s="681"/>
      <c r="B95" s="299"/>
      <c r="C95" s="304"/>
      <c r="D95" s="685"/>
      <c r="E95" s="306" t="s">
        <v>277</v>
      </c>
      <c r="F95" s="307"/>
      <c r="G95" s="297"/>
      <c r="H95" s="308"/>
      <c r="I95" s="661"/>
      <c r="J95" s="197"/>
      <c r="L95" s="237"/>
      <c r="Q95" s="237"/>
    </row>
    <row r="96" spans="1:17" s="233" customFormat="1" ht="13.5" hidden="1" customHeight="1" outlineLevel="1">
      <c r="A96" s="681"/>
      <c r="B96" s="299" t="s">
        <v>326</v>
      </c>
      <c r="C96" s="304"/>
      <c r="D96" s="685"/>
      <c r="E96" s="306"/>
      <c r="F96" s="307"/>
      <c r="G96" s="297"/>
      <c r="H96" s="308"/>
      <c r="I96" s="661"/>
      <c r="J96" s="197"/>
      <c r="L96" s="237"/>
      <c r="Q96" s="237"/>
    </row>
    <row r="97" spans="1:17" s="233" customFormat="1" ht="14.25" hidden="1" customHeight="1" outlineLevel="1">
      <c r="A97" s="681"/>
      <c r="B97" s="299" t="s">
        <v>268</v>
      </c>
      <c r="C97" s="304" t="s">
        <v>341</v>
      </c>
      <c r="D97" s="685" t="s">
        <v>328</v>
      </c>
      <c r="E97" s="306" t="s">
        <v>398</v>
      </c>
      <c r="F97" s="307"/>
      <c r="G97" s="297" t="s">
        <v>342</v>
      </c>
      <c r="H97" s="308" t="str">
        <f>CONCATENATE("AR-",G97,"-",I97)</f>
        <v>AR-T01-1</v>
      </c>
      <c r="I97" s="661">
        <v>1</v>
      </c>
      <c r="J97" s="197">
        <v>1</v>
      </c>
      <c r="L97" s="237"/>
      <c r="Q97" s="237"/>
    </row>
    <row r="98" spans="1:17" s="233" customFormat="1" ht="14.25" hidden="1" customHeight="1" outlineLevel="1">
      <c r="A98" s="681"/>
      <c r="B98" s="299" t="s">
        <v>268</v>
      </c>
      <c r="C98" s="304" t="s">
        <v>341</v>
      </c>
      <c r="D98" s="685" t="s">
        <v>330</v>
      </c>
      <c r="E98" s="306" t="s">
        <v>399</v>
      </c>
      <c r="F98" s="307"/>
      <c r="G98" s="297" t="s">
        <v>342</v>
      </c>
      <c r="H98" s="308" t="str">
        <f>CONCATENATE("AR-",G98,"-",I98)</f>
        <v>AR-T01-1</v>
      </c>
      <c r="I98" s="661">
        <v>1</v>
      </c>
      <c r="J98" s="197">
        <v>1</v>
      </c>
      <c r="L98" s="237"/>
      <c r="Q98" s="237"/>
    </row>
    <row r="99" spans="1:17" s="233" customFormat="1" ht="3" hidden="1" customHeight="1" outlineLevel="1">
      <c r="A99" s="681"/>
      <c r="B99" s="299"/>
      <c r="C99" s="304"/>
      <c r="D99" s="685"/>
      <c r="E99" s="306" t="s">
        <v>277</v>
      </c>
      <c r="F99" s="307"/>
      <c r="G99" s="297"/>
      <c r="H99" s="308"/>
      <c r="I99" s="661"/>
      <c r="J99" s="197"/>
      <c r="L99" s="237"/>
      <c r="Q99" s="237"/>
    </row>
    <row r="100" spans="1:17" s="233" customFormat="1" ht="13.5" hidden="1" customHeight="1" outlineLevel="1">
      <c r="A100" s="681"/>
      <c r="B100" s="299" t="s">
        <v>334</v>
      </c>
      <c r="C100" s="304"/>
      <c r="D100" s="685"/>
      <c r="E100" s="306"/>
      <c r="F100" s="307"/>
      <c r="G100" s="297"/>
      <c r="H100" s="308"/>
      <c r="I100" s="661"/>
      <c r="J100" s="197"/>
      <c r="L100" s="237"/>
      <c r="Q100" s="237"/>
    </row>
    <row r="101" spans="1:17" s="233" customFormat="1" ht="14.25" hidden="1" customHeight="1" outlineLevel="1">
      <c r="A101" s="681"/>
      <c r="B101" s="299" t="s">
        <v>268</v>
      </c>
      <c r="C101" s="304" t="s">
        <v>341</v>
      </c>
      <c r="D101" s="685" t="s">
        <v>335</v>
      </c>
      <c r="E101" s="306" t="s">
        <v>400</v>
      </c>
      <c r="F101" s="307"/>
      <c r="G101" s="297" t="s">
        <v>342</v>
      </c>
      <c r="H101" s="308" t="str">
        <f>CONCATENATE("AR-",G101,"-",I101)</f>
        <v>AR-T01-1</v>
      </c>
      <c r="I101" s="661">
        <v>1</v>
      </c>
      <c r="J101" s="197">
        <v>1</v>
      </c>
      <c r="L101" s="237"/>
      <c r="Q101" s="237"/>
    </row>
    <row r="102" spans="1:17" s="233" customFormat="1" ht="14.25" hidden="1" customHeight="1" outlineLevel="1">
      <c r="A102" s="681"/>
      <c r="B102" s="299" t="s">
        <v>268</v>
      </c>
      <c r="C102" s="304" t="s">
        <v>341</v>
      </c>
      <c r="D102" s="685" t="s">
        <v>337</v>
      </c>
      <c r="E102" s="306" t="s">
        <v>400</v>
      </c>
      <c r="F102" s="307"/>
      <c r="G102" s="297" t="s">
        <v>342</v>
      </c>
      <c r="H102" s="308" t="str">
        <f>CONCATENATE("AR-",G102,"-",I102)</f>
        <v>AR-T01-1</v>
      </c>
      <c r="I102" s="661">
        <v>1</v>
      </c>
      <c r="J102" s="197">
        <v>1</v>
      </c>
      <c r="L102" s="237"/>
      <c r="Q102" s="237"/>
    </row>
    <row r="103" spans="1:17" s="233" customFormat="1" ht="3" hidden="1" customHeight="1" outlineLevel="1">
      <c r="A103" s="681"/>
      <c r="B103" s="299"/>
      <c r="C103" s="304"/>
      <c r="D103" s="685"/>
      <c r="E103" s="306" t="s">
        <v>277</v>
      </c>
      <c r="F103" s="307"/>
      <c r="G103" s="297"/>
      <c r="H103" s="308"/>
      <c r="I103" s="661"/>
      <c r="J103" s="197"/>
      <c r="L103" s="237"/>
      <c r="Q103" s="237"/>
    </row>
    <row r="104" spans="1:17" s="233" customFormat="1" ht="13.5" hidden="1" customHeight="1" outlineLevel="1">
      <c r="A104" s="681"/>
      <c r="B104" s="299" t="s">
        <v>401</v>
      </c>
      <c r="C104" s="304"/>
      <c r="D104" s="685"/>
      <c r="E104" s="306"/>
      <c r="F104" s="307"/>
      <c r="G104" s="297"/>
      <c r="H104" s="308"/>
      <c r="I104" s="661"/>
      <c r="J104" s="197"/>
      <c r="L104" s="237"/>
      <c r="Q104" s="237"/>
    </row>
    <row r="105" spans="1:17" s="233" customFormat="1" ht="13.5" hidden="1" outlineLevel="1">
      <c r="A105" s="681"/>
      <c r="B105" s="299" t="s">
        <v>268</v>
      </c>
      <c r="C105" s="304" t="s">
        <v>351</v>
      </c>
      <c r="D105" s="685" t="s">
        <v>402</v>
      </c>
      <c r="E105" s="306" t="s">
        <v>403</v>
      </c>
      <c r="F105" s="307"/>
      <c r="G105" s="297" t="s">
        <v>342</v>
      </c>
      <c r="H105" s="308" t="str">
        <f>CONCATENATE("AR-",G105,"-",I105)</f>
        <v>AR-T01-3</v>
      </c>
      <c r="I105" s="661">
        <v>3</v>
      </c>
      <c r="J105" s="197">
        <v>1</v>
      </c>
      <c r="L105" s="237"/>
      <c r="Q105" s="237"/>
    </row>
    <row r="106" spans="1:17" s="233" customFormat="1" ht="3" hidden="1" customHeight="1" outlineLevel="1">
      <c r="A106" s="681"/>
      <c r="B106" s="299"/>
      <c r="C106" s="304"/>
      <c r="D106" s="685"/>
      <c r="E106" s="306" t="s">
        <v>277</v>
      </c>
      <c r="F106" s="307"/>
      <c r="G106" s="297"/>
      <c r="H106" s="308"/>
      <c r="I106" s="661"/>
      <c r="J106" s="197"/>
      <c r="L106" s="237"/>
      <c r="Q106" s="237"/>
    </row>
    <row r="107" spans="1:17" s="233" customFormat="1" ht="13.5" hidden="1" customHeight="1" outlineLevel="1">
      <c r="A107" s="681"/>
      <c r="B107" s="299" t="s">
        <v>300</v>
      </c>
      <c r="C107" s="304"/>
      <c r="D107" s="685"/>
      <c r="E107" s="306" t="s">
        <v>277</v>
      </c>
      <c r="F107" s="307"/>
      <c r="G107" s="297"/>
      <c r="H107" s="308"/>
      <c r="I107" s="661"/>
      <c r="J107" s="197"/>
      <c r="L107" s="237"/>
      <c r="Q107" s="237"/>
    </row>
    <row r="108" spans="1:17" s="233" customFormat="1" ht="13.5" hidden="1" outlineLevel="1">
      <c r="A108" s="681"/>
      <c r="B108" s="299" t="s">
        <v>268</v>
      </c>
      <c r="C108" s="304" t="s">
        <v>341</v>
      </c>
      <c r="D108" s="685" t="s">
        <v>301</v>
      </c>
      <c r="E108" s="306" t="s">
        <v>404</v>
      </c>
      <c r="F108" s="307"/>
      <c r="G108" s="297" t="s">
        <v>342</v>
      </c>
      <c r="H108" s="308" t="str">
        <f>CONCATENATE("AR-",G108,"-",I108)</f>
        <v>AR-T01-7</v>
      </c>
      <c r="I108" s="661">
        <v>7</v>
      </c>
      <c r="J108" s="197">
        <v>1</v>
      </c>
      <c r="L108" s="237"/>
      <c r="Q108" s="237"/>
    </row>
    <row r="109" spans="1:17" s="233" customFormat="1" ht="13.5" hidden="1" outlineLevel="1">
      <c r="A109" s="681"/>
      <c r="B109" s="299" t="s">
        <v>268</v>
      </c>
      <c r="C109" s="304" t="s">
        <v>341</v>
      </c>
      <c r="D109" s="685" t="s">
        <v>303</v>
      </c>
      <c r="E109" s="306" t="s">
        <v>405</v>
      </c>
      <c r="F109" s="307"/>
      <c r="G109" s="297" t="s">
        <v>342</v>
      </c>
      <c r="H109" s="308" t="str">
        <f>CONCATENATE("AR-",G109,"-",I109)</f>
        <v>AR-T01-7</v>
      </c>
      <c r="I109" s="661">
        <v>7</v>
      </c>
      <c r="J109" s="197">
        <v>1</v>
      </c>
      <c r="L109" s="237"/>
      <c r="Q109" s="237"/>
    </row>
    <row r="110" spans="1:17" s="233" customFormat="1" ht="3" hidden="1" customHeight="1" outlineLevel="1">
      <c r="A110" s="681"/>
      <c r="B110" s="299"/>
      <c r="C110" s="304"/>
      <c r="D110" s="685"/>
      <c r="E110" s="306" t="s">
        <v>277</v>
      </c>
      <c r="F110" s="307"/>
      <c r="G110" s="297"/>
      <c r="H110" s="308"/>
      <c r="I110" s="661"/>
      <c r="J110" s="197"/>
      <c r="L110" s="237"/>
      <c r="Q110" s="237"/>
    </row>
    <row r="111" spans="1:17" s="233" customFormat="1" ht="13.5" hidden="1" customHeight="1" outlineLevel="1">
      <c r="A111" s="681"/>
      <c r="B111" s="299" t="s">
        <v>406</v>
      </c>
      <c r="C111" s="304"/>
      <c r="D111" s="685"/>
      <c r="E111" s="306"/>
      <c r="F111" s="307"/>
      <c r="G111" s="297"/>
      <c r="H111" s="308"/>
      <c r="I111" s="661"/>
      <c r="J111" s="197"/>
      <c r="L111" s="237"/>
      <c r="Q111" s="237"/>
    </row>
    <row r="112" spans="1:17" s="233" customFormat="1" ht="13.5" hidden="1" outlineLevel="1">
      <c r="A112" s="681"/>
      <c r="B112" s="299" t="s">
        <v>268</v>
      </c>
      <c r="C112" s="304" t="s">
        <v>341</v>
      </c>
      <c r="D112" s="685" t="s">
        <v>407</v>
      </c>
      <c r="E112" s="306" t="s">
        <v>408</v>
      </c>
      <c r="F112" s="307"/>
      <c r="G112" s="297" t="s">
        <v>342</v>
      </c>
      <c r="H112" s="308" t="str">
        <f>CONCATENATE("AR-",G112,"-",I112)</f>
        <v>AR-T01-7</v>
      </c>
      <c r="I112" s="661">
        <v>7</v>
      </c>
      <c r="J112" s="197">
        <v>1</v>
      </c>
      <c r="L112" s="237"/>
      <c r="Q112" s="237"/>
    </row>
    <row r="113" spans="1:17" s="233" customFormat="1" ht="13.5" hidden="1" outlineLevel="1">
      <c r="A113" s="681"/>
      <c r="B113" s="299" t="s">
        <v>268</v>
      </c>
      <c r="C113" s="304" t="s">
        <v>341</v>
      </c>
      <c r="D113" s="685" t="s">
        <v>409</v>
      </c>
      <c r="E113" s="306" t="s">
        <v>410</v>
      </c>
      <c r="F113" s="307"/>
      <c r="G113" s="297" t="s">
        <v>342</v>
      </c>
      <c r="H113" s="308" t="str">
        <f>CONCATENATE("AR-",G113,"-",I113)</f>
        <v>AR-T01-7</v>
      </c>
      <c r="I113" s="661">
        <v>7</v>
      </c>
      <c r="J113" s="197">
        <v>1</v>
      </c>
      <c r="L113" s="237"/>
      <c r="Q113" s="237"/>
    </row>
    <row r="114" spans="1:17" s="233" customFormat="1" ht="13.5" hidden="1" outlineLevel="1">
      <c r="A114" s="681"/>
      <c r="B114" s="299" t="s">
        <v>268</v>
      </c>
      <c r="C114" s="304" t="s">
        <v>341</v>
      </c>
      <c r="D114" s="685" t="s">
        <v>411</v>
      </c>
      <c r="E114" s="306" t="s">
        <v>412</v>
      </c>
      <c r="F114" s="307"/>
      <c r="G114" s="297" t="s">
        <v>342</v>
      </c>
      <c r="H114" s="308" t="str">
        <f>CONCATENATE("AR-",G114,"-",I114)</f>
        <v>AR-T01-7</v>
      </c>
      <c r="I114" s="661">
        <v>7</v>
      </c>
      <c r="J114" s="197">
        <v>1</v>
      </c>
      <c r="L114" s="237"/>
      <c r="Q114" s="237"/>
    </row>
    <row r="115" spans="1:17" s="233" customFormat="1" ht="13.5" hidden="1" outlineLevel="1">
      <c r="A115" s="681"/>
      <c r="B115" s="299" t="s">
        <v>268</v>
      </c>
      <c r="C115" s="304" t="s">
        <v>341</v>
      </c>
      <c r="D115" s="685" t="s">
        <v>413</v>
      </c>
      <c r="E115" s="306" t="s">
        <v>414</v>
      </c>
      <c r="F115" s="307"/>
      <c r="G115" s="297" t="s">
        <v>342</v>
      </c>
      <c r="H115" s="308" t="str">
        <f>CONCATENATE("AR-",G115,"-",I115)</f>
        <v>AR-T01-7</v>
      </c>
      <c r="I115" s="661">
        <v>7</v>
      </c>
      <c r="J115" s="197">
        <v>1</v>
      </c>
      <c r="L115" s="237"/>
      <c r="Q115" s="237"/>
    </row>
    <row r="116" spans="1:17" s="233" customFormat="1" ht="13.5" hidden="1" outlineLevel="1">
      <c r="A116" s="681"/>
      <c r="B116" s="299" t="s">
        <v>268</v>
      </c>
      <c r="C116" s="304" t="s">
        <v>341</v>
      </c>
      <c r="D116" s="685" t="s">
        <v>415</v>
      </c>
      <c r="E116" s="306" t="s">
        <v>416</v>
      </c>
      <c r="F116" s="307"/>
      <c r="G116" s="297" t="s">
        <v>342</v>
      </c>
      <c r="H116" s="308" t="str">
        <f>CONCATENATE("AR-",G116,"-",I116)</f>
        <v>AR-T01-7</v>
      </c>
      <c r="I116" s="661">
        <v>7</v>
      </c>
      <c r="J116" s="197">
        <v>1</v>
      </c>
      <c r="L116" s="237"/>
      <c r="Q116" s="237"/>
    </row>
    <row r="117" spans="1:17" s="233" customFormat="1" ht="3" hidden="1" customHeight="1" outlineLevel="1">
      <c r="A117" s="681"/>
      <c r="B117" s="299"/>
      <c r="C117" s="304"/>
      <c r="D117" s="685"/>
      <c r="E117" s="306" t="s">
        <v>277</v>
      </c>
      <c r="F117" s="307"/>
      <c r="G117" s="297"/>
      <c r="H117" s="308"/>
      <c r="I117" s="661"/>
      <c r="J117" s="197"/>
      <c r="L117" s="237"/>
      <c r="Q117" s="237"/>
    </row>
    <row r="118" spans="1:17" s="233" customFormat="1" ht="13.5" hidden="1" customHeight="1" outlineLevel="1">
      <c r="A118" s="681"/>
      <c r="B118" s="299" t="s">
        <v>417</v>
      </c>
      <c r="C118" s="304"/>
      <c r="D118" s="685"/>
      <c r="E118" s="306"/>
      <c r="F118" s="307"/>
      <c r="G118" s="297"/>
      <c r="H118" s="308"/>
      <c r="I118" s="661"/>
      <c r="J118" s="197"/>
      <c r="L118" s="237"/>
      <c r="Q118" s="237"/>
    </row>
    <row r="119" spans="1:17" s="243" customFormat="1" ht="13.5" hidden="1" outlineLevel="1">
      <c r="A119" s="687"/>
      <c r="B119" s="299" t="s">
        <v>268</v>
      </c>
      <c r="C119" s="304" t="s">
        <v>341</v>
      </c>
      <c r="D119" s="685" t="s">
        <v>418</v>
      </c>
      <c r="E119" s="306" t="s">
        <v>419</v>
      </c>
      <c r="F119" s="307"/>
      <c r="G119" s="297" t="s">
        <v>342</v>
      </c>
      <c r="H119" s="308" t="str">
        <f>CONCATENATE("AR-",G119,"-",I119)</f>
        <v>AR-T01-1</v>
      </c>
      <c r="I119" s="661">
        <v>1</v>
      </c>
      <c r="J119" s="197">
        <v>1</v>
      </c>
      <c r="L119" s="708"/>
      <c r="Q119" s="708"/>
    </row>
    <row r="120" spans="1:17" s="233" customFormat="1" ht="13.5" hidden="1" outlineLevel="1">
      <c r="A120" s="681"/>
      <c r="B120" s="299" t="s">
        <v>268</v>
      </c>
      <c r="C120" s="304" t="s">
        <v>341</v>
      </c>
      <c r="D120" s="685" t="s">
        <v>420</v>
      </c>
      <c r="E120" s="306" t="s">
        <v>421</v>
      </c>
      <c r="F120" s="307"/>
      <c r="G120" s="297" t="s">
        <v>342</v>
      </c>
      <c r="H120" s="308" t="str">
        <f>CONCATENATE("AR-",G120,"-",I120)</f>
        <v>AR-T01-1</v>
      </c>
      <c r="I120" s="661">
        <v>1</v>
      </c>
      <c r="J120" s="197">
        <v>1</v>
      </c>
      <c r="L120" s="237"/>
      <c r="Q120" s="237"/>
    </row>
    <row r="121" spans="1:17" s="243" customFormat="1" ht="13.5" hidden="1" outlineLevel="1">
      <c r="A121" s="687"/>
      <c r="B121" s="299" t="s">
        <v>268</v>
      </c>
      <c r="C121" s="304" t="s">
        <v>341</v>
      </c>
      <c r="D121" s="685" t="s">
        <v>422</v>
      </c>
      <c r="E121" s="306" t="s">
        <v>423</v>
      </c>
      <c r="F121" s="307"/>
      <c r="G121" s="297" t="s">
        <v>342</v>
      </c>
      <c r="H121" s="308" t="str">
        <f>CONCATENATE("AR-",G121,"-",I121)</f>
        <v>AR-T01-1</v>
      </c>
      <c r="I121" s="661">
        <v>1</v>
      </c>
      <c r="J121" s="197">
        <v>1</v>
      </c>
      <c r="L121" s="708"/>
      <c r="Q121" s="708"/>
    </row>
    <row r="122" spans="1:17" s="243" customFormat="1" ht="3" hidden="1" customHeight="1" outlineLevel="1">
      <c r="A122" s="687"/>
      <c r="B122" s="299"/>
      <c r="C122" s="304"/>
      <c r="D122" s="685"/>
      <c r="E122" s="306" t="s">
        <v>277</v>
      </c>
      <c r="F122" s="307"/>
      <c r="G122" s="297"/>
      <c r="H122" s="308"/>
      <c r="I122" s="661"/>
      <c r="J122" s="240"/>
      <c r="L122" s="708"/>
      <c r="Q122" s="708"/>
    </row>
    <row r="123" spans="1:17" s="233" customFormat="1" ht="13.5" hidden="1" customHeight="1" outlineLevel="1">
      <c r="A123" s="681"/>
      <c r="B123" s="299" t="s">
        <v>424</v>
      </c>
      <c r="C123" s="304"/>
      <c r="D123" s="685"/>
      <c r="E123" s="306"/>
      <c r="F123" s="307"/>
      <c r="G123" s="297"/>
      <c r="H123" s="308"/>
      <c r="I123" s="661"/>
      <c r="J123" s="197"/>
      <c r="L123" s="237"/>
      <c r="Q123" s="237"/>
    </row>
    <row r="124" spans="1:17" s="243" customFormat="1" ht="14.25" hidden="1" customHeight="1" outlineLevel="1">
      <c r="A124" s="687"/>
      <c r="B124" s="299" t="s">
        <v>268</v>
      </c>
      <c r="C124" s="304" t="s">
        <v>341</v>
      </c>
      <c r="D124" s="685" t="s">
        <v>425</v>
      </c>
      <c r="E124" s="306" t="s">
        <v>426</v>
      </c>
      <c r="F124" s="307"/>
      <c r="G124" s="297" t="s">
        <v>342</v>
      </c>
      <c r="H124" s="308" t="str">
        <f t="shared" ref="H124:H142" si="7">CONCATENATE("AR-",G124,"-",I124)</f>
        <v>AR-T01-3</v>
      </c>
      <c r="I124" s="661">
        <v>3</v>
      </c>
      <c r="J124" s="197">
        <v>1</v>
      </c>
      <c r="L124" s="708"/>
      <c r="Q124" s="708"/>
    </row>
    <row r="125" spans="1:17" s="243" customFormat="1" ht="14.25" hidden="1" customHeight="1" outlineLevel="1">
      <c r="A125" s="687"/>
      <c r="B125" s="299" t="s">
        <v>268</v>
      </c>
      <c r="C125" s="304" t="s">
        <v>341</v>
      </c>
      <c r="D125" s="685" t="s">
        <v>427</v>
      </c>
      <c r="E125" s="306" t="s">
        <v>428</v>
      </c>
      <c r="F125" s="307"/>
      <c r="G125" s="297" t="s">
        <v>342</v>
      </c>
      <c r="H125" s="308" t="str">
        <f t="shared" si="7"/>
        <v>AR-T01-3</v>
      </c>
      <c r="I125" s="661">
        <v>3</v>
      </c>
      <c r="J125" s="197">
        <v>1</v>
      </c>
      <c r="L125" s="708"/>
      <c r="Q125" s="708"/>
    </row>
    <row r="126" spans="1:17" s="243" customFormat="1" ht="14.25" hidden="1" customHeight="1" outlineLevel="1">
      <c r="A126" s="687"/>
      <c r="B126" s="299" t="s">
        <v>268</v>
      </c>
      <c r="C126" s="304" t="s">
        <v>341</v>
      </c>
      <c r="D126" s="685" t="s">
        <v>429</v>
      </c>
      <c r="E126" s="306" t="s">
        <v>430</v>
      </c>
      <c r="F126" s="307"/>
      <c r="G126" s="297" t="s">
        <v>342</v>
      </c>
      <c r="H126" s="308" t="str">
        <f t="shared" si="7"/>
        <v>AR-T01-3</v>
      </c>
      <c r="I126" s="661">
        <v>3</v>
      </c>
      <c r="J126" s="197">
        <v>1</v>
      </c>
      <c r="L126" s="708"/>
      <c r="Q126" s="708"/>
    </row>
    <row r="127" spans="1:17" s="243" customFormat="1" ht="14.25" hidden="1" customHeight="1" outlineLevel="1">
      <c r="A127" s="687"/>
      <c r="B127" s="299" t="s">
        <v>268</v>
      </c>
      <c r="C127" s="304" t="s">
        <v>341</v>
      </c>
      <c r="D127" s="685" t="s">
        <v>431</v>
      </c>
      <c r="E127" s="306" t="s">
        <v>432</v>
      </c>
      <c r="F127" s="307"/>
      <c r="G127" s="297" t="s">
        <v>342</v>
      </c>
      <c r="H127" s="308" t="str">
        <f t="shared" si="7"/>
        <v>AR-T01-3</v>
      </c>
      <c r="I127" s="661">
        <v>3</v>
      </c>
      <c r="J127" s="197">
        <v>1</v>
      </c>
      <c r="L127" s="708"/>
      <c r="Q127" s="708"/>
    </row>
    <row r="128" spans="1:17" s="243" customFormat="1" ht="14.25" hidden="1" customHeight="1" outlineLevel="1">
      <c r="A128" s="687"/>
      <c r="B128" s="299" t="s">
        <v>268</v>
      </c>
      <c r="C128" s="304" t="s">
        <v>341</v>
      </c>
      <c r="D128" s="685" t="s">
        <v>433</v>
      </c>
      <c r="E128" s="306" t="s">
        <v>434</v>
      </c>
      <c r="F128" s="307"/>
      <c r="G128" s="297" t="s">
        <v>342</v>
      </c>
      <c r="H128" s="308" t="str">
        <f t="shared" si="7"/>
        <v>AR-T01-3</v>
      </c>
      <c r="I128" s="661">
        <v>3</v>
      </c>
      <c r="J128" s="197">
        <v>1</v>
      </c>
      <c r="L128" s="708"/>
      <c r="Q128" s="708"/>
    </row>
    <row r="129" spans="1:17" s="243" customFormat="1" ht="14.25" hidden="1" customHeight="1" outlineLevel="1">
      <c r="A129" s="687"/>
      <c r="B129" s="299" t="s">
        <v>268</v>
      </c>
      <c r="C129" s="304" t="s">
        <v>341</v>
      </c>
      <c r="D129" s="685" t="s">
        <v>435</v>
      </c>
      <c r="E129" s="306" t="s">
        <v>436</v>
      </c>
      <c r="F129" s="307"/>
      <c r="G129" s="297" t="s">
        <v>342</v>
      </c>
      <c r="H129" s="308" t="str">
        <f t="shared" si="7"/>
        <v>AR-T01-3</v>
      </c>
      <c r="I129" s="661">
        <v>3</v>
      </c>
      <c r="J129" s="197">
        <v>1</v>
      </c>
      <c r="L129" s="708"/>
      <c r="Q129" s="708"/>
    </row>
    <row r="130" spans="1:17" s="243" customFormat="1" ht="14.25" hidden="1" customHeight="1" outlineLevel="1">
      <c r="A130" s="687"/>
      <c r="B130" s="299" t="s">
        <v>268</v>
      </c>
      <c r="C130" s="304" t="s">
        <v>341</v>
      </c>
      <c r="D130" s="685" t="s">
        <v>437</v>
      </c>
      <c r="E130" s="306" t="s">
        <v>438</v>
      </c>
      <c r="F130" s="307"/>
      <c r="G130" s="297" t="s">
        <v>342</v>
      </c>
      <c r="H130" s="308" t="str">
        <f t="shared" si="7"/>
        <v>AR-T01-3</v>
      </c>
      <c r="I130" s="661">
        <v>3</v>
      </c>
      <c r="J130" s="197">
        <v>1</v>
      </c>
      <c r="L130" s="708"/>
      <c r="Q130" s="708"/>
    </row>
    <row r="131" spans="1:17" s="243" customFormat="1" ht="14.25" hidden="1" customHeight="1" outlineLevel="1">
      <c r="A131" s="687"/>
      <c r="B131" s="299" t="s">
        <v>268</v>
      </c>
      <c r="C131" s="304" t="s">
        <v>341</v>
      </c>
      <c r="D131" s="685" t="s">
        <v>439</v>
      </c>
      <c r="E131" s="306" t="s">
        <v>440</v>
      </c>
      <c r="F131" s="307"/>
      <c r="G131" s="297" t="s">
        <v>342</v>
      </c>
      <c r="H131" s="308" t="str">
        <f t="shared" si="7"/>
        <v>AR-T01-3</v>
      </c>
      <c r="I131" s="661">
        <v>3</v>
      </c>
      <c r="J131" s="197">
        <v>1</v>
      </c>
      <c r="L131" s="708"/>
      <c r="Q131" s="708"/>
    </row>
    <row r="132" spans="1:17" s="243" customFormat="1" ht="14.25" hidden="1" customHeight="1" outlineLevel="1">
      <c r="A132" s="687"/>
      <c r="B132" s="299" t="s">
        <v>268</v>
      </c>
      <c r="C132" s="304" t="s">
        <v>341</v>
      </c>
      <c r="D132" s="685" t="s">
        <v>441</v>
      </c>
      <c r="E132" s="306" t="s">
        <v>442</v>
      </c>
      <c r="F132" s="307"/>
      <c r="G132" s="297" t="s">
        <v>342</v>
      </c>
      <c r="H132" s="308" t="str">
        <f t="shared" si="7"/>
        <v>AR-T01-3</v>
      </c>
      <c r="I132" s="661">
        <v>3</v>
      </c>
      <c r="J132" s="197">
        <v>1</v>
      </c>
      <c r="L132" s="708"/>
      <c r="Q132" s="708"/>
    </row>
    <row r="133" spans="1:17" s="243" customFormat="1" ht="14.25" hidden="1" customHeight="1" outlineLevel="1">
      <c r="A133" s="687"/>
      <c r="B133" s="299" t="s">
        <v>268</v>
      </c>
      <c r="C133" s="304" t="s">
        <v>341</v>
      </c>
      <c r="D133" s="685" t="s">
        <v>443</v>
      </c>
      <c r="E133" s="306" t="s">
        <v>444</v>
      </c>
      <c r="F133" s="307"/>
      <c r="G133" s="297" t="s">
        <v>342</v>
      </c>
      <c r="H133" s="308" t="str">
        <f t="shared" si="7"/>
        <v>AR-T01-3</v>
      </c>
      <c r="I133" s="661">
        <v>3</v>
      </c>
      <c r="J133" s="197">
        <v>1</v>
      </c>
      <c r="L133" s="708"/>
      <c r="Q133" s="708"/>
    </row>
    <row r="134" spans="1:17" s="243" customFormat="1" ht="14.25" hidden="1" customHeight="1" outlineLevel="1">
      <c r="A134" s="687"/>
      <c r="B134" s="299" t="s">
        <v>268</v>
      </c>
      <c r="C134" s="304" t="s">
        <v>341</v>
      </c>
      <c r="D134" s="685" t="s">
        <v>445</v>
      </c>
      <c r="E134" s="306" t="s">
        <v>446</v>
      </c>
      <c r="F134" s="307"/>
      <c r="G134" s="297" t="s">
        <v>342</v>
      </c>
      <c r="H134" s="308" t="str">
        <f t="shared" si="7"/>
        <v>AR-T01-3</v>
      </c>
      <c r="I134" s="661">
        <v>3</v>
      </c>
      <c r="J134" s="197">
        <v>1</v>
      </c>
      <c r="L134" s="708"/>
      <c r="Q134" s="708"/>
    </row>
    <row r="135" spans="1:17" s="243" customFormat="1" ht="14.25" hidden="1" customHeight="1" outlineLevel="1">
      <c r="A135" s="687"/>
      <c r="B135" s="299" t="s">
        <v>268</v>
      </c>
      <c r="C135" s="304" t="s">
        <v>341</v>
      </c>
      <c r="D135" s="685" t="s">
        <v>447</v>
      </c>
      <c r="E135" s="306" t="s">
        <v>448</v>
      </c>
      <c r="F135" s="307"/>
      <c r="G135" s="297" t="s">
        <v>342</v>
      </c>
      <c r="H135" s="308" t="str">
        <f t="shared" si="7"/>
        <v>AR-T01-3</v>
      </c>
      <c r="I135" s="661">
        <v>3</v>
      </c>
      <c r="J135" s="197">
        <v>1</v>
      </c>
      <c r="L135" s="708"/>
      <c r="Q135" s="708"/>
    </row>
    <row r="136" spans="1:17" s="243" customFormat="1" ht="14.25" hidden="1" customHeight="1" outlineLevel="1">
      <c r="A136" s="687"/>
      <c r="B136" s="299" t="s">
        <v>268</v>
      </c>
      <c r="C136" s="304" t="s">
        <v>341</v>
      </c>
      <c r="D136" s="685" t="s">
        <v>449</v>
      </c>
      <c r="E136" s="306" t="s">
        <v>450</v>
      </c>
      <c r="F136" s="307"/>
      <c r="G136" s="297" t="s">
        <v>342</v>
      </c>
      <c r="H136" s="308" t="str">
        <f t="shared" si="7"/>
        <v>AR-T01-3</v>
      </c>
      <c r="I136" s="661">
        <v>3</v>
      </c>
      <c r="J136" s="197">
        <v>1</v>
      </c>
      <c r="L136" s="708"/>
      <c r="Q136" s="708"/>
    </row>
    <row r="137" spans="1:17" s="243" customFormat="1" ht="14.25" hidden="1" customHeight="1" outlineLevel="1">
      <c r="A137" s="687"/>
      <c r="B137" s="299" t="s">
        <v>268</v>
      </c>
      <c r="C137" s="304" t="s">
        <v>341</v>
      </c>
      <c r="D137" s="685" t="s">
        <v>451</v>
      </c>
      <c r="E137" s="306" t="s">
        <v>452</v>
      </c>
      <c r="F137" s="307"/>
      <c r="G137" s="297" t="s">
        <v>342</v>
      </c>
      <c r="H137" s="308" t="str">
        <f t="shared" si="7"/>
        <v>AR-T01-3</v>
      </c>
      <c r="I137" s="661">
        <v>3</v>
      </c>
      <c r="J137" s="197">
        <v>1</v>
      </c>
      <c r="L137" s="708"/>
      <c r="Q137" s="708"/>
    </row>
    <row r="138" spans="1:17" s="243" customFormat="1" ht="14.25" hidden="1" customHeight="1" outlineLevel="1">
      <c r="A138" s="687"/>
      <c r="B138" s="299" t="s">
        <v>268</v>
      </c>
      <c r="C138" s="304" t="s">
        <v>341</v>
      </c>
      <c r="D138" s="685" t="s">
        <v>453</v>
      </c>
      <c r="E138" s="306" t="s">
        <v>454</v>
      </c>
      <c r="F138" s="307"/>
      <c r="G138" s="297" t="s">
        <v>342</v>
      </c>
      <c r="H138" s="308" t="str">
        <f t="shared" si="7"/>
        <v>AR-T01-3</v>
      </c>
      <c r="I138" s="661">
        <v>3</v>
      </c>
      <c r="J138" s="197">
        <v>1</v>
      </c>
      <c r="L138" s="708"/>
      <c r="Q138" s="708"/>
    </row>
    <row r="139" spans="1:17" s="243" customFormat="1" ht="14.25" hidden="1" customHeight="1" outlineLevel="1">
      <c r="A139" s="687"/>
      <c r="B139" s="299" t="s">
        <v>268</v>
      </c>
      <c r="C139" s="304" t="s">
        <v>341</v>
      </c>
      <c r="D139" s="685" t="s">
        <v>455</v>
      </c>
      <c r="E139" s="306" t="s">
        <v>456</v>
      </c>
      <c r="F139" s="307"/>
      <c r="G139" s="297" t="s">
        <v>342</v>
      </c>
      <c r="H139" s="308" t="str">
        <f t="shared" si="7"/>
        <v>AR-T01-3</v>
      </c>
      <c r="I139" s="661">
        <v>3</v>
      </c>
      <c r="J139" s="197">
        <v>1</v>
      </c>
      <c r="L139" s="708"/>
      <c r="Q139" s="708"/>
    </row>
    <row r="140" spans="1:17" s="243" customFormat="1" ht="14.25" hidden="1" customHeight="1" outlineLevel="1">
      <c r="A140" s="687"/>
      <c r="B140" s="299" t="s">
        <v>268</v>
      </c>
      <c r="C140" s="304" t="s">
        <v>341</v>
      </c>
      <c r="D140" s="685" t="s">
        <v>457</v>
      </c>
      <c r="E140" s="306" t="s">
        <v>458</v>
      </c>
      <c r="F140" s="307"/>
      <c r="G140" s="297" t="s">
        <v>342</v>
      </c>
      <c r="H140" s="308" t="str">
        <f t="shared" si="7"/>
        <v>AR-T01-3</v>
      </c>
      <c r="I140" s="661">
        <v>3</v>
      </c>
      <c r="J140" s="197">
        <v>1</v>
      </c>
      <c r="L140" s="708"/>
      <c r="Q140" s="708"/>
    </row>
    <row r="141" spans="1:17" s="243" customFormat="1" ht="14.1" hidden="1" customHeight="1" outlineLevel="1">
      <c r="A141" s="687"/>
      <c r="B141" s="299" t="s">
        <v>268</v>
      </c>
      <c r="C141" s="304" t="s">
        <v>341</v>
      </c>
      <c r="D141" s="685" t="s">
        <v>459</v>
      </c>
      <c r="E141" s="306" t="s">
        <v>460</v>
      </c>
      <c r="F141" s="307"/>
      <c r="G141" s="297" t="s">
        <v>342</v>
      </c>
      <c r="H141" s="308" t="str">
        <f t="shared" si="7"/>
        <v>AR-T01-3</v>
      </c>
      <c r="I141" s="661">
        <v>3</v>
      </c>
      <c r="J141" s="197">
        <v>1</v>
      </c>
      <c r="L141" s="708"/>
      <c r="Q141" s="708"/>
    </row>
    <row r="142" spans="1:17" s="243" customFormat="1" ht="14.1" hidden="1" customHeight="1" outlineLevel="1">
      <c r="A142" s="687"/>
      <c r="B142" s="299" t="s">
        <v>268</v>
      </c>
      <c r="C142" s="304" t="s">
        <v>341</v>
      </c>
      <c r="D142" s="685" t="s">
        <v>459</v>
      </c>
      <c r="E142" s="306" t="s">
        <v>461</v>
      </c>
      <c r="F142" s="307"/>
      <c r="G142" s="297" t="s">
        <v>342</v>
      </c>
      <c r="H142" s="308" t="str">
        <f t="shared" si="7"/>
        <v>AR-T01-3</v>
      </c>
      <c r="I142" s="661">
        <v>3</v>
      </c>
      <c r="J142" s="197">
        <v>1</v>
      </c>
      <c r="L142" s="708"/>
      <c r="Q142" s="708"/>
    </row>
    <row r="143" spans="1:17" s="233" customFormat="1" ht="3" hidden="1" customHeight="1" outlineLevel="1">
      <c r="A143" s="681"/>
      <c r="B143" s="299"/>
      <c r="C143" s="304"/>
      <c r="D143" s="685"/>
      <c r="E143" s="306" t="s">
        <v>277</v>
      </c>
      <c r="F143" s="307"/>
      <c r="G143" s="297"/>
      <c r="H143" s="308"/>
      <c r="I143" s="661"/>
      <c r="J143" s="197"/>
      <c r="L143" s="237"/>
      <c r="Q143" s="237"/>
    </row>
    <row r="144" spans="1:17" s="233" customFormat="1" ht="13.5" hidden="1" customHeight="1" outlineLevel="1">
      <c r="A144" s="681"/>
      <c r="B144" s="299" t="s">
        <v>462</v>
      </c>
      <c r="C144" s="304"/>
      <c r="D144" s="685"/>
      <c r="E144" s="306"/>
      <c r="F144" s="307"/>
      <c r="G144" s="297"/>
      <c r="H144" s="308"/>
      <c r="I144" s="661"/>
      <c r="J144" s="197"/>
      <c r="L144" s="237"/>
      <c r="Q144" s="237"/>
    </row>
    <row r="145" spans="1:17" s="233" customFormat="1" ht="14.25" hidden="1" customHeight="1" outlineLevel="1">
      <c r="A145" s="681"/>
      <c r="B145" s="299" t="s">
        <v>268</v>
      </c>
      <c r="C145" s="304" t="s">
        <v>341</v>
      </c>
      <c r="D145" s="685" t="s">
        <v>463</v>
      </c>
      <c r="E145" s="306" t="s">
        <v>464</v>
      </c>
      <c r="F145" s="307"/>
      <c r="G145" s="297" t="s">
        <v>342</v>
      </c>
      <c r="H145" s="308" t="str">
        <f t="shared" ref="H145:H151" si="8">CONCATENATE("AR-",G145,"-",I145)</f>
        <v>AR-T01-4</v>
      </c>
      <c r="I145" s="661">
        <v>4</v>
      </c>
      <c r="J145" s="197">
        <v>1</v>
      </c>
      <c r="L145" s="237"/>
      <c r="Q145" s="237"/>
    </row>
    <row r="146" spans="1:17" s="233" customFormat="1" ht="14.25" hidden="1" customHeight="1" outlineLevel="1">
      <c r="A146" s="681"/>
      <c r="B146" s="299" t="s">
        <v>268</v>
      </c>
      <c r="C146" s="304" t="s">
        <v>341</v>
      </c>
      <c r="D146" s="685" t="s">
        <v>465</v>
      </c>
      <c r="E146" s="306" t="s">
        <v>466</v>
      </c>
      <c r="F146" s="307"/>
      <c r="G146" s="297" t="s">
        <v>342</v>
      </c>
      <c r="H146" s="308" t="str">
        <f t="shared" si="8"/>
        <v>AR-T01-4</v>
      </c>
      <c r="I146" s="661">
        <v>4</v>
      </c>
      <c r="J146" s="197">
        <v>1</v>
      </c>
      <c r="L146" s="237"/>
      <c r="Q146" s="237"/>
    </row>
    <row r="147" spans="1:17" s="233" customFormat="1" ht="14.25" hidden="1" customHeight="1" outlineLevel="1">
      <c r="A147" s="681"/>
      <c r="B147" s="299" t="s">
        <v>268</v>
      </c>
      <c r="C147" s="304" t="s">
        <v>341</v>
      </c>
      <c r="D147" s="685" t="s">
        <v>467</v>
      </c>
      <c r="E147" s="306" t="s">
        <v>468</v>
      </c>
      <c r="F147" s="307"/>
      <c r="G147" s="297" t="s">
        <v>342</v>
      </c>
      <c r="H147" s="308" t="str">
        <f t="shared" si="8"/>
        <v>AR-T01-4</v>
      </c>
      <c r="I147" s="661">
        <v>4</v>
      </c>
      <c r="J147" s="197">
        <v>1</v>
      </c>
      <c r="L147" s="237"/>
      <c r="Q147" s="237"/>
    </row>
    <row r="148" spans="1:17" s="233" customFormat="1" ht="14.25" hidden="1" customHeight="1" outlineLevel="1">
      <c r="A148" s="681"/>
      <c r="B148" s="299" t="s">
        <v>268</v>
      </c>
      <c r="C148" s="304" t="s">
        <v>341</v>
      </c>
      <c r="D148" s="685" t="s">
        <v>469</v>
      </c>
      <c r="E148" s="306" t="s">
        <v>470</v>
      </c>
      <c r="F148" s="307"/>
      <c r="G148" s="297" t="s">
        <v>342</v>
      </c>
      <c r="H148" s="308" t="str">
        <f t="shared" si="8"/>
        <v>AR-T01-4</v>
      </c>
      <c r="I148" s="661">
        <v>4</v>
      </c>
      <c r="J148" s="197">
        <v>1</v>
      </c>
      <c r="L148" s="237"/>
      <c r="Q148" s="237"/>
    </row>
    <row r="149" spans="1:17" s="233" customFormat="1" ht="14.25" hidden="1" customHeight="1" outlineLevel="1">
      <c r="A149" s="681"/>
      <c r="B149" s="299" t="s">
        <v>268</v>
      </c>
      <c r="C149" s="304" t="s">
        <v>341</v>
      </c>
      <c r="D149" s="685" t="s">
        <v>471</v>
      </c>
      <c r="E149" s="306" t="s">
        <v>472</v>
      </c>
      <c r="F149" s="307"/>
      <c r="G149" s="297" t="s">
        <v>342</v>
      </c>
      <c r="H149" s="308" t="str">
        <f t="shared" si="8"/>
        <v>AR-T01-4</v>
      </c>
      <c r="I149" s="661">
        <v>4</v>
      </c>
      <c r="J149" s="197">
        <v>1</v>
      </c>
      <c r="L149" s="237"/>
      <c r="Q149" s="237"/>
    </row>
    <row r="150" spans="1:17" s="233" customFormat="1" ht="14.25" hidden="1" customHeight="1" outlineLevel="1">
      <c r="A150" s="681"/>
      <c r="B150" s="299" t="s">
        <v>268</v>
      </c>
      <c r="C150" s="304" t="s">
        <v>341</v>
      </c>
      <c r="D150" s="685" t="s">
        <v>473</v>
      </c>
      <c r="E150" s="306" t="s">
        <v>474</v>
      </c>
      <c r="F150" s="307"/>
      <c r="G150" s="297" t="s">
        <v>342</v>
      </c>
      <c r="H150" s="308" t="str">
        <f t="shared" si="8"/>
        <v>AR-T01-4</v>
      </c>
      <c r="I150" s="661">
        <v>4</v>
      </c>
      <c r="J150" s="197">
        <v>1</v>
      </c>
      <c r="L150" s="237"/>
      <c r="Q150" s="237"/>
    </row>
    <row r="151" spans="1:17" s="233" customFormat="1" ht="14.25" hidden="1" customHeight="1" outlineLevel="1">
      <c r="A151" s="681"/>
      <c r="B151" s="299" t="s">
        <v>268</v>
      </c>
      <c r="C151" s="304" t="s">
        <v>341</v>
      </c>
      <c r="D151" s="685" t="s">
        <v>475</v>
      </c>
      <c r="E151" s="306" t="s">
        <v>476</v>
      </c>
      <c r="F151" s="307"/>
      <c r="G151" s="297" t="s">
        <v>342</v>
      </c>
      <c r="H151" s="308" t="str">
        <f t="shared" si="8"/>
        <v>AR-T01-10</v>
      </c>
      <c r="I151" s="661">
        <v>10</v>
      </c>
      <c r="J151" s="197">
        <v>1</v>
      </c>
      <c r="L151" s="237"/>
      <c r="Q151" s="237"/>
    </row>
    <row r="152" spans="1:17" s="233" customFormat="1" ht="14.25" hidden="1" customHeight="1" outlineLevel="1">
      <c r="A152" s="681"/>
      <c r="B152" s="299"/>
      <c r="C152" s="304"/>
      <c r="D152" s="685"/>
      <c r="E152" s="306"/>
      <c r="F152" s="307"/>
      <c r="G152" s="297"/>
      <c r="H152" s="308"/>
      <c r="I152" s="661"/>
      <c r="J152" s="197"/>
      <c r="L152" s="237"/>
      <c r="Q152" s="237"/>
    </row>
    <row r="153" spans="1:17" s="233" customFormat="1" ht="14.85" hidden="1" customHeight="1" outlineLevel="1">
      <c r="A153" s="681"/>
      <c r="B153" s="299"/>
      <c r="C153" s="304"/>
      <c r="D153" s="685"/>
      <c r="E153" s="306"/>
      <c r="F153" s="307"/>
      <c r="G153" s="297"/>
      <c r="H153" s="308"/>
      <c r="I153" s="661"/>
      <c r="J153" s="197"/>
      <c r="L153" s="237"/>
      <c r="Q153" s="237"/>
    </row>
    <row r="154" spans="1:17" s="248" customFormat="1" ht="3" hidden="1" customHeight="1" outlineLevel="1">
      <c r="B154" s="299"/>
      <c r="C154" s="304"/>
      <c r="D154" s="685"/>
      <c r="E154" s="306" t="s">
        <v>277</v>
      </c>
      <c r="F154" s="307"/>
      <c r="G154" s="297"/>
      <c r="H154" s="308"/>
      <c r="I154" s="661"/>
      <c r="J154" s="245"/>
      <c r="L154" s="709"/>
      <c r="Q154" s="709"/>
    </row>
    <row r="155" spans="1:17" s="233" customFormat="1" ht="13.5" hidden="1" customHeight="1" outlineLevel="1">
      <c r="A155" s="681"/>
      <c r="B155" s="299" t="s">
        <v>477</v>
      </c>
      <c r="C155" s="304"/>
      <c r="D155" s="685"/>
      <c r="E155" s="306"/>
      <c r="F155" s="307"/>
      <c r="G155" s="297"/>
      <c r="H155" s="308"/>
      <c r="I155" s="661"/>
      <c r="J155" s="197"/>
      <c r="L155" s="237"/>
      <c r="Q155" s="237"/>
    </row>
    <row r="156" spans="1:17" s="248" customFormat="1" ht="3" hidden="1" customHeight="1" outlineLevel="1">
      <c r="B156" s="299"/>
      <c r="C156" s="304"/>
      <c r="D156" s="685"/>
      <c r="E156" s="306" t="s">
        <v>277</v>
      </c>
      <c r="F156" s="307"/>
      <c r="G156" s="297"/>
      <c r="H156" s="308"/>
      <c r="I156" s="661"/>
      <c r="J156" s="245"/>
      <c r="L156" s="709"/>
      <c r="Q156" s="709"/>
    </row>
    <row r="157" spans="1:17" s="243" customFormat="1" ht="14.25" hidden="1" customHeight="1" outlineLevel="1">
      <c r="A157" s="687"/>
      <c r="B157" s="299" t="s">
        <v>268</v>
      </c>
      <c r="C157" s="304" t="s">
        <v>341</v>
      </c>
      <c r="D157" s="685" t="s">
        <v>478</v>
      </c>
      <c r="E157" s="306" t="s">
        <v>479</v>
      </c>
      <c r="F157" s="307"/>
      <c r="G157" s="297" t="s">
        <v>342</v>
      </c>
      <c r="H157" s="308" t="str">
        <f>CONCATENATE("AR-",G157,"-",I157)</f>
        <v>AR-T01-9</v>
      </c>
      <c r="I157" s="661">
        <v>9</v>
      </c>
      <c r="J157" s="197">
        <v>1</v>
      </c>
      <c r="L157" s="708"/>
      <c r="Q157" s="708"/>
    </row>
    <row r="158" spans="1:17" s="243" customFormat="1" ht="3" hidden="1" customHeight="1" outlineLevel="1">
      <c r="A158" s="687"/>
      <c r="B158" s="299"/>
      <c r="C158" s="304"/>
      <c r="D158" s="685"/>
      <c r="E158" s="306" t="s">
        <v>277</v>
      </c>
      <c r="F158" s="307"/>
      <c r="G158" s="297"/>
      <c r="H158" s="308"/>
      <c r="I158" s="661"/>
      <c r="J158" s="240"/>
      <c r="L158" s="708"/>
      <c r="Q158" s="708"/>
    </row>
    <row r="159" spans="1:17" s="233" customFormat="1" ht="13.5" hidden="1" customHeight="1" outlineLevel="1">
      <c r="A159" s="681"/>
      <c r="B159" s="299" t="s">
        <v>480</v>
      </c>
      <c r="C159" s="304"/>
      <c r="D159" s="685"/>
      <c r="E159" s="306"/>
      <c r="F159" s="307"/>
      <c r="G159" s="297"/>
      <c r="H159" s="308"/>
      <c r="I159" s="661"/>
      <c r="J159" s="197"/>
      <c r="L159" s="237"/>
      <c r="Q159" s="237"/>
    </row>
    <row r="160" spans="1:17" s="243" customFormat="1" ht="14.25" hidden="1" customHeight="1" outlineLevel="1">
      <c r="A160" s="687"/>
      <c r="B160" s="299" t="s">
        <v>268</v>
      </c>
      <c r="C160" s="304" t="s">
        <v>341</v>
      </c>
      <c r="D160" s="685">
        <v>7100</v>
      </c>
      <c r="E160" s="306" t="s">
        <v>481</v>
      </c>
      <c r="F160" s="307"/>
      <c r="G160" s="297" t="s">
        <v>342</v>
      </c>
      <c r="H160" s="308" t="str">
        <f>CONCATENATE("AR-",G160,"-",I160)</f>
        <v>AR-T01-7</v>
      </c>
      <c r="I160" s="661">
        <v>7</v>
      </c>
      <c r="J160" s="197">
        <v>1</v>
      </c>
      <c r="L160" s="708"/>
      <c r="Q160" s="708"/>
    </row>
    <row r="161" spans="1:17" s="243" customFormat="1" ht="14.25" hidden="1" customHeight="1" outlineLevel="1">
      <c r="A161" s="687"/>
      <c r="B161" s="299" t="s">
        <v>268</v>
      </c>
      <c r="C161" s="304" t="s">
        <v>341</v>
      </c>
      <c r="D161" s="685">
        <v>7200</v>
      </c>
      <c r="E161" s="306" t="s">
        <v>482</v>
      </c>
      <c r="F161" s="307"/>
      <c r="G161" s="297" t="s">
        <v>342</v>
      </c>
      <c r="H161" s="308" t="str">
        <f>CONCATENATE("AR-",G161,"-",I161)</f>
        <v>AR-T01-7</v>
      </c>
      <c r="I161" s="661">
        <v>7</v>
      </c>
      <c r="J161" s="197">
        <v>1</v>
      </c>
      <c r="L161" s="708"/>
      <c r="Q161" s="708"/>
    </row>
    <row r="162" spans="1:17" s="243" customFormat="1" ht="14.25" hidden="1" customHeight="1" outlineLevel="1">
      <c r="A162" s="687"/>
      <c r="B162" s="299" t="s">
        <v>268</v>
      </c>
      <c r="C162" s="304" t="s">
        <v>341</v>
      </c>
      <c r="D162" s="685">
        <v>7300</v>
      </c>
      <c r="E162" s="306" t="s">
        <v>483</v>
      </c>
      <c r="F162" s="307"/>
      <c r="G162" s="297" t="s">
        <v>342</v>
      </c>
      <c r="H162" s="308" t="str">
        <f>CONCATENATE("AR-",G162,"-",I162)</f>
        <v>AR-T01-7</v>
      </c>
      <c r="I162" s="661">
        <v>7</v>
      </c>
      <c r="J162" s="197">
        <v>1</v>
      </c>
      <c r="L162" s="708"/>
      <c r="Q162" s="708"/>
    </row>
    <row r="163" spans="1:17" s="243" customFormat="1" ht="14.25" hidden="1" customHeight="1" outlineLevel="1">
      <c r="A163" s="687"/>
      <c r="B163" s="299" t="s">
        <v>268</v>
      </c>
      <c r="C163" s="304" t="s">
        <v>341</v>
      </c>
      <c r="D163" s="685">
        <v>7400</v>
      </c>
      <c r="E163" s="306" t="s">
        <v>484</v>
      </c>
      <c r="F163" s="307"/>
      <c r="G163" s="297" t="s">
        <v>342</v>
      </c>
      <c r="H163" s="308" t="str">
        <f>CONCATENATE("AR-",G163,"-",I163)</f>
        <v>AR-T01-7</v>
      </c>
      <c r="I163" s="661">
        <v>7</v>
      </c>
      <c r="J163" s="197">
        <v>1</v>
      </c>
      <c r="L163" s="708"/>
      <c r="Q163" s="708"/>
    </row>
    <row r="164" spans="1:17" s="243" customFormat="1" ht="14.25" hidden="1" customHeight="1" outlineLevel="1">
      <c r="A164" s="687"/>
      <c r="B164" s="299" t="s">
        <v>268</v>
      </c>
      <c r="C164" s="304" t="s">
        <v>341</v>
      </c>
      <c r="D164" s="685">
        <v>7450</v>
      </c>
      <c r="E164" s="306" t="s">
        <v>485</v>
      </c>
      <c r="F164" s="307"/>
      <c r="G164" s="297" t="s">
        <v>342</v>
      </c>
      <c r="H164" s="308" t="str">
        <f>CONCATENATE("AR-",G164,"-",I164)</f>
        <v>AR-T01-7</v>
      </c>
      <c r="I164" s="661">
        <v>7</v>
      </c>
      <c r="J164" s="197">
        <v>1</v>
      </c>
      <c r="L164" s="708"/>
      <c r="Q164" s="708"/>
    </row>
    <row r="165" spans="1:17" s="243" customFormat="1" ht="3" customHeight="1">
      <c r="A165" s="687"/>
      <c r="B165" s="299"/>
      <c r="C165" s="304"/>
      <c r="D165" s="685"/>
      <c r="E165" s="306" t="s">
        <v>277</v>
      </c>
      <c r="F165" s="307"/>
      <c r="G165" s="297"/>
      <c r="H165" s="308"/>
      <c r="I165" s="661"/>
      <c r="J165" s="240"/>
      <c r="L165" s="708"/>
      <c r="Q165" s="708"/>
    </row>
    <row r="166" spans="1:17" s="233" customFormat="1" ht="14.25" customHeight="1" collapsed="1">
      <c r="A166" s="382" t="s">
        <v>486</v>
      </c>
      <c r="B166" s="675"/>
      <c r="C166" s="676"/>
      <c r="D166" s="677"/>
      <c r="E166" s="676" t="s">
        <v>277</v>
      </c>
      <c r="F166" s="307"/>
      <c r="G166" s="297"/>
      <c r="H166" s="308"/>
      <c r="I166" s="665"/>
      <c r="J166" s="197"/>
      <c r="L166" s="237"/>
      <c r="Q166" s="237"/>
    </row>
    <row r="167" spans="1:17" s="233" customFormat="1" ht="3" hidden="1" customHeight="1" outlineLevel="2">
      <c r="A167" s="678"/>
      <c r="B167" s="299"/>
      <c r="C167" s="304"/>
      <c r="D167" s="685"/>
      <c r="E167" s="306" t="s">
        <v>277</v>
      </c>
      <c r="F167" s="307"/>
      <c r="G167" s="297"/>
      <c r="H167" s="308"/>
      <c r="I167" s="661"/>
      <c r="J167" s="197"/>
      <c r="L167" s="237"/>
      <c r="Q167" s="237"/>
    </row>
    <row r="168" spans="1:17" s="248" customFormat="1" ht="15" hidden="1" customHeight="1" outlineLevel="2">
      <c r="B168" s="299" t="s">
        <v>343</v>
      </c>
      <c r="C168" s="304"/>
      <c r="D168" s="685"/>
      <c r="E168" s="306" t="s">
        <v>277</v>
      </c>
      <c r="F168" s="307"/>
      <c r="G168" s="297"/>
      <c r="H168" s="308"/>
      <c r="I168" s="661"/>
      <c r="J168" s="245"/>
      <c r="L168" s="709"/>
      <c r="Q168" s="709"/>
    </row>
    <row r="169" spans="1:17" s="248" customFormat="1" ht="15" hidden="1" customHeight="1" outlineLevel="2">
      <c r="B169" s="299" t="s">
        <v>268</v>
      </c>
      <c r="C169" s="304" t="s">
        <v>487</v>
      </c>
      <c r="D169" s="685" t="s">
        <v>344</v>
      </c>
      <c r="E169" s="306" t="s">
        <v>488</v>
      </c>
      <c r="F169" s="307"/>
      <c r="G169" s="297" t="s">
        <v>489</v>
      </c>
      <c r="H169" s="308" t="str">
        <f>CONCATENATE("AR-",G169,"-",I169)</f>
        <v>AR-T2V-1</v>
      </c>
      <c r="I169" s="661">
        <v>1</v>
      </c>
      <c r="J169" s="197">
        <v>1</v>
      </c>
      <c r="L169" s="709"/>
      <c r="Q169" s="709"/>
    </row>
    <row r="170" spans="1:17" s="248" customFormat="1" ht="15" hidden="1" customHeight="1" outlineLevel="2">
      <c r="B170" s="299" t="s">
        <v>268</v>
      </c>
      <c r="C170" s="304" t="s">
        <v>487</v>
      </c>
      <c r="D170" s="685" t="s">
        <v>346</v>
      </c>
      <c r="E170" s="306" t="s">
        <v>490</v>
      </c>
      <c r="F170" s="307"/>
      <c r="G170" s="297" t="s">
        <v>489</v>
      </c>
      <c r="H170" s="308" t="str">
        <f>CONCATENATE("AR-",G170,"-",I170)</f>
        <v>AR-T2V-1</v>
      </c>
      <c r="I170" s="661">
        <v>1</v>
      </c>
      <c r="J170" s="197">
        <v>1</v>
      </c>
      <c r="L170" s="709"/>
      <c r="Q170" s="709"/>
    </row>
    <row r="171" spans="1:17" s="248" customFormat="1" ht="3" hidden="1" customHeight="1" outlineLevel="2">
      <c r="B171" s="299"/>
      <c r="C171" s="304"/>
      <c r="D171" s="685"/>
      <c r="E171" s="306" t="s">
        <v>277</v>
      </c>
      <c r="F171" s="307"/>
      <c r="G171" s="297"/>
      <c r="H171" s="308"/>
      <c r="I171" s="661"/>
      <c r="J171" s="245"/>
      <c r="L171" s="709"/>
      <c r="Q171" s="709"/>
    </row>
    <row r="172" spans="1:17" s="248" customFormat="1" ht="15" hidden="1" customHeight="1" outlineLevel="2">
      <c r="B172" s="299" t="s">
        <v>350</v>
      </c>
      <c r="C172" s="304"/>
      <c r="D172" s="685"/>
      <c r="E172" s="306" t="s">
        <v>277</v>
      </c>
      <c r="F172" s="307"/>
      <c r="G172" s="297"/>
      <c r="H172" s="308"/>
      <c r="I172" s="661"/>
      <c r="J172" s="245"/>
      <c r="L172" s="709"/>
      <c r="Q172" s="709"/>
    </row>
    <row r="173" spans="1:17" s="248" customFormat="1" ht="3" hidden="1" customHeight="1" outlineLevel="2">
      <c r="B173" s="299"/>
      <c r="C173" s="304"/>
      <c r="D173" s="685"/>
      <c r="E173" s="306" t="s">
        <v>277</v>
      </c>
      <c r="F173" s="307"/>
      <c r="G173" s="297"/>
      <c r="H173" s="308"/>
      <c r="I173" s="661"/>
      <c r="J173" s="245"/>
      <c r="L173" s="709"/>
      <c r="Q173" s="709"/>
    </row>
    <row r="174" spans="1:17" s="248" customFormat="1" ht="15" hidden="1" customHeight="1" outlineLevel="2">
      <c r="B174" s="299" t="s">
        <v>268</v>
      </c>
      <c r="C174" s="304" t="s">
        <v>489</v>
      </c>
      <c r="D174" s="685" t="s">
        <v>279</v>
      </c>
      <c r="E174" s="306" t="s">
        <v>491</v>
      </c>
      <c r="F174" s="307"/>
      <c r="G174" s="297" t="s">
        <v>489</v>
      </c>
      <c r="H174" s="308" t="str">
        <f t="shared" ref="H174:H189" si="9">CONCATENATE("AR-",G174,"-",I174)</f>
        <v>AR-T2V-1</v>
      </c>
      <c r="I174" s="661">
        <v>1</v>
      </c>
      <c r="J174" s="197">
        <v>1</v>
      </c>
      <c r="L174" s="709"/>
      <c r="Q174" s="709"/>
    </row>
    <row r="175" spans="1:17" s="248" customFormat="1" ht="15" hidden="1" customHeight="1" outlineLevel="2">
      <c r="B175" s="299" t="s">
        <v>268</v>
      </c>
      <c r="C175" s="304" t="s">
        <v>489</v>
      </c>
      <c r="D175" s="685" t="s">
        <v>355</v>
      </c>
      <c r="E175" s="306" t="s">
        <v>492</v>
      </c>
      <c r="F175" s="307"/>
      <c r="G175" s="297" t="s">
        <v>489</v>
      </c>
      <c r="H175" s="308" t="str">
        <f t="shared" si="9"/>
        <v>AR-T2V-4</v>
      </c>
      <c r="I175" s="661">
        <v>4</v>
      </c>
      <c r="J175" s="197">
        <v>1</v>
      </c>
      <c r="L175" s="709"/>
      <c r="Q175" s="709"/>
    </row>
    <row r="176" spans="1:17" s="248" customFormat="1" ht="15" hidden="1" customHeight="1" outlineLevel="2">
      <c r="B176" s="299" t="s">
        <v>268</v>
      </c>
      <c r="C176" s="304" t="s">
        <v>489</v>
      </c>
      <c r="D176" s="685" t="s">
        <v>357</v>
      </c>
      <c r="E176" s="306" t="s">
        <v>493</v>
      </c>
      <c r="F176" s="307"/>
      <c r="G176" s="297" t="s">
        <v>489</v>
      </c>
      <c r="H176" s="308" t="str">
        <f t="shared" si="9"/>
        <v>AR-T2V-6</v>
      </c>
      <c r="I176" s="661">
        <v>6</v>
      </c>
      <c r="J176" s="197">
        <v>1</v>
      </c>
      <c r="L176" s="709"/>
      <c r="Q176" s="709"/>
    </row>
    <row r="177" spans="2:17" s="248" customFormat="1" ht="15" hidden="1" customHeight="1" outlineLevel="2">
      <c r="B177" s="299" t="s">
        <v>268</v>
      </c>
      <c r="C177" s="304" t="s">
        <v>489</v>
      </c>
      <c r="D177" s="685" t="s">
        <v>359</v>
      </c>
      <c r="E177" s="306" t="s">
        <v>494</v>
      </c>
      <c r="F177" s="307"/>
      <c r="G177" s="297" t="s">
        <v>489</v>
      </c>
      <c r="H177" s="308" t="str">
        <f t="shared" si="9"/>
        <v>AR-T2V-5</v>
      </c>
      <c r="I177" s="661">
        <v>5</v>
      </c>
      <c r="J177" s="197">
        <v>1</v>
      </c>
      <c r="L177" s="709"/>
      <c r="Q177" s="709"/>
    </row>
    <row r="178" spans="2:17" s="248" customFormat="1" ht="15" hidden="1" customHeight="1" outlineLevel="2">
      <c r="B178" s="299" t="s">
        <v>268</v>
      </c>
      <c r="C178" s="304" t="s">
        <v>489</v>
      </c>
      <c r="D178" s="685" t="s">
        <v>361</v>
      </c>
      <c r="E178" s="306" t="s">
        <v>495</v>
      </c>
      <c r="F178" s="307"/>
      <c r="G178" s="297" t="s">
        <v>489</v>
      </c>
      <c r="H178" s="308" t="str">
        <f t="shared" si="9"/>
        <v>AR-T2V-6</v>
      </c>
      <c r="I178" s="661">
        <v>6</v>
      </c>
      <c r="J178" s="197">
        <v>1</v>
      </c>
      <c r="L178" s="709"/>
      <c r="Q178" s="709"/>
    </row>
    <row r="179" spans="2:17" s="248" customFormat="1" ht="15" hidden="1" customHeight="1" outlineLevel="2">
      <c r="B179" s="299" t="s">
        <v>268</v>
      </c>
      <c r="C179" s="304" t="s">
        <v>489</v>
      </c>
      <c r="D179" s="685" t="s">
        <v>496</v>
      </c>
      <c r="E179" s="306" t="s">
        <v>497</v>
      </c>
      <c r="F179" s="307"/>
      <c r="G179" s="297" t="s">
        <v>489</v>
      </c>
      <c r="H179" s="308" t="str">
        <f t="shared" si="9"/>
        <v>AR-T2V-5</v>
      </c>
      <c r="I179" s="661">
        <v>5</v>
      </c>
      <c r="J179" s="197">
        <v>1</v>
      </c>
      <c r="L179" s="709"/>
      <c r="Q179" s="709"/>
    </row>
    <row r="180" spans="2:17" s="248" customFormat="1" ht="15" hidden="1" customHeight="1" outlineLevel="2">
      <c r="B180" s="299" t="s">
        <v>268</v>
      </c>
      <c r="C180" s="304" t="s">
        <v>489</v>
      </c>
      <c r="D180" s="685" t="s">
        <v>498</v>
      </c>
      <c r="E180" s="306" t="s">
        <v>499</v>
      </c>
      <c r="F180" s="307"/>
      <c r="G180" s="297" t="s">
        <v>489</v>
      </c>
      <c r="H180" s="308" t="str">
        <f t="shared" si="9"/>
        <v>AR-T2V-6</v>
      </c>
      <c r="I180" s="661">
        <v>6</v>
      </c>
      <c r="J180" s="197">
        <v>1</v>
      </c>
      <c r="L180" s="709"/>
      <c r="Q180" s="709"/>
    </row>
    <row r="181" spans="2:17" s="248" customFormat="1" ht="15" hidden="1" customHeight="1" outlineLevel="2">
      <c r="B181" s="299" t="s">
        <v>268</v>
      </c>
      <c r="C181" s="304" t="s">
        <v>489</v>
      </c>
      <c r="D181" s="685" t="s">
        <v>500</v>
      </c>
      <c r="E181" s="306" t="s">
        <v>501</v>
      </c>
      <c r="F181" s="307"/>
      <c r="G181" s="297" t="s">
        <v>489</v>
      </c>
      <c r="H181" s="308" t="str">
        <f t="shared" si="9"/>
        <v>AR-T2V-5</v>
      </c>
      <c r="I181" s="661">
        <v>5</v>
      </c>
      <c r="J181" s="197">
        <v>1</v>
      </c>
      <c r="L181" s="709"/>
      <c r="Q181" s="709"/>
    </row>
    <row r="182" spans="2:17" s="248" customFormat="1" ht="15" hidden="1" customHeight="1" outlineLevel="2">
      <c r="B182" s="299" t="s">
        <v>268</v>
      </c>
      <c r="C182" s="304" t="s">
        <v>489</v>
      </c>
      <c r="D182" s="685" t="s">
        <v>502</v>
      </c>
      <c r="E182" s="306" t="s">
        <v>503</v>
      </c>
      <c r="F182" s="307"/>
      <c r="G182" s="297" t="s">
        <v>489</v>
      </c>
      <c r="H182" s="308" t="str">
        <f t="shared" si="9"/>
        <v>AR-T2V-6</v>
      </c>
      <c r="I182" s="661">
        <v>6</v>
      </c>
      <c r="J182" s="197">
        <v>1</v>
      </c>
      <c r="L182" s="709"/>
      <c r="Q182" s="709"/>
    </row>
    <row r="183" spans="2:17" s="248" customFormat="1" ht="15" hidden="1" customHeight="1" outlineLevel="2">
      <c r="B183" s="299" t="s">
        <v>268</v>
      </c>
      <c r="C183" s="304" t="s">
        <v>489</v>
      </c>
      <c r="D183" s="685" t="s">
        <v>504</v>
      </c>
      <c r="E183" s="306" t="s">
        <v>505</v>
      </c>
      <c r="F183" s="307"/>
      <c r="G183" s="297" t="s">
        <v>489</v>
      </c>
      <c r="H183" s="308" t="str">
        <f t="shared" si="9"/>
        <v>AR-T2V-5</v>
      </c>
      <c r="I183" s="661">
        <v>5</v>
      </c>
      <c r="J183" s="197">
        <v>1</v>
      </c>
      <c r="L183" s="709"/>
      <c r="Q183" s="709"/>
    </row>
    <row r="184" spans="2:17" s="248" customFormat="1" ht="15" hidden="1" customHeight="1" outlineLevel="2">
      <c r="B184" s="299" t="s">
        <v>268</v>
      </c>
      <c r="C184" s="304" t="s">
        <v>489</v>
      </c>
      <c r="D184" s="685" t="s">
        <v>506</v>
      </c>
      <c r="E184" s="306" t="s">
        <v>507</v>
      </c>
      <c r="F184" s="307"/>
      <c r="G184" s="297" t="s">
        <v>489</v>
      </c>
      <c r="H184" s="308" t="str">
        <f t="shared" si="9"/>
        <v>AR-T2V-6</v>
      </c>
      <c r="I184" s="661">
        <v>6</v>
      </c>
      <c r="J184" s="197">
        <v>1</v>
      </c>
      <c r="L184" s="709"/>
      <c r="Q184" s="709"/>
    </row>
    <row r="185" spans="2:17" s="248" customFormat="1" ht="15" hidden="1" customHeight="1" outlineLevel="2">
      <c r="B185" s="299" t="s">
        <v>268</v>
      </c>
      <c r="C185" s="304" t="s">
        <v>489</v>
      </c>
      <c r="D185" s="685" t="s">
        <v>363</v>
      </c>
      <c r="E185" s="306" t="s">
        <v>508</v>
      </c>
      <c r="F185" s="307"/>
      <c r="G185" s="297" t="s">
        <v>489</v>
      </c>
      <c r="H185" s="308" t="str">
        <f t="shared" si="9"/>
        <v>AR-T2V-6</v>
      </c>
      <c r="I185" s="661">
        <v>6</v>
      </c>
      <c r="J185" s="197">
        <v>1</v>
      </c>
      <c r="L185" s="709"/>
      <c r="Q185" s="709"/>
    </row>
    <row r="186" spans="2:17" s="248" customFormat="1" ht="15" hidden="1" customHeight="1" outlineLevel="2">
      <c r="B186" s="299" t="s">
        <v>268</v>
      </c>
      <c r="C186" s="304" t="s">
        <v>489</v>
      </c>
      <c r="D186" s="685" t="s">
        <v>365</v>
      </c>
      <c r="E186" s="306" t="s">
        <v>509</v>
      </c>
      <c r="F186" s="307"/>
      <c r="G186" s="297" t="s">
        <v>489</v>
      </c>
      <c r="H186" s="308" t="str">
        <f t="shared" si="9"/>
        <v>AR-T2V-5</v>
      </c>
      <c r="I186" s="661">
        <v>5</v>
      </c>
      <c r="J186" s="197">
        <v>1</v>
      </c>
      <c r="L186" s="709"/>
      <c r="Q186" s="709"/>
    </row>
    <row r="187" spans="2:17" s="248" customFormat="1" ht="15" hidden="1" customHeight="1" outlineLevel="2">
      <c r="B187" s="299" t="s">
        <v>268</v>
      </c>
      <c r="C187" s="304" t="s">
        <v>489</v>
      </c>
      <c r="D187" s="685" t="s">
        <v>367</v>
      </c>
      <c r="E187" s="306" t="s">
        <v>510</v>
      </c>
      <c r="F187" s="307"/>
      <c r="G187" s="297" t="s">
        <v>489</v>
      </c>
      <c r="H187" s="308" t="str">
        <f t="shared" si="9"/>
        <v>AR-T2V-8</v>
      </c>
      <c r="I187" s="661">
        <v>8</v>
      </c>
      <c r="J187" s="197">
        <v>1</v>
      </c>
      <c r="L187" s="709"/>
      <c r="Q187" s="709"/>
    </row>
    <row r="188" spans="2:17" s="248" customFormat="1" ht="15" hidden="1" customHeight="1" outlineLevel="2">
      <c r="B188" s="299" t="s">
        <v>268</v>
      </c>
      <c r="C188" s="304" t="s">
        <v>489</v>
      </c>
      <c r="D188" s="685" t="s">
        <v>369</v>
      </c>
      <c r="E188" s="306" t="s">
        <v>511</v>
      </c>
      <c r="F188" s="307"/>
      <c r="G188" s="297" t="s">
        <v>489</v>
      </c>
      <c r="H188" s="308" t="str">
        <f t="shared" si="9"/>
        <v>AR-T2V-9</v>
      </c>
      <c r="I188" s="661">
        <v>9</v>
      </c>
      <c r="J188" s="197">
        <v>1</v>
      </c>
      <c r="L188" s="709"/>
      <c r="Q188" s="709"/>
    </row>
    <row r="189" spans="2:17" s="248" customFormat="1" ht="15" hidden="1" customHeight="1" outlineLevel="2">
      <c r="B189" s="299" t="s">
        <v>268</v>
      </c>
      <c r="C189" s="304" t="s">
        <v>487</v>
      </c>
      <c r="D189" s="685" t="s">
        <v>279</v>
      </c>
      <c r="E189" s="306" t="s">
        <v>512</v>
      </c>
      <c r="F189" s="307"/>
      <c r="G189" s="297" t="s">
        <v>489</v>
      </c>
      <c r="H189" s="308" t="str">
        <f t="shared" si="9"/>
        <v>AR-T2V-1</v>
      </c>
      <c r="I189" s="661">
        <v>1</v>
      </c>
      <c r="J189" s="197">
        <v>1</v>
      </c>
      <c r="L189" s="709"/>
      <c r="Q189" s="709"/>
    </row>
    <row r="190" spans="2:17" s="248" customFormat="1" ht="3" hidden="1" customHeight="1" outlineLevel="2">
      <c r="B190" s="299"/>
      <c r="C190" s="304"/>
      <c r="D190" s="685"/>
      <c r="E190" s="306" t="s">
        <v>277</v>
      </c>
      <c r="F190" s="307"/>
      <c r="G190" s="297"/>
      <c r="H190" s="308"/>
      <c r="I190" s="661"/>
      <c r="J190" s="245"/>
      <c r="L190" s="709"/>
      <c r="Q190" s="709"/>
    </row>
    <row r="191" spans="2:17" s="248" customFormat="1" ht="15" hidden="1" customHeight="1" outlineLevel="2">
      <c r="B191" s="299" t="s">
        <v>371</v>
      </c>
      <c r="C191" s="304"/>
      <c r="D191" s="685"/>
      <c r="E191" s="306" t="s">
        <v>277</v>
      </c>
      <c r="F191" s="307"/>
      <c r="G191" s="297"/>
      <c r="H191" s="308"/>
      <c r="I191" s="661"/>
      <c r="J191" s="245"/>
      <c r="L191" s="709"/>
      <c r="Q191" s="709"/>
    </row>
    <row r="192" spans="2:17" s="248" customFormat="1" ht="15" hidden="1" customHeight="1" outlineLevel="2">
      <c r="B192" s="299" t="s">
        <v>268</v>
      </c>
      <c r="C192" s="304" t="s">
        <v>513</v>
      </c>
      <c r="D192" s="685" t="s">
        <v>374</v>
      </c>
      <c r="E192" s="306" t="s">
        <v>514</v>
      </c>
      <c r="F192" s="307"/>
      <c r="G192" s="297" t="s">
        <v>489</v>
      </c>
      <c r="H192" s="308" t="str">
        <f t="shared" ref="H192:H202" si="10">CONCATENATE("AR-",G192,"-",I192)</f>
        <v>AR-T2V-3</v>
      </c>
      <c r="I192" s="661">
        <v>3</v>
      </c>
      <c r="J192" s="197">
        <v>1</v>
      </c>
      <c r="L192" s="709"/>
      <c r="Q192" s="709"/>
    </row>
    <row r="193" spans="2:17" s="248" customFormat="1" ht="15" hidden="1" customHeight="1" outlineLevel="2">
      <c r="B193" s="299" t="s">
        <v>268</v>
      </c>
      <c r="C193" s="304" t="s">
        <v>513</v>
      </c>
      <c r="D193" s="685" t="s">
        <v>376</v>
      </c>
      <c r="E193" s="306" t="s">
        <v>515</v>
      </c>
      <c r="F193" s="307"/>
      <c r="G193" s="297" t="s">
        <v>489</v>
      </c>
      <c r="H193" s="308" t="str">
        <f t="shared" si="10"/>
        <v>AR-T2V-3</v>
      </c>
      <c r="I193" s="661">
        <v>3</v>
      </c>
      <c r="J193" s="197">
        <v>1</v>
      </c>
      <c r="L193" s="709"/>
      <c r="Q193" s="709"/>
    </row>
    <row r="194" spans="2:17" s="248" customFormat="1" ht="15" hidden="1" customHeight="1" outlineLevel="2">
      <c r="B194" s="299" t="s">
        <v>268</v>
      </c>
      <c r="C194" s="304" t="s">
        <v>489</v>
      </c>
      <c r="D194" s="685" t="s">
        <v>374</v>
      </c>
      <c r="E194" s="306" t="s">
        <v>516</v>
      </c>
      <c r="F194" s="307"/>
      <c r="G194" s="297" t="s">
        <v>489</v>
      </c>
      <c r="H194" s="308" t="str">
        <f t="shared" si="10"/>
        <v>AR-T2V-7</v>
      </c>
      <c r="I194" s="661">
        <v>7</v>
      </c>
      <c r="J194" s="197">
        <v>1</v>
      </c>
      <c r="L194" s="709"/>
      <c r="Q194" s="709"/>
    </row>
    <row r="195" spans="2:17" s="248" customFormat="1" ht="15" hidden="1" customHeight="1" outlineLevel="2">
      <c r="B195" s="299" t="s">
        <v>268</v>
      </c>
      <c r="C195" s="304" t="s">
        <v>489</v>
      </c>
      <c r="D195" s="685" t="s">
        <v>376</v>
      </c>
      <c r="E195" s="306" t="s">
        <v>517</v>
      </c>
      <c r="F195" s="307"/>
      <c r="G195" s="297" t="s">
        <v>489</v>
      </c>
      <c r="H195" s="308" t="str">
        <f t="shared" si="10"/>
        <v>AR-T2V-7</v>
      </c>
      <c r="I195" s="661">
        <v>7</v>
      </c>
      <c r="J195" s="197">
        <v>1</v>
      </c>
      <c r="L195" s="709"/>
      <c r="Q195" s="709"/>
    </row>
    <row r="196" spans="2:17" s="248" customFormat="1" ht="15" hidden="1" customHeight="1" outlineLevel="2">
      <c r="B196" s="299" t="s">
        <v>268</v>
      </c>
      <c r="C196" s="304" t="s">
        <v>489</v>
      </c>
      <c r="D196" s="685" t="s">
        <v>380</v>
      </c>
      <c r="E196" s="306" t="s">
        <v>518</v>
      </c>
      <c r="F196" s="307"/>
      <c r="G196" s="297" t="s">
        <v>489</v>
      </c>
      <c r="H196" s="308" t="str">
        <f t="shared" si="10"/>
        <v>AR-T2V-7</v>
      </c>
      <c r="I196" s="661">
        <v>7</v>
      </c>
      <c r="J196" s="197">
        <v>1</v>
      </c>
      <c r="L196" s="709"/>
      <c r="Q196" s="709"/>
    </row>
    <row r="197" spans="2:17" s="248" customFormat="1" ht="15" hidden="1" customHeight="1" outlineLevel="2">
      <c r="B197" s="299" t="s">
        <v>268</v>
      </c>
      <c r="C197" s="304" t="s">
        <v>489</v>
      </c>
      <c r="D197" s="685" t="s">
        <v>382</v>
      </c>
      <c r="E197" s="306" t="s">
        <v>519</v>
      </c>
      <c r="F197" s="307"/>
      <c r="G197" s="297" t="s">
        <v>489</v>
      </c>
      <c r="H197" s="308" t="str">
        <f t="shared" si="10"/>
        <v>AR-T2V-7</v>
      </c>
      <c r="I197" s="661">
        <v>7</v>
      </c>
      <c r="J197" s="197">
        <v>1</v>
      </c>
      <c r="L197" s="709"/>
      <c r="Q197" s="709"/>
    </row>
    <row r="198" spans="2:17" s="248" customFormat="1" ht="15" hidden="1" customHeight="1" outlineLevel="2">
      <c r="B198" s="299" t="s">
        <v>268</v>
      </c>
      <c r="C198" s="304" t="s">
        <v>489</v>
      </c>
      <c r="D198" s="685" t="s">
        <v>520</v>
      </c>
      <c r="E198" s="306" t="s">
        <v>521</v>
      </c>
      <c r="F198" s="307"/>
      <c r="G198" s="297" t="s">
        <v>489</v>
      </c>
      <c r="H198" s="308" t="str">
        <f t="shared" si="10"/>
        <v>AR-T2V-7</v>
      </c>
      <c r="I198" s="661">
        <v>7</v>
      </c>
      <c r="J198" s="197">
        <v>1</v>
      </c>
      <c r="L198" s="709"/>
      <c r="Q198" s="709"/>
    </row>
    <row r="199" spans="2:17" s="248" customFormat="1" ht="15" hidden="1" customHeight="1" outlineLevel="2">
      <c r="B199" s="299" t="s">
        <v>268</v>
      </c>
      <c r="C199" s="304" t="s">
        <v>489</v>
      </c>
      <c r="D199" s="685" t="s">
        <v>522</v>
      </c>
      <c r="E199" s="306" t="s">
        <v>523</v>
      </c>
      <c r="F199" s="307"/>
      <c r="G199" s="297" t="s">
        <v>489</v>
      </c>
      <c r="H199" s="308" t="str">
        <f t="shared" si="10"/>
        <v>AR-T2V-7</v>
      </c>
      <c r="I199" s="661">
        <v>7</v>
      </c>
      <c r="J199" s="197">
        <v>1</v>
      </c>
      <c r="L199" s="709"/>
      <c r="Q199" s="709"/>
    </row>
    <row r="200" spans="2:17" s="248" customFormat="1" ht="15" hidden="1" customHeight="1" outlineLevel="2">
      <c r="B200" s="299" t="s">
        <v>268</v>
      </c>
      <c r="C200" s="304" t="s">
        <v>489</v>
      </c>
      <c r="D200" s="685" t="s">
        <v>524</v>
      </c>
      <c r="E200" s="306" t="s">
        <v>525</v>
      </c>
      <c r="F200" s="307"/>
      <c r="G200" s="297" t="s">
        <v>489</v>
      </c>
      <c r="H200" s="308" t="str">
        <f t="shared" si="10"/>
        <v>AR-T2V-7</v>
      </c>
      <c r="I200" s="661">
        <v>7</v>
      </c>
      <c r="J200" s="197">
        <v>1</v>
      </c>
      <c r="L200" s="709"/>
      <c r="Q200" s="709"/>
    </row>
    <row r="201" spans="2:17" s="248" customFormat="1" ht="15" hidden="1" customHeight="1" outlineLevel="2">
      <c r="B201" s="299" t="s">
        <v>268</v>
      </c>
      <c r="C201" s="304" t="s">
        <v>489</v>
      </c>
      <c r="D201" s="685" t="s">
        <v>526</v>
      </c>
      <c r="E201" s="306" t="s">
        <v>527</v>
      </c>
      <c r="F201" s="307"/>
      <c r="G201" s="297" t="s">
        <v>489</v>
      </c>
      <c r="H201" s="308" t="str">
        <f t="shared" si="10"/>
        <v>AR-T2V-10</v>
      </c>
      <c r="I201" s="661">
        <v>10</v>
      </c>
      <c r="J201" s="197">
        <v>1</v>
      </c>
      <c r="L201" s="709"/>
      <c r="Q201" s="709"/>
    </row>
    <row r="202" spans="2:17" s="248" customFormat="1" ht="15" hidden="1" customHeight="1" outlineLevel="2">
      <c r="B202" s="299" t="s">
        <v>268</v>
      </c>
      <c r="C202" s="304" t="s">
        <v>489</v>
      </c>
      <c r="D202" s="685" t="s">
        <v>528</v>
      </c>
      <c r="E202" s="306" t="s">
        <v>529</v>
      </c>
      <c r="F202" s="307"/>
      <c r="G202" s="297" t="s">
        <v>489</v>
      </c>
      <c r="H202" s="308" t="str">
        <f t="shared" si="10"/>
        <v>AR-T2V-10</v>
      </c>
      <c r="I202" s="661">
        <v>10</v>
      </c>
      <c r="J202" s="197">
        <v>1</v>
      </c>
      <c r="L202" s="709"/>
      <c r="Q202" s="709"/>
    </row>
    <row r="203" spans="2:17" s="248" customFormat="1" ht="3" hidden="1" customHeight="1" outlineLevel="2">
      <c r="B203" s="299"/>
      <c r="C203" s="304"/>
      <c r="D203" s="685"/>
      <c r="E203" s="306" t="s">
        <v>277</v>
      </c>
      <c r="F203" s="307"/>
      <c r="G203" s="297"/>
      <c r="H203" s="308"/>
      <c r="I203" s="661"/>
      <c r="J203" s="245"/>
      <c r="L203" s="709"/>
      <c r="Q203" s="709"/>
    </row>
    <row r="204" spans="2:17" s="248" customFormat="1" ht="15" hidden="1" customHeight="1" outlineLevel="2">
      <c r="B204" s="299" t="s">
        <v>386</v>
      </c>
      <c r="C204" s="304"/>
      <c r="D204" s="685"/>
      <c r="E204" s="306"/>
      <c r="F204" s="307"/>
      <c r="G204" s="297"/>
      <c r="H204" s="308"/>
      <c r="I204" s="661"/>
      <c r="J204" s="245"/>
      <c r="L204" s="709"/>
      <c r="Q204" s="709"/>
    </row>
    <row r="205" spans="2:17" s="248" customFormat="1" ht="15" hidden="1" customHeight="1" outlineLevel="2">
      <c r="B205" s="299" t="s">
        <v>268</v>
      </c>
      <c r="C205" s="304" t="s">
        <v>489</v>
      </c>
      <c r="D205" s="685" t="s">
        <v>283</v>
      </c>
      <c r="E205" s="306" t="s">
        <v>530</v>
      </c>
      <c r="F205" s="307"/>
      <c r="G205" s="297" t="s">
        <v>489</v>
      </c>
      <c r="H205" s="308" t="str">
        <f t="shared" ref="H205:H217" si="11">CONCATENATE("AR-",G205,"-",I205)</f>
        <v>AR-T2V-2</v>
      </c>
      <c r="I205" s="661">
        <v>2</v>
      </c>
      <c r="J205" s="197">
        <v>1</v>
      </c>
      <c r="L205" s="709"/>
      <c r="Q205" s="709"/>
    </row>
    <row r="206" spans="2:17" s="248" customFormat="1" ht="15" hidden="1" customHeight="1" outlineLevel="2">
      <c r="B206" s="299" t="s">
        <v>268</v>
      </c>
      <c r="C206" s="304" t="s">
        <v>489</v>
      </c>
      <c r="D206" s="685" t="s">
        <v>390</v>
      </c>
      <c r="E206" s="306" t="s">
        <v>530</v>
      </c>
      <c r="F206" s="307"/>
      <c r="G206" s="297" t="s">
        <v>489</v>
      </c>
      <c r="H206" s="308" t="str">
        <f t="shared" si="11"/>
        <v>AR-T2V-2</v>
      </c>
      <c r="I206" s="661">
        <v>2</v>
      </c>
      <c r="J206" s="197">
        <v>1</v>
      </c>
      <c r="L206" s="709"/>
      <c r="Q206" s="709"/>
    </row>
    <row r="207" spans="2:17" s="248" customFormat="1" ht="15" hidden="1" customHeight="1" outlineLevel="2">
      <c r="B207" s="299" t="s">
        <v>268</v>
      </c>
      <c r="C207" s="304" t="s">
        <v>489</v>
      </c>
      <c r="D207" s="685" t="s">
        <v>392</v>
      </c>
      <c r="E207" s="306" t="s">
        <v>530</v>
      </c>
      <c r="F207" s="307"/>
      <c r="G207" s="297" t="s">
        <v>489</v>
      </c>
      <c r="H207" s="308" t="str">
        <f t="shared" si="11"/>
        <v>AR-T2V-2</v>
      </c>
      <c r="I207" s="661">
        <v>2</v>
      </c>
      <c r="J207" s="197">
        <v>1</v>
      </c>
      <c r="L207" s="709"/>
      <c r="Q207" s="709"/>
    </row>
    <row r="208" spans="2:17" s="248" customFormat="1" ht="15" hidden="1" customHeight="1" outlineLevel="2">
      <c r="B208" s="299" t="s">
        <v>268</v>
      </c>
      <c r="C208" s="304" t="s">
        <v>489</v>
      </c>
      <c r="D208" s="685" t="s">
        <v>531</v>
      </c>
      <c r="E208" s="306" t="s">
        <v>532</v>
      </c>
      <c r="F208" s="307"/>
      <c r="G208" s="297" t="s">
        <v>489</v>
      </c>
      <c r="H208" s="308" t="str">
        <f t="shared" si="11"/>
        <v>AR-T2V-2</v>
      </c>
      <c r="I208" s="661">
        <v>2</v>
      </c>
      <c r="J208" s="234">
        <v>1</v>
      </c>
      <c r="L208" s="709"/>
      <c r="Q208" s="709"/>
    </row>
    <row r="209" spans="2:17" s="248" customFormat="1" ht="15" hidden="1" customHeight="1" outlineLevel="2">
      <c r="B209" s="299" t="s">
        <v>268</v>
      </c>
      <c r="C209" s="304" t="s">
        <v>489</v>
      </c>
      <c r="D209" s="685" t="s">
        <v>394</v>
      </c>
      <c r="E209" s="306" t="s">
        <v>533</v>
      </c>
      <c r="F209" s="307"/>
      <c r="G209" s="297" t="s">
        <v>489</v>
      </c>
      <c r="H209" s="308" t="str">
        <f t="shared" si="11"/>
        <v>AR-T2V-4</v>
      </c>
      <c r="I209" s="661">
        <v>4</v>
      </c>
      <c r="J209" s="197">
        <v>1</v>
      </c>
      <c r="L209" s="709"/>
      <c r="Q209" s="709"/>
    </row>
    <row r="210" spans="2:17" s="248" customFormat="1" ht="15" hidden="1" customHeight="1" outlineLevel="2">
      <c r="B210" s="299" t="s">
        <v>268</v>
      </c>
      <c r="C210" s="304" t="s">
        <v>489</v>
      </c>
      <c r="D210" s="685" t="s">
        <v>396</v>
      </c>
      <c r="E210" s="306" t="s">
        <v>534</v>
      </c>
      <c r="F210" s="307"/>
      <c r="G210" s="297" t="s">
        <v>489</v>
      </c>
      <c r="H210" s="308" t="str">
        <f t="shared" si="11"/>
        <v>AR-T2V-4</v>
      </c>
      <c r="I210" s="661">
        <v>4</v>
      </c>
      <c r="J210" s="197">
        <v>1</v>
      </c>
      <c r="L210" s="709"/>
      <c r="Q210" s="709"/>
    </row>
    <row r="211" spans="2:17" s="248" customFormat="1" ht="15" hidden="1" customHeight="1" outlineLevel="2">
      <c r="B211" s="299" t="s">
        <v>268</v>
      </c>
      <c r="C211" s="304" t="s">
        <v>489</v>
      </c>
      <c r="D211" s="685" t="s">
        <v>535</v>
      </c>
      <c r="E211" s="306" t="s">
        <v>536</v>
      </c>
      <c r="F211" s="307"/>
      <c r="G211" s="297" t="s">
        <v>489</v>
      </c>
      <c r="H211" s="308" t="str">
        <f t="shared" si="11"/>
        <v>AR-T2V-7</v>
      </c>
      <c r="I211" s="661">
        <v>7</v>
      </c>
      <c r="J211" s="197">
        <v>1</v>
      </c>
      <c r="L211" s="709"/>
      <c r="Q211" s="709"/>
    </row>
    <row r="212" spans="2:17" s="248" customFormat="1" ht="15" hidden="1" customHeight="1" outlineLevel="2">
      <c r="B212" s="299" t="s">
        <v>268</v>
      </c>
      <c r="C212" s="304" t="s">
        <v>489</v>
      </c>
      <c r="D212" s="685" t="s">
        <v>537</v>
      </c>
      <c r="E212" s="306" t="s">
        <v>538</v>
      </c>
      <c r="F212" s="307"/>
      <c r="G212" s="297" t="s">
        <v>489</v>
      </c>
      <c r="H212" s="308" t="str">
        <f t="shared" si="11"/>
        <v>AR-T2V-7</v>
      </c>
      <c r="I212" s="661">
        <v>7</v>
      </c>
      <c r="J212" s="197">
        <v>1</v>
      </c>
      <c r="L212" s="709"/>
      <c r="Q212" s="709"/>
    </row>
    <row r="213" spans="2:17" s="248" customFormat="1" ht="15" hidden="1" customHeight="1" outlineLevel="2">
      <c r="B213" s="299" t="s">
        <v>268</v>
      </c>
      <c r="C213" s="304" t="s">
        <v>489</v>
      </c>
      <c r="D213" s="685" t="s">
        <v>539</v>
      </c>
      <c r="E213" s="306" t="s">
        <v>540</v>
      </c>
      <c r="F213" s="307"/>
      <c r="G213" s="297" t="s">
        <v>489</v>
      </c>
      <c r="H213" s="308" t="str">
        <f t="shared" si="11"/>
        <v>AR-T2V-5</v>
      </c>
      <c r="I213" s="661">
        <v>5</v>
      </c>
      <c r="J213" s="197">
        <v>1</v>
      </c>
      <c r="L213" s="709"/>
      <c r="Q213" s="709"/>
    </row>
    <row r="214" spans="2:17" s="248" customFormat="1" ht="15" hidden="1" customHeight="1" outlineLevel="2">
      <c r="B214" s="299" t="s">
        <v>268</v>
      </c>
      <c r="C214" s="304" t="s">
        <v>489</v>
      </c>
      <c r="D214" s="685" t="s">
        <v>541</v>
      </c>
      <c r="E214" s="306" t="s">
        <v>542</v>
      </c>
      <c r="F214" s="307"/>
      <c r="G214" s="297" t="s">
        <v>489</v>
      </c>
      <c r="H214" s="308" t="str">
        <f t="shared" si="11"/>
        <v>AR-T2V-7</v>
      </c>
      <c r="I214" s="661">
        <v>7</v>
      </c>
      <c r="J214" s="197">
        <v>1</v>
      </c>
      <c r="L214" s="709"/>
      <c r="Q214" s="709"/>
    </row>
    <row r="215" spans="2:17" s="248" customFormat="1" ht="15" hidden="1" customHeight="1" outlineLevel="2">
      <c r="B215" s="299" t="s">
        <v>268</v>
      </c>
      <c r="C215" s="304" t="s">
        <v>489</v>
      </c>
      <c r="D215" s="685"/>
      <c r="E215" s="306" t="s">
        <v>543</v>
      </c>
      <c r="F215" s="307"/>
      <c r="G215" s="297" t="s">
        <v>489</v>
      </c>
      <c r="H215" s="308" t="str">
        <f t="shared" si="11"/>
        <v>AR-T2V-8</v>
      </c>
      <c r="I215" s="661">
        <v>8</v>
      </c>
      <c r="J215" s="197">
        <v>1</v>
      </c>
      <c r="L215" s="709"/>
      <c r="Q215" s="709"/>
    </row>
    <row r="216" spans="2:17" s="248" customFormat="1" ht="15" hidden="1" customHeight="1" outlineLevel="2">
      <c r="B216" s="299" t="s">
        <v>268</v>
      </c>
      <c r="C216" s="304" t="s">
        <v>489</v>
      </c>
      <c r="D216" s="685" t="s">
        <v>544</v>
      </c>
      <c r="E216" s="306" t="s">
        <v>545</v>
      </c>
      <c r="F216" s="307"/>
      <c r="G216" s="297" t="s">
        <v>489</v>
      </c>
      <c r="H216" s="308" t="str">
        <f t="shared" si="11"/>
        <v>AR-T2V-8</v>
      </c>
      <c r="I216" s="661">
        <v>8</v>
      </c>
      <c r="J216" s="197">
        <v>1</v>
      </c>
      <c r="L216" s="709"/>
      <c r="Q216" s="709"/>
    </row>
    <row r="217" spans="2:17" s="248" customFormat="1" ht="15" hidden="1" customHeight="1" outlineLevel="2">
      <c r="B217" s="299" t="s">
        <v>268</v>
      </c>
      <c r="C217" s="304" t="s">
        <v>489</v>
      </c>
      <c r="D217" s="685" t="s">
        <v>546</v>
      </c>
      <c r="E217" s="306" t="s">
        <v>545</v>
      </c>
      <c r="F217" s="307"/>
      <c r="G217" s="297" t="s">
        <v>489</v>
      </c>
      <c r="H217" s="308" t="str">
        <f t="shared" si="11"/>
        <v>AR-T2V-8</v>
      </c>
      <c r="I217" s="661">
        <v>8</v>
      </c>
      <c r="J217" s="197">
        <v>1</v>
      </c>
      <c r="L217" s="709"/>
      <c r="Q217" s="709"/>
    </row>
    <row r="218" spans="2:17" s="248" customFormat="1" ht="3" hidden="1" customHeight="1" outlineLevel="2">
      <c r="B218" s="299"/>
      <c r="C218" s="304"/>
      <c r="D218" s="685"/>
      <c r="E218" s="306" t="s">
        <v>277</v>
      </c>
      <c r="F218" s="307"/>
      <c r="G218" s="297"/>
      <c r="H218" s="308"/>
      <c r="I218" s="661"/>
      <c r="J218" s="245"/>
      <c r="L218" s="709"/>
      <c r="Q218" s="709"/>
    </row>
    <row r="219" spans="2:17" s="248" customFormat="1" ht="15" hidden="1" customHeight="1" outlineLevel="2">
      <c r="B219" s="299" t="s">
        <v>547</v>
      </c>
      <c r="C219" s="304"/>
      <c r="D219" s="685"/>
      <c r="E219" s="306"/>
      <c r="F219" s="307"/>
      <c r="G219" s="297"/>
      <c r="H219" s="308"/>
      <c r="I219" s="661"/>
      <c r="J219" s="245"/>
      <c r="L219" s="709"/>
      <c r="Q219" s="709"/>
    </row>
    <row r="220" spans="2:17" s="248" customFormat="1" ht="15" hidden="1" customHeight="1" outlineLevel="2">
      <c r="B220" s="299" t="s">
        <v>268</v>
      </c>
      <c r="C220" s="304" t="s">
        <v>489</v>
      </c>
      <c r="D220" s="685" t="s">
        <v>328</v>
      </c>
      <c r="E220" s="306" t="s">
        <v>329</v>
      </c>
      <c r="F220" s="307"/>
      <c r="G220" s="297" t="s">
        <v>489</v>
      </c>
      <c r="H220" s="308" t="str">
        <f>CONCATENATE("AR-",G220,"-",I220)</f>
        <v>AR-T2V-1</v>
      </c>
      <c r="I220" s="661">
        <v>1</v>
      </c>
      <c r="J220" s="197">
        <v>1</v>
      </c>
      <c r="L220" s="709"/>
      <c r="Q220" s="709"/>
    </row>
    <row r="221" spans="2:17" s="248" customFormat="1" ht="15" hidden="1" customHeight="1" outlineLevel="2">
      <c r="B221" s="299" t="s">
        <v>268</v>
      </c>
      <c r="C221" s="304" t="s">
        <v>489</v>
      </c>
      <c r="D221" s="685" t="s">
        <v>330</v>
      </c>
      <c r="E221" s="306" t="s">
        <v>331</v>
      </c>
      <c r="F221" s="307"/>
      <c r="G221" s="297" t="s">
        <v>489</v>
      </c>
      <c r="H221" s="308" t="str">
        <f>CONCATENATE("AR-",G221,"-",I221)</f>
        <v>AR-T2V-1</v>
      </c>
      <c r="I221" s="661">
        <v>1</v>
      </c>
      <c r="J221" s="197">
        <v>1</v>
      </c>
      <c r="L221" s="709"/>
      <c r="Q221" s="709"/>
    </row>
    <row r="222" spans="2:17" s="248" customFormat="1" ht="3" hidden="1" customHeight="1" outlineLevel="2">
      <c r="B222" s="299"/>
      <c r="C222" s="304"/>
      <c r="D222" s="685"/>
      <c r="E222" s="306" t="s">
        <v>277</v>
      </c>
      <c r="F222" s="307"/>
      <c r="G222" s="297"/>
      <c r="H222" s="308"/>
      <c r="I222" s="661"/>
      <c r="J222" s="245"/>
      <c r="L222" s="709"/>
      <c r="Q222" s="709"/>
    </row>
    <row r="223" spans="2:17" s="248" customFormat="1" ht="15" hidden="1" customHeight="1" outlineLevel="2">
      <c r="B223" s="299" t="s">
        <v>548</v>
      </c>
      <c r="C223" s="304"/>
      <c r="D223" s="685"/>
      <c r="E223" s="306"/>
      <c r="F223" s="307"/>
      <c r="G223" s="297"/>
      <c r="H223" s="308"/>
      <c r="I223" s="661"/>
      <c r="J223" s="245"/>
      <c r="L223" s="709"/>
      <c r="Q223" s="709"/>
    </row>
    <row r="224" spans="2:17" s="248" customFormat="1" ht="15" hidden="1" customHeight="1" outlineLevel="2">
      <c r="B224" s="299" t="s">
        <v>268</v>
      </c>
      <c r="C224" s="304" t="s">
        <v>489</v>
      </c>
      <c r="D224" s="685" t="s">
        <v>335</v>
      </c>
      <c r="E224" s="306" t="s">
        <v>336</v>
      </c>
      <c r="F224" s="307"/>
      <c r="G224" s="297" t="s">
        <v>489</v>
      </c>
      <c r="H224" s="308" t="str">
        <f>CONCATENATE("AR-",G224,"-",I224)</f>
        <v>AR-T2V-1</v>
      </c>
      <c r="I224" s="661">
        <v>1</v>
      </c>
      <c r="J224" s="197">
        <v>1</v>
      </c>
      <c r="L224" s="709"/>
      <c r="Q224" s="709"/>
    </row>
    <row r="225" spans="1:17" s="248" customFormat="1" ht="15" hidden="1" customHeight="1" outlineLevel="2">
      <c r="B225" s="299" t="s">
        <v>268</v>
      </c>
      <c r="C225" s="304" t="s">
        <v>489</v>
      </c>
      <c r="D225" s="685" t="s">
        <v>337</v>
      </c>
      <c r="E225" s="306" t="s">
        <v>338</v>
      </c>
      <c r="F225" s="307"/>
      <c r="G225" s="297" t="s">
        <v>489</v>
      </c>
      <c r="H225" s="308" t="str">
        <f>CONCATENATE("AR-",G225,"-",I225)</f>
        <v>AR-T2V-1</v>
      </c>
      <c r="I225" s="661">
        <v>1</v>
      </c>
      <c r="J225" s="197">
        <v>1</v>
      </c>
      <c r="L225" s="709"/>
      <c r="Q225" s="709"/>
    </row>
    <row r="226" spans="1:17" ht="3" hidden="1" customHeight="1" outlineLevel="2">
      <c r="A226" s="238"/>
      <c r="B226" s="299"/>
      <c r="C226" s="304"/>
      <c r="D226" s="685"/>
      <c r="E226" s="306" t="s">
        <v>277</v>
      </c>
      <c r="F226" s="307"/>
      <c r="G226" s="297"/>
      <c r="H226" s="308"/>
      <c r="I226" s="661"/>
      <c r="L226" s="251"/>
      <c r="Q226" s="251"/>
    </row>
    <row r="227" spans="1:17" s="233" customFormat="1" ht="15" hidden="1" customHeight="1" outlineLevel="2">
      <c r="A227" s="681"/>
      <c r="B227" s="299" t="s">
        <v>549</v>
      </c>
      <c r="C227" s="304"/>
      <c r="D227" s="685"/>
      <c r="E227" s="306"/>
      <c r="F227" s="307"/>
      <c r="G227" s="297"/>
      <c r="H227" s="308"/>
      <c r="I227" s="661"/>
      <c r="J227" s="197"/>
      <c r="L227" s="237"/>
      <c r="Q227" s="237"/>
    </row>
    <row r="228" spans="1:17" s="233" customFormat="1" ht="15" hidden="1" customHeight="1" outlineLevel="2">
      <c r="A228" s="681"/>
      <c r="B228" s="299" t="s">
        <v>268</v>
      </c>
      <c r="C228" s="304" t="s">
        <v>489</v>
      </c>
      <c r="D228" s="685" t="s">
        <v>335</v>
      </c>
      <c r="E228" s="306" t="s">
        <v>336</v>
      </c>
      <c r="F228" s="307"/>
      <c r="G228" s="297" t="s">
        <v>489</v>
      </c>
      <c r="H228" s="308" t="str">
        <f t="shared" ref="H228:H234" si="12">CONCATENATE("AR-",G228,"-",I228)</f>
        <v>AR-T2V-1</v>
      </c>
      <c r="I228" s="661">
        <v>1</v>
      </c>
      <c r="J228" s="197">
        <v>1</v>
      </c>
      <c r="L228" s="237"/>
      <c r="Q228" s="237"/>
    </row>
    <row r="229" spans="1:17" s="233" customFormat="1" ht="15" hidden="1" customHeight="1" outlineLevel="2">
      <c r="A229" s="681"/>
      <c r="B229" s="299" t="s">
        <v>268</v>
      </c>
      <c r="C229" s="304" t="s">
        <v>489</v>
      </c>
      <c r="D229" s="685" t="s">
        <v>337</v>
      </c>
      <c r="E229" s="306" t="s">
        <v>338</v>
      </c>
      <c r="F229" s="307"/>
      <c r="G229" s="297" t="s">
        <v>489</v>
      </c>
      <c r="H229" s="308" t="str">
        <f t="shared" si="12"/>
        <v>AR-T2V-1</v>
      </c>
      <c r="I229" s="661">
        <v>1</v>
      </c>
      <c r="J229" s="197">
        <v>1</v>
      </c>
      <c r="L229" s="237"/>
      <c r="Q229" s="237"/>
    </row>
    <row r="230" spans="1:17" s="233" customFormat="1" ht="15" hidden="1" customHeight="1" outlineLevel="2">
      <c r="A230" s="681"/>
      <c r="B230" s="299" t="s">
        <v>268</v>
      </c>
      <c r="C230" s="304" t="s">
        <v>550</v>
      </c>
      <c r="D230" s="685" t="s">
        <v>551</v>
      </c>
      <c r="E230" s="306" t="s">
        <v>552</v>
      </c>
      <c r="F230" s="307"/>
      <c r="G230" s="297" t="s">
        <v>489</v>
      </c>
      <c r="H230" s="308" t="str">
        <f t="shared" si="12"/>
        <v>AR-T2V-1</v>
      </c>
      <c r="I230" s="661">
        <v>1</v>
      </c>
      <c r="J230" s="197">
        <v>1</v>
      </c>
      <c r="L230" s="237"/>
      <c r="Q230" s="237"/>
    </row>
    <row r="231" spans="1:17" s="233" customFormat="1" ht="15" hidden="1" customHeight="1" outlineLevel="2">
      <c r="A231" s="681"/>
      <c r="B231" s="299" t="s">
        <v>268</v>
      </c>
      <c r="C231" s="304" t="s">
        <v>550</v>
      </c>
      <c r="D231" s="685" t="s">
        <v>553</v>
      </c>
      <c r="E231" s="306" t="s">
        <v>552</v>
      </c>
      <c r="F231" s="307"/>
      <c r="G231" s="297" t="s">
        <v>489</v>
      </c>
      <c r="H231" s="308" t="str">
        <f t="shared" si="12"/>
        <v>AR-T2V-1</v>
      </c>
      <c r="I231" s="661">
        <v>1</v>
      </c>
      <c r="J231" s="197">
        <v>1</v>
      </c>
      <c r="L231" s="237"/>
      <c r="Q231" s="237"/>
    </row>
    <row r="232" spans="1:17" s="233" customFormat="1" ht="15" hidden="1" customHeight="1" outlineLevel="2">
      <c r="A232" s="681"/>
      <c r="B232" s="299" t="s">
        <v>268</v>
      </c>
      <c r="C232" s="304" t="s">
        <v>550</v>
      </c>
      <c r="D232" s="685" t="s">
        <v>554</v>
      </c>
      <c r="E232" s="306" t="s">
        <v>552</v>
      </c>
      <c r="F232" s="307"/>
      <c r="G232" s="297" t="s">
        <v>489</v>
      </c>
      <c r="H232" s="308" t="str">
        <f t="shared" si="12"/>
        <v>AR-T2V-1</v>
      </c>
      <c r="I232" s="661">
        <v>1</v>
      </c>
      <c r="J232" s="197">
        <v>1</v>
      </c>
      <c r="L232" s="237"/>
      <c r="Q232" s="237"/>
    </row>
    <row r="233" spans="1:17" s="233" customFormat="1" ht="15" hidden="1" customHeight="1" outlineLevel="2">
      <c r="A233" s="681"/>
      <c r="B233" s="299" t="s">
        <v>268</v>
      </c>
      <c r="C233" s="304" t="s">
        <v>550</v>
      </c>
      <c r="D233" s="685" t="s">
        <v>555</v>
      </c>
      <c r="E233" s="306" t="s">
        <v>552</v>
      </c>
      <c r="F233" s="307"/>
      <c r="G233" s="297" t="s">
        <v>489</v>
      </c>
      <c r="H233" s="308" t="str">
        <f t="shared" si="12"/>
        <v>AR-T2V-1</v>
      </c>
      <c r="I233" s="661">
        <v>1</v>
      </c>
      <c r="J233" s="197">
        <v>1</v>
      </c>
      <c r="L233" s="237"/>
      <c r="Q233" s="237"/>
    </row>
    <row r="234" spans="1:17" s="233" customFormat="1" ht="15" hidden="1" customHeight="1" outlineLevel="2">
      <c r="A234" s="681"/>
      <c r="B234" s="299" t="s">
        <v>268</v>
      </c>
      <c r="C234" s="304" t="s">
        <v>550</v>
      </c>
      <c r="D234" s="685" t="s">
        <v>556</v>
      </c>
      <c r="E234" s="306" t="s">
        <v>552</v>
      </c>
      <c r="F234" s="307"/>
      <c r="G234" s="297" t="s">
        <v>489</v>
      </c>
      <c r="H234" s="308" t="str">
        <f t="shared" si="12"/>
        <v>AR-T2V-1</v>
      </c>
      <c r="I234" s="661">
        <v>1</v>
      </c>
      <c r="J234" s="197">
        <v>1</v>
      </c>
      <c r="L234" s="237"/>
      <c r="Q234" s="237"/>
    </row>
    <row r="235" spans="1:17" s="233" customFormat="1" ht="3" hidden="1" customHeight="1" outlineLevel="2">
      <c r="A235" s="681"/>
      <c r="B235" s="299"/>
      <c r="C235" s="304"/>
      <c r="D235" s="685"/>
      <c r="E235" s="306" t="s">
        <v>277</v>
      </c>
      <c r="F235" s="307"/>
      <c r="G235" s="297"/>
      <c r="H235" s="308"/>
      <c r="I235" s="661"/>
      <c r="J235" s="197"/>
      <c r="L235" s="237"/>
      <c r="Q235" s="237"/>
    </row>
    <row r="236" spans="1:17" s="248" customFormat="1" ht="15" hidden="1" customHeight="1" outlineLevel="2">
      <c r="B236" s="299" t="s">
        <v>557</v>
      </c>
      <c r="C236" s="304"/>
      <c r="D236" s="685"/>
      <c r="E236" s="306" t="s">
        <v>277</v>
      </c>
      <c r="F236" s="307"/>
      <c r="G236" s="297"/>
      <c r="H236" s="308"/>
      <c r="I236" s="661"/>
      <c r="J236" s="245"/>
      <c r="L236" s="709"/>
      <c r="Q236" s="709"/>
    </row>
    <row r="237" spans="1:17" s="248" customFormat="1" ht="15" hidden="1" customHeight="1" outlineLevel="2">
      <c r="B237" s="299" t="s">
        <v>268</v>
      </c>
      <c r="C237" s="304" t="s">
        <v>489</v>
      </c>
      <c r="D237" s="685" t="s">
        <v>402</v>
      </c>
      <c r="E237" s="306" t="s">
        <v>558</v>
      </c>
      <c r="F237" s="307"/>
      <c r="G237" s="297" t="s">
        <v>489</v>
      </c>
      <c r="H237" s="308" t="str">
        <f t="shared" ref="H237:H252" si="13">CONCATENATE("AR-",G237,"-",I237)</f>
        <v>AR-T2V-7</v>
      </c>
      <c r="I237" s="661">
        <v>7</v>
      </c>
      <c r="J237" s="197">
        <v>1</v>
      </c>
      <c r="L237" s="709"/>
      <c r="Q237" s="709"/>
    </row>
    <row r="238" spans="1:17" s="248" customFormat="1" ht="15" hidden="1" customHeight="1" outlineLevel="2">
      <c r="B238" s="299" t="s">
        <v>268</v>
      </c>
      <c r="C238" s="304" t="s">
        <v>489</v>
      </c>
      <c r="D238" s="685"/>
      <c r="E238" s="306" t="s">
        <v>559</v>
      </c>
      <c r="F238" s="307"/>
      <c r="G238" s="297" t="s">
        <v>489</v>
      </c>
      <c r="H238" s="308" t="str">
        <f t="shared" si="13"/>
        <v>AR-T2V-7</v>
      </c>
      <c r="I238" s="661">
        <v>7</v>
      </c>
      <c r="J238" s="197">
        <v>1</v>
      </c>
      <c r="L238" s="709"/>
      <c r="Q238" s="709"/>
    </row>
    <row r="239" spans="1:17" s="248" customFormat="1" ht="15" hidden="1" customHeight="1" outlineLevel="2">
      <c r="B239" s="299" t="s">
        <v>268</v>
      </c>
      <c r="C239" s="304" t="s">
        <v>489</v>
      </c>
      <c r="D239" s="685"/>
      <c r="E239" s="306" t="s">
        <v>560</v>
      </c>
      <c r="F239" s="307"/>
      <c r="G239" s="297" t="s">
        <v>489</v>
      </c>
      <c r="H239" s="308" t="str">
        <f t="shared" si="13"/>
        <v>AR-T2V-7</v>
      </c>
      <c r="I239" s="661">
        <v>7</v>
      </c>
      <c r="J239" s="197">
        <v>1</v>
      </c>
      <c r="L239" s="709"/>
      <c r="Q239" s="709"/>
    </row>
    <row r="240" spans="1:17" s="248" customFormat="1" ht="15" hidden="1" customHeight="1" outlineLevel="2">
      <c r="B240" s="299" t="s">
        <v>268</v>
      </c>
      <c r="C240" s="304" t="s">
        <v>489</v>
      </c>
      <c r="D240" s="685"/>
      <c r="E240" s="306" t="s">
        <v>561</v>
      </c>
      <c r="F240" s="307"/>
      <c r="G240" s="297" t="s">
        <v>489</v>
      </c>
      <c r="H240" s="308" t="str">
        <f t="shared" si="13"/>
        <v>AR-T2V-7</v>
      </c>
      <c r="I240" s="661">
        <v>7</v>
      </c>
      <c r="J240" s="197">
        <v>1</v>
      </c>
      <c r="L240" s="709"/>
      <c r="Q240" s="709"/>
    </row>
    <row r="241" spans="2:18" s="248" customFormat="1" ht="15" hidden="1" customHeight="1" outlineLevel="2">
      <c r="B241" s="299" t="s">
        <v>268</v>
      </c>
      <c r="C241" s="304" t="s">
        <v>489</v>
      </c>
      <c r="D241" s="685"/>
      <c r="E241" s="306" t="s">
        <v>562</v>
      </c>
      <c r="F241" s="307"/>
      <c r="G241" s="297" t="s">
        <v>489</v>
      </c>
      <c r="H241" s="308" t="str">
        <f t="shared" si="13"/>
        <v>AR-T2V-7</v>
      </c>
      <c r="I241" s="661">
        <v>7</v>
      </c>
      <c r="J241" s="197">
        <v>1</v>
      </c>
      <c r="K241" s="246"/>
      <c r="L241" s="234"/>
      <c r="M241" s="197"/>
      <c r="N241" s="197"/>
      <c r="O241" s="197"/>
      <c r="P241" s="197"/>
      <c r="Q241" s="234"/>
      <c r="R241" s="197"/>
    </row>
    <row r="242" spans="2:18" s="248" customFormat="1" ht="15" hidden="1" customHeight="1" outlineLevel="2">
      <c r="B242" s="299" t="s">
        <v>268</v>
      </c>
      <c r="C242" s="304" t="s">
        <v>489</v>
      </c>
      <c r="D242" s="685"/>
      <c r="E242" s="306" t="s">
        <v>563</v>
      </c>
      <c r="F242" s="307"/>
      <c r="G242" s="297" t="s">
        <v>489</v>
      </c>
      <c r="H242" s="308" t="str">
        <f t="shared" si="13"/>
        <v>AR-T2V-7</v>
      </c>
      <c r="I242" s="661">
        <v>7</v>
      </c>
      <c r="J242" s="197">
        <v>1</v>
      </c>
      <c r="K242" s="246"/>
      <c r="L242" s="234"/>
      <c r="M242" s="197"/>
      <c r="N242" s="197"/>
      <c r="O242" s="197"/>
      <c r="P242" s="197"/>
      <c r="Q242" s="234"/>
      <c r="R242" s="197"/>
    </row>
    <row r="243" spans="2:18" s="248" customFormat="1" ht="15" hidden="1" customHeight="1" outlineLevel="2">
      <c r="B243" s="299" t="s">
        <v>268</v>
      </c>
      <c r="C243" s="304" t="s">
        <v>489</v>
      </c>
      <c r="D243" s="685"/>
      <c r="E243" s="306" t="s">
        <v>564</v>
      </c>
      <c r="F243" s="307"/>
      <c r="G243" s="297" t="s">
        <v>489</v>
      </c>
      <c r="H243" s="308" t="str">
        <f t="shared" si="13"/>
        <v>AR-T2V-7</v>
      </c>
      <c r="I243" s="661">
        <v>7</v>
      </c>
      <c r="J243" s="197">
        <v>1</v>
      </c>
      <c r="K243" s="246"/>
      <c r="L243" s="234"/>
      <c r="M243" s="197"/>
      <c r="N243" s="197"/>
      <c r="O243" s="197"/>
      <c r="P243" s="197"/>
      <c r="Q243" s="234"/>
      <c r="R243" s="197"/>
    </row>
    <row r="244" spans="2:18" s="248" customFormat="1" ht="15" hidden="1" customHeight="1" outlineLevel="2">
      <c r="B244" s="299" t="s">
        <v>268</v>
      </c>
      <c r="C244" s="304" t="s">
        <v>489</v>
      </c>
      <c r="D244" s="685"/>
      <c r="E244" s="306" t="s">
        <v>565</v>
      </c>
      <c r="F244" s="307"/>
      <c r="G244" s="297" t="s">
        <v>489</v>
      </c>
      <c r="H244" s="308" t="str">
        <f t="shared" si="13"/>
        <v>AR-T2V-7</v>
      </c>
      <c r="I244" s="661">
        <v>7</v>
      </c>
      <c r="J244" s="197">
        <v>1</v>
      </c>
      <c r="K244" s="246"/>
      <c r="L244" s="234"/>
      <c r="M244" s="197"/>
      <c r="N244" s="197"/>
      <c r="O244" s="197"/>
      <c r="P244" s="197"/>
      <c r="Q244" s="234"/>
      <c r="R244" s="197"/>
    </row>
    <row r="245" spans="2:18" s="248" customFormat="1" ht="15" hidden="1" customHeight="1" outlineLevel="2">
      <c r="B245" s="299" t="s">
        <v>268</v>
      </c>
      <c r="C245" s="304" t="s">
        <v>489</v>
      </c>
      <c r="D245" s="685"/>
      <c r="E245" s="306" t="s">
        <v>566</v>
      </c>
      <c r="F245" s="307"/>
      <c r="G245" s="297" t="s">
        <v>489</v>
      </c>
      <c r="H245" s="308" t="str">
        <f t="shared" si="13"/>
        <v>AR-T2V-7</v>
      </c>
      <c r="I245" s="661">
        <v>7</v>
      </c>
      <c r="J245" s="234">
        <v>1</v>
      </c>
      <c r="K245" s="246"/>
      <c r="L245" s="234"/>
      <c r="M245" s="197"/>
      <c r="N245" s="197"/>
      <c r="O245" s="197"/>
      <c r="P245" s="197"/>
      <c r="Q245" s="234"/>
      <c r="R245" s="197"/>
    </row>
    <row r="246" spans="2:18" s="248" customFormat="1" ht="15" hidden="1" customHeight="1" outlineLevel="2">
      <c r="B246" s="299" t="s">
        <v>268</v>
      </c>
      <c r="C246" s="304" t="s">
        <v>489</v>
      </c>
      <c r="D246" s="685"/>
      <c r="E246" s="306" t="s">
        <v>567</v>
      </c>
      <c r="F246" s="307"/>
      <c r="G246" s="297" t="s">
        <v>489</v>
      </c>
      <c r="H246" s="308" t="str">
        <f t="shared" si="13"/>
        <v>AR-T2V-7</v>
      </c>
      <c r="I246" s="661">
        <v>7</v>
      </c>
      <c r="J246" s="245"/>
      <c r="K246" s="246"/>
      <c r="L246" s="234">
        <v>1</v>
      </c>
      <c r="M246" s="197">
        <v>1</v>
      </c>
      <c r="N246" s="197"/>
      <c r="O246" s="197"/>
      <c r="P246" s="197"/>
      <c r="Q246" s="234">
        <v>1</v>
      </c>
      <c r="R246" s="197">
        <v>1</v>
      </c>
    </row>
    <row r="247" spans="2:18" s="248" customFormat="1" ht="15" hidden="1" customHeight="1" outlineLevel="2">
      <c r="B247" s="299" t="s">
        <v>268</v>
      </c>
      <c r="C247" s="304" t="s">
        <v>489</v>
      </c>
      <c r="D247" s="685"/>
      <c r="E247" s="306" t="s">
        <v>568</v>
      </c>
      <c r="F247" s="307"/>
      <c r="G247" s="297" t="s">
        <v>489</v>
      </c>
      <c r="H247" s="308" t="str">
        <f t="shared" si="13"/>
        <v>AR-T2V-7</v>
      </c>
      <c r="I247" s="661">
        <v>7</v>
      </c>
      <c r="J247" s="234">
        <v>1</v>
      </c>
      <c r="K247" s="246"/>
      <c r="L247" s="234"/>
      <c r="M247" s="197"/>
      <c r="N247" s="197"/>
      <c r="O247" s="197"/>
      <c r="P247" s="197"/>
      <c r="Q247" s="234"/>
      <c r="R247" s="197"/>
    </row>
    <row r="248" spans="2:18" s="248" customFormat="1" ht="15" hidden="1" customHeight="1" outlineLevel="2">
      <c r="B248" s="299" t="s">
        <v>268</v>
      </c>
      <c r="C248" s="304" t="s">
        <v>489</v>
      </c>
      <c r="D248" s="685" t="s">
        <v>569</v>
      </c>
      <c r="E248" s="306" t="s">
        <v>570</v>
      </c>
      <c r="F248" s="307"/>
      <c r="G248" s="297" t="s">
        <v>489</v>
      </c>
      <c r="H248" s="308" t="str">
        <f t="shared" si="13"/>
        <v>AR-T2V-7</v>
      </c>
      <c r="I248" s="661">
        <v>7</v>
      </c>
      <c r="J248" s="234">
        <v>1</v>
      </c>
      <c r="K248" s="246"/>
      <c r="L248" s="234"/>
      <c r="M248" s="197"/>
      <c r="N248" s="197"/>
      <c r="O248" s="197"/>
      <c r="P248" s="197"/>
      <c r="Q248" s="234"/>
      <c r="R248" s="197"/>
    </row>
    <row r="249" spans="2:18" s="248" customFormat="1" ht="15" hidden="1" customHeight="1" outlineLevel="2">
      <c r="B249" s="299" t="s">
        <v>268</v>
      </c>
      <c r="C249" s="304" t="s">
        <v>489</v>
      </c>
      <c r="D249" s="685" t="s">
        <v>571</v>
      </c>
      <c r="E249" s="306" t="s">
        <v>572</v>
      </c>
      <c r="F249" s="307"/>
      <c r="G249" s="297" t="s">
        <v>489</v>
      </c>
      <c r="H249" s="308" t="str">
        <f t="shared" si="13"/>
        <v>AR-T2V-7</v>
      </c>
      <c r="I249" s="661">
        <v>7</v>
      </c>
      <c r="J249" s="234">
        <v>1</v>
      </c>
      <c r="K249" s="246"/>
      <c r="L249" s="234"/>
      <c r="M249" s="197"/>
      <c r="N249" s="197"/>
      <c r="O249" s="197"/>
      <c r="P249" s="197"/>
      <c r="Q249" s="234"/>
      <c r="R249" s="197"/>
    </row>
    <row r="250" spans="2:18" s="248" customFormat="1" ht="15" hidden="1" customHeight="1" outlineLevel="2">
      <c r="B250" s="299" t="s">
        <v>268</v>
      </c>
      <c r="C250" s="304" t="s">
        <v>489</v>
      </c>
      <c r="D250" s="685" t="s">
        <v>573</v>
      </c>
      <c r="E250" s="306" t="s">
        <v>574</v>
      </c>
      <c r="F250" s="307"/>
      <c r="G250" s="297" t="s">
        <v>489</v>
      </c>
      <c r="H250" s="308" t="str">
        <f t="shared" si="13"/>
        <v>AR-T2V-7</v>
      </c>
      <c r="I250" s="661">
        <v>7</v>
      </c>
      <c r="J250" s="234">
        <v>1</v>
      </c>
      <c r="K250" s="246"/>
      <c r="L250" s="234"/>
      <c r="M250" s="197"/>
      <c r="N250" s="197"/>
      <c r="O250" s="197"/>
      <c r="P250" s="197"/>
      <c r="Q250" s="247"/>
      <c r="R250" s="197"/>
    </row>
    <row r="251" spans="2:18" s="248" customFormat="1" ht="15" hidden="1" customHeight="1" outlineLevel="2">
      <c r="B251" s="299" t="s">
        <v>268</v>
      </c>
      <c r="C251" s="304" t="s">
        <v>489</v>
      </c>
      <c r="D251" s="685" t="s">
        <v>575</v>
      </c>
      <c r="E251" s="306" t="s">
        <v>576</v>
      </c>
      <c r="F251" s="307"/>
      <c r="G251" s="297" t="s">
        <v>489</v>
      </c>
      <c r="H251" s="308" t="str">
        <f t="shared" si="13"/>
        <v>AR-T2V-7</v>
      </c>
      <c r="I251" s="661">
        <v>7</v>
      </c>
      <c r="J251" s="234">
        <v>1</v>
      </c>
      <c r="K251" s="246"/>
      <c r="L251" s="234"/>
      <c r="M251" s="197"/>
      <c r="N251" s="197"/>
      <c r="O251" s="197"/>
      <c r="P251" s="197"/>
      <c r="Q251" s="247"/>
      <c r="R251" s="197"/>
    </row>
    <row r="252" spans="2:18" s="248" customFormat="1" ht="15" hidden="1" customHeight="1" outlineLevel="2">
      <c r="B252" s="299" t="s">
        <v>268</v>
      </c>
      <c r="C252" s="304" t="s">
        <v>489</v>
      </c>
      <c r="D252" s="685" t="s">
        <v>303</v>
      </c>
      <c r="E252" s="306" t="s">
        <v>577</v>
      </c>
      <c r="F252" s="307"/>
      <c r="G252" s="297" t="s">
        <v>489</v>
      </c>
      <c r="H252" s="308" t="str">
        <f t="shared" si="13"/>
        <v>AR-T2V-10</v>
      </c>
      <c r="I252" s="661">
        <v>10</v>
      </c>
      <c r="J252" s="234">
        <v>1</v>
      </c>
      <c r="K252" s="246"/>
      <c r="L252" s="234"/>
      <c r="M252" s="197"/>
      <c r="N252" s="197"/>
      <c r="O252" s="197"/>
      <c r="P252" s="197"/>
      <c r="Q252" s="247"/>
      <c r="R252" s="197"/>
    </row>
    <row r="253" spans="2:18" s="248" customFormat="1" ht="3" hidden="1" customHeight="1" outlineLevel="2">
      <c r="B253" s="299"/>
      <c r="C253" s="304"/>
      <c r="D253" s="685"/>
      <c r="E253" s="306" t="s">
        <v>277</v>
      </c>
      <c r="F253" s="307"/>
      <c r="G253" s="297"/>
      <c r="H253" s="308"/>
      <c r="I253" s="661"/>
      <c r="J253" s="245"/>
      <c r="K253" s="246"/>
      <c r="L253" s="247"/>
      <c r="M253" s="197"/>
      <c r="N253" s="197"/>
      <c r="O253" s="197"/>
      <c r="P253" s="197"/>
      <c r="Q253" s="247"/>
      <c r="R253" s="197"/>
    </row>
    <row r="254" spans="2:18" s="248" customFormat="1" ht="15" hidden="1" customHeight="1" outlineLevel="2">
      <c r="B254" s="299" t="s">
        <v>578</v>
      </c>
      <c r="C254" s="304"/>
      <c r="D254" s="685"/>
      <c r="E254" s="306"/>
      <c r="F254" s="307"/>
      <c r="G254" s="297"/>
      <c r="H254" s="308"/>
      <c r="I254" s="661"/>
      <c r="J254" s="245"/>
      <c r="K254" s="246"/>
      <c r="L254" s="247"/>
      <c r="M254" s="197"/>
      <c r="N254" s="197"/>
      <c r="O254" s="197"/>
      <c r="P254" s="197"/>
      <c r="Q254" s="247"/>
      <c r="R254" s="197"/>
    </row>
    <row r="255" spans="2:18" s="248" customFormat="1" ht="14.25" hidden="1" customHeight="1" outlineLevel="2">
      <c r="B255" s="299" t="s">
        <v>268</v>
      </c>
      <c r="C255" s="304" t="s">
        <v>489</v>
      </c>
      <c r="D255" s="685" t="s">
        <v>409</v>
      </c>
      <c r="E255" s="306" t="s">
        <v>408</v>
      </c>
      <c r="F255" s="307"/>
      <c r="G255" s="297" t="s">
        <v>489</v>
      </c>
      <c r="H255" s="308" t="str">
        <f>CONCATENATE("AR-",G255,"-",I255)</f>
        <v>AR-T2V-7</v>
      </c>
      <c r="I255" s="661">
        <v>7</v>
      </c>
      <c r="J255" s="197">
        <v>1</v>
      </c>
      <c r="K255" s="246"/>
      <c r="L255" s="247"/>
      <c r="M255" s="197"/>
      <c r="N255" s="197"/>
      <c r="O255" s="197"/>
      <c r="P255" s="197"/>
      <c r="Q255" s="247"/>
      <c r="R255" s="197"/>
    </row>
    <row r="256" spans="2:18" s="248" customFormat="1" ht="14.25" hidden="1" customHeight="1" outlineLevel="2">
      <c r="B256" s="299" t="s">
        <v>268</v>
      </c>
      <c r="C256" s="304" t="s">
        <v>489</v>
      </c>
      <c r="D256" s="685" t="s">
        <v>411</v>
      </c>
      <c r="E256" s="306" t="s">
        <v>579</v>
      </c>
      <c r="F256" s="307"/>
      <c r="G256" s="297" t="s">
        <v>489</v>
      </c>
      <c r="H256" s="308" t="str">
        <f>CONCATENATE("AR-",G256,"-",I256)</f>
        <v>AR-T2V-7</v>
      </c>
      <c r="I256" s="661">
        <v>7</v>
      </c>
      <c r="J256" s="197">
        <v>1</v>
      </c>
      <c r="K256" s="246"/>
      <c r="L256" s="247"/>
      <c r="M256" s="197"/>
      <c r="N256" s="197"/>
      <c r="O256" s="197"/>
      <c r="P256" s="197"/>
      <c r="Q256" s="247"/>
      <c r="R256" s="197"/>
    </row>
    <row r="257" spans="2:17" s="248" customFormat="1" ht="14.25" hidden="1" customHeight="1" outlineLevel="2">
      <c r="B257" s="299" t="s">
        <v>268</v>
      </c>
      <c r="C257" s="304" t="s">
        <v>489</v>
      </c>
      <c r="D257" s="685" t="s">
        <v>413</v>
      </c>
      <c r="E257" s="306" t="s">
        <v>580</v>
      </c>
      <c r="F257" s="307"/>
      <c r="G257" s="297" t="s">
        <v>489</v>
      </c>
      <c r="H257" s="308" t="str">
        <f>CONCATENATE("AR-",G257,"-",I257)</f>
        <v>AR-T2V-7</v>
      </c>
      <c r="I257" s="661">
        <v>7</v>
      </c>
      <c r="J257" s="197">
        <v>1</v>
      </c>
      <c r="L257" s="709"/>
      <c r="Q257" s="709"/>
    </row>
    <row r="258" spans="2:17" s="248" customFormat="1" ht="14.25" hidden="1" customHeight="1" outlineLevel="2">
      <c r="B258" s="299" t="s">
        <v>268</v>
      </c>
      <c r="C258" s="304" t="s">
        <v>489</v>
      </c>
      <c r="D258" s="685" t="s">
        <v>415</v>
      </c>
      <c r="E258" s="306" t="s">
        <v>581</v>
      </c>
      <c r="F258" s="307"/>
      <c r="G258" s="297" t="s">
        <v>489</v>
      </c>
      <c r="H258" s="308" t="str">
        <f>CONCATENATE("AR-",G258,"-",I258)</f>
        <v>AR-T2V-7</v>
      </c>
      <c r="I258" s="661">
        <v>7</v>
      </c>
      <c r="J258" s="197">
        <v>1</v>
      </c>
      <c r="L258" s="709"/>
      <c r="Q258" s="709"/>
    </row>
    <row r="259" spans="2:17" s="248" customFormat="1" ht="3" hidden="1" customHeight="1" outlineLevel="2">
      <c r="B259" s="299"/>
      <c r="C259" s="304"/>
      <c r="D259" s="685"/>
      <c r="E259" s="306" t="s">
        <v>277</v>
      </c>
      <c r="F259" s="307"/>
      <c r="G259" s="297"/>
      <c r="H259" s="308"/>
      <c r="I259" s="661"/>
      <c r="J259" s="245"/>
      <c r="L259" s="709"/>
      <c r="Q259" s="709"/>
    </row>
    <row r="260" spans="2:17" s="248" customFormat="1" ht="14.25" hidden="1" customHeight="1" outlineLevel="2">
      <c r="B260" s="299" t="s">
        <v>417</v>
      </c>
      <c r="C260" s="304"/>
      <c r="D260" s="685"/>
      <c r="E260" s="306"/>
      <c r="F260" s="307"/>
      <c r="G260" s="297"/>
      <c r="H260" s="308"/>
      <c r="I260" s="661"/>
      <c r="J260" s="245"/>
      <c r="L260" s="709"/>
      <c r="Q260" s="709"/>
    </row>
    <row r="261" spans="2:17" s="248" customFormat="1" ht="14.25" hidden="1" customHeight="1" outlineLevel="2">
      <c r="B261" s="299" t="s">
        <v>268</v>
      </c>
      <c r="C261" s="304" t="s">
        <v>489</v>
      </c>
      <c r="D261" s="685" t="s">
        <v>418</v>
      </c>
      <c r="E261" s="306" t="s">
        <v>582</v>
      </c>
      <c r="F261" s="307"/>
      <c r="G261" s="297" t="s">
        <v>489</v>
      </c>
      <c r="H261" s="308" t="str">
        <f>CONCATENATE("AR-",G261,"-",I261)</f>
        <v>AR-T2V-1</v>
      </c>
      <c r="I261" s="661">
        <v>1</v>
      </c>
      <c r="J261" s="197">
        <v>1</v>
      </c>
      <c r="L261" s="709"/>
      <c r="Q261" s="709"/>
    </row>
    <row r="262" spans="2:17" s="248" customFormat="1" ht="15" hidden="1" customHeight="1" outlineLevel="2">
      <c r="B262" s="299" t="s">
        <v>268</v>
      </c>
      <c r="C262" s="304" t="s">
        <v>489</v>
      </c>
      <c r="D262" s="685" t="s">
        <v>420</v>
      </c>
      <c r="E262" s="306" t="s">
        <v>582</v>
      </c>
      <c r="F262" s="307"/>
      <c r="G262" s="297" t="s">
        <v>489</v>
      </c>
      <c r="H262" s="308" t="str">
        <f>CONCATENATE("AR-",G262,"-",I262)</f>
        <v>AR-T2V-1</v>
      </c>
      <c r="I262" s="661">
        <v>1</v>
      </c>
      <c r="J262" s="197">
        <v>1</v>
      </c>
      <c r="L262" s="709"/>
      <c r="Q262" s="709"/>
    </row>
    <row r="263" spans="2:17" s="248" customFormat="1" ht="15" hidden="1" customHeight="1" outlineLevel="2">
      <c r="B263" s="299" t="s">
        <v>268</v>
      </c>
      <c r="C263" s="304" t="s">
        <v>489</v>
      </c>
      <c r="D263" s="685" t="s">
        <v>422</v>
      </c>
      <c r="E263" s="306" t="s">
        <v>582</v>
      </c>
      <c r="F263" s="307"/>
      <c r="G263" s="297" t="s">
        <v>489</v>
      </c>
      <c r="H263" s="308" t="str">
        <f>CONCATENATE("AR-",G263,"-",I263)</f>
        <v>AR-T2V-1</v>
      </c>
      <c r="I263" s="661">
        <v>1</v>
      </c>
      <c r="J263" s="197">
        <v>1</v>
      </c>
      <c r="L263" s="709"/>
      <c r="Q263" s="709"/>
    </row>
    <row r="264" spans="2:17" s="248" customFormat="1" ht="3" hidden="1" customHeight="1" outlineLevel="2">
      <c r="B264" s="299"/>
      <c r="C264" s="304"/>
      <c r="D264" s="685"/>
      <c r="E264" s="306" t="s">
        <v>277</v>
      </c>
      <c r="F264" s="307"/>
      <c r="G264" s="297"/>
      <c r="H264" s="308"/>
      <c r="I264" s="661"/>
      <c r="J264" s="245"/>
      <c r="L264" s="709"/>
      <c r="Q264" s="709"/>
    </row>
    <row r="265" spans="2:17" s="248" customFormat="1" ht="14.25" hidden="1" customHeight="1" outlineLevel="2">
      <c r="B265" s="299" t="s">
        <v>462</v>
      </c>
      <c r="C265" s="304"/>
      <c r="D265" s="685"/>
      <c r="E265" s="306"/>
      <c r="F265" s="307"/>
      <c r="G265" s="297"/>
      <c r="H265" s="308"/>
      <c r="I265" s="661"/>
      <c r="J265" s="245"/>
      <c r="L265" s="709"/>
      <c r="Q265" s="709"/>
    </row>
    <row r="266" spans="2:17" s="248" customFormat="1" ht="14.25" hidden="1" customHeight="1" outlineLevel="2">
      <c r="B266" s="299" t="s">
        <v>268</v>
      </c>
      <c r="C266" s="304" t="s">
        <v>489</v>
      </c>
      <c r="D266" s="685" t="s">
        <v>463</v>
      </c>
      <c r="E266" s="306" t="s">
        <v>583</v>
      </c>
      <c r="F266" s="307"/>
      <c r="G266" s="297" t="s">
        <v>489</v>
      </c>
      <c r="H266" s="308" t="str">
        <f t="shared" ref="H266:H271" si="14">CONCATENATE("AR-",G266,"-",I266)</f>
        <v>AR-T2V-5</v>
      </c>
      <c r="I266" s="661">
        <v>5</v>
      </c>
      <c r="J266" s="197">
        <v>1</v>
      </c>
      <c r="L266" s="709"/>
      <c r="Q266" s="709"/>
    </row>
    <row r="267" spans="2:17" s="248" customFormat="1" ht="14.25" hidden="1" customHeight="1" outlineLevel="2">
      <c r="B267" s="299" t="s">
        <v>268</v>
      </c>
      <c r="C267" s="304" t="s">
        <v>489</v>
      </c>
      <c r="D267" s="685" t="s">
        <v>465</v>
      </c>
      <c r="E267" s="306" t="s">
        <v>584</v>
      </c>
      <c r="F267" s="307"/>
      <c r="G267" s="297" t="s">
        <v>489</v>
      </c>
      <c r="H267" s="308" t="str">
        <f t="shared" si="14"/>
        <v>AR-T2V-6</v>
      </c>
      <c r="I267" s="661">
        <v>6</v>
      </c>
      <c r="J267" s="197">
        <v>1</v>
      </c>
      <c r="L267" s="709"/>
      <c r="Q267" s="709"/>
    </row>
    <row r="268" spans="2:17" s="248" customFormat="1" ht="14.25" hidden="1" customHeight="1" outlineLevel="2">
      <c r="B268" s="299" t="s">
        <v>268</v>
      </c>
      <c r="C268" s="304" t="s">
        <v>489</v>
      </c>
      <c r="D268" s="685" t="s">
        <v>467</v>
      </c>
      <c r="E268" s="306" t="s">
        <v>474</v>
      </c>
      <c r="F268" s="307"/>
      <c r="G268" s="297" t="s">
        <v>489</v>
      </c>
      <c r="H268" s="308" t="str">
        <f t="shared" si="14"/>
        <v>AR-T2V-5</v>
      </c>
      <c r="I268" s="661">
        <v>5</v>
      </c>
      <c r="J268" s="197">
        <v>1</v>
      </c>
      <c r="L268" s="709"/>
      <c r="Q268" s="709"/>
    </row>
    <row r="269" spans="2:17" s="248" customFormat="1" ht="14.25" hidden="1" customHeight="1" outlineLevel="2">
      <c r="B269" s="299" t="s">
        <v>268</v>
      </c>
      <c r="C269" s="304" t="s">
        <v>489</v>
      </c>
      <c r="D269" s="685" t="s">
        <v>585</v>
      </c>
      <c r="E269" s="306" t="s">
        <v>586</v>
      </c>
      <c r="F269" s="307"/>
      <c r="G269" s="297" t="s">
        <v>489</v>
      </c>
      <c r="H269" s="308" t="str">
        <f t="shared" si="14"/>
        <v>AR-T2V-5</v>
      </c>
      <c r="I269" s="661">
        <v>5</v>
      </c>
      <c r="J269" s="234">
        <v>1</v>
      </c>
      <c r="L269" s="709"/>
      <c r="Q269" s="709"/>
    </row>
    <row r="270" spans="2:17" s="248" customFormat="1" ht="14.25" hidden="1" customHeight="1" outlineLevel="2">
      <c r="B270" s="299" t="s">
        <v>268</v>
      </c>
      <c r="C270" s="304" t="s">
        <v>489</v>
      </c>
      <c r="D270" s="685" t="s">
        <v>587</v>
      </c>
      <c r="E270" s="306" t="s">
        <v>474</v>
      </c>
      <c r="F270" s="307"/>
      <c r="G270" s="297" t="s">
        <v>489</v>
      </c>
      <c r="H270" s="308" t="str">
        <f t="shared" si="14"/>
        <v>AR-T2V-5</v>
      </c>
      <c r="I270" s="661">
        <v>5</v>
      </c>
      <c r="J270" s="234">
        <v>1</v>
      </c>
      <c r="L270" s="709"/>
      <c r="Q270" s="709"/>
    </row>
    <row r="271" spans="2:17" s="248" customFormat="1" ht="14.25" hidden="1" customHeight="1" outlineLevel="2">
      <c r="B271" s="299" t="s">
        <v>268</v>
      </c>
      <c r="C271" s="304" t="s">
        <v>489</v>
      </c>
      <c r="D271" s="685" t="s">
        <v>588</v>
      </c>
      <c r="E271" s="306" t="s">
        <v>474</v>
      </c>
      <c r="F271" s="307"/>
      <c r="G271" s="297" t="s">
        <v>489</v>
      </c>
      <c r="H271" s="308" t="str">
        <f t="shared" si="14"/>
        <v>AR-T2V-5</v>
      </c>
      <c r="I271" s="661">
        <v>5</v>
      </c>
      <c r="J271" s="234">
        <v>1</v>
      </c>
      <c r="L271" s="709"/>
      <c r="Q271" s="709"/>
    </row>
    <row r="272" spans="2:17" s="248" customFormat="1" ht="3" hidden="1" customHeight="1" outlineLevel="2">
      <c r="B272" s="299"/>
      <c r="C272" s="304"/>
      <c r="D272" s="685"/>
      <c r="E272" s="306" t="s">
        <v>277</v>
      </c>
      <c r="F272" s="307"/>
      <c r="G272" s="297"/>
      <c r="H272" s="308"/>
      <c r="I272" s="661"/>
      <c r="J272" s="245"/>
      <c r="L272" s="709"/>
      <c r="Q272" s="709"/>
    </row>
    <row r="273" spans="1:21" s="248" customFormat="1" ht="15" hidden="1" customHeight="1" outlineLevel="2">
      <c r="B273" s="299"/>
      <c r="C273" s="304"/>
      <c r="D273" s="685"/>
      <c r="E273" s="306" t="s">
        <v>277</v>
      </c>
      <c r="F273" s="307"/>
      <c r="G273" s="297"/>
      <c r="H273" s="308"/>
      <c r="I273" s="661"/>
      <c r="J273" s="245"/>
      <c r="K273" s="246"/>
      <c r="L273" s="247"/>
      <c r="M273" s="197"/>
      <c r="N273" s="197"/>
      <c r="O273" s="197"/>
      <c r="P273" s="197"/>
      <c r="Q273" s="247"/>
      <c r="R273" s="197"/>
      <c r="S273" s="197"/>
      <c r="T273" s="197"/>
      <c r="U273" s="197"/>
    </row>
    <row r="274" spans="1:21" s="248" customFormat="1" ht="15" hidden="1" customHeight="1" outlineLevel="2">
      <c r="B274" s="299" t="s">
        <v>589</v>
      </c>
      <c r="C274" s="304"/>
      <c r="D274" s="685"/>
      <c r="E274" s="306" t="s">
        <v>277</v>
      </c>
      <c r="F274" s="307"/>
      <c r="G274" s="297"/>
      <c r="H274" s="308"/>
      <c r="I274" s="661"/>
      <c r="J274" s="245"/>
      <c r="K274" s="246"/>
      <c r="L274" s="247"/>
      <c r="M274" s="197"/>
      <c r="N274" s="197"/>
      <c r="O274" s="197"/>
      <c r="P274" s="197"/>
      <c r="Q274" s="247"/>
      <c r="R274" s="197"/>
      <c r="S274" s="197"/>
      <c r="T274" s="197"/>
      <c r="U274" s="197"/>
    </row>
    <row r="275" spans="1:21" s="248" customFormat="1" ht="15" hidden="1" customHeight="1" outlineLevel="2">
      <c r="B275" s="299" t="s">
        <v>268</v>
      </c>
      <c r="C275" s="304" t="s">
        <v>489</v>
      </c>
      <c r="D275" s="685" t="s">
        <v>590</v>
      </c>
      <c r="E275" s="306" t="s">
        <v>591</v>
      </c>
      <c r="F275" s="307"/>
      <c r="G275" s="297" t="s">
        <v>489</v>
      </c>
      <c r="H275" s="308" t="str">
        <f>CONCATENATE("AR-",G275,"-",I275)</f>
        <v>AR-T2V-8</v>
      </c>
      <c r="I275" s="661">
        <v>8</v>
      </c>
      <c r="J275" s="197">
        <v>1</v>
      </c>
      <c r="K275" s="246"/>
      <c r="L275" s="247"/>
      <c r="M275" s="197"/>
      <c r="N275" s="197"/>
      <c r="O275" s="197"/>
      <c r="P275" s="197"/>
      <c r="Q275" s="247"/>
      <c r="R275" s="197"/>
      <c r="S275" s="197"/>
      <c r="T275" s="197"/>
      <c r="U275" s="197"/>
    </row>
    <row r="276" spans="1:21" s="248" customFormat="1" ht="15" hidden="1" customHeight="1" outlineLevel="2">
      <c r="B276" s="299" t="s">
        <v>268</v>
      </c>
      <c r="C276" s="304" t="s">
        <v>489</v>
      </c>
      <c r="D276" s="685" t="s">
        <v>592</v>
      </c>
      <c r="E276" s="306" t="s">
        <v>593</v>
      </c>
      <c r="F276" s="307"/>
      <c r="G276" s="297" t="s">
        <v>489</v>
      </c>
      <c r="H276" s="308" t="str">
        <f>CONCATENATE("AR-",G276,"-",I276)</f>
        <v>AR-T2V-8</v>
      </c>
      <c r="I276" s="661">
        <v>8</v>
      </c>
      <c r="J276" s="197">
        <v>1</v>
      </c>
      <c r="K276" s="246"/>
      <c r="L276" s="247"/>
      <c r="M276" s="197"/>
      <c r="N276" s="197"/>
      <c r="O276" s="197"/>
      <c r="P276" s="197"/>
      <c r="Q276" s="247"/>
      <c r="R276" s="197"/>
      <c r="S276" s="197"/>
      <c r="T276" s="197"/>
      <c r="U276" s="197"/>
    </row>
    <row r="277" spans="1:21" s="248" customFormat="1" ht="3" customHeight="1">
      <c r="B277" s="299"/>
      <c r="C277" s="304"/>
      <c r="D277" s="685"/>
      <c r="E277" s="306"/>
      <c r="F277" s="307"/>
      <c r="G277" s="297"/>
      <c r="H277" s="308"/>
      <c r="I277" s="661"/>
      <c r="J277" s="197"/>
      <c r="K277" s="246"/>
      <c r="L277" s="247"/>
      <c r="M277" s="197"/>
      <c r="N277" s="197"/>
      <c r="O277" s="197"/>
      <c r="P277" s="197"/>
      <c r="Q277" s="247"/>
      <c r="R277" s="197"/>
      <c r="S277" s="197"/>
      <c r="T277" s="197"/>
      <c r="U277" s="197"/>
    </row>
    <row r="278" spans="1:21" s="233" customFormat="1" ht="14.25" customHeight="1" collapsed="1">
      <c r="A278" s="382" t="s">
        <v>594</v>
      </c>
      <c r="B278" s="675"/>
      <c r="C278" s="676"/>
      <c r="D278" s="677"/>
      <c r="E278" s="676" t="s">
        <v>277</v>
      </c>
      <c r="F278" s="307"/>
      <c r="G278" s="297"/>
      <c r="H278" s="308"/>
      <c r="I278" s="665"/>
      <c r="J278" s="197"/>
      <c r="K278" s="232"/>
      <c r="L278" s="230">
        <f>SUM(L279:L379)</f>
        <v>5</v>
      </c>
      <c r="M278" s="188">
        <v>18</v>
      </c>
      <c r="N278" s="188">
        <v>8</v>
      </c>
      <c r="O278" s="188">
        <f t="shared" ref="O278:U278" si="15">SUM(O279:O379)</f>
        <v>0</v>
      </c>
      <c r="P278" s="188">
        <f t="shared" si="15"/>
        <v>0</v>
      </c>
      <c r="Q278" s="230">
        <f t="shared" si="15"/>
        <v>5</v>
      </c>
      <c r="R278" s="188">
        <f t="shared" si="15"/>
        <v>0</v>
      </c>
      <c r="S278" s="188">
        <f t="shared" si="15"/>
        <v>0</v>
      </c>
      <c r="T278" s="188">
        <f t="shared" si="15"/>
        <v>0</v>
      </c>
      <c r="U278" s="188">
        <f t="shared" si="15"/>
        <v>0</v>
      </c>
    </row>
    <row r="279" spans="1:21" s="233" customFormat="1" ht="3" hidden="1" customHeight="1" outlineLevel="1">
      <c r="A279" s="669"/>
      <c r="B279" s="299"/>
      <c r="C279" s="304"/>
      <c r="D279" s="685"/>
      <c r="E279" s="306" t="s">
        <v>277</v>
      </c>
      <c r="F279" s="307"/>
      <c r="G279" s="297"/>
      <c r="H279" s="308"/>
      <c r="I279" s="661"/>
      <c r="J279" s="197"/>
      <c r="K279" s="232"/>
      <c r="L279" s="234"/>
      <c r="M279" s="197"/>
      <c r="N279" s="197"/>
      <c r="O279" s="197"/>
      <c r="P279" s="197"/>
      <c r="Q279" s="234"/>
      <c r="R279" s="197"/>
      <c r="S279" s="197"/>
      <c r="T279" s="197"/>
      <c r="U279" s="197"/>
    </row>
    <row r="280" spans="1:21" s="252" customFormat="1" ht="14.25" hidden="1" customHeight="1" outlineLevel="1">
      <c r="A280" s="259"/>
      <c r="B280" s="299" t="s">
        <v>343</v>
      </c>
      <c r="C280" s="304"/>
      <c r="D280" s="685"/>
      <c r="E280" s="306" t="s">
        <v>277</v>
      </c>
      <c r="F280" s="307"/>
      <c r="G280" s="297"/>
      <c r="H280" s="308"/>
      <c r="I280" s="661"/>
      <c r="J280" s="240"/>
      <c r="K280" s="240"/>
      <c r="L280" s="242"/>
      <c r="M280" s="197"/>
      <c r="N280" s="197"/>
      <c r="O280" s="197"/>
      <c r="P280" s="197"/>
      <c r="Q280" s="242"/>
      <c r="R280" s="197"/>
      <c r="S280" s="197"/>
      <c r="T280" s="197"/>
      <c r="U280" s="197"/>
    </row>
    <row r="281" spans="1:21" s="252" customFormat="1" ht="14.25" hidden="1" customHeight="1" outlineLevel="1">
      <c r="A281" s="259"/>
      <c r="B281" s="299" t="s">
        <v>268</v>
      </c>
      <c r="C281" s="304" t="s">
        <v>595</v>
      </c>
      <c r="D281" s="685" t="s">
        <v>344</v>
      </c>
      <c r="E281" s="306" t="s">
        <v>596</v>
      </c>
      <c r="F281" s="307"/>
      <c r="G281" s="297" t="s">
        <v>597</v>
      </c>
      <c r="H281" s="308" t="str">
        <f>CONCATENATE("AR-",G281,"-",I281)</f>
        <v>AR-T2S-1</v>
      </c>
      <c r="I281" s="661">
        <v>1</v>
      </c>
      <c r="J281" s="197">
        <v>1</v>
      </c>
      <c r="K281" s="240"/>
      <c r="L281" s="242"/>
      <c r="M281" s="197"/>
      <c r="N281" s="197"/>
      <c r="O281" s="197"/>
      <c r="P281" s="197"/>
      <c r="Q281" s="242"/>
      <c r="R281" s="197"/>
      <c r="S281" s="197"/>
      <c r="T281" s="197"/>
      <c r="U281" s="197"/>
    </row>
    <row r="282" spans="1:21" s="252" customFormat="1" ht="14.25" hidden="1" customHeight="1" outlineLevel="1">
      <c r="A282" s="259"/>
      <c r="B282" s="299" t="s">
        <v>268</v>
      </c>
      <c r="C282" s="304" t="s">
        <v>595</v>
      </c>
      <c r="D282" s="685" t="s">
        <v>346</v>
      </c>
      <c r="E282" s="306" t="s">
        <v>598</v>
      </c>
      <c r="F282" s="307"/>
      <c r="G282" s="297" t="s">
        <v>597</v>
      </c>
      <c r="H282" s="308" t="str">
        <f>CONCATENATE("AR-",G282,"-",I282)</f>
        <v>AR-T2S-1</v>
      </c>
      <c r="I282" s="661">
        <v>1</v>
      </c>
      <c r="J282" s="197">
        <v>1</v>
      </c>
      <c r="K282" s="240"/>
      <c r="L282" s="242"/>
      <c r="M282" s="197"/>
      <c r="N282" s="197"/>
      <c r="O282" s="197"/>
      <c r="P282" s="197"/>
      <c r="Q282" s="242"/>
      <c r="R282" s="197"/>
      <c r="S282" s="197"/>
      <c r="T282" s="197"/>
      <c r="U282" s="197"/>
    </row>
    <row r="283" spans="1:21" s="233" customFormat="1" ht="3" hidden="1" customHeight="1" outlineLevel="1">
      <c r="A283" s="681"/>
      <c r="B283" s="299"/>
      <c r="C283" s="304"/>
      <c r="D283" s="685"/>
      <c r="E283" s="306" t="s">
        <v>277</v>
      </c>
      <c r="F283" s="307"/>
      <c r="G283" s="297"/>
      <c r="H283" s="308"/>
      <c r="I283" s="661"/>
      <c r="J283" s="197"/>
      <c r="K283" s="232"/>
      <c r="L283" s="234"/>
      <c r="M283" s="197"/>
      <c r="N283" s="197"/>
      <c r="O283" s="197"/>
      <c r="P283" s="197"/>
      <c r="Q283" s="234"/>
      <c r="R283" s="197"/>
      <c r="S283" s="197"/>
      <c r="T283" s="197"/>
      <c r="U283" s="197"/>
    </row>
    <row r="284" spans="1:21" s="233" customFormat="1" ht="13.5" hidden="1" customHeight="1" outlineLevel="1">
      <c r="A284" s="681"/>
      <c r="B284" s="299" t="s">
        <v>350</v>
      </c>
      <c r="C284" s="304"/>
      <c r="D284" s="685"/>
      <c r="E284" s="306" t="s">
        <v>277</v>
      </c>
      <c r="F284" s="307"/>
      <c r="G284" s="297"/>
      <c r="H284" s="308"/>
      <c r="I284" s="661"/>
      <c r="J284" s="197"/>
      <c r="K284" s="232"/>
      <c r="L284" s="234"/>
      <c r="M284" s="197"/>
      <c r="N284" s="197"/>
      <c r="O284" s="197"/>
      <c r="P284" s="197"/>
      <c r="Q284" s="234"/>
      <c r="R284" s="197"/>
      <c r="S284" s="197"/>
      <c r="T284" s="197"/>
      <c r="U284" s="197"/>
    </row>
    <row r="285" spans="1:21" s="248" customFormat="1" ht="14.25" hidden="1" customHeight="1" outlineLevel="1">
      <c r="B285" s="299" t="s">
        <v>268</v>
      </c>
      <c r="C285" s="304" t="s">
        <v>597</v>
      </c>
      <c r="D285" s="685" t="s">
        <v>270</v>
      </c>
      <c r="E285" s="306" t="s">
        <v>599</v>
      </c>
      <c r="F285" s="307"/>
      <c r="G285" s="297" t="s">
        <v>597</v>
      </c>
      <c r="H285" s="308" t="str">
        <f t="shared" ref="H285:H294" si="16">CONCATENATE("AR-",G285,"-",I285)</f>
        <v>AR-T2S-1</v>
      </c>
      <c r="I285" s="661">
        <v>1</v>
      </c>
      <c r="J285" s="197">
        <v>1</v>
      </c>
      <c r="K285" s="246"/>
      <c r="L285" s="247"/>
      <c r="M285" s="197"/>
      <c r="N285" s="197"/>
      <c r="O285" s="197"/>
      <c r="P285" s="197"/>
      <c r="Q285" s="247"/>
      <c r="R285" s="197"/>
      <c r="S285" s="197"/>
      <c r="T285" s="197"/>
      <c r="U285" s="197"/>
    </row>
    <row r="286" spans="1:21" s="248" customFormat="1" ht="14.25" hidden="1" customHeight="1" outlineLevel="1">
      <c r="B286" s="299" t="s">
        <v>268</v>
      </c>
      <c r="C286" s="304" t="s">
        <v>600</v>
      </c>
      <c r="D286" s="685" t="s">
        <v>279</v>
      </c>
      <c r="E286" s="306" t="s">
        <v>601</v>
      </c>
      <c r="F286" s="307"/>
      <c r="G286" s="297" t="s">
        <v>597</v>
      </c>
      <c r="H286" s="308" t="str">
        <f t="shared" si="16"/>
        <v>AR-T2S-1</v>
      </c>
      <c r="I286" s="661">
        <v>1</v>
      </c>
      <c r="J286" s="197">
        <v>1</v>
      </c>
      <c r="K286" s="246"/>
      <c r="L286" s="247"/>
      <c r="M286" s="197"/>
      <c r="N286" s="197"/>
      <c r="O286" s="197"/>
      <c r="P286" s="197"/>
      <c r="Q286" s="247"/>
      <c r="R286" s="197"/>
      <c r="S286" s="197"/>
      <c r="T286" s="197"/>
      <c r="U286" s="197"/>
    </row>
    <row r="287" spans="1:21" s="248" customFormat="1" ht="14.25" hidden="1" customHeight="1" outlineLevel="1">
      <c r="B287" s="299" t="s">
        <v>268</v>
      </c>
      <c r="C287" s="304" t="s">
        <v>600</v>
      </c>
      <c r="D287" s="685" t="s">
        <v>355</v>
      </c>
      <c r="E287" s="306" t="s">
        <v>602</v>
      </c>
      <c r="F287" s="307"/>
      <c r="G287" s="297" t="s">
        <v>597</v>
      </c>
      <c r="H287" s="308" t="str">
        <f t="shared" si="16"/>
        <v>AR-T2S-1</v>
      </c>
      <c r="I287" s="661">
        <v>1</v>
      </c>
      <c r="J287" s="197">
        <v>1</v>
      </c>
      <c r="K287" s="246"/>
      <c r="L287" s="247"/>
      <c r="M287" s="197"/>
      <c r="N287" s="197"/>
      <c r="O287" s="197"/>
      <c r="P287" s="197"/>
      <c r="Q287" s="247"/>
      <c r="R287" s="197"/>
      <c r="S287" s="197"/>
      <c r="T287" s="197"/>
      <c r="U287" s="197"/>
    </row>
    <row r="288" spans="1:21" s="248" customFormat="1" ht="14.25" hidden="1" customHeight="1" outlineLevel="1">
      <c r="B288" s="299" t="s">
        <v>268</v>
      </c>
      <c r="C288" s="304" t="s">
        <v>597</v>
      </c>
      <c r="D288" s="685" t="s">
        <v>279</v>
      </c>
      <c r="E288" s="306" t="s">
        <v>603</v>
      </c>
      <c r="F288" s="307"/>
      <c r="G288" s="297" t="s">
        <v>597</v>
      </c>
      <c r="H288" s="308" t="str">
        <f t="shared" si="16"/>
        <v>AR-T2S-1</v>
      </c>
      <c r="I288" s="661">
        <v>1</v>
      </c>
      <c r="J288" s="197">
        <v>1</v>
      </c>
      <c r="K288" s="246"/>
      <c r="L288" s="247"/>
      <c r="M288" s="197"/>
      <c r="N288" s="197"/>
      <c r="O288" s="197"/>
      <c r="P288" s="197"/>
      <c r="Q288" s="247"/>
      <c r="R288" s="197"/>
      <c r="S288" s="197"/>
      <c r="T288" s="197"/>
      <c r="U288" s="197"/>
    </row>
    <row r="289" spans="1:19" s="248" customFormat="1" ht="14.25" hidden="1" customHeight="1" outlineLevel="1">
      <c r="B289" s="299" t="s">
        <v>268</v>
      </c>
      <c r="C289" s="304" t="s">
        <v>597</v>
      </c>
      <c r="D289" s="685" t="s">
        <v>355</v>
      </c>
      <c r="E289" s="306" t="s">
        <v>604</v>
      </c>
      <c r="F289" s="307"/>
      <c r="G289" s="297" t="s">
        <v>597</v>
      </c>
      <c r="H289" s="308" t="str">
        <f t="shared" si="16"/>
        <v>AR-T2S-1</v>
      </c>
      <c r="I289" s="661">
        <v>1</v>
      </c>
      <c r="J289" s="197">
        <v>1</v>
      </c>
      <c r="L289" s="709"/>
      <c r="Q289" s="709"/>
    </row>
    <row r="290" spans="1:19" s="248" customFormat="1" ht="14.25" hidden="1" customHeight="1" outlineLevel="1">
      <c r="B290" s="299" t="s">
        <v>268</v>
      </c>
      <c r="C290" s="304" t="s">
        <v>597</v>
      </c>
      <c r="D290" s="685" t="s">
        <v>357</v>
      </c>
      <c r="E290" s="306" t="s">
        <v>605</v>
      </c>
      <c r="F290" s="307"/>
      <c r="G290" s="297" t="s">
        <v>597</v>
      </c>
      <c r="H290" s="308" t="str">
        <f t="shared" si="16"/>
        <v>AR-T2S-1</v>
      </c>
      <c r="I290" s="661">
        <v>1</v>
      </c>
      <c r="J290" s="197">
        <v>1</v>
      </c>
      <c r="L290" s="709"/>
      <c r="Q290" s="709"/>
    </row>
    <row r="291" spans="1:19" s="248" customFormat="1" ht="14.25" hidden="1" customHeight="1" outlineLevel="1">
      <c r="B291" s="299" t="s">
        <v>268</v>
      </c>
      <c r="C291" s="304" t="s">
        <v>597</v>
      </c>
      <c r="D291" s="685" t="s">
        <v>359</v>
      </c>
      <c r="E291" s="306" t="s">
        <v>606</v>
      </c>
      <c r="F291" s="307"/>
      <c r="G291" s="297" t="s">
        <v>597</v>
      </c>
      <c r="H291" s="308" t="str">
        <f t="shared" si="16"/>
        <v>AR-T2S-1</v>
      </c>
      <c r="I291" s="661">
        <v>1</v>
      </c>
      <c r="J291" s="197">
        <v>1</v>
      </c>
      <c r="L291" s="709"/>
      <c r="Q291" s="709"/>
    </row>
    <row r="292" spans="1:19" s="248" customFormat="1" ht="14.25" hidden="1" customHeight="1" outlineLevel="1">
      <c r="B292" s="299" t="s">
        <v>268</v>
      </c>
      <c r="C292" s="304" t="s">
        <v>597</v>
      </c>
      <c r="D292" s="685" t="s">
        <v>361</v>
      </c>
      <c r="E292" s="306" t="s">
        <v>607</v>
      </c>
      <c r="F292" s="307"/>
      <c r="G292" s="297" t="s">
        <v>597</v>
      </c>
      <c r="H292" s="308" t="str">
        <f t="shared" si="16"/>
        <v>AR-T2S-1</v>
      </c>
      <c r="I292" s="661">
        <v>1</v>
      </c>
      <c r="J292" s="197">
        <v>1</v>
      </c>
      <c r="L292" s="709"/>
      <c r="Q292" s="709"/>
    </row>
    <row r="293" spans="1:19" s="248" customFormat="1" ht="14.25" hidden="1" customHeight="1" outlineLevel="1">
      <c r="B293" s="299" t="s">
        <v>268</v>
      </c>
      <c r="C293" s="304" t="s">
        <v>597</v>
      </c>
      <c r="D293" s="685" t="s">
        <v>496</v>
      </c>
      <c r="E293" s="306" t="s">
        <v>608</v>
      </c>
      <c r="F293" s="307"/>
      <c r="G293" s="297" t="s">
        <v>597</v>
      </c>
      <c r="H293" s="308" t="str">
        <f t="shared" si="16"/>
        <v>AR-T2S-1</v>
      </c>
      <c r="I293" s="661">
        <v>1</v>
      </c>
      <c r="J293" s="197">
        <v>1</v>
      </c>
      <c r="L293" s="709"/>
      <c r="Q293" s="709"/>
    </row>
    <row r="294" spans="1:19" s="248" customFormat="1" ht="14.25" hidden="1" customHeight="1" outlineLevel="1">
      <c r="B294" s="299" t="s">
        <v>268</v>
      </c>
      <c r="C294" s="304" t="s">
        <v>597</v>
      </c>
      <c r="D294" s="685" t="s">
        <v>498</v>
      </c>
      <c r="E294" s="306" t="s">
        <v>609</v>
      </c>
      <c r="F294" s="307"/>
      <c r="G294" s="297" t="s">
        <v>597</v>
      </c>
      <c r="H294" s="308" t="str">
        <f t="shared" si="16"/>
        <v>AR-T2S-1</v>
      </c>
      <c r="I294" s="661">
        <v>1</v>
      </c>
      <c r="J294" s="197">
        <v>1</v>
      </c>
      <c r="L294" s="709"/>
      <c r="Q294" s="709"/>
    </row>
    <row r="295" spans="1:19" s="248" customFormat="1" ht="3" hidden="1" customHeight="1" outlineLevel="1">
      <c r="B295" s="299"/>
      <c r="C295" s="304"/>
      <c r="D295" s="685"/>
      <c r="E295" s="306" t="s">
        <v>277</v>
      </c>
      <c r="F295" s="307"/>
      <c r="G295" s="297"/>
      <c r="H295" s="308"/>
      <c r="I295" s="661"/>
      <c r="J295" s="245"/>
      <c r="L295" s="709"/>
      <c r="Q295" s="709"/>
    </row>
    <row r="296" spans="1:19" s="233" customFormat="1" ht="13.5" hidden="1" customHeight="1" outlineLevel="1">
      <c r="A296" s="681"/>
      <c r="B296" s="299" t="s">
        <v>610</v>
      </c>
      <c r="C296" s="304"/>
      <c r="D296" s="685"/>
      <c r="E296" s="306"/>
      <c r="F296" s="307"/>
      <c r="G296" s="297"/>
      <c r="H296" s="308"/>
      <c r="I296" s="661"/>
      <c r="J296" s="197"/>
      <c r="L296" s="237"/>
      <c r="Q296" s="237"/>
    </row>
    <row r="297" spans="1:19" s="248" customFormat="1" ht="13.5" hidden="1" outlineLevel="1">
      <c r="B297" s="299" t="s">
        <v>268</v>
      </c>
      <c r="C297" s="304" t="s">
        <v>600</v>
      </c>
      <c r="D297" s="685" t="s">
        <v>374</v>
      </c>
      <c r="E297" s="306" t="s">
        <v>611</v>
      </c>
      <c r="F297" s="307"/>
      <c r="G297" s="297" t="s">
        <v>597</v>
      </c>
      <c r="H297" s="308" t="str">
        <f t="shared" ref="H297:H305" si="17">CONCATENATE("AR-",G297,"-",I297)</f>
        <v>AR-T2S-3</v>
      </c>
      <c r="I297" s="661">
        <v>3</v>
      </c>
      <c r="J297" s="197">
        <v>1</v>
      </c>
      <c r="L297" s="709"/>
      <c r="Q297" s="709"/>
    </row>
    <row r="298" spans="1:19" s="248" customFormat="1" ht="13.5" hidden="1" outlineLevel="1">
      <c r="B298" s="299" t="s">
        <v>268</v>
      </c>
      <c r="C298" s="304" t="s">
        <v>600</v>
      </c>
      <c r="D298" s="685" t="s">
        <v>376</v>
      </c>
      <c r="E298" s="306" t="s">
        <v>612</v>
      </c>
      <c r="F298" s="307"/>
      <c r="G298" s="297" t="s">
        <v>597</v>
      </c>
      <c r="H298" s="308" t="str">
        <f t="shared" si="17"/>
        <v>AR-T2S-3</v>
      </c>
      <c r="I298" s="661">
        <v>3</v>
      </c>
      <c r="J298" s="197">
        <v>1</v>
      </c>
      <c r="L298" s="709"/>
      <c r="Q298" s="709"/>
    </row>
    <row r="299" spans="1:19" s="248" customFormat="1" ht="13.5" hidden="1" outlineLevel="1">
      <c r="B299" s="299" t="s">
        <v>268</v>
      </c>
      <c r="C299" s="304" t="s">
        <v>597</v>
      </c>
      <c r="D299" s="685" t="s">
        <v>380</v>
      </c>
      <c r="E299" s="306" t="s">
        <v>613</v>
      </c>
      <c r="F299" s="307"/>
      <c r="G299" s="297" t="s">
        <v>597</v>
      </c>
      <c r="H299" s="308" t="str">
        <f t="shared" si="17"/>
        <v>AR-T2S-6</v>
      </c>
      <c r="I299" s="661">
        <v>6</v>
      </c>
      <c r="J299" s="197">
        <v>1</v>
      </c>
      <c r="L299" s="709"/>
      <c r="Q299" s="709"/>
    </row>
    <row r="300" spans="1:19" s="248" customFormat="1" ht="13.5" hidden="1" outlineLevel="1">
      <c r="B300" s="299" t="s">
        <v>268</v>
      </c>
      <c r="C300" s="304" t="s">
        <v>597</v>
      </c>
      <c r="D300" s="685" t="s">
        <v>382</v>
      </c>
      <c r="E300" s="306" t="s">
        <v>614</v>
      </c>
      <c r="F300" s="307"/>
      <c r="G300" s="297" t="s">
        <v>597</v>
      </c>
      <c r="H300" s="308" t="str">
        <f t="shared" si="17"/>
        <v>AR-T2S-6</v>
      </c>
      <c r="I300" s="661">
        <v>6</v>
      </c>
      <c r="J300" s="197">
        <v>1</v>
      </c>
      <c r="L300" s="709"/>
      <c r="Q300" s="709"/>
    </row>
    <row r="301" spans="1:19" s="248" customFormat="1" ht="13.5" hidden="1" outlineLevel="1">
      <c r="B301" s="299" t="s">
        <v>268</v>
      </c>
      <c r="C301" s="304" t="s">
        <v>597</v>
      </c>
      <c r="D301" s="685" t="s">
        <v>384</v>
      </c>
      <c r="E301" s="306" t="s">
        <v>615</v>
      </c>
      <c r="F301" s="307"/>
      <c r="G301" s="297" t="s">
        <v>597</v>
      </c>
      <c r="H301" s="308" t="str">
        <f t="shared" si="17"/>
        <v>AR-T2S-6</v>
      </c>
      <c r="I301" s="661">
        <v>6</v>
      </c>
      <c r="J301" s="197">
        <v>1</v>
      </c>
      <c r="L301" s="709"/>
      <c r="Q301" s="709"/>
    </row>
    <row r="302" spans="1:19" s="248" customFormat="1" ht="13.5" hidden="1" outlineLevel="1">
      <c r="B302" s="299" t="s">
        <v>268</v>
      </c>
      <c r="C302" s="304" t="s">
        <v>597</v>
      </c>
      <c r="D302" s="685" t="s">
        <v>520</v>
      </c>
      <c r="E302" s="306" t="s">
        <v>616</v>
      </c>
      <c r="F302" s="307"/>
      <c r="G302" s="297" t="s">
        <v>597</v>
      </c>
      <c r="H302" s="308" t="str">
        <f t="shared" si="17"/>
        <v>AR-T2S-6</v>
      </c>
      <c r="I302" s="661">
        <v>6</v>
      </c>
      <c r="J302" s="234">
        <v>1</v>
      </c>
      <c r="L302" s="709"/>
      <c r="Q302" s="709"/>
    </row>
    <row r="303" spans="1:19" s="248" customFormat="1" ht="13.5" hidden="1" outlineLevel="1">
      <c r="B303" s="299" t="s">
        <v>268</v>
      </c>
      <c r="C303" s="304" t="s">
        <v>597</v>
      </c>
      <c r="D303" s="685" t="s">
        <v>522</v>
      </c>
      <c r="E303" s="306" t="s">
        <v>617</v>
      </c>
      <c r="F303" s="307"/>
      <c r="G303" s="297" t="s">
        <v>597</v>
      </c>
      <c r="H303" s="308" t="str">
        <f t="shared" si="17"/>
        <v>AR-T2S-6</v>
      </c>
      <c r="I303" s="661">
        <v>6</v>
      </c>
      <c r="J303" s="234">
        <v>1</v>
      </c>
      <c r="L303" s="709"/>
      <c r="Q303" s="709"/>
    </row>
    <row r="304" spans="1:19" s="248" customFormat="1" ht="13.5" hidden="1" outlineLevel="1">
      <c r="B304" s="299" t="s">
        <v>268</v>
      </c>
      <c r="C304" s="304" t="s">
        <v>597</v>
      </c>
      <c r="D304" s="685" t="s">
        <v>618</v>
      </c>
      <c r="E304" s="306" t="s">
        <v>619</v>
      </c>
      <c r="F304" s="307"/>
      <c r="G304" s="297" t="s">
        <v>597</v>
      </c>
      <c r="H304" s="308" t="str">
        <f t="shared" si="17"/>
        <v>AR-T2S-9</v>
      </c>
      <c r="I304" s="661">
        <v>9</v>
      </c>
      <c r="J304" s="234">
        <v>1</v>
      </c>
      <c r="L304" s="709"/>
      <c r="Q304" s="709"/>
    </row>
    <row r="305" spans="1:17" s="248" customFormat="1" ht="13.5" hidden="1" outlineLevel="1">
      <c r="B305" s="299" t="s">
        <v>268</v>
      </c>
      <c r="C305" s="304" t="s">
        <v>597</v>
      </c>
      <c r="D305" s="685" t="s">
        <v>524</v>
      </c>
      <c r="E305" s="306" t="s">
        <v>620</v>
      </c>
      <c r="F305" s="307"/>
      <c r="G305" s="297" t="s">
        <v>597</v>
      </c>
      <c r="H305" s="308" t="str">
        <f t="shared" si="17"/>
        <v>AR-T2S-6</v>
      </c>
      <c r="I305" s="661">
        <v>6</v>
      </c>
      <c r="J305" s="197">
        <v>1</v>
      </c>
      <c r="L305" s="709"/>
      <c r="Q305" s="709"/>
    </row>
    <row r="306" spans="1:17" s="248" customFormat="1" ht="3" hidden="1" customHeight="1" outlineLevel="1">
      <c r="B306" s="299"/>
      <c r="C306" s="304"/>
      <c r="D306" s="685"/>
      <c r="E306" s="306" t="s">
        <v>277</v>
      </c>
      <c r="F306" s="307"/>
      <c r="G306" s="297"/>
      <c r="H306" s="308"/>
      <c r="I306" s="661"/>
      <c r="J306" s="245"/>
      <c r="L306" s="709"/>
      <c r="Q306" s="709"/>
    </row>
    <row r="307" spans="1:17" s="233" customFormat="1" ht="13.5" hidden="1" customHeight="1" outlineLevel="1">
      <c r="A307" s="681"/>
      <c r="B307" s="299" t="s">
        <v>621</v>
      </c>
      <c r="C307" s="304"/>
      <c r="D307" s="685"/>
      <c r="E307" s="306"/>
      <c r="F307" s="307"/>
      <c r="G307" s="297"/>
      <c r="H307" s="308"/>
      <c r="I307" s="661"/>
      <c r="J307" s="197"/>
      <c r="L307" s="237"/>
      <c r="Q307" s="237"/>
    </row>
    <row r="308" spans="1:17" s="233" customFormat="1" ht="13.5" hidden="1" customHeight="1" outlineLevel="1">
      <c r="A308" s="681"/>
      <c r="B308" s="299" t="s">
        <v>268</v>
      </c>
      <c r="C308" s="304" t="s">
        <v>600</v>
      </c>
      <c r="D308" s="685" t="s">
        <v>283</v>
      </c>
      <c r="E308" s="306" t="s">
        <v>622</v>
      </c>
      <c r="F308" s="307"/>
      <c r="G308" s="297" t="s">
        <v>597</v>
      </c>
      <c r="H308" s="308" t="str">
        <f t="shared" ref="H308:H316" si="18">CONCATENATE("AR-",G308,"-",I308)</f>
        <v>AR-T2S-1</v>
      </c>
      <c r="I308" s="661">
        <v>1</v>
      </c>
      <c r="J308" s="197">
        <v>1</v>
      </c>
      <c r="L308" s="237"/>
      <c r="Q308" s="237"/>
    </row>
    <row r="309" spans="1:17" s="233" customFormat="1" ht="13.5" hidden="1" customHeight="1" outlineLevel="1">
      <c r="A309" s="681"/>
      <c r="B309" s="299" t="s">
        <v>268</v>
      </c>
      <c r="C309" s="304" t="s">
        <v>600</v>
      </c>
      <c r="D309" s="685" t="s">
        <v>390</v>
      </c>
      <c r="E309" s="306" t="s">
        <v>623</v>
      </c>
      <c r="F309" s="307"/>
      <c r="G309" s="297" t="s">
        <v>597</v>
      </c>
      <c r="H309" s="308" t="str">
        <f t="shared" si="18"/>
        <v>AR-T2S-4</v>
      </c>
      <c r="I309" s="661">
        <v>4</v>
      </c>
      <c r="J309" s="197">
        <v>1</v>
      </c>
      <c r="L309" s="237"/>
      <c r="Q309" s="237"/>
    </row>
    <row r="310" spans="1:17" s="248" customFormat="1" ht="14.25" hidden="1" customHeight="1" outlineLevel="1">
      <c r="B310" s="299" t="s">
        <v>268</v>
      </c>
      <c r="C310" s="304" t="s">
        <v>597</v>
      </c>
      <c r="D310" s="685" t="s">
        <v>392</v>
      </c>
      <c r="E310" s="306" t="s">
        <v>624</v>
      </c>
      <c r="F310" s="307"/>
      <c r="G310" s="297" t="s">
        <v>597</v>
      </c>
      <c r="H310" s="308" t="str">
        <f t="shared" si="18"/>
        <v>AR-T2S-4</v>
      </c>
      <c r="I310" s="661">
        <v>4</v>
      </c>
      <c r="J310" s="197">
        <v>1</v>
      </c>
      <c r="L310" s="709"/>
      <c r="Q310" s="709"/>
    </row>
    <row r="311" spans="1:17" s="248" customFormat="1" ht="14.25" hidden="1" customHeight="1" outlineLevel="1">
      <c r="B311" s="299" t="s">
        <v>268</v>
      </c>
      <c r="C311" s="304" t="s">
        <v>597</v>
      </c>
      <c r="D311" s="685" t="s">
        <v>394</v>
      </c>
      <c r="E311" s="306" t="s">
        <v>625</v>
      </c>
      <c r="F311" s="307"/>
      <c r="G311" s="297" t="s">
        <v>597</v>
      </c>
      <c r="H311" s="308" t="str">
        <f t="shared" si="18"/>
        <v>AR-T2S-5</v>
      </c>
      <c r="I311" s="661">
        <v>5</v>
      </c>
      <c r="J311" s="197">
        <v>1</v>
      </c>
      <c r="L311" s="709"/>
      <c r="Q311" s="709"/>
    </row>
    <row r="312" spans="1:17" s="248" customFormat="1" ht="14.25" hidden="1" customHeight="1" outlineLevel="1">
      <c r="B312" s="299" t="s">
        <v>268</v>
      </c>
      <c r="C312" s="304" t="s">
        <v>597</v>
      </c>
      <c r="D312" s="685" t="s">
        <v>396</v>
      </c>
      <c r="E312" s="306" t="s">
        <v>626</v>
      </c>
      <c r="F312" s="307"/>
      <c r="G312" s="297" t="s">
        <v>597</v>
      </c>
      <c r="H312" s="308" t="str">
        <f t="shared" si="18"/>
        <v>AR-T2S-5</v>
      </c>
      <c r="I312" s="661">
        <v>5</v>
      </c>
      <c r="J312" s="197">
        <v>1</v>
      </c>
      <c r="L312" s="709"/>
      <c r="Q312" s="709"/>
    </row>
    <row r="313" spans="1:17" s="248" customFormat="1" ht="14.25" hidden="1" customHeight="1" outlineLevel="1">
      <c r="B313" s="299" t="s">
        <v>268</v>
      </c>
      <c r="C313" s="304" t="s">
        <v>597</v>
      </c>
      <c r="D313" s="685" t="s">
        <v>535</v>
      </c>
      <c r="E313" s="306" t="s">
        <v>627</v>
      </c>
      <c r="F313" s="307"/>
      <c r="G313" s="297" t="s">
        <v>597</v>
      </c>
      <c r="H313" s="308" t="str">
        <f t="shared" si="18"/>
        <v>AR-T2S-5</v>
      </c>
      <c r="I313" s="661">
        <v>5</v>
      </c>
      <c r="J313" s="197">
        <v>1</v>
      </c>
      <c r="L313" s="709"/>
      <c r="Q313" s="709"/>
    </row>
    <row r="314" spans="1:17" s="248" customFormat="1" ht="14.25" hidden="1" customHeight="1" outlineLevel="1">
      <c r="B314" s="299" t="s">
        <v>268</v>
      </c>
      <c r="C314" s="304" t="s">
        <v>597</v>
      </c>
      <c r="D314" s="685" t="s">
        <v>537</v>
      </c>
      <c r="E314" s="306" t="s">
        <v>628</v>
      </c>
      <c r="F314" s="307"/>
      <c r="G314" s="297" t="s">
        <v>597</v>
      </c>
      <c r="H314" s="308" t="str">
        <f t="shared" si="18"/>
        <v>AR-T2S-5</v>
      </c>
      <c r="I314" s="661">
        <v>5</v>
      </c>
      <c r="J314" s="197">
        <v>1</v>
      </c>
      <c r="L314" s="709"/>
      <c r="Q314" s="709"/>
    </row>
    <row r="315" spans="1:17" s="248" customFormat="1" ht="13.9" hidden="1" customHeight="1" outlineLevel="1">
      <c r="B315" s="299" t="s">
        <v>268</v>
      </c>
      <c r="C315" s="304" t="s">
        <v>597</v>
      </c>
      <c r="D315" s="685" t="s">
        <v>539</v>
      </c>
      <c r="E315" s="306" t="s">
        <v>629</v>
      </c>
      <c r="F315" s="307"/>
      <c r="G315" s="297" t="s">
        <v>597</v>
      </c>
      <c r="H315" s="308" t="str">
        <f t="shared" si="18"/>
        <v>AR-T2S-7</v>
      </c>
      <c r="I315" s="661">
        <v>7</v>
      </c>
      <c r="J315" s="197">
        <v>1</v>
      </c>
      <c r="L315" s="709"/>
      <c r="Q315" s="709"/>
    </row>
    <row r="316" spans="1:17" s="248" customFormat="1" ht="14.25" hidden="1" customHeight="1" outlineLevel="1">
      <c r="B316" s="299" t="s">
        <v>268</v>
      </c>
      <c r="C316" s="304" t="s">
        <v>597</v>
      </c>
      <c r="D316" s="685" t="s">
        <v>541</v>
      </c>
      <c r="E316" s="306" t="s">
        <v>630</v>
      </c>
      <c r="F316" s="307"/>
      <c r="G316" s="297" t="s">
        <v>597</v>
      </c>
      <c r="H316" s="308" t="str">
        <f t="shared" si="18"/>
        <v>AR-T2S-8</v>
      </c>
      <c r="I316" s="661">
        <v>8</v>
      </c>
      <c r="J316" s="234">
        <v>1</v>
      </c>
      <c r="L316" s="709"/>
      <c r="Q316" s="709"/>
    </row>
    <row r="317" spans="1:17" s="248" customFormat="1" ht="3" hidden="1" customHeight="1" outlineLevel="1">
      <c r="B317" s="299"/>
      <c r="C317" s="304"/>
      <c r="D317" s="685"/>
      <c r="E317" s="306" t="s">
        <v>277</v>
      </c>
      <c r="F317" s="307"/>
      <c r="G317" s="297"/>
      <c r="H317" s="308"/>
      <c r="I317" s="661"/>
      <c r="J317" s="245"/>
      <c r="L317" s="709"/>
      <c r="Q317" s="709"/>
    </row>
    <row r="318" spans="1:17" s="233" customFormat="1" ht="13.5" hidden="1" customHeight="1" outlineLevel="1">
      <c r="A318" s="681"/>
      <c r="B318" s="299" t="s">
        <v>326</v>
      </c>
      <c r="C318" s="304"/>
      <c r="D318" s="685"/>
      <c r="E318" s="306"/>
      <c r="F318" s="307"/>
      <c r="G318" s="297"/>
      <c r="H318" s="308"/>
      <c r="I318" s="661"/>
      <c r="J318" s="197"/>
      <c r="L318" s="237"/>
      <c r="Q318" s="237"/>
    </row>
    <row r="319" spans="1:17" s="248" customFormat="1" ht="14.25" hidden="1" customHeight="1" outlineLevel="1">
      <c r="B319" s="299" t="s">
        <v>268</v>
      </c>
      <c r="C319" s="304" t="s">
        <v>597</v>
      </c>
      <c r="D319" s="685" t="s">
        <v>328</v>
      </c>
      <c r="E319" s="306" t="s">
        <v>329</v>
      </c>
      <c r="F319" s="307"/>
      <c r="G319" s="297" t="s">
        <v>597</v>
      </c>
      <c r="H319" s="308" t="str">
        <f>CONCATENATE("AR-",G319,"-",I319)</f>
        <v>AR-T2S-1</v>
      </c>
      <c r="I319" s="661">
        <v>1</v>
      </c>
      <c r="J319" s="197">
        <v>1</v>
      </c>
      <c r="L319" s="709"/>
      <c r="Q319" s="709"/>
    </row>
    <row r="320" spans="1:17" s="248" customFormat="1" ht="14.25" hidden="1" customHeight="1" outlineLevel="1">
      <c r="B320" s="299" t="s">
        <v>268</v>
      </c>
      <c r="C320" s="304" t="s">
        <v>597</v>
      </c>
      <c r="D320" s="685" t="s">
        <v>330</v>
      </c>
      <c r="E320" s="306" t="s">
        <v>331</v>
      </c>
      <c r="F320" s="307"/>
      <c r="G320" s="297" t="s">
        <v>597</v>
      </c>
      <c r="H320" s="308" t="str">
        <f>CONCATENATE("AR-",G320,"-",I320)</f>
        <v>AR-T2S-1</v>
      </c>
      <c r="I320" s="661">
        <v>1</v>
      </c>
      <c r="J320" s="197">
        <v>1</v>
      </c>
      <c r="L320" s="709"/>
      <c r="Q320" s="709"/>
    </row>
    <row r="321" spans="1:20" s="248" customFormat="1" ht="14.25" hidden="1" customHeight="1" outlineLevel="1">
      <c r="B321" s="299" t="s">
        <v>268</v>
      </c>
      <c r="C321" s="304" t="s">
        <v>597</v>
      </c>
      <c r="D321" s="685" t="s">
        <v>332</v>
      </c>
      <c r="E321" s="306" t="s">
        <v>333</v>
      </c>
      <c r="F321" s="307"/>
      <c r="G321" s="297" t="s">
        <v>597</v>
      </c>
      <c r="H321" s="308" t="str">
        <f>CONCATENATE("AR-",G321,"-",I321)</f>
        <v>AR-T2S-1</v>
      </c>
      <c r="I321" s="661">
        <v>1</v>
      </c>
      <c r="J321" s="197">
        <v>1</v>
      </c>
      <c r="L321" s="709"/>
      <c r="Q321" s="709"/>
    </row>
    <row r="322" spans="1:20" s="248" customFormat="1" ht="3" hidden="1" customHeight="1" outlineLevel="1">
      <c r="B322" s="299"/>
      <c r="C322" s="304"/>
      <c r="D322" s="685"/>
      <c r="E322" s="306" t="s">
        <v>277</v>
      </c>
      <c r="F322" s="307"/>
      <c r="G322" s="297"/>
      <c r="H322" s="308"/>
      <c r="I322" s="661"/>
      <c r="J322" s="245"/>
      <c r="L322" s="709"/>
      <c r="Q322" s="709"/>
    </row>
    <row r="323" spans="1:20" s="233" customFormat="1" ht="13.5" hidden="1" customHeight="1" outlineLevel="1">
      <c r="A323" s="681"/>
      <c r="B323" s="299" t="s">
        <v>334</v>
      </c>
      <c r="C323" s="304"/>
      <c r="D323" s="685"/>
      <c r="E323" s="306"/>
      <c r="F323" s="307"/>
      <c r="G323" s="297"/>
      <c r="H323" s="308"/>
      <c r="I323" s="661"/>
      <c r="J323" s="197"/>
      <c r="L323" s="237"/>
      <c r="Q323" s="237"/>
    </row>
    <row r="324" spans="1:20" s="248" customFormat="1" ht="14.25" hidden="1" customHeight="1" outlineLevel="1">
      <c r="B324" s="299" t="s">
        <v>268</v>
      </c>
      <c r="C324" s="304" t="s">
        <v>597</v>
      </c>
      <c r="D324" s="685" t="s">
        <v>335</v>
      </c>
      <c r="E324" s="306" t="s">
        <v>336</v>
      </c>
      <c r="F324" s="307"/>
      <c r="G324" s="297" t="s">
        <v>597</v>
      </c>
      <c r="H324" s="308" t="str">
        <f>CONCATENATE("AR-",G324,"-",I324)</f>
        <v>AR-T2S-1</v>
      </c>
      <c r="I324" s="661">
        <v>1</v>
      </c>
      <c r="J324" s="197">
        <v>1</v>
      </c>
      <c r="L324" s="709"/>
      <c r="Q324" s="709"/>
    </row>
    <row r="325" spans="1:20" s="248" customFormat="1" ht="14.25" hidden="1" customHeight="1" outlineLevel="1">
      <c r="B325" s="299" t="s">
        <v>268</v>
      </c>
      <c r="C325" s="304" t="s">
        <v>597</v>
      </c>
      <c r="D325" s="685" t="s">
        <v>337</v>
      </c>
      <c r="E325" s="306" t="s">
        <v>338</v>
      </c>
      <c r="F325" s="307"/>
      <c r="G325" s="297" t="s">
        <v>597</v>
      </c>
      <c r="H325" s="308" t="str">
        <f>CONCATENATE("AR-",G325,"-",I325)</f>
        <v>AR-T2S-1</v>
      </c>
      <c r="I325" s="661">
        <v>1</v>
      </c>
      <c r="J325" s="197">
        <v>1</v>
      </c>
      <c r="L325" s="709"/>
      <c r="Q325" s="709"/>
    </row>
    <row r="326" spans="1:20" s="248" customFormat="1" ht="3" hidden="1" customHeight="1" outlineLevel="1">
      <c r="B326" s="299"/>
      <c r="C326" s="304"/>
      <c r="D326" s="685"/>
      <c r="E326" s="306" t="s">
        <v>277</v>
      </c>
      <c r="F326" s="307"/>
      <c r="G326" s="297"/>
      <c r="H326" s="308"/>
      <c r="I326" s="661"/>
      <c r="J326" s="245"/>
      <c r="L326" s="709"/>
      <c r="Q326" s="709"/>
    </row>
    <row r="327" spans="1:20" s="233" customFormat="1" ht="13.5" hidden="1" customHeight="1" outlineLevel="1">
      <c r="A327" s="681"/>
      <c r="B327" s="299" t="s">
        <v>401</v>
      </c>
      <c r="C327" s="304"/>
      <c r="D327" s="685"/>
      <c r="E327" s="306"/>
      <c r="F327" s="307"/>
      <c r="G327" s="297"/>
      <c r="H327" s="308"/>
      <c r="I327" s="661"/>
      <c r="J327" s="197"/>
      <c r="L327" s="237"/>
      <c r="Q327" s="237"/>
    </row>
    <row r="328" spans="1:20" s="248" customFormat="1" ht="14.25" hidden="1" customHeight="1" outlineLevel="1">
      <c r="B328" s="299" t="s">
        <v>268</v>
      </c>
      <c r="C328" s="304" t="s">
        <v>597</v>
      </c>
      <c r="D328" s="685">
        <v>4105</v>
      </c>
      <c r="E328" s="306" t="s">
        <v>631</v>
      </c>
      <c r="F328" s="307"/>
      <c r="G328" s="297" t="s">
        <v>597</v>
      </c>
      <c r="H328" s="308" t="str">
        <f t="shared" ref="H328:H329" si="19">CONCATENATE("AR-",G328,"-",I328)</f>
        <v>AR-T2S-6</v>
      </c>
      <c r="I328" s="661">
        <v>6</v>
      </c>
      <c r="J328" s="234">
        <v>1</v>
      </c>
      <c r="L328" s="709"/>
      <c r="Q328" s="709"/>
    </row>
    <row r="329" spans="1:20" s="248" customFormat="1" ht="14.25" hidden="1" customHeight="1" outlineLevel="1">
      <c r="B329" s="299" t="s">
        <v>268</v>
      </c>
      <c r="C329" s="304" t="s">
        <v>597</v>
      </c>
      <c r="D329" s="685">
        <v>4106</v>
      </c>
      <c r="E329" s="306" t="s">
        <v>632</v>
      </c>
      <c r="F329" s="307"/>
      <c r="G329" s="297" t="s">
        <v>597</v>
      </c>
      <c r="H329" s="308" t="str">
        <f t="shared" si="19"/>
        <v>AR-T2S-6</v>
      </c>
      <c r="I329" s="661">
        <v>6</v>
      </c>
      <c r="J329" s="234">
        <v>1</v>
      </c>
      <c r="L329" s="709"/>
      <c r="Q329" s="709"/>
    </row>
    <row r="330" spans="1:20" s="248" customFormat="1" ht="14.25" hidden="1" customHeight="1" outlineLevel="1">
      <c r="B330" s="299" t="s">
        <v>268</v>
      </c>
      <c r="C330" s="304" t="s">
        <v>597</v>
      </c>
      <c r="D330" s="685"/>
      <c r="E330" s="306" t="s">
        <v>633</v>
      </c>
      <c r="F330" s="307"/>
      <c r="G330" s="297" t="s">
        <v>597</v>
      </c>
      <c r="H330" s="308" t="str">
        <f t="shared" ref="H330:H342" si="20">CONCATENATE("AR-",G330,"-",I330)</f>
        <v>AR-T2S-6</v>
      </c>
      <c r="I330" s="661">
        <v>6</v>
      </c>
      <c r="J330" s="234">
        <v>1</v>
      </c>
      <c r="L330" s="709"/>
      <c r="Q330" s="709"/>
    </row>
    <row r="331" spans="1:20" s="248" customFormat="1" ht="14.25" hidden="1" customHeight="1" outlineLevel="1">
      <c r="B331" s="299" t="s">
        <v>268</v>
      </c>
      <c r="C331" s="304" t="s">
        <v>597</v>
      </c>
      <c r="D331" s="685"/>
      <c r="E331" s="306" t="s">
        <v>634</v>
      </c>
      <c r="F331" s="307"/>
      <c r="G331" s="297" t="s">
        <v>597</v>
      </c>
      <c r="H331" s="308" t="str">
        <f t="shared" si="20"/>
        <v>AR-T2S-6</v>
      </c>
      <c r="I331" s="661">
        <v>6</v>
      </c>
      <c r="J331" s="234">
        <v>1</v>
      </c>
      <c r="L331" s="709"/>
      <c r="Q331" s="709"/>
    </row>
    <row r="332" spans="1:20" s="248" customFormat="1" ht="14.25" hidden="1" customHeight="1" outlineLevel="1">
      <c r="B332" s="299" t="s">
        <v>268</v>
      </c>
      <c r="C332" s="304" t="s">
        <v>597</v>
      </c>
      <c r="D332" s="685"/>
      <c r="E332" s="306" t="s">
        <v>635</v>
      </c>
      <c r="F332" s="307"/>
      <c r="G332" s="297" t="s">
        <v>597</v>
      </c>
      <c r="H332" s="308" t="str">
        <f t="shared" si="20"/>
        <v>AR-T2S-6</v>
      </c>
      <c r="I332" s="661">
        <v>6</v>
      </c>
      <c r="J332" s="234">
        <v>1</v>
      </c>
      <c r="L332" s="709"/>
      <c r="Q332" s="709"/>
    </row>
    <row r="333" spans="1:20" s="571" customFormat="1" ht="14.25" hidden="1" customHeight="1" outlineLevel="1">
      <c r="B333" s="299" t="s">
        <v>268</v>
      </c>
      <c r="C333" s="304" t="s">
        <v>597</v>
      </c>
      <c r="D333" s="685">
        <v>4114</v>
      </c>
      <c r="E333" s="306" t="s">
        <v>636</v>
      </c>
      <c r="F333" s="307"/>
      <c r="G333" s="297" t="s">
        <v>597</v>
      </c>
      <c r="H333" s="308" t="str">
        <f t="shared" ref="H333:H337" si="21">CONCATENATE("AR-",G333,"-",I333)</f>
        <v>AR-T2S-6</v>
      </c>
      <c r="I333" s="661">
        <v>6</v>
      </c>
      <c r="J333" s="234"/>
      <c r="L333" s="234">
        <v>1</v>
      </c>
      <c r="N333" s="766" t="s">
        <v>637</v>
      </c>
      <c r="Q333" s="234">
        <v>1</v>
      </c>
      <c r="T333" s="766" t="s">
        <v>637</v>
      </c>
    </row>
    <row r="334" spans="1:20" s="571" customFormat="1" ht="14.25" hidden="1" customHeight="1" outlineLevel="1">
      <c r="B334" s="299" t="s">
        <v>268</v>
      </c>
      <c r="C334" s="304" t="s">
        <v>597</v>
      </c>
      <c r="D334" s="685">
        <v>4115</v>
      </c>
      <c r="E334" s="306" t="s">
        <v>638</v>
      </c>
      <c r="F334" s="307"/>
      <c r="G334" s="297" t="s">
        <v>597</v>
      </c>
      <c r="H334" s="308" t="str">
        <f t="shared" si="21"/>
        <v>AR-T2S-6</v>
      </c>
      <c r="I334" s="661">
        <v>6</v>
      </c>
      <c r="J334" s="234"/>
      <c r="L334" s="234">
        <v>1</v>
      </c>
      <c r="N334" s="766" t="s">
        <v>637</v>
      </c>
      <c r="Q334" s="234">
        <v>1</v>
      </c>
      <c r="T334" s="766" t="s">
        <v>637</v>
      </c>
    </row>
    <row r="335" spans="1:20" s="571" customFormat="1" ht="14.25" hidden="1" customHeight="1" outlineLevel="1">
      <c r="B335" s="299" t="s">
        <v>268</v>
      </c>
      <c r="C335" s="304" t="s">
        <v>597</v>
      </c>
      <c r="D335" s="685">
        <v>4116</v>
      </c>
      <c r="E335" s="306" t="s">
        <v>639</v>
      </c>
      <c r="F335" s="307"/>
      <c r="G335" s="297" t="s">
        <v>597</v>
      </c>
      <c r="H335" s="308" t="str">
        <f t="shared" si="21"/>
        <v>AR-T2S-6</v>
      </c>
      <c r="I335" s="661">
        <v>6</v>
      </c>
      <c r="J335" s="234"/>
      <c r="L335" s="234">
        <v>1</v>
      </c>
      <c r="N335" s="766" t="s">
        <v>637</v>
      </c>
      <c r="Q335" s="234">
        <v>1</v>
      </c>
      <c r="T335" s="766" t="s">
        <v>637</v>
      </c>
    </row>
    <row r="336" spans="1:20" s="571" customFormat="1" ht="14.25" hidden="1" customHeight="1" outlineLevel="1">
      <c r="B336" s="299" t="s">
        <v>268</v>
      </c>
      <c r="C336" s="304" t="s">
        <v>597</v>
      </c>
      <c r="D336" s="685">
        <v>4117</v>
      </c>
      <c r="E336" s="306" t="s">
        <v>640</v>
      </c>
      <c r="F336" s="307"/>
      <c r="G336" s="297" t="s">
        <v>597</v>
      </c>
      <c r="H336" s="308" t="str">
        <f t="shared" si="21"/>
        <v>AR-T2S-6</v>
      </c>
      <c r="I336" s="661">
        <v>6</v>
      </c>
      <c r="J336" s="234"/>
      <c r="L336" s="234">
        <v>1</v>
      </c>
      <c r="N336" s="766" t="s">
        <v>637</v>
      </c>
      <c r="Q336" s="234">
        <v>1</v>
      </c>
      <c r="T336" s="766" t="s">
        <v>637</v>
      </c>
    </row>
    <row r="337" spans="1:20" s="571" customFormat="1" ht="14.25" hidden="1" customHeight="1" outlineLevel="1">
      <c r="B337" s="299" t="s">
        <v>268</v>
      </c>
      <c r="C337" s="304" t="s">
        <v>597</v>
      </c>
      <c r="D337" s="685">
        <v>4119</v>
      </c>
      <c r="E337" s="306" t="s">
        <v>641</v>
      </c>
      <c r="F337" s="307"/>
      <c r="G337" s="297" t="s">
        <v>597</v>
      </c>
      <c r="H337" s="308" t="str">
        <f t="shared" si="21"/>
        <v>AR-T2S-6</v>
      </c>
      <c r="I337" s="661">
        <v>6</v>
      </c>
      <c r="J337" s="234"/>
      <c r="L337" s="234">
        <v>1</v>
      </c>
      <c r="N337" s="766" t="s">
        <v>637</v>
      </c>
      <c r="Q337" s="234">
        <v>1</v>
      </c>
      <c r="T337" s="766" t="s">
        <v>637</v>
      </c>
    </row>
    <row r="338" spans="1:20" s="571" customFormat="1" ht="14.25" hidden="1" customHeight="1" outlineLevel="1">
      <c r="A338" s="571" t="s">
        <v>642</v>
      </c>
      <c r="B338" s="299" t="s">
        <v>268</v>
      </c>
      <c r="C338" s="304" t="s">
        <v>597</v>
      </c>
      <c r="D338" s="685" t="s">
        <v>643</v>
      </c>
      <c r="E338" s="306" t="s">
        <v>644</v>
      </c>
      <c r="F338" s="307"/>
      <c r="G338" s="297" t="s">
        <v>597</v>
      </c>
      <c r="H338" s="308" t="str">
        <f t="shared" si="20"/>
        <v>AR-T2S-6</v>
      </c>
      <c r="I338" s="661">
        <v>6</v>
      </c>
      <c r="J338" s="234">
        <v>1</v>
      </c>
      <c r="L338" s="710"/>
      <c r="Q338" s="710"/>
    </row>
    <row r="339" spans="1:20" s="571" customFormat="1" ht="14.25" hidden="1" customHeight="1" outlineLevel="1">
      <c r="A339" s="571" t="s">
        <v>642</v>
      </c>
      <c r="B339" s="299" t="s">
        <v>268</v>
      </c>
      <c r="C339" s="304" t="s">
        <v>597</v>
      </c>
      <c r="D339" s="685" t="s">
        <v>645</v>
      </c>
      <c r="E339" s="306" t="s">
        <v>646</v>
      </c>
      <c r="F339" s="307"/>
      <c r="G339" s="297" t="s">
        <v>597</v>
      </c>
      <c r="H339" s="308" t="str">
        <f t="shared" si="20"/>
        <v>AR-T2S-6</v>
      </c>
      <c r="I339" s="661">
        <v>6</v>
      </c>
      <c r="J339" s="234">
        <v>1</v>
      </c>
      <c r="L339" s="710"/>
      <c r="Q339" s="710"/>
    </row>
    <row r="340" spans="1:20" s="571" customFormat="1" ht="14.25" hidden="1" customHeight="1" outlineLevel="1">
      <c r="B340" s="299" t="s">
        <v>268</v>
      </c>
      <c r="C340" s="304" t="s">
        <v>597</v>
      </c>
      <c r="D340" s="685" t="s">
        <v>647</v>
      </c>
      <c r="E340" s="306" t="s">
        <v>648</v>
      </c>
      <c r="F340" s="307"/>
      <c r="G340" s="297" t="s">
        <v>597</v>
      </c>
      <c r="H340" s="308" t="str">
        <f t="shared" si="20"/>
        <v>AR-T2S-6</v>
      </c>
      <c r="I340" s="661">
        <v>6</v>
      </c>
      <c r="J340" s="234">
        <v>1</v>
      </c>
      <c r="L340" s="710"/>
      <c r="Q340" s="710"/>
    </row>
    <row r="341" spans="1:20" s="571" customFormat="1" ht="14.25" hidden="1" customHeight="1" outlineLevel="1">
      <c r="A341" s="571" t="s">
        <v>649</v>
      </c>
      <c r="B341" s="299" t="s">
        <v>268</v>
      </c>
      <c r="C341" s="304" t="s">
        <v>597</v>
      </c>
      <c r="D341" s="685" t="s">
        <v>643</v>
      </c>
      <c r="E341" s="306" t="s">
        <v>650</v>
      </c>
      <c r="F341" s="307"/>
      <c r="G341" s="297" t="s">
        <v>597</v>
      </c>
      <c r="H341" s="308" t="str">
        <f t="shared" si="20"/>
        <v>AR-T2S-6</v>
      </c>
      <c r="I341" s="661">
        <v>6</v>
      </c>
      <c r="J341" s="234">
        <v>1</v>
      </c>
      <c r="L341" s="710"/>
      <c r="Q341" s="710"/>
    </row>
    <row r="342" spans="1:20" s="248" customFormat="1" ht="14.25" hidden="1" customHeight="1" outlineLevel="1">
      <c r="A342" s="571" t="s">
        <v>649</v>
      </c>
      <c r="B342" s="299" t="s">
        <v>268</v>
      </c>
      <c r="C342" s="304" t="s">
        <v>597</v>
      </c>
      <c r="D342" s="685" t="s">
        <v>645</v>
      </c>
      <c r="E342" s="306" t="s">
        <v>651</v>
      </c>
      <c r="F342" s="307"/>
      <c r="G342" s="297" t="s">
        <v>597</v>
      </c>
      <c r="H342" s="308" t="str">
        <f t="shared" si="20"/>
        <v>AR-T2S-6</v>
      </c>
      <c r="I342" s="661">
        <v>6</v>
      </c>
      <c r="J342" s="234">
        <v>1</v>
      </c>
      <c r="L342" s="709"/>
      <c r="Q342" s="709"/>
    </row>
    <row r="343" spans="1:20" s="248" customFormat="1" ht="14.25" hidden="1" customHeight="1" outlineLevel="1">
      <c r="B343" s="299"/>
      <c r="C343" s="304"/>
      <c r="D343" s="685"/>
      <c r="E343" s="306"/>
      <c r="F343" s="307"/>
      <c r="G343" s="297"/>
      <c r="H343" s="308"/>
      <c r="I343" s="661"/>
      <c r="J343" s="245"/>
      <c r="L343" s="709"/>
      <c r="Q343" s="709"/>
    </row>
    <row r="344" spans="1:20" s="248" customFormat="1" ht="3" hidden="1" customHeight="1" outlineLevel="1">
      <c r="B344" s="299"/>
      <c r="C344" s="304"/>
      <c r="D344" s="685"/>
      <c r="E344" s="306" t="s">
        <v>277</v>
      </c>
      <c r="F344" s="307"/>
      <c r="G344" s="297"/>
      <c r="H344" s="308"/>
      <c r="I344" s="661"/>
      <c r="J344" s="245"/>
      <c r="L344" s="709"/>
      <c r="Q344" s="709"/>
    </row>
    <row r="345" spans="1:20" s="233" customFormat="1" ht="13.5" hidden="1" customHeight="1" outlineLevel="1">
      <c r="A345" s="681"/>
      <c r="B345" s="299" t="s">
        <v>406</v>
      </c>
      <c r="C345" s="304"/>
      <c r="D345" s="685"/>
      <c r="E345" s="306"/>
      <c r="F345" s="307"/>
      <c r="G345" s="297"/>
      <c r="H345" s="308"/>
      <c r="I345" s="661"/>
      <c r="J345" s="197"/>
      <c r="L345" s="237"/>
      <c r="Q345" s="237"/>
    </row>
    <row r="346" spans="1:20" s="248" customFormat="1" ht="14.25" hidden="1" customHeight="1" outlineLevel="1">
      <c r="B346" s="299" t="s">
        <v>268</v>
      </c>
      <c r="C346" s="304" t="s">
        <v>597</v>
      </c>
      <c r="D346" s="685" t="s">
        <v>409</v>
      </c>
      <c r="E346" s="306" t="s">
        <v>652</v>
      </c>
      <c r="F346" s="307"/>
      <c r="G346" s="297" t="s">
        <v>597</v>
      </c>
      <c r="H346" s="308" t="str">
        <f t="shared" ref="H346:H353" si="22">CONCATENATE("AR-",G346,"-",I346)</f>
        <v>AR-T2S-1</v>
      </c>
      <c r="I346" s="661">
        <v>1</v>
      </c>
      <c r="J346" s="197">
        <v>1</v>
      </c>
      <c r="L346" s="709"/>
      <c r="Q346" s="709"/>
    </row>
    <row r="347" spans="1:20" s="248" customFormat="1" ht="14.25" hidden="1" customHeight="1" outlineLevel="1">
      <c r="B347" s="299" t="s">
        <v>268</v>
      </c>
      <c r="C347" s="304" t="s">
        <v>597</v>
      </c>
      <c r="D347" s="685" t="s">
        <v>653</v>
      </c>
      <c r="E347" s="306" t="s">
        <v>654</v>
      </c>
      <c r="F347" s="307"/>
      <c r="G347" s="297" t="s">
        <v>597</v>
      </c>
      <c r="H347" s="308" t="str">
        <f t="shared" si="22"/>
        <v>AR-T2S-1</v>
      </c>
      <c r="I347" s="661">
        <v>1</v>
      </c>
      <c r="J347" s="234">
        <v>1</v>
      </c>
      <c r="L347" s="709"/>
      <c r="Q347" s="709"/>
    </row>
    <row r="348" spans="1:20" s="248" customFormat="1" ht="14.25" hidden="1" customHeight="1" outlineLevel="1">
      <c r="B348" s="299" t="s">
        <v>268</v>
      </c>
      <c r="C348" s="304" t="s">
        <v>597</v>
      </c>
      <c r="D348" s="685" t="s">
        <v>655</v>
      </c>
      <c r="E348" s="306" t="s">
        <v>656</v>
      </c>
      <c r="F348" s="307"/>
      <c r="G348" s="297" t="s">
        <v>597</v>
      </c>
      <c r="H348" s="308" t="str">
        <f t="shared" si="22"/>
        <v>AR-T2S-1</v>
      </c>
      <c r="I348" s="661">
        <v>1</v>
      </c>
      <c r="J348" s="234">
        <v>1</v>
      </c>
      <c r="L348" s="709"/>
      <c r="Q348" s="709"/>
    </row>
    <row r="349" spans="1:20" s="248" customFormat="1" ht="14.25" hidden="1" customHeight="1" outlineLevel="1">
      <c r="B349" s="299" t="s">
        <v>268</v>
      </c>
      <c r="C349" s="304" t="s">
        <v>597</v>
      </c>
      <c r="D349" s="685" t="s">
        <v>415</v>
      </c>
      <c r="E349" s="306" t="s">
        <v>656</v>
      </c>
      <c r="F349" s="307"/>
      <c r="G349" s="297" t="s">
        <v>597</v>
      </c>
      <c r="H349" s="308" t="str">
        <f t="shared" si="22"/>
        <v>AR-T2S-1</v>
      </c>
      <c r="I349" s="661">
        <v>1</v>
      </c>
      <c r="J349" s="234">
        <v>1</v>
      </c>
      <c r="L349" s="709"/>
      <c r="Q349" s="709"/>
    </row>
    <row r="350" spans="1:20" s="248" customFormat="1" ht="14.25" hidden="1" customHeight="1" outlineLevel="1">
      <c r="B350" s="299" t="s">
        <v>268</v>
      </c>
      <c r="C350" s="304" t="s">
        <v>597</v>
      </c>
      <c r="D350" s="685" t="s">
        <v>657</v>
      </c>
      <c r="E350" s="306" t="s">
        <v>658</v>
      </c>
      <c r="F350" s="307"/>
      <c r="G350" s="297" t="s">
        <v>597</v>
      </c>
      <c r="H350" s="308" t="str">
        <f t="shared" si="22"/>
        <v>AR-T2S-1</v>
      </c>
      <c r="I350" s="661">
        <v>1</v>
      </c>
      <c r="J350" s="234">
        <v>1</v>
      </c>
      <c r="L350" s="709"/>
      <c r="Q350" s="709"/>
    </row>
    <row r="351" spans="1:20" s="248" customFormat="1" ht="14.25" hidden="1" customHeight="1" outlineLevel="1">
      <c r="B351" s="299" t="s">
        <v>268</v>
      </c>
      <c r="C351" s="304" t="s">
        <v>597</v>
      </c>
      <c r="D351" s="685">
        <v>4415</v>
      </c>
      <c r="E351" s="306" t="s">
        <v>659</v>
      </c>
      <c r="F351" s="307"/>
      <c r="G351" s="297" t="s">
        <v>597</v>
      </c>
      <c r="H351" s="308" t="str">
        <f t="shared" si="22"/>
        <v>AR-T2S-1</v>
      </c>
      <c r="I351" s="661">
        <v>1</v>
      </c>
      <c r="J351" s="234">
        <v>1</v>
      </c>
      <c r="L351" s="709"/>
      <c r="Q351" s="709"/>
    </row>
    <row r="352" spans="1:20" s="248" customFormat="1" ht="14.25" hidden="1" customHeight="1" outlineLevel="1">
      <c r="B352" s="299" t="s">
        <v>268</v>
      </c>
      <c r="C352" s="304" t="s">
        <v>597</v>
      </c>
      <c r="D352" s="685">
        <v>4420</v>
      </c>
      <c r="E352" s="306" t="s">
        <v>660</v>
      </c>
      <c r="F352" s="307"/>
      <c r="G352" s="297" t="s">
        <v>597</v>
      </c>
      <c r="H352" s="308" t="str">
        <f t="shared" si="22"/>
        <v>AR-T2S-1</v>
      </c>
      <c r="I352" s="661">
        <v>1</v>
      </c>
      <c r="J352" s="234">
        <v>1</v>
      </c>
      <c r="L352" s="709"/>
      <c r="Q352" s="709"/>
    </row>
    <row r="353" spans="1:17" s="248" customFormat="1" ht="14.25" hidden="1" customHeight="1" outlineLevel="1">
      <c r="B353" s="299" t="s">
        <v>268</v>
      </c>
      <c r="C353" s="304" t="s">
        <v>597</v>
      </c>
      <c r="D353" s="685">
        <v>4421</v>
      </c>
      <c r="E353" s="306" t="s">
        <v>661</v>
      </c>
      <c r="F353" s="307"/>
      <c r="G353" s="297" t="s">
        <v>597</v>
      </c>
      <c r="H353" s="308" t="str">
        <f t="shared" si="22"/>
        <v>AR-T2S-1</v>
      </c>
      <c r="I353" s="661">
        <v>1</v>
      </c>
      <c r="J353" s="234">
        <v>1</v>
      </c>
      <c r="L353" s="709"/>
      <c r="Q353" s="709"/>
    </row>
    <row r="354" spans="1:17" s="248" customFormat="1" ht="3" hidden="1" customHeight="1" outlineLevel="1">
      <c r="B354" s="299"/>
      <c r="C354" s="304"/>
      <c r="D354" s="685"/>
      <c r="E354" s="306" t="s">
        <v>277</v>
      </c>
      <c r="F354" s="307"/>
      <c r="G354" s="297"/>
      <c r="H354" s="308"/>
      <c r="I354" s="661"/>
      <c r="J354" s="245"/>
      <c r="L354" s="709"/>
      <c r="Q354" s="709"/>
    </row>
    <row r="355" spans="1:17" s="233" customFormat="1" ht="13.5" hidden="1" customHeight="1" outlineLevel="1">
      <c r="A355" s="681"/>
      <c r="B355" s="299" t="s">
        <v>417</v>
      </c>
      <c r="C355" s="304"/>
      <c r="D355" s="685"/>
      <c r="E355" s="306"/>
      <c r="F355" s="307"/>
      <c r="G355" s="297"/>
      <c r="H355" s="308"/>
      <c r="I355" s="661"/>
      <c r="J355" s="197"/>
      <c r="L355" s="237"/>
      <c r="Q355" s="237"/>
    </row>
    <row r="356" spans="1:17" s="248" customFormat="1" ht="14.25" hidden="1" customHeight="1" outlineLevel="1">
      <c r="B356" s="299" t="s">
        <v>268</v>
      </c>
      <c r="C356" s="304" t="s">
        <v>597</v>
      </c>
      <c r="D356" s="685" t="s">
        <v>418</v>
      </c>
      <c r="E356" s="306" t="s">
        <v>662</v>
      </c>
      <c r="F356" s="307"/>
      <c r="G356" s="297" t="s">
        <v>597</v>
      </c>
      <c r="H356" s="308" t="str">
        <f>CONCATENATE("AR-",G356,"-",I356)</f>
        <v>AR-T2S-1</v>
      </c>
      <c r="I356" s="661">
        <v>1</v>
      </c>
      <c r="J356" s="197">
        <v>1</v>
      </c>
      <c r="L356" s="709"/>
      <c r="Q356" s="709"/>
    </row>
    <row r="357" spans="1:17" s="248" customFormat="1" ht="14.25" hidden="1" customHeight="1" outlineLevel="1">
      <c r="B357" s="299" t="s">
        <v>268</v>
      </c>
      <c r="C357" s="304" t="s">
        <v>597</v>
      </c>
      <c r="D357" s="685" t="s">
        <v>420</v>
      </c>
      <c r="E357" s="306" t="s">
        <v>663</v>
      </c>
      <c r="F357" s="307"/>
      <c r="G357" s="297" t="s">
        <v>597</v>
      </c>
      <c r="H357" s="308" t="str">
        <f>CONCATENATE("AR-",G357,"-",I357)</f>
        <v>AR-T2S-1</v>
      </c>
      <c r="I357" s="661">
        <v>1</v>
      </c>
      <c r="J357" s="197">
        <v>1</v>
      </c>
      <c r="L357" s="709"/>
      <c r="Q357" s="709"/>
    </row>
    <row r="358" spans="1:17" s="248" customFormat="1" ht="14.25" hidden="1" customHeight="1" outlineLevel="1">
      <c r="B358" s="299" t="s">
        <v>268</v>
      </c>
      <c r="C358" s="304" t="s">
        <v>597</v>
      </c>
      <c r="D358" s="685">
        <v>4605</v>
      </c>
      <c r="E358" s="306" t="s">
        <v>664</v>
      </c>
      <c r="F358" s="307"/>
      <c r="G358" s="297" t="s">
        <v>597</v>
      </c>
      <c r="H358" s="308" t="str">
        <f>CONCATENATE("AR-",G358,"-",I358)</f>
        <v>AR-T2S-1</v>
      </c>
      <c r="I358" s="661">
        <v>1</v>
      </c>
      <c r="J358" s="197">
        <v>1</v>
      </c>
      <c r="L358" s="709"/>
      <c r="Q358" s="709"/>
    </row>
    <row r="359" spans="1:17" s="248" customFormat="1" ht="3" hidden="1" customHeight="1" outlineLevel="1">
      <c r="B359" s="299"/>
      <c r="C359" s="304"/>
      <c r="D359" s="685"/>
      <c r="E359" s="306" t="s">
        <v>277</v>
      </c>
      <c r="F359" s="307"/>
      <c r="G359" s="297"/>
      <c r="H359" s="308"/>
      <c r="I359" s="661"/>
      <c r="J359" s="245"/>
      <c r="L359" s="709"/>
      <c r="Q359" s="709"/>
    </row>
    <row r="360" spans="1:17" s="248" customFormat="1" ht="14.25" hidden="1" customHeight="1" outlineLevel="1">
      <c r="B360" s="299" t="s">
        <v>665</v>
      </c>
      <c r="C360" s="304"/>
      <c r="D360" s="685"/>
      <c r="E360" s="306"/>
      <c r="F360" s="307"/>
      <c r="G360" s="297"/>
      <c r="H360" s="308"/>
      <c r="I360" s="661"/>
      <c r="J360" s="245"/>
      <c r="L360" s="709"/>
      <c r="Q360" s="709"/>
    </row>
    <row r="361" spans="1:17" s="248" customFormat="1" ht="14.25" hidden="1" customHeight="1" outlineLevel="1">
      <c r="B361" s="299" t="s">
        <v>268</v>
      </c>
      <c r="C361" s="304" t="s">
        <v>597</v>
      </c>
      <c r="D361" s="685" t="s">
        <v>666</v>
      </c>
      <c r="E361" s="306" t="s">
        <v>667</v>
      </c>
      <c r="F361" s="307"/>
      <c r="G361" s="297" t="s">
        <v>597</v>
      </c>
      <c r="H361" s="308" t="str">
        <f t="shared" ref="H361:H367" si="23">CONCATENATE("AR-",G361,"-",I361)</f>
        <v>AR-T2S-1</v>
      </c>
      <c r="I361" s="661">
        <v>1</v>
      </c>
      <c r="J361" s="197">
        <v>1</v>
      </c>
      <c r="L361" s="709"/>
      <c r="Q361" s="709"/>
    </row>
    <row r="362" spans="1:17" s="248" customFormat="1" ht="14.25" hidden="1" customHeight="1" outlineLevel="1">
      <c r="B362" s="299" t="s">
        <v>268</v>
      </c>
      <c r="C362" s="304" t="s">
        <v>597</v>
      </c>
      <c r="D362" s="685">
        <v>5103</v>
      </c>
      <c r="E362" s="306" t="s">
        <v>668</v>
      </c>
      <c r="F362" s="307"/>
      <c r="G362" s="297" t="s">
        <v>597</v>
      </c>
      <c r="H362" s="308" t="str">
        <f t="shared" si="23"/>
        <v>AR-T2S-1</v>
      </c>
      <c r="I362" s="661">
        <v>1</v>
      </c>
      <c r="J362" s="197">
        <v>1</v>
      </c>
      <c r="L362" s="709"/>
      <c r="Q362" s="709"/>
    </row>
    <row r="363" spans="1:17" s="248" customFormat="1" ht="14.25" hidden="1" customHeight="1" outlineLevel="1">
      <c r="B363" s="299" t="s">
        <v>268</v>
      </c>
      <c r="C363" s="304" t="s">
        <v>597</v>
      </c>
      <c r="D363" s="685">
        <v>5104</v>
      </c>
      <c r="E363" s="306" t="s">
        <v>669</v>
      </c>
      <c r="F363" s="307"/>
      <c r="G363" s="297" t="s">
        <v>597</v>
      </c>
      <c r="H363" s="308" t="str">
        <f t="shared" si="23"/>
        <v>AR-T2S-1</v>
      </c>
      <c r="I363" s="661">
        <v>1</v>
      </c>
      <c r="J363" s="197">
        <v>1</v>
      </c>
      <c r="L363" s="709"/>
      <c r="Q363" s="709"/>
    </row>
    <row r="364" spans="1:17" s="248" customFormat="1" ht="14.25" hidden="1" customHeight="1" outlineLevel="1">
      <c r="B364" s="299" t="s">
        <v>268</v>
      </c>
      <c r="C364" s="304" t="s">
        <v>597</v>
      </c>
      <c r="D364" s="685">
        <v>5105</v>
      </c>
      <c r="E364" s="306" t="s">
        <v>670</v>
      </c>
      <c r="F364" s="307"/>
      <c r="G364" s="297" t="s">
        <v>597</v>
      </c>
      <c r="H364" s="308" t="str">
        <f t="shared" si="23"/>
        <v>AR-T2S-1</v>
      </c>
      <c r="I364" s="661">
        <v>1</v>
      </c>
      <c r="J364" s="197">
        <v>1</v>
      </c>
      <c r="L364" s="709"/>
      <c r="Q364" s="709"/>
    </row>
    <row r="365" spans="1:17" s="248" customFormat="1" ht="14.25" hidden="1" customHeight="1" outlineLevel="1">
      <c r="B365" s="299" t="s">
        <v>268</v>
      </c>
      <c r="C365" s="304" t="s">
        <v>597</v>
      </c>
      <c r="D365" s="685">
        <v>5106</v>
      </c>
      <c r="E365" s="306" t="s">
        <v>671</v>
      </c>
      <c r="F365" s="307"/>
      <c r="G365" s="297" t="s">
        <v>597</v>
      </c>
      <c r="H365" s="308" t="str">
        <f t="shared" si="23"/>
        <v>AR-T2S-1</v>
      </c>
      <c r="I365" s="661">
        <v>1</v>
      </c>
      <c r="J365" s="197">
        <v>1</v>
      </c>
      <c r="L365" s="709"/>
      <c r="Q365" s="709"/>
    </row>
    <row r="366" spans="1:17" s="248" customFormat="1" ht="14.25" hidden="1" customHeight="1" outlineLevel="1">
      <c r="B366" s="299" t="s">
        <v>268</v>
      </c>
      <c r="C366" s="304" t="s">
        <v>597</v>
      </c>
      <c r="D366" s="685">
        <v>5107</v>
      </c>
      <c r="E366" s="306" t="s">
        <v>672</v>
      </c>
      <c r="F366" s="307"/>
      <c r="G366" s="297" t="s">
        <v>597</v>
      </c>
      <c r="H366" s="308" t="str">
        <f t="shared" si="23"/>
        <v>AR-T2S-1</v>
      </c>
      <c r="I366" s="661">
        <v>1</v>
      </c>
      <c r="J366" s="197">
        <v>1</v>
      </c>
      <c r="L366" s="709"/>
      <c r="Q366" s="709"/>
    </row>
    <row r="367" spans="1:17" s="248" customFormat="1" ht="14.25" hidden="1" customHeight="1" outlineLevel="1">
      <c r="B367" s="299"/>
      <c r="C367" s="304"/>
      <c r="D367" s="685"/>
      <c r="E367" s="306" t="s">
        <v>673</v>
      </c>
      <c r="F367" s="307"/>
      <c r="G367" s="297" t="s">
        <v>597</v>
      </c>
      <c r="H367" s="308" t="str">
        <f t="shared" si="23"/>
        <v>AR-T2S-NA</v>
      </c>
      <c r="I367" s="665" t="s">
        <v>293</v>
      </c>
      <c r="J367" s="197"/>
      <c r="L367" s="709"/>
      <c r="Q367" s="709"/>
    </row>
    <row r="368" spans="1:17" s="248" customFormat="1" ht="3" hidden="1" customHeight="1" outlineLevel="1">
      <c r="B368" s="299"/>
      <c r="C368" s="304"/>
      <c r="D368" s="685"/>
      <c r="E368" s="306" t="s">
        <v>277</v>
      </c>
      <c r="F368" s="307"/>
      <c r="G368" s="297"/>
      <c r="H368" s="308"/>
      <c r="I368" s="661"/>
      <c r="J368" s="245"/>
      <c r="L368" s="709"/>
      <c r="Q368" s="709"/>
    </row>
    <row r="369" spans="1:17" s="248" customFormat="1" ht="14.25" hidden="1" customHeight="1" outlineLevel="1">
      <c r="B369" s="299" t="s">
        <v>462</v>
      </c>
      <c r="C369" s="304"/>
      <c r="D369" s="685"/>
      <c r="E369" s="306"/>
      <c r="F369" s="307"/>
      <c r="G369" s="297"/>
      <c r="H369" s="308"/>
      <c r="I369" s="661"/>
      <c r="J369" s="245"/>
      <c r="L369" s="709"/>
      <c r="Q369" s="709"/>
    </row>
    <row r="370" spans="1:17" s="248" customFormat="1" ht="14.25" hidden="1" customHeight="1" outlineLevel="1">
      <c r="B370" s="299" t="s">
        <v>268</v>
      </c>
      <c r="C370" s="304" t="s">
        <v>597</v>
      </c>
      <c r="D370" s="685" t="s">
        <v>463</v>
      </c>
      <c r="E370" s="306" t="s">
        <v>674</v>
      </c>
      <c r="F370" s="307"/>
      <c r="G370" s="297" t="s">
        <v>597</v>
      </c>
      <c r="H370" s="308" t="str">
        <f t="shared" ref="H370:H377" si="24">CONCATENATE("AR-",G370,"-",I370)</f>
        <v>AR-T2S-6</v>
      </c>
      <c r="I370" s="661">
        <v>6</v>
      </c>
      <c r="J370" s="234">
        <v>1</v>
      </c>
      <c r="L370" s="709"/>
      <c r="Q370" s="709"/>
    </row>
    <row r="371" spans="1:17" s="248" customFormat="1" ht="14.25" hidden="1" customHeight="1" outlineLevel="1">
      <c r="B371" s="299" t="s">
        <v>268</v>
      </c>
      <c r="C371" s="304" t="s">
        <v>597</v>
      </c>
      <c r="D371" s="685" t="s">
        <v>465</v>
      </c>
      <c r="E371" s="306" t="s">
        <v>675</v>
      </c>
      <c r="F371" s="307"/>
      <c r="G371" s="297" t="s">
        <v>597</v>
      </c>
      <c r="H371" s="308" t="str">
        <f t="shared" si="24"/>
        <v>AR-T2S-9</v>
      </c>
      <c r="I371" s="661">
        <v>9</v>
      </c>
      <c r="J371" s="234">
        <v>1</v>
      </c>
      <c r="L371" s="709"/>
      <c r="Q371" s="709"/>
    </row>
    <row r="372" spans="1:17" s="248" customFormat="1" ht="14.25" hidden="1" customHeight="1" outlineLevel="1">
      <c r="B372" s="299" t="s">
        <v>268</v>
      </c>
      <c r="C372" s="304" t="s">
        <v>597</v>
      </c>
      <c r="D372" s="685" t="s">
        <v>467</v>
      </c>
      <c r="E372" s="306" t="s">
        <v>676</v>
      </c>
      <c r="F372" s="307"/>
      <c r="G372" s="297" t="s">
        <v>597</v>
      </c>
      <c r="H372" s="308" t="str">
        <f t="shared" si="24"/>
        <v>AR-T2S-6</v>
      </c>
      <c r="I372" s="661">
        <v>6</v>
      </c>
      <c r="J372" s="197">
        <v>1</v>
      </c>
      <c r="L372" s="709"/>
      <c r="Q372" s="709"/>
    </row>
    <row r="373" spans="1:17" s="248" customFormat="1" ht="14.1" hidden="1" customHeight="1" outlineLevel="1">
      <c r="B373" s="299" t="s">
        <v>268</v>
      </c>
      <c r="C373" s="304" t="s">
        <v>597</v>
      </c>
      <c r="D373" s="685" t="s">
        <v>469</v>
      </c>
      <c r="E373" s="306" t="s">
        <v>677</v>
      </c>
      <c r="F373" s="307"/>
      <c r="G373" s="297" t="s">
        <v>597</v>
      </c>
      <c r="H373" s="308" t="str">
        <f t="shared" si="24"/>
        <v>AR-T2S-6</v>
      </c>
      <c r="I373" s="661">
        <v>6</v>
      </c>
      <c r="J373" s="197">
        <v>1</v>
      </c>
      <c r="L373" s="709"/>
      <c r="Q373" s="709"/>
    </row>
    <row r="374" spans="1:17" s="248" customFormat="1" ht="14.1" hidden="1" customHeight="1" outlineLevel="1">
      <c r="B374" s="299" t="s">
        <v>268</v>
      </c>
      <c r="C374" s="304" t="s">
        <v>597</v>
      </c>
      <c r="D374" s="685" t="s">
        <v>471</v>
      </c>
      <c r="E374" s="306" t="s">
        <v>677</v>
      </c>
      <c r="F374" s="307"/>
      <c r="G374" s="297" t="s">
        <v>597</v>
      </c>
      <c r="H374" s="308" t="str">
        <f t="shared" si="24"/>
        <v>AR-T2S-6</v>
      </c>
      <c r="I374" s="661">
        <v>6</v>
      </c>
      <c r="J374" s="197">
        <v>1</v>
      </c>
      <c r="L374" s="709"/>
      <c r="Q374" s="709"/>
    </row>
    <row r="375" spans="1:17" s="248" customFormat="1" ht="14.1" hidden="1" customHeight="1" outlineLevel="1">
      <c r="B375" s="299" t="s">
        <v>268</v>
      </c>
      <c r="C375" s="304" t="s">
        <v>597</v>
      </c>
      <c r="D375" s="685" t="s">
        <v>473</v>
      </c>
      <c r="E375" s="306" t="s">
        <v>678</v>
      </c>
      <c r="F375" s="307"/>
      <c r="G375" s="297" t="s">
        <v>597</v>
      </c>
      <c r="H375" s="308" t="str">
        <f t="shared" si="24"/>
        <v>AR-T2S-6</v>
      </c>
      <c r="I375" s="661">
        <v>6</v>
      </c>
      <c r="J375" s="197">
        <v>1</v>
      </c>
      <c r="L375" s="709"/>
      <c r="Q375" s="709"/>
    </row>
    <row r="376" spans="1:17" s="248" customFormat="1" ht="14.1" hidden="1" customHeight="1" outlineLevel="1">
      <c r="B376" s="299" t="s">
        <v>268</v>
      </c>
      <c r="C376" s="304" t="s">
        <v>597</v>
      </c>
      <c r="D376" s="685" t="s">
        <v>475</v>
      </c>
      <c r="E376" s="306" t="s">
        <v>679</v>
      </c>
      <c r="F376" s="307"/>
      <c r="G376" s="297" t="s">
        <v>597</v>
      </c>
      <c r="H376" s="308" t="str">
        <f t="shared" si="24"/>
        <v>AR-T2S-6</v>
      </c>
      <c r="I376" s="661">
        <v>6</v>
      </c>
      <c r="J376" s="197">
        <v>1</v>
      </c>
      <c r="L376" s="709"/>
      <c r="Q376" s="709"/>
    </row>
    <row r="377" spans="1:17" s="248" customFormat="1" ht="14.1" hidden="1" customHeight="1" outlineLevel="1">
      <c r="A377" s="248" t="s">
        <v>680</v>
      </c>
      <c r="B377" s="299" t="s">
        <v>268</v>
      </c>
      <c r="C377" s="304" t="s">
        <v>597</v>
      </c>
      <c r="D377" s="685" t="s">
        <v>585</v>
      </c>
      <c r="E377" s="306" t="s">
        <v>681</v>
      </c>
      <c r="F377" s="307"/>
      <c r="G377" s="297" t="s">
        <v>597</v>
      </c>
      <c r="H377" s="308" t="str">
        <f t="shared" si="24"/>
        <v>AR-T2S-NA</v>
      </c>
      <c r="I377" s="665" t="s">
        <v>293</v>
      </c>
      <c r="J377" s="197"/>
      <c r="L377" s="709"/>
      <c r="Q377" s="709"/>
    </row>
    <row r="378" spans="1:17" s="248" customFormat="1" ht="4.5" hidden="1" customHeight="1" outlineLevel="1">
      <c r="B378" s="299"/>
      <c r="C378" s="304"/>
      <c r="D378" s="685"/>
      <c r="E378" s="306" t="s">
        <v>277</v>
      </c>
      <c r="F378" s="307"/>
      <c r="G378" s="297"/>
      <c r="H378" s="308"/>
      <c r="I378" s="661"/>
      <c r="J378" s="245"/>
      <c r="L378" s="709"/>
      <c r="Q378" s="709"/>
    </row>
    <row r="379" spans="1:17" s="248" customFormat="1" ht="14.25" hidden="1" customHeight="1" outlineLevel="1">
      <c r="B379" s="299" t="s">
        <v>682</v>
      </c>
      <c r="C379" s="304"/>
      <c r="D379" s="685"/>
      <c r="E379" s="306"/>
      <c r="F379" s="307"/>
      <c r="G379" s="297"/>
      <c r="H379" s="308"/>
      <c r="I379" s="661"/>
      <c r="J379" s="245"/>
      <c r="L379" s="709"/>
      <c r="Q379" s="709"/>
    </row>
    <row r="380" spans="1:17" s="233" customFormat="1" ht="14.25" hidden="1" customHeight="1" outlineLevel="1">
      <c r="A380" s="681"/>
      <c r="B380" s="299" t="s">
        <v>268</v>
      </c>
      <c r="C380" s="304" t="s">
        <v>597</v>
      </c>
      <c r="D380" s="685" t="s">
        <v>683</v>
      </c>
      <c r="E380" s="306" t="s">
        <v>684</v>
      </c>
      <c r="F380" s="307"/>
      <c r="G380" s="297" t="s">
        <v>597</v>
      </c>
      <c r="H380" s="308" t="str">
        <f>CONCATENATE("AR-",G380,"-",I380)</f>
        <v>AR-T2S-9</v>
      </c>
      <c r="I380" s="661">
        <v>9</v>
      </c>
      <c r="J380" s="234">
        <v>1</v>
      </c>
      <c r="L380" s="237"/>
      <c r="Q380" s="237"/>
    </row>
    <row r="381" spans="1:17" s="233" customFormat="1" ht="14.25" hidden="1" customHeight="1" outlineLevel="1">
      <c r="A381" s="681"/>
      <c r="B381" s="299"/>
      <c r="C381" s="304"/>
      <c r="D381" s="685"/>
      <c r="E381" s="306"/>
      <c r="F381" s="307"/>
      <c r="G381" s="297"/>
      <c r="H381" s="308"/>
      <c r="I381" s="661"/>
      <c r="J381" s="197"/>
      <c r="L381" s="237"/>
      <c r="Q381" s="237"/>
    </row>
    <row r="382" spans="1:17" s="233" customFormat="1" ht="3" customHeight="1">
      <c r="A382" s="681"/>
      <c r="B382" s="299"/>
      <c r="C382" s="304"/>
      <c r="D382" s="685"/>
      <c r="E382" s="306" t="s">
        <v>277</v>
      </c>
      <c r="F382" s="307"/>
      <c r="G382" s="297"/>
      <c r="H382" s="308"/>
      <c r="I382" s="661"/>
      <c r="J382" s="197"/>
      <c r="L382" s="237"/>
      <c r="Q382" s="237"/>
    </row>
    <row r="383" spans="1:17" s="252" customFormat="1" ht="14.25" customHeight="1" collapsed="1">
      <c r="A383" s="382" t="s">
        <v>685</v>
      </c>
      <c r="B383" s="675"/>
      <c r="C383" s="676"/>
      <c r="D383" s="677"/>
      <c r="E383" s="676" t="s">
        <v>277</v>
      </c>
      <c r="F383" s="307"/>
      <c r="G383" s="297"/>
      <c r="H383" s="308"/>
      <c r="I383" s="665"/>
      <c r="J383" s="197"/>
      <c r="L383" s="711"/>
      <c r="Q383" s="711"/>
    </row>
    <row r="384" spans="1:17" s="233" customFormat="1" ht="3" hidden="1" customHeight="1" outlineLevel="2">
      <c r="A384" s="678"/>
      <c r="B384" s="299"/>
      <c r="C384" s="304"/>
      <c r="D384" s="685"/>
      <c r="E384" s="306" t="s">
        <v>277</v>
      </c>
      <c r="F384" s="307"/>
      <c r="G384" s="297"/>
      <c r="H384" s="308"/>
      <c r="I384" s="661"/>
      <c r="J384" s="197"/>
      <c r="L384" s="237"/>
      <c r="Q384" s="237"/>
    </row>
    <row r="385" spans="1:17" s="233" customFormat="1" ht="14.25" hidden="1" customHeight="1" outlineLevel="2">
      <c r="A385" s="681"/>
      <c r="B385" s="299" t="s">
        <v>340</v>
      </c>
      <c r="C385" s="304"/>
      <c r="D385" s="685"/>
      <c r="E385" s="306" t="s">
        <v>277</v>
      </c>
      <c r="F385" s="307"/>
      <c r="G385" s="297"/>
      <c r="H385" s="308"/>
      <c r="I385" s="661"/>
      <c r="J385" s="197"/>
      <c r="L385" s="237"/>
      <c r="Q385" s="237"/>
    </row>
    <row r="386" spans="1:17" s="248" customFormat="1" ht="13.5" hidden="1" outlineLevel="2">
      <c r="B386" s="299" t="s">
        <v>268</v>
      </c>
      <c r="C386" s="304" t="s">
        <v>489</v>
      </c>
      <c r="D386" s="685" t="s">
        <v>270</v>
      </c>
      <c r="E386" s="306" t="s">
        <v>599</v>
      </c>
      <c r="F386" s="307"/>
      <c r="G386" s="297" t="s">
        <v>550</v>
      </c>
      <c r="H386" s="308" t="str">
        <f>CONCATENATE("AR-",G386,"-",I386)</f>
        <v>AR-TXV-1</v>
      </c>
      <c r="I386" s="661">
        <v>1</v>
      </c>
      <c r="J386" s="197">
        <v>1</v>
      </c>
      <c r="L386" s="709"/>
      <c r="Q386" s="709"/>
    </row>
    <row r="387" spans="1:17" s="248" customFormat="1" ht="3" hidden="1" customHeight="1" outlineLevel="2">
      <c r="B387" s="299"/>
      <c r="C387" s="304"/>
      <c r="D387" s="685"/>
      <c r="E387" s="306" t="s">
        <v>277</v>
      </c>
      <c r="F387" s="307"/>
      <c r="G387" s="297"/>
      <c r="H387" s="308"/>
      <c r="I387" s="661"/>
      <c r="J387" s="245"/>
      <c r="L387" s="709"/>
      <c r="Q387" s="709"/>
    </row>
    <row r="388" spans="1:17" s="248" customFormat="1" ht="15" hidden="1" customHeight="1" outlineLevel="2">
      <c r="B388" s="299" t="s">
        <v>343</v>
      </c>
      <c r="C388" s="304"/>
      <c r="D388" s="685"/>
      <c r="E388" s="306" t="s">
        <v>277</v>
      </c>
      <c r="F388" s="307"/>
      <c r="G388" s="297"/>
      <c r="H388" s="308"/>
      <c r="I388" s="661"/>
      <c r="J388" s="245"/>
      <c r="L388" s="709"/>
      <c r="Q388" s="709"/>
    </row>
    <row r="389" spans="1:17" s="248" customFormat="1" ht="13.5" hidden="1" outlineLevel="2">
      <c r="B389" s="299" t="s">
        <v>268</v>
      </c>
      <c r="C389" s="304" t="s">
        <v>487</v>
      </c>
      <c r="D389" s="685" t="s">
        <v>344</v>
      </c>
      <c r="E389" s="306" t="s">
        <v>488</v>
      </c>
      <c r="F389" s="307"/>
      <c r="G389" s="297" t="s">
        <v>550</v>
      </c>
      <c r="H389" s="308" t="str">
        <f>CONCATENATE("AR-",G389,"-",I389)</f>
        <v>AR-TXV-1</v>
      </c>
      <c r="I389" s="661">
        <v>1</v>
      </c>
      <c r="J389" s="197">
        <v>1</v>
      </c>
      <c r="L389" s="709"/>
      <c r="Q389" s="709"/>
    </row>
    <row r="390" spans="1:17" s="248" customFormat="1" ht="13.5" hidden="1" outlineLevel="2">
      <c r="B390" s="299" t="s">
        <v>268</v>
      </c>
      <c r="C390" s="304" t="s">
        <v>487</v>
      </c>
      <c r="D390" s="685" t="s">
        <v>346</v>
      </c>
      <c r="E390" s="306" t="s">
        <v>490</v>
      </c>
      <c r="F390" s="307"/>
      <c r="G390" s="297" t="s">
        <v>550</v>
      </c>
      <c r="H390" s="308" t="str">
        <f>CONCATENATE("AR-",G390,"-",I390)</f>
        <v>AR-TXV-1</v>
      </c>
      <c r="I390" s="661">
        <v>1</v>
      </c>
      <c r="J390" s="197">
        <v>1</v>
      </c>
      <c r="L390" s="709"/>
      <c r="Q390" s="709"/>
    </row>
    <row r="391" spans="1:17" s="248" customFormat="1" ht="3" hidden="1" customHeight="1" outlineLevel="2">
      <c r="B391" s="299"/>
      <c r="C391" s="304"/>
      <c r="D391" s="685"/>
      <c r="E391" s="306" t="s">
        <v>277</v>
      </c>
      <c r="F391" s="307"/>
      <c r="G391" s="297"/>
      <c r="H391" s="308"/>
      <c r="I391" s="661"/>
      <c r="J391" s="245"/>
      <c r="L391" s="709"/>
      <c r="Q391" s="709"/>
    </row>
    <row r="392" spans="1:17" s="248" customFormat="1" ht="15" hidden="1" customHeight="1" outlineLevel="2">
      <c r="B392" s="299" t="s">
        <v>686</v>
      </c>
      <c r="C392" s="304"/>
      <c r="D392" s="685"/>
      <c r="E392" s="306"/>
      <c r="F392" s="307"/>
      <c r="G392" s="297"/>
      <c r="H392" s="308"/>
      <c r="I392" s="661"/>
      <c r="J392" s="245"/>
      <c r="L392" s="709"/>
      <c r="Q392" s="709"/>
    </row>
    <row r="393" spans="1:17" s="248" customFormat="1" ht="13.5" hidden="1" outlineLevel="2">
      <c r="B393" s="299" t="s">
        <v>268</v>
      </c>
      <c r="C393" s="304" t="s">
        <v>687</v>
      </c>
      <c r="D393" s="685" t="s">
        <v>279</v>
      </c>
      <c r="E393" s="306" t="s">
        <v>491</v>
      </c>
      <c r="F393" s="307"/>
      <c r="G393" s="297" t="s">
        <v>550</v>
      </c>
      <c r="H393" s="308" t="str">
        <f t="shared" ref="H393:H407" si="25">CONCATENATE("AR-",G393,"-",I393)</f>
        <v>AR-TXV-4</v>
      </c>
      <c r="I393" s="661">
        <v>4</v>
      </c>
      <c r="J393" s="197">
        <v>1</v>
      </c>
      <c r="L393" s="709"/>
      <c r="Q393" s="709"/>
    </row>
    <row r="394" spans="1:17" s="248" customFormat="1" ht="13.5" hidden="1" outlineLevel="2">
      <c r="B394" s="299" t="s">
        <v>268</v>
      </c>
      <c r="C394" s="304" t="s">
        <v>687</v>
      </c>
      <c r="D394" s="685" t="s">
        <v>355</v>
      </c>
      <c r="E394" s="306" t="s">
        <v>492</v>
      </c>
      <c r="F394" s="307"/>
      <c r="G394" s="297" t="s">
        <v>550</v>
      </c>
      <c r="H394" s="308" t="str">
        <f t="shared" si="25"/>
        <v>AR-TXV-5</v>
      </c>
      <c r="I394" s="661">
        <v>5</v>
      </c>
      <c r="J394" s="197">
        <v>1</v>
      </c>
      <c r="L394" s="709"/>
      <c r="Q394" s="709"/>
    </row>
    <row r="395" spans="1:17" s="248" customFormat="1" ht="13.5" hidden="1" outlineLevel="2">
      <c r="B395" s="299" t="s">
        <v>268</v>
      </c>
      <c r="C395" s="304" t="s">
        <v>687</v>
      </c>
      <c r="D395" s="685" t="s">
        <v>357</v>
      </c>
      <c r="E395" s="306" t="s">
        <v>688</v>
      </c>
      <c r="F395" s="307"/>
      <c r="G395" s="297" t="s">
        <v>550</v>
      </c>
      <c r="H395" s="308" t="str">
        <f t="shared" si="25"/>
        <v>AR-TXV-6</v>
      </c>
      <c r="I395" s="661">
        <v>6</v>
      </c>
      <c r="J395" s="197">
        <v>1</v>
      </c>
      <c r="L395" s="709"/>
      <c r="Q395" s="709"/>
    </row>
    <row r="396" spans="1:17" s="248" customFormat="1" ht="13.5" hidden="1" outlineLevel="2">
      <c r="B396" s="299" t="s">
        <v>268</v>
      </c>
      <c r="C396" s="304" t="s">
        <v>687</v>
      </c>
      <c r="D396" s="685" t="s">
        <v>359</v>
      </c>
      <c r="E396" s="306" t="s">
        <v>494</v>
      </c>
      <c r="F396" s="307"/>
      <c r="G396" s="297" t="s">
        <v>550</v>
      </c>
      <c r="H396" s="308" t="str">
        <f t="shared" si="25"/>
        <v>AR-TXV-5</v>
      </c>
      <c r="I396" s="661">
        <v>5</v>
      </c>
      <c r="J396" s="197">
        <v>1</v>
      </c>
      <c r="L396" s="709"/>
      <c r="Q396" s="709"/>
    </row>
    <row r="397" spans="1:17" s="248" customFormat="1" ht="13.5" hidden="1" outlineLevel="2">
      <c r="B397" s="299" t="s">
        <v>268</v>
      </c>
      <c r="C397" s="304" t="s">
        <v>687</v>
      </c>
      <c r="D397" s="685" t="s">
        <v>361</v>
      </c>
      <c r="E397" s="306" t="s">
        <v>495</v>
      </c>
      <c r="F397" s="307"/>
      <c r="G397" s="297" t="s">
        <v>550</v>
      </c>
      <c r="H397" s="308" t="str">
        <f t="shared" si="25"/>
        <v>AR-TXV-6</v>
      </c>
      <c r="I397" s="661">
        <v>6</v>
      </c>
      <c r="J397" s="197">
        <v>1</v>
      </c>
      <c r="L397" s="709"/>
      <c r="Q397" s="709"/>
    </row>
    <row r="398" spans="1:17" s="248" customFormat="1" ht="13.5" hidden="1" outlineLevel="2">
      <c r="B398" s="299" t="s">
        <v>268</v>
      </c>
      <c r="C398" s="304" t="s">
        <v>687</v>
      </c>
      <c r="D398" s="685" t="s">
        <v>496</v>
      </c>
      <c r="E398" s="306" t="s">
        <v>497</v>
      </c>
      <c r="F398" s="307"/>
      <c r="G398" s="297" t="s">
        <v>550</v>
      </c>
      <c r="H398" s="308" t="str">
        <f t="shared" si="25"/>
        <v>AR-TXV-5</v>
      </c>
      <c r="I398" s="661">
        <v>5</v>
      </c>
      <c r="J398" s="197">
        <v>1</v>
      </c>
      <c r="L398" s="709"/>
      <c r="Q398" s="709"/>
    </row>
    <row r="399" spans="1:17" s="248" customFormat="1" ht="13.5" hidden="1" outlineLevel="2">
      <c r="B399" s="299" t="s">
        <v>268</v>
      </c>
      <c r="C399" s="304" t="s">
        <v>687</v>
      </c>
      <c r="D399" s="685" t="s">
        <v>498</v>
      </c>
      <c r="E399" s="306" t="s">
        <v>499</v>
      </c>
      <c r="F399" s="307"/>
      <c r="G399" s="297" t="s">
        <v>550</v>
      </c>
      <c r="H399" s="308" t="str">
        <f t="shared" si="25"/>
        <v>AR-TXV-6</v>
      </c>
      <c r="I399" s="661">
        <v>6</v>
      </c>
      <c r="J399" s="197">
        <v>1</v>
      </c>
      <c r="L399" s="709"/>
      <c r="Q399" s="709"/>
    </row>
    <row r="400" spans="1:17" s="248" customFormat="1" ht="13.5" hidden="1" outlineLevel="2">
      <c r="B400" s="299" t="s">
        <v>268</v>
      </c>
      <c r="C400" s="304" t="s">
        <v>687</v>
      </c>
      <c r="D400" s="685" t="s">
        <v>500</v>
      </c>
      <c r="E400" s="306" t="s">
        <v>501</v>
      </c>
      <c r="F400" s="307"/>
      <c r="G400" s="297" t="s">
        <v>550</v>
      </c>
      <c r="H400" s="308" t="str">
        <f t="shared" si="25"/>
        <v>AR-TXV-5</v>
      </c>
      <c r="I400" s="661">
        <v>5</v>
      </c>
      <c r="J400" s="197">
        <v>1</v>
      </c>
      <c r="L400" s="709"/>
      <c r="Q400" s="709"/>
    </row>
    <row r="401" spans="2:17" s="248" customFormat="1" ht="13.5" hidden="1" outlineLevel="2">
      <c r="B401" s="299" t="s">
        <v>268</v>
      </c>
      <c r="C401" s="304" t="s">
        <v>687</v>
      </c>
      <c r="D401" s="685" t="s">
        <v>502</v>
      </c>
      <c r="E401" s="306" t="s">
        <v>503</v>
      </c>
      <c r="F401" s="307"/>
      <c r="G401" s="297" t="s">
        <v>550</v>
      </c>
      <c r="H401" s="308" t="str">
        <f t="shared" si="25"/>
        <v>AR-TXV-6</v>
      </c>
      <c r="I401" s="661">
        <v>6</v>
      </c>
      <c r="J401" s="197">
        <v>1</v>
      </c>
      <c r="L401" s="709"/>
      <c r="Q401" s="709"/>
    </row>
    <row r="402" spans="2:17" s="248" customFormat="1" ht="13.5" hidden="1" outlineLevel="2">
      <c r="B402" s="299" t="s">
        <v>268</v>
      </c>
      <c r="C402" s="304" t="s">
        <v>687</v>
      </c>
      <c r="D402" s="685" t="s">
        <v>504</v>
      </c>
      <c r="E402" s="306" t="s">
        <v>505</v>
      </c>
      <c r="F402" s="307"/>
      <c r="G402" s="297" t="s">
        <v>550</v>
      </c>
      <c r="H402" s="308" t="str">
        <f t="shared" si="25"/>
        <v>AR-TXV-5</v>
      </c>
      <c r="I402" s="661">
        <v>5</v>
      </c>
      <c r="J402" s="197">
        <v>1</v>
      </c>
      <c r="L402" s="709"/>
      <c r="Q402" s="709"/>
    </row>
    <row r="403" spans="2:17" s="248" customFormat="1" ht="13.5" hidden="1" outlineLevel="2">
      <c r="B403" s="299" t="s">
        <v>268</v>
      </c>
      <c r="C403" s="304" t="s">
        <v>687</v>
      </c>
      <c r="D403" s="685" t="s">
        <v>506</v>
      </c>
      <c r="E403" s="306" t="s">
        <v>507</v>
      </c>
      <c r="F403" s="307"/>
      <c r="G403" s="297" t="s">
        <v>550</v>
      </c>
      <c r="H403" s="308" t="str">
        <f t="shared" si="25"/>
        <v>AR-TXV-6</v>
      </c>
      <c r="I403" s="661">
        <v>6</v>
      </c>
      <c r="J403" s="197">
        <v>1</v>
      </c>
      <c r="L403" s="709"/>
      <c r="Q403" s="709"/>
    </row>
    <row r="404" spans="2:17" s="248" customFormat="1" ht="13.5" hidden="1" outlineLevel="2">
      <c r="B404" s="299" t="s">
        <v>268</v>
      </c>
      <c r="C404" s="304" t="s">
        <v>687</v>
      </c>
      <c r="D404" s="685" t="s">
        <v>363</v>
      </c>
      <c r="E404" s="306" t="s">
        <v>689</v>
      </c>
      <c r="F404" s="307"/>
      <c r="G404" s="297" t="s">
        <v>550</v>
      </c>
      <c r="H404" s="308" t="str">
        <f t="shared" si="25"/>
        <v>AR-TXV-6</v>
      </c>
      <c r="I404" s="661">
        <v>6</v>
      </c>
      <c r="J404" s="197">
        <v>1</v>
      </c>
      <c r="L404" s="709"/>
      <c r="Q404" s="709"/>
    </row>
    <row r="405" spans="2:17" s="248" customFormat="1" ht="13.5" hidden="1" outlineLevel="2">
      <c r="B405" s="299" t="s">
        <v>268</v>
      </c>
      <c r="C405" s="304" t="s">
        <v>687</v>
      </c>
      <c r="D405" s="685" t="s">
        <v>365</v>
      </c>
      <c r="E405" s="306" t="s">
        <v>690</v>
      </c>
      <c r="F405" s="307"/>
      <c r="G405" s="297" t="s">
        <v>550</v>
      </c>
      <c r="H405" s="308" t="str">
        <f t="shared" si="25"/>
        <v>AR-TXV-8</v>
      </c>
      <c r="I405" s="661">
        <v>8</v>
      </c>
      <c r="J405" s="197">
        <v>1</v>
      </c>
      <c r="L405" s="709"/>
      <c r="Q405" s="709"/>
    </row>
    <row r="406" spans="2:17" s="248" customFormat="1" ht="13.5" hidden="1" outlineLevel="2">
      <c r="B406" s="299" t="s">
        <v>268</v>
      </c>
      <c r="C406" s="304" t="s">
        <v>687</v>
      </c>
      <c r="D406" s="685" t="s">
        <v>367</v>
      </c>
      <c r="E406" s="306" t="s">
        <v>691</v>
      </c>
      <c r="F406" s="307"/>
      <c r="G406" s="297" t="s">
        <v>550</v>
      </c>
      <c r="H406" s="308" t="str">
        <f t="shared" si="25"/>
        <v>AR-TXV-9</v>
      </c>
      <c r="I406" s="661">
        <v>9</v>
      </c>
      <c r="J406" s="197">
        <v>1</v>
      </c>
      <c r="L406" s="709"/>
      <c r="Q406" s="709"/>
    </row>
    <row r="407" spans="2:17" s="248" customFormat="1" ht="13.5" hidden="1" outlineLevel="2">
      <c r="B407" s="299" t="s">
        <v>268</v>
      </c>
      <c r="C407" s="304" t="s">
        <v>692</v>
      </c>
      <c r="D407" s="685" t="s">
        <v>279</v>
      </c>
      <c r="E407" s="306" t="s">
        <v>512</v>
      </c>
      <c r="F407" s="307"/>
      <c r="G407" s="297" t="s">
        <v>550</v>
      </c>
      <c r="H407" s="308" t="str">
        <f t="shared" si="25"/>
        <v>AR-TXV-1</v>
      </c>
      <c r="I407" s="661">
        <v>1</v>
      </c>
      <c r="J407" s="197">
        <v>1</v>
      </c>
      <c r="L407" s="709"/>
      <c r="Q407" s="709"/>
    </row>
    <row r="408" spans="2:17" s="248" customFormat="1" ht="3" hidden="1" customHeight="1" outlineLevel="2">
      <c r="B408" s="299"/>
      <c r="C408" s="304"/>
      <c r="D408" s="685"/>
      <c r="E408" s="306" t="s">
        <v>277</v>
      </c>
      <c r="F408" s="307"/>
      <c r="G408" s="297"/>
      <c r="H408" s="308"/>
      <c r="I408" s="661"/>
      <c r="J408" s="245"/>
      <c r="L408" s="709"/>
      <c r="Q408" s="709"/>
    </row>
    <row r="409" spans="2:17" s="248" customFormat="1" ht="15" hidden="1" customHeight="1" outlineLevel="2">
      <c r="B409" s="299" t="s">
        <v>371</v>
      </c>
      <c r="C409" s="304"/>
      <c r="D409" s="685"/>
      <c r="E409" s="306"/>
      <c r="F409" s="307"/>
      <c r="G409" s="297"/>
      <c r="H409" s="308"/>
      <c r="I409" s="661"/>
      <c r="J409" s="245"/>
      <c r="L409" s="709"/>
      <c r="Q409" s="709"/>
    </row>
    <row r="410" spans="2:17" s="248" customFormat="1" ht="15" hidden="1" customHeight="1" outlineLevel="2">
      <c r="B410" s="299" t="s">
        <v>268</v>
      </c>
      <c r="C410" s="304" t="s">
        <v>693</v>
      </c>
      <c r="D410" s="685" t="s">
        <v>374</v>
      </c>
      <c r="E410" s="306" t="s">
        <v>514</v>
      </c>
      <c r="F410" s="307"/>
      <c r="G410" s="297" t="s">
        <v>550</v>
      </c>
      <c r="H410" s="308" t="str">
        <f t="shared" ref="H410:H420" si="26">CONCATENATE("AR-",G410,"-",I410)</f>
        <v>AR-TXV-3</v>
      </c>
      <c r="I410" s="661">
        <v>3</v>
      </c>
      <c r="J410" s="197">
        <v>1</v>
      </c>
      <c r="L410" s="709"/>
      <c r="Q410" s="709"/>
    </row>
    <row r="411" spans="2:17" s="248" customFormat="1" ht="15" hidden="1" customHeight="1" outlineLevel="2">
      <c r="B411" s="299" t="s">
        <v>268</v>
      </c>
      <c r="C411" s="304" t="s">
        <v>693</v>
      </c>
      <c r="D411" s="685" t="s">
        <v>376</v>
      </c>
      <c r="E411" s="306" t="s">
        <v>515</v>
      </c>
      <c r="F411" s="307"/>
      <c r="G411" s="297" t="s">
        <v>550</v>
      </c>
      <c r="H411" s="308" t="str">
        <f t="shared" si="26"/>
        <v>AR-TXV-3</v>
      </c>
      <c r="I411" s="661">
        <v>3</v>
      </c>
      <c r="J411" s="197">
        <v>1</v>
      </c>
      <c r="L411" s="709"/>
      <c r="Q411" s="709"/>
    </row>
    <row r="412" spans="2:17" s="248" customFormat="1" ht="15" hidden="1" customHeight="1" outlineLevel="2">
      <c r="B412" s="299" t="s">
        <v>268</v>
      </c>
      <c r="C412" s="304" t="s">
        <v>687</v>
      </c>
      <c r="D412" s="685" t="s">
        <v>374</v>
      </c>
      <c r="E412" s="306" t="s">
        <v>516</v>
      </c>
      <c r="F412" s="307"/>
      <c r="G412" s="297" t="s">
        <v>550</v>
      </c>
      <c r="H412" s="308" t="str">
        <f t="shared" si="26"/>
        <v>AR-TXV-7</v>
      </c>
      <c r="I412" s="661">
        <v>7</v>
      </c>
      <c r="J412" s="197">
        <v>1</v>
      </c>
      <c r="L412" s="709"/>
      <c r="Q412" s="709"/>
    </row>
    <row r="413" spans="2:17" s="248" customFormat="1" ht="15" hidden="1" customHeight="1" outlineLevel="2">
      <c r="B413" s="299" t="s">
        <v>268</v>
      </c>
      <c r="C413" s="304" t="s">
        <v>687</v>
      </c>
      <c r="D413" s="685" t="s">
        <v>376</v>
      </c>
      <c r="E413" s="306" t="s">
        <v>517</v>
      </c>
      <c r="F413" s="307"/>
      <c r="G413" s="297" t="s">
        <v>550</v>
      </c>
      <c r="H413" s="308" t="str">
        <f t="shared" si="26"/>
        <v>AR-TXV-7</v>
      </c>
      <c r="I413" s="661">
        <v>7</v>
      </c>
      <c r="J413" s="197">
        <v>1</v>
      </c>
      <c r="L413" s="709"/>
      <c r="Q413" s="709"/>
    </row>
    <row r="414" spans="2:17" s="248" customFormat="1" ht="15" hidden="1" customHeight="1" outlineLevel="2">
      <c r="B414" s="299" t="s">
        <v>268</v>
      </c>
      <c r="C414" s="304" t="s">
        <v>687</v>
      </c>
      <c r="D414" s="685" t="s">
        <v>380</v>
      </c>
      <c r="E414" s="306" t="s">
        <v>518</v>
      </c>
      <c r="F414" s="307"/>
      <c r="G414" s="297" t="s">
        <v>550</v>
      </c>
      <c r="H414" s="308" t="str">
        <f t="shared" si="26"/>
        <v>AR-TXV-7</v>
      </c>
      <c r="I414" s="661">
        <v>7</v>
      </c>
      <c r="J414" s="197">
        <v>1</v>
      </c>
      <c r="L414" s="709"/>
      <c r="Q414" s="709"/>
    </row>
    <row r="415" spans="2:17" s="248" customFormat="1" ht="15" hidden="1" customHeight="1" outlineLevel="2">
      <c r="B415" s="299" t="s">
        <v>268</v>
      </c>
      <c r="C415" s="304" t="s">
        <v>687</v>
      </c>
      <c r="D415" s="685" t="s">
        <v>382</v>
      </c>
      <c r="E415" s="306" t="s">
        <v>519</v>
      </c>
      <c r="F415" s="307"/>
      <c r="G415" s="297" t="s">
        <v>550</v>
      </c>
      <c r="H415" s="308" t="str">
        <f t="shared" si="26"/>
        <v>AR-TXV-7</v>
      </c>
      <c r="I415" s="661">
        <v>7</v>
      </c>
      <c r="J415" s="197">
        <v>1</v>
      </c>
      <c r="L415" s="709"/>
      <c r="Q415" s="709"/>
    </row>
    <row r="416" spans="2:17" s="248" customFormat="1" ht="15" hidden="1" customHeight="1" outlineLevel="2">
      <c r="B416" s="299" t="s">
        <v>268</v>
      </c>
      <c r="C416" s="304" t="s">
        <v>687</v>
      </c>
      <c r="D416" s="685" t="s">
        <v>520</v>
      </c>
      <c r="E416" s="306" t="s">
        <v>521</v>
      </c>
      <c r="F416" s="307"/>
      <c r="G416" s="297" t="s">
        <v>550</v>
      </c>
      <c r="H416" s="308" t="str">
        <f t="shared" si="26"/>
        <v>AR-TXV-7</v>
      </c>
      <c r="I416" s="661">
        <v>7</v>
      </c>
      <c r="J416" s="197">
        <v>1</v>
      </c>
      <c r="L416" s="709"/>
      <c r="Q416" s="709"/>
    </row>
    <row r="417" spans="2:19" s="248" customFormat="1" ht="15" hidden="1" customHeight="1" outlineLevel="2">
      <c r="B417" s="299" t="s">
        <v>268</v>
      </c>
      <c r="C417" s="304" t="s">
        <v>687</v>
      </c>
      <c r="D417" s="685" t="s">
        <v>522</v>
      </c>
      <c r="E417" s="306" t="s">
        <v>523</v>
      </c>
      <c r="F417" s="307"/>
      <c r="G417" s="297" t="s">
        <v>550</v>
      </c>
      <c r="H417" s="308" t="str">
        <f t="shared" si="26"/>
        <v>AR-TXV-7</v>
      </c>
      <c r="I417" s="661">
        <v>7</v>
      </c>
      <c r="J417" s="197">
        <v>1</v>
      </c>
      <c r="L417" s="709"/>
      <c r="Q417" s="709"/>
    </row>
    <row r="418" spans="2:19" s="248" customFormat="1" ht="15" hidden="1" customHeight="1" outlineLevel="2">
      <c r="B418" s="299" t="s">
        <v>268</v>
      </c>
      <c r="C418" s="304" t="s">
        <v>687</v>
      </c>
      <c r="D418" s="685" t="s">
        <v>524</v>
      </c>
      <c r="E418" s="306" t="s">
        <v>525</v>
      </c>
      <c r="F418" s="307"/>
      <c r="G418" s="297" t="s">
        <v>550</v>
      </c>
      <c r="H418" s="308" t="str">
        <f t="shared" si="26"/>
        <v>AR-TXV-7</v>
      </c>
      <c r="I418" s="661">
        <v>7</v>
      </c>
      <c r="J418" s="197">
        <v>1</v>
      </c>
      <c r="L418" s="709"/>
      <c r="Q418" s="709"/>
    </row>
    <row r="419" spans="2:19" s="248" customFormat="1" ht="15" hidden="1" customHeight="1" outlineLevel="2">
      <c r="B419" s="299" t="s">
        <v>268</v>
      </c>
      <c r="C419" s="304" t="s">
        <v>687</v>
      </c>
      <c r="D419" s="685" t="s">
        <v>694</v>
      </c>
      <c r="E419" s="306" t="s">
        <v>695</v>
      </c>
      <c r="F419" s="307"/>
      <c r="G419" s="297" t="s">
        <v>550</v>
      </c>
      <c r="H419" s="308" t="str">
        <f t="shared" si="26"/>
        <v>AR-TXV-10</v>
      </c>
      <c r="I419" s="661">
        <v>10</v>
      </c>
      <c r="J419" s="234">
        <v>1</v>
      </c>
      <c r="L419" s="709"/>
      <c r="Q419" s="709"/>
    </row>
    <row r="420" spans="2:19" s="248" customFormat="1" ht="15" hidden="1" customHeight="1" outlineLevel="2">
      <c r="B420" s="299" t="s">
        <v>268</v>
      </c>
      <c r="C420" s="304" t="s">
        <v>687</v>
      </c>
      <c r="D420" s="685" t="s">
        <v>696</v>
      </c>
      <c r="E420" s="306" t="s">
        <v>697</v>
      </c>
      <c r="F420" s="307"/>
      <c r="G420" s="297" t="s">
        <v>550</v>
      </c>
      <c r="H420" s="308" t="str">
        <f t="shared" si="26"/>
        <v>AR-TXV-10</v>
      </c>
      <c r="I420" s="661">
        <v>10</v>
      </c>
      <c r="J420" s="234">
        <v>1</v>
      </c>
      <c r="L420" s="709"/>
      <c r="Q420" s="709"/>
    </row>
    <row r="421" spans="2:19" s="248" customFormat="1" ht="3" hidden="1" customHeight="1" outlineLevel="2">
      <c r="B421" s="299"/>
      <c r="C421" s="304"/>
      <c r="D421" s="685"/>
      <c r="E421" s="306" t="s">
        <v>277</v>
      </c>
      <c r="F421" s="307"/>
      <c r="G421" s="297"/>
      <c r="H421" s="308"/>
      <c r="I421" s="661"/>
      <c r="J421" s="245"/>
      <c r="L421" s="709"/>
      <c r="Q421" s="709"/>
    </row>
    <row r="422" spans="2:19" s="248" customFormat="1" ht="15" hidden="1" customHeight="1" outlineLevel="2">
      <c r="B422" s="299" t="s">
        <v>698</v>
      </c>
      <c r="C422" s="304"/>
      <c r="D422" s="685"/>
      <c r="E422" s="306"/>
      <c r="F422" s="307"/>
      <c r="G422" s="297"/>
      <c r="H422" s="308"/>
      <c r="I422" s="661"/>
      <c r="J422" s="245"/>
      <c r="L422" s="709"/>
      <c r="Q422" s="709"/>
    </row>
    <row r="423" spans="2:19" s="248" customFormat="1" ht="15" hidden="1" customHeight="1" outlineLevel="2">
      <c r="B423" s="299" t="s">
        <v>268</v>
      </c>
      <c r="C423" s="304" t="s">
        <v>693</v>
      </c>
      <c r="D423" s="685" t="s">
        <v>699</v>
      </c>
      <c r="E423" s="306" t="s">
        <v>700</v>
      </c>
      <c r="F423" s="307"/>
      <c r="G423" s="297" t="s">
        <v>550</v>
      </c>
      <c r="H423" s="308" t="str">
        <f>CONCATENATE("AR-",G423,"-",I423)</f>
        <v>AR-TXV-3</v>
      </c>
      <c r="I423" s="661">
        <v>3</v>
      </c>
      <c r="J423" s="234">
        <v>1</v>
      </c>
      <c r="L423" s="709"/>
      <c r="Q423" s="709"/>
    </row>
    <row r="424" spans="2:19" s="248" customFormat="1" ht="15" hidden="1" customHeight="1" outlineLevel="2">
      <c r="B424" s="299" t="s">
        <v>268</v>
      </c>
      <c r="C424" s="304" t="s">
        <v>687</v>
      </c>
      <c r="D424" s="685" t="s">
        <v>701</v>
      </c>
      <c r="E424" s="306" t="s">
        <v>702</v>
      </c>
      <c r="F424" s="307"/>
      <c r="G424" s="297" t="s">
        <v>550</v>
      </c>
      <c r="H424" s="308" t="str">
        <f>CONCATENATE("AR-",G424,"-",I424)</f>
        <v>AR-TXV-7</v>
      </c>
      <c r="I424" s="661">
        <v>7</v>
      </c>
      <c r="J424" s="234">
        <v>1</v>
      </c>
      <c r="L424" s="709"/>
      <c r="Q424" s="709"/>
    </row>
    <row r="425" spans="2:19" s="248" customFormat="1" ht="3" hidden="1" customHeight="1" outlineLevel="2">
      <c r="B425" s="299"/>
      <c r="C425" s="304"/>
      <c r="D425" s="685"/>
      <c r="E425" s="306" t="s">
        <v>277</v>
      </c>
      <c r="F425" s="307"/>
      <c r="G425" s="297"/>
      <c r="H425" s="308"/>
      <c r="I425" s="661"/>
      <c r="J425" s="245"/>
      <c r="L425" s="709"/>
      <c r="Q425" s="709"/>
    </row>
    <row r="426" spans="2:19" s="248" customFormat="1" ht="15" hidden="1" customHeight="1" outlineLevel="2">
      <c r="B426" s="299" t="s">
        <v>386</v>
      </c>
      <c r="C426" s="304"/>
      <c r="D426" s="685"/>
      <c r="E426" s="306"/>
      <c r="F426" s="307"/>
      <c r="G426" s="297"/>
      <c r="H426" s="308"/>
      <c r="I426" s="661"/>
      <c r="J426" s="245"/>
      <c r="L426" s="709"/>
      <c r="Q426" s="709"/>
    </row>
    <row r="427" spans="2:19" s="248" customFormat="1" ht="15" hidden="1" customHeight="1" outlineLevel="2">
      <c r="B427" s="299" t="s">
        <v>268</v>
      </c>
      <c r="C427" s="304" t="s">
        <v>687</v>
      </c>
      <c r="D427" s="685" t="s">
        <v>283</v>
      </c>
      <c r="E427" s="306" t="s">
        <v>530</v>
      </c>
      <c r="F427" s="307"/>
      <c r="G427" s="297" t="s">
        <v>550</v>
      </c>
      <c r="H427" s="308" t="str">
        <f t="shared" ref="H427:H440" si="27">CONCATENATE("AR-",G427,"-",I427)</f>
        <v>AR-TXV-2</v>
      </c>
      <c r="I427" s="661">
        <v>2</v>
      </c>
      <c r="J427" s="197">
        <v>1</v>
      </c>
      <c r="L427" s="709"/>
      <c r="Q427" s="709"/>
    </row>
    <row r="428" spans="2:19" s="248" customFormat="1" ht="15" hidden="1" customHeight="1" outlineLevel="2">
      <c r="B428" s="299" t="s">
        <v>268</v>
      </c>
      <c r="C428" s="304" t="s">
        <v>687</v>
      </c>
      <c r="D428" s="685" t="s">
        <v>390</v>
      </c>
      <c r="E428" s="306" t="s">
        <v>530</v>
      </c>
      <c r="F428" s="307"/>
      <c r="G428" s="297" t="s">
        <v>550</v>
      </c>
      <c r="H428" s="308" t="str">
        <f t="shared" si="27"/>
        <v>AR-TXV-2</v>
      </c>
      <c r="I428" s="661">
        <v>2</v>
      </c>
      <c r="J428" s="197">
        <v>1</v>
      </c>
      <c r="L428" s="709"/>
      <c r="Q428" s="709"/>
    </row>
    <row r="429" spans="2:19" s="248" customFormat="1" ht="15" hidden="1" customHeight="1" outlineLevel="2">
      <c r="B429" s="299" t="s">
        <v>268</v>
      </c>
      <c r="C429" s="304" t="s">
        <v>687</v>
      </c>
      <c r="D429" s="685" t="s">
        <v>392</v>
      </c>
      <c r="E429" s="306" t="s">
        <v>530</v>
      </c>
      <c r="F429" s="307"/>
      <c r="G429" s="297" t="s">
        <v>550</v>
      </c>
      <c r="H429" s="308" t="str">
        <f t="shared" si="27"/>
        <v>AR-TXV-2</v>
      </c>
      <c r="I429" s="661">
        <v>2</v>
      </c>
      <c r="J429" s="197">
        <v>1</v>
      </c>
      <c r="L429" s="709"/>
      <c r="Q429" s="709"/>
    </row>
    <row r="430" spans="2:19" s="248" customFormat="1" ht="15" hidden="1" customHeight="1" outlineLevel="2">
      <c r="B430" s="299" t="s">
        <v>268</v>
      </c>
      <c r="C430" s="304" t="s">
        <v>703</v>
      </c>
      <c r="D430" s="685">
        <v>1404</v>
      </c>
      <c r="E430" s="306" t="s">
        <v>704</v>
      </c>
      <c r="F430" s="307"/>
      <c r="G430" s="297" t="s">
        <v>550</v>
      </c>
      <c r="H430" s="308" t="str">
        <f t="shared" ref="H430:H432" si="28">CONCATENATE("AR-",G430,"-",I430)</f>
        <v>AR-TXV-5</v>
      </c>
      <c r="I430" s="661">
        <v>5</v>
      </c>
      <c r="J430" s="197">
        <v>1</v>
      </c>
      <c r="L430" s="709"/>
      <c r="Q430" s="709"/>
    </row>
    <row r="431" spans="2:19" s="248" customFormat="1" ht="15" hidden="1" customHeight="1" outlineLevel="2">
      <c r="B431" s="299" t="s">
        <v>268</v>
      </c>
      <c r="C431" s="304" t="s">
        <v>703</v>
      </c>
      <c r="D431" s="685">
        <v>1405</v>
      </c>
      <c r="E431" s="306" t="s">
        <v>705</v>
      </c>
      <c r="F431" s="307"/>
      <c r="G431" s="297" t="s">
        <v>550</v>
      </c>
      <c r="H431" s="308" t="str">
        <f t="shared" si="28"/>
        <v>AR-TXV-6</v>
      </c>
      <c r="I431" s="661">
        <v>6</v>
      </c>
      <c r="J431" s="197">
        <v>1</v>
      </c>
      <c r="L431" s="709"/>
      <c r="Q431" s="709"/>
    </row>
    <row r="432" spans="2:19" s="248" customFormat="1" ht="15" hidden="1" customHeight="1" outlineLevel="2">
      <c r="B432" s="299" t="s">
        <v>268</v>
      </c>
      <c r="C432" s="304" t="s">
        <v>703</v>
      </c>
      <c r="D432" s="685">
        <v>1406</v>
      </c>
      <c r="E432" s="306" t="s">
        <v>706</v>
      </c>
      <c r="F432" s="307"/>
      <c r="G432" s="297" t="s">
        <v>550</v>
      </c>
      <c r="H432" s="308" t="str">
        <f t="shared" si="28"/>
        <v>AR-TXV-5</v>
      </c>
      <c r="I432" s="661">
        <v>5</v>
      </c>
      <c r="J432" s="197">
        <v>1</v>
      </c>
      <c r="L432" s="709"/>
      <c r="Q432" s="709"/>
    </row>
    <row r="433" spans="2:19" s="248" customFormat="1" ht="15" hidden="1" customHeight="1" outlineLevel="2">
      <c r="B433" s="299" t="s">
        <v>268</v>
      </c>
      <c r="C433" s="304" t="s">
        <v>687</v>
      </c>
      <c r="D433" s="685" t="s">
        <v>394</v>
      </c>
      <c r="E433" s="306" t="s">
        <v>533</v>
      </c>
      <c r="F433" s="307"/>
      <c r="G433" s="297" t="s">
        <v>550</v>
      </c>
      <c r="H433" s="308" t="str">
        <f t="shared" si="27"/>
        <v>AR-TXV-4</v>
      </c>
      <c r="I433" s="661">
        <v>4</v>
      </c>
      <c r="J433" s="197">
        <v>1</v>
      </c>
      <c r="L433" s="709"/>
      <c r="Q433" s="709"/>
    </row>
    <row r="434" spans="2:19" s="248" customFormat="1" ht="15" hidden="1" customHeight="1" outlineLevel="2">
      <c r="B434" s="299" t="s">
        <v>268</v>
      </c>
      <c r="C434" s="304" t="s">
        <v>687</v>
      </c>
      <c r="D434" s="685" t="s">
        <v>396</v>
      </c>
      <c r="E434" s="306" t="s">
        <v>534</v>
      </c>
      <c r="F434" s="307"/>
      <c r="G434" s="297" t="s">
        <v>550</v>
      </c>
      <c r="H434" s="308" t="str">
        <f t="shared" si="27"/>
        <v>AR-TXV-4</v>
      </c>
      <c r="I434" s="661">
        <v>4</v>
      </c>
      <c r="J434" s="197">
        <v>1</v>
      </c>
      <c r="L434" s="709"/>
      <c r="Q434" s="709"/>
    </row>
    <row r="435" spans="2:19" s="248" customFormat="1" ht="15" hidden="1" customHeight="1" outlineLevel="2">
      <c r="B435" s="299" t="s">
        <v>268</v>
      </c>
      <c r="C435" s="304" t="s">
        <v>687</v>
      </c>
      <c r="D435" s="685" t="s">
        <v>535</v>
      </c>
      <c r="E435" s="306" t="s">
        <v>536</v>
      </c>
      <c r="F435" s="307"/>
      <c r="G435" s="297" t="s">
        <v>550</v>
      </c>
      <c r="H435" s="308" t="str">
        <f t="shared" si="27"/>
        <v>AR-TXV-7</v>
      </c>
      <c r="I435" s="661">
        <v>7</v>
      </c>
      <c r="J435" s="197">
        <v>1</v>
      </c>
      <c r="L435" s="709"/>
      <c r="Q435" s="709"/>
    </row>
    <row r="436" spans="2:19" s="248" customFormat="1" ht="15" hidden="1" customHeight="1" outlineLevel="2">
      <c r="B436" s="299" t="s">
        <v>268</v>
      </c>
      <c r="C436" s="304" t="s">
        <v>687</v>
      </c>
      <c r="D436" s="685" t="s">
        <v>537</v>
      </c>
      <c r="E436" s="306" t="s">
        <v>538</v>
      </c>
      <c r="F436" s="307"/>
      <c r="G436" s="297" t="s">
        <v>550</v>
      </c>
      <c r="H436" s="308" t="str">
        <f t="shared" si="27"/>
        <v>AR-TXV-7</v>
      </c>
      <c r="I436" s="661">
        <v>7</v>
      </c>
      <c r="J436" s="197">
        <v>1</v>
      </c>
      <c r="L436" s="709"/>
      <c r="Q436" s="709"/>
    </row>
    <row r="437" spans="2:19" s="248" customFormat="1" ht="15" hidden="1" customHeight="1" outlineLevel="2">
      <c r="B437" s="299" t="s">
        <v>268</v>
      </c>
      <c r="C437" s="304" t="s">
        <v>687</v>
      </c>
      <c r="D437" s="685" t="s">
        <v>539</v>
      </c>
      <c r="E437" s="306" t="s">
        <v>540</v>
      </c>
      <c r="F437" s="307"/>
      <c r="G437" s="297" t="s">
        <v>550</v>
      </c>
      <c r="H437" s="308" t="str">
        <f t="shared" si="27"/>
        <v>AR-TXV-5</v>
      </c>
      <c r="I437" s="661">
        <v>5</v>
      </c>
      <c r="J437" s="197">
        <v>1</v>
      </c>
      <c r="L437" s="709"/>
      <c r="Q437" s="709"/>
    </row>
    <row r="438" spans="2:19" s="248" customFormat="1" ht="15" hidden="1" customHeight="1" outlineLevel="2">
      <c r="B438" s="299" t="s">
        <v>268</v>
      </c>
      <c r="C438" s="304" t="s">
        <v>687</v>
      </c>
      <c r="D438" s="685" t="s">
        <v>541</v>
      </c>
      <c r="E438" s="306" t="s">
        <v>542</v>
      </c>
      <c r="F438" s="307"/>
      <c r="G438" s="297" t="s">
        <v>550</v>
      </c>
      <c r="H438" s="308" t="str">
        <f t="shared" si="27"/>
        <v>AR-TXV-7</v>
      </c>
      <c r="I438" s="661">
        <v>7</v>
      </c>
      <c r="J438" s="197">
        <v>1</v>
      </c>
      <c r="L438" s="709"/>
      <c r="Q438" s="709"/>
    </row>
    <row r="439" spans="2:19" s="248" customFormat="1" ht="15" hidden="1" customHeight="1" outlineLevel="2">
      <c r="B439" s="299" t="s">
        <v>268</v>
      </c>
      <c r="C439" s="304" t="s">
        <v>687</v>
      </c>
      <c r="D439" s="685" t="s">
        <v>707</v>
      </c>
      <c r="E439" s="306" t="s">
        <v>708</v>
      </c>
      <c r="F439" s="307"/>
      <c r="G439" s="297" t="s">
        <v>550</v>
      </c>
      <c r="H439" s="308" t="str">
        <f t="shared" si="27"/>
        <v>AR-TXV-8</v>
      </c>
      <c r="I439" s="661">
        <v>8</v>
      </c>
      <c r="J439" s="234">
        <v>1</v>
      </c>
      <c r="L439" s="709"/>
      <c r="Q439" s="709"/>
    </row>
    <row r="440" spans="2:19" s="248" customFormat="1" ht="15" hidden="1" customHeight="1" outlineLevel="2">
      <c r="B440" s="299" t="s">
        <v>268</v>
      </c>
      <c r="C440" s="304" t="s">
        <v>687</v>
      </c>
      <c r="D440" s="685" t="s">
        <v>288</v>
      </c>
      <c r="E440" s="306" t="s">
        <v>709</v>
      </c>
      <c r="F440" s="307"/>
      <c r="G440" s="297" t="s">
        <v>550</v>
      </c>
      <c r="H440" s="308" t="str">
        <f t="shared" si="27"/>
        <v>AR-TXV-8</v>
      </c>
      <c r="I440" s="661">
        <v>8</v>
      </c>
      <c r="J440" s="234">
        <v>1</v>
      </c>
      <c r="L440" s="709"/>
      <c r="Q440" s="709"/>
    </row>
    <row r="441" spans="2:19" s="248" customFormat="1" ht="3" hidden="1" customHeight="1" outlineLevel="2">
      <c r="B441" s="299"/>
      <c r="C441" s="304"/>
      <c r="D441" s="685"/>
      <c r="E441" s="306" t="s">
        <v>277</v>
      </c>
      <c r="F441" s="307"/>
      <c r="G441" s="297"/>
      <c r="H441" s="308"/>
      <c r="I441" s="661"/>
      <c r="J441" s="245"/>
      <c r="L441" s="709"/>
      <c r="Q441" s="709"/>
    </row>
    <row r="442" spans="2:19" s="248" customFormat="1" ht="15" hidden="1" customHeight="1" outlineLevel="2">
      <c r="B442" s="299" t="s">
        <v>710</v>
      </c>
      <c r="C442" s="304"/>
      <c r="D442" s="685"/>
      <c r="E442" s="306"/>
      <c r="F442" s="307"/>
      <c r="G442" s="297"/>
      <c r="H442" s="308"/>
      <c r="I442" s="661"/>
      <c r="J442" s="245"/>
      <c r="L442" s="709"/>
      <c r="Q442" s="709"/>
    </row>
    <row r="443" spans="2:19" s="248" customFormat="1" ht="15" hidden="1" customHeight="1" outlineLevel="2">
      <c r="B443" s="299" t="s">
        <v>268</v>
      </c>
      <c r="C443" s="304" t="s">
        <v>687</v>
      </c>
      <c r="D443" s="685" t="s">
        <v>328</v>
      </c>
      <c r="E443" s="306" t="s">
        <v>329</v>
      </c>
      <c r="F443" s="307"/>
      <c r="G443" s="297" t="s">
        <v>550</v>
      </c>
      <c r="H443" s="308" t="str">
        <f>CONCATENATE("AR-",G443,"-",I443)</f>
        <v>AR-TXV-1</v>
      </c>
      <c r="I443" s="661">
        <v>1</v>
      </c>
      <c r="J443" s="197">
        <v>1</v>
      </c>
      <c r="L443" s="709"/>
      <c r="Q443" s="709"/>
    </row>
    <row r="444" spans="2:19" s="248" customFormat="1" ht="15" hidden="1" customHeight="1" outlineLevel="2">
      <c r="B444" s="299" t="s">
        <v>268</v>
      </c>
      <c r="C444" s="304" t="s">
        <v>687</v>
      </c>
      <c r="D444" s="685" t="s">
        <v>330</v>
      </c>
      <c r="E444" s="306" t="s">
        <v>331</v>
      </c>
      <c r="F444" s="307"/>
      <c r="G444" s="297" t="s">
        <v>550</v>
      </c>
      <c r="H444" s="308" t="str">
        <f>CONCATENATE("AR-",G444,"-",I444)</f>
        <v>AR-TXV-1</v>
      </c>
      <c r="I444" s="661">
        <v>1</v>
      </c>
      <c r="J444" s="197">
        <v>1</v>
      </c>
      <c r="L444" s="709"/>
      <c r="Q444" s="709"/>
    </row>
    <row r="445" spans="2:19" s="248" customFormat="1" ht="3" hidden="1" customHeight="1" outlineLevel="2">
      <c r="B445" s="299"/>
      <c r="C445" s="304"/>
      <c r="D445" s="685"/>
      <c r="E445" s="306" t="s">
        <v>277</v>
      </c>
      <c r="F445" s="307"/>
      <c r="G445" s="297"/>
      <c r="H445" s="308"/>
      <c r="I445" s="661"/>
      <c r="J445" s="245"/>
      <c r="L445" s="709"/>
      <c r="Q445" s="709"/>
    </row>
    <row r="446" spans="2:19" s="248" customFormat="1" ht="15" hidden="1" customHeight="1" outlineLevel="2">
      <c r="B446" s="299" t="s">
        <v>548</v>
      </c>
      <c r="C446" s="304"/>
      <c r="D446" s="685"/>
      <c r="E446" s="306"/>
      <c r="F446" s="307"/>
      <c r="G446" s="297"/>
      <c r="H446" s="308"/>
      <c r="I446" s="661"/>
      <c r="J446" s="245"/>
      <c r="L446" s="709"/>
      <c r="Q446" s="709"/>
    </row>
    <row r="447" spans="2:19" s="248" customFormat="1" ht="15" hidden="1" customHeight="1" outlineLevel="2">
      <c r="B447" s="299" t="s">
        <v>268</v>
      </c>
      <c r="C447" s="304" t="s">
        <v>687</v>
      </c>
      <c r="D447" s="685" t="s">
        <v>335</v>
      </c>
      <c r="E447" s="306" t="s">
        <v>336</v>
      </c>
      <c r="F447" s="307"/>
      <c r="G447" s="297" t="s">
        <v>550</v>
      </c>
      <c r="H447" s="308" t="str">
        <f t="shared" ref="H447:H453" si="29">CONCATENATE("AR-",G447,"-",I447)</f>
        <v>AR-TXV-1</v>
      </c>
      <c r="I447" s="661">
        <v>1</v>
      </c>
      <c r="J447" s="197">
        <v>1</v>
      </c>
      <c r="L447" s="709"/>
      <c r="Q447" s="709"/>
    </row>
    <row r="448" spans="2:19" s="248" customFormat="1" ht="15" hidden="1" customHeight="1" outlineLevel="2">
      <c r="B448" s="299" t="s">
        <v>268</v>
      </c>
      <c r="C448" s="304" t="s">
        <v>687</v>
      </c>
      <c r="D448" s="685" t="s">
        <v>337</v>
      </c>
      <c r="E448" s="306" t="s">
        <v>338</v>
      </c>
      <c r="F448" s="307"/>
      <c r="G448" s="297" t="s">
        <v>550</v>
      </c>
      <c r="H448" s="308" t="str">
        <f t="shared" si="29"/>
        <v>AR-TXV-1</v>
      </c>
      <c r="I448" s="661">
        <v>1</v>
      </c>
      <c r="J448" s="197">
        <v>1</v>
      </c>
      <c r="L448" s="709"/>
      <c r="Q448" s="709"/>
    </row>
    <row r="449" spans="1:21" s="248" customFormat="1" ht="15" hidden="1" customHeight="1" outlineLevel="2">
      <c r="B449" s="299" t="s">
        <v>268</v>
      </c>
      <c r="C449" s="304" t="s">
        <v>550</v>
      </c>
      <c r="D449" s="685" t="s">
        <v>551</v>
      </c>
      <c r="E449" s="306" t="s">
        <v>552</v>
      </c>
      <c r="F449" s="307"/>
      <c r="G449" s="297" t="s">
        <v>550</v>
      </c>
      <c r="H449" s="308" t="str">
        <f t="shared" si="29"/>
        <v>AR-TXV-1</v>
      </c>
      <c r="I449" s="661">
        <v>1</v>
      </c>
      <c r="J449" s="197">
        <v>1</v>
      </c>
      <c r="L449" s="709"/>
      <c r="Q449" s="709"/>
    </row>
    <row r="450" spans="1:21" s="248" customFormat="1" ht="15" hidden="1" customHeight="1" outlineLevel="2">
      <c r="B450" s="299" t="s">
        <v>268</v>
      </c>
      <c r="C450" s="304" t="s">
        <v>550</v>
      </c>
      <c r="D450" s="685" t="s">
        <v>553</v>
      </c>
      <c r="E450" s="306" t="s">
        <v>552</v>
      </c>
      <c r="F450" s="307"/>
      <c r="G450" s="297" t="s">
        <v>550</v>
      </c>
      <c r="H450" s="308" t="str">
        <f t="shared" si="29"/>
        <v>AR-TXV-1</v>
      </c>
      <c r="I450" s="661">
        <v>1</v>
      </c>
      <c r="J450" s="197">
        <v>1</v>
      </c>
      <c r="L450" s="709"/>
      <c r="Q450" s="709"/>
    </row>
    <row r="451" spans="1:21" s="248" customFormat="1" ht="15" hidden="1" customHeight="1" outlineLevel="2">
      <c r="B451" s="299" t="s">
        <v>268</v>
      </c>
      <c r="C451" s="304" t="s">
        <v>550</v>
      </c>
      <c r="D451" s="685" t="s">
        <v>554</v>
      </c>
      <c r="E451" s="306" t="s">
        <v>552</v>
      </c>
      <c r="F451" s="307"/>
      <c r="G451" s="297" t="s">
        <v>550</v>
      </c>
      <c r="H451" s="308" t="str">
        <f t="shared" si="29"/>
        <v>AR-TXV-1</v>
      </c>
      <c r="I451" s="661">
        <v>1</v>
      </c>
      <c r="J451" s="197">
        <v>1</v>
      </c>
      <c r="L451" s="709"/>
      <c r="Q451" s="709"/>
    </row>
    <row r="452" spans="1:21" s="248" customFormat="1" ht="15" hidden="1" customHeight="1" outlineLevel="2">
      <c r="B452" s="299" t="s">
        <v>268</v>
      </c>
      <c r="C452" s="304" t="s">
        <v>550</v>
      </c>
      <c r="D452" s="685" t="s">
        <v>555</v>
      </c>
      <c r="E452" s="306" t="s">
        <v>552</v>
      </c>
      <c r="F452" s="307"/>
      <c r="G452" s="297" t="s">
        <v>550</v>
      </c>
      <c r="H452" s="308" t="str">
        <f t="shared" si="29"/>
        <v>AR-TXV-1</v>
      </c>
      <c r="I452" s="661">
        <v>1</v>
      </c>
      <c r="J452" s="197">
        <v>1</v>
      </c>
      <c r="L452" s="709"/>
      <c r="Q452" s="709"/>
    </row>
    <row r="453" spans="1:21" s="95" customFormat="1" ht="15" hidden="1" customHeight="1" outlineLevel="2">
      <c r="A453" s="248"/>
      <c r="B453" s="299" t="s">
        <v>268</v>
      </c>
      <c r="C453" s="304" t="s">
        <v>550</v>
      </c>
      <c r="D453" s="685" t="s">
        <v>556</v>
      </c>
      <c r="E453" s="306" t="s">
        <v>552</v>
      </c>
      <c r="F453" s="307"/>
      <c r="G453" s="297" t="s">
        <v>550</v>
      </c>
      <c r="H453" s="308" t="str">
        <f t="shared" si="29"/>
        <v>AR-TXV-1</v>
      </c>
      <c r="I453" s="661">
        <v>1</v>
      </c>
      <c r="J453" s="197">
        <v>1</v>
      </c>
      <c r="L453" s="712"/>
      <c r="Q453" s="712"/>
    </row>
    <row r="454" spans="1:21" s="95" customFormat="1" ht="3" hidden="1" customHeight="1" outlineLevel="2">
      <c r="A454" s="248"/>
      <c r="B454" s="299"/>
      <c r="C454" s="304"/>
      <c r="D454" s="685"/>
      <c r="E454" s="306" t="s">
        <v>277</v>
      </c>
      <c r="F454" s="307"/>
      <c r="G454" s="297"/>
      <c r="H454" s="308"/>
      <c r="I454" s="661"/>
      <c r="J454" s="245"/>
      <c r="K454" s="246"/>
      <c r="L454" s="247"/>
      <c r="M454" s="197"/>
      <c r="N454" s="197"/>
      <c r="O454" s="197"/>
      <c r="P454" s="197"/>
      <c r="Q454" s="247"/>
      <c r="R454" s="197"/>
      <c r="S454" s="197"/>
      <c r="T454" s="197"/>
      <c r="U454" s="197"/>
    </row>
    <row r="455" spans="1:21" s="95" customFormat="1" ht="14.25" hidden="1" customHeight="1" outlineLevel="2">
      <c r="A455" s="248"/>
      <c r="B455" s="299" t="s">
        <v>417</v>
      </c>
      <c r="C455" s="304"/>
      <c r="D455" s="685"/>
      <c r="E455" s="306"/>
      <c r="F455" s="307"/>
      <c r="G455" s="297"/>
      <c r="H455" s="308"/>
      <c r="I455" s="661"/>
      <c r="J455" s="245"/>
      <c r="K455" s="246"/>
      <c r="L455" s="247"/>
      <c r="M455" s="197"/>
      <c r="N455" s="197"/>
      <c r="O455" s="197"/>
      <c r="P455" s="197"/>
      <c r="Q455" s="247"/>
      <c r="R455" s="197"/>
      <c r="S455" s="197"/>
      <c r="T455" s="197"/>
      <c r="U455" s="197"/>
    </row>
    <row r="456" spans="1:21" s="95" customFormat="1" ht="14.25" hidden="1" customHeight="1" outlineLevel="2">
      <c r="A456" s="248"/>
      <c r="B456" s="299" t="s">
        <v>268</v>
      </c>
      <c r="C456" s="304" t="s">
        <v>687</v>
      </c>
      <c r="D456" s="685" t="s">
        <v>418</v>
      </c>
      <c r="E456" s="306" t="s">
        <v>582</v>
      </c>
      <c r="F456" s="307"/>
      <c r="G456" s="297" t="s">
        <v>550</v>
      </c>
      <c r="H456" s="308" t="str">
        <f>CONCATENATE("AR-",G456,"-",I456)</f>
        <v>AR-TXV-1</v>
      </c>
      <c r="I456" s="661">
        <v>1</v>
      </c>
      <c r="J456" s="197">
        <v>1</v>
      </c>
      <c r="K456" s="246"/>
      <c r="L456" s="247"/>
      <c r="M456" s="197"/>
      <c r="N456" s="197"/>
      <c r="O456" s="197"/>
      <c r="P456" s="197"/>
      <c r="Q456" s="247"/>
      <c r="R456" s="197"/>
      <c r="S456" s="197"/>
      <c r="T456" s="197"/>
      <c r="U456" s="197"/>
    </row>
    <row r="457" spans="1:21" s="95" customFormat="1" ht="15" hidden="1" customHeight="1" outlineLevel="2">
      <c r="A457" s="248"/>
      <c r="B457" s="299" t="s">
        <v>268</v>
      </c>
      <c r="C457" s="304" t="s">
        <v>687</v>
      </c>
      <c r="D457" s="685" t="s">
        <v>420</v>
      </c>
      <c r="E457" s="306" t="s">
        <v>582</v>
      </c>
      <c r="F457" s="307"/>
      <c r="G457" s="297" t="s">
        <v>550</v>
      </c>
      <c r="H457" s="308" t="str">
        <f>CONCATENATE("AR-",G457,"-",I457)</f>
        <v>AR-TXV-1</v>
      </c>
      <c r="I457" s="661">
        <v>1</v>
      </c>
      <c r="J457" s="197">
        <v>1</v>
      </c>
      <c r="K457" s="246"/>
      <c r="L457" s="247"/>
      <c r="M457" s="197"/>
      <c r="N457" s="197"/>
      <c r="O457" s="197"/>
      <c r="P457" s="197"/>
      <c r="Q457" s="247"/>
      <c r="R457" s="197"/>
      <c r="S457" s="197"/>
      <c r="T457" s="197"/>
      <c r="U457" s="197"/>
    </row>
    <row r="458" spans="1:21" s="95" customFormat="1" ht="15" hidden="1" customHeight="1" outlineLevel="2">
      <c r="A458" s="248"/>
      <c r="B458" s="299" t="s">
        <v>268</v>
      </c>
      <c r="C458" s="304" t="s">
        <v>687</v>
      </c>
      <c r="D458" s="685" t="s">
        <v>422</v>
      </c>
      <c r="E458" s="306" t="s">
        <v>711</v>
      </c>
      <c r="F458" s="307"/>
      <c r="G458" s="297" t="s">
        <v>550</v>
      </c>
      <c r="H458" s="308" t="str">
        <f>CONCATENATE("AR-",G458,"-",I458)</f>
        <v>AR-TXV-1</v>
      </c>
      <c r="I458" s="661">
        <v>1</v>
      </c>
      <c r="J458" s="197">
        <v>1</v>
      </c>
      <c r="K458" s="246"/>
      <c r="L458" s="247"/>
      <c r="M458" s="197"/>
      <c r="N458" s="197"/>
      <c r="O458" s="197"/>
      <c r="P458" s="197"/>
      <c r="Q458" s="247"/>
      <c r="R458" s="197"/>
      <c r="S458" s="197"/>
      <c r="T458" s="197"/>
      <c r="U458" s="197"/>
    </row>
    <row r="459" spans="1:21" s="95" customFormat="1" ht="3" hidden="1" customHeight="1" outlineLevel="2">
      <c r="A459" s="248"/>
      <c r="B459" s="299"/>
      <c r="C459" s="304"/>
      <c r="D459" s="685"/>
      <c r="E459" s="306" t="s">
        <v>277</v>
      </c>
      <c r="F459" s="307"/>
      <c r="G459" s="297"/>
      <c r="H459" s="308"/>
      <c r="I459" s="661"/>
      <c r="J459" s="245"/>
      <c r="K459" s="246"/>
      <c r="L459" s="247"/>
      <c r="M459" s="197"/>
      <c r="N459" s="197"/>
      <c r="O459" s="197"/>
      <c r="P459" s="197"/>
      <c r="Q459" s="247"/>
      <c r="R459" s="197"/>
      <c r="S459" s="197"/>
      <c r="T459" s="197"/>
      <c r="U459" s="197"/>
    </row>
    <row r="460" spans="1:21" s="95" customFormat="1" ht="3" hidden="1" customHeight="1" outlineLevel="2">
      <c r="A460" s="248"/>
      <c r="B460" s="299"/>
      <c r="C460" s="304"/>
      <c r="D460" s="685"/>
      <c r="E460" s="306" t="s">
        <v>277</v>
      </c>
      <c r="F460" s="307"/>
      <c r="G460" s="297"/>
      <c r="H460" s="308"/>
      <c r="I460" s="661"/>
      <c r="J460" s="245"/>
      <c r="K460" s="246"/>
      <c r="L460" s="247"/>
      <c r="M460" s="197"/>
      <c r="N460" s="197"/>
      <c r="O460" s="197"/>
      <c r="P460" s="197"/>
      <c r="Q460" s="247"/>
      <c r="R460" s="197"/>
      <c r="S460" s="197"/>
      <c r="T460" s="197"/>
      <c r="U460" s="197"/>
    </row>
    <row r="461" spans="1:21" s="95" customFormat="1" ht="14.25" hidden="1" customHeight="1" outlineLevel="2">
      <c r="A461" s="248"/>
      <c r="B461" s="299" t="s">
        <v>712</v>
      </c>
      <c r="C461" s="304"/>
      <c r="D461" s="685"/>
      <c r="E461" s="306"/>
      <c r="F461" s="307"/>
      <c r="G461" s="297"/>
      <c r="H461" s="308"/>
      <c r="I461" s="661"/>
      <c r="J461" s="245"/>
      <c r="K461" s="246"/>
      <c r="L461" s="247"/>
      <c r="M461" s="197"/>
      <c r="N461" s="197"/>
      <c r="O461" s="197"/>
      <c r="P461" s="197"/>
      <c r="Q461" s="247"/>
      <c r="R461" s="197"/>
      <c r="S461" s="197"/>
      <c r="T461" s="197"/>
      <c r="U461" s="197"/>
    </row>
    <row r="462" spans="1:21" s="95" customFormat="1" ht="15" hidden="1" customHeight="1" outlineLevel="2">
      <c r="A462" s="678"/>
      <c r="B462" s="299" t="s">
        <v>268</v>
      </c>
      <c r="C462" s="304" t="s">
        <v>550</v>
      </c>
      <c r="D462" s="685" t="s">
        <v>469</v>
      </c>
      <c r="E462" s="306" t="s">
        <v>713</v>
      </c>
      <c r="F462" s="307"/>
      <c r="G462" s="297" t="s">
        <v>550</v>
      </c>
      <c r="H462" s="308" t="str">
        <f>CONCATENATE("AR-",G462,"-",I462)</f>
        <v>AR-TXV-9</v>
      </c>
      <c r="I462" s="661">
        <v>9</v>
      </c>
      <c r="J462" s="197">
        <v>1</v>
      </c>
      <c r="K462" s="246"/>
      <c r="L462" s="247"/>
      <c r="M462" s="197"/>
      <c r="N462" s="197"/>
      <c r="O462" s="197"/>
      <c r="P462" s="197"/>
      <c r="Q462" s="247"/>
      <c r="R462" s="197"/>
      <c r="S462" s="248"/>
      <c r="T462" s="197"/>
      <c r="U462" s="197"/>
    </row>
    <row r="463" spans="1:21" s="95" customFormat="1" ht="3" customHeight="1">
      <c r="A463" s="682"/>
      <c r="B463" s="299"/>
      <c r="C463" s="304"/>
      <c r="D463" s="685"/>
      <c r="E463" s="306" t="s">
        <v>277</v>
      </c>
      <c r="F463" s="307"/>
      <c r="G463" s="297"/>
      <c r="H463" s="308"/>
      <c r="I463" s="661"/>
      <c r="J463" s="249"/>
      <c r="K463" s="250"/>
      <c r="L463" s="251"/>
      <c r="M463" s="197"/>
      <c r="N463" s="197"/>
      <c r="O463" s="197"/>
      <c r="P463" s="197"/>
      <c r="Q463" s="251"/>
      <c r="R463" s="197"/>
      <c r="S463" s="197"/>
      <c r="T463" s="197"/>
      <c r="U463" s="197"/>
    </row>
    <row r="464" spans="1:21" s="95" customFormat="1" ht="14.25" customHeight="1" collapsed="1">
      <c r="A464" s="382" t="s">
        <v>714</v>
      </c>
      <c r="B464" s="675"/>
      <c r="C464" s="676"/>
      <c r="D464" s="677"/>
      <c r="E464" s="676" t="s">
        <v>277</v>
      </c>
      <c r="F464" s="307"/>
      <c r="G464" s="297"/>
      <c r="H464" s="308"/>
      <c r="I464" s="665"/>
      <c r="J464" s="197"/>
      <c r="K464" s="232"/>
      <c r="L464" s="230">
        <f>SUM(L465:L538)</f>
        <v>0</v>
      </c>
      <c r="M464" s="188">
        <v>20</v>
      </c>
      <c r="N464" s="188"/>
      <c r="O464" s="188">
        <f t="shared" ref="O464:U464" si="30">SUM(O465:O538)</f>
        <v>0</v>
      </c>
      <c r="P464" s="188">
        <f t="shared" si="30"/>
        <v>0</v>
      </c>
      <c r="Q464" s="230">
        <f t="shared" si="30"/>
        <v>0</v>
      </c>
      <c r="R464" s="188">
        <f t="shared" si="30"/>
        <v>0</v>
      </c>
      <c r="S464" s="188">
        <f t="shared" si="30"/>
        <v>0</v>
      </c>
      <c r="T464" s="188">
        <f t="shared" si="30"/>
        <v>0</v>
      </c>
      <c r="U464" s="188">
        <f t="shared" si="30"/>
        <v>0</v>
      </c>
    </row>
    <row r="465" spans="1:21" s="95" customFormat="1" ht="3" hidden="1" customHeight="1" outlineLevel="1">
      <c r="A465" s="669"/>
      <c r="B465" s="299"/>
      <c r="C465" s="304"/>
      <c r="D465" s="685"/>
      <c r="E465" s="306" t="s">
        <v>277</v>
      </c>
      <c r="F465" s="307"/>
      <c r="G465" s="297"/>
      <c r="H465" s="308"/>
      <c r="I465" s="661"/>
      <c r="J465" s="197"/>
      <c r="K465" s="232"/>
      <c r="L465" s="234"/>
      <c r="M465" s="197"/>
      <c r="N465" s="197"/>
      <c r="O465" s="197"/>
      <c r="P465" s="197"/>
      <c r="Q465" s="234"/>
      <c r="R465" s="197"/>
      <c r="S465" s="197"/>
      <c r="T465" s="197"/>
      <c r="U465" s="197"/>
    </row>
    <row r="466" spans="1:21" s="95" customFormat="1" ht="14.25" hidden="1" customHeight="1" outlineLevel="1">
      <c r="A466" s="259"/>
      <c r="B466" s="299" t="s">
        <v>343</v>
      </c>
      <c r="C466" s="304"/>
      <c r="D466" s="685"/>
      <c r="E466" s="306" t="s">
        <v>277</v>
      </c>
      <c r="F466" s="307"/>
      <c r="G466" s="297"/>
      <c r="H466" s="308"/>
      <c r="I466" s="661"/>
      <c r="J466" s="240"/>
      <c r="K466" s="240"/>
      <c r="L466" s="242"/>
      <c r="M466" s="197"/>
      <c r="N466" s="197"/>
      <c r="O466" s="197"/>
      <c r="P466" s="197"/>
      <c r="Q466" s="242"/>
      <c r="R466" s="197"/>
      <c r="S466" s="197"/>
      <c r="T466" s="197"/>
      <c r="U466" s="197"/>
    </row>
    <row r="467" spans="1:21" s="95" customFormat="1" ht="14.25" hidden="1" customHeight="1" outlineLevel="1">
      <c r="A467" s="259"/>
      <c r="B467" s="299" t="s">
        <v>268</v>
      </c>
      <c r="C467" s="304" t="s">
        <v>595</v>
      </c>
      <c r="D467" s="685" t="s">
        <v>344</v>
      </c>
      <c r="E467" s="306" t="s">
        <v>596</v>
      </c>
      <c r="F467" s="307"/>
      <c r="G467" s="297" t="s">
        <v>715</v>
      </c>
      <c r="H467" s="308" t="str">
        <f>CONCATENATE("AR-",G467,"-",I467)</f>
        <v>AR-TXS-1</v>
      </c>
      <c r="I467" s="661">
        <v>1</v>
      </c>
      <c r="J467" s="197">
        <v>1</v>
      </c>
      <c r="K467" s="240"/>
      <c r="L467" s="242"/>
      <c r="M467" s="197"/>
      <c r="N467" s="197"/>
      <c r="O467" s="197"/>
      <c r="P467" s="197"/>
      <c r="Q467" s="242"/>
      <c r="R467" s="197"/>
      <c r="S467" s="197"/>
      <c r="T467" s="197"/>
      <c r="U467" s="197"/>
    </row>
    <row r="468" spans="1:21" s="95" customFormat="1" ht="14.25" hidden="1" customHeight="1" outlineLevel="1">
      <c r="A468" s="259"/>
      <c r="B468" s="299" t="s">
        <v>268</v>
      </c>
      <c r="C468" s="304" t="s">
        <v>595</v>
      </c>
      <c r="D468" s="685" t="s">
        <v>346</v>
      </c>
      <c r="E468" s="306" t="s">
        <v>598</v>
      </c>
      <c r="F468" s="307"/>
      <c r="G468" s="297" t="s">
        <v>715</v>
      </c>
      <c r="H468" s="308" t="str">
        <f>CONCATENATE("AR-",G468,"-",I468)</f>
        <v>AR-TXS-1</v>
      </c>
      <c r="I468" s="661">
        <v>1</v>
      </c>
      <c r="J468" s="197">
        <v>1</v>
      </c>
      <c r="K468" s="240"/>
      <c r="L468" s="242"/>
      <c r="M468" s="197"/>
      <c r="N468" s="197"/>
      <c r="O468" s="197"/>
      <c r="P468" s="197"/>
      <c r="Q468" s="242"/>
      <c r="R468" s="197"/>
      <c r="S468" s="197"/>
      <c r="T468" s="197"/>
      <c r="U468" s="197"/>
    </row>
    <row r="469" spans="1:21" s="95" customFormat="1" ht="3" hidden="1" customHeight="1" outlineLevel="1">
      <c r="A469" s="681"/>
      <c r="B469" s="299"/>
      <c r="C469" s="304"/>
      <c r="D469" s="685"/>
      <c r="E469" s="306" t="s">
        <v>277</v>
      </c>
      <c r="F469" s="307"/>
      <c r="G469" s="297"/>
      <c r="H469" s="308"/>
      <c r="I469" s="661"/>
      <c r="J469" s="197"/>
      <c r="K469" s="232"/>
      <c r="L469" s="234"/>
      <c r="M469" s="197"/>
      <c r="N469" s="197"/>
      <c r="O469" s="197"/>
      <c r="P469" s="197"/>
      <c r="Q469" s="234"/>
      <c r="R469" s="197"/>
      <c r="S469" s="197"/>
      <c r="T469" s="197"/>
      <c r="U469" s="197"/>
    </row>
    <row r="470" spans="1:21" s="95" customFormat="1" ht="13.5" hidden="1" customHeight="1" outlineLevel="1">
      <c r="A470" s="681"/>
      <c r="B470" s="299" t="s">
        <v>350</v>
      </c>
      <c r="C470" s="304"/>
      <c r="D470" s="685"/>
      <c r="E470" s="306"/>
      <c r="F470" s="307"/>
      <c r="G470" s="297"/>
      <c r="H470" s="308"/>
      <c r="I470" s="661"/>
      <c r="J470" s="197"/>
      <c r="K470" s="233"/>
      <c r="L470" s="237"/>
      <c r="M470" s="233"/>
      <c r="N470" s="233"/>
      <c r="O470" s="233"/>
      <c r="P470" s="233"/>
      <c r="Q470" s="237"/>
      <c r="R470" s="233"/>
      <c r="S470" s="233"/>
      <c r="T470" s="233"/>
      <c r="U470" s="233"/>
    </row>
    <row r="471" spans="1:21" s="95" customFormat="1" ht="14.25" hidden="1" customHeight="1" outlineLevel="1">
      <c r="A471" s="248"/>
      <c r="B471" s="299" t="s">
        <v>268</v>
      </c>
      <c r="C471" s="304" t="s">
        <v>715</v>
      </c>
      <c r="D471" s="685" t="s">
        <v>270</v>
      </c>
      <c r="E471" s="306" t="s">
        <v>599</v>
      </c>
      <c r="F471" s="307"/>
      <c r="G471" s="297" t="s">
        <v>715</v>
      </c>
      <c r="H471" s="308" t="str">
        <f t="shared" ref="H471:H480" si="31">CONCATENATE("AR-",G471,"-",I471)</f>
        <v>AR-TXS-1</v>
      </c>
      <c r="I471" s="661">
        <v>1</v>
      </c>
      <c r="J471" s="197">
        <v>1</v>
      </c>
      <c r="K471" s="248"/>
      <c r="L471" s="709"/>
      <c r="M471" s="248"/>
      <c r="N471" s="248"/>
      <c r="O471" s="248"/>
      <c r="P471" s="248"/>
      <c r="Q471" s="709"/>
      <c r="R471" s="248"/>
      <c r="S471" s="248"/>
      <c r="T471" s="248"/>
      <c r="U471" s="248"/>
    </row>
    <row r="472" spans="1:21" s="248" customFormat="1" ht="14.25" hidden="1" customHeight="1" outlineLevel="1">
      <c r="B472" s="299" t="s">
        <v>268</v>
      </c>
      <c r="C472" s="304" t="s">
        <v>715</v>
      </c>
      <c r="D472" s="685" t="s">
        <v>279</v>
      </c>
      <c r="E472" s="306" t="s">
        <v>601</v>
      </c>
      <c r="F472" s="307"/>
      <c r="G472" s="297" t="s">
        <v>715</v>
      </c>
      <c r="H472" s="308" t="str">
        <f t="shared" si="31"/>
        <v>AR-TXS-1</v>
      </c>
      <c r="I472" s="661">
        <v>1</v>
      </c>
      <c r="J472" s="197">
        <v>1</v>
      </c>
      <c r="L472" s="709"/>
      <c r="Q472" s="709"/>
    </row>
    <row r="473" spans="1:21" s="248" customFormat="1" ht="14.25" hidden="1" customHeight="1" outlineLevel="1">
      <c r="B473" s="299" t="s">
        <v>268</v>
      </c>
      <c r="C473" s="304" t="s">
        <v>715</v>
      </c>
      <c r="D473" s="685" t="s">
        <v>355</v>
      </c>
      <c r="E473" s="306" t="s">
        <v>602</v>
      </c>
      <c r="F473" s="307"/>
      <c r="G473" s="297" t="s">
        <v>715</v>
      </c>
      <c r="H473" s="308" t="str">
        <f t="shared" si="31"/>
        <v>AR-TXS-1</v>
      </c>
      <c r="I473" s="661">
        <v>1</v>
      </c>
      <c r="J473" s="197">
        <v>1</v>
      </c>
      <c r="L473" s="709"/>
      <c r="Q473" s="709"/>
    </row>
    <row r="474" spans="1:21" s="248" customFormat="1" ht="14.25" hidden="1" customHeight="1" outlineLevel="1">
      <c r="B474" s="299" t="s">
        <v>268</v>
      </c>
      <c r="C474" s="304" t="s">
        <v>715</v>
      </c>
      <c r="D474" s="685" t="s">
        <v>279</v>
      </c>
      <c r="E474" s="306" t="s">
        <v>603</v>
      </c>
      <c r="F474" s="307"/>
      <c r="G474" s="297" t="s">
        <v>715</v>
      </c>
      <c r="H474" s="308" t="str">
        <f t="shared" si="31"/>
        <v>AR-TXS-1</v>
      </c>
      <c r="I474" s="661">
        <v>1</v>
      </c>
      <c r="J474" s="197">
        <v>1</v>
      </c>
      <c r="L474" s="709"/>
      <c r="Q474" s="709"/>
    </row>
    <row r="475" spans="1:21" s="248" customFormat="1" ht="14.25" hidden="1" customHeight="1" outlineLevel="1">
      <c r="B475" s="299" t="s">
        <v>268</v>
      </c>
      <c r="C475" s="304" t="s">
        <v>715</v>
      </c>
      <c r="D475" s="685" t="s">
        <v>355</v>
      </c>
      <c r="E475" s="306" t="s">
        <v>604</v>
      </c>
      <c r="F475" s="307"/>
      <c r="G475" s="297" t="s">
        <v>715</v>
      </c>
      <c r="H475" s="308" t="str">
        <f t="shared" si="31"/>
        <v>AR-TXS-1</v>
      </c>
      <c r="I475" s="661">
        <v>1</v>
      </c>
      <c r="J475" s="197">
        <v>1</v>
      </c>
      <c r="L475" s="709"/>
      <c r="Q475" s="709"/>
    </row>
    <row r="476" spans="1:21" s="248" customFormat="1" ht="14.25" hidden="1" customHeight="1" outlineLevel="1">
      <c r="B476" s="299" t="s">
        <v>268</v>
      </c>
      <c r="C476" s="304" t="s">
        <v>715</v>
      </c>
      <c r="D476" s="685" t="s">
        <v>357</v>
      </c>
      <c r="E476" s="306" t="s">
        <v>605</v>
      </c>
      <c r="F476" s="307"/>
      <c r="G476" s="297" t="s">
        <v>715</v>
      </c>
      <c r="H476" s="308" t="str">
        <f t="shared" si="31"/>
        <v>AR-TXS-1</v>
      </c>
      <c r="I476" s="661">
        <v>1</v>
      </c>
      <c r="J476" s="197">
        <v>1</v>
      </c>
      <c r="L476" s="709"/>
      <c r="Q476" s="709"/>
    </row>
    <row r="477" spans="1:21" s="248" customFormat="1" ht="14.25" hidden="1" customHeight="1" outlineLevel="1">
      <c r="B477" s="299" t="s">
        <v>268</v>
      </c>
      <c r="C477" s="304" t="s">
        <v>715</v>
      </c>
      <c r="D477" s="685" t="s">
        <v>359</v>
      </c>
      <c r="E477" s="306" t="s">
        <v>606</v>
      </c>
      <c r="F477" s="307"/>
      <c r="G477" s="297" t="s">
        <v>715</v>
      </c>
      <c r="H477" s="308" t="str">
        <f t="shared" si="31"/>
        <v>AR-TXS-1</v>
      </c>
      <c r="I477" s="661">
        <v>1</v>
      </c>
      <c r="J477" s="197">
        <v>1</v>
      </c>
      <c r="L477" s="709"/>
      <c r="Q477" s="709"/>
    </row>
    <row r="478" spans="1:21" s="248" customFormat="1" ht="14.25" hidden="1" customHeight="1" outlineLevel="1">
      <c r="B478" s="299" t="s">
        <v>268</v>
      </c>
      <c r="C478" s="304" t="s">
        <v>715</v>
      </c>
      <c r="D478" s="685" t="s">
        <v>361</v>
      </c>
      <c r="E478" s="306" t="s">
        <v>607</v>
      </c>
      <c r="F478" s="307"/>
      <c r="G478" s="297" t="s">
        <v>715</v>
      </c>
      <c r="H478" s="308" t="str">
        <f t="shared" si="31"/>
        <v>AR-TXS-1</v>
      </c>
      <c r="I478" s="661">
        <v>1</v>
      </c>
      <c r="J478" s="197">
        <v>1</v>
      </c>
      <c r="L478" s="709"/>
      <c r="Q478" s="709"/>
    </row>
    <row r="479" spans="1:21" s="248" customFormat="1" ht="14.25" hidden="1" customHeight="1" outlineLevel="1">
      <c r="B479" s="299" t="s">
        <v>268</v>
      </c>
      <c r="C479" s="304" t="s">
        <v>715</v>
      </c>
      <c r="D479" s="685" t="s">
        <v>496</v>
      </c>
      <c r="E479" s="306" t="s">
        <v>608</v>
      </c>
      <c r="F479" s="307"/>
      <c r="G479" s="297" t="s">
        <v>715</v>
      </c>
      <c r="H479" s="308" t="str">
        <f t="shared" si="31"/>
        <v>AR-TXS-1</v>
      </c>
      <c r="I479" s="661">
        <v>1</v>
      </c>
      <c r="J479" s="197">
        <v>1</v>
      </c>
      <c r="L479" s="709"/>
      <c r="Q479" s="709"/>
    </row>
    <row r="480" spans="1:21" s="248" customFormat="1" ht="14.25" hidden="1" customHeight="1" outlineLevel="1">
      <c r="B480" s="299" t="s">
        <v>268</v>
      </c>
      <c r="C480" s="304" t="s">
        <v>715</v>
      </c>
      <c r="D480" s="685" t="s">
        <v>498</v>
      </c>
      <c r="E480" s="306" t="s">
        <v>609</v>
      </c>
      <c r="F480" s="307"/>
      <c r="G480" s="297" t="s">
        <v>715</v>
      </c>
      <c r="H480" s="308" t="str">
        <f t="shared" si="31"/>
        <v>AR-TXS-1</v>
      </c>
      <c r="I480" s="661">
        <v>1</v>
      </c>
      <c r="J480" s="197">
        <v>1</v>
      </c>
      <c r="L480" s="709"/>
      <c r="Q480" s="709"/>
    </row>
    <row r="481" spans="1:19" s="248" customFormat="1" ht="3" hidden="1" customHeight="1" outlineLevel="1">
      <c r="B481" s="299"/>
      <c r="C481" s="304"/>
      <c r="D481" s="685"/>
      <c r="E481" s="306" t="s">
        <v>277</v>
      </c>
      <c r="F481" s="307"/>
      <c r="G481" s="297"/>
      <c r="H481" s="308"/>
      <c r="I481" s="661"/>
      <c r="J481" s="245"/>
      <c r="L481" s="709"/>
      <c r="Q481" s="709"/>
    </row>
    <row r="482" spans="1:19" s="233" customFormat="1" ht="13.5" hidden="1" customHeight="1" outlineLevel="1">
      <c r="A482" s="681"/>
      <c r="B482" s="299" t="s">
        <v>610</v>
      </c>
      <c r="C482" s="304"/>
      <c r="D482" s="685"/>
      <c r="E482" s="306"/>
      <c r="F482" s="307"/>
      <c r="G482" s="297"/>
      <c r="H482" s="308"/>
      <c r="I482" s="661"/>
      <c r="J482" s="197"/>
      <c r="L482" s="237"/>
      <c r="Q482" s="237"/>
    </row>
    <row r="483" spans="1:19" s="248" customFormat="1" ht="13.5" hidden="1" outlineLevel="1">
      <c r="B483" s="299" t="s">
        <v>268</v>
      </c>
      <c r="C483" s="304" t="s">
        <v>716</v>
      </c>
      <c r="D483" s="685" t="s">
        <v>374</v>
      </c>
      <c r="E483" s="306" t="s">
        <v>611</v>
      </c>
      <c r="F483" s="307"/>
      <c r="G483" s="297" t="s">
        <v>715</v>
      </c>
      <c r="H483" s="308" t="str">
        <f t="shared" ref="H483:H492" si="32">CONCATENATE("AR-",G483,"-",I483)</f>
        <v>AR-TXS-3</v>
      </c>
      <c r="I483" s="661">
        <v>3</v>
      </c>
      <c r="J483" s="234">
        <v>1</v>
      </c>
      <c r="L483" s="709"/>
      <c r="Q483" s="709"/>
    </row>
    <row r="484" spans="1:19" s="248" customFormat="1" ht="13.5" hidden="1" outlineLevel="1">
      <c r="B484" s="299" t="s">
        <v>268</v>
      </c>
      <c r="C484" s="304" t="s">
        <v>716</v>
      </c>
      <c r="D484" s="685" t="s">
        <v>376</v>
      </c>
      <c r="E484" s="306" t="s">
        <v>612</v>
      </c>
      <c r="F484" s="307"/>
      <c r="G484" s="297" t="s">
        <v>715</v>
      </c>
      <c r="H484" s="308" t="str">
        <f t="shared" si="32"/>
        <v>AR-TXS-3</v>
      </c>
      <c r="I484" s="661">
        <v>3</v>
      </c>
      <c r="J484" s="234">
        <v>1</v>
      </c>
      <c r="L484" s="709"/>
      <c r="Q484" s="709"/>
    </row>
    <row r="485" spans="1:19" s="248" customFormat="1" ht="13.5" hidden="1" outlineLevel="1">
      <c r="B485" s="299" t="s">
        <v>268</v>
      </c>
      <c r="C485" s="304" t="s">
        <v>715</v>
      </c>
      <c r="D485" s="685" t="s">
        <v>380</v>
      </c>
      <c r="E485" s="306" t="s">
        <v>613</v>
      </c>
      <c r="F485" s="307"/>
      <c r="G485" s="297" t="s">
        <v>715</v>
      </c>
      <c r="H485" s="308" t="str">
        <f t="shared" si="32"/>
        <v>AR-TXS-6</v>
      </c>
      <c r="I485" s="661">
        <v>6</v>
      </c>
      <c r="J485" s="234">
        <v>1</v>
      </c>
      <c r="L485" s="709"/>
      <c r="Q485" s="709"/>
    </row>
    <row r="486" spans="1:19" s="248" customFormat="1" ht="13.5" hidden="1" outlineLevel="1">
      <c r="B486" s="299" t="s">
        <v>268</v>
      </c>
      <c r="C486" s="304" t="s">
        <v>715</v>
      </c>
      <c r="D486" s="685" t="s">
        <v>382</v>
      </c>
      <c r="E486" s="306" t="s">
        <v>614</v>
      </c>
      <c r="F486" s="307"/>
      <c r="G486" s="297" t="s">
        <v>715</v>
      </c>
      <c r="H486" s="308" t="str">
        <f t="shared" si="32"/>
        <v>AR-TXS-6</v>
      </c>
      <c r="I486" s="661">
        <v>6</v>
      </c>
      <c r="J486" s="234">
        <v>1</v>
      </c>
      <c r="L486" s="709"/>
      <c r="Q486" s="709"/>
    </row>
    <row r="487" spans="1:19" s="248" customFormat="1" ht="13.5" hidden="1" outlineLevel="1">
      <c r="B487" s="299" t="s">
        <v>268</v>
      </c>
      <c r="C487" s="304" t="s">
        <v>715</v>
      </c>
      <c r="D487" s="685" t="s">
        <v>384</v>
      </c>
      <c r="E487" s="306" t="s">
        <v>615</v>
      </c>
      <c r="F487" s="307"/>
      <c r="G487" s="297" t="s">
        <v>715</v>
      </c>
      <c r="H487" s="308" t="str">
        <f t="shared" si="32"/>
        <v>AR-TXS-6</v>
      </c>
      <c r="I487" s="661">
        <v>6</v>
      </c>
      <c r="J487" s="234">
        <v>1</v>
      </c>
      <c r="L487" s="709"/>
      <c r="Q487" s="709"/>
    </row>
    <row r="488" spans="1:19" s="248" customFormat="1" ht="13.5" hidden="1" outlineLevel="1">
      <c r="B488" s="299" t="s">
        <v>268</v>
      </c>
      <c r="C488" s="304" t="s">
        <v>715</v>
      </c>
      <c r="D488" s="685" t="s">
        <v>520</v>
      </c>
      <c r="E488" s="306" t="s">
        <v>616</v>
      </c>
      <c r="F488" s="307"/>
      <c r="G488" s="297" t="s">
        <v>715</v>
      </c>
      <c r="H488" s="308" t="str">
        <f t="shared" si="32"/>
        <v>AR-TXS-6</v>
      </c>
      <c r="I488" s="661">
        <v>6</v>
      </c>
      <c r="J488" s="234">
        <v>1</v>
      </c>
      <c r="L488" s="709"/>
      <c r="Q488" s="709"/>
    </row>
    <row r="489" spans="1:19" s="248" customFormat="1" ht="13.5" hidden="1" outlineLevel="1">
      <c r="B489" s="299" t="s">
        <v>268</v>
      </c>
      <c r="C489" s="304" t="s">
        <v>715</v>
      </c>
      <c r="D489" s="685" t="s">
        <v>522</v>
      </c>
      <c r="E489" s="306" t="s">
        <v>617</v>
      </c>
      <c r="F489" s="307"/>
      <c r="G489" s="297" t="s">
        <v>715</v>
      </c>
      <c r="H489" s="308" t="str">
        <f t="shared" si="32"/>
        <v>AR-TXS-6</v>
      </c>
      <c r="I489" s="661">
        <v>6</v>
      </c>
      <c r="J489" s="234">
        <v>1</v>
      </c>
      <c r="L489" s="709"/>
      <c r="Q489" s="709"/>
    </row>
    <row r="490" spans="1:19" s="248" customFormat="1" ht="13.5" hidden="1" outlineLevel="1">
      <c r="B490" s="299" t="s">
        <v>268</v>
      </c>
      <c r="C490" s="304" t="s">
        <v>715</v>
      </c>
      <c r="D490" s="685" t="s">
        <v>618</v>
      </c>
      <c r="E490" s="306" t="s">
        <v>619</v>
      </c>
      <c r="F490" s="307"/>
      <c r="G490" s="297" t="s">
        <v>715</v>
      </c>
      <c r="H490" s="308" t="str">
        <f t="shared" si="32"/>
        <v>AR-TXS-9</v>
      </c>
      <c r="I490" s="661">
        <v>9</v>
      </c>
      <c r="J490" s="234">
        <v>1</v>
      </c>
      <c r="L490" s="709"/>
      <c r="Q490" s="709"/>
    </row>
    <row r="491" spans="1:19" s="517" customFormat="1" hidden="1" outlineLevel="1">
      <c r="B491" s="299" t="s">
        <v>268</v>
      </c>
      <c r="C491" s="304" t="s">
        <v>715</v>
      </c>
      <c r="D491" s="685" t="s">
        <v>717</v>
      </c>
      <c r="E491" s="306" t="s">
        <v>718</v>
      </c>
      <c r="F491" s="307"/>
      <c r="G491" s="297" t="s">
        <v>715</v>
      </c>
      <c r="H491" s="308" t="str">
        <f t="shared" si="32"/>
        <v>AR-TXS-NA</v>
      </c>
      <c r="I491" s="665" t="s">
        <v>293</v>
      </c>
      <c r="J491" s="518"/>
      <c r="L491" s="713"/>
      <c r="Q491" s="713"/>
    </row>
    <row r="492" spans="1:19" s="248" customFormat="1" ht="13.5" hidden="1" outlineLevel="1">
      <c r="B492" s="299" t="s">
        <v>268</v>
      </c>
      <c r="C492" s="304" t="s">
        <v>715</v>
      </c>
      <c r="D492" s="685" t="s">
        <v>524</v>
      </c>
      <c r="E492" s="306" t="s">
        <v>719</v>
      </c>
      <c r="F492" s="307"/>
      <c r="G492" s="297" t="s">
        <v>715</v>
      </c>
      <c r="H492" s="308" t="str">
        <f t="shared" si="32"/>
        <v>AR-TXS-6</v>
      </c>
      <c r="I492" s="661">
        <v>6</v>
      </c>
      <c r="J492" s="234">
        <v>1</v>
      </c>
      <c r="L492" s="709"/>
      <c r="Q492" s="709"/>
    </row>
    <row r="493" spans="1:19" s="248" customFormat="1" ht="3" hidden="1" customHeight="1" outlineLevel="1">
      <c r="B493" s="299"/>
      <c r="C493" s="304"/>
      <c r="D493" s="685"/>
      <c r="E493" s="306" t="s">
        <v>277</v>
      </c>
      <c r="F493" s="307"/>
      <c r="G493" s="297"/>
      <c r="H493" s="308"/>
      <c r="I493" s="661"/>
      <c r="J493" s="245"/>
      <c r="L493" s="709"/>
      <c r="Q493" s="709"/>
    </row>
    <row r="494" spans="1:19" s="233" customFormat="1" ht="13.5" hidden="1" customHeight="1" outlineLevel="1">
      <c r="A494" s="681"/>
      <c r="B494" s="299" t="s">
        <v>720</v>
      </c>
      <c r="C494" s="304"/>
      <c r="D494" s="685"/>
      <c r="E494" s="306"/>
      <c r="F494" s="307"/>
      <c r="G494" s="297"/>
      <c r="H494" s="308"/>
      <c r="I494" s="661"/>
      <c r="J494" s="197"/>
      <c r="L494" s="237"/>
      <c r="Q494" s="237"/>
    </row>
    <row r="495" spans="1:19" s="233" customFormat="1" ht="13.5" hidden="1" customHeight="1" outlineLevel="1">
      <c r="A495" s="681"/>
      <c r="B495" s="299" t="s">
        <v>268</v>
      </c>
      <c r="C495" s="304" t="s">
        <v>716</v>
      </c>
      <c r="D495" s="685" t="s">
        <v>283</v>
      </c>
      <c r="E495" s="306" t="s">
        <v>721</v>
      </c>
      <c r="F495" s="307"/>
      <c r="G495" s="297" t="s">
        <v>715</v>
      </c>
      <c r="H495" s="308" t="str">
        <f t="shared" ref="H495:H502" si="33">CONCATENATE("AR-",G495,"-",I495)</f>
        <v>AR-TXS-1</v>
      </c>
      <c r="I495" s="661">
        <v>1</v>
      </c>
      <c r="J495" s="234">
        <v>1</v>
      </c>
      <c r="L495" s="237"/>
      <c r="Q495" s="237"/>
    </row>
    <row r="496" spans="1:19" s="233" customFormat="1" ht="13.5" hidden="1" customHeight="1" outlineLevel="1">
      <c r="A496" s="681"/>
      <c r="B496" s="299" t="s">
        <v>268</v>
      </c>
      <c r="C496" s="304" t="s">
        <v>716</v>
      </c>
      <c r="D496" s="685" t="s">
        <v>390</v>
      </c>
      <c r="E496" s="306" t="s">
        <v>722</v>
      </c>
      <c r="F496" s="307"/>
      <c r="G496" s="297" t="s">
        <v>715</v>
      </c>
      <c r="H496" s="308" t="str">
        <f t="shared" si="33"/>
        <v>AR-TXS-4</v>
      </c>
      <c r="I496" s="661">
        <v>4</v>
      </c>
      <c r="J496" s="234">
        <v>1</v>
      </c>
      <c r="L496" s="237"/>
      <c r="Q496" s="237"/>
    </row>
    <row r="497" spans="1:19" s="248" customFormat="1" ht="14.25" hidden="1" customHeight="1" outlineLevel="1">
      <c r="B497" s="299" t="s">
        <v>268</v>
      </c>
      <c r="C497" s="304" t="s">
        <v>715</v>
      </c>
      <c r="D497" s="685" t="s">
        <v>392</v>
      </c>
      <c r="E497" s="306" t="s">
        <v>723</v>
      </c>
      <c r="F497" s="307"/>
      <c r="G497" s="297" t="s">
        <v>715</v>
      </c>
      <c r="H497" s="308" t="str">
        <f t="shared" si="33"/>
        <v>AR-TXS-4</v>
      </c>
      <c r="I497" s="661">
        <v>4</v>
      </c>
      <c r="J497" s="197">
        <v>1</v>
      </c>
      <c r="L497" s="709"/>
      <c r="Q497" s="709"/>
    </row>
    <row r="498" spans="1:19" s="248" customFormat="1" ht="14.25" hidden="1" customHeight="1" outlineLevel="1">
      <c r="B498" s="299" t="s">
        <v>268</v>
      </c>
      <c r="C498" s="304" t="s">
        <v>715</v>
      </c>
      <c r="D498" s="685" t="s">
        <v>394</v>
      </c>
      <c r="E498" s="306" t="s">
        <v>724</v>
      </c>
      <c r="F498" s="307"/>
      <c r="G498" s="297" t="s">
        <v>715</v>
      </c>
      <c r="H498" s="308" t="str">
        <f t="shared" si="33"/>
        <v>AR-TXS-5</v>
      </c>
      <c r="I498" s="661">
        <v>5</v>
      </c>
      <c r="J498" s="197">
        <v>1</v>
      </c>
      <c r="L498" s="709"/>
      <c r="Q498" s="709"/>
    </row>
    <row r="499" spans="1:19" s="248" customFormat="1" ht="14.25" hidden="1" customHeight="1" outlineLevel="1">
      <c r="B499" s="299" t="s">
        <v>268</v>
      </c>
      <c r="C499" s="304" t="s">
        <v>715</v>
      </c>
      <c r="D499" s="685" t="s">
        <v>396</v>
      </c>
      <c r="E499" s="306" t="s">
        <v>725</v>
      </c>
      <c r="F499" s="307"/>
      <c r="G499" s="297" t="s">
        <v>715</v>
      </c>
      <c r="H499" s="308" t="str">
        <f t="shared" si="33"/>
        <v>AR-TXS-5</v>
      </c>
      <c r="I499" s="661">
        <v>5</v>
      </c>
      <c r="J499" s="197">
        <v>1</v>
      </c>
      <c r="L499" s="709"/>
      <c r="Q499" s="709"/>
    </row>
    <row r="500" spans="1:19" s="248" customFormat="1" ht="14.25" hidden="1" customHeight="1" outlineLevel="1">
      <c r="B500" s="299" t="s">
        <v>268</v>
      </c>
      <c r="C500" s="304" t="s">
        <v>715</v>
      </c>
      <c r="D500" s="685" t="s">
        <v>535</v>
      </c>
      <c r="E500" s="306" t="s">
        <v>726</v>
      </c>
      <c r="F500" s="307"/>
      <c r="G500" s="297" t="s">
        <v>715</v>
      </c>
      <c r="H500" s="308" t="str">
        <f t="shared" si="33"/>
        <v>AR-TXS-5</v>
      </c>
      <c r="I500" s="661">
        <v>5</v>
      </c>
      <c r="J500" s="197">
        <v>1</v>
      </c>
      <c r="L500" s="709"/>
      <c r="Q500" s="709"/>
    </row>
    <row r="501" spans="1:19" s="248" customFormat="1" ht="14.25" hidden="1" customHeight="1" outlineLevel="1">
      <c r="B501" s="299" t="s">
        <v>268</v>
      </c>
      <c r="C501" s="304" t="s">
        <v>715</v>
      </c>
      <c r="D501" s="685" t="s">
        <v>537</v>
      </c>
      <c r="E501" s="306" t="s">
        <v>727</v>
      </c>
      <c r="F501" s="307"/>
      <c r="G501" s="297" t="s">
        <v>715</v>
      </c>
      <c r="H501" s="308" t="str">
        <f t="shared" si="33"/>
        <v>AR-TXS-5</v>
      </c>
      <c r="I501" s="661">
        <v>5</v>
      </c>
      <c r="J501" s="197">
        <v>1</v>
      </c>
      <c r="L501" s="709"/>
      <c r="Q501" s="709"/>
    </row>
    <row r="502" spans="1:19" s="248" customFormat="1" ht="14.25" hidden="1" customHeight="1" outlineLevel="1">
      <c r="B502" s="299" t="s">
        <v>268</v>
      </c>
      <c r="C502" s="304" t="s">
        <v>715</v>
      </c>
      <c r="D502" s="685" t="s">
        <v>539</v>
      </c>
      <c r="E502" s="306" t="s">
        <v>728</v>
      </c>
      <c r="F502" s="307"/>
      <c r="G502" s="297" t="s">
        <v>715</v>
      </c>
      <c r="H502" s="308" t="str">
        <f t="shared" si="33"/>
        <v>AR-TXS-7</v>
      </c>
      <c r="I502" s="661">
        <v>7</v>
      </c>
      <c r="J502" s="234">
        <v>1</v>
      </c>
      <c r="L502" s="709"/>
      <c r="Q502" s="709"/>
    </row>
    <row r="503" spans="1:19" s="248" customFormat="1" ht="3" hidden="1" customHeight="1" outlineLevel="1">
      <c r="B503" s="299"/>
      <c r="C503" s="304"/>
      <c r="D503" s="685"/>
      <c r="E503" s="306" t="s">
        <v>277</v>
      </c>
      <c r="F503" s="307"/>
      <c r="G503" s="297"/>
      <c r="H503" s="308"/>
      <c r="I503" s="661"/>
      <c r="J503" s="245"/>
      <c r="L503" s="709"/>
      <c r="Q503" s="709"/>
    </row>
    <row r="504" spans="1:19" s="233" customFormat="1" ht="13.5" hidden="1" customHeight="1" outlineLevel="1">
      <c r="A504" s="681"/>
      <c r="B504" s="299" t="s">
        <v>401</v>
      </c>
      <c r="C504" s="304"/>
      <c r="D504" s="685"/>
      <c r="E504" s="306"/>
      <c r="F504" s="307"/>
      <c r="G504" s="297"/>
      <c r="H504" s="308"/>
      <c r="I504" s="661"/>
      <c r="J504" s="197"/>
      <c r="L504" s="237"/>
      <c r="Q504" s="237"/>
    </row>
    <row r="505" spans="1:19" s="233" customFormat="1" ht="13.5" hidden="1" customHeight="1" outlineLevel="1">
      <c r="A505" s="681"/>
      <c r="B505" s="299" t="s">
        <v>268</v>
      </c>
      <c r="C505" s="304" t="s">
        <v>716</v>
      </c>
      <c r="D505" s="685" t="s">
        <v>402</v>
      </c>
      <c r="E505" s="306" t="s">
        <v>729</v>
      </c>
      <c r="F505" s="307"/>
      <c r="G505" s="297" t="s">
        <v>715</v>
      </c>
      <c r="H505" s="308" t="str">
        <f>CONCATENATE("AR-",G505,"-",I505)</f>
        <v>AR-TXS-1</v>
      </c>
      <c r="I505" s="661">
        <v>1</v>
      </c>
      <c r="J505" s="234">
        <v>1</v>
      </c>
      <c r="L505" s="237"/>
      <c r="Q505" s="237"/>
    </row>
    <row r="506" spans="1:19" s="233" customFormat="1" ht="13.5" hidden="1" customHeight="1" outlineLevel="1">
      <c r="A506" s="681"/>
      <c r="B506" s="299" t="s">
        <v>268</v>
      </c>
      <c r="C506" s="304" t="s">
        <v>716</v>
      </c>
      <c r="D506" s="685" t="s">
        <v>569</v>
      </c>
      <c r="E506" s="306" t="s">
        <v>730</v>
      </c>
      <c r="F506" s="307"/>
      <c r="G506" s="297" t="s">
        <v>715</v>
      </c>
      <c r="H506" s="308" t="str">
        <f>CONCATENATE("AR-",G506,"-",I506)</f>
        <v>AR-TXS-4</v>
      </c>
      <c r="I506" s="661">
        <v>4</v>
      </c>
      <c r="J506" s="234">
        <v>1</v>
      </c>
      <c r="L506" s="237"/>
      <c r="Q506" s="237"/>
    </row>
    <row r="507" spans="1:19" s="248" customFormat="1" ht="14.25" hidden="1" customHeight="1" outlineLevel="1">
      <c r="B507" s="299" t="s">
        <v>268</v>
      </c>
      <c r="C507" s="304" t="s">
        <v>715</v>
      </c>
      <c r="D507" s="685" t="s">
        <v>571</v>
      </c>
      <c r="E507" s="306" t="s">
        <v>731</v>
      </c>
      <c r="F507" s="307"/>
      <c r="G507" s="297" t="s">
        <v>715</v>
      </c>
      <c r="H507" s="308" t="str">
        <f>CONCATENATE("AR-",G507,"-",I507)</f>
        <v>AR-TXS-4</v>
      </c>
      <c r="I507" s="661">
        <v>4</v>
      </c>
      <c r="J507" s="234">
        <v>1</v>
      </c>
      <c r="L507" s="709"/>
      <c r="Q507" s="709"/>
    </row>
    <row r="508" spans="1:19" s="248" customFormat="1" ht="14.25" hidden="1" customHeight="1" outlineLevel="1">
      <c r="B508" s="299" t="s">
        <v>268</v>
      </c>
      <c r="C508" s="304" t="s">
        <v>715</v>
      </c>
      <c r="D508" s="685" t="s">
        <v>573</v>
      </c>
      <c r="E508" s="306" t="s">
        <v>732</v>
      </c>
      <c r="F508" s="307"/>
      <c r="G508" s="297" t="s">
        <v>715</v>
      </c>
      <c r="H508" s="308" t="str">
        <f>CONCATENATE("AR-",G508,"-",I508)</f>
        <v>AR-TXS-5</v>
      </c>
      <c r="I508" s="661">
        <v>5</v>
      </c>
      <c r="J508" s="234">
        <v>1</v>
      </c>
      <c r="L508" s="709"/>
      <c r="Q508" s="709"/>
    </row>
    <row r="509" spans="1:19" s="248" customFormat="1" ht="13.5" hidden="1" outlineLevel="1">
      <c r="B509" s="299" t="s">
        <v>268</v>
      </c>
      <c r="C509" s="304" t="s">
        <v>715</v>
      </c>
      <c r="D509" s="685" t="s">
        <v>301</v>
      </c>
      <c r="E509" s="306" t="s">
        <v>733</v>
      </c>
      <c r="F509" s="307"/>
      <c r="G509" s="297" t="s">
        <v>715</v>
      </c>
      <c r="H509" s="308" t="str">
        <f>CONCATENATE("AR-",G509,"-",I509)</f>
        <v>AR-TXS-6</v>
      </c>
      <c r="I509" s="661">
        <v>6</v>
      </c>
      <c r="J509" s="234">
        <v>1</v>
      </c>
      <c r="L509" s="709"/>
      <c r="Q509" s="709"/>
    </row>
    <row r="510" spans="1:19" s="248" customFormat="1" ht="13.5" hidden="1" outlineLevel="1">
      <c r="B510" s="299"/>
      <c r="C510" s="304"/>
      <c r="D510" s="685"/>
      <c r="E510" s="306"/>
      <c r="F510" s="307"/>
      <c r="G510" s="297"/>
      <c r="H510" s="308"/>
      <c r="I510" s="661"/>
      <c r="J510" s="245"/>
      <c r="L510" s="709"/>
      <c r="Q510" s="709"/>
    </row>
    <row r="511" spans="1:19" s="248" customFormat="1" ht="3" hidden="1" customHeight="1" outlineLevel="1">
      <c r="B511" s="299"/>
      <c r="C511" s="304"/>
      <c r="D511" s="685"/>
      <c r="E511" s="306" t="s">
        <v>277</v>
      </c>
      <c r="F511" s="307"/>
      <c r="G511" s="297"/>
      <c r="H511" s="308"/>
      <c r="I511" s="661"/>
      <c r="J511" s="245"/>
      <c r="L511" s="709"/>
      <c r="Q511" s="709"/>
    </row>
    <row r="512" spans="1:19" s="233" customFormat="1" ht="13.5" hidden="1" customHeight="1" outlineLevel="1">
      <c r="A512" s="681"/>
      <c r="B512" s="299" t="s">
        <v>326</v>
      </c>
      <c r="C512" s="304"/>
      <c r="D512" s="685"/>
      <c r="E512" s="306"/>
      <c r="F512" s="307"/>
      <c r="G512" s="297"/>
      <c r="H512" s="308"/>
      <c r="I512" s="661"/>
      <c r="J512" s="197"/>
      <c r="L512" s="237"/>
      <c r="Q512" s="237"/>
    </row>
    <row r="513" spans="1:17" s="248" customFormat="1" ht="14.25" hidden="1" customHeight="1" outlineLevel="1">
      <c r="B513" s="299" t="s">
        <v>268</v>
      </c>
      <c r="C513" s="304" t="s">
        <v>715</v>
      </c>
      <c r="D513" s="685" t="s">
        <v>328</v>
      </c>
      <c r="E513" s="306" t="s">
        <v>734</v>
      </c>
      <c r="F513" s="307"/>
      <c r="G513" s="297" t="s">
        <v>715</v>
      </c>
      <c r="H513" s="308" t="str">
        <f>CONCATENATE("AR-",G513,"-",I513)</f>
        <v>AR-TXS-1</v>
      </c>
      <c r="I513" s="661">
        <v>1</v>
      </c>
      <c r="J513" s="197">
        <v>1</v>
      </c>
      <c r="L513" s="709"/>
      <c r="Q513" s="709"/>
    </row>
    <row r="514" spans="1:17" s="248" customFormat="1" ht="14.25" hidden="1" customHeight="1" outlineLevel="1">
      <c r="B514" s="299" t="s">
        <v>268</v>
      </c>
      <c r="C514" s="304" t="s">
        <v>715</v>
      </c>
      <c r="D514" s="685" t="s">
        <v>330</v>
      </c>
      <c r="E514" s="306" t="s">
        <v>735</v>
      </c>
      <c r="F514" s="307"/>
      <c r="G514" s="297" t="s">
        <v>715</v>
      </c>
      <c r="H514" s="308" t="str">
        <f>CONCATENATE("AR-",G514,"-",I514)</f>
        <v>AR-TXS-1</v>
      </c>
      <c r="I514" s="661">
        <v>1</v>
      </c>
      <c r="J514" s="197">
        <v>1</v>
      </c>
      <c r="L514" s="709"/>
      <c r="Q514" s="709"/>
    </row>
    <row r="515" spans="1:17" s="248" customFormat="1" ht="14.25" hidden="1" customHeight="1" outlineLevel="1">
      <c r="B515" s="299" t="s">
        <v>268</v>
      </c>
      <c r="C515" s="304" t="s">
        <v>715</v>
      </c>
      <c r="D515" s="685" t="s">
        <v>332</v>
      </c>
      <c r="E515" s="306" t="s">
        <v>736</v>
      </c>
      <c r="F515" s="307"/>
      <c r="G515" s="297" t="s">
        <v>715</v>
      </c>
      <c r="H515" s="308" t="str">
        <f>CONCATENATE("AR-",G515,"-",I515)</f>
        <v>AR-TXS-1</v>
      </c>
      <c r="I515" s="661">
        <v>1</v>
      </c>
      <c r="J515" s="197">
        <v>1</v>
      </c>
      <c r="L515" s="709"/>
      <c r="Q515" s="709"/>
    </row>
    <row r="516" spans="1:17" s="248" customFormat="1" ht="3" hidden="1" customHeight="1" outlineLevel="1">
      <c r="B516" s="299"/>
      <c r="C516" s="304"/>
      <c r="D516" s="685"/>
      <c r="E516" s="306" t="s">
        <v>277</v>
      </c>
      <c r="F516" s="307"/>
      <c r="G516" s="297"/>
      <c r="H516" s="308"/>
      <c r="I516" s="661"/>
      <c r="J516" s="245"/>
      <c r="L516" s="709"/>
      <c r="Q516" s="709"/>
    </row>
    <row r="517" spans="1:17" s="233" customFormat="1" ht="13.5" hidden="1" customHeight="1" outlineLevel="1">
      <c r="A517" s="681"/>
      <c r="B517" s="299" t="s">
        <v>334</v>
      </c>
      <c r="C517" s="304"/>
      <c r="D517" s="685"/>
      <c r="E517" s="306"/>
      <c r="F517" s="307"/>
      <c r="G517" s="297"/>
      <c r="H517" s="308"/>
      <c r="I517" s="661"/>
      <c r="J517" s="197"/>
      <c r="L517" s="237"/>
      <c r="Q517" s="237"/>
    </row>
    <row r="518" spans="1:17" s="248" customFormat="1" ht="14.25" hidden="1" customHeight="1" outlineLevel="1">
      <c r="B518" s="299" t="s">
        <v>268</v>
      </c>
      <c r="C518" s="304" t="s">
        <v>715</v>
      </c>
      <c r="D518" s="685" t="s">
        <v>335</v>
      </c>
      <c r="E518" s="306" t="s">
        <v>336</v>
      </c>
      <c r="F518" s="307"/>
      <c r="G518" s="297" t="s">
        <v>715</v>
      </c>
      <c r="H518" s="308" t="str">
        <f>CONCATENATE("AR-",G518,"-",I518)</f>
        <v>AR-TXS-NA</v>
      </c>
      <c r="I518" s="665" t="s">
        <v>293</v>
      </c>
      <c r="J518" s="197"/>
      <c r="L518" s="709"/>
      <c r="Q518" s="709"/>
    </row>
    <row r="519" spans="1:17" s="248" customFormat="1" ht="14.25" hidden="1" customHeight="1" outlineLevel="1">
      <c r="B519" s="299" t="s">
        <v>268</v>
      </c>
      <c r="C519" s="304" t="s">
        <v>715</v>
      </c>
      <c r="D519" s="685" t="s">
        <v>337</v>
      </c>
      <c r="E519" s="306" t="s">
        <v>338</v>
      </c>
      <c r="F519" s="307"/>
      <c r="G519" s="297" t="s">
        <v>715</v>
      </c>
      <c r="H519" s="308" t="str">
        <f>CONCATENATE("AR-",G519,"-",I519)</f>
        <v>AR-TXS-NA</v>
      </c>
      <c r="I519" s="665" t="s">
        <v>293</v>
      </c>
      <c r="J519" s="197"/>
      <c r="L519" s="709"/>
      <c r="Q519" s="709"/>
    </row>
    <row r="520" spans="1:17" s="248" customFormat="1" ht="3" hidden="1" customHeight="1" outlineLevel="1">
      <c r="B520" s="299"/>
      <c r="C520" s="304"/>
      <c r="D520" s="685"/>
      <c r="E520" s="306" t="s">
        <v>277</v>
      </c>
      <c r="F520" s="307"/>
      <c r="G520" s="297"/>
      <c r="H520" s="308"/>
      <c r="I520" s="661"/>
      <c r="J520" s="245"/>
      <c r="L520" s="709"/>
      <c r="Q520" s="709"/>
    </row>
    <row r="521" spans="1:17" s="233" customFormat="1" ht="13.5" hidden="1" customHeight="1" outlineLevel="1">
      <c r="A521" s="681"/>
      <c r="B521" s="299" t="s">
        <v>737</v>
      </c>
      <c r="C521" s="304"/>
      <c r="D521" s="685"/>
      <c r="E521" s="306"/>
      <c r="F521" s="307"/>
      <c r="G521" s="297"/>
      <c r="H521" s="308"/>
      <c r="I521" s="661"/>
      <c r="J521" s="197"/>
      <c r="L521" s="237"/>
      <c r="Q521" s="237"/>
    </row>
    <row r="522" spans="1:17" s="248" customFormat="1" ht="14.25" hidden="1" customHeight="1" outlineLevel="1">
      <c r="B522" s="299" t="s">
        <v>268</v>
      </c>
      <c r="C522" s="304" t="s">
        <v>715</v>
      </c>
      <c r="D522" s="685" t="s">
        <v>320</v>
      </c>
      <c r="E522" s="306" t="s">
        <v>408</v>
      </c>
      <c r="F522" s="307"/>
      <c r="G522" s="297" t="s">
        <v>715</v>
      </c>
      <c r="H522" s="308" t="str">
        <f>CONCATENATE("AR-",G522,"-",I522)</f>
        <v>AR-TXS-NA</v>
      </c>
      <c r="I522" s="665" t="s">
        <v>293</v>
      </c>
      <c r="L522" s="709"/>
      <c r="Q522" s="709"/>
    </row>
    <row r="523" spans="1:17" s="248" customFormat="1" ht="14.25" hidden="1" customHeight="1" outlineLevel="1">
      <c r="B523" s="299" t="s">
        <v>268</v>
      </c>
      <c r="C523" s="304" t="s">
        <v>715</v>
      </c>
      <c r="D523" s="685" t="s">
        <v>322</v>
      </c>
      <c r="E523" s="306" t="s">
        <v>579</v>
      </c>
      <c r="F523" s="307"/>
      <c r="G523" s="297" t="s">
        <v>715</v>
      </c>
      <c r="H523" s="308" t="str">
        <f>CONCATENATE("AR-",G523,"-",I523)</f>
        <v>AR-TXS-NA</v>
      </c>
      <c r="I523" s="665" t="s">
        <v>293</v>
      </c>
      <c r="L523" s="709"/>
      <c r="Q523" s="709"/>
    </row>
    <row r="524" spans="1:17" s="248" customFormat="1" ht="14.25" hidden="1" customHeight="1" outlineLevel="1">
      <c r="B524" s="299" t="s">
        <v>268</v>
      </c>
      <c r="C524" s="304" t="s">
        <v>715</v>
      </c>
      <c r="D524" s="685" t="s">
        <v>324</v>
      </c>
      <c r="E524" s="306" t="s">
        <v>580</v>
      </c>
      <c r="F524" s="307"/>
      <c r="G524" s="297" t="s">
        <v>715</v>
      </c>
      <c r="H524" s="308" t="str">
        <f>CONCATENATE("AR-",G524,"-",I524)</f>
        <v>AR-TXS-NA</v>
      </c>
      <c r="I524" s="665" t="s">
        <v>293</v>
      </c>
      <c r="L524" s="709"/>
      <c r="Q524" s="709"/>
    </row>
    <row r="525" spans="1:17" s="248" customFormat="1" ht="3" hidden="1" customHeight="1" outlineLevel="1">
      <c r="B525" s="299"/>
      <c r="C525" s="304"/>
      <c r="D525" s="685"/>
      <c r="E525" s="306" t="s">
        <v>277</v>
      </c>
      <c r="F525" s="307"/>
      <c r="G525" s="297"/>
      <c r="H525" s="308"/>
      <c r="I525" s="661"/>
      <c r="J525" s="245"/>
      <c r="L525" s="709"/>
      <c r="Q525" s="709"/>
    </row>
    <row r="526" spans="1:17" s="233" customFormat="1" ht="13.5" hidden="1" customHeight="1" outlineLevel="1">
      <c r="A526" s="681"/>
      <c r="B526" s="299" t="s">
        <v>738</v>
      </c>
      <c r="C526" s="304"/>
      <c r="D526" s="685"/>
      <c r="E526" s="306"/>
      <c r="F526" s="307"/>
      <c r="G526" s="297"/>
      <c r="H526" s="308"/>
      <c r="I526" s="661"/>
      <c r="J526" s="197"/>
      <c r="L526" s="237"/>
      <c r="Q526" s="237"/>
    </row>
    <row r="527" spans="1:17" s="248" customFormat="1" ht="14.25" hidden="1" customHeight="1" outlineLevel="1">
      <c r="B527" s="299" t="s">
        <v>268</v>
      </c>
      <c r="C527" s="304" t="s">
        <v>597</v>
      </c>
      <c r="D527" s="685" t="s">
        <v>739</v>
      </c>
      <c r="E527" s="306" t="s">
        <v>740</v>
      </c>
      <c r="F527" s="307"/>
      <c r="G527" s="297" t="s">
        <v>715</v>
      </c>
      <c r="H527" s="308" t="str">
        <f t="shared" ref="H527:H534" si="34">CONCATENATE("AR-",G527,"-",I527)</f>
        <v>AR-TXS-NA</v>
      </c>
      <c r="I527" s="665" t="s">
        <v>293</v>
      </c>
      <c r="J527" s="245"/>
      <c r="L527" s="709"/>
      <c r="Q527" s="709"/>
    </row>
    <row r="528" spans="1:17" s="248" customFormat="1" ht="14.25" hidden="1" customHeight="1" outlineLevel="1">
      <c r="B528" s="299" t="s">
        <v>268</v>
      </c>
      <c r="C528" s="304" t="s">
        <v>597</v>
      </c>
      <c r="D528" s="685" t="s">
        <v>741</v>
      </c>
      <c r="E528" s="306" t="s">
        <v>742</v>
      </c>
      <c r="F528" s="307"/>
      <c r="G528" s="297" t="s">
        <v>715</v>
      </c>
      <c r="H528" s="308" t="str">
        <f t="shared" si="34"/>
        <v>AR-TXS-NA</v>
      </c>
      <c r="I528" s="665" t="s">
        <v>293</v>
      </c>
      <c r="J528" s="245"/>
      <c r="L528" s="709"/>
      <c r="Q528" s="709"/>
    </row>
    <row r="529" spans="1:21" s="248" customFormat="1" ht="14.25" hidden="1" customHeight="1" outlineLevel="1">
      <c r="B529" s="299" t="s">
        <v>268</v>
      </c>
      <c r="C529" s="304" t="s">
        <v>715</v>
      </c>
      <c r="D529" s="685" t="s">
        <v>409</v>
      </c>
      <c r="E529" s="306" t="s">
        <v>743</v>
      </c>
      <c r="F529" s="307"/>
      <c r="G529" s="297" t="s">
        <v>715</v>
      </c>
      <c r="H529" s="308" t="str">
        <f t="shared" si="34"/>
        <v>AR-TXS-1</v>
      </c>
      <c r="I529" s="661">
        <v>1</v>
      </c>
      <c r="J529" s="234">
        <v>1</v>
      </c>
      <c r="L529" s="709"/>
      <c r="Q529" s="709"/>
    </row>
    <row r="530" spans="1:21" s="248" customFormat="1" ht="14.25" hidden="1" customHeight="1" outlineLevel="1">
      <c r="B530" s="299" t="s">
        <v>268</v>
      </c>
      <c r="C530" s="304" t="s">
        <v>715</v>
      </c>
      <c r="D530" s="685" t="s">
        <v>411</v>
      </c>
      <c r="E530" s="306" t="s">
        <v>744</v>
      </c>
      <c r="F530" s="307"/>
      <c r="G530" s="297" t="s">
        <v>715</v>
      </c>
      <c r="H530" s="308" t="str">
        <f t="shared" si="34"/>
        <v>AR-TXS-1</v>
      </c>
      <c r="I530" s="661">
        <v>1</v>
      </c>
      <c r="J530" s="234">
        <v>1</v>
      </c>
      <c r="L530" s="709"/>
      <c r="Q530" s="709"/>
    </row>
    <row r="531" spans="1:21" s="248" customFormat="1" ht="14.25" hidden="1" customHeight="1" outlineLevel="1">
      <c r="B531" s="299" t="s">
        <v>268</v>
      </c>
      <c r="C531" s="304" t="s">
        <v>715</v>
      </c>
      <c r="D531" s="685" t="s">
        <v>413</v>
      </c>
      <c r="E531" s="306" t="s">
        <v>745</v>
      </c>
      <c r="F531" s="307"/>
      <c r="G531" s="297" t="s">
        <v>715</v>
      </c>
      <c r="H531" s="308" t="str">
        <f t="shared" si="34"/>
        <v>AR-TXS-1</v>
      </c>
      <c r="I531" s="661">
        <v>1</v>
      </c>
      <c r="J531" s="234">
        <v>1</v>
      </c>
      <c r="L531" s="709"/>
      <c r="Q531" s="709"/>
    </row>
    <row r="532" spans="1:21" s="248" customFormat="1" ht="14.25" hidden="1" customHeight="1" outlineLevel="1">
      <c r="A532" s="248" t="s">
        <v>746</v>
      </c>
      <c r="B532" s="299" t="s">
        <v>268</v>
      </c>
      <c r="C532" s="304" t="s">
        <v>715</v>
      </c>
      <c r="D532" s="685" t="s">
        <v>747</v>
      </c>
      <c r="E532" s="306" t="s">
        <v>745</v>
      </c>
      <c r="F532" s="307"/>
      <c r="G532" s="297" t="s">
        <v>715</v>
      </c>
      <c r="H532" s="308" t="str">
        <f t="shared" si="34"/>
        <v>AR-TXS-1</v>
      </c>
      <c r="I532" s="661">
        <v>1</v>
      </c>
      <c r="J532" s="234">
        <v>1</v>
      </c>
      <c r="L532" s="709"/>
      <c r="Q532" s="709"/>
    </row>
    <row r="533" spans="1:21" s="248" customFormat="1" ht="14.25" hidden="1" customHeight="1" outlineLevel="1">
      <c r="B533" s="299" t="s">
        <v>268</v>
      </c>
      <c r="C533" s="304" t="s">
        <v>715</v>
      </c>
      <c r="D533" s="685" t="s">
        <v>653</v>
      </c>
      <c r="E533" s="306" t="s">
        <v>748</v>
      </c>
      <c r="F533" s="307"/>
      <c r="G533" s="297" t="s">
        <v>715</v>
      </c>
      <c r="H533" s="308" t="str">
        <f t="shared" si="34"/>
        <v>AR-TXS-1</v>
      </c>
      <c r="I533" s="661">
        <v>1</v>
      </c>
      <c r="J533" s="234">
        <v>1</v>
      </c>
      <c r="L533" s="709"/>
      <c r="Q533" s="709"/>
    </row>
    <row r="534" spans="1:21" s="248" customFormat="1" ht="14.25" hidden="1" customHeight="1" outlineLevel="1">
      <c r="B534" s="299" t="s">
        <v>268</v>
      </c>
      <c r="C534" s="304" t="s">
        <v>597</v>
      </c>
      <c r="D534" s="685" t="s">
        <v>541</v>
      </c>
      <c r="E534" s="306" t="s">
        <v>630</v>
      </c>
      <c r="F534" s="307"/>
      <c r="G534" s="297" t="s">
        <v>715</v>
      </c>
      <c r="H534" s="308" t="str">
        <f t="shared" si="34"/>
        <v>AR-TXS-8</v>
      </c>
      <c r="I534" s="661">
        <v>8</v>
      </c>
      <c r="J534" s="234">
        <v>1</v>
      </c>
      <c r="K534" s="246"/>
      <c r="L534" s="234"/>
      <c r="M534" s="197"/>
      <c r="N534" s="197"/>
      <c r="O534" s="197"/>
      <c r="P534" s="197"/>
      <c r="Q534" s="234"/>
      <c r="R534" s="197"/>
      <c r="S534" s="197"/>
      <c r="T534" s="197"/>
      <c r="U534" s="197"/>
    </row>
    <row r="535" spans="1:21" s="248" customFormat="1" ht="3" hidden="1" customHeight="1" outlineLevel="1">
      <c r="B535" s="299"/>
      <c r="C535" s="304"/>
      <c r="D535" s="685"/>
      <c r="E535" s="306" t="s">
        <v>277</v>
      </c>
      <c r="F535" s="307"/>
      <c r="G535" s="297"/>
      <c r="H535" s="308"/>
      <c r="I535" s="661"/>
      <c r="J535" s="245"/>
      <c r="K535" s="246"/>
      <c r="L535" s="247"/>
      <c r="M535" s="197"/>
      <c r="N535" s="197"/>
      <c r="O535" s="197"/>
      <c r="P535" s="197"/>
      <c r="Q535" s="247"/>
      <c r="R535" s="197"/>
      <c r="S535" s="197"/>
      <c r="T535" s="197"/>
      <c r="U535" s="197"/>
    </row>
    <row r="536" spans="1:21" s="233" customFormat="1" ht="13.5" hidden="1" customHeight="1" outlineLevel="1">
      <c r="A536" s="681"/>
      <c r="B536" s="299" t="s">
        <v>417</v>
      </c>
      <c r="C536" s="304"/>
      <c r="D536" s="685"/>
      <c r="E536" s="306"/>
      <c r="F536" s="307"/>
      <c r="G536" s="297"/>
      <c r="H536" s="308"/>
      <c r="I536" s="661"/>
      <c r="J536" s="197"/>
      <c r="K536" s="232"/>
      <c r="L536" s="234"/>
      <c r="M536" s="197"/>
      <c r="N536" s="197"/>
      <c r="O536" s="197"/>
      <c r="P536" s="197"/>
      <c r="Q536" s="234"/>
      <c r="R536" s="197"/>
      <c r="S536" s="197"/>
      <c r="T536" s="197"/>
      <c r="U536" s="197"/>
    </row>
    <row r="537" spans="1:21" s="248" customFormat="1" ht="14.25" hidden="1" customHeight="1" outlineLevel="1">
      <c r="B537" s="299" t="s">
        <v>268</v>
      </c>
      <c r="C537" s="304" t="s">
        <v>715</v>
      </c>
      <c r="D537" s="685" t="s">
        <v>418</v>
      </c>
      <c r="E537" s="306" t="s">
        <v>662</v>
      </c>
      <c r="F537" s="307"/>
      <c r="G537" s="297" t="s">
        <v>715</v>
      </c>
      <c r="H537" s="308" t="str">
        <f>CONCATENATE("AR-",G537,"-",I537)</f>
        <v>AR-TXS-NA</v>
      </c>
      <c r="I537" s="665" t="s">
        <v>293</v>
      </c>
      <c r="J537" s="245"/>
      <c r="K537" s="246"/>
      <c r="L537" s="234"/>
      <c r="M537" s="197"/>
      <c r="N537" s="197"/>
      <c r="O537" s="197"/>
      <c r="P537" s="197"/>
      <c r="Q537" s="247"/>
      <c r="R537" s="197"/>
      <c r="S537" s="197"/>
      <c r="T537" s="197"/>
      <c r="U537" s="197"/>
    </row>
    <row r="538" spans="1:21" s="248" customFormat="1" ht="14.25" hidden="1" customHeight="1" outlineLevel="1">
      <c r="B538" s="299" t="s">
        <v>268</v>
      </c>
      <c r="C538" s="304" t="s">
        <v>715</v>
      </c>
      <c r="D538" s="685" t="s">
        <v>420</v>
      </c>
      <c r="E538" s="306" t="s">
        <v>663</v>
      </c>
      <c r="F538" s="307"/>
      <c r="G538" s="297" t="s">
        <v>715</v>
      </c>
      <c r="H538" s="308" t="str">
        <f>CONCATENATE("AR-",G538,"-",I538)</f>
        <v>AR-TXS-NA</v>
      </c>
      <c r="I538" s="665" t="s">
        <v>293</v>
      </c>
      <c r="J538" s="245"/>
      <c r="K538" s="246"/>
      <c r="L538" s="234"/>
      <c r="M538" s="197"/>
      <c r="N538" s="197"/>
      <c r="O538" s="197"/>
      <c r="P538" s="197"/>
      <c r="Q538" s="247"/>
      <c r="R538" s="197"/>
      <c r="S538" s="197"/>
      <c r="T538" s="197"/>
      <c r="U538" s="197"/>
    </row>
    <row r="539" spans="1:21" s="248" customFormat="1" ht="3" customHeight="1">
      <c r="A539" s="678"/>
      <c r="B539" s="299"/>
      <c r="C539" s="304"/>
      <c r="D539" s="685"/>
      <c r="E539" s="306" t="s">
        <v>277</v>
      </c>
      <c r="F539" s="307"/>
      <c r="G539" s="297"/>
      <c r="H539" s="308"/>
      <c r="I539" s="661"/>
      <c r="J539" s="245"/>
      <c r="K539" s="246"/>
      <c r="L539" s="247"/>
      <c r="M539" s="197"/>
      <c r="N539" s="197"/>
      <c r="O539" s="197"/>
      <c r="P539" s="197"/>
      <c r="Q539" s="247"/>
      <c r="R539" s="197"/>
      <c r="S539" s="197"/>
      <c r="T539" s="197"/>
      <c r="U539" s="197"/>
    </row>
    <row r="540" spans="1:21" s="252" customFormat="1" ht="14.25" customHeight="1" collapsed="1">
      <c r="A540" s="382" t="s">
        <v>749</v>
      </c>
      <c r="B540" s="675"/>
      <c r="C540" s="676"/>
      <c r="D540" s="677"/>
      <c r="E540" s="676" t="s">
        <v>277</v>
      </c>
      <c r="F540" s="307"/>
      <c r="G540" s="297"/>
      <c r="H540" s="308"/>
      <c r="I540" s="665"/>
      <c r="J540" s="240"/>
      <c r="K540" s="240"/>
      <c r="L540" s="230">
        <f>SUM(L541:L631)</f>
        <v>0</v>
      </c>
      <c r="M540" s="188">
        <v>9</v>
      </c>
      <c r="N540" s="188"/>
      <c r="O540" s="188">
        <f t="shared" ref="O540:U540" si="35">SUM(O541:O631)</f>
        <v>0</v>
      </c>
      <c r="P540" s="188">
        <f t="shared" si="35"/>
        <v>0</v>
      </c>
      <c r="Q540" s="230">
        <f t="shared" si="35"/>
        <v>0</v>
      </c>
      <c r="R540" s="188">
        <f t="shared" si="35"/>
        <v>0</v>
      </c>
      <c r="S540" s="188">
        <f t="shared" si="35"/>
        <v>0</v>
      </c>
      <c r="T540" s="188">
        <f t="shared" si="35"/>
        <v>0</v>
      </c>
      <c r="U540" s="188">
        <f t="shared" si="35"/>
        <v>0</v>
      </c>
    </row>
    <row r="541" spans="1:21" s="233" customFormat="1" ht="3" hidden="1" customHeight="1" outlineLevel="2">
      <c r="A541" s="678"/>
      <c r="B541" s="299"/>
      <c r="C541" s="304"/>
      <c r="D541" s="685"/>
      <c r="E541" s="306" t="s">
        <v>277</v>
      </c>
      <c r="F541" s="307"/>
      <c r="G541" s="297"/>
      <c r="H541" s="308"/>
      <c r="I541" s="661"/>
      <c r="J541" s="197"/>
      <c r="K541" s="232"/>
      <c r="L541" s="234"/>
      <c r="M541" s="197"/>
      <c r="N541" s="197"/>
      <c r="O541" s="197"/>
      <c r="P541" s="197"/>
      <c r="Q541" s="234"/>
      <c r="R541" s="197"/>
      <c r="S541" s="197"/>
      <c r="T541" s="197"/>
      <c r="U541" s="197"/>
    </row>
    <row r="542" spans="1:21" s="248" customFormat="1" ht="15" hidden="1" customHeight="1" outlineLevel="2">
      <c r="B542" s="299" t="s">
        <v>343</v>
      </c>
      <c r="C542" s="304"/>
      <c r="D542" s="685"/>
      <c r="E542" s="306" t="s">
        <v>277</v>
      </c>
      <c r="F542" s="307"/>
      <c r="G542" s="297"/>
      <c r="H542" s="308"/>
      <c r="I542" s="661"/>
      <c r="J542" s="245"/>
      <c r="K542" s="246"/>
      <c r="L542" s="247"/>
      <c r="M542" s="197"/>
      <c r="N542" s="197"/>
      <c r="O542" s="197"/>
      <c r="P542" s="197"/>
      <c r="Q542" s="247"/>
      <c r="R542" s="197"/>
      <c r="S542" s="197"/>
      <c r="T542" s="197"/>
      <c r="U542" s="197"/>
    </row>
    <row r="543" spans="1:21" s="248" customFormat="1" ht="13.5" hidden="1" outlineLevel="2">
      <c r="B543" s="299" t="s">
        <v>268</v>
      </c>
      <c r="C543" s="304" t="s">
        <v>750</v>
      </c>
      <c r="D543" s="685" t="s">
        <v>344</v>
      </c>
      <c r="E543" s="306" t="s">
        <v>488</v>
      </c>
      <c r="F543" s="307"/>
      <c r="G543" s="297" t="s">
        <v>751</v>
      </c>
      <c r="H543" s="308" t="str">
        <f>CONCATENATE("AR-",G543,"-",I543)</f>
        <v>AR-T6V-1</v>
      </c>
      <c r="I543" s="661">
        <v>1</v>
      </c>
      <c r="J543" s="197">
        <v>1</v>
      </c>
      <c r="K543" s="246"/>
      <c r="L543" s="247"/>
      <c r="M543" s="197"/>
      <c r="N543" s="197"/>
      <c r="O543" s="197"/>
      <c r="P543" s="197"/>
      <c r="Q543" s="247"/>
      <c r="R543" s="197"/>
      <c r="S543" s="197"/>
      <c r="T543" s="197"/>
      <c r="U543" s="197"/>
    </row>
    <row r="544" spans="1:21" s="248" customFormat="1" ht="13.5" hidden="1" outlineLevel="2">
      <c r="B544" s="299" t="s">
        <v>268</v>
      </c>
      <c r="C544" s="304" t="s">
        <v>750</v>
      </c>
      <c r="D544" s="685" t="s">
        <v>346</v>
      </c>
      <c r="E544" s="306" t="s">
        <v>490</v>
      </c>
      <c r="F544" s="307"/>
      <c r="G544" s="297" t="s">
        <v>751</v>
      </c>
      <c r="H544" s="308" t="str">
        <f>CONCATENATE("AR-",G544,"-",I544)</f>
        <v>AR-T6V-1</v>
      </c>
      <c r="I544" s="661">
        <v>1</v>
      </c>
      <c r="J544" s="197">
        <v>1</v>
      </c>
      <c r="K544" s="246"/>
      <c r="L544" s="247"/>
      <c r="M544" s="197"/>
      <c r="N544" s="197"/>
      <c r="O544" s="197"/>
      <c r="P544" s="197"/>
      <c r="Q544" s="247"/>
      <c r="R544" s="197"/>
      <c r="S544" s="197"/>
      <c r="T544" s="197"/>
      <c r="U544" s="197"/>
    </row>
    <row r="545" spans="2:21" s="248" customFormat="1" ht="13.5" hidden="1" outlineLevel="2">
      <c r="B545" s="299" t="s">
        <v>268</v>
      </c>
      <c r="C545" s="304" t="s">
        <v>750</v>
      </c>
      <c r="D545" s="685" t="s">
        <v>348</v>
      </c>
      <c r="E545" s="306" t="s">
        <v>752</v>
      </c>
      <c r="F545" s="307"/>
      <c r="G545" s="297" t="s">
        <v>751</v>
      </c>
      <c r="H545" s="308" t="str">
        <f>CONCATENATE("AR-",G545,"-",I545)</f>
        <v>AR-T6V-1</v>
      </c>
      <c r="I545" s="661">
        <v>1</v>
      </c>
      <c r="J545" s="197">
        <v>1</v>
      </c>
      <c r="K545" s="246"/>
      <c r="L545" s="247"/>
      <c r="M545" s="197"/>
      <c r="N545" s="197"/>
      <c r="O545" s="197"/>
      <c r="P545" s="197"/>
      <c r="Q545" s="247"/>
      <c r="R545" s="197"/>
      <c r="S545" s="197"/>
      <c r="T545" s="197"/>
      <c r="U545" s="197"/>
    </row>
    <row r="546" spans="2:21" s="248" customFormat="1" ht="3" hidden="1" customHeight="1" outlineLevel="2">
      <c r="B546" s="299"/>
      <c r="C546" s="304"/>
      <c r="D546" s="685"/>
      <c r="E546" s="306" t="s">
        <v>277</v>
      </c>
      <c r="F546" s="307"/>
      <c r="G546" s="297"/>
      <c r="H546" s="308"/>
      <c r="I546" s="661"/>
      <c r="J546" s="245"/>
      <c r="K546" s="246"/>
      <c r="L546" s="247"/>
      <c r="M546" s="197"/>
      <c r="N546" s="197"/>
      <c r="O546" s="197"/>
      <c r="P546" s="197"/>
      <c r="Q546" s="247"/>
      <c r="R546" s="197"/>
      <c r="S546" s="197"/>
      <c r="T546" s="197"/>
      <c r="U546" s="197"/>
    </row>
    <row r="547" spans="2:21" s="248" customFormat="1" ht="15" hidden="1" customHeight="1" outlineLevel="2">
      <c r="B547" s="299" t="s">
        <v>686</v>
      </c>
      <c r="C547" s="304"/>
      <c r="D547" s="685"/>
      <c r="E547" s="306" t="s">
        <v>277</v>
      </c>
      <c r="F547" s="307"/>
      <c r="G547" s="297"/>
      <c r="H547" s="308"/>
      <c r="I547" s="661"/>
      <c r="J547" s="245"/>
      <c r="K547" s="246"/>
      <c r="L547" s="247"/>
      <c r="M547" s="197"/>
      <c r="N547" s="197"/>
      <c r="O547" s="197"/>
      <c r="P547" s="197"/>
      <c r="Q547" s="247"/>
      <c r="R547" s="197"/>
      <c r="S547" s="197"/>
      <c r="T547" s="197"/>
      <c r="U547" s="197"/>
    </row>
    <row r="548" spans="2:21" s="248" customFormat="1" ht="13.5" hidden="1" outlineLevel="2">
      <c r="B548" s="299" t="s">
        <v>268</v>
      </c>
      <c r="C548" s="304" t="s">
        <v>751</v>
      </c>
      <c r="D548" s="685" t="s">
        <v>279</v>
      </c>
      <c r="E548" s="306" t="s">
        <v>491</v>
      </c>
      <c r="F548" s="307"/>
      <c r="G548" s="297" t="s">
        <v>751</v>
      </c>
      <c r="H548" s="308" t="str">
        <f t="shared" ref="H548:H558" si="36">CONCATENATE("AR-",G548,"-",I548)</f>
        <v>AR-T6V-1</v>
      </c>
      <c r="I548" s="661">
        <v>1</v>
      </c>
      <c r="J548" s="197">
        <v>1</v>
      </c>
      <c r="K548" s="246"/>
      <c r="L548" s="247"/>
      <c r="M548" s="197"/>
      <c r="N548" s="197"/>
      <c r="O548" s="197"/>
      <c r="P548" s="197"/>
      <c r="Q548" s="247"/>
      <c r="R548" s="197"/>
      <c r="S548" s="197"/>
      <c r="T548" s="197"/>
      <c r="U548" s="197"/>
    </row>
    <row r="549" spans="2:21" s="248" customFormat="1" ht="13.5" hidden="1" outlineLevel="2">
      <c r="B549" s="299" t="s">
        <v>268</v>
      </c>
      <c r="C549" s="304" t="s">
        <v>751</v>
      </c>
      <c r="D549" s="685" t="s">
        <v>355</v>
      </c>
      <c r="E549" s="306" t="s">
        <v>492</v>
      </c>
      <c r="F549" s="307"/>
      <c r="G549" s="297" t="s">
        <v>751</v>
      </c>
      <c r="H549" s="308" t="str">
        <f t="shared" si="36"/>
        <v>AR-T6V-1</v>
      </c>
      <c r="I549" s="661">
        <v>1</v>
      </c>
      <c r="J549" s="197">
        <v>1</v>
      </c>
      <c r="K549" s="246"/>
      <c r="L549" s="247"/>
      <c r="M549" s="197"/>
      <c r="N549" s="197"/>
      <c r="O549" s="197"/>
      <c r="P549" s="197"/>
      <c r="Q549" s="247"/>
      <c r="R549" s="197"/>
      <c r="S549" s="197"/>
      <c r="T549" s="197"/>
      <c r="U549" s="197"/>
    </row>
    <row r="550" spans="2:21" s="248" customFormat="1" ht="13.5" hidden="1" outlineLevel="2">
      <c r="B550" s="299" t="s">
        <v>268</v>
      </c>
      <c r="C550" s="304" t="s">
        <v>751</v>
      </c>
      <c r="D550" s="685" t="s">
        <v>357</v>
      </c>
      <c r="E550" s="306" t="s">
        <v>688</v>
      </c>
      <c r="F550" s="307"/>
      <c r="G550" s="297" t="s">
        <v>751</v>
      </c>
      <c r="H550" s="308" t="str">
        <f t="shared" si="36"/>
        <v>AR-T6V-1</v>
      </c>
      <c r="I550" s="661">
        <v>1</v>
      </c>
      <c r="J550" s="197">
        <v>1</v>
      </c>
      <c r="L550" s="709"/>
      <c r="Q550" s="709"/>
    </row>
    <row r="551" spans="2:21" s="248" customFormat="1" ht="13.5" hidden="1" outlineLevel="2">
      <c r="B551" s="299" t="s">
        <v>268</v>
      </c>
      <c r="C551" s="304" t="s">
        <v>751</v>
      </c>
      <c r="D551" s="685" t="s">
        <v>359</v>
      </c>
      <c r="E551" s="306" t="s">
        <v>494</v>
      </c>
      <c r="F551" s="307"/>
      <c r="G551" s="297" t="s">
        <v>751</v>
      </c>
      <c r="H551" s="308" t="str">
        <f t="shared" si="36"/>
        <v>AR-T6V-1</v>
      </c>
      <c r="I551" s="661">
        <v>1</v>
      </c>
      <c r="J551" s="197">
        <v>1</v>
      </c>
      <c r="L551" s="709"/>
      <c r="Q551" s="709"/>
    </row>
    <row r="552" spans="2:21" s="248" customFormat="1" ht="13.5" hidden="1" outlineLevel="2">
      <c r="B552" s="299" t="s">
        <v>268</v>
      </c>
      <c r="C552" s="304" t="s">
        <v>751</v>
      </c>
      <c r="D552" s="685" t="s">
        <v>361</v>
      </c>
      <c r="E552" s="306" t="s">
        <v>495</v>
      </c>
      <c r="F552" s="307"/>
      <c r="G552" s="297" t="s">
        <v>751</v>
      </c>
      <c r="H552" s="308" t="str">
        <f t="shared" si="36"/>
        <v>AR-T6V-1</v>
      </c>
      <c r="I552" s="661">
        <v>1</v>
      </c>
      <c r="J552" s="197">
        <v>1</v>
      </c>
      <c r="L552" s="709"/>
      <c r="Q552" s="709"/>
    </row>
    <row r="553" spans="2:21" s="248" customFormat="1" ht="13.5" hidden="1" outlineLevel="2">
      <c r="B553" s="299" t="s">
        <v>268</v>
      </c>
      <c r="C553" s="304" t="s">
        <v>751</v>
      </c>
      <c r="D553" s="685" t="s">
        <v>496</v>
      </c>
      <c r="E553" s="306" t="s">
        <v>497</v>
      </c>
      <c r="F553" s="307"/>
      <c r="G553" s="297" t="s">
        <v>751</v>
      </c>
      <c r="H553" s="308" t="str">
        <f t="shared" si="36"/>
        <v>AR-T6V-1</v>
      </c>
      <c r="I553" s="661">
        <v>1</v>
      </c>
      <c r="J553" s="197">
        <v>1</v>
      </c>
      <c r="L553" s="709"/>
      <c r="Q553" s="709"/>
    </row>
    <row r="554" spans="2:21" s="248" customFormat="1" ht="13.5" hidden="1" outlineLevel="2">
      <c r="B554" s="299" t="s">
        <v>268</v>
      </c>
      <c r="C554" s="304" t="s">
        <v>751</v>
      </c>
      <c r="D554" s="685" t="s">
        <v>498</v>
      </c>
      <c r="E554" s="306" t="s">
        <v>499</v>
      </c>
      <c r="F554" s="307"/>
      <c r="G554" s="297" t="s">
        <v>751</v>
      </c>
      <c r="H554" s="308" t="str">
        <f t="shared" si="36"/>
        <v>AR-T6V-1</v>
      </c>
      <c r="I554" s="661">
        <v>1</v>
      </c>
      <c r="J554" s="197">
        <v>1</v>
      </c>
      <c r="L554" s="709"/>
      <c r="Q554" s="709"/>
    </row>
    <row r="555" spans="2:21" s="248" customFormat="1" ht="13.5" hidden="1" outlineLevel="2">
      <c r="B555" s="299" t="s">
        <v>268</v>
      </c>
      <c r="C555" s="304" t="s">
        <v>751</v>
      </c>
      <c r="D555" s="685" t="s">
        <v>500</v>
      </c>
      <c r="E555" s="306" t="s">
        <v>501</v>
      </c>
      <c r="F555" s="307"/>
      <c r="G555" s="297" t="s">
        <v>751</v>
      </c>
      <c r="H555" s="308" t="str">
        <f t="shared" si="36"/>
        <v>AR-T6V-1</v>
      </c>
      <c r="I555" s="661">
        <v>1</v>
      </c>
      <c r="J555" s="197">
        <v>1</v>
      </c>
      <c r="L555" s="709"/>
      <c r="Q555" s="709"/>
    </row>
    <row r="556" spans="2:21" s="248" customFormat="1" ht="13.5" hidden="1" outlineLevel="2">
      <c r="B556" s="299" t="s">
        <v>268</v>
      </c>
      <c r="C556" s="304" t="s">
        <v>751</v>
      </c>
      <c r="D556" s="685" t="s">
        <v>365</v>
      </c>
      <c r="E556" s="306" t="s">
        <v>690</v>
      </c>
      <c r="F556" s="307"/>
      <c r="G556" s="297" t="s">
        <v>751</v>
      </c>
      <c r="H556" s="308" t="str">
        <f t="shared" si="36"/>
        <v>AR-T6V-1</v>
      </c>
      <c r="I556" s="661">
        <v>1</v>
      </c>
      <c r="J556" s="197">
        <v>1</v>
      </c>
      <c r="L556" s="709"/>
      <c r="Q556" s="709"/>
    </row>
    <row r="557" spans="2:21" s="248" customFormat="1" ht="13.5" hidden="1" outlineLevel="2">
      <c r="B557" s="299" t="s">
        <v>268</v>
      </c>
      <c r="C557" s="304" t="s">
        <v>751</v>
      </c>
      <c r="D557" s="685" t="s">
        <v>367</v>
      </c>
      <c r="E557" s="306" t="s">
        <v>691</v>
      </c>
      <c r="F557" s="307"/>
      <c r="G557" s="297" t="s">
        <v>751</v>
      </c>
      <c r="H557" s="308" t="str">
        <f t="shared" si="36"/>
        <v>AR-T6V-1</v>
      </c>
      <c r="I557" s="661">
        <v>1</v>
      </c>
      <c r="J557" s="197">
        <v>1</v>
      </c>
      <c r="L557" s="709"/>
      <c r="Q557" s="709"/>
    </row>
    <row r="558" spans="2:21" s="248" customFormat="1" ht="13.5" hidden="1" outlineLevel="2">
      <c r="B558" s="299" t="s">
        <v>268</v>
      </c>
      <c r="C558" s="304" t="s">
        <v>750</v>
      </c>
      <c r="D558" s="685" t="s">
        <v>279</v>
      </c>
      <c r="E558" s="306" t="s">
        <v>512</v>
      </c>
      <c r="F558" s="307"/>
      <c r="G558" s="297" t="s">
        <v>751</v>
      </c>
      <c r="H558" s="308" t="str">
        <f t="shared" si="36"/>
        <v>AR-T6V-1</v>
      </c>
      <c r="I558" s="661">
        <v>1</v>
      </c>
      <c r="J558" s="197">
        <v>1</v>
      </c>
      <c r="L558" s="709"/>
      <c r="Q558" s="709"/>
    </row>
    <row r="559" spans="2:21" s="248" customFormat="1" ht="3" hidden="1" customHeight="1" outlineLevel="2">
      <c r="B559" s="299"/>
      <c r="C559" s="304"/>
      <c r="D559" s="685"/>
      <c r="E559" s="306" t="s">
        <v>277</v>
      </c>
      <c r="F559" s="307"/>
      <c r="G559" s="297"/>
      <c r="H559" s="308"/>
      <c r="I559" s="661"/>
      <c r="J559" s="245"/>
      <c r="L559" s="709"/>
      <c r="Q559" s="709"/>
    </row>
    <row r="560" spans="2:21" s="248" customFormat="1" ht="15" hidden="1" customHeight="1" outlineLevel="2">
      <c r="B560" s="299" t="s">
        <v>371</v>
      </c>
      <c r="C560" s="304"/>
      <c r="D560" s="685"/>
      <c r="E560" s="306"/>
      <c r="F560" s="307"/>
      <c r="G560" s="297"/>
      <c r="H560" s="308"/>
      <c r="I560" s="661"/>
      <c r="J560" s="245"/>
      <c r="L560" s="709"/>
      <c r="Q560" s="709"/>
    </row>
    <row r="561" spans="2:17" s="248" customFormat="1" ht="15" hidden="1" customHeight="1" outlineLevel="2">
      <c r="B561" s="299" t="s">
        <v>268</v>
      </c>
      <c r="C561" s="304" t="s">
        <v>753</v>
      </c>
      <c r="D561" s="685" t="s">
        <v>374</v>
      </c>
      <c r="E561" s="306" t="s">
        <v>514</v>
      </c>
      <c r="F561" s="307"/>
      <c r="G561" s="297" t="s">
        <v>751</v>
      </c>
      <c r="H561" s="308" t="str">
        <f t="shared" ref="H561:H571" si="37">CONCATENATE("AR-",G561,"-",I561)</f>
        <v>AR-T6V-3</v>
      </c>
      <c r="I561" s="661">
        <v>3</v>
      </c>
      <c r="J561" s="197">
        <v>1</v>
      </c>
      <c r="L561" s="709"/>
      <c r="Q561" s="709"/>
    </row>
    <row r="562" spans="2:17" s="248" customFormat="1" ht="15" hidden="1" customHeight="1" outlineLevel="2">
      <c r="B562" s="299" t="s">
        <v>268</v>
      </c>
      <c r="C562" s="304" t="s">
        <v>753</v>
      </c>
      <c r="D562" s="685" t="s">
        <v>376</v>
      </c>
      <c r="E562" s="306" t="s">
        <v>515</v>
      </c>
      <c r="F562" s="307"/>
      <c r="G562" s="297" t="s">
        <v>751</v>
      </c>
      <c r="H562" s="308" t="str">
        <f t="shared" si="37"/>
        <v>AR-T6V-3</v>
      </c>
      <c r="I562" s="661">
        <v>3</v>
      </c>
      <c r="J562" s="197">
        <v>1</v>
      </c>
      <c r="L562" s="709"/>
      <c r="Q562" s="709"/>
    </row>
    <row r="563" spans="2:17" s="248" customFormat="1" ht="15" hidden="1" customHeight="1" outlineLevel="2">
      <c r="B563" s="299" t="s">
        <v>268</v>
      </c>
      <c r="C563" s="304" t="s">
        <v>751</v>
      </c>
      <c r="D563" s="685" t="s">
        <v>374</v>
      </c>
      <c r="E563" s="306" t="s">
        <v>516</v>
      </c>
      <c r="F563" s="307"/>
      <c r="G563" s="297" t="s">
        <v>751</v>
      </c>
      <c r="H563" s="308" t="str">
        <f t="shared" si="37"/>
        <v>AR-T6V-7</v>
      </c>
      <c r="I563" s="661">
        <v>7</v>
      </c>
      <c r="J563" s="197">
        <v>1</v>
      </c>
      <c r="L563" s="709"/>
      <c r="Q563" s="709"/>
    </row>
    <row r="564" spans="2:17" s="248" customFormat="1" ht="15" hidden="1" customHeight="1" outlineLevel="2">
      <c r="B564" s="299" t="s">
        <v>268</v>
      </c>
      <c r="C564" s="304" t="s">
        <v>751</v>
      </c>
      <c r="D564" s="685" t="s">
        <v>376</v>
      </c>
      <c r="E564" s="306" t="s">
        <v>517</v>
      </c>
      <c r="F564" s="307"/>
      <c r="G564" s="297" t="s">
        <v>751</v>
      </c>
      <c r="H564" s="308" t="str">
        <f t="shared" si="37"/>
        <v>AR-T6V-7</v>
      </c>
      <c r="I564" s="661">
        <v>7</v>
      </c>
      <c r="J564" s="197">
        <v>1</v>
      </c>
      <c r="L564" s="709"/>
      <c r="Q564" s="709"/>
    </row>
    <row r="565" spans="2:17" s="248" customFormat="1" ht="15" hidden="1" customHeight="1" outlineLevel="2">
      <c r="B565" s="299" t="s">
        <v>268</v>
      </c>
      <c r="C565" s="304" t="s">
        <v>751</v>
      </c>
      <c r="D565" s="685" t="s">
        <v>380</v>
      </c>
      <c r="E565" s="306" t="s">
        <v>518</v>
      </c>
      <c r="F565" s="307"/>
      <c r="G565" s="297" t="s">
        <v>751</v>
      </c>
      <c r="H565" s="308" t="str">
        <f t="shared" si="37"/>
        <v>AR-T6V-7</v>
      </c>
      <c r="I565" s="661">
        <v>7</v>
      </c>
      <c r="J565" s="197">
        <v>1</v>
      </c>
      <c r="L565" s="709"/>
      <c r="Q565" s="709"/>
    </row>
    <row r="566" spans="2:17" s="248" customFormat="1" ht="15" hidden="1" customHeight="1" outlineLevel="2">
      <c r="B566" s="299" t="s">
        <v>268</v>
      </c>
      <c r="C566" s="304" t="s">
        <v>751</v>
      </c>
      <c r="D566" s="685" t="s">
        <v>382</v>
      </c>
      <c r="E566" s="306" t="s">
        <v>519</v>
      </c>
      <c r="F566" s="307"/>
      <c r="G566" s="297" t="s">
        <v>751</v>
      </c>
      <c r="H566" s="308" t="str">
        <f t="shared" si="37"/>
        <v>AR-T6V-7</v>
      </c>
      <c r="I566" s="661">
        <v>7</v>
      </c>
      <c r="J566" s="197">
        <v>1</v>
      </c>
      <c r="L566" s="709"/>
      <c r="Q566" s="709"/>
    </row>
    <row r="567" spans="2:17" s="248" customFormat="1" ht="15" hidden="1" customHeight="1" outlineLevel="2">
      <c r="B567" s="299" t="s">
        <v>268</v>
      </c>
      <c r="C567" s="304" t="s">
        <v>751</v>
      </c>
      <c r="D567" s="685" t="s">
        <v>520</v>
      </c>
      <c r="E567" s="306" t="s">
        <v>521</v>
      </c>
      <c r="F567" s="307"/>
      <c r="G567" s="297" t="s">
        <v>751</v>
      </c>
      <c r="H567" s="308" t="str">
        <f t="shared" si="37"/>
        <v>AR-T6V-7</v>
      </c>
      <c r="I567" s="661">
        <v>7</v>
      </c>
      <c r="J567" s="197">
        <v>1</v>
      </c>
      <c r="L567" s="709"/>
      <c r="Q567" s="709"/>
    </row>
    <row r="568" spans="2:17" s="248" customFormat="1" ht="15" hidden="1" customHeight="1" outlineLevel="2">
      <c r="B568" s="299" t="s">
        <v>268</v>
      </c>
      <c r="C568" s="304" t="s">
        <v>751</v>
      </c>
      <c r="D568" s="685" t="s">
        <v>522</v>
      </c>
      <c r="E568" s="306" t="s">
        <v>523</v>
      </c>
      <c r="F568" s="307"/>
      <c r="G568" s="297" t="s">
        <v>751</v>
      </c>
      <c r="H568" s="308" t="str">
        <f t="shared" si="37"/>
        <v>AR-T6V-7</v>
      </c>
      <c r="I568" s="661">
        <v>7</v>
      </c>
      <c r="J568" s="197">
        <v>1</v>
      </c>
      <c r="L568" s="709"/>
      <c r="Q568" s="709"/>
    </row>
    <row r="569" spans="2:17" s="248" customFormat="1" ht="15" hidden="1" customHeight="1" outlineLevel="2">
      <c r="B569" s="299" t="s">
        <v>268</v>
      </c>
      <c r="C569" s="304" t="s">
        <v>751</v>
      </c>
      <c r="D569" s="685" t="s">
        <v>524</v>
      </c>
      <c r="E569" s="306" t="s">
        <v>525</v>
      </c>
      <c r="F569" s="307"/>
      <c r="G569" s="297" t="s">
        <v>751</v>
      </c>
      <c r="H569" s="308" t="str">
        <f t="shared" si="37"/>
        <v>AR-T6V-7</v>
      </c>
      <c r="I569" s="661">
        <v>7</v>
      </c>
      <c r="J569" s="197">
        <v>1</v>
      </c>
      <c r="L569" s="709"/>
      <c r="Q569" s="709"/>
    </row>
    <row r="570" spans="2:17" s="248" customFormat="1" ht="15" hidden="1" customHeight="1" outlineLevel="2">
      <c r="B570" s="299" t="s">
        <v>268</v>
      </c>
      <c r="C570" s="304" t="s">
        <v>751</v>
      </c>
      <c r="D570" s="685" t="s">
        <v>526</v>
      </c>
      <c r="E570" s="306" t="s">
        <v>695</v>
      </c>
      <c r="F570" s="307"/>
      <c r="G570" s="297" t="s">
        <v>751</v>
      </c>
      <c r="H570" s="308" t="str">
        <f t="shared" si="37"/>
        <v>AR-T6V-10</v>
      </c>
      <c r="I570" s="661">
        <v>10</v>
      </c>
      <c r="J570" s="197">
        <v>1</v>
      </c>
      <c r="L570" s="709"/>
      <c r="Q570" s="709"/>
    </row>
    <row r="571" spans="2:17" s="248" customFormat="1" ht="15" hidden="1" customHeight="1" outlineLevel="2">
      <c r="B571" s="299" t="s">
        <v>268</v>
      </c>
      <c r="C571" s="304" t="s">
        <v>751</v>
      </c>
      <c r="D571" s="685" t="s">
        <v>528</v>
      </c>
      <c r="E571" s="306" t="s">
        <v>754</v>
      </c>
      <c r="F571" s="307"/>
      <c r="G571" s="297" t="s">
        <v>751</v>
      </c>
      <c r="H571" s="308" t="str">
        <f t="shared" si="37"/>
        <v>AR-T6V-10</v>
      </c>
      <c r="I571" s="661">
        <v>10</v>
      </c>
      <c r="J571" s="197">
        <v>1</v>
      </c>
      <c r="L571" s="709"/>
      <c r="Q571" s="709"/>
    </row>
    <row r="572" spans="2:17" s="248" customFormat="1" ht="3" hidden="1" customHeight="1" outlineLevel="2">
      <c r="B572" s="299"/>
      <c r="C572" s="304"/>
      <c r="D572" s="685"/>
      <c r="E572" s="306" t="s">
        <v>277</v>
      </c>
      <c r="F572" s="307"/>
      <c r="G572" s="297"/>
      <c r="H572" s="308"/>
      <c r="I572" s="661"/>
      <c r="J572" s="245"/>
      <c r="L572" s="709"/>
      <c r="Q572" s="709"/>
    </row>
    <row r="573" spans="2:17" s="248" customFormat="1" ht="15" hidden="1" customHeight="1" outlineLevel="2">
      <c r="B573" s="299" t="s">
        <v>386</v>
      </c>
      <c r="C573" s="304"/>
      <c r="D573" s="685"/>
      <c r="E573" s="306"/>
      <c r="F573" s="307"/>
      <c r="G573" s="297"/>
      <c r="H573" s="308"/>
      <c r="I573" s="661"/>
      <c r="J573" s="245"/>
      <c r="L573" s="709"/>
      <c r="Q573" s="709"/>
    </row>
    <row r="574" spans="2:17" s="248" customFormat="1" ht="15" hidden="1" customHeight="1" outlineLevel="2">
      <c r="B574" s="299" t="s">
        <v>268</v>
      </c>
      <c r="C574" s="304" t="s">
        <v>751</v>
      </c>
      <c r="D574" s="685" t="s">
        <v>283</v>
      </c>
      <c r="E574" s="306" t="s">
        <v>530</v>
      </c>
      <c r="F574" s="307"/>
      <c r="G574" s="297" t="s">
        <v>751</v>
      </c>
      <c r="H574" s="308" t="str">
        <f t="shared" ref="H574:H585" si="38">CONCATENATE("AR-",G574,"-",I574)</f>
        <v>AR-T6V-2</v>
      </c>
      <c r="I574" s="661">
        <v>2</v>
      </c>
      <c r="J574" s="197">
        <v>1</v>
      </c>
      <c r="L574" s="709"/>
      <c r="Q574" s="709"/>
    </row>
    <row r="575" spans="2:17" s="248" customFormat="1" ht="15" hidden="1" customHeight="1" outlineLevel="2">
      <c r="B575" s="299" t="s">
        <v>268</v>
      </c>
      <c r="C575" s="304" t="s">
        <v>751</v>
      </c>
      <c r="D575" s="685" t="s">
        <v>390</v>
      </c>
      <c r="E575" s="306" t="s">
        <v>530</v>
      </c>
      <c r="F575" s="307"/>
      <c r="G575" s="297" t="s">
        <v>751</v>
      </c>
      <c r="H575" s="308" t="str">
        <f t="shared" si="38"/>
        <v>AR-T6V-2</v>
      </c>
      <c r="I575" s="661">
        <v>2</v>
      </c>
      <c r="J575" s="197">
        <v>1</v>
      </c>
      <c r="L575" s="709"/>
      <c r="Q575" s="709"/>
    </row>
    <row r="576" spans="2:17" s="248" customFormat="1" ht="15" hidden="1" customHeight="1" outlineLevel="2">
      <c r="B576" s="299" t="s">
        <v>268</v>
      </c>
      <c r="C576" s="304" t="s">
        <v>751</v>
      </c>
      <c r="D576" s="685" t="s">
        <v>392</v>
      </c>
      <c r="E576" s="306" t="s">
        <v>530</v>
      </c>
      <c r="F576" s="307"/>
      <c r="G576" s="297" t="s">
        <v>751</v>
      </c>
      <c r="H576" s="308" t="str">
        <f t="shared" si="38"/>
        <v>AR-T6V-2</v>
      </c>
      <c r="I576" s="661">
        <v>2</v>
      </c>
      <c r="J576" s="197">
        <v>1</v>
      </c>
      <c r="L576" s="709"/>
      <c r="Q576" s="709"/>
    </row>
    <row r="577" spans="1:17" s="248" customFormat="1" ht="15" hidden="1" customHeight="1" outlineLevel="2">
      <c r="B577" s="299" t="s">
        <v>268</v>
      </c>
      <c r="C577" s="304" t="s">
        <v>751</v>
      </c>
      <c r="D577" s="685" t="s">
        <v>394</v>
      </c>
      <c r="E577" s="306" t="s">
        <v>533</v>
      </c>
      <c r="F577" s="307"/>
      <c r="G577" s="297" t="s">
        <v>751</v>
      </c>
      <c r="H577" s="308" t="str">
        <f t="shared" si="38"/>
        <v>AR-T6V-4</v>
      </c>
      <c r="I577" s="661">
        <v>4</v>
      </c>
      <c r="J577" s="197">
        <v>1</v>
      </c>
      <c r="L577" s="709"/>
      <c r="Q577" s="709"/>
    </row>
    <row r="578" spans="1:17" s="248" customFormat="1" ht="15" hidden="1" customHeight="1" outlineLevel="2">
      <c r="B578" s="299" t="s">
        <v>268</v>
      </c>
      <c r="C578" s="304" t="s">
        <v>751</v>
      </c>
      <c r="D578" s="685" t="s">
        <v>396</v>
      </c>
      <c r="E578" s="306" t="s">
        <v>534</v>
      </c>
      <c r="F578" s="307"/>
      <c r="G578" s="297" t="s">
        <v>751</v>
      </c>
      <c r="H578" s="308" t="str">
        <f t="shared" si="38"/>
        <v>AR-T6V-4</v>
      </c>
      <c r="I578" s="661">
        <v>4</v>
      </c>
      <c r="J578" s="197">
        <v>1</v>
      </c>
      <c r="L578" s="709"/>
      <c r="Q578" s="709"/>
    </row>
    <row r="579" spans="1:17" s="248" customFormat="1" ht="15" hidden="1" customHeight="1" outlineLevel="2">
      <c r="B579" s="299" t="s">
        <v>268</v>
      </c>
      <c r="C579" s="304" t="s">
        <v>751</v>
      </c>
      <c r="D579" s="685" t="s">
        <v>535</v>
      </c>
      <c r="E579" s="306" t="s">
        <v>536</v>
      </c>
      <c r="F579" s="307"/>
      <c r="G579" s="297" t="s">
        <v>751</v>
      </c>
      <c r="H579" s="308" t="str">
        <f t="shared" si="38"/>
        <v>AR-T6V-7</v>
      </c>
      <c r="I579" s="661">
        <v>7</v>
      </c>
      <c r="J579" s="197">
        <v>1</v>
      </c>
      <c r="L579" s="709"/>
      <c r="Q579" s="709"/>
    </row>
    <row r="580" spans="1:17" s="248" customFormat="1" ht="15" hidden="1" customHeight="1" outlineLevel="2">
      <c r="B580" s="299" t="s">
        <v>268</v>
      </c>
      <c r="C580" s="304" t="s">
        <v>751</v>
      </c>
      <c r="D580" s="685" t="s">
        <v>537</v>
      </c>
      <c r="E580" s="306" t="s">
        <v>538</v>
      </c>
      <c r="F580" s="307"/>
      <c r="G580" s="297" t="s">
        <v>751</v>
      </c>
      <c r="H580" s="308" t="str">
        <f t="shared" si="38"/>
        <v>AR-T6V-5</v>
      </c>
      <c r="I580" s="661">
        <v>5</v>
      </c>
      <c r="J580" s="197">
        <v>1</v>
      </c>
      <c r="L580" s="709"/>
      <c r="Q580" s="709"/>
    </row>
    <row r="581" spans="1:17" s="248" customFormat="1" ht="15" hidden="1" customHeight="1" outlineLevel="2">
      <c r="B581" s="299" t="s">
        <v>268</v>
      </c>
      <c r="C581" s="304" t="s">
        <v>751</v>
      </c>
      <c r="D581" s="685" t="s">
        <v>539</v>
      </c>
      <c r="E581" s="306" t="s">
        <v>540</v>
      </c>
      <c r="F581" s="307"/>
      <c r="G581" s="297" t="s">
        <v>751</v>
      </c>
      <c r="H581" s="308" t="str">
        <f t="shared" si="38"/>
        <v>AR-T6V-6</v>
      </c>
      <c r="I581" s="661">
        <v>6</v>
      </c>
      <c r="J581" s="197">
        <v>1</v>
      </c>
      <c r="L581" s="709"/>
      <c r="Q581" s="709"/>
    </row>
    <row r="582" spans="1:17" s="248" customFormat="1" ht="15" hidden="1" customHeight="1" outlineLevel="2">
      <c r="B582" s="299" t="s">
        <v>268</v>
      </c>
      <c r="C582" s="304" t="s">
        <v>751</v>
      </c>
      <c r="D582" s="685" t="s">
        <v>541</v>
      </c>
      <c r="E582" s="306" t="s">
        <v>542</v>
      </c>
      <c r="F582" s="307"/>
      <c r="G582" s="297" t="s">
        <v>751</v>
      </c>
      <c r="H582" s="308" t="str">
        <f t="shared" si="38"/>
        <v>AR-T6V-7</v>
      </c>
      <c r="I582" s="661">
        <v>7</v>
      </c>
      <c r="J582" s="197">
        <v>1</v>
      </c>
      <c r="L582" s="709"/>
      <c r="Q582" s="709"/>
    </row>
    <row r="583" spans="1:17" s="248" customFormat="1" ht="15" hidden="1" customHeight="1" outlineLevel="2">
      <c r="B583" s="299" t="s">
        <v>268</v>
      </c>
      <c r="C583" s="304" t="s">
        <v>751</v>
      </c>
      <c r="D583" s="685" t="s">
        <v>531</v>
      </c>
      <c r="E583" s="306" t="s">
        <v>708</v>
      </c>
      <c r="F583" s="307"/>
      <c r="G583" s="297" t="s">
        <v>751</v>
      </c>
      <c r="H583" s="308" t="str">
        <f t="shared" si="38"/>
        <v>AR-T6V-8</v>
      </c>
      <c r="I583" s="661">
        <v>8</v>
      </c>
      <c r="J583" s="234">
        <v>1</v>
      </c>
      <c r="L583" s="709"/>
      <c r="Q583" s="709"/>
    </row>
    <row r="584" spans="1:17" s="248" customFormat="1" ht="15" hidden="1" customHeight="1" outlineLevel="2">
      <c r="B584" s="299" t="s">
        <v>268</v>
      </c>
      <c r="C584" s="304" t="s">
        <v>751</v>
      </c>
      <c r="D584" s="685" t="s">
        <v>544</v>
      </c>
      <c r="E584" s="306" t="s">
        <v>755</v>
      </c>
      <c r="F584" s="307"/>
      <c r="G584" s="297" t="s">
        <v>751</v>
      </c>
      <c r="H584" s="308" t="str">
        <f t="shared" si="38"/>
        <v>AR-T6V-8</v>
      </c>
      <c r="I584" s="661">
        <v>8</v>
      </c>
      <c r="J584" s="197">
        <v>1</v>
      </c>
      <c r="L584" s="709"/>
      <c r="Q584" s="709"/>
    </row>
    <row r="585" spans="1:17" s="248" customFormat="1" ht="15" hidden="1" customHeight="1" outlineLevel="2">
      <c r="B585" s="299" t="s">
        <v>268</v>
      </c>
      <c r="C585" s="304" t="s">
        <v>751</v>
      </c>
      <c r="D585" s="685" t="s">
        <v>546</v>
      </c>
      <c r="E585" s="306" t="s">
        <v>755</v>
      </c>
      <c r="F585" s="307"/>
      <c r="G585" s="297" t="s">
        <v>751</v>
      </c>
      <c r="H585" s="308" t="str">
        <f t="shared" si="38"/>
        <v>AR-T6V-8</v>
      </c>
      <c r="I585" s="661">
        <v>8</v>
      </c>
      <c r="J585" s="197">
        <v>1</v>
      </c>
      <c r="L585" s="709"/>
      <c r="Q585" s="709"/>
    </row>
    <row r="586" spans="1:17" s="248" customFormat="1" ht="3" hidden="1" customHeight="1" outlineLevel="2">
      <c r="B586" s="299"/>
      <c r="C586" s="304"/>
      <c r="D586" s="685"/>
      <c r="E586" s="306" t="s">
        <v>277</v>
      </c>
      <c r="F586" s="307"/>
      <c r="G586" s="297"/>
      <c r="H586" s="308"/>
      <c r="I586" s="661"/>
      <c r="J586" s="245"/>
      <c r="L586" s="709"/>
      <c r="Q586" s="709"/>
    </row>
    <row r="587" spans="1:17" s="248" customFormat="1" ht="15" hidden="1" customHeight="1" outlineLevel="2">
      <c r="B587" s="299" t="s">
        <v>710</v>
      </c>
      <c r="C587" s="304"/>
      <c r="D587" s="685"/>
      <c r="E587" s="306"/>
      <c r="F587" s="307"/>
      <c r="G587" s="297"/>
      <c r="H587" s="308"/>
      <c r="I587" s="661"/>
      <c r="J587" s="245"/>
      <c r="L587" s="709"/>
      <c r="Q587" s="709"/>
    </row>
    <row r="588" spans="1:17" s="248" customFormat="1" ht="13.5" hidden="1" outlineLevel="2">
      <c r="B588" s="299" t="s">
        <v>268</v>
      </c>
      <c r="C588" s="304" t="s">
        <v>751</v>
      </c>
      <c r="D588" s="685" t="s">
        <v>328</v>
      </c>
      <c r="E588" s="306" t="s">
        <v>329</v>
      </c>
      <c r="F588" s="307"/>
      <c r="G588" s="297" t="s">
        <v>751</v>
      </c>
      <c r="H588" s="308" t="str">
        <f>CONCATENATE("AR-",G588,"-",I588)</f>
        <v>AR-T6V-1</v>
      </c>
      <c r="I588" s="661">
        <v>1</v>
      </c>
      <c r="J588" s="197">
        <v>1</v>
      </c>
      <c r="L588" s="709"/>
      <c r="Q588" s="709"/>
    </row>
    <row r="589" spans="1:17" s="248" customFormat="1" ht="13.5" hidden="1" outlineLevel="2">
      <c r="B589" s="299" t="s">
        <v>268</v>
      </c>
      <c r="C589" s="304" t="s">
        <v>751</v>
      </c>
      <c r="D589" s="685" t="s">
        <v>330</v>
      </c>
      <c r="E589" s="306" t="s">
        <v>331</v>
      </c>
      <c r="F589" s="307"/>
      <c r="G589" s="297" t="s">
        <v>751</v>
      </c>
      <c r="H589" s="308" t="str">
        <f>CONCATENATE("AR-",G589,"-",I589)</f>
        <v>AR-T6V-1</v>
      </c>
      <c r="I589" s="661">
        <v>1</v>
      </c>
      <c r="J589" s="197">
        <v>1</v>
      </c>
      <c r="L589" s="709"/>
      <c r="Q589" s="709"/>
    </row>
    <row r="590" spans="1:17" s="248" customFormat="1" ht="3" hidden="1" customHeight="1" outlineLevel="2">
      <c r="B590" s="299"/>
      <c r="C590" s="304"/>
      <c r="D590" s="685"/>
      <c r="E590" s="306" t="s">
        <v>277</v>
      </c>
      <c r="F590" s="307"/>
      <c r="G590" s="297"/>
      <c r="H590" s="308"/>
      <c r="I590" s="661"/>
      <c r="J590" s="245"/>
      <c r="L590" s="709"/>
      <c r="Q590" s="709"/>
    </row>
    <row r="591" spans="1:17" s="248" customFormat="1" ht="15" hidden="1" customHeight="1" outlineLevel="2">
      <c r="B591" s="299" t="s">
        <v>548</v>
      </c>
      <c r="C591" s="304"/>
      <c r="D591" s="685"/>
      <c r="E591" s="306"/>
      <c r="F591" s="307"/>
      <c r="G591" s="297"/>
      <c r="H591" s="308"/>
      <c r="I591" s="661"/>
      <c r="J591" s="245"/>
      <c r="L591" s="709"/>
      <c r="Q591" s="709"/>
    </row>
    <row r="592" spans="1:17" s="248" customFormat="1" ht="13.5" hidden="1" outlineLevel="2">
      <c r="A592" s="678"/>
      <c r="B592" s="299" t="s">
        <v>268</v>
      </c>
      <c r="C592" s="304" t="s">
        <v>751</v>
      </c>
      <c r="D592" s="685" t="s">
        <v>335</v>
      </c>
      <c r="E592" s="306" t="s">
        <v>336</v>
      </c>
      <c r="F592" s="307"/>
      <c r="G592" s="297" t="s">
        <v>751</v>
      </c>
      <c r="H592" s="308" t="str">
        <f>CONCATENATE("AR-",G592,"-",I592)</f>
        <v>AR-T6V-1</v>
      </c>
      <c r="I592" s="661">
        <v>1</v>
      </c>
      <c r="J592" s="197">
        <v>1</v>
      </c>
      <c r="L592" s="709"/>
      <c r="Q592" s="709"/>
    </row>
    <row r="593" spans="1:17" s="248" customFormat="1" ht="13.5" hidden="1" outlineLevel="2">
      <c r="A593" s="678"/>
      <c r="B593" s="299" t="s">
        <v>268</v>
      </c>
      <c r="C593" s="304" t="s">
        <v>751</v>
      </c>
      <c r="D593" s="685" t="s">
        <v>337</v>
      </c>
      <c r="E593" s="306" t="s">
        <v>338</v>
      </c>
      <c r="F593" s="307"/>
      <c r="G593" s="297" t="s">
        <v>751</v>
      </c>
      <c r="H593" s="308" t="str">
        <f>CONCATENATE("AR-",G593,"-",I593)</f>
        <v>AR-T6V-1</v>
      </c>
      <c r="I593" s="661">
        <v>1</v>
      </c>
      <c r="J593" s="197">
        <v>1</v>
      </c>
      <c r="L593" s="709"/>
      <c r="Q593" s="709"/>
    </row>
    <row r="594" spans="1:17" s="233" customFormat="1" ht="15" hidden="1" customHeight="1" outlineLevel="2">
      <c r="A594" s="681"/>
      <c r="B594" s="299" t="s">
        <v>549</v>
      </c>
      <c r="C594" s="304"/>
      <c r="D594" s="685"/>
      <c r="E594" s="306"/>
      <c r="F594" s="307"/>
      <c r="G594" s="297"/>
      <c r="H594" s="308"/>
      <c r="I594" s="661"/>
      <c r="J594" s="197"/>
      <c r="L594" s="237"/>
      <c r="Q594" s="237"/>
    </row>
    <row r="595" spans="1:17" s="233" customFormat="1" ht="15" hidden="1" customHeight="1" outlineLevel="2">
      <c r="A595" s="681"/>
      <c r="B595" s="299" t="s">
        <v>268</v>
      </c>
      <c r="C595" s="304" t="s">
        <v>751</v>
      </c>
      <c r="D595" s="685" t="s">
        <v>335</v>
      </c>
      <c r="E595" s="306" t="s">
        <v>336</v>
      </c>
      <c r="F595" s="307"/>
      <c r="G595" s="297" t="s">
        <v>751</v>
      </c>
      <c r="H595" s="308" t="str">
        <f t="shared" ref="H595:H601" si="39">CONCATENATE("AR-",G595,"-",I595)</f>
        <v>AR-T6V-1</v>
      </c>
      <c r="I595" s="661">
        <v>1</v>
      </c>
      <c r="J595" s="197">
        <v>1</v>
      </c>
      <c r="L595" s="237"/>
      <c r="Q595" s="237"/>
    </row>
    <row r="596" spans="1:17" s="233" customFormat="1" ht="15" hidden="1" customHeight="1" outlineLevel="2">
      <c r="A596" s="681"/>
      <c r="B596" s="299" t="s">
        <v>268</v>
      </c>
      <c r="C596" s="304" t="s">
        <v>751</v>
      </c>
      <c r="D596" s="685" t="s">
        <v>337</v>
      </c>
      <c r="E596" s="306" t="s">
        <v>338</v>
      </c>
      <c r="F596" s="307"/>
      <c r="G596" s="297" t="s">
        <v>751</v>
      </c>
      <c r="H596" s="308" t="str">
        <f t="shared" si="39"/>
        <v>AR-T6V-1</v>
      </c>
      <c r="I596" s="661">
        <v>1</v>
      </c>
      <c r="J596" s="197">
        <v>1</v>
      </c>
      <c r="L596" s="237"/>
      <c r="Q596" s="237"/>
    </row>
    <row r="597" spans="1:17" s="233" customFormat="1" ht="15" hidden="1" customHeight="1" outlineLevel="2">
      <c r="A597" s="681"/>
      <c r="B597" s="299" t="s">
        <v>268</v>
      </c>
      <c r="C597" s="304" t="s">
        <v>751</v>
      </c>
      <c r="D597" s="685" t="s">
        <v>551</v>
      </c>
      <c r="E597" s="306" t="s">
        <v>552</v>
      </c>
      <c r="F597" s="307"/>
      <c r="G597" s="297" t="s">
        <v>751</v>
      </c>
      <c r="H597" s="308" t="str">
        <f t="shared" si="39"/>
        <v>AR-T6V-1</v>
      </c>
      <c r="I597" s="661">
        <v>1</v>
      </c>
      <c r="J597" s="197">
        <v>1</v>
      </c>
      <c r="L597" s="237"/>
      <c r="Q597" s="237"/>
    </row>
    <row r="598" spans="1:17" s="233" customFormat="1" ht="15" hidden="1" customHeight="1" outlineLevel="2">
      <c r="A598" s="681"/>
      <c r="B598" s="299" t="s">
        <v>268</v>
      </c>
      <c r="C598" s="304" t="s">
        <v>751</v>
      </c>
      <c r="D598" s="685" t="s">
        <v>553</v>
      </c>
      <c r="E598" s="306" t="s">
        <v>552</v>
      </c>
      <c r="F598" s="307"/>
      <c r="G598" s="297" t="s">
        <v>751</v>
      </c>
      <c r="H598" s="308" t="str">
        <f t="shared" si="39"/>
        <v>AR-T6V-1</v>
      </c>
      <c r="I598" s="661">
        <v>1</v>
      </c>
      <c r="J598" s="197">
        <v>1</v>
      </c>
      <c r="L598" s="237"/>
      <c r="Q598" s="237"/>
    </row>
    <row r="599" spans="1:17" s="233" customFormat="1" ht="15" hidden="1" customHeight="1" outlineLevel="2">
      <c r="A599" s="681"/>
      <c r="B599" s="299" t="s">
        <v>268</v>
      </c>
      <c r="C599" s="304" t="s">
        <v>751</v>
      </c>
      <c r="D599" s="685" t="s">
        <v>554</v>
      </c>
      <c r="E599" s="306" t="s">
        <v>552</v>
      </c>
      <c r="F599" s="307"/>
      <c r="G599" s="297" t="s">
        <v>751</v>
      </c>
      <c r="H599" s="308" t="str">
        <f t="shared" si="39"/>
        <v>AR-T6V-1</v>
      </c>
      <c r="I599" s="661">
        <v>1</v>
      </c>
      <c r="J599" s="197">
        <v>1</v>
      </c>
      <c r="L599" s="237"/>
      <c r="Q599" s="237"/>
    </row>
    <row r="600" spans="1:17" s="233" customFormat="1" ht="15" hidden="1" customHeight="1" outlineLevel="2">
      <c r="A600" s="681"/>
      <c r="B600" s="299" t="s">
        <v>268</v>
      </c>
      <c r="C600" s="304" t="s">
        <v>751</v>
      </c>
      <c r="D600" s="685" t="s">
        <v>555</v>
      </c>
      <c r="E600" s="306" t="s">
        <v>552</v>
      </c>
      <c r="F600" s="307"/>
      <c r="G600" s="297" t="s">
        <v>751</v>
      </c>
      <c r="H600" s="308" t="str">
        <f t="shared" si="39"/>
        <v>AR-T6V-1</v>
      </c>
      <c r="I600" s="661">
        <v>1</v>
      </c>
      <c r="J600" s="197">
        <v>1</v>
      </c>
      <c r="L600" s="237"/>
      <c r="Q600" s="237"/>
    </row>
    <row r="601" spans="1:17" s="233" customFormat="1" ht="15" hidden="1" customHeight="1" outlineLevel="2">
      <c r="A601" s="681"/>
      <c r="B601" s="299" t="s">
        <v>268</v>
      </c>
      <c r="C601" s="304" t="s">
        <v>751</v>
      </c>
      <c r="D601" s="685" t="s">
        <v>556</v>
      </c>
      <c r="E601" s="306" t="s">
        <v>552</v>
      </c>
      <c r="F601" s="307"/>
      <c r="G601" s="297" t="s">
        <v>751</v>
      </c>
      <c r="H601" s="308" t="str">
        <f t="shared" si="39"/>
        <v>AR-T6V-1</v>
      </c>
      <c r="I601" s="661">
        <v>1</v>
      </c>
      <c r="J601" s="197">
        <v>1</v>
      </c>
      <c r="L601" s="237"/>
      <c r="Q601" s="237"/>
    </row>
    <row r="602" spans="1:17" s="233" customFormat="1" ht="3" hidden="1" customHeight="1" outlineLevel="2">
      <c r="A602" s="681"/>
      <c r="B602" s="299"/>
      <c r="C602" s="304"/>
      <c r="D602" s="685"/>
      <c r="E602" s="306" t="s">
        <v>277</v>
      </c>
      <c r="F602" s="307"/>
      <c r="G602" s="297"/>
      <c r="H602" s="308"/>
      <c r="I602" s="661"/>
      <c r="J602" s="197"/>
      <c r="L602" s="237"/>
      <c r="Q602" s="237"/>
    </row>
    <row r="603" spans="1:17" s="248" customFormat="1" ht="15" hidden="1" customHeight="1" outlineLevel="2">
      <c r="B603" s="299" t="s">
        <v>557</v>
      </c>
      <c r="C603" s="304"/>
      <c r="D603" s="685"/>
      <c r="E603" s="306" t="s">
        <v>277</v>
      </c>
      <c r="F603" s="307"/>
      <c r="G603" s="297"/>
      <c r="H603" s="308"/>
      <c r="I603" s="661"/>
      <c r="J603" s="245"/>
      <c r="L603" s="709"/>
      <c r="Q603" s="709"/>
    </row>
    <row r="604" spans="1:17" s="248" customFormat="1" ht="15" hidden="1" customHeight="1" outlineLevel="2">
      <c r="B604" s="299" t="s">
        <v>268</v>
      </c>
      <c r="C604" s="304" t="s">
        <v>751</v>
      </c>
      <c r="D604" s="685" t="s">
        <v>756</v>
      </c>
      <c r="E604" s="306" t="s">
        <v>757</v>
      </c>
      <c r="F604" s="307"/>
      <c r="G604" s="297" t="s">
        <v>751</v>
      </c>
      <c r="H604" s="308" t="str">
        <f t="shared" ref="H604:H614" si="40">CONCATENATE("AR-",G604,"-",I604)</f>
        <v>AR-T6V-7</v>
      </c>
      <c r="I604" s="661">
        <v>7</v>
      </c>
      <c r="J604" s="234">
        <v>1</v>
      </c>
      <c r="L604" s="709"/>
      <c r="Q604" s="709"/>
    </row>
    <row r="605" spans="1:17" s="248" customFormat="1" ht="15" hidden="1" customHeight="1" outlineLevel="2">
      <c r="B605" s="299" t="s">
        <v>268</v>
      </c>
      <c r="C605" s="304" t="s">
        <v>751</v>
      </c>
      <c r="D605" s="685" t="s">
        <v>758</v>
      </c>
      <c r="E605" s="306" t="s">
        <v>759</v>
      </c>
      <c r="F605" s="307"/>
      <c r="G605" s="297" t="s">
        <v>751</v>
      </c>
      <c r="H605" s="308" t="str">
        <f t="shared" si="40"/>
        <v>AR-T6V-7</v>
      </c>
      <c r="I605" s="661">
        <v>7</v>
      </c>
      <c r="J605" s="234">
        <v>1</v>
      </c>
      <c r="L605" s="709"/>
      <c r="Q605" s="709"/>
    </row>
    <row r="606" spans="1:17" s="248" customFormat="1" ht="15" hidden="1" customHeight="1" outlineLevel="2">
      <c r="B606" s="299" t="s">
        <v>268</v>
      </c>
      <c r="C606" s="304" t="s">
        <v>751</v>
      </c>
      <c r="D606" s="685" t="s">
        <v>760</v>
      </c>
      <c r="E606" s="306" t="s">
        <v>761</v>
      </c>
      <c r="F606" s="307"/>
      <c r="G606" s="297" t="s">
        <v>751</v>
      </c>
      <c r="H606" s="308" t="str">
        <f t="shared" si="40"/>
        <v>AR-T6V-7</v>
      </c>
      <c r="I606" s="661">
        <v>7</v>
      </c>
      <c r="J606" s="234">
        <v>1</v>
      </c>
      <c r="L606" s="709"/>
      <c r="Q606" s="709"/>
    </row>
    <row r="607" spans="1:17" s="248" customFormat="1" ht="15" hidden="1" customHeight="1" outlineLevel="2">
      <c r="B607" s="299" t="s">
        <v>268</v>
      </c>
      <c r="C607" s="304" t="s">
        <v>751</v>
      </c>
      <c r="D607" s="685" t="s">
        <v>762</v>
      </c>
      <c r="E607" s="306" t="s">
        <v>763</v>
      </c>
      <c r="F607" s="307"/>
      <c r="G607" s="297" t="s">
        <v>751</v>
      </c>
      <c r="H607" s="308" t="str">
        <f t="shared" si="40"/>
        <v>AR-T6V-7</v>
      </c>
      <c r="I607" s="661">
        <v>7</v>
      </c>
      <c r="J607" s="197">
        <v>1</v>
      </c>
      <c r="L607" s="709"/>
      <c r="Q607" s="709"/>
    </row>
    <row r="608" spans="1:17" s="248" customFormat="1" ht="15" hidden="1" customHeight="1" outlineLevel="2">
      <c r="B608" s="299" t="s">
        <v>268</v>
      </c>
      <c r="C608" s="304" t="s">
        <v>751</v>
      </c>
      <c r="D608" s="685" t="s">
        <v>402</v>
      </c>
      <c r="E608" s="306" t="s">
        <v>764</v>
      </c>
      <c r="F608" s="307"/>
      <c r="G608" s="297" t="s">
        <v>751</v>
      </c>
      <c r="H608" s="308" t="str">
        <f t="shared" si="40"/>
        <v>AR-T6V-7</v>
      </c>
      <c r="I608" s="661">
        <v>7</v>
      </c>
      <c r="J608" s="197">
        <v>1</v>
      </c>
      <c r="L608" s="709"/>
      <c r="Q608" s="709"/>
    </row>
    <row r="609" spans="2:17" s="248" customFormat="1" ht="15" hidden="1" customHeight="1" outlineLevel="2">
      <c r="B609" s="299" t="s">
        <v>268</v>
      </c>
      <c r="C609" s="304" t="s">
        <v>751</v>
      </c>
      <c r="D609" s="685" t="s">
        <v>569</v>
      </c>
      <c r="E609" s="306" t="s">
        <v>765</v>
      </c>
      <c r="F609" s="307"/>
      <c r="G609" s="297" t="s">
        <v>751</v>
      </c>
      <c r="H609" s="308" t="str">
        <f t="shared" si="40"/>
        <v>AR-T6V-7</v>
      </c>
      <c r="I609" s="661">
        <v>7</v>
      </c>
      <c r="J609" s="197">
        <v>1</v>
      </c>
      <c r="L609" s="709"/>
      <c r="Q609" s="709"/>
    </row>
    <row r="610" spans="2:17" s="248" customFormat="1" ht="15" hidden="1" customHeight="1" outlineLevel="2">
      <c r="B610" s="299" t="s">
        <v>268</v>
      </c>
      <c r="C610" s="304" t="s">
        <v>751</v>
      </c>
      <c r="D610" s="685" t="s">
        <v>571</v>
      </c>
      <c r="E610" s="306" t="s">
        <v>766</v>
      </c>
      <c r="F610" s="307"/>
      <c r="G610" s="297" t="s">
        <v>751</v>
      </c>
      <c r="H610" s="308" t="str">
        <f t="shared" si="40"/>
        <v>AR-T6V-7</v>
      </c>
      <c r="I610" s="661">
        <v>7</v>
      </c>
      <c r="J610" s="197">
        <v>1</v>
      </c>
      <c r="L610" s="709"/>
      <c r="Q610" s="709"/>
    </row>
    <row r="611" spans="2:17" s="248" customFormat="1" ht="15" hidden="1" customHeight="1" outlineLevel="2">
      <c r="B611" s="299" t="s">
        <v>268</v>
      </c>
      <c r="C611" s="304" t="s">
        <v>751</v>
      </c>
      <c r="D611" s="685" t="s">
        <v>573</v>
      </c>
      <c r="E611" s="306" t="s">
        <v>767</v>
      </c>
      <c r="F611" s="307"/>
      <c r="G611" s="297" t="s">
        <v>751</v>
      </c>
      <c r="H611" s="308" t="str">
        <f t="shared" si="40"/>
        <v>AR-T6V-7</v>
      </c>
      <c r="I611" s="661">
        <v>7</v>
      </c>
      <c r="J611" s="197">
        <v>1</v>
      </c>
      <c r="L611" s="709"/>
      <c r="Q611" s="709"/>
    </row>
    <row r="612" spans="2:17" s="248" customFormat="1" ht="15" hidden="1" customHeight="1" outlineLevel="2">
      <c r="B612" s="299" t="s">
        <v>268</v>
      </c>
      <c r="C612" s="304" t="s">
        <v>751</v>
      </c>
      <c r="D612" s="685" t="s">
        <v>575</v>
      </c>
      <c r="E612" s="306" t="s">
        <v>768</v>
      </c>
      <c r="F612" s="307"/>
      <c r="G612" s="297" t="s">
        <v>751</v>
      </c>
      <c r="H612" s="308" t="str">
        <f t="shared" si="40"/>
        <v>AR-T6V-7</v>
      </c>
      <c r="I612" s="661">
        <v>7</v>
      </c>
      <c r="J612" s="197">
        <v>1</v>
      </c>
      <c r="L612" s="709"/>
      <c r="Q612" s="709"/>
    </row>
    <row r="613" spans="2:17" s="248" customFormat="1" ht="15" hidden="1" customHeight="1" outlineLevel="2">
      <c r="B613" s="299" t="s">
        <v>268</v>
      </c>
      <c r="C613" s="304" t="s">
        <v>751</v>
      </c>
      <c r="D613" s="685" t="s">
        <v>769</v>
      </c>
      <c r="E613" s="306" t="s">
        <v>770</v>
      </c>
      <c r="F613" s="307"/>
      <c r="G613" s="297" t="s">
        <v>751</v>
      </c>
      <c r="H613" s="308" t="str">
        <f t="shared" si="40"/>
        <v>AR-T6V-10</v>
      </c>
      <c r="I613" s="661">
        <v>10</v>
      </c>
      <c r="J613" s="197">
        <v>1</v>
      </c>
      <c r="L613" s="709"/>
      <c r="Q613" s="709"/>
    </row>
    <row r="614" spans="2:17" s="248" customFormat="1" ht="15" hidden="1" customHeight="1" outlineLevel="2">
      <c r="B614" s="299" t="s">
        <v>268</v>
      </c>
      <c r="C614" s="304" t="s">
        <v>489</v>
      </c>
      <c r="D614" s="685" t="s">
        <v>303</v>
      </c>
      <c r="E614" s="306" t="s">
        <v>771</v>
      </c>
      <c r="F614" s="307"/>
      <c r="G614" s="297" t="s">
        <v>751</v>
      </c>
      <c r="H614" s="308" t="str">
        <f t="shared" si="40"/>
        <v>AR-T6V-10</v>
      </c>
      <c r="I614" s="661">
        <v>10</v>
      </c>
      <c r="J614" s="234">
        <v>1</v>
      </c>
      <c r="L614" s="709"/>
      <c r="Q614" s="709"/>
    </row>
    <row r="615" spans="2:17" s="248" customFormat="1" ht="3" hidden="1" customHeight="1" outlineLevel="2">
      <c r="B615" s="299"/>
      <c r="C615" s="304"/>
      <c r="D615" s="685"/>
      <c r="E615" s="306" t="s">
        <v>277</v>
      </c>
      <c r="F615" s="307"/>
      <c r="G615" s="297"/>
      <c r="H615" s="308"/>
      <c r="I615" s="661"/>
      <c r="J615" s="245"/>
      <c r="L615" s="709"/>
      <c r="Q615" s="709"/>
    </row>
    <row r="616" spans="2:17" s="248" customFormat="1" ht="15" hidden="1" customHeight="1" outlineLevel="2">
      <c r="B616" s="299" t="s">
        <v>578</v>
      </c>
      <c r="C616" s="304"/>
      <c r="D616" s="685"/>
      <c r="E616" s="306"/>
      <c r="F616" s="307"/>
      <c r="G616" s="297"/>
      <c r="H616" s="308"/>
      <c r="I616" s="661"/>
      <c r="J616" s="245"/>
      <c r="L616" s="709"/>
      <c r="Q616" s="709"/>
    </row>
    <row r="617" spans="2:17" s="248" customFormat="1" ht="14.25" hidden="1" customHeight="1" outlineLevel="2">
      <c r="B617" s="299" t="s">
        <v>268</v>
      </c>
      <c r="C617" s="304" t="s">
        <v>751</v>
      </c>
      <c r="D617" s="685" t="s">
        <v>409</v>
      </c>
      <c r="E617" s="306" t="s">
        <v>408</v>
      </c>
      <c r="F617" s="307"/>
      <c r="G617" s="297" t="s">
        <v>751</v>
      </c>
      <c r="H617" s="308" t="str">
        <f>CONCATENATE("AR-",G617,"-",I617)</f>
        <v>AR-T6V-7</v>
      </c>
      <c r="I617" s="661">
        <v>7</v>
      </c>
      <c r="J617" s="234">
        <v>1</v>
      </c>
      <c r="L617" s="709"/>
      <c r="Q617" s="709"/>
    </row>
    <row r="618" spans="2:17" s="248" customFormat="1" ht="14.25" hidden="1" customHeight="1" outlineLevel="2">
      <c r="B618" s="299" t="s">
        <v>268</v>
      </c>
      <c r="C618" s="304" t="s">
        <v>751</v>
      </c>
      <c r="D618" s="685" t="s">
        <v>411</v>
      </c>
      <c r="E618" s="306" t="s">
        <v>579</v>
      </c>
      <c r="F618" s="307"/>
      <c r="G618" s="297" t="s">
        <v>751</v>
      </c>
      <c r="H618" s="308" t="str">
        <f>CONCATENATE("AR-",G618,"-",I618)</f>
        <v>AR-T6V-7</v>
      </c>
      <c r="I618" s="661">
        <v>7</v>
      </c>
      <c r="J618" s="234">
        <v>1</v>
      </c>
      <c r="L618" s="709"/>
      <c r="Q618" s="709"/>
    </row>
    <row r="619" spans="2:17" s="248" customFormat="1" ht="14.25" hidden="1" customHeight="1" outlineLevel="2">
      <c r="B619" s="299" t="s">
        <v>268</v>
      </c>
      <c r="C619" s="304" t="s">
        <v>751</v>
      </c>
      <c r="D619" s="685" t="s">
        <v>413</v>
      </c>
      <c r="E619" s="306" t="s">
        <v>580</v>
      </c>
      <c r="F619" s="307"/>
      <c r="G619" s="297" t="s">
        <v>751</v>
      </c>
      <c r="H619" s="308" t="str">
        <f>CONCATENATE("AR-",G619,"-",I619)</f>
        <v>AR-T6V-7</v>
      </c>
      <c r="I619" s="661">
        <v>7</v>
      </c>
      <c r="J619" s="234">
        <v>1</v>
      </c>
      <c r="L619" s="709"/>
      <c r="Q619" s="709"/>
    </row>
    <row r="620" spans="2:17" s="248" customFormat="1" ht="14.25" hidden="1" customHeight="1" outlineLevel="2">
      <c r="B620" s="299" t="s">
        <v>268</v>
      </c>
      <c r="C620" s="304" t="s">
        <v>751</v>
      </c>
      <c r="D620" s="685" t="s">
        <v>415</v>
      </c>
      <c r="E620" s="306" t="s">
        <v>581</v>
      </c>
      <c r="F620" s="307"/>
      <c r="G620" s="297" t="s">
        <v>751</v>
      </c>
      <c r="H620" s="308" t="str">
        <f>CONCATENATE("AR-",G620,"-",I620)</f>
        <v>AR-T6V-7</v>
      </c>
      <c r="I620" s="661">
        <v>7</v>
      </c>
      <c r="J620" s="234">
        <v>1</v>
      </c>
      <c r="L620" s="709"/>
      <c r="Q620" s="709"/>
    </row>
    <row r="621" spans="2:17" s="248" customFormat="1" ht="14.25" hidden="1" customHeight="1" outlineLevel="2">
      <c r="B621" s="299" t="s">
        <v>268</v>
      </c>
      <c r="C621" s="304" t="s">
        <v>751</v>
      </c>
      <c r="D621" s="685" t="s">
        <v>657</v>
      </c>
      <c r="E621" s="306" t="s">
        <v>772</v>
      </c>
      <c r="F621" s="307"/>
      <c r="G621" s="297" t="s">
        <v>751</v>
      </c>
      <c r="H621" s="308" t="str">
        <f>CONCATENATE("AR-",G621,"-",I621)</f>
        <v>AR-T6V-10</v>
      </c>
      <c r="I621" s="661">
        <v>10</v>
      </c>
      <c r="J621" s="234">
        <v>1</v>
      </c>
      <c r="L621" s="709"/>
      <c r="Q621" s="709"/>
    </row>
    <row r="622" spans="2:17" s="248" customFormat="1" ht="3" hidden="1" customHeight="1" outlineLevel="2">
      <c r="B622" s="299"/>
      <c r="C622" s="304"/>
      <c r="D622" s="685"/>
      <c r="E622" s="306" t="s">
        <v>277</v>
      </c>
      <c r="F622" s="307"/>
      <c r="G622" s="297"/>
      <c r="H622" s="308"/>
      <c r="I622" s="661"/>
      <c r="J622" s="245"/>
      <c r="L622" s="709"/>
      <c r="Q622" s="709"/>
    </row>
    <row r="623" spans="2:17" s="248" customFormat="1" ht="14.25" hidden="1" customHeight="1" outlineLevel="2">
      <c r="B623" s="299" t="s">
        <v>417</v>
      </c>
      <c r="C623" s="304"/>
      <c r="D623" s="685"/>
      <c r="E623" s="306"/>
      <c r="F623" s="307"/>
      <c r="G623" s="297"/>
      <c r="H623" s="308"/>
      <c r="I623" s="661"/>
      <c r="J623" s="245"/>
      <c r="L623" s="709"/>
      <c r="Q623" s="709"/>
    </row>
    <row r="624" spans="2:17" s="248" customFormat="1" ht="14.25" hidden="1" customHeight="1" outlineLevel="2">
      <c r="B624" s="299" t="s">
        <v>268</v>
      </c>
      <c r="C624" s="304" t="s">
        <v>751</v>
      </c>
      <c r="D624" s="685" t="s">
        <v>418</v>
      </c>
      <c r="E624" s="306" t="s">
        <v>582</v>
      </c>
      <c r="F624" s="307"/>
      <c r="G624" s="297" t="s">
        <v>751</v>
      </c>
      <c r="H624" s="308" t="str">
        <f>CONCATENATE("AR-",G624,"-",I624)</f>
        <v>AR-T6V-1</v>
      </c>
      <c r="I624" s="661">
        <v>1</v>
      </c>
      <c r="J624" s="197">
        <v>1</v>
      </c>
      <c r="L624" s="709"/>
      <c r="Q624" s="709"/>
    </row>
    <row r="625" spans="1:21" s="248" customFormat="1" ht="15" hidden="1" customHeight="1" outlineLevel="2">
      <c r="B625" s="299" t="s">
        <v>268</v>
      </c>
      <c r="C625" s="304" t="s">
        <v>751</v>
      </c>
      <c r="D625" s="685" t="s">
        <v>420</v>
      </c>
      <c r="E625" s="306" t="s">
        <v>582</v>
      </c>
      <c r="F625" s="307"/>
      <c r="G625" s="297" t="s">
        <v>751</v>
      </c>
      <c r="H625" s="308" t="str">
        <f>CONCATENATE("AR-",G625,"-",I625)</f>
        <v>AR-T6V-1</v>
      </c>
      <c r="I625" s="661">
        <v>1</v>
      </c>
      <c r="J625" s="197">
        <v>1</v>
      </c>
      <c r="L625" s="709"/>
      <c r="Q625" s="709"/>
    </row>
    <row r="626" spans="1:21" s="248" customFormat="1" ht="15" hidden="1" customHeight="1" outlineLevel="2">
      <c r="B626" s="299" t="s">
        <v>268</v>
      </c>
      <c r="C626" s="304" t="s">
        <v>751</v>
      </c>
      <c r="D626" s="685" t="s">
        <v>422</v>
      </c>
      <c r="E626" s="306" t="s">
        <v>582</v>
      </c>
      <c r="F626" s="307"/>
      <c r="G626" s="297" t="s">
        <v>751</v>
      </c>
      <c r="H626" s="308" t="str">
        <f>CONCATENATE("AR-",G626,"-",I626)</f>
        <v>AR-T6V-1</v>
      </c>
      <c r="I626" s="661">
        <v>1</v>
      </c>
      <c r="J626" s="197">
        <v>1</v>
      </c>
      <c r="L626" s="709"/>
      <c r="Q626" s="709"/>
    </row>
    <row r="627" spans="1:21" s="248" customFormat="1" ht="3" hidden="1" customHeight="1" outlineLevel="2">
      <c r="B627" s="299"/>
      <c r="C627" s="304"/>
      <c r="D627" s="685"/>
      <c r="E627" s="306" t="s">
        <v>277</v>
      </c>
      <c r="F627" s="307"/>
      <c r="G627" s="297"/>
      <c r="H627" s="308"/>
      <c r="I627" s="661"/>
      <c r="J627" s="245"/>
      <c r="L627" s="709"/>
      <c r="Q627" s="709"/>
    </row>
    <row r="628" spans="1:21" s="248" customFormat="1" ht="14.25" hidden="1" customHeight="1" outlineLevel="2">
      <c r="B628" s="299" t="s">
        <v>462</v>
      </c>
      <c r="C628" s="304"/>
      <c r="D628" s="685"/>
      <c r="E628" s="306"/>
      <c r="F628" s="307"/>
      <c r="G628" s="297"/>
      <c r="H628" s="308"/>
      <c r="I628" s="661"/>
      <c r="J628" s="245"/>
      <c r="L628" s="709"/>
      <c r="Q628" s="709"/>
    </row>
    <row r="629" spans="1:21" s="253" customFormat="1" ht="14.25" hidden="1" customHeight="1" outlineLevel="2">
      <c r="B629" s="299" t="s">
        <v>268</v>
      </c>
      <c r="C629" s="304" t="s">
        <v>751</v>
      </c>
      <c r="D629" s="685" t="s">
        <v>463</v>
      </c>
      <c r="E629" s="306" t="s">
        <v>583</v>
      </c>
      <c r="F629" s="307"/>
      <c r="G629" s="297" t="s">
        <v>751</v>
      </c>
      <c r="H629" s="308" t="str">
        <f>CONCATENATE("AR-",G629,"-",I629)</f>
        <v>AR-T6V-9</v>
      </c>
      <c r="I629" s="661">
        <v>9</v>
      </c>
      <c r="J629" s="197">
        <v>1</v>
      </c>
      <c r="L629" s="714"/>
      <c r="Q629" s="714"/>
    </row>
    <row r="630" spans="1:21" s="253" customFormat="1" ht="14.25" hidden="1" customHeight="1" outlineLevel="2">
      <c r="B630" s="299" t="s">
        <v>268</v>
      </c>
      <c r="C630" s="304" t="s">
        <v>751</v>
      </c>
      <c r="D630" s="685" t="s">
        <v>465</v>
      </c>
      <c r="E630" s="306" t="s">
        <v>584</v>
      </c>
      <c r="F630" s="307"/>
      <c r="G630" s="297" t="s">
        <v>751</v>
      </c>
      <c r="H630" s="308" t="str">
        <f>CONCATENATE("AR-",G630,"-",I630)</f>
        <v>AR-T6V-9</v>
      </c>
      <c r="I630" s="661">
        <v>9</v>
      </c>
      <c r="J630" s="234">
        <v>1</v>
      </c>
      <c r="K630" s="254"/>
      <c r="L630" s="234"/>
      <c r="M630" s="255"/>
      <c r="N630" s="255"/>
      <c r="O630" s="255"/>
      <c r="P630" s="255"/>
      <c r="Q630" s="234"/>
      <c r="R630" s="255"/>
      <c r="S630" s="208"/>
      <c r="T630" s="208"/>
      <c r="U630" s="208"/>
    </row>
    <row r="631" spans="1:21" s="253" customFormat="1" ht="14.1" hidden="1" customHeight="1" outlineLevel="2">
      <c r="B631" s="299" t="s">
        <v>268</v>
      </c>
      <c r="C631" s="304" t="s">
        <v>751</v>
      </c>
      <c r="D631" s="685" t="s">
        <v>467</v>
      </c>
      <c r="E631" s="306" t="s">
        <v>474</v>
      </c>
      <c r="F631" s="307"/>
      <c r="G631" s="297" t="s">
        <v>751</v>
      </c>
      <c r="H631" s="308" t="str">
        <f>CONCATENATE("AR-",G631,"-",I631)</f>
        <v>AR-T6V-7</v>
      </c>
      <c r="I631" s="661">
        <v>7</v>
      </c>
      <c r="J631" s="234">
        <v>1</v>
      </c>
      <c r="K631" s="254"/>
      <c r="L631" s="234"/>
      <c r="M631" s="255"/>
      <c r="N631" s="255"/>
      <c r="O631" s="255"/>
      <c r="P631" s="255"/>
      <c r="Q631" s="234"/>
      <c r="R631" s="255"/>
      <c r="S631" s="208"/>
      <c r="T631" s="208"/>
      <c r="U631" s="208"/>
    </row>
    <row r="632" spans="1:21" s="248" customFormat="1" ht="3" customHeight="1">
      <c r="A632" s="678"/>
      <c r="B632" s="299"/>
      <c r="C632" s="304"/>
      <c r="D632" s="685"/>
      <c r="E632" s="306" t="s">
        <v>277</v>
      </c>
      <c r="F632" s="307"/>
      <c r="G632" s="297"/>
      <c r="H632" s="308"/>
      <c r="I632" s="661"/>
      <c r="J632" s="245"/>
      <c r="K632" s="246"/>
      <c r="L632" s="247"/>
      <c r="M632" s="197"/>
      <c r="N632" s="197"/>
      <c r="O632" s="197"/>
      <c r="P632" s="197"/>
      <c r="Q632" s="247"/>
      <c r="R632" s="197"/>
      <c r="S632" s="197"/>
      <c r="T632" s="197"/>
      <c r="U632" s="197"/>
    </row>
    <row r="633" spans="1:21" s="233" customFormat="1" ht="14.25" customHeight="1" collapsed="1">
      <c r="A633" s="382" t="s">
        <v>773</v>
      </c>
      <c r="B633" s="675"/>
      <c r="C633" s="676"/>
      <c r="D633" s="677"/>
      <c r="E633" s="676" t="s">
        <v>277</v>
      </c>
      <c r="F633" s="307"/>
      <c r="G633" s="297"/>
      <c r="H633" s="308"/>
      <c r="I633" s="665"/>
      <c r="J633" s="197"/>
      <c r="K633" s="232"/>
      <c r="L633" s="230">
        <f>SUM(L634:L731)</f>
        <v>71</v>
      </c>
      <c r="M633" s="188">
        <v>18</v>
      </c>
      <c r="N633" s="188">
        <v>8</v>
      </c>
      <c r="O633" s="188">
        <f t="shared" ref="O633:U633" si="41">SUM(O634:O731)</f>
        <v>0</v>
      </c>
      <c r="P633" s="188">
        <f t="shared" si="41"/>
        <v>0</v>
      </c>
      <c r="Q633" s="230">
        <f t="shared" si="41"/>
        <v>71</v>
      </c>
      <c r="R633" s="188">
        <f t="shared" si="41"/>
        <v>71</v>
      </c>
      <c r="S633" s="188">
        <f t="shared" si="41"/>
        <v>0</v>
      </c>
      <c r="T633" s="188">
        <f t="shared" si="41"/>
        <v>0</v>
      </c>
      <c r="U633" s="188">
        <f t="shared" si="41"/>
        <v>0</v>
      </c>
    </row>
    <row r="634" spans="1:21" s="233" customFormat="1" ht="3" hidden="1" customHeight="1" outlineLevel="1">
      <c r="A634" s="669"/>
      <c r="B634" s="299"/>
      <c r="C634" s="304"/>
      <c r="D634" s="685"/>
      <c r="E634" s="306" t="s">
        <v>277</v>
      </c>
      <c r="F634" s="307"/>
      <c r="G634" s="297"/>
      <c r="H634" s="308"/>
      <c r="I634" s="661"/>
      <c r="J634" s="197"/>
      <c r="K634" s="232"/>
      <c r="L634" s="234"/>
      <c r="M634" s="197"/>
      <c r="N634" s="197"/>
      <c r="O634" s="197"/>
      <c r="P634" s="197"/>
      <c r="Q634" s="234"/>
      <c r="R634" s="197"/>
      <c r="S634" s="197"/>
      <c r="T634" s="197"/>
      <c r="U634" s="197"/>
    </row>
    <row r="635" spans="1:21" s="252" customFormat="1" ht="14.25" hidden="1" customHeight="1" outlineLevel="1">
      <c r="A635" s="259"/>
      <c r="B635" s="299" t="s">
        <v>343</v>
      </c>
      <c r="C635" s="304"/>
      <c r="D635" s="685"/>
      <c r="E635" s="306" t="s">
        <v>277</v>
      </c>
      <c r="F635" s="307"/>
      <c r="G635" s="297"/>
      <c r="H635" s="308"/>
      <c r="I635" s="661"/>
      <c r="J635" s="240"/>
      <c r="K635" s="240"/>
      <c r="L635" s="242"/>
      <c r="M635" s="197"/>
      <c r="N635" s="197"/>
      <c r="O635" s="197"/>
      <c r="P635" s="197"/>
      <c r="Q635" s="242"/>
      <c r="R635" s="197"/>
      <c r="S635" s="197"/>
      <c r="T635" s="197"/>
      <c r="U635" s="197"/>
    </row>
    <row r="636" spans="1:21" s="252" customFormat="1" ht="14.25" hidden="1" customHeight="1" outlineLevel="1">
      <c r="A636" s="259"/>
      <c r="B636" s="299" t="s">
        <v>268</v>
      </c>
      <c r="C636" s="304" t="s">
        <v>595</v>
      </c>
      <c r="D636" s="685" t="s">
        <v>344</v>
      </c>
      <c r="E636" s="306" t="s">
        <v>596</v>
      </c>
      <c r="F636" s="307"/>
      <c r="G636" s="297" t="s">
        <v>774</v>
      </c>
      <c r="H636" s="308" t="str">
        <f>CONCATENATE("AR-",G636,"-",I636)</f>
        <v>AR-T6S-1</v>
      </c>
      <c r="I636" s="661">
        <v>1</v>
      </c>
      <c r="J636" s="197">
        <v>1</v>
      </c>
      <c r="K636" s="240"/>
      <c r="L636" s="242"/>
      <c r="M636" s="197"/>
      <c r="N636" s="197"/>
      <c r="O636" s="197"/>
      <c r="P636" s="197"/>
      <c r="Q636" s="242"/>
      <c r="R636" s="197"/>
      <c r="S636" s="197"/>
      <c r="T636" s="197"/>
      <c r="U636" s="197"/>
    </row>
    <row r="637" spans="1:21" s="252" customFormat="1" ht="14.25" hidden="1" customHeight="1" outlineLevel="1">
      <c r="A637" s="259"/>
      <c r="B637" s="299" t="s">
        <v>268</v>
      </c>
      <c r="C637" s="304" t="s">
        <v>595</v>
      </c>
      <c r="D637" s="685" t="s">
        <v>346</v>
      </c>
      <c r="E637" s="306" t="s">
        <v>598</v>
      </c>
      <c r="F637" s="307"/>
      <c r="G637" s="297" t="s">
        <v>774</v>
      </c>
      <c r="H637" s="308" t="str">
        <f>CONCATENATE("AR-",G637,"-",I637)</f>
        <v>AR-T6S-1</v>
      </c>
      <c r="I637" s="661">
        <v>1</v>
      </c>
      <c r="J637" s="197">
        <v>1</v>
      </c>
      <c r="K637" s="240"/>
      <c r="L637" s="242"/>
      <c r="M637" s="197"/>
      <c r="N637" s="197"/>
      <c r="O637" s="197"/>
      <c r="P637" s="197"/>
      <c r="Q637" s="242"/>
      <c r="R637" s="197"/>
      <c r="S637" s="197"/>
      <c r="T637" s="197"/>
      <c r="U637" s="197"/>
    </row>
    <row r="638" spans="1:21" s="233" customFormat="1" ht="3" hidden="1" customHeight="1" outlineLevel="1">
      <c r="A638" s="681"/>
      <c r="B638" s="299"/>
      <c r="C638" s="304"/>
      <c r="D638" s="685"/>
      <c r="E638" s="306" t="s">
        <v>277</v>
      </c>
      <c r="F638" s="307"/>
      <c r="G638" s="297"/>
      <c r="H638" s="308"/>
      <c r="I638" s="661"/>
      <c r="J638" s="197"/>
      <c r="K638" s="232"/>
      <c r="L638" s="234"/>
      <c r="M638" s="197"/>
      <c r="N638" s="197"/>
      <c r="O638" s="197"/>
      <c r="P638" s="197"/>
      <c r="Q638" s="234"/>
      <c r="R638" s="197"/>
      <c r="S638" s="197"/>
      <c r="T638" s="197"/>
      <c r="U638" s="197"/>
    </row>
    <row r="639" spans="1:21" s="233" customFormat="1" ht="13.5" hidden="1" customHeight="1" outlineLevel="1">
      <c r="A639" s="681"/>
      <c r="B639" s="299" t="s">
        <v>350</v>
      </c>
      <c r="C639" s="304"/>
      <c r="D639" s="685"/>
      <c r="E639" s="306"/>
      <c r="F639" s="307"/>
      <c r="G639" s="297"/>
      <c r="H639" s="308"/>
      <c r="I639" s="661"/>
      <c r="J639" s="197"/>
      <c r="K639" s="232"/>
      <c r="L639" s="234"/>
      <c r="M639" s="197"/>
      <c r="N639" s="197"/>
      <c r="O639" s="197"/>
      <c r="P639" s="197"/>
      <c r="Q639" s="234"/>
      <c r="R639" s="197"/>
      <c r="S639" s="197"/>
      <c r="T639" s="197"/>
      <c r="U639" s="197"/>
    </row>
    <row r="640" spans="1:21" s="248" customFormat="1" ht="14.25" hidden="1" customHeight="1" outlineLevel="1">
      <c r="B640" s="299" t="s">
        <v>268</v>
      </c>
      <c r="C640" s="304" t="s">
        <v>774</v>
      </c>
      <c r="D640" s="685" t="s">
        <v>270</v>
      </c>
      <c r="E640" s="306" t="s">
        <v>599</v>
      </c>
      <c r="F640" s="307"/>
      <c r="G640" s="297" t="s">
        <v>774</v>
      </c>
      <c r="H640" s="308" t="str">
        <f t="shared" ref="H640:H648" si="42">CONCATENATE("AR-",G640,"-",I640)</f>
        <v>AR-T6S-1</v>
      </c>
      <c r="I640" s="661">
        <v>1</v>
      </c>
      <c r="J640" s="197"/>
      <c r="K640" s="246"/>
      <c r="L640" s="234">
        <v>1</v>
      </c>
      <c r="M640" s="197">
        <v>1</v>
      </c>
      <c r="N640" s="197"/>
      <c r="O640" s="197"/>
      <c r="P640" s="197"/>
      <c r="Q640" s="234">
        <v>1</v>
      </c>
      <c r="R640" s="197">
        <v>1</v>
      </c>
      <c r="S640" s="197"/>
      <c r="T640" s="197"/>
      <c r="U640" s="197"/>
    </row>
    <row r="641" spans="1:21" s="248" customFormat="1" ht="14.25" hidden="1" customHeight="1" outlineLevel="1">
      <c r="B641" s="299" t="s">
        <v>268</v>
      </c>
      <c r="C641" s="304" t="s">
        <v>774</v>
      </c>
      <c r="D641" s="685" t="s">
        <v>279</v>
      </c>
      <c r="E641" s="306" t="s">
        <v>601</v>
      </c>
      <c r="F641" s="307"/>
      <c r="G641" s="297" t="s">
        <v>774</v>
      </c>
      <c r="H641" s="308" t="str">
        <f t="shared" si="42"/>
        <v>AR-T6S-1</v>
      </c>
      <c r="I641" s="661">
        <v>1</v>
      </c>
      <c r="J641" s="197"/>
      <c r="K641" s="246" t="s">
        <v>775</v>
      </c>
      <c r="L641" s="234">
        <v>1</v>
      </c>
      <c r="M641" s="197">
        <v>1</v>
      </c>
      <c r="N641" s="197"/>
      <c r="O641" s="197"/>
      <c r="P641" s="197"/>
      <c r="Q641" s="234">
        <v>1</v>
      </c>
      <c r="R641" s="197">
        <v>1</v>
      </c>
      <c r="S641" s="197"/>
      <c r="T641" s="197"/>
      <c r="U641" s="197"/>
    </row>
    <row r="642" spans="1:21" s="248" customFormat="1" ht="14.25" hidden="1" customHeight="1" outlineLevel="1">
      <c r="B642" s="299" t="s">
        <v>268</v>
      </c>
      <c r="C642" s="304" t="s">
        <v>774</v>
      </c>
      <c r="D642" s="685" t="s">
        <v>355</v>
      </c>
      <c r="E642" s="306" t="s">
        <v>602</v>
      </c>
      <c r="F642" s="307"/>
      <c r="G642" s="297" t="s">
        <v>774</v>
      </c>
      <c r="H642" s="308" t="str">
        <f t="shared" si="42"/>
        <v>AR-T6S-1</v>
      </c>
      <c r="I642" s="661">
        <v>1</v>
      </c>
      <c r="J642" s="197"/>
      <c r="K642" s="246" t="s">
        <v>775</v>
      </c>
      <c r="L642" s="234">
        <v>1</v>
      </c>
      <c r="M642" s="197">
        <v>1</v>
      </c>
      <c r="N642" s="197"/>
      <c r="O642" s="197"/>
      <c r="P642" s="197"/>
      <c r="Q642" s="234">
        <v>1</v>
      </c>
      <c r="R642" s="197">
        <v>1</v>
      </c>
      <c r="S642" s="197"/>
      <c r="T642" s="197"/>
      <c r="U642" s="197"/>
    </row>
    <row r="643" spans="1:21" s="248" customFormat="1" ht="14.25" hidden="1" customHeight="1" outlineLevel="1">
      <c r="B643" s="299" t="s">
        <v>268</v>
      </c>
      <c r="C643" s="304" t="s">
        <v>774</v>
      </c>
      <c r="D643" s="685" t="s">
        <v>357</v>
      </c>
      <c r="E643" s="306" t="s">
        <v>603</v>
      </c>
      <c r="F643" s="307"/>
      <c r="G643" s="297" t="s">
        <v>774</v>
      </c>
      <c r="H643" s="308" t="str">
        <f t="shared" si="42"/>
        <v>AR-T6S-1</v>
      </c>
      <c r="I643" s="661">
        <v>1</v>
      </c>
      <c r="J643" s="197"/>
      <c r="K643" s="246" t="s">
        <v>776</v>
      </c>
      <c r="L643" s="234">
        <v>1</v>
      </c>
      <c r="M643" s="197">
        <v>1</v>
      </c>
      <c r="N643" s="197"/>
      <c r="O643" s="197"/>
      <c r="P643" s="197"/>
      <c r="Q643" s="234">
        <v>1</v>
      </c>
      <c r="R643" s="197">
        <v>1</v>
      </c>
      <c r="S643" s="197"/>
      <c r="T643" s="197"/>
      <c r="U643" s="197"/>
    </row>
    <row r="644" spans="1:21" s="248" customFormat="1" ht="14.25" hidden="1" customHeight="1" outlineLevel="1">
      <c r="B644" s="299" t="s">
        <v>268</v>
      </c>
      <c r="C644" s="304" t="s">
        <v>774</v>
      </c>
      <c r="D644" s="685" t="s">
        <v>359</v>
      </c>
      <c r="E644" s="306" t="s">
        <v>604</v>
      </c>
      <c r="F644" s="307"/>
      <c r="G644" s="297" t="s">
        <v>774</v>
      </c>
      <c r="H644" s="308" t="str">
        <f t="shared" si="42"/>
        <v>AR-T6S-1</v>
      </c>
      <c r="I644" s="661">
        <v>1</v>
      </c>
      <c r="J644" s="197"/>
      <c r="K644" s="246" t="s">
        <v>776</v>
      </c>
      <c r="L644" s="234">
        <v>1</v>
      </c>
      <c r="M644" s="197">
        <v>1</v>
      </c>
      <c r="N644" s="197"/>
      <c r="O644" s="197"/>
      <c r="P644" s="197"/>
      <c r="Q644" s="234">
        <v>1</v>
      </c>
      <c r="R644" s="197">
        <v>1</v>
      </c>
      <c r="S644" s="197"/>
      <c r="T644" s="197"/>
      <c r="U644" s="197"/>
    </row>
    <row r="645" spans="1:21" s="248" customFormat="1" ht="14.25" hidden="1" customHeight="1" outlineLevel="1">
      <c r="B645" s="299" t="s">
        <v>268</v>
      </c>
      <c r="C645" s="304" t="s">
        <v>774</v>
      </c>
      <c r="D645" s="685" t="s">
        <v>361</v>
      </c>
      <c r="E645" s="306" t="s">
        <v>605</v>
      </c>
      <c r="F645" s="307"/>
      <c r="G645" s="297" t="s">
        <v>774</v>
      </c>
      <c r="H645" s="308" t="str">
        <f t="shared" si="42"/>
        <v>AR-T6S-1</v>
      </c>
      <c r="I645" s="661">
        <v>1</v>
      </c>
      <c r="J645" s="197"/>
      <c r="K645" s="246" t="s">
        <v>776</v>
      </c>
      <c r="L645" s="234">
        <v>1</v>
      </c>
      <c r="M645" s="197">
        <v>1</v>
      </c>
      <c r="N645" s="197"/>
      <c r="O645" s="197"/>
      <c r="P645" s="197"/>
      <c r="Q645" s="234">
        <v>1</v>
      </c>
      <c r="R645" s="197">
        <v>1</v>
      </c>
      <c r="S645" s="197"/>
      <c r="T645" s="197"/>
      <c r="U645" s="197"/>
    </row>
    <row r="646" spans="1:21" s="248" customFormat="1" ht="14.25" hidden="1" customHeight="1" outlineLevel="1">
      <c r="B646" s="299" t="s">
        <v>268</v>
      </c>
      <c r="C646" s="304" t="s">
        <v>774</v>
      </c>
      <c r="D646" s="685" t="s">
        <v>496</v>
      </c>
      <c r="E646" s="306" t="s">
        <v>606</v>
      </c>
      <c r="F646" s="307"/>
      <c r="G646" s="297" t="s">
        <v>774</v>
      </c>
      <c r="H646" s="308" t="str">
        <f t="shared" si="42"/>
        <v>AR-T6S-1</v>
      </c>
      <c r="I646" s="661">
        <v>1</v>
      </c>
      <c r="J646" s="197"/>
      <c r="K646" s="246" t="s">
        <v>776</v>
      </c>
      <c r="L646" s="234">
        <v>1</v>
      </c>
      <c r="M646" s="197">
        <v>1</v>
      </c>
      <c r="N646" s="197"/>
      <c r="O646" s="197"/>
      <c r="P646" s="197"/>
      <c r="Q646" s="234">
        <v>1</v>
      </c>
      <c r="R646" s="197">
        <v>1</v>
      </c>
    </row>
    <row r="647" spans="1:21" s="248" customFormat="1" ht="14.25" hidden="1" customHeight="1" outlineLevel="1">
      <c r="B647" s="299" t="s">
        <v>268</v>
      </c>
      <c r="C647" s="304" t="s">
        <v>774</v>
      </c>
      <c r="D647" s="685" t="s">
        <v>498</v>
      </c>
      <c r="E647" s="306" t="s">
        <v>607</v>
      </c>
      <c r="F647" s="307"/>
      <c r="G647" s="297" t="s">
        <v>774</v>
      </c>
      <c r="H647" s="308" t="str">
        <f t="shared" si="42"/>
        <v>AR-T6S-1</v>
      </c>
      <c r="I647" s="661">
        <v>1</v>
      </c>
      <c r="J647" s="197"/>
      <c r="K647" s="246" t="s">
        <v>776</v>
      </c>
      <c r="L647" s="234">
        <v>1</v>
      </c>
      <c r="M647" s="197">
        <v>1</v>
      </c>
      <c r="N647" s="197"/>
      <c r="O647" s="197"/>
      <c r="P647" s="197"/>
      <c r="Q647" s="234">
        <v>1</v>
      </c>
      <c r="R647" s="197">
        <v>1</v>
      </c>
    </row>
    <row r="648" spans="1:21" s="248" customFormat="1" ht="13.9" hidden="1" customHeight="1" outlineLevel="1">
      <c r="B648" s="299" t="s">
        <v>268</v>
      </c>
      <c r="C648" s="304" t="s">
        <v>774</v>
      </c>
      <c r="D648" s="685" t="s">
        <v>500</v>
      </c>
      <c r="E648" s="306" t="s">
        <v>608</v>
      </c>
      <c r="F648" s="307"/>
      <c r="G648" s="297" t="s">
        <v>774</v>
      </c>
      <c r="H648" s="308" t="str">
        <f t="shared" si="42"/>
        <v>AR-T6S-1</v>
      </c>
      <c r="I648" s="661">
        <v>1</v>
      </c>
      <c r="J648" s="197"/>
      <c r="K648" s="246" t="s">
        <v>776</v>
      </c>
      <c r="L648" s="234">
        <v>1</v>
      </c>
      <c r="M648" s="197">
        <v>1</v>
      </c>
      <c r="N648" s="197"/>
      <c r="O648" s="197"/>
      <c r="P648" s="197"/>
      <c r="Q648" s="234">
        <v>1</v>
      </c>
      <c r="R648" s="197">
        <v>1</v>
      </c>
    </row>
    <row r="649" spans="1:21" s="248" customFormat="1" ht="14.25" hidden="1" customHeight="1" outlineLevel="1">
      <c r="B649" s="299" t="s">
        <v>268</v>
      </c>
      <c r="C649" s="304" t="s">
        <v>774</v>
      </c>
      <c r="D649" s="685" t="s">
        <v>502</v>
      </c>
      <c r="E649" s="306" t="s">
        <v>777</v>
      </c>
      <c r="F649" s="307"/>
      <c r="G649" s="297" t="s">
        <v>774</v>
      </c>
      <c r="H649" s="308" t="str">
        <f>CONCATENATE("AR-",G649,"-",I649)</f>
        <v>AR-T6S-1</v>
      </c>
      <c r="I649" s="661">
        <v>1</v>
      </c>
      <c r="J649" s="197"/>
      <c r="K649" s="246" t="s">
        <v>776</v>
      </c>
      <c r="L649" s="234">
        <v>1</v>
      </c>
      <c r="M649" s="197">
        <v>1</v>
      </c>
      <c r="N649" s="197"/>
      <c r="O649" s="197"/>
      <c r="P649" s="197"/>
      <c r="Q649" s="234">
        <v>1</v>
      </c>
      <c r="R649" s="197">
        <v>1</v>
      </c>
    </row>
    <row r="650" spans="1:21" s="248" customFormat="1" ht="14.25" hidden="1" customHeight="1" outlineLevel="1">
      <c r="B650" s="299" t="s">
        <v>268</v>
      </c>
      <c r="C650" s="304" t="s">
        <v>774</v>
      </c>
      <c r="D650" s="685">
        <v>1010</v>
      </c>
      <c r="E650" s="306" t="s">
        <v>778</v>
      </c>
      <c r="F650" s="307"/>
      <c r="G650" s="297" t="s">
        <v>774</v>
      </c>
      <c r="H650" s="308" t="str">
        <f>CONCATENATE("AR-",G650,"-",I650)</f>
        <v>AR-T6S-1</v>
      </c>
      <c r="I650" s="661">
        <v>1</v>
      </c>
      <c r="J650" s="197"/>
      <c r="K650" s="246"/>
      <c r="L650" s="234">
        <v>1</v>
      </c>
      <c r="M650" s="197">
        <v>1</v>
      </c>
      <c r="N650" s="197"/>
      <c r="O650" s="197"/>
      <c r="P650" s="197"/>
      <c r="Q650" s="234">
        <v>1</v>
      </c>
      <c r="R650" s="197">
        <v>1</v>
      </c>
    </row>
    <row r="651" spans="1:21" s="248" customFormat="1" ht="3" hidden="1" customHeight="1" outlineLevel="1">
      <c r="B651" s="299"/>
      <c r="C651" s="304"/>
      <c r="D651" s="685"/>
      <c r="E651" s="306" t="s">
        <v>277</v>
      </c>
      <c r="F651" s="307"/>
      <c r="G651" s="297"/>
      <c r="H651" s="308"/>
      <c r="I651" s="661"/>
      <c r="J651" s="245"/>
      <c r="K651" s="246"/>
      <c r="L651" s="247"/>
      <c r="M651" s="197"/>
      <c r="N651" s="197"/>
      <c r="O651" s="197"/>
      <c r="P651" s="197"/>
      <c r="Q651" s="247"/>
      <c r="R651" s="197"/>
    </row>
    <row r="652" spans="1:21" s="233" customFormat="1" ht="13.5" hidden="1" customHeight="1" outlineLevel="1">
      <c r="A652" s="681"/>
      <c r="B652" s="299" t="s">
        <v>610</v>
      </c>
      <c r="C652" s="304"/>
      <c r="D652" s="685"/>
      <c r="E652" s="306"/>
      <c r="F652" s="307"/>
      <c r="G652" s="297"/>
      <c r="H652" s="308"/>
      <c r="I652" s="661"/>
      <c r="J652" s="197"/>
      <c r="K652" s="232"/>
      <c r="L652" s="234"/>
      <c r="M652" s="197"/>
      <c r="N652" s="197"/>
      <c r="O652" s="197"/>
      <c r="P652" s="197"/>
      <c r="Q652" s="234"/>
      <c r="R652" s="197"/>
    </row>
    <row r="653" spans="1:21" s="248" customFormat="1" ht="13.5" hidden="1" outlineLevel="1">
      <c r="B653" s="299" t="s">
        <v>268</v>
      </c>
      <c r="C653" s="304" t="s">
        <v>774</v>
      </c>
      <c r="D653" s="685" t="s">
        <v>374</v>
      </c>
      <c r="E653" s="306" t="s">
        <v>611</v>
      </c>
      <c r="F653" s="307"/>
      <c r="G653" s="297" t="s">
        <v>774</v>
      </c>
      <c r="H653" s="308" t="str">
        <f t="shared" ref="H653:H661" si="43">CONCATENATE("AR-",G653,"-",I653)</f>
        <v>AR-T6S-3</v>
      </c>
      <c r="I653" s="661">
        <v>3</v>
      </c>
      <c r="J653" s="197"/>
      <c r="K653" s="246"/>
      <c r="L653" s="234">
        <v>1</v>
      </c>
      <c r="M653" s="197">
        <v>1</v>
      </c>
      <c r="N653" s="197"/>
      <c r="O653" s="197"/>
      <c r="P653" s="197"/>
      <c r="Q653" s="234">
        <v>1</v>
      </c>
      <c r="R653" s="197">
        <v>1</v>
      </c>
    </row>
    <row r="654" spans="1:21" s="248" customFormat="1" ht="13.5" hidden="1" outlineLevel="1">
      <c r="B654" s="299" t="s">
        <v>268</v>
      </c>
      <c r="C654" s="304" t="s">
        <v>774</v>
      </c>
      <c r="D654" s="685" t="s">
        <v>376</v>
      </c>
      <c r="E654" s="306" t="s">
        <v>612</v>
      </c>
      <c r="F654" s="307"/>
      <c r="G654" s="297" t="s">
        <v>774</v>
      </c>
      <c r="H654" s="308" t="str">
        <f t="shared" si="43"/>
        <v>AR-T6S-3</v>
      </c>
      <c r="I654" s="661">
        <v>3</v>
      </c>
      <c r="J654" s="197"/>
      <c r="K654" s="246"/>
      <c r="L654" s="234">
        <v>1</v>
      </c>
      <c r="M654" s="197">
        <v>1</v>
      </c>
      <c r="N654" s="197"/>
      <c r="O654" s="197"/>
      <c r="P654" s="197"/>
      <c r="Q654" s="234">
        <v>1</v>
      </c>
      <c r="R654" s="197">
        <v>1</v>
      </c>
    </row>
    <row r="655" spans="1:21" s="248" customFormat="1" ht="13.5" hidden="1" outlineLevel="1">
      <c r="B655" s="299" t="s">
        <v>268</v>
      </c>
      <c r="C655" s="304" t="s">
        <v>774</v>
      </c>
      <c r="D655" s="685" t="s">
        <v>380</v>
      </c>
      <c r="E655" s="306" t="s">
        <v>613</v>
      </c>
      <c r="F655" s="307"/>
      <c r="G655" s="297" t="s">
        <v>774</v>
      </c>
      <c r="H655" s="308" t="str">
        <f t="shared" si="43"/>
        <v>AR-T6S-6</v>
      </c>
      <c r="I655" s="661">
        <v>6</v>
      </c>
      <c r="J655" s="197"/>
      <c r="K655" s="246"/>
      <c r="L655" s="234">
        <v>1</v>
      </c>
      <c r="M655" s="197">
        <v>1</v>
      </c>
      <c r="N655" s="197"/>
      <c r="O655" s="197"/>
      <c r="P655" s="197"/>
      <c r="Q655" s="234">
        <v>1</v>
      </c>
      <c r="R655" s="197">
        <v>1</v>
      </c>
    </row>
    <row r="656" spans="1:21" s="248" customFormat="1" ht="13.5" hidden="1" outlineLevel="1">
      <c r="B656" s="299" t="s">
        <v>268</v>
      </c>
      <c r="C656" s="304" t="s">
        <v>774</v>
      </c>
      <c r="D656" s="685" t="s">
        <v>382</v>
      </c>
      <c r="E656" s="306" t="s">
        <v>614</v>
      </c>
      <c r="F656" s="307"/>
      <c r="G656" s="297" t="s">
        <v>774</v>
      </c>
      <c r="H656" s="308" t="str">
        <f t="shared" si="43"/>
        <v>AR-T6S-6</v>
      </c>
      <c r="I656" s="661">
        <v>6</v>
      </c>
      <c r="J656" s="197"/>
      <c r="K656" s="246"/>
      <c r="L656" s="234">
        <v>1</v>
      </c>
      <c r="M656" s="197">
        <v>1</v>
      </c>
      <c r="N656" s="197"/>
      <c r="O656" s="197"/>
      <c r="P656" s="197"/>
      <c r="Q656" s="234">
        <v>1</v>
      </c>
      <c r="R656" s="197">
        <v>1</v>
      </c>
    </row>
    <row r="657" spans="1:18" s="248" customFormat="1" ht="13.5" hidden="1" outlineLevel="1">
      <c r="B657" s="299" t="s">
        <v>268</v>
      </c>
      <c r="C657" s="304" t="s">
        <v>774</v>
      </c>
      <c r="D657" s="685" t="s">
        <v>384</v>
      </c>
      <c r="E657" s="306" t="s">
        <v>615</v>
      </c>
      <c r="F657" s="307"/>
      <c r="G657" s="297" t="s">
        <v>774</v>
      </c>
      <c r="H657" s="308" t="str">
        <f t="shared" si="43"/>
        <v>AR-T6S-6</v>
      </c>
      <c r="I657" s="661">
        <v>6</v>
      </c>
      <c r="J657" s="197"/>
      <c r="K657" s="246"/>
      <c r="L657" s="234">
        <v>1</v>
      </c>
      <c r="M657" s="197">
        <v>1</v>
      </c>
      <c r="N657" s="197"/>
      <c r="O657" s="197"/>
      <c r="P657" s="197"/>
      <c r="Q657" s="234">
        <v>1</v>
      </c>
      <c r="R657" s="197">
        <v>1</v>
      </c>
    </row>
    <row r="658" spans="1:18" s="248" customFormat="1" ht="13.5" hidden="1" outlineLevel="1">
      <c r="B658" s="299" t="s">
        <v>268</v>
      </c>
      <c r="C658" s="304" t="s">
        <v>774</v>
      </c>
      <c r="D658" s="685" t="s">
        <v>520</v>
      </c>
      <c r="E658" s="306" t="s">
        <v>616</v>
      </c>
      <c r="F658" s="307"/>
      <c r="G658" s="297" t="s">
        <v>774</v>
      </c>
      <c r="H658" s="308" t="str">
        <f t="shared" si="43"/>
        <v>AR-T6S-6</v>
      </c>
      <c r="I658" s="661">
        <v>6</v>
      </c>
      <c r="J658" s="245"/>
      <c r="K658" s="246"/>
      <c r="L658" s="234">
        <v>1</v>
      </c>
      <c r="M658" s="197">
        <v>1</v>
      </c>
      <c r="N658" s="197"/>
      <c r="O658" s="197"/>
      <c r="P658" s="197"/>
      <c r="Q658" s="234">
        <v>1</v>
      </c>
      <c r="R658" s="197">
        <v>1</v>
      </c>
    </row>
    <row r="659" spans="1:18" s="248" customFormat="1" ht="13.5" hidden="1" outlineLevel="1">
      <c r="B659" s="299" t="s">
        <v>268</v>
      </c>
      <c r="C659" s="304" t="s">
        <v>774</v>
      </c>
      <c r="D659" s="685" t="s">
        <v>522</v>
      </c>
      <c r="E659" s="306" t="s">
        <v>617</v>
      </c>
      <c r="F659" s="307"/>
      <c r="G659" s="297" t="s">
        <v>774</v>
      </c>
      <c r="H659" s="308" t="str">
        <f t="shared" si="43"/>
        <v>AR-T6S-6</v>
      </c>
      <c r="I659" s="661">
        <v>6</v>
      </c>
      <c r="J659" s="245"/>
      <c r="K659" s="246"/>
      <c r="L659" s="234">
        <v>1</v>
      </c>
      <c r="M659" s="197">
        <v>1</v>
      </c>
      <c r="N659" s="197"/>
      <c r="O659" s="197"/>
      <c r="P659" s="197"/>
      <c r="Q659" s="234">
        <v>1</v>
      </c>
      <c r="R659" s="197">
        <v>1</v>
      </c>
    </row>
    <row r="660" spans="1:18" s="248" customFormat="1" ht="13.5" hidden="1" outlineLevel="1">
      <c r="B660" s="299" t="s">
        <v>268</v>
      </c>
      <c r="C660" s="304" t="s">
        <v>774</v>
      </c>
      <c r="D660" s="685" t="s">
        <v>618</v>
      </c>
      <c r="E660" s="306" t="s">
        <v>619</v>
      </c>
      <c r="F660" s="307"/>
      <c r="G660" s="297" t="s">
        <v>774</v>
      </c>
      <c r="H660" s="308" t="str">
        <f t="shared" si="43"/>
        <v>AR-T6S-9</v>
      </c>
      <c r="I660" s="661">
        <v>9</v>
      </c>
      <c r="J660" s="245"/>
      <c r="K660" s="246"/>
      <c r="L660" s="234">
        <v>1</v>
      </c>
      <c r="M660" s="197">
        <v>1</v>
      </c>
      <c r="N660" s="197"/>
      <c r="O660" s="197"/>
      <c r="P660" s="197"/>
      <c r="Q660" s="234">
        <v>1</v>
      </c>
      <c r="R660" s="197">
        <v>1</v>
      </c>
    </row>
    <row r="661" spans="1:18" s="248" customFormat="1" ht="13.5" hidden="1" outlineLevel="1">
      <c r="B661" s="299" t="s">
        <v>268</v>
      </c>
      <c r="C661" s="304" t="s">
        <v>774</v>
      </c>
      <c r="D661" s="685" t="s">
        <v>524</v>
      </c>
      <c r="E661" s="306" t="s">
        <v>620</v>
      </c>
      <c r="F661" s="307"/>
      <c r="G661" s="297" t="s">
        <v>774</v>
      </c>
      <c r="H661" s="308" t="str">
        <f t="shared" si="43"/>
        <v>AR-T6S-6</v>
      </c>
      <c r="I661" s="661">
        <v>6</v>
      </c>
      <c r="J661" s="197"/>
      <c r="K661" s="246"/>
      <c r="L661" s="234">
        <v>1</v>
      </c>
      <c r="M661" s="197">
        <v>1</v>
      </c>
      <c r="N661" s="197"/>
      <c r="O661" s="197"/>
      <c r="P661" s="197"/>
      <c r="Q661" s="234">
        <v>1</v>
      </c>
      <c r="R661" s="197">
        <v>1</v>
      </c>
    </row>
    <row r="662" spans="1:18" s="248" customFormat="1" ht="3" hidden="1" customHeight="1" outlineLevel="1">
      <c r="B662" s="299"/>
      <c r="C662" s="304"/>
      <c r="D662" s="685"/>
      <c r="E662" s="306" t="s">
        <v>277</v>
      </c>
      <c r="F662" s="307"/>
      <c r="G662" s="297"/>
      <c r="H662" s="308"/>
      <c r="I662" s="661"/>
      <c r="J662" s="245"/>
      <c r="K662" s="246"/>
      <c r="L662" s="247"/>
      <c r="M662" s="197"/>
      <c r="N662" s="197"/>
      <c r="O662" s="197"/>
      <c r="P662" s="197"/>
      <c r="Q662" s="247"/>
      <c r="R662" s="197"/>
    </row>
    <row r="663" spans="1:18" s="233" customFormat="1" ht="13.5" hidden="1" customHeight="1" outlineLevel="1">
      <c r="A663" s="681"/>
      <c r="B663" s="299" t="s">
        <v>621</v>
      </c>
      <c r="C663" s="304"/>
      <c r="D663" s="685"/>
      <c r="E663" s="306"/>
      <c r="F663" s="307"/>
      <c r="G663" s="297"/>
      <c r="H663" s="308"/>
      <c r="I663" s="661"/>
      <c r="J663" s="197"/>
      <c r="K663" s="232"/>
      <c r="L663" s="234"/>
      <c r="M663" s="197"/>
      <c r="N663" s="197"/>
      <c r="O663" s="197"/>
      <c r="P663" s="197"/>
      <c r="Q663" s="234"/>
      <c r="R663" s="197"/>
    </row>
    <row r="664" spans="1:18" s="233" customFormat="1" ht="13.5" hidden="1" customHeight="1" outlineLevel="1">
      <c r="A664" s="681"/>
      <c r="B664" s="299" t="s">
        <v>268</v>
      </c>
      <c r="C664" s="304" t="s">
        <v>600</v>
      </c>
      <c r="D664" s="685" t="s">
        <v>283</v>
      </c>
      <c r="E664" s="306" t="s">
        <v>622</v>
      </c>
      <c r="F664" s="307"/>
      <c r="G664" s="297" t="s">
        <v>774</v>
      </c>
      <c r="H664" s="308" t="str">
        <f t="shared" ref="H664:H675" si="44">CONCATENATE("AR-",G664,"-",I664)</f>
        <v>AR-T6S-1</v>
      </c>
      <c r="I664" s="661">
        <v>1</v>
      </c>
      <c r="J664" s="197"/>
      <c r="K664" s="232"/>
      <c r="L664" s="234">
        <v>1</v>
      </c>
      <c r="M664" s="197">
        <v>1</v>
      </c>
      <c r="N664" s="197"/>
      <c r="O664" s="197"/>
      <c r="P664" s="197"/>
      <c r="Q664" s="234">
        <v>1</v>
      </c>
      <c r="R664" s="197">
        <v>1</v>
      </c>
    </row>
    <row r="665" spans="1:18" s="233" customFormat="1" ht="13.5" hidden="1" customHeight="1" outlineLevel="1">
      <c r="A665" s="681"/>
      <c r="B665" s="299" t="s">
        <v>268</v>
      </c>
      <c r="C665" s="304" t="s">
        <v>600</v>
      </c>
      <c r="D665" s="685" t="s">
        <v>390</v>
      </c>
      <c r="E665" s="306" t="s">
        <v>623</v>
      </c>
      <c r="F665" s="307"/>
      <c r="G665" s="297" t="s">
        <v>774</v>
      </c>
      <c r="H665" s="308" t="str">
        <f t="shared" si="44"/>
        <v>AR-T6S-4</v>
      </c>
      <c r="I665" s="661">
        <v>4</v>
      </c>
      <c r="J665" s="197"/>
      <c r="K665" s="232"/>
      <c r="L665" s="234">
        <v>1</v>
      </c>
      <c r="M665" s="197">
        <v>1</v>
      </c>
      <c r="N665" s="197"/>
      <c r="O665" s="197"/>
      <c r="P665" s="197"/>
      <c r="Q665" s="234">
        <v>1</v>
      </c>
      <c r="R665" s="197">
        <v>1</v>
      </c>
    </row>
    <row r="666" spans="1:18" s="248" customFormat="1" ht="14.25" hidden="1" customHeight="1" outlineLevel="1">
      <c r="B666" s="299" t="s">
        <v>268</v>
      </c>
      <c r="C666" s="304" t="s">
        <v>774</v>
      </c>
      <c r="D666" s="685" t="s">
        <v>392</v>
      </c>
      <c r="E666" s="306" t="s">
        <v>624</v>
      </c>
      <c r="F666" s="307"/>
      <c r="G666" s="297" t="s">
        <v>774</v>
      </c>
      <c r="H666" s="308" t="str">
        <f t="shared" si="44"/>
        <v>AR-T6S-4</v>
      </c>
      <c r="I666" s="661">
        <v>4</v>
      </c>
      <c r="J666" s="197"/>
      <c r="K666" s="246"/>
      <c r="L666" s="234">
        <v>1</v>
      </c>
      <c r="M666" s="197">
        <v>1</v>
      </c>
      <c r="N666" s="197"/>
      <c r="O666" s="197"/>
      <c r="P666" s="197"/>
      <c r="Q666" s="234">
        <v>1</v>
      </c>
      <c r="R666" s="197">
        <v>1</v>
      </c>
    </row>
    <row r="667" spans="1:18" s="248" customFormat="1" ht="14.25" hidden="1" customHeight="1" outlineLevel="1">
      <c r="B667" s="299" t="s">
        <v>268</v>
      </c>
      <c r="C667" s="304" t="s">
        <v>774</v>
      </c>
      <c r="D667" s="685" t="s">
        <v>394</v>
      </c>
      <c r="E667" s="306" t="s">
        <v>625</v>
      </c>
      <c r="F667" s="307"/>
      <c r="G667" s="297" t="s">
        <v>774</v>
      </c>
      <c r="H667" s="308" t="str">
        <f t="shared" si="44"/>
        <v>AR-T6S-5</v>
      </c>
      <c r="I667" s="661">
        <v>5</v>
      </c>
      <c r="J667" s="197"/>
      <c r="K667" s="246"/>
      <c r="L667" s="234">
        <v>1</v>
      </c>
      <c r="M667" s="197">
        <v>1</v>
      </c>
      <c r="N667" s="197"/>
      <c r="O667" s="197"/>
      <c r="P667" s="197"/>
      <c r="Q667" s="234">
        <v>1</v>
      </c>
      <c r="R667" s="197">
        <v>1</v>
      </c>
    </row>
    <row r="668" spans="1:18" s="248" customFormat="1" ht="14.25" hidden="1" customHeight="1" outlineLevel="1">
      <c r="B668" s="299" t="s">
        <v>268</v>
      </c>
      <c r="C668" s="304" t="s">
        <v>774</v>
      </c>
      <c r="D668" s="685" t="s">
        <v>396</v>
      </c>
      <c r="E668" s="306" t="s">
        <v>626</v>
      </c>
      <c r="F668" s="307"/>
      <c r="G668" s="297" t="s">
        <v>774</v>
      </c>
      <c r="H668" s="308" t="str">
        <f t="shared" si="44"/>
        <v>AR-T6S-5</v>
      </c>
      <c r="I668" s="661">
        <v>5</v>
      </c>
      <c r="J668" s="197"/>
      <c r="K668" s="246"/>
      <c r="L668" s="234">
        <v>1</v>
      </c>
      <c r="M668" s="197">
        <v>1</v>
      </c>
      <c r="N668" s="197"/>
      <c r="O668" s="197"/>
      <c r="P668" s="197"/>
      <c r="Q668" s="234">
        <v>1</v>
      </c>
      <c r="R668" s="197">
        <v>1</v>
      </c>
    </row>
    <row r="669" spans="1:18" s="248" customFormat="1" ht="14.25" hidden="1" customHeight="1" outlineLevel="1">
      <c r="B669" s="299" t="s">
        <v>268</v>
      </c>
      <c r="C669" s="304" t="s">
        <v>774</v>
      </c>
      <c r="D669" s="685" t="s">
        <v>535</v>
      </c>
      <c r="E669" s="306" t="s">
        <v>627</v>
      </c>
      <c r="F669" s="307"/>
      <c r="G669" s="297" t="s">
        <v>774</v>
      </c>
      <c r="H669" s="308" t="str">
        <f t="shared" si="44"/>
        <v>AR-T6S-5</v>
      </c>
      <c r="I669" s="661">
        <v>5</v>
      </c>
      <c r="J669" s="197"/>
      <c r="K669" s="246"/>
      <c r="L669" s="234">
        <v>1</v>
      </c>
      <c r="M669" s="197">
        <v>1</v>
      </c>
      <c r="N669" s="197"/>
      <c r="O669" s="197"/>
      <c r="P669" s="197"/>
      <c r="Q669" s="234">
        <v>1</v>
      </c>
      <c r="R669" s="197">
        <v>1</v>
      </c>
    </row>
    <row r="670" spans="1:18" s="248" customFormat="1" ht="14.25" hidden="1" customHeight="1" outlineLevel="1">
      <c r="B670" s="299" t="s">
        <v>268</v>
      </c>
      <c r="C670" s="304" t="s">
        <v>774</v>
      </c>
      <c r="D670" s="685" t="s">
        <v>537</v>
      </c>
      <c r="E670" s="306" t="s">
        <v>628</v>
      </c>
      <c r="F670" s="307"/>
      <c r="G670" s="297" t="s">
        <v>774</v>
      </c>
      <c r="H670" s="308" t="str">
        <f t="shared" si="44"/>
        <v>AR-T6S-5</v>
      </c>
      <c r="I670" s="661">
        <v>5</v>
      </c>
      <c r="J670" s="197"/>
      <c r="K670" s="246"/>
      <c r="L670" s="234">
        <v>1</v>
      </c>
      <c r="M670" s="197">
        <v>1</v>
      </c>
      <c r="N670" s="197"/>
      <c r="O670" s="197"/>
      <c r="P670" s="197"/>
      <c r="Q670" s="234">
        <v>1</v>
      </c>
      <c r="R670" s="197">
        <v>1</v>
      </c>
    </row>
    <row r="671" spans="1:18" s="248" customFormat="1" ht="14.25" hidden="1" customHeight="1" outlineLevel="1">
      <c r="B671" s="299" t="s">
        <v>268</v>
      </c>
      <c r="C671" s="304" t="s">
        <v>774</v>
      </c>
      <c r="D671" s="685" t="s">
        <v>539</v>
      </c>
      <c r="E671" s="306" t="s">
        <v>629</v>
      </c>
      <c r="F671" s="307"/>
      <c r="G671" s="297" t="s">
        <v>774</v>
      </c>
      <c r="H671" s="308" t="str">
        <f t="shared" si="44"/>
        <v>AR-T6S-7</v>
      </c>
      <c r="I671" s="661">
        <v>7</v>
      </c>
      <c r="J671" s="197"/>
      <c r="K671" s="246"/>
      <c r="L671" s="234">
        <v>1</v>
      </c>
      <c r="M671" s="197">
        <v>1</v>
      </c>
      <c r="N671" s="197"/>
      <c r="O671" s="197"/>
      <c r="P671" s="197"/>
      <c r="Q671" s="247">
        <v>1</v>
      </c>
      <c r="R671" s="197">
        <v>1</v>
      </c>
    </row>
    <row r="672" spans="1:18" s="248" customFormat="1" ht="14.25" hidden="1" customHeight="1" outlineLevel="1">
      <c r="B672" s="299" t="s">
        <v>268</v>
      </c>
      <c r="C672" s="304" t="s">
        <v>774</v>
      </c>
      <c r="D672" s="685" t="s">
        <v>541</v>
      </c>
      <c r="E672" s="306" t="s">
        <v>630</v>
      </c>
      <c r="F672" s="307"/>
      <c r="G672" s="297" t="s">
        <v>774</v>
      </c>
      <c r="H672" s="308" t="str">
        <f t="shared" ref="H672:H673" si="45">CONCATENATE("AR-",G672,"-",I672)</f>
        <v>AR-T6S-8</v>
      </c>
      <c r="I672" s="661">
        <v>8</v>
      </c>
      <c r="J672" s="245"/>
      <c r="K672" s="246"/>
      <c r="L672" s="234">
        <v>1</v>
      </c>
      <c r="M672" s="197">
        <v>1</v>
      </c>
      <c r="N672" s="197"/>
      <c r="O672" s="197"/>
      <c r="P672" s="197"/>
      <c r="Q672" s="247">
        <v>1</v>
      </c>
      <c r="R672" s="197">
        <v>1</v>
      </c>
    </row>
    <row r="673" spans="1:18" s="248" customFormat="1" ht="14.25" hidden="1" customHeight="1" outlineLevel="1">
      <c r="B673" s="299" t="s">
        <v>268</v>
      </c>
      <c r="C673" s="304" t="s">
        <v>774</v>
      </c>
      <c r="D673" s="685">
        <v>7470</v>
      </c>
      <c r="E673" s="306" t="s">
        <v>779</v>
      </c>
      <c r="F673" s="307"/>
      <c r="G673" s="297" t="s">
        <v>774</v>
      </c>
      <c r="H673" s="308" t="str">
        <f t="shared" si="45"/>
        <v>AR-T6S-8</v>
      </c>
      <c r="I673" s="661">
        <v>8</v>
      </c>
      <c r="J673" s="245"/>
      <c r="K673" s="246"/>
      <c r="L673" s="234">
        <v>1</v>
      </c>
      <c r="M673" s="197">
        <v>1</v>
      </c>
      <c r="N673" s="197"/>
      <c r="O673" s="197"/>
      <c r="P673" s="197"/>
      <c r="Q673" s="247">
        <v>1</v>
      </c>
      <c r="R673" s="197">
        <v>1</v>
      </c>
    </row>
    <row r="674" spans="1:18" s="248" customFormat="1" ht="14.25" hidden="1" customHeight="1" outlineLevel="1">
      <c r="B674" s="299" t="s">
        <v>268</v>
      </c>
      <c r="C674" s="304" t="s">
        <v>774</v>
      </c>
      <c r="D674" s="685">
        <v>7471</v>
      </c>
      <c r="E674" s="306" t="s">
        <v>780</v>
      </c>
      <c r="F674" s="307"/>
      <c r="G674" s="297" t="s">
        <v>774</v>
      </c>
      <c r="H674" s="308" t="str">
        <f t="shared" ref="H674" si="46">CONCATENATE("AR-",G674,"-",I674)</f>
        <v>AR-T6S-8</v>
      </c>
      <c r="I674" s="661">
        <v>8</v>
      </c>
      <c r="J674" s="245"/>
      <c r="K674" s="246"/>
      <c r="L674" s="234">
        <v>1</v>
      </c>
      <c r="M674" s="197">
        <v>1</v>
      </c>
      <c r="N674" s="197"/>
      <c r="O674" s="197"/>
      <c r="P674" s="197"/>
      <c r="Q674" s="247">
        <v>1</v>
      </c>
      <c r="R674" s="197">
        <v>1</v>
      </c>
    </row>
    <row r="675" spans="1:18" s="248" customFormat="1" ht="14.25" hidden="1" customHeight="1" outlineLevel="1">
      <c r="B675" s="299" t="s">
        <v>268</v>
      </c>
      <c r="C675" s="304" t="s">
        <v>774</v>
      </c>
      <c r="D675" s="685">
        <v>7472</v>
      </c>
      <c r="E675" s="306" t="s">
        <v>781</v>
      </c>
      <c r="F675" s="307"/>
      <c r="G675" s="297" t="s">
        <v>774</v>
      </c>
      <c r="H675" s="308" t="str">
        <f t="shared" si="44"/>
        <v>AR-T6S-8</v>
      </c>
      <c r="I675" s="661">
        <v>8</v>
      </c>
      <c r="J675" s="245"/>
      <c r="K675" s="246"/>
      <c r="L675" s="234">
        <v>1</v>
      </c>
      <c r="M675" s="197">
        <v>1</v>
      </c>
      <c r="N675" s="197"/>
      <c r="O675" s="197"/>
      <c r="P675" s="197"/>
      <c r="Q675" s="247">
        <v>1</v>
      </c>
      <c r="R675" s="197">
        <v>1</v>
      </c>
    </row>
    <row r="676" spans="1:18" s="248" customFormat="1" ht="3" hidden="1" customHeight="1" outlineLevel="1">
      <c r="B676" s="299"/>
      <c r="C676" s="304"/>
      <c r="D676" s="685"/>
      <c r="E676" s="306" t="s">
        <v>277</v>
      </c>
      <c r="F676" s="307"/>
      <c r="G676" s="297"/>
      <c r="H676" s="308"/>
      <c r="I676" s="661"/>
      <c r="J676" s="245"/>
      <c r="K676" s="246"/>
      <c r="L676" s="247"/>
      <c r="M676" s="197"/>
      <c r="N676" s="197"/>
      <c r="O676" s="197"/>
      <c r="P676" s="197"/>
      <c r="Q676" s="247"/>
      <c r="R676" s="197"/>
    </row>
    <row r="677" spans="1:18" s="233" customFormat="1" ht="13.5" hidden="1" customHeight="1" outlineLevel="1">
      <c r="A677" s="681"/>
      <c r="B677" s="299" t="s">
        <v>326</v>
      </c>
      <c r="C677" s="304"/>
      <c r="D677" s="685"/>
      <c r="E677" s="306"/>
      <c r="F677" s="307"/>
      <c r="G677" s="297"/>
      <c r="H677" s="308"/>
      <c r="I677" s="661"/>
      <c r="J677" s="197"/>
      <c r="K677" s="232"/>
      <c r="L677" s="234"/>
      <c r="M677" s="197"/>
      <c r="N677" s="197"/>
      <c r="O677" s="197"/>
      <c r="P677" s="197"/>
      <c r="Q677" s="234"/>
      <c r="R677" s="197"/>
    </row>
    <row r="678" spans="1:18" s="248" customFormat="1" ht="14.25" hidden="1" customHeight="1" outlineLevel="1">
      <c r="B678" s="299" t="s">
        <v>268</v>
      </c>
      <c r="C678" s="304" t="s">
        <v>774</v>
      </c>
      <c r="D678" s="685" t="s">
        <v>328</v>
      </c>
      <c r="E678" s="306" t="s">
        <v>782</v>
      </c>
      <c r="F678" s="307"/>
      <c r="G678" s="297" t="s">
        <v>774</v>
      </c>
      <c r="H678" s="308" t="str">
        <f>CONCATENATE("AR-",G678,"-",I678)</f>
        <v>AR-T6S-1</v>
      </c>
      <c r="I678" s="661">
        <v>1</v>
      </c>
      <c r="J678" s="197"/>
      <c r="K678" s="246" t="s">
        <v>776</v>
      </c>
      <c r="L678" s="234">
        <v>1</v>
      </c>
      <c r="M678" s="197">
        <v>1</v>
      </c>
      <c r="N678" s="197"/>
      <c r="O678" s="197"/>
      <c r="P678" s="197"/>
      <c r="Q678" s="234">
        <v>1</v>
      </c>
      <c r="R678" s="197">
        <v>1</v>
      </c>
    </row>
    <row r="679" spans="1:18" s="248" customFormat="1" ht="14.25" hidden="1" customHeight="1" outlineLevel="1">
      <c r="B679" s="299" t="s">
        <v>268</v>
      </c>
      <c r="C679" s="304" t="s">
        <v>774</v>
      </c>
      <c r="D679" s="685" t="s">
        <v>330</v>
      </c>
      <c r="E679" s="306" t="s">
        <v>783</v>
      </c>
      <c r="F679" s="307"/>
      <c r="G679" s="297" t="s">
        <v>774</v>
      </c>
      <c r="H679" s="308" t="str">
        <f>CONCATENATE("AR-",G679,"-",I679)</f>
        <v>AR-T6S-1</v>
      </c>
      <c r="I679" s="661">
        <v>1</v>
      </c>
      <c r="J679" s="197"/>
      <c r="K679" s="246" t="s">
        <v>776</v>
      </c>
      <c r="L679" s="234">
        <v>1</v>
      </c>
      <c r="M679" s="197">
        <v>1</v>
      </c>
      <c r="N679" s="197"/>
      <c r="O679" s="197"/>
      <c r="P679" s="197"/>
      <c r="Q679" s="234">
        <v>1</v>
      </c>
      <c r="R679" s="197">
        <v>1</v>
      </c>
    </row>
    <row r="680" spans="1:18" s="248" customFormat="1" ht="14.25" hidden="1" customHeight="1" outlineLevel="1">
      <c r="B680" s="299" t="s">
        <v>268</v>
      </c>
      <c r="C680" s="304" t="s">
        <v>774</v>
      </c>
      <c r="D680" s="685" t="s">
        <v>332</v>
      </c>
      <c r="E680" s="306" t="s">
        <v>784</v>
      </c>
      <c r="F680" s="307"/>
      <c r="G680" s="297" t="s">
        <v>774</v>
      </c>
      <c r="H680" s="308" t="str">
        <f>CONCATENATE("AR-",G680,"-",I680)</f>
        <v>AR-T6S-1</v>
      </c>
      <c r="I680" s="661">
        <v>1</v>
      </c>
      <c r="J680" s="197"/>
      <c r="K680" s="246" t="s">
        <v>776</v>
      </c>
      <c r="L680" s="234">
        <v>1</v>
      </c>
      <c r="M680" s="197">
        <v>1</v>
      </c>
      <c r="N680" s="197"/>
      <c r="O680" s="197"/>
      <c r="P680" s="197"/>
      <c r="Q680" s="234">
        <v>1</v>
      </c>
      <c r="R680" s="197">
        <v>1</v>
      </c>
    </row>
    <row r="681" spans="1:18" s="248" customFormat="1" ht="3" hidden="1" customHeight="1" outlineLevel="1">
      <c r="B681" s="299"/>
      <c r="C681" s="304"/>
      <c r="D681" s="685"/>
      <c r="E681" s="306" t="s">
        <v>277</v>
      </c>
      <c r="F681" s="307"/>
      <c r="G681" s="297"/>
      <c r="H681" s="308"/>
      <c r="I681" s="661"/>
      <c r="J681" s="245"/>
      <c r="K681" s="246"/>
      <c r="L681" s="247"/>
      <c r="M681" s="197"/>
      <c r="N681" s="197"/>
      <c r="O681" s="197"/>
      <c r="P681" s="197"/>
      <c r="Q681" s="247"/>
      <c r="R681" s="197"/>
    </row>
    <row r="682" spans="1:18" s="233" customFormat="1" ht="13.5" hidden="1" customHeight="1" outlineLevel="1">
      <c r="A682" s="681"/>
      <c r="B682" s="299" t="s">
        <v>334</v>
      </c>
      <c r="C682" s="304"/>
      <c r="D682" s="685"/>
      <c r="E682" s="306"/>
      <c r="F682" s="307"/>
      <c r="G682" s="297"/>
      <c r="H682" s="308"/>
      <c r="I682" s="661"/>
      <c r="J682" s="197"/>
      <c r="K682" s="232"/>
      <c r="L682" s="234"/>
      <c r="M682" s="197"/>
      <c r="N682" s="197"/>
      <c r="O682" s="197"/>
      <c r="P682" s="197"/>
      <c r="Q682" s="234"/>
      <c r="R682" s="197"/>
    </row>
    <row r="683" spans="1:18" s="248" customFormat="1" ht="14.25" hidden="1" customHeight="1" outlineLevel="1">
      <c r="B683" s="299" t="s">
        <v>268</v>
      </c>
      <c r="C683" s="304" t="s">
        <v>774</v>
      </c>
      <c r="D683" s="685" t="s">
        <v>335</v>
      </c>
      <c r="E683" s="306" t="s">
        <v>785</v>
      </c>
      <c r="F683" s="307"/>
      <c r="G683" s="297" t="s">
        <v>774</v>
      </c>
      <c r="H683" s="308" t="str">
        <f t="shared" ref="H683:H690" si="47">CONCATENATE("AR-",G683,"-",I683)</f>
        <v>AR-T6S-1</v>
      </c>
      <c r="I683" s="661">
        <v>1</v>
      </c>
      <c r="J683" s="197"/>
      <c r="K683" s="246" t="s">
        <v>776</v>
      </c>
      <c r="L683" s="234">
        <v>1</v>
      </c>
      <c r="M683" s="197">
        <v>1</v>
      </c>
      <c r="N683" s="197"/>
      <c r="O683" s="197"/>
      <c r="P683" s="197"/>
      <c r="Q683" s="234">
        <v>1</v>
      </c>
      <c r="R683" s="197">
        <v>1</v>
      </c>
    </row>
    <row r="684" spans="1:18" s="248" customFormat="1" ht="13.9" hidden="1" customHeight="1" outlineLevel="1">
      <c r="B684" s="299" t="s">
        <v>268</v>
      </c>
      <c r="C684" s="304" t="s">
        <v>774</v>
      </c>
      <c r="D684" s="685" t="s">
        <v>337</v>
      </c>
      <c r="E684" s="306" t="s">
        <v>786</v>
      </c>
      <c r="F684" s="307"/>
      <c r="G684" s="297" t="s">
        <v>774</v>
      </c>
      <c r="H684" s="308" t="str">
        <f t="shared" si="47"/>
        <v>AR-T6S-1</v>
      </c>
      <c r="I684" s="661">
        <v>1</v>
      </c>
      <c r="J684" s="197"/>
      <c r="K684" s="246" t="s">
        <v>776</v>
      </c>
      <c r="L684" s="234">
        <v>1</v>
      </c>
      <c r="M684" s="197">
        <v>1</v>
      </c>
      <c r="N684" s="197"/>
      <c r="O684" s="197"/>
      <c r="P684" s="197"/>
      <c r="Q684" s="234">
        <v>1</v>
      </c>
      <c r="R684" s="197">
        <v>1</v>
      </c>
    </row>
    <row r="685" spans="1:18" s="248" customFormat="1" ht="14.25" hidden="1" customHeight="1" outlineLevel="1">
      <c r="B685" s="299" t="s">
        <v>268</v>
      </c>
      <c r="C685" s="304" t="s">
        <v>774</v>
      </c>
      <c r="D685" s="685" t="s">
        <v>337</v>
      </c>
      <c r="E685" s="306" t="s">
        <v>787</v>
      </c>
      <c r="F685" s="307"/>
      <c r="G685" s="297" t="s">
        <v>774</v>
      </c>
      <c r="H685" s="308" t="str">
        <f t="shared" si="47"/>
        <v>AR-T6S-1</v>
      </c>
      <c r="I685" s="661">
        <v>1</v>
      </c>
      <c r="J685" s="197"/>
      <c r="K685" s="246"/>
      <c r="L685" s="234">
        <v>1</v>
      </c>
      <c r="M685" s="197">
        <v>1</v>
      </c>
      <c r="N685" s="197"/>
      <c r="O685" s="197"/>
      <c r="P685" s="197"/>
      <c r="Q685" s="234">
        <v>1</v>
      </c>
      <c r="R685" s="197">
        <v>1</v>
      </c>
    </row>
    <row r="686" spans="1:18" s="248" customFormat="1" ht="13.9" hidden="1" customHeight="1" outlineLevel="1">
      <c r="B686" s="299" t="s">
        <v>268</v>
      </c>
      <c r="C686" s="304" t="s">
        <v>774</v>
      </c>
      <c r="D686" s="685" t="s">
        <v>337</v>
      </c>
      <c r="E686" s="306" t="s">
        <v>788</v>
      </c>
      <c r="F686" s="307"/>
      <c r="G686" s="297" t="s">
        <v>774</v>
      </c>
      <c r="H686" s="308" t="str">
        <f t="shared" si="47"/>
        <v>AR-T6S-1</v>
      </c>
      <c r="I686" s="661">
        <v>1</v>
      </c>
      <c r="J686" s="197"/>
      <c r="K686" s="246"/>
      <c r="L686" s="234">
        <v>1</v>
      </c>
      <c r="M686" s="197">
        <v>1</v>
      </c>
      <c r="N686" s="197"/>
      <c r="O686" s="197"/>
      <c r="P686" s="197"/>
      <c r="Q686" s="234">
        <v>1</v>
      </c>
      <c r="R686" s="197">
        <v>1</v>
      </c>
    </row>
    <row r="687" spans="1:18" s="248" customFormat="1" ht="14.25" hidden="1" customHeight="1" outlineLevel="1">
      <c r="B687" s="299" t="s">
        <v>268</v>
      </c>
      <c r="C687" s="304" t="s">
        <v>774</v>
      </c>
      <c r="D687" s="685" t="s">
        <v>337</v>
      </c>
      <c r="E687" s="306" t="s">
        <v>789</v>
      </c>
      <c r="F687" s="307"/>
      <c r="G687" s="297" t="s">
        <v>774</v>
      </c>
      <c r="H687" s="308" t="str">
        <f t="shared" si="47"/>
        <v>AR-T6S-1</v>
      </c>
      <c r="I687" s="661">
        <v>1</v>
      </c>
      <c r="J687" s="197"/>
      <c r="K687" s="246"/>
      <c r="L687" s="234">
        <v>1</v>
      </c>
      <c r="M687" s="197">
        <v>1</v>
      </c>
      <c r="N687" s="197"/>
      <c r="O687" s="197"/>
      <c r="P687" s="197"/>
      <c r="Q687" s="234">
        <v>1</v>
      </c>
      <c r="R687" s="197">
        <v>1</v>
      </c>
    </row>
    <row r="688" spans="1:18" s="248" customFormat="1" ht="14.25" hidden="1" customHeight="1" outlineLevel="1">
      <c r="B688" s="299" t="s">
        <v>268</v>
      </c>
      <c r="C688" s="304" t="s">
        <v>774</v>
      </c>
      <c r="D688" s="685" t="s">
        <v>335</v>
      </c>
      <c r="E688" s="306" t="s">
        <v>790</v>
      </c>
      <c r="F688" s="307"/>
      <c r="G688" s="297" t="s">
        <v>774</v>
      </c>
      <c r="H688" s="308" t="str">
        <f t="shared" si="47"/>
        <v>AR-T6S-1</v>
      </c>
      <c r="I688" s="661">
        <v>1</v>
      </c>
      <c r="J688" s="197"/>
      <c r="K688" s="246"/>
      <c r="L688" s="234">
        <v>1</v>
      </c>
      <c r="M688" s="197">
        <v>1</v>
      </c>
      <c r="N688" s="197"/>
      <c r="O688" s="197"/>
      <c r="P688" s="197"/>
      <c r="Q688" s="234">
        <v>1</v>
      </c>
      <c r="R688" s="197">
        <v>1</v>
      </c>
    </row>
    <row r="689" spans="1:18" s="248" customFormat="1" ht="14.25" hidden="1" customHeight="1" outlineLevel="1">
      <c r="B689" s="299" t="s">
        <v>268</v>
      </c>
      <c r="C689" s="304" t="s">
        <v>774</v>
      </c>
      <c r="D689" s="685" t="s">
        <v>337</v>
      </c>
      <c r="E689" s="306" t="s">
        <v>791</v>
      </c>
      <c r="F689" s="307"/>
      <c r="G689" s="297" t="s">
        <v>774</v>
      </c>
      <c r="H689" s="308" t="str">
        <f t="shared" si="47"/>
        <v>AR-T6S-1</v>
      </c>
      <c r="I689" s="661">
        <v>1</v>
      </c>
      <c r="J689" s="197"/>
      <c r="K689" s="246"/>
      <c r="L689" s="234">
        <v>1</v>
      </c>
      <c r="M689" s="197">
        <v>1</v>
      </c>
      <c r="N689" s="197"/>
      <c r="O689" s="197"/>
      <c r="P689" s="197"/>
      <c r="Q689" s="234">
        <v>1</v>
      </c>
      <c r="R689" s="197">
        <v>1</v>
      </c>
    </row>
    <row r="690" spans="1:18" s="248" customFormat="1" ht="14.25" hidden="1" customHeight="1" outlineLevel="1">
      <c r="B690" s="299" t="s">
        <v>268</v>
      </c>
      <c r="C690" s="304" t="s">
        <v>774</v>
      </c>
      <c r="D690" s="685" t="s">
        <v>337</v>
      </c>
      <c r="E690" s="306" t="s">
        <v>792</v>
      </c>
      <c r="F690" s="307"/>
      <c r="G690" s="297" t="s">
        <v>774</v>
      </c>
      <c r="H690" s="308" t="str">
        <f t="shared" si="47"/>
        <v>AR-T6S-1</v>
      </c>
      <c r="I690" s="661">
        <v>1</v>
      </c>
      <c r="J690" s="197"/>
      <c r="K690" s="246"/>
      <c r="L690" s="234">
        <v>1</v>
      </c>
      <c r="M690" s="197">
        <v>1</v>
      </c>
      <c r="N690" s="197"/>
      <c r="O690" s="197"/>
      <c r="P690" s="197"/>
      <c r="Q690" s="234">
        <v>1</v>
      </c>
      <c r="R690" s="197">
        <v>1</v>
      </c>
    </row>
    <row r="691" spans="1:18" s="248" customFormat="1" ht="3" hidden="1" customHeight="1" outlineLevel="1">
      <c r="B691" s="299"/>
      <c r="C691" s="304"/>
      <c r="D691" s="685"/>
      <c r="E691" s="306" t="s">
        <v>277</v>
      </c>
      <c r="F691" s="307"/>
      <c r="G691" s="297"/>
      <c r="H691" s="308"/>
      <c r="I691" s="661"/>
      <c r="J691" s="245"/>
      <c r="K691" s="246"/>
      <c r="L691" s="247"/>
      <c r="M691" s="197"/>
      <c r="N691" s="197"/>
      <c r="O691" s="197"/>
      <c r="P691" s="197"/>
      <c r="Q691" s="247"/>
      <c r="R691" s="197"/>
    </row>
    <row r="692" spans="1:18" s="233" customFormat="1" ht="13.5" hidden="1" customHeight="1" outlineLevel="1">
      <c r="A692" s="681"/>
      <c r="B692" s="299" t="s">
        <v>401</v>
      </c>
      <c r="C692" s="304"/>
      <c r="D692" s="685"/>
      <c r="E692" s="306"/>
      <c r="F692" s="307"/>
      <c r="G692" s="297"/>
      <c r="H692" s="308"/>
      <c r="I692" s="661"/>
      <c r="J692" s="197"/>
      <c r="K692" s="232"/>
      <c r="L692" s="247"/>
      <c r="M692" s="197"/>
      <c r="N692" s="197"/>
      <c r="O692" s="197"/>
      <c r="P692" s="197"/>
      <c r="Q692" s="234"/>
      <c r="R692" s="197"/>
    </row>
    <row r="693" spans="1:18" s="248" customFormat="1" ht="14.25" hidden="1" customHeight="1" outlineLevel="1">
      <c r="B693" s="299" t="s">
        <v>268</v>
      </c>
      <c r="C693" s="304" t="s">
        <v>774</v>
      </c>
      <c r="D693" s="685" t="s">
        <v>793</v>
      </c>
      <c r="E693" s="306" t="s">
        <v>633</v>
      </c>
      <c r="F693" s="307"/>
      <c r="G693" s="297" t="s">
        <v>774</v>
      </c>
      <c r="H693" s="308" t="str">
        <f t="shared" ref="H693:H700" si="48">CONCATENATE("AR-",G693,"-",I693)</f>
        <v>AR-T6S-6</v>
      </c>
      <c r="I693" s="661">
        <v>6</v>
      </c>
      <c r="J693" s="245"/>
      <c r="K693" s="246"/>
      <c r="L693" s="234">
        <v>1</v>
      </c>
      <c r="M693" s="197">
        <v>1</v>
      </c>
      <c r="N693" s="197"/>
      <c r="O693" s="197"/>
      <c r="P693" s="197"/>
      <c r="Q693" s="234">
        <v>1</v>
      </c>
      <c r="R693" s="197">
        <v>1</v>
      </c>
    </row>
    <row r="694" spans="1:18" s="248" customFormat="1" ht="14.25" hidden="1" customHeight="1" outlineLevel="1">
      <c r="B694" s="299" t="s">
        <v>268</v>
      </c>
      <c r="C694" s="304" t="s">
        <v>774</v>
      </c>
      <c r="D694" s="685" t="s">
        <v>793</v>
      </c>
      <c r="E694" s="306" t="s">
        <v>634</v>
      </c>
      <c r="F694" s="307"/>
      <c r="G694" s="297" t="s">
        <v>774</v>
      </c>
      <c r="H694" s="308" t="str">
        <f t="shared" si="48"/>
        <v>AR-T6S-6</v>
      </c>
      <c r="I694" s="661">
        <v>6</v>
      </c>
      <c r="J694" s="245"/>
      <c r="K694" s="246"/>
      <c r="L694" s="234">
        <v>1</v>
      </c>
      <c r="M694" s="197">
        <v>1</v>
      </c>
      <c r="N694" s="197"/>
      <c r="O694" s="197"/>
      <c r="P694" s="197"/>
      <c r="Q694" s="234">
        <v>1</v>
      </c>
      <c r="R694" s="197">
        <v>1</v>
      </c>
    </row>
    <row r="695" spans="1:18" s="248" customFormat="1" ht="14.25" hidden="1" customHeight="1" outlineLevel="1">
      <c r="B695" s="299" t="s">
        <v>268</v>
      </c>
      <c r="C695" s="304" t="s">
        <v>774</v>
      </c>
      <c r="D695" s="685" t="s">
        <v>793</v>
      </c>
      <c r="E695" s="306" t="s">
        <v>635</v>
      </c>
      <c r="F695" s="307"/>
      <c r="G695" s="297" t="s">
        <v>774</v>
      </c>
      <c r="H695" s="308" t="str">
        <f t="shared" si="48"/>
        <v>AR-T6S-6</v>
      </c>
      <c r="I695" s="661">
        <v>6</v>
      </c>
      <c r="J695" s="245"/>
      <c r="K695" s="246"/>
      <c r="L695" s="234">
        <v>1</v>
      </c>
      <c r="M695" s="197">
        <v>1</v>
      </c>
      <c r="N695" s="197"/>
      <c r="O695" s="197"/>
      <c r="P695" s="197"/>
      <c r="Q695" s="234">
        <v>1</v>
      </c>
      <c r="R695" s="197">
        <v>1</v>
      </c>
    </row>
    <row r="696" spans="1:18" s="571" customFormat="1" ht="14.25" hidden="1" customHeight="1" outlineLevel="1">
      <c r="A696" s="571" t="s">
        <v>642</v>
      </c>
      <c r="B696" s="299" t="s">
        <v>268</v>
      </c>
      <c r="C696" s="304" t="s">
        <v>774</v>
      </c>
      <c r="D696" s="685" t="s">
        <v>643</v>
      </c>
      <c r="E696" s="306" t="s">
        <v>644</v>
      </c>
      <c r="F696" s="307"/>
      <c r="G696" s="297" t="s">
        <v>774</v>
      </c>
      <c r="H696" s="308" t="str">
        <f t="shared" si="48"/>
        <v>AR-T6S-6</v>
      </c>
      <c r="I696" s="661">
        <v>6</v>
      </c>
      <c r="J696" s="653"/>
      <c r="K696" s="654"/>
      <c r="L696" s="234">
        <v>1</v>
      </c>
      <c r="M696" s="197">
        <v>1</v>
      </c>
      <c r="N696" s="197"/>
      <c r="O696" s="197"/>
      <c r="P696" s="311"/>
      <c r="Q696" s="234">
        <v>1</v>
      </c>
      <c r="R696" s="197">
        <v>1</v>
      </c>
    </row>
    <row r="697" spans="1:18" s="571" customFormat="1" ht="14.25" hidden="1" customHeight="1" outlineLevel="1">
      <c r="A697" s="571" t="s">
        <v>642</v>
      </c>
      <c r="B697" s="299" t="s">
        <v>268</v>
      </c>
      <c r="C697" s="304" t="s">
        <v>774</v>
      </c>
      <c r="D697" s="685" t="s">
        <v>645</v>
      </c>
      <c r="E697" s="306" t="s">
        <v>646</v>
      </c>
      <c r="F697" s="307"/>
      <c r="G697" s="297" t="s">
        <v>774</v>
      </c>
      <c r="H697" s="308" t="str">
        <f t="shared" si="48"/>
        <v>AR-T6S-6</v>
      </c>
      <c r="I697" s="661">
        <v>6</v>
      </c>
      <c r="J697" s="653"/>
      <c r="K697" s="654"/>
      <c r="L697" s="234">
        <v>1</v>
      </c>
      <c r="M697" s="197">
        <v>1</v>
      </c>
      <c r="N697" s="197"/>
      <c r="O697" s="197"/>
      <c r="P697" s="311"/>
      <c r="Q697" s="234">
        <v>1</v>
      </c>
      <c r="R697" s="197">
        <v>1</v>
      </c>
    </row>
    <row r="698" spans="1:18" s="571" customFormat="1" ht="14.25" hidden="1" customHeight="1" outlineLevel="1">
      <c r="B698" s="299" t="s">
        <v>268</v>
      </c>
      <c r="C698" s="304" t="s">
        <v>774</v>
      </c>
      <c r="D698" s="685" t="s">
        <v>647</v>
      </c>
      <c r="E698" s="306" t="s">
        <v>648</v>
      </c>
      <c r="F698" s="307"/>
      <c r="G698" s="297" t="s">
        <v>774</v>
      </c>
      <c r="H698" s="308" t="str">
        <f t="shared" si="48"/>
        <v>AR-T6S-6</v>
      </c>
      <c r="I698" s="661">
        <v>6</v>
      </c>
      <c r="J698" s="653"/>
      <c r="K698" s="654"/>
      <c r="L698" s="234">
        <v>1</v>
      </c>
      <c r="M698" s="197">
        <v>1</v>
      </c>
      <c r="N698" s="197"/>
      <c r="O698" s="197"/>
      <c r="P698" s="311"/>
      <c r="Q698" s="234">
        <v>1</v>
      </c>
      <c r="R698" s="197">
        <v>1</v>
      </c>
    </row>
    <row r="699" spans="1:18" s="571" customFormat="1" ht="14.25" hidden="1" customHeight="1" outlineLevel="1">
      <c r="A699" s="571" t="s">
        <v>649</v>
      </c>
      <c r="B699" s="299" t="s">
        <v>268</v>
      </c>
      <c r="C699" s="304" t="s">
        <v>774</v>
      </c>
      <c r="D699" s="685" t="s">
        <v>643</v>
      </c>
      <c r="E699" s="306" t="s">
        <v>650</v>
      </c>
      <c r="F699" s="307"/>
      <c r="G699" s="297" t="s">
        <v>774</v>
      </c>
      <c r="H699" s="308" t="str">
        <f t="shared" si="48"/>
        <v>AR-T6S-6</v>
      </c>
      <c r="I699" s="661">
        <v>6</v>
      </c>
      <c r="J699" s="653"/>
      <c r="K699" s="654"/>
      <c r="L699" s="652">
        <v>1</v>
      </c>
      <c r="M699" s="197">
        <v>1</v>
      </c>
      <c r="N699" s="311"/>
      <c r="O699" s="311"/>
      <c r="P699" s="311"/>
      <c r="Q699" s="652">
        <v>1</v>
      </c>
      <c r="R699" s="197">
        <v>1</v>
      </c>
    </row>
    <row r="700" spans="1:18" s="248" customFormat="1" ht="14.25" hidden="1" customHeight="1" outlineLevel="1">
      <c r="A700" s="571" t="s">
        <v>649</v>
      </c>
      <c r="B700" s="299" t="s">
        <v>268</v>
      </c>
      <c r="C700" s="304" t="s">
        <v>774</v>
      </c>
      <c r="D700" s="685" t="s">
        <v>645</v>
      </c>
      <c r="E700" s="306" t="s">
        <v>651</v>
      </c>
      <c r="F700" s="307"/>
      <c r="G700" s="297" t="s">
        <v>774</v>
      </c>
      <c r="H700" s="308" t="str">
        <f t="shared" si="48"/>
        <v>AR-T6S-6</v>
      </c>
      <c r="I700" s="661">
        <v>6</v>
      </c>
      <c r="J700" s="245"/>
      <c r="K700" s="246"/>
      <c r="L700" s="234">
        <v>1</v>
      </c>
      <c r="M700" s="197">
        <v>1</v>
      </c>
      <c r="N700" s="197"/>
      <c r="O700" s="197"/>
      <c r="P700" s="197"/>
      <c r="Q700" s="234">
        <v>1</v>
      </c>
      <c r="R700" s="197">
        <v>1</v>
      </c>
    </row>
    <row r="701" spans="1:18" s="248" customFormat="1" ht="14.25" hidden="1" customHeight="1" outlineLevel="1">
      <c r="B701" s="299"/>
      <c r="C701" s="304"/>
      <c r="D701" s="685"/>
      <c r="E701" s="306"/>
      <c r="F701" s="307"/>
      <c r="G701" s="297"/>
      <c r="H701" s="308"/>
      <c r="I701" s="661"/>
      <c r="J701" s="245"/>
      <c r="K701" s="246"/>
      <c r="L701" s="247"/>
      <c r="M701" s="197"/>
      <c r="N701" s="197"/>
      <c r="O701" s="197"/>
      <c r="P701" s="197"/>
      <c r="Q701" s="247"/>
      <c r="R701" s="197"/>
    </row>
    <row r="702" spans="1:18" s="248" customFormat="1" ht="3" hidden="1" customHeight="1" outlineLevel="1">
      <c r="B702" s="299"/>
      <c r="C702" s="304"/>
      <c r="D702" s="685"/>
      <c r="E702" s="306" t="s">
        <v>277</v>
      </c>
      <c r="F702" s="307"/>
      <c r="G702" s="297"/>
      <c r="H702" s="308"/>
      <c r="I702" s="661"/>
      <c r="J702" s="245"/>
      <c r="K702" s="246"/>
      <c r="L702" s="247"/>
      <c r="M702" s="197"/>
      <c r="N702" s="197"/>
      <c r="O702" s="197"/>
      <c r="P702" s="197"/>
      <c r="Q702" s="247"/>
      <c r="R702" s="197"/>
    </row>
    <row r="703" spans="1:18" s="233" customFormat="1" ht="13.5" hidden="1" customHeight="1" outlineLevel="1">
      <c r="A703" s="681"/>
      <c r="B703" s="299" t="s">
        <v>406</v>
      </c>
      <c r="C703" s="304"/>
      <c r="D703" s="685"/>
      <c r="E703" s="306"/>
      <c r="F703" s="307"/>
      <c r="G703" s="297"/>
      <c r="H703" s="308"/>
      <c r="I703" s="661"/>
      <c r="J703" s="197"/>
      <c r="K703" s="232"/>
      <c r="L703" s="234"/>
      <c r="M703" s="197"/>
      <c r="N703" s="197"/>
      <c r="O703" s="197"/>
      <c r="P703" s="197"/>
      <c r="Q703" s="234"/>
      <c r="R703" s="197"/>
    </row>
    <row r="704" spans="1:18" s="248" customFormat="1" ht="14.25" hidden="1" customHeight="1" outlineLevel="1">
      <c r="B704" s="299" t="s">
        <v>268</v>
      </c>
      <c r="C704" s="304" t="s">
        <v>774</v>
      </c>
      <c r="D704" s="685" t="s">
        <v>409</v>
      </c>
      <c r="E704" s="306" t="s">
        <v>652</v>
      </c>
      <c r="F704" s="307"/>
      <c r="G704" s="297" t="s">
        <v>774</v>
      </c>
      <c r="H704" s="308" t="str">
        <f t="shared" ref="H704:H710" si="49">CONCATENATE("AR-",G704,"-",I704)</f>
        <v>AR-T6S-1</v>
      </c>
      <c r="I704" s="661">
        <v>1</v>
      </c>
      <c r="J704" s="197"/>
      <c r="K704" s="246"/>
      <c r="L704" s="234">
        <v>1</v>
      </c>
      <c r="M704" s="197">
        <v>1</v>
      </c>
      <c r="N704" s="197"/>
      <c r="O704" s="197"/>
      <c r="P704" s="197"/>
      <c r="Q704" s="234">
        <v>1</v>
      </c>
      <c r="R704" s="197">
        <v>1</v>
      </c>
    </row>
    <row r="705" spans="2:18" s="248" customFormat="1" ht="14.25" hidden="1" customHeight="1" outlineLevel="1">
      <c r="B705" s="299" t="s">
        <v>268</v>
      </c>
      <c r="C705" s="304" t="s">
        <v>774</v>
      </c>
      <c r="D705" s="685" t="s">
        <v>653</v>
      </c>
      <c r="E705" s="306" t="s">
        <v>654</v>
      </c>
      <c r="F705" s="307"/>
      <c r="G705" s="297" t="s">
        <v>774</v>
      </c>
      <c r="H705" s="308" t="str">
        <f t="shared" si="49"/>
        <v>AR-T6S-6</v>
      </c>
      <c r="I705" s="661">
        <v>6</v>
      </c>
      <c r="K705" s="246"/>
      <c r="L705" s="234">
        <v>1</v>
      </c>
      <c r="M705" s="197">
        <v>1</v>
      </c>
      <c r="N705" s="197"/>
      <c r="O705" s="197"/>
      <c r="P705" s="197"/>
      <c r="Q705" s="234">
        <v>1</v>
      </c>
      <c r="R705" s="197">
        <v>1</v>
      </c>
    </row>
    <row r="706" spans="2:18" s="248" customFormat="1" ht="14.25" hidden="1" customHeight="1" outlineLevel="1">
      <c r="B706" s="299" t="s">
        <v>268</v>
      </c>
      <c r="C706" s="304" t="s">
        <v>774</v>
      </c>
      <c r="D706" s="685" t="s">
        <v>655</v>
      </c>
      <c r="E706" s="306" t="s">
        <v>656</v>
      </c>
      <c r="F706" s="307"/>
      <c r="G706" s="297" t="s">
        <v>774</v>
      </c>
      <c r="H706" s="308" t="str">
        <f t="shared" si="49"/>
        <v>AR-T6S-6</v>
      </c>
      <c r="I706" s="661">
        <v>6</v>
      </c>
      <c r="K706" s="246"/>
      <c r="L706" s="234">
        <v>1</v>
      </c>
      <c r="M706" s="197">
        <v>1</v>
      </c>
      <c r="N706" s="197"/>
      <c r="O706" s="197"/>
      <c r="P706" s="197"/>
      <c r="Q706" s="234">
        <v>1</v>
      </c>
      <c r="R706" s="197">
        <v>1</v>
      </c>
    </row>
    <row r="707" spans="2:18" s="248" customFormat="1" ht="14.25" hidden="1" customHeight="1" outlineLevel="1">
      <c r="B707" s="299" t="s">
        <v>268</v>
      </c>
      <c r="C707" s="304" t="s">
        <v>774</v>
      </c>
      <c r="D707" s="685" t="s">
        <v>415</v>
      </c>
      <c r="E707" s="306" t="s">
        <v>656</v>
      </c>
      <c r="F707" s="307"/>
      <c r="G707" s="297" t="s">
        <v>774</v>
      </c>
      <c r="H707" s="308" t="str">
        <f t="shared" si="49"/>
        <v>AR-T6S-6</v>
      </c>
      <c r="I707" s="661">
        <v>6</v>
      </c>
      <c r="K707" s="246"/>
      <c r="L707" s="234">
        <v>1</v>
      </c>
      <c r="M707" s="197">
        <v>1</v>
      </c>
      <c r="N707" s="197"/>
      <c r="O707" s="197"/>
      <c r="P707" s="197"/>
      <c r="Q707" s="234">
        <v>1</v>
      </c>
      <c r="R707" s="197">
        <v>1</v>
      </c>
    </row>
    <row r="708" spans="2:18" s="248" customFormat="1" ht="14.25" hidden="1" customHeight="1" outlineLevel="1">
      <c r="B708" s="299" t="s">
        <v>268</v>
      </c>
      <c r="C708" s="304" t="s">
        <v>774</v>
      </c>
      <c r="D708" s="685">
        <v>4416</v>
      </c>
      <c r="E708" s="306" t="s">
        <v>794</v>
      </c>
      <c r="F708" s="307"/>
      <c r="G708" s="297" t="s">
        <v>774</v>
      </c>
      <c r="H708" s="308" t="str">
        <f t="shared" ref="H708" si="50">CONCATENATE("AR-",G708,"-",I708)</f>
        <v>AR-T6S-6</v>
      </c>
      <c r="I708" s="661">
        <v>6</v>
      </c>
      <c r="K708" s="246"/>
      <c r="L708" s="234">
        <v>1</v>
      </c>
      <c r="M708" s="197">
        <v>1</v>
      </c>
      <c r="N708" s="197"/>
      <c r="O708" s="197"/>
      <c r="P708" s="197"/>
      <c r="Q708" s="234">
        <v>1</v>
      </c>
      <c r="R708" s="197">
        <v>1</v>
      </c>
    </row>
    <row r="709" spans="2:18" s="248" customFormat="1" ht="14.25" hidden="1" customHeight="1" outlineLevel="1">
      <c r="B709" s="299" t="s">
        <v>268</v>
      </c>
      <c r="C709" s="304" t="s">
        <v>774</v>
      </c>
      <c r="D709" s="685" t="s">
        <v>657</v>
      </c>
      <c r="E709" s="306" t="s">
        <v>658</v>
      </c>
      <c r="F709" s="307"/>
      <c r="G709" s="297" t="s">
        <v>774</v>
      </c>
      <c r="H709" s="308" t="str">
        <f t="shared" si="49"/>
        <v>AR-T6S-6</v>
      </c>
      <c r="I709" s="661">
        <v>6</v>
      </c>
      <c r="J709" s="245"/>
      <c r="K709" s="246"/>
      <c r="L709" s="234">
        <v>1</v>
      </c>
      <c r="M709" s="197">
        <v>1</v>
      </c>
      <c r="N709" s="197"/>
      <c r="O709" s="197"/>
      <c r="P709" s="197"/>
      <c r="Q709" s="234">
        <v>1</v>
      </c>
      <c r="R709" s="197">
        <v>1</v>
      </c>
    </row>
    <row r="710" spans="2:18" s="248" customFormat="1" ht="14.25" hidden="1" customHeight="1" outlineLevel="1">
      <c r="B710" s="299" t="s">
        <v>268</v>
      </c>
      <c r="C710" s="304" t="s">
        <v>774</v>
      </c>
      <c r="D710" s="685" t="s">
        <v>739</v>
      </c>
      <c r="E710" s="306" t="s">
        <v>740</v>
      </c>
      <c r="F710" s="307"/>
      <c r="G710" s="297" t="s">
        <v>774</v>
      </c>
      <c r="H710" s="308" t="str">
        <f t="shared" si="49"/>
        <v>AR-T6S-6</v>
      </c>
      <c r="I710" s="661">
        <v>6</v>
      </c>
      <c r="J710" s="245"/>
      <c r="K710" s="246"/>
      <c r="L710" s="234">
        <v>1</v>
      </c>
      <c r="M710" s="197">
        <v>1</v>
      </c>
      <c r="N710" s="197"/>
      <c r="O710" s="197"/>
      <c r="P710" s="197"/>
      <c r="Q710" s="234">
        <v>1</v>
      </c>
      <c r="R710" s="197">
        <v>1</v>
      </c>
    </row>
    <row r="711" spans="2:18" s="248" customFormat="1" ht="3" hidden="1" customHeight="1" outlineLevel="1">
      <c r="B711" s="299"/>
      <c r="C711" s="304"/>
      <c r="D711" s="685"/>
      <c r="E711" s="306" t="s">
        <v>277</v>
      </c>
      <c r="F711" s="307"/>
      <c r="G711" s="297"/>
      <c r="H711" s="308"/>
      <c r="I711" s="661"/>
      <c r="J711" s="245"/>
      <c r="K711" s="246"/>
      <c r="L711" s="247"/>
      <c r="M711" s="197"/>
      <c r="N711" s="197"/>
      <c r="O711" s="197"/>
      <c r="P711" s="197"/>
      <c r="Q711" s="247"/>
      <c r="R711" s="197"/>
    </row>
    <row r="712" spans="2:18" s="233" customFormat="1" ht="13.5" hidden="1" customHeight="1" outlineLevel="1">
      <c r="B712" s="299" t="s">
        <v>417</v>
      </c>
      <c r="C712" s="304"/>
      <c r="D712" s="685"/>
      <c r="E712" s="306"/>
      <c r="F712" s="307"/>
      <c r="G712" s="297"/>
      <c r="H712" s="308"/>
      <c r="I712" s="661"/>
      <c r="J712" s="197"/>
      <c r="K712" s="232"/>
      <c r="L712" s="234"/>
      <c r="M712" s="197"/>
      <c r="N712" s="197"/>
      <c r="O712" s="197"/>
      <c r="P712" s="197"/>
      <c r="Q712" s="234"/>
      <c r="R712" s="197"/>
    </row>
    <row r="713" spans="2:18" s="248" customFormat="1" ht="14.25" hidden="1" customHeight="1" outlineLevel="1">
      <c r="B713" s="299" t="s">
        <v>268</v>
      </c>
      <c r="C713" s="304" t="s">
        <v>774</v>
      </c>
      <c r="D713" s="685" t="s">
        <v>418</v>
      </c>
      <c r="E713" s="306" t="s">
        <v>662</v>
      </c>
      <c r="F713" s="307"/>
      <c r="G713" s="297" t="s">
        <v>774</v>
      </c>
      <c r="H713" s="308" t="str">
        <f>CONCATENATE("AR-",G713,"-",I713)</f>
        <v>AR-T6S-1</v>
      </c>
      <c r="I713" s="661">
        <v>1</v>
      </c>
      <c r="J713" s="197"/>
      <c r="K713" s="246"/>
      <c r="L713" s="234">
        <v>1</v>
      </c>
      <c r="M713" s="197">
        <v>1</v>
      </c>
      <c r="N713" s="197"/>
      <c r="O713" s="197"/>
      <c r="P713" s="197"/>
      <c r="Q713" s="234">
        <v>1</v>
      </c>
      <c r="R713" s="197">
        <v>1</v>
      </c>
    </row>
    <row r="714" spans="2:18" s="248" customFormat="1" ht="14.25" hidden="1" customHeight="1" outlineLevel="1">
      <c r="B714" s="299" t="s">
        <v>268</v>
      </c>
      <c r="C714" s="304" t="s">
        <v>774</v>
      </c>
      <c r="D714" s="685" t="s">
        <v>420</v>
      </c>
      <c r="E714" s="306" t="s">
        <v>663</v>
      </c>
      <c r="F714" s="307"/>
      <c r="G714" s="297" t="s">
        <v>774</v>
      </c>
      <c r="H714" s="308" t="str">
        <f>CONCATENATE("AR-",G714,"-",I714)</f>
        <v>AR-T6S-1</v>
      </c>
      <c r="I714" s="661">
        <v>1</v>
      </c>
      <c r="J714" s="197"/>
      <c r="K714" s="246"/>
      <c r="L714" s="234">
        <v>1</v>
      </c>
      <c r="M714" s="197">
        <v>1</v>
      </c>
      <c r="N714" s="197"/>
      <c r="O714" s="197"/>
      <c r="P714" s="197"/>
      <c r="Q714" s="234">
        <v>1</v>
      </c>
      <c r="R714" s="197">
        <v>1</v>
      </c>
    </row>
    <row r="715" spans="2:18" s="248" customFormat="1" ht="3" hidden="1" customHeight="1" outlineLevel="1">
      <c r="B715" s="299"/>
      <c r="C715" s="304"/>
      <c r="D715" s="685"/>
      <c r="E715" s="306" t="s">
        <v>277</v>
      </c>
      <c r="F715" s="307"/>
      <c r="G715" s="297"/>
      <c r="H715" s="308"/>
      <c r="I715" s="661"/>
      <c r="J715" s="245"/>
      <c r="K715" s="246"/>
      <c r="L715" s="247"/>
      <c r="M715" s="197"/>
      <c r="N715" s="197"/>
      <c r="O715" s="197"/>
      <c r="P715" s="197"/>
      <c r="Q715" s="247"/>
      <c r="R715" s="197"/>
    </row>
    <row r="716" spans="2:18" s="248" customFormat="1" ht="14.25" hidden="1" customHeight="1" outlineLevel="1">
      <c r="B716" s="299" t="s">
        <v>665</v>
      </c>
      <c r="C716" s="304"/>
      <c r="D716" s="685"/>
      <c r="E716" s="306"/>
      <c r="F716" s="307"/>
      <c r="G716" s="297"/>
      <c r="H716" s="308"/>
      <c r="I716" s="661"/>
      <c r="J716" s="245"/>
      <c r="K716" s="246"/>
      <c r="L716" s="247"/>
      <c r="M716" s="197"/>
      <c r="N716" s="197"/>
      <c r="O716" s="197"/>
      <c r="P716" s="197"/>
      <c r="Q716" s="247"/>
      <c r="R716" s="197"/>
    </row>
    <row r="717" spans="2:18" s="248" customFormat="1" ht="14.25" hidden="1" customHeight="1" outlineLevel="1">
      <c r="B717" s="299" t="s">
        <v>268</v>
      </c>
      <c r="C717" s="304" t="s">
        <v>774</v>
      </c>
      <c r="D717" s="685" t="s">
        <v>666</v>
      </c>
      <c r="E717" s="306" t="s">
        <v>667</v>
      </c>
      <c r="F717" s="307"/>
      <c r="G717" s="297" t="s">
        <v>774</v>
      </c>
      <c r="H717" s="308" t="str">
        <f>CONCATENATE("AR-",G717,"-",I717)</f>
        <v>AR-T6S-1</v>
      </c>
      <c r="I717" s="661">
        <v>1</v>
      </c>
      <c r="J717" s="197"/>
      <c r="K717" s="246"/>
      <c r="L717" s="234">
        <v>1</v>
      </c>
      <c r="M717" s="197">
        <v>1</v>
      </c>
      <c r="N717" s="197"/>
      <c r="O717" s="197"/>
      <c r="P717" s="197"/>
      <c r="Q717" s="234">
        <v>1</v>
      </c>
      <c r="R717" s="197">
        <v>1</v>
      </c>
    </row>
    <row r="718" spans="2:18" s="248" customFormat="1" ht="14.25" hidden="1" customHeight="1" outlineLevel="1">
      <c r="B718" s="299"/>
      <c r="C718" s="304"/>
      <c r="D718" s="685"/>
      <c r="E718" s="306" t="s">
        <v>673</v>
      </c>
      <c r="F718" s="307"/>
      <c r="G718" s="297" t="s">
        <v>774</v>
      </c>
      <c r="H718" s="308" t="str">
        <f>CONCATENATE("AR-",G718,"-",I718)</f>
        <v>AR-T6S-3</v>
      </c>
      <c r="I718" s="661">
        <v>3</v>
      </c>
      <c r="J718" s="197"/>
      <c r="K718" s="246"/>
      <c r="L718" s="234">
        <v>1</v>
      </c>
      <c r="M718" s="197">
        <v>1</v>
      </c>
      <c r="N718" s="197"/>
      <c r="O718" s="197"/>
      <c r="P718" s="197"/>
      <c r="Q718" s="234">
        <v>1</v>
      </c>
      <c r="R718" s="197">
        <v>1</v>
      </c>
    </row>
    <row r="719" spans="2:18" s="248" customFormat="1" ht="3" hidden="1" customHeight="1" outlineLevel="1">
      <c r="B719" s="299"/>
      <c r="C719" s="304"/>
      <c r="D719" s="685"/>
      <c r="E719" s="306" t="s">
        <v>277</v>
      </c>
      <c r="F719" s="307"/>
      <c r="G719" s="297"/>
      <c r="H719" s="308"/>
      <c r="I719" s="661"/>
      <c r="J719" s="245"/>
      <c r="K719" s="246"/>
      <c r="L719" s="247"/>
      <c r="M719" s="197"/>
      <c r="N719" s="197"/>
      <c r="O719" s="197"/>
      <c r="P719" s="197"/>
      <c r="Q719" s="247"/>
      <c r="R719" s="197"/>
    </row>
    <row r="720" spans="2:18" s="248" customFormat="1" ht="14.25" hidden="1" customHeight="1" outlineLevel="1">
      <c r="B720" s="299" t="s">
        <v>462</v>
      </c>
      <c r="C720" s="304"/>
      <c r="D720" s="685"/>
      <c r="E720" s="306"/>
      <c r="F720" s="307"/>
      <c r="G720" s="297"/>
      <c r="H720" s="308"/>
      <c r="I720" s="661"/>
      <c r="J720" s="245"/>
      <c r="K720" s="246"/>
      <c r="L720" s="247"/>
      <c r="M720" s="197"/>
      <c r="N720" s="197"/>
      <c r="O720" s="197"/>
      <c r="P720" s="197"/>
      <c r="Q720" s="247"/>
      <c r="R720" s="197"/>
    </row>
    <row r="721" spans="1:21" s="248" customFormat="1" ht="14.25" hidden="1" customHeight="1" outlineLevel="1">
      <c r="B721" s="299" t="s">
        <v>268</v>
      </c>
      <c r="C721" s="304" t="s">
        <v>774</v>
      </c>
      <c r="D721" s="685" t="s">
        <v>463</v>
      </c>
      <c r="E721" s="306" t="s">
        <v>674</v>
      </c>
      <c r="F721" s="307"/>
      <c r="G721" s="297" t="s">
        <v>774</v>
      </c>
      <c r="H721" s="308" t="str">
        <f t="shared" ref="H721:H729" si="51">CONCATENATE("AR-",G721,"-",I721)</f>
        <v>AR-T6S-6</v>
      </c>
      <c r="I721" s="661">
        <v>6</v>
      </c>
      <c r="J721" s="245"/>
      <c r="K721" s="246"/>
      <c r="L721" s="234">
        <v>1</v>
      </c>
      <c r="M721" s="197">
        <v>1</v>
      </c>
      <c r="N721" s="197"/>
      <c r="O721" s="197"/>
      <c r="P721" s="197"/>
      <c r="Q721" s="234">
        <v>1</v>
      </c>
      <c r="R721" s="197">
        <v>1</v>
      </c>
    </row>
    <row r="722" spans="1:21" s="248" customFormat="1" ht="14.25" hidden="1" customHeight="1" outlineLevel="1">
      <c r="B722" s="299" t="s">
        <v>268</v>
      </c>
      <c r="C722" s="304" t="s">
        <v>774</v>
      </c>
      <c r="D722" s="685" t="s">
        <v>465</v>
      </c>
      <c r="E722" s="306" t="s">
        <v>795</v>
      </c>
      <c r="F722" s="307"/>
      <c r="G722" s="297" t="s">
        <v>774</v>
      </c>
      <c r="H722" s="308" t="str">
        <f t="shared" si="51"/>
        <v>AR-T6S-6</v>
      </c>
      <c r="I722" s="661">
        <v>6</v>
      </c>
      <c r="J722" s="245"/>
      <c r="K722" s="246"/>
      <c r="L722" s="234">
        <v>1</v>
      </c>
      <c r="M722" s="197">
        <v>1</v>
      </c>
      <c r="N722" s="197"/>
      <c r="O722" s="197"/>
      <c r="P722" s="197"/>
      <c r="Q722" s="234">
        <v>1</v>
      </c>
      <c r="R722" s="197">
        <v>1</v>
      </c>
    </row>
    <row r="723" spans="1:21" s="248" customFormat="1" ht="14.25" hidden="1" customHeight="1" outlineLevel="1">
      <c r="B723" s="299" t="s">
        <v>268</v>
      </c>
      <c r="C723" s="304" t="s">
        <v>774</v>
      </c>
      <c r="D723" s="685" t="s">
        <v>467</v>
      </c>
      <c r="E723" s="306" t="s">
        <v>676</v>
      </c>
      <c r="F723" s="307"/>
      <c r="G723" s="297" t="s">
        <v>774</v>
      </c>
      <c r="H723" s="308" t="str">
        <f t="shared" si="51"/>
        <v>AR-T6S-6</v>
      </c>
      <c r="I723" s="661">
        <v>6</v>
      </c>
      <c r="J723" s="197"/>
      <c r="K723" s="246"/>
      <c r="L723" s="234">
        <v>1</v>
      </c>
      <c r="M723" s="197">
        <v>1</v>
      </c>
      <c r="N723" s="197"/>
      <c r="O723" s="197"/>
      <c r="P723" s="197"/>
      <c r="Q723" s="234">
        <v>1</v>
      </c>
      <c r="R723" s="197">
        <v>1</v>
      </c>
    </row>
    <row r="724" spans="1:21" s="248" customFormat="1" ht="14.1" hidden="1" customHeight="1" outlineLevel="1">
      <c r="B724" s="299" t="s">
        <v>268</v>
      </c>
      <c r="C724" s="304" t="s">
        <v>774</v>
      </c>
      <c r="D724" s="685" t="s">
        <v>469</v>
      </c>
      <c r="E724" s="306" t="s">
        <v>677</v>
      </c>
      <c r="F724" s="307"/>
      <c r="G724" s="297" t="s">
        <v>774</v>
      </c>
      <c r="H724" s="308" t="str">
        <f t="shared" si="51"/>
        <v>AR-T6S-6</v>
      </c>
      <c r="I724" s="661">
        <v>6</v>
      </c>
      <c r="J724" s="197"/>
      <c r="K724" s="246"/>
      <c r="L724" s="234">
        <v>1</v>
      </c>
      <c r="M724" s="197">
        <v>1</v>
      </c>
      <c r="N724" s="197"/>
      <c r="O724" s="197"/>
      <c r="P724" s="197"/>
      <c r="Q724" s="234">
        <v>1</v>
      </c>
      <c r="R724" s="197">
        <v>1</v>
      </c>
    </row>
    <row r="725" spans="1:21" s="248" customFormat="1" ht="14.1" hidden="1" customHeight="1" outlineLevel="1">
      <c r="B725" s="299" t="s">
        <v>268</v>
      </c>
      <c r="C725" s="304" t="s">
        <v>774</v>
      </c>
      <c r="D725" s="685" t="s">
        <v>471</v>
      </c>
      <c r="E725" s="306" t="s">
        <v>677</v>
      </c>
      <c r="F725" s="307"/>
      <c r="G725" s="297" t="s">
        <v>774</v>
      </c>
      <c r="H725" s="308" t="str">
        <f t="shared" si="51"/>
        <v>AR-T6S-6</v>
      </c>
      <c r="I725" s="661">
        <v>6</v>
      </c>
      <c r="J725" s="197"/>
      <c r="K725" s="246"/>
      <c r="L725" s="234">
        <v>1</v>
      </c>
      <c r="M725" s="197">
        <v>1</v>
      </c>
      <c r="N725" s="197"/>
      <c r="O725" s="197"/>
      <c r="P725" s="197"/>
      <c r="Q725" s="234">
        <v>1</v>
      </c>
      <c r="R725" s="197">
        <v>1</v>
      </c>
    </row>
    <row r="726" spans="1:21" s="248" customFormat="1" ht="14.1" hidden="1" customHeight="1" outlineLevel="1">
      <c r="B726" s="299" t="s">
        <v>268</v>
      </c>
      <c r="C726" s="304" t="s">
        <v>774</v>
      </c>
      <c r="D726" s="685" t="s">
        <v>473</v>
      </c>
      <c r="E726" s="306" t="s">
        <v>678</v>
      </c>
      <c r="F726" s="307"/>
      <c r="G726" s="297" t="s">
        <v>774</v>
      </c>
      <c r="H726" s="308" t="str">
        <f t="shared" si="51"/>
        <v>AR-T6S-6</v>
      </c>
      <c r="I726" s="661">
        <v>6</v>
      </c>
      <c r="J726" s="197"/>
      <c r="K726" s="246"/>
      <c r="L726" s="234">
        <v>1</v>
      </c>
      <c r="M726" s="197">
        <v>1</v>
      </c>
      <c r="N726" s="197"/>
      <c r="O726" s="197"/>
      <c r="P726" s="197"/>
      <c r="Q726" s="234">
        <v>1</v>
      </c>
      <c r="R726" s="197">
        <v>1</v>
      </c>
      <c r="S726" s="197"/>
      <c r="T726" s="197"/>
      <c r="U726" s="197"/>
    </row>
    <row r="727" spans="1:21" s="248" customFormat="1" ht="14.1" hidden="1" customHeight="1" outlineLevel="1">
      <c r="B727" s="299" t="s">
        <v>268</v>
      </c>
      <c r="C727" s="304" t="s">
        <v>774</v>
      </c>
      <c r="D727" s="685" t="s">
        <v>475</v>
      </c>
      <c r="E727" s="306" t="s">
        <v>679</v>
      </c>
      <c r="F727" s="307"/>
      <c r="G727" s="297" t="s">
        <v>774</v>
      </c>
      <c r="H727" s="308" t="str">
        <f t="shared" si="51"/>
        <v>AR-T6S-9</v>
      </c>
      <c r="I727" s="661">
        <v>9</v>
      </c>
      <c r="J727" s="197"/>
      <c r="K727" s="246"/>
      <c r="L727" s="234">
        <v>1</v>
      </c>
      <c r="M727" s="197">
        <v>1</v>
      </c>
      <c r="N727" s="197"/>
      <c r="O727" s="197"/>
      <c r="P727" s="197"/>
      <c r="Q727" s="234">
        <v>1</v>
      </c>
      <c r="R727" s="197">
        <v>1</v>
      </c>
      <c r="S727" s="197"/>
      <c r="T727" s="197"/>
      <c r="U727" s="197"/>
    </row>
    <row r="728" spans="1:21" s="248" customFormat="1" ht="14.1" hidden="1" customHeight="1" outlineLevel="1">
      <c r="B728" s="299" t="s">
        <v>268</v>
      </c>
      <c r="C728" s="304" t="s">
        <v>774</v>
      </c>
      <c r="D728" s="685" t="s">
        <v>585</v>
      </c>
      <c r="E728" s="306" t="s">
        <v>681</v>
      </c>
      <c r="F728" s="307"/>
      <c r="G728" s="297" t="s">
        <v>774</v>
      </c>
      <c r="H728" s="308" t="str">
        <f t="shared" si="51"/>
        <v>AR-T6S-9</v>
      </c>
      <c r="I728" s="661">
        <v>9</v>
      </c>
      <c r="J728" s="197"/>
      <c r="K728" s="246"/>
      <c r="L728" s="234">
        <v>1</v>
      </c>
      <c r="M728" s="197">
        <v>1</v>
      </c>
      <c r="N728" s="197"/>
      <c r="O728" s="197"/>
      <c r="P728" s="197"/>
      <c r="Q728" s="234">
        <v>1</v>
      </c>
      <c r="R728" s="197">
        <v>1</v>
      </c>
      <c r="S728" s="197"/>
      <c r="T728" s="197"/>
      <c r="U728" s="197"/>
    </row>
    <row r="729" spans="1:21" s="248" customFormat="1" ht="14.1" hidden="1" customHeight="1" outlineLevel="1">
      <c r="B729" s="299" t="s">
        <v>268</v>
      </c>
      <c r="C729" s="304" t="s">
        <v>774</v>
      </c>
      <c r="D729" s="685" t="s">
        <v>587</v>
      </c>
      <c r="E729" s="306" t="s">
        <v>796</v>
      </c>
      <c r="F729" s="307"/>
      <c r="G729" s="297" t="s">
        <v>774</v>
      </c>
      <c r="H729" s="308" t="str">
        <f t="shared" si="51"/>
        <v>AR-T6S-9</v>
      </c>
      <c r="I729" s="661">
        <v>9</v>
      </c>
      <c r="J729" s="197"/>
      <c r="K729" s="246"/>
      <c r="L729" s="234">
        <v>1</v>
      </c>
      <c r="M729" s="197">
        <v>1</v>
      </c>
      <c r="N729" s="197"/>
      <c r="O729" s="197"/>
      <c r="P729" s="197"/>
      <c r="Q729" s="234">
        <v>1</v>
      </c>
      <c r="R729" s="197">
        <v>1</v>
      </c>
      <c r="S729" s="197"/>
      <c r="T729" s="197"/>
      <c r="U729" s="197"/>
    </row>
    <row r="730" spans="1:21" s="248" customFormat="1" ht="4.5" hidden="1" customHeight="1" outlineLevel="1">
      <c r="B730" s="299"/>
      <c r="C730" s="304"/>
      <c r="D730" s="685"/>
      <c r="E730" s="306" t="s">
        <v>277</v>
      </c>
      <c r="F730" s="307"/>
      <c r="G730" s="297"/>
      <c r="H730" s="308"/>
      <c r="I730" s="661"/>
      <c r="J730" s="245"/>
      <c r="K730" s="246"/>
      <c r="L730" s="247"/>
      <c r="M730" s="197"/>
      <c r="N730" s="197"/>
      <c r="O730" s="197"/>
      <c r="P730" s="197"/>
      <c r="Q730" s="247"/>
      <c r="R730" s="197"/>
      <c r="S730" s="197"/>
      <c r="T730" s="197"/>
      <c r="U730" s="197"/>
    </row>
    <row r="731" spans="1:21" s="248" customFormat="1" ht="14.25" hidden="1" customHeight="1" outlineLevel="1">
      <c r="B731" s="299" t="s">
        <v>682</v>
      </c>
      <c r="C731" s="304"/>
      <c r="D731" s="685"/>
      <c r="E731" s="306"/>
      <c r="F731" s="307"/>
      <c r="G731" s="297"/>
      <c r="H731" s="308"/>
      <c r="I731" s="661"/>
      <c r="J731" s="245"/>
      <c r="K731" s="246"/>
      <c r="L731" s="247"/>
      <c r="M731" s="197"/>
      <c r="N731" s="197"/>
      <c r="O731" s="197"/>
      <c r="P731" s="197"/>
      <c r="Q731" s="247"/>
      <c r="R731" s="197"/>
      <c r="S731" s="197"/>
      <c r="T731" s="197"/>
      <c r="U731" s="197"/>
    </row>
    <row r="732" spans="1:21" s="233" customFormat="1" ht="14.25" hidden="1" customHeight="1" outlineLevel="1">
      <c r="A732" s="681"/>
      <c r="B732" s="299" t="s">
        <v>268</v>
      </c>
      <c r="C732" s="304" t="s">
        <v>774</v>
      </c>
      <c r="D732" s="685" t="s">
        <v>683</v>
      </c>
      <c r="E732" s="306" t="s">
        <v>684</v>
      </c>
      <c r="F732" s="307"/>
      <c r="G732" s="297" t="s">
        <v>774</v>
      </c>
      <c r="H732" s="308" t="str">
        <f>CONCATENATE("AR-",G732,"-",I732)</f>
        <v>AR-T6S-9</v>
      </c>
      <c r="I732" s="661">
        <v>9</v>
      </c>
      <c r="J732" s="197"/>
      <c r="K732" s="232"/>
      <c r="L732" s="234">
        <v>1</v>
      </c>
      <c r="M732" s="197">
        <v>1</v>
      </c>
      <c r="N732" s="197"/>
      <c r="O732" s="197"/>
      <c r="P732" s="197"/>
      <c r="Q732" s="234">
        <v>1</v>
      </c>
      <c r="R732" s="197">
        <v>1</v>
      </c>
      <c r="S732" s="197"/>
      <c r="T732" s="197"/>
      <c r="U732" s="197"/>
    </row>
    <row r="733" spans="1:21" s="233" customFormat="1" ht="14.25" hidden="1" customHeight="1" outlineLevel="1">
      <c r="A733" s="681"/>
      <c r="B733" s="299"/>
      <c r="C733" s="304"/>
      <c r="D733" s="685"/>
      <c r="E733" s="306"/>
      <c r="F733" s="307"/>
      <c r="G733" s="297"/>
      <c r="H733" s="308"/>
      <c r="I733" s="661"/>
      <c r="J733" s="197"/>
      <c r="K733" s="232"/>
      <c r="L733" s="234"/>
      <c r="M733" s="197"/>
      <c r="N733" s="197"/>
      <c r="O733" s="197"/>
      <c r="P733" s="197"/>
      <c r="Q733" s="234"/>
      <c r="R733" s="197"/>
      <c r="S733" s="197"/>
      <c r="T733" s="197"/>
      <c r="U733" s="197"/>
    </row>
    <row r="734" spans="1:21" s="233" customFormat="1" ht="3" customHeight="1">
      <c r="A734" s="681"/>
      <c r="B734" s="299"/>
      <c r="C734" s="304"/>
      <c r="D734" s="685"/>
      <c r="E734" s="306" t="s">
        <v>277</v>
      </c>
      <c r="F734" s="307"/>
      <c r="G734" s="297"/>
      <c r="H734" s="308"/>
      <c r="I734" s="661"/>
      <c r="J734" s="197"/>
      <c r="K734" s="232"/>
      <c r="L734" s="234"/>
      <c r="M734" s="197"/>
      <c r="N734" s="197"/>
      <c r="O734" s="197"/>
      <c r="P734" s="197"/>
      <c r="Q734" s="234"/>
      <c r="R734" s="197"/>
      <c r="S734" s="197"/>
      <c r="T734" s="197"/>
      <c r="U734" s="197"/>
    </row>
    <row r="735" spans="1:21" s="233" customFormat="1" ht="13.5" customHeight="1" collapsed="1">
      <c r="A735" s="382" t="s">
        <v>797</v>
      </c>
      <c r="B735" s="675"/>
      <c r="C735" s="676"/>
      <c r="D735" s="677"/>
      <c r="E735" s="676" t="s">
        <v>277</v>
      </c>
      <c r="F735" s="307"/>
      <c r="G735" s="297"/>
      <c r="H735" s="308"/>
      <c r="I735" s="665"/>
      <c r="J735" s="197"/>
      <c r="K735" s="232"/>
      <c r="L735" s="230">
        <f>SUM(L736:L865)</f>
        <v>0</v>
      </c>
      <c r="M735" s="188">
        <v>13</v>
      </c>
      <c r="N735" s="188"/>
      <c r="O735" s="188">
        <f t="shared" ref="O735:U735" si="52">SUM(O736:O865)</f>
        <v>0</v>
      </c>
      <c r="P735" s="188">
        <f t="shared" si="52"/>
        <v>0</v>
      </c>
      <c r="Q735" s="230">
        <f t="shared" si="52"/>
        <v>0</v>
      </c>
      <c r="R735" s="188">
        <f t="shared" si="52"/>
        <v>0</v>
      </c>
      <c r="S735" s="188">
        <f t="shared" si="52"/>
        <v>0</v>
      </c>
      <c r="T735" s="188">
        <f t="shared" si="52"/>
        <v>0</v>
      </c>
      <c r="U735" s="188">
        <f t="shared" si="52"/>
        <v>0</v>
      </c>
    </row>
    <row r="736" spans="1:21" s="233" customFormat="1" ht="3" hidden="1" customHeight="1" outlineLevel="1">
      <c r="A736" s="678"/>
      <c r="B736" s="299"/>
      <c r="C736" s="304"/>
      <c r="D736" s="685"/>
      <c r="E736" s="306" t="s">
        <v>277</v>
      </c>
      <c r="F736" s="307"/>
      <c r="G736" s="297"/>
      <c r="H736" s="308"/>
      <c r="I736" s="661"/>
      <c r="J736" s="197"/>
      <c r="K736" s="232"/>
      <c r="L736" s="234"/>
      <c r="M736" s="197"/>
      <c r="N736" s="197"/>
      <c r="O736" s="197"/>
      <c r="P736" s="197"/>
      <c r="Q736" s="234"/>
      <c r="R736" s="197"/>
      <c r="S736" s="197"/>
      <c r="T736" s="197"/>
      <c r="U736" s="197"/>
    </row>
    <row r="737" spans="1:21" s="233" customFormat="1" ht="13.5" hidden="1" customHeight="1" outlineLevel="1">
      <c r="A737" s="681"/>
      <c r="B737" s="299" t="s">
        <v>340</v>
      </c>
      <c r="C737" s="304"/>
      <c r="D737" s="685"/>
      <c r="E737" s="306" t="s">
        <v>277</v>
      </c>
      <c r="F737" s="307"/>
      <c r="G737" s="297"/>
      <c r="H737" s="308"/>
      <c r="I737" s="661"/>
      <c r="J737" s="197"/>
      <c r="K737" s="232"/>
      <c r="L737" s="234"/>
      <c r="M737" s="197"/>
      <c r="N737" s="197"/>
      <c r="O737" s="197"/>
      <c r="P737" s="197"/>
      <c r="Q737" s="234"/>
      <c r="R737" s="197"/>
      <c r="S737" s="197"/>
      <c r="T737" s="197"/>
      <c r="U737" s="197"/>
    </row>
    <row r="738" spans="1:21" s="233" customFormat="1" ht="13.5" hidden="1" customHeight="1" outlineLevel="1">
      <c r="A738" s="681"/>
      <c r="B738" s="299" t="s">
        <v>268</v>
      </c>
      <c r="C738" s="304" t="s">
        <v>798</v>
      </c>
      <c r="D738" s="685" t="s">
        <v>270</v>
      </c>
      <c r="E738" s="306" t="s">
        <v>271</v>
      </c>
      <c r="F738" s="307"/>
      <c r="G738" s="297" t="s">
        <v>799</v>
      </c>
      <c r="H738" s="308" t="str">
        <f>CONCATENATE("AR-",G738,"-",I738)</f>
        <v>AR-T07-1</v>
      </c>
      <c r="I738" s="661">
        <v>1</v>
      </c>
      <c r="J738" s="197">
        <v>1</v>
      </c>
      <c r="K738" s="232"/>
      <c r="L738" s="234"/>
      <c r="M738" s="197"/>
      <c r="N738" s="197"/>
      <c r="O738" s="197"/>
      <c r="P738" s="197"/>
      <c r="Q738" s="234"/>
      <c r="R738" s="197"/>
      <c r="S738" s="197"/>
      <c r="T738" s="197"/>
      <c r="U738" s="197"/>
    </row>
    <row r="739" spans="1:21" s="233" customFormat="1" ht="13.5" hidden="1" customHeight="1" outlineLevel="1">
      <c r="A739" s="681"/>
      <c r="B739" s="299" t="s">
        <v>268</v>
      </c>
      <c r="C739" s="304" t="s">
        <v>798</v>
      </c>
      <c r="D739" s="685" t="s">
        <v>273</v>
      </c>
      <c r="E739" s="306" t="s">
        <v>274</v>
      </c>
      <c r="F739" s="307"/>
      <c r="G739" s="297" t="s">
        <v>799</v>
      </c>
      <c r="H739" s="308" t="str">
        <f>CONCATENATE("AR-",G739,"-",I739)</f>
        <v>AR-T07-1</v>
      </c>
      <c r="I739" s="661">
        <v>1</v>
      </c>
      <c r="J739" s="197">
        <v>1</v>
      </c>
      <c r="K739" s="232"/>
      <c r="L739" s="234"/>
      <c r="M739" s="197"/>
      <c r="N739" s="197"/>
      <c r="O739" s="197"/>
      <c r="P739" s="197"/>
      <c r="Q739" s="234"/>
      <c r="R739" s="197"/>
      <c r="S739" s="197"/>
      <c r="T739" s="197"/>
      <c r="U739" s="197"/>
    </row>
    <row r="740" spans="1:21" s="233" customFormat="1" ht="3" hidden="1" customHeight="1" outlineLevel="1">
      <c r="A740" s="681"/>
      <c r="B740" s="299"/>
      <c r="C740" s="304"/>
      <c r="D740" s="685"/>
      <c r="E740" s="306" t="s">
        <v>277</v>
      </c>
      <c r="F740" s="307"/>
      <c r="G740" s="297"/>
      <c r="H740" s="308"/>
      <c r="I740" s="661"/>
      <c r="J740" s="197"/>
      <c r="K740" s="232"/>
      <c r="L740" s="234"/>
      <c r="M740" s="197"/>
      <c r="N740" s="197"/>
      <c r="O740" s="197"/>
      <c r="P740" s="197"/>
      <c r="Q740" s="234"/>
      <c r="R740" s="197"/>
      <c r="S740" s="197"/>
      <c r="T740" s="197"/>
      <c r="U740" s="197"/>
    </row>
    <row r="741" spans="1:21" s="233" customFormat="1" ht="13.5" hidden="1" customHeight="1" outlineLevel="1">
      <c r="A741" s="681"/>
      <c r="B741" s="299" t="s">
        <v>343</v>
      </c>
      <c r="C741" s="304"/>
      <c r="D741" s="685"/>
      <c r="E741" s="306" t="s">
        <v>277</v>
      </c>
      <c r="F741" s="307"/>
      <c r="G741" s="297"/>
      <c r="H741" s="308"/>
      <c r="I741" s="661"/>
      <c r="J741" s="197"/>
      <c r="K741" s="232"/>
      <c r="L741" s="234"/>
      <c r="M741" s="197"/>
      <c r="N741" s="197"/>
      <c r="O741" s="197"/>
      <c r="P741" s="197"/>
      <c r="Q741" s="234"/>
      <c r="R741" s="197"/>
      <c r="S741" s="197"/>
      <c r="T741" s="197"/>
      <c r="U741" s="197"/>
    </row>
    <row r="742" spans="1:21" s="233" customFormat="1" ht="13.5" hidden="1" customHeight="1" outlineLevel="1">
      <c r="A742" s="681"/>
      <c r="B742" s="299" t="s">
        <v>268</v>
      </c>
      <c r="C742" s="304" t="s">
        <v>798</v>
      </c>
      <c r="D742" s="685" t="s">
        <v>344</v>
      </c>
      <c r="E742" s="306" t="s">
        <v>345</v>
      </c>
      <c r="F742" s="307"/>
      <c r="G742" s="297" t="s">
        <v>799</v>
      </c>
      <c r="H742" s="308" t="str">
        <f>CONCATENATE("AR-",G742,"-",I742)</f>
        <v>AR-T07-1</v>
      </c>
      <c r="I742" s="661">
        <v>1</v>
      </c>
      <c r="J742" s="197">
        <v>1</v>
      </c>
      <c r="L742" s="237"/>
      <c r="Q742" s="237"/>
    </row>
    <row r="743" spans="1:21" s="233" customFormat="1" ht="13.5" hidden="1" customHeight="1" outlineLevel="1">
      <c r="A743" s="681"/>
      <c r="B743" s="299" t="s">
        <v>268</v>
      </c>
      <c r="C743" s="304" t="s">
        <v>798</v>
      </c>
      <c r="D743" s="685" t="s">
        <v>346</v>
      </c>
      <c r="E743" s="306" t="s">
        <v>347</v>
      </c>
      <c r="F743" s="307"/>
      <c r="G743" s="297" t="s">
        <v>799</v>
      </c>
      <c r="H743" s="308" t="str">
        <f>CONCATENATE("AR-",G743,"-",I743)</f>
        <v>AR-T07-1</v>
      </c>
      <c r="I743" s="661">
        <v>1</v>
      </c>
      <c r="J743" s="197">
        <v>1</v>
      </c>
      <c r="L743" s="237"/>
      <c r="Q743" s="237"/>
    </row>
    <row r="744" spans="1:21" s="233" customFormat="1" ht="13.5" hidden="1" customHeight="1" outlineLevel="1">
      <c r="A744" s="681"/>
      <c r="B744" s="299" t="s">
        <v>268</v>
      </c>
      <c r="C744" s="304" t="s">
        <v>798</v>
      </c>
      <c r="D744" s="685" t="s">
        <v>348</v>
      </c>
      <c r="E744" s="306" t="s">
        <v>349</v>
      </c>
      <c r="F744" s="307"/>
      <c r="G744" s="297" t="s">
        <v>799</v>
      </c>
      <c r="H744" s="308" t="str">
        <f>CONCATENATE("AR-",G744,"-",I744)</f>
        <v>AR-T07-1</v>
      </c>
      <c r="I744" s="661">
        <v>1</v>
      </c>
      <c r="J744" s="197">
        <v>1</v>
      </c>
      <c r="L744" s="237"/>
      <c r="Q744" s="237"/>
    </row>
    <row r="745" spans="1:21" s="233" customFormat="1" ht="3" hidden="1" customHeight="1" outlineLevel="1">
      <c r="A745" s="681"/>
      <c r="B745" s="299"/>
      <c r="C745" s="304"/>
      <c r="D745" s="685"/>
      <c r="E745" s="306" t="s">
        <v>277</v>
      </c>
      <c r="F745" s="307"/>
      <c r="G745" s="297"/>
      <c r="H745" s="308"/>
      <c r="I745" s="661"/>
      <c r="J745" s="197"/>
      <c r="L745" s="237"/>
      <c r="Q745" s="237"/>
    </row>
    <row r="746" spans="1:21" s="233" customFormat="1" ht="13.5" hidden="1" customHeight="1" outlineLevel="1">
      <c r="A746" s="681"/>
      <c r="B746" s="299" t="s">
        <v>350</v>
      </c>
      <c r="C746" s="304"/>
      <c r="D746" s="685"/>
      <c r="E746" s="306" t="s">
        <v>277</v>
      </c>
      <c r="F746" s="307"/>
      <c r="G746" s="297"/>
      <c r="H746" s="308"/>
      <c r="I746" s="661"/>
      <c r="J746" s="197"/>
      <c r="L746" s="237"/>
      <c r="Q746" s="237"/>
    </row>
    <row r="747" spans="1:21" s="233" customFormat="1" ht="14.25" hidden="1" customHeight="1" outlineLevel="1">
      <c r="A747" s="681"/>
      <c r="B747" s="299" t="s">
        <v>268</v>
      </c>
      <c r="C747" s="304" t="s">
        <v>800</v>
      </c>
      <c r="D747" s="685" t="s">
        <v>352</v>
      </c>
      <c r="E747" s="306" t="s">
        <v>353</v>
      </c>
      <c r="F747" s="307"/>
      <c r="G747" s="297" t="s">
        <v>799</v>
      </c>
      <c r="H747" s="308" t="str">
        <f t="shared" ref="H747:H756" si="53">CONCATENATE("AR-",G747,"-",I747)</f>
        <v>AR-T07-1</v>
      </c>
      <c r="I747" s="661">
        <v>1</v>
      </c>
      <c r="J747" s="197">
        <v>1</v>
      </c>
      <c r="L747" s="237"/>
      <c r="Q747" s="237"/>
    </row>
    <row r="748" spans="1:21" s="233" customFormat="1" ht="14.25" hidden="1" customHeight="1" outlineLevel="1">
      <c r="A748" s="681"/>
      <c r="B748" s="299" t="s">
        <v>268</v>
      </c>
      <c r="C748" s="304" t="s">
        <v>798</v>
      </c>
      <c r="D748" s="685" t="s">
        <v>279</v>
      </c>
      <c r="E748" s="306" t="s">
        <v>354</v>
      </c>
      <c r="F748" s="307"/>
      <c r="G748" s="297" t="s">
        <v>799</v>
      </c>
      <c r="H748" s="308" t="str">
        <f t="shared" si="53"/>
        <v>AR-T07-1</v>
      </c>
      <c r="I748" s="661">
        <v>1</v>
      </c>
      <c r="J748" s="197">
        <v>1</v>
      </c>
      <c r="L748" s="237"/>
      <c r="Q748" s="237"/>
    </row>
    <row r="749" spans="1:21" s="233" customFormat="1" ht="14.25" hidden="1" customHeight="1" outlineLevel="1">
      <c r="A749" s="681"/>
      <c r="B749" s="299" t="s">
        <v>268</v>
      </c>
      <c r="C749" s="304" t="s">
        <v>798</v>
      </c>
      <c r="D749" s="685" t="s">
        <v>355</v>
      </c>
      <c r="E749" s="306" t="s">
        <v>356</v>
      </c>
      <c r="F749" s="307"/>
      <c r="G749" s="297" t="s">
        <v>799</v>
      </c>
      <c r="H749" s="308" t="str">
        <f t="shared" si="53"/>
        <v>AR-T07-1</v>
      </c>
      <c r="I749" s="661">
        <v>1</v>
      </c>
      <c r="J749" s="197">
        <v>1</v>
      </c>
      <c r="L749" s="237"/>
      <c r="Q749" s="237"/>
    </row>
    <row r="750" spans="1:21" s="233" customFormat="1" ht="14.25" hidden="1" customHeight="1" outlineLevel="1">
      <c r="A750" s="681"/>
      <c r="B750" s="299" t="s">
        <v>268</v>
      </c>
      <c r="C750" s="304" t="s">
        <v>798</v>
      </c>
      <c r="D750" s="685" t="s">
        <v>357</v>
      </c>
      <c r="E750" s="306" t="s">
        <v>358</v>
      </c>
      <c r="F750" s="307"/>
      <c r="G750" s="297" t="s">
        <v>799</v>
      </c>
      <c r="H750" s="308" t="str">
        <f t="shared" si="53"/>
        <v>AR-T07-1</v>
      </c>
      <c r="I750" s="661">
        <v>1</v>
      </c>
      <c r="J750" s="197">
        <v>1</v>
      </c>
      <c r="L750" s="237"/>
      <c r="Q750" s="237"/>
    </row>
    <row r="751" spans="1:21" s="233" customFormat="1" ht="14.25" hidden="1" customHeight="1" outlineLevel="1">
      <c r="A751" s="681"/>
      <c r="B751" s="299" t="s">
        <v>268</v>
      </c>
      <c r="C751" s="304" t="s">
        <v>798</v>
      </c>
      <c r="D751" s="685" t="s">
        <v>359</v>
      </c>
      <c r="E751" s="306" t="s">
        <v>360</v>
      </c>
      <c r="F751" s="307"/>
      <c r="G751" s="297" t="s">
        <v>799</v>
      </c>
      <c r="H751" s="308" t="str">
        <f t="shared" si="53"/>
        <v>AR-T07-1</v>
      </c>
      <c r="I751" s="661">
        <v>1</v>
      </c>
      <c r="J751" s="197">
        <v>1</v>
      </c>
      <c r="L751" s="237"/>
      <c r="Q751" s="237"/>
    </row>
    <row r="752" spans="1:21" s="233" customFormat="1" ht="14.25" hidden="1" customHeight="1" outlineLevel="1">
      <c r="A752" s="681"/>
      <c r="B752" s="299" t="s">
        <v>268</v>
      </c>
      <c r="C752" s="304" t="s">
        <v>798</v>
      </c>
      <c r="D752" s="685" t="s">
        <v>361</v>
      </c>
      <c r="E752" s="306" t="s">
        <v>362</v>
      </c>
      <c r="F752" s="307"/>
      <c r="G752" s="297" t="s">
        <v>799</v>
      </c>
      <c r="H752" s="308" t="str">
        <f t="shared" si="53"/>
        <v>AR-T07-1</v>
      </c>
      <c r="I752" s="661">
        <v>1</v>
      </c>
      <c r="J752" s="197">
        <v>1</v>
      </c>
      <c r="L752" s="237"/>
      <c r="Q752" s="237"/>
    </row>
    <row r="753" spans="1:18" s="233" customFormat="1" ht="14.25" hidden="1" customHeight="1" outlineLevel="1">
      <c r="A753" s="681"/>
      <c r="B753" s="299" t="s">
        <v>268</v>
      </c>
      <c r="C753" s="304" t="s">
        <v>798</v>
      </c>
      <c r="D753" s="685" t="s">
        <v>363</v>
      </c>
      <c r="E753" s="306" t="s">
        <v>364</v>
      </c>
      <c r="F753" s="307"/>
      <c r="G753" s="297" t="s">
        <v>799</v>
      </c>
      <c r="H753" s="308" t="str">
        <f t="shared" si="53"/>
        <v>AR-T07-1</v>
      </c>
      <c r="I753" s="661">
        <v>1</v>
      </c>
      <c r="J753" s="197">
        <v>1</v>
      </c>
      <c r="L753" s="237"/>
      <c r="Q753" s="237"/>
    </row>
    <row r="754" spans="1:18" s="233" customFormat="1" ht="14.25" hidden="1" customHeight="1" outlineLevel="1">
      <c r="A754" s="681"/>
      <c r="B754" s="299" t="s">
        <v>268</v>
      </c>
      <c r="C754" s="304" t="s">
        <v>798</v>
      </c>
      <c r="D754" s="685" t="s">
        <v>365</v>
      </c>
      <c r="E754" s="306" t="s">
        <v>366</v>
      </c>
      <c r="F754" s="307"/>
      <c r="G754" s="297" t="s">
        <v>799</v>
      </c>
      <c r="H754" s="308" t="str">
        <f t="shared" si="53"/>
        <v>AR-T07-1</v>
      </c>
      <c r="I754" s="661">
        <v>1</v>
      </c>
      <c r="J754" s="197">
        <v>1</v>
      </c>
      <c r="L754" s="237"/>
      <c r="Q754" s="237"/>
    </row>
    <row r="755" spans="1:18" s="233" customFormat="1" ht="14.25" hidden="1" customHeight="1" outlineLevel="1">
      <c r="A755" s="681"/>
      <c r="B755" s="299" t="s">
        <v>268</v>
      </c>
      <c r="C755" s="304" t="s">
        <v>798</v>
      </c>
      <c r="D755" s="685" t="s">
        <v>367</v>
      </c>
      <c r="E755" s="306" t="s">
        <v>368</v>
      </c>
      <c r="F755" s="307"/>
      <c r="G755" s="297" t="s">
        <v>799</v>
      </c>
      <c r="H755" s="308" t="str">
        <f t="shared" si="53"/>
        <v>AR-T07-1</v>
      </c>
      <c r="I755" s="661">
        <v>1</v>
      </c>
      <c r="J755" s="197">
        <v>1</v>
      </c>
      <c r="L755" s="237"/>
      <c r="Q755" s="237"/>
    </row>
    <row r="756" spans="1:18" s="233" customFormat="1" ht="14.25" hidden="1" customHeight="1" outlineLevel="1">
      <c r="A756" s="681"/>
      <c r="B756" s="299" t="s">
        <v>268</v>
      </c>
      <c r="C756" s="304" t="s">
        <v>798</v>
      </c>
      <c r="D756" s="685" t="s">
        <v>369</v>
      </c>
      <c r="E756" s="306" t="s">
        <v>370</v>
      </c>
      <c r="F756" s="307"/>
      <c r="G756" s="297" t="s">
        <v>799</v>
      </c>
      <c r="H756" s="308" t="str">
        <f t="shared" si="53"/>
        <v>AR-T07-1</v>
      </c>
      <c r="I756" s="661">
        <v>1</v>
      </c>
      <c r="J756" s="197">
        <v>1</v>
      </c>
      <c r="L756" s="237"/>
      <c r="Q756" s="237"/>
    </row>
    <row r="757" spans="1:18" s="233" customFormat="1" ht="13.5" hidden="1" customHeight="1" outlineLevel="1">
      <c r="A757" s="681"/>
      <c r="B757" s="299" t="s">
        <v>371</v>
      </c>
      <c r="C757" s="304"/>
      <c r="D757" s="685"/>
      <c r="E757" s="306" t="s">
        <v>277</v>
      </c>
      <c r="F757" s="307"/>
      <c r="G757" s="297"/>
      <c r="H757" s="308"/>
      <c r="I757" s="661"/>
      <c r="J757" s="197"/>
      <c r="L757" s="237"/>
      <c r="Q757" s="237"/>
    </row>
    <row r="758" spans="1:18" s="233" customFormat="1" ht="13.5" hidden="1" customHeight="1" outlineLevel="1">
      <c r="A758" s="681"/>
      <c r="B758" s="299" t="s">
        <v>268</v>
      </c>
      <c r="C758" s="304" t="s">
        <v>798</v>
      </c>
      <c r="D758" s="685" t="s">
        <v>372</v>
      </c>
      <c r="E758" s="306" t="s">
        <v>373</v>
      </c>
      <c r="F758" s="307"/>
      <c r="G758" s="297" t="s">
        <v>799</v>
      </c>
      <c r="H758" s="308" t="str">
        <f t="shared" ref="H758:H765" si="54">CONCATENATE("AR-",G758,"-",I758)</f>
        <v>AR-T07-3</v>
      </c>
      <c r="I758" s="661">
        <v>3</v>
      </c>
      <c r="J758" s="197">
        <v>1</v>
      </c>
      <c r="L758" s="237"/>
      <c r="Q758" s="237"/>
    </row>
    <row r="759" spans="1:18" s="233" customFormat="1" ht="14.25" hidden="1" customHeight="1" outlineLevel="1">
      <c r="A759" s="681"/>
      <c r="B759" s="299" t="s">
        <v>268</v>
      </c>
      <c r="C759" s="304" t="s">
        <v>800</v>
      </c>
      <c r="D759" s="685" t="s">
        <v>374</v>
      </c>
      <c r="E759" s="306" t="s">
        <v>375</v>
      </c>
      <c r="F759" s="307"/>
      <c r="G759" s="297" t="s">
        <v>799</v>
      </c>
      <c r="H759" s="308" t="str">
        <f t="shared" si="54"/>
        <v>AR-T07-3</v>
      </c>
      <c r="I759" s="661">
        <v>3</v>
      </c>
      <c r="J759" s="197">
        <v>1</v>
      </c>
      <c r="L759" s="237"/>
      <c r="Q759" s="237"/>
    </row>
    <row r="760" spans="1:18" s="233" customFormat="1" ht="14.25" hidden="1" customHeight="1" outlineLevel="1">
      <c r="A760" s="681"/>
      <c r="B760" s="299" t="s">
        <v>268</v>
      </c>
      <c r="C760" s="304" t="s">
        <v>800</v>
      </c>
      <c r="D760" s="685" t="s">
        <v>376</v>
      </c>
      <c r="E760" s="306" t="s">
        <v>377</v>
      </c>
      <c r="F760" s="307"/>
      <c r="G760" s="297" t="s">
        <v>799</v>
      </c>
      <c r="H760" s="308" t="str">
        <f t="shared" si="54"/>
        <v>AR-T07-3</v>
      </c>
      <c r="I760" s="661">
        <v>3</v>
      </c>
      <c r="J760" s="197">
        <v>1</v>
      </c>
      <c r="L760" s="237"/>
      <c r="Q760" s="237"/>
    </row>
    <row r="761" spans="1:18" s="233" customFormat="1" ht="14.25" hidden="1" customHeight="1" outlineLevel="1">
      <c r="A761" s="681"/>
      <c r="B761" s="299" t="s">
        <v>268</v>
      </c>
      <c r="C761" s="304" t="s">
        <v>798</v>
      </c>
      <c r="D761" s="685" t="s">
        <v>374</v>
      </c>
      <c r="E761" s="306" t="s">
        <v>378</v>
      </c>
      <c r="F761" s="307"/>
      <c r="G761" s="297" t="s">
        <v>799</v>
      </c>
      <c r="H761" s="308" t="str">
        <f t="shared" si="54"/>
        <v>AR-T07-7</v>
      </c>
      <c r="I761" s="661">
        <v>7</v>
      </c>
      <c r="J761" s="197">
        <v>1</v>
      </c>
      <c r="L761" s="237"/>
      <c r="Q761" s="237"/>
    </row>
    <row r="762" spans="1:18" s="233" customFormat="1" ht="14.25" hidden="1" customHeight="1" outlineLevel="1">
      <c r="A762" s="681"/>
      <c r="B762" s="299" t="s">
        <v>268</v>
      </c>
      <c r="C762" s="304" t="s">
        <v>798</v>
      </c>
      <c r="D762" s="685" t="s">
        <v>376</v>
      </c>
      <c r="E762" s="306" t="s">
        <v>379</v>
      </c>
      <c r="F762" s="307"/>
      <c r="G762" s="297" t="s">
        <v>799</v>
      </c>
      <c r="H762" s="308" t="str">
        <f t="shared" si="54"/>
        <v>AR-T07-7</v>
      </c>
      <c r="I762" s="661">
        <v>7</v>
      </c>
      <c r="J762" s="197">
        <v>1</v>
      </c>
      <c r="L762" s="237"/>
      <c r="Q762" s="237"/>
    </row>
    <row r="763" spans="1:18" s="239" customFormat="1" ht="14.25" hidden="1" customHeight="1" outlineLevel="1">
      <c r="A763" s="686"/>
      <c r="B763" s="299" t="s">
        <v>268</v>
      </c>
      <c r="C763" s="304" t="s">
        <v>798</v>
      </c>
      <c r="D763" s="685" t="s">
        <v>380</v>
      </c>
      <c r="E763" s="306" t="s">
        <v>381</v>
      </c>
      <c r="F763" s="307"/>
      <c r="G763" s="297" t="s">
        <v>799</v>
      </c>
      <c r="H763" s="308" t="str">
        <f t="shared" si="54"/>
        <v>AR-T07-7</v>
      </c>
      <c r="I763" s="661">
        <v>7</v>
      </c>
      <c r="J763" s="197">
        <v>1</v>
      </c>
      <c r="L763" s="707"/>
      <c r="Q763" s="707"/>
    </row>
    <row r="764" spans="1:18" s="233" customFormat="1" ht="14.25" hidden="1" customHeight="1" outlineLevel="1">
      <c r="A764" s="681"/>
      <c r="B764" s="299" t="s">
        <v>268</v>
      </c>
      <c r="C764" s="304" t="s">
        <v>798</v>
      </c>
      <c r="D764" s="685" t="s">
        <v>382</v>
      </c>
      <c r="E764" s="306" t="s">
        <v>383</v>
      </c>
      <c r="F764" s="307"/>
      <c r="G764" s="297" t="s">
        <v>799</v>
      </c>
      <c r="H764" s="308" t="str">
        <f t="shared" si="54"/>
        <v>AR-T07-8</v>
      </c>
      <c r="I764" s="661">
        <v>8</v>
      </c>
      <c r="J764" s="234">
        <v>1</v>
      </c>
      <c r="L764" s="237"/>
      <c r="Q764" s="237"/>
    </row>
    <row r="765" spans="1:18" s="233" customFormat="1" ht="14.25" hidden="1" customHeight="1" outlineLevel="1">
      <c r="A765" s="681"/>
      <c r="B765" s="299" t="s">
        <v>268</v>
      </c>
      <c r="C765" s="304" t="s">
        <v>798</v>
      </c>
      <c r="D765" s="685" t="s">
        <v>384</v>
      </c>
      <c r="E765" s="306" t="s">
        <v>385</v>
      </c>
      <c r="F765" s="307"/>
      <c r="G765" s="297" t="s">
        <v>799</v>
      </c>
      <c r="H765" s="308" t="str">
        <f t="shared" si="54"/>
        <v>AR-T07-8</v>
      </c>
      <c r="I765" s="661">
        <v>8</v>
      </c>
      <c r="J765" s="234">
        <v>1</v>
      </c>
      <c r="L765" s="237"/>
      <c r="Q765" s="237"/>
    </row>
    <row r="766" spans="1:18" s="233" customFormat="1" ht="3" hidden="1" customHeight="1" outlineLevel="1">
      <c r="A766" s="681"/>
      <c r="B766" s="299"/>
      <c r="C766" s="304"/>
      <c r="D766" s="685"/>
      <c r="E766" s="306" t="s">
        <v>277</v>
      </c>
      <c r="F766" s="307"/>
      <c r="G766" s="297"/>
      <c r="H766" s="308"/>
      <c r="I766" s="661"/>
      <c r="J766" s="197"/>
      <c r="L766" s="237"/>
      <c r="Q766" s="237"/>
    </row>
    <row r="767" spans="1:18" s="233" customFormat="1" ht="13.5" hidden="1" customHeight="1" outlineLevel="1">
      <c r="A767" s="681"/>
      <c r="B767" s="299" t="s">
        <v>698</v>
      </c>
      <c r="C767" s="304"/>
      <c r="D767" s="685"/>
      <c r="E767" s="306" t="s">
        <v>277</v>
      </c>
      <c r="F767" s="307"/>
      <c r="G767" s="297"/>
      <c r="H767" s="308"/>
      <c r="I767" s="661"/>
      <c r="J767" s="197"/>
      <c r="L767" s="237"/>
      <c r="Q767" s="237"/>
    </row>
    <row r="768" spans="1:18" s="233" customFormat="1" ht="14.25" hidden="1" customHeight="1" outlineLevel="1">
      <c r="A768" s="681"/>
      <c r="B768" s="299" t="s">
        <v>268</v>
      </c>
      <c r="C768" s="304" t="s">
        <v>351</v>
      </c>
      <c r="D768" s="685" t="s">
        <v>701</v>
      </c>
      <c r="E768" s="306" t="s">
        <v>801</v>
      </c>
      <c r="F768" s="307"/>
      <c r="G768" s="297" t="s">
        <v>799</v>
      </c>
      <c r="H768" s="308" t="str">
        <f>CONCATENATE("AR-",G768,"-",I768)</f>
        <v>AR-T07-3</v>
      </c>
      <c r="I768" s="661">
        <v>3</v>
      </c>
      <c r="J768" s="197">
        <v>1</v>
      </c>
      <c r="L768" s="237"/>
      <c r="Q768" s="237"/>
    </row>
    <row r="769" spans="1:18" s="233" customFormat="1" ht="14.25" hidden="1" customHeight="1" outlineLevel="1">
      <c r="A769" s="681"/>
      <c r="B769" s="299" t="s">
        <v>268</v>
      </c>
      <c r="C769" s="304" t="s">
        <v>798</v>
      </c>
      <c r="D769" s="685" t="s">
        <v>701</v>
      </c>
      <c r="E769" s="306" t="s">
        <v>802</v>
      </c>
      <c r="F769" s="307"/>
      <c r="G769" s="297" t="s">
        <v>799</v>
      </c>
      <c r="H769" s="308" t="str">
        <f>CONCATENATE("AR-",G769,"-",I769)</f>
        <v>AR-T07-7</v>
      </c>
      <c r="I769" s="661">
        <v>7</v>
      </c>
      <c r="J769" s="197">
        <v>1</v>
      </c>
      <c r="L769" s="237"/>
      <c r="Q769" s="237"/>
    </row>
    <row r="770" spans="1:18" s="233" customFormat="1" ht="3" hidden="1" customHeight="1" outlineLevel="1">
      <c r="A770" s="681"/>
      <c r="B770" s="299"/>
      <c r="C770" s="304"/>
      <c r="D770" s="685"/>
      <c r="E770" s="306" t="s">
        <v>277</v>
      </c>
      <c r="F770" s="307"/>
      <c r="G770" s="297"/>
      <c r="H770" s="308"/>
      <c r="I770" s="661"/>
      <c r="J770" s="197"/>
      <c r="L770" s="237"/>
      <c r="Q770" s="237"/>
    </row>
    <row r="771" spans="1:18" s="233" customFormat="1" ht="13.5" hidden="1" customHeight="1" outlineLevel="1">
      <c r="A771" s="681"/>
      <c r="B771" s="299" t="s">
        <v>386</v>
      </c>
      <c r="C771" s="304"/>
      <c r="D771" s="685"/>
      <c r="E771" s="306" t="s">
        <v>277</v>
      </c>
      <c r="F771" s="307"/>
      <c r="G771" s="297"/>
      <c r="H771" s="308"/>
      <c r="I771" s="661"/>
      <c r="J771" s="197"/>
      <c r="L771" s="237"/>
      <c r="Q771" s="237"/>
    </row>
    <row r="772" spans="1:18" s="233" customFormat="1" ht="13.5" hidden="1" customHeight="1" outlineLevel="1">
      <c r="A772" s="681"/>
      <c r="B772" s="299" t="s">
        <v>268</v>
      </c>
      <c r="C772" s="304" t="s">
        <v>798</v>
      </c>
      <c r="D772" s="685" t="s">
        <v>387</v>
      </c>
      <c r="E772" s="306" t="s">
        <v>388</v>
      </c>
      <c r="F772" s="307"/>
      <c r="G772" s="297" t="s">
        <v>799</v>
      </c>
      <c r="H772" s="308" t="str">
        <f t="shared" ref="H772:H777" si="55">CONCATENATE("AR-",G772,"-",I772)</f>
        <v>AR-T07-3</v>
      </c>
      <c r="I772" s="661">
        <v>3</v>
      </c>
      <c r="J772" s="197">
        <v>1</v>
      </c>
      <c r="L772" s="237"/>
      <c r="Q772" s="237"/>
    </row>
    <row r="773" spans="1:18" s="233" customFormat="1" ht="14.25" hidden="1" customHeight="1" outlineLevel="1">
      <c r="A773" s="681"/>
      <c r="B773" s="299" t="s">
        <v>268</v>
      </c>
      <c r="C773" s="304" t="s">
        <v>798</v>
      </c>
      <c r="D773" s="685" t="s">
        <v>283</v>
      </c>
      <c r="E773" s="306" t="s">
        <v>389</v>
      </c>
      <c r="F773" s="307"/>
      <c r="G773" s="297" t="s">
        <v>799</v>
      </c>
      <c r="H773" s="308" t="str">
        <f t="shared" si="55"/>
        <v>AR-T07-4</v>
      </c>
      <c r="I773" s="661">
        <v>4</v>
      </c>
      <c r="J773" s="197">
        <v>1</v>
      </c>
      <c r="L773" s="237"/>
      <c r="Q773" s="237"/>
    </row>
    <row r="774" spans="1:18" s="233" customFormat="1" ht="14.25" hidden="1" customHeight="1" outlineLevel="1">
      <c r="A774" s="681"/>
      <c r="B774" s="299" t="s">
        <v>268</v>
      </c>
      <c r="C774" s="304" t="s">
        <v>798</v>
      </c>
      <c r="D774" s="685" t="s">
        <v>390</v>
      </c>
      <c r="E774" s="306" t="s">
        <v>391</v>
      </c>
      <c r="F774" s="307"/>
      <c r="G774" s="297" t="s">
        <v>799</v>
      </c>
      <c r="H774" s="308" t="str">
        <f t="shared" si="55"/>
        <v>AR-T07-5</v>
      </c>
      <c r="I774" s="661">
        <v>5</v>
      </c>
      <c r="J774" s="197">
        <v>1</v>
      </c>
      <c r="L774" s="237"/>
      <c r="Q774" s="237"/>
    </row>
    <row r="775" spans="1:18" s="233" customFormat="1" ht="14.25" hidden="1" customHeight="1" outlineLevel="1">
      <c r="A775" s="681"/>
      <c r="B775" s="299" t="s">
        <v>268</v>
      </c>
      <c r="C775" s="304" t="s">
        <v>798</v>
      </c>
      <c r="D775" s="685" t="s">
        <v>392</v>
      </c>
      <c r="E775" s="306" t="s">
        <v>393</v>
      </c>
      <c r="F775" s="307"/>
      <c r="G775" s="297" t="s">
        <v>799</v>
      </c>
      <c r="H775" s="308" t="str">
        <f t="shared" si="55"/>
        <v>AR-T07-6</v>
      </c>
      <c r="I775" s="661">
        <v>6</v>
      </c>
      <c r="J775" s="197">
        <v>1</v>
      </c>
      <c r="L775" s="237"/>
      <c r="Q775" s="237"/>
    </row>
    <row r="776" spans="1:18" s="233" customFormat="1" ht="14.25" hidden="1" customHeight="1" outlineLevel="1">
      <c r="A776" s="681"/>
      <c r="B776" s="299" t="s">
        <v>268</v>
      </c>
      <c r="C776" s="304" t="s">
        <v>798</v>
      </c>
      <c r="D776" s="685" t="s">
        <v>394</v>
      </c>
      <c r="E776" s="306" t="s">
        <v>395</v>
      </c>
      <c r="F776" s="307"/>
      <c r="G776" s="297" t="s">
        <v>799</v>
      </c>
      <c r="H776" s="308" t="str">
        <f t="shared" si="55"/>
        <v>AR-T07-5</v>
      </c>
      <c r="I776" s="661">
        <v>5</v>
      </c>
      <c r="J776" s="197">
        <v>1</v>
      </c>
      <c r="L776" s="237"/>
      <c r="Q776" s="237"/>
    </row>
    <row r="777" spans="1:18" s="233" customFormat="1" ht="14.25" hidden="1" customHeight="1" outlineLevel="1">
      <c r="A777" s="681"/>
      <c r="B777" s="299" t="s">
        <v>268</v>
      </c>
      <c r="C777" s="304" t="s">
        <v>798</v>
      </c>
      <c r="D777" s="685" t="s">
        <v>396</v>
      </c>
      <c r="E777" s="306" t="s">
        <v>397</v>
      </c>
      <c r="F777" s="307"/>
      <c r="G777" s="297" t="s">
        <v>799</v>
      </c>
      <c r="H777" s="308" t="str">
        <f t="shared" si="55"/>
        <v>AR-T07-8</v>
      </c>
      <c r="I777" s="661">
        <v>8</v>
      </c>
      <c r="J777" s="234">
        <v>1</v>
      </c>
      <c r="L777" s="237"/>
      <c r="Q777" s="237"/>
    </row>
    <row r="778" spans="1:18" s="233" customFormat="1" ht="3" hidden="1" customHeight="1" outlineLevel="1">
      <c r="A778" s="681"/>
      <c r="B778" s="299"/>
      <c r="C778" s="304"/>
      <c r="D778" s="685"/>
      <c r="E778" s="306" t="s">
        <v>277</v>
      </c>
      <c r="F778" s="307"/>
      <c r="G778" s="297"/>
      <c r="H778" s="308"/>
      <c r="I778" s="661"/>
      <c r="J778" s="197"/>
      <c r="L778" s="237"/>
      <c r="Q778" s="237"/>
    </row>
    <row r="779" spans="1:18" s="233" customFormat="1" ht="13.5" hidden="1" customHeight="1" outlineLevel="1">
      <c r="A779" s="681"/>
      <c r="B779" s="299" t="s">
        <v>296</v>
      </c>
      <c r="C779" s="304"/>
      <c r="D779" s="685"/>
      <c r="E779" s="306" t="s">
        <v>277</v>
      </c>
      <c r="F779" s="307"/>
      <c r="G779" s="297"/>
      <c r="H779" s="308"/>
      <c r="I779" s="661"/>
      <c r="J779" s="197"/>
      <c r="L779" s="237"/>
      <c r="Q779" s="237"/>
    </row>
    <row r="780" spans="1:18" s="233" customFormat="1" ht="14.25" hidden="1" customHeight="1" outlineLevel="1">
      <c r="A780" s="681"/>
      <c r="B780" s="299" t="s">
        <v>268</v>
      </c>
      <c r="C780" s="304" t="s">
        <v>798</v>
      </c>
      <c r="D780" s="685" t="s">
        <v>297</v>
      </c>
      <c r="E780" s="306" t="s">
        <v>803</v>
      </c>
      <c r="F780" s="307"/>
      <c r="G780" s="297" t="s">
        <v>799</v>
      </c>
      <c r="H780" s="308" t="str">
        <f>CONCATENATE("AR-",G780,"-",I780)</f>
        <v>AR-T07-1</v>
      </c>
      <c r="I780" s="661">
        <v>1</v>
      </c>
      <c r="J780" s="197">
        <v>1</v>
      </c>
      <c r="L780" s="237"/>
      <c r="Q780" s="237"/>
    </row>
    <row r="781" spans="1:18" s="233" customFormat="1" ht="14.25" hidden="1" customHeight="1" outlineLevel="1">
      <c r="A781" s="681"/>
      <c r="B781" s="299" t="s">
        <v>268</v>
      </c>
      <c r="C781" s="304" t="s">
        <v>798</v>
      </c>
      <c r="D781" s="685" t="s">
        <v>804</v>
      </c>
      <c r="E781" s="306" t="s">
        <v>805</v>
      </c>
      <c r="F781" s="307"/>
      <c r="G781" s="297" t="s">
        <v>799</v>
      </c>
      <c r="H781" s="308" t="str">
        <f>CONCATENATE("AR-",G781,"-",I781)</f>
        <v>AR-T07-9</v>
      </c>
      <c r="I781" s="661">
        <v>9</v>
      </c>
      <c r="J781" s="234">
        <v>1</v>
      </c>
      <c r="L781" s="237"/>
      <c r="Q781" s="237"/>
    </row>
    <row r="782" spans="1:18" s="233" customFormat="1" ht="3" hidden="1" customHeight="1" outlineLevel="1">
      <c r="A782" s="681"/>
      <c r="B782" s="299"/>
      <c r="C782" s="304"/>
      <c r="D782" s="685"/>
      <c r="E782" s="306" t="s">
        <v>277</v>
      </c>
      <c r="F782" s="307"/>
      <c r="G782" s="297"/>
      <c r="H782" s="308"/>
      <c r="I782" s="661"/>
      <c r="J782" s="197"/>
      <c r="L782" s="237"/>
      <c r="Q782" s="237"/>
    </row>
    <row r="783" spans="1:18" s="233" customFormat="1" ht="13.5" hidden="1" customHeight="1" outlineLevel="1">
      <c r="A783" s="681"/>
      <c r="B783" s="299" t="s">
        <v>326</v>
      </c>
      <c r="C783" s="304"/>
      <c r="D783" s="685"/>
      <c r="E783" s="306" t="s">
        <v>277</v>
      </c>
      <c r="F783" s="307"/>
      <c r="G783" s="297"/>
      <c r="H783" s="308"/>
      <c r="I783" s="661"/>
      <c r="J783" s="197"/>
      <c r="L783" s="237"/>
      <c r="Q783" s="237"/>
    </row>
    <row r="784" spans="1:18" s="233" customFormat="1" ht="14.25" hidden="1" customHeight="1" outlineLevel="1">
      <c r="A784" s="681"/>
      <c r="B784" s="299" t="s">
        <v>268</v>
      </c>
      <c r="C784" s="304" t="s">
        <v>798</v>
      </c>
      <c r="D784" s="685" t="s">
        <v>328</v>
      </c>
      <c r="E784" s="306" t="s">
        <v>398</v>
      </c>
      <c r="F784" s="307"/>
      <c r="G784" s="297" t="s">
        <v>799</v>
      </c>
      <c r="H784" s="308" t="str">
        <f>CONCATENATE("AR-",G784,"-",I784)</f>
        <v>AR-T07-1</v>
      </c>
      <c r="I784" s="661">
        <v>1</v>
      </c>
      <c r="J784" s="197">
        <v>1</v>
      </c>
      <c r="L784" s="237"/>
      <c r="Q784" s="237"/>
    </row>
    <row r="785" spans="1:18" s="233" customFormat="1" ht="14.25" hidden="1" customHeight="1" outlineLevel="1">
      <c r="A785" s="681"/>
      <c r="B785" s="299" t="s">
        <v>268</v>
      </c>
      <c r="C785" s="304" t="s">
        <v>798</v>
      </c>
      <c r="D785" s="685" t="s">
        <v>330</v>
      </c>
      <c r="E785" s="306" t="s">
        <v>399</v>
      </c>
      <c r="F785" s="307"/>
      <c r="G785" s="297" t="s">
        <v>799</v>
      </c>
      <c r="H785" s="308" t="str">
        <f>CONCATENATE("AR-",G785,"-",I785)</f>
        <v>AR-T07-1</v>
      </c>
      <c r="I785" s="661">
        <v>1</v>
      </c>
      <c r="J785" s="197">
        <v>1</v>
      </c>
      <c r="L785" s="237"/>
      <c r="Q785" s="237"/>
    </row>
    <row r="786" spans="1:18" s="233" customFormat="1" ht="3" hidden="1" customHeight="1" outlineLevel="1">
      <c r="A786" s="681"/>
      <c r="B786" s="299"/>
      <c r="C786" s="304"/>
      <c r="D786" s="685"/>
      <c r="E786" s="306" t="s">
        <v>277</v>
      </c>
      <c r="F786" s="307"/>
      <c r="G786" s="297"/>
      <c r="H786" s="308"/>
      <c r="I786" s="661"/>
      <c r="J786" s="197"/>
      <c r="L786" s="237"/>
      <c r="Q786" s="237"/>
    </row>
    <row r="787" spans="1:18" s="233" customFormat="1" ht="13.5" hidden="1" customHeight="1" outlineLevel="1">
      <c r="A787" s="681"/>
      <c r="B787" s="299" t="s">
        <v>334</v>
      </c>
      <c r="C787" s="304"/>
      <c r="D787" s="685"/>
      <c r="E787" s="306" t="s">
        <v>277</v>
      </c>
      <c r="F787" s="307"/>
      <c r="G787" s="297"/>
      <c r="H787" s="308"/>
      <c r="I787" s="661"/>
      <c r="J787" s="197"/>
      <c r="L787" s="237"/>
      <c r="Q787" s="237"/>
    </row>
    <row r="788" spans="1:18" s="233" customFormat="1" ht="14.25" hidden="1" customHeight="1" outlineLevel="1">
      <c r="A788" s="681"/>
      <c r="B788" s="299" t="s">
        <v>268</v>
      </c>
      <c r="C788" s="304" t="s">
        <v>798</v>
      </c>
      <c r="D788" s="685" t="s">
        <v>335</v>
      </c>
      <c r="E788" s="306" t="s">
        <v>400</v>
      </c>
      <c r="F788" s="307"/>
      <c r="G788" s="297" t="s">
        <v>799</v>
      </c>
      <c r="H788" s="308" t="str">
        <f>CONCATENATE("AR-",G788,"-",I788)</f>
        <v>AR-T07-1</v>
      </c>
      <c r="I788" s="661">
        <v>1</v>
      </c>
      <c r="J788" s="197">
        <v>1</v>
      </c>
      <c r="L788" s="237"/>
      <c r="Q788" s="237"/>
    </row>
    <row r="789" spans="1:18" s="233" customFormat="1" ht="14.25" hidden="1" customHeight="1" outlineLevel="1">
      <c r="A789" s="681"/>
      <c r="B789" s="299" t="s">
        <v>268</v>
      </c>
      <c r="C789" s="304" t="s">
        <v>798</v>
      </c>
      <c r="D789" s="685" t="s">
        <v>337</v>
      </c>
      <c r="E789" s="306" t="s">
        <v>400</v>
      </c>
      <c r="F789" s="307"/>
      <c r="G789" s="297" t="s">
        <v>799</v>
      </c>
      <c r="H789" s="308" t="str">
        <f>CONCATENATE("AR-",G789,"-",I789)</f>
        <v>AR-T07-1</v>
      </c>
      <c r="I789" s="661">
        <v>1</v>
      </c>
      <c r="J789" s="197">
        <v>1</v>
      </c>
      <c r="L789" s="237"/>
      <c r="Q789" s="237"/>
    </row>
    <row r="790" spans="1:18" s="233" customFormat="1" ht="3" hidden="1" customHeight="1" outlineLevel="1">
      <c r="A790" s="681"/>
      <c r="B790" s="299"/>
      <c r="C790" s="304"/>
      <c r="D790" s="685"/>
      <c r="E790" s="306" t="s">
        <v>277</v>
      </c>
      <c r="F790" s="307"/>
      <c r="G790" s="297"/>
      <c r="H790" s="308"/>
      <c r="I790" s="661"/>
      <c r="J790" s="197"/>
      <c r="L790" s="237"/>
      <c r="Q790" s="237"/>
    </row>
    <row r="791" spans="1:18" s="233" customFormat="1" ht="13.5" hidden="1" customHeight="1" outlineLevel="1">
      <c r="A791" s="681"/>
      <c r="B791" s="299" t="s">
        <v>401</v>
      </c>
      <c r="C791" s="304"/>
      <c r="D791" s="685"/>
      <c r="E791" s="306" t="s">
        <v>277</v>
      </c>
      <c r="F791" s="307"/>
      <c r="G791" s="297"/>
      <c r="H791" s="308"/>
      <c r="I791" s="661"/>
      <c r="J791" s="197"/>
      <c r="L791" s="237"/>
      <c r="Q791" s="237"/>
    </row>
    <row r="792" spans="1:18" s="233" customFormat="1" ht="13.5" hidden="1" outlineLevel="1">
      <c r="A792" s="681"/>
      <c r="B792" s="299" t="s">
        <v>268</v>
      </c>
      <c r="C792" s="304" t="s">
        <v>800</v>
      </c>
      <c r="D792" s="685" t="s">
        <v>402</v>
      </c>
      <c r="E792" s="306" t="s">
        <v>403</v>
      </c>
      <c r="F792" s="307"/>
      <c r="G792" s="297" t="s">
        <v>799</v>
      </c>
      <c r="H792" s="308" t="str">
        <f>CONCATENATE("AR-",G792,"-",I792)</f>
        <v>AR-T07-3</v>
      </c>
      <c r="I792" s="661">
        <v>3</v>
      </c>
      <c r="J792" s="197">
        <v>1</v>
      </c>
      <c r="L792" s="237"/>
      <c r="Q792" s="237"/>
    </row>
    <row r="793" spans="1:18" s="233" customFormat="1" ht="13.5" hidden="1" outlineLevel="1">
      <c r="A793" s="681"/>
      <c r="B793" s="299" t="s">
        <v>268</v>
      </c>
      <c r="C793" s="304" t="s">
        <v>798</v>
      </c>
      <c r="D793" s="685" t="s">
        <v>569</v>
      </c>
      <c r="E793" s="306" t="s">
        <v>806</v>
      </c>
      <c r="F793" s="307"/>
      <c r="G793" s="297" t="s">
        <v>799</v>
      </c>
      <c r="H793" s="308" t="str">
        <f>CONCATENATE("AR-",G793,"-",I793)</f>
        <v>AR-T07-7</v>
      </c>
      <c r="I793" s="661">
        <v>7</v>
      </c>
      <c r="J793" s="197">
        <v>1</v>
      </c>
      <c r="L793" s="237"/>
      <c r="Q793" s="237"/>
    </row>
    <row r="794" spans="1:18" s="233" customFormat="1" ht="13.5" hidden="1" outlineLevel="1">
      <c r="A794" s="681"/>
      <c r="B794" s="299" t="s">
        <v>268</v>
      </c>
      <c r="C794" s="304" t="s">
        <v>798</v>
      </c>
      <c r="D794" s="685" t="s">
        <v>571</v>
      </c>
      <c r="E794" s="306" t="s">
        <v>807</v>
      </c>
      <c r="F794" s="307"/>
      <c r="G794" s="297" t="s">
        <v>799</v>
      </c>
      <c r="H794" s="308" t="str">
        <f>CONCATENATE("AR-",G794,"-",I794)</f>
        <v>AR-T07-10</v>
      </c>
      <c r="I794" s="661">
        <v>10</v>
      </c>
      <c r="J794" s="234">
        <v>1</v>
      </c>
      <c r="L794" s="237"/>
      <c r="Q794" s="237"/>
    </row>
    <row r="795" spans="1:18" s="233" customFormat="1" ht="3" hidden="1" customHeight="1" outlineLevel="1">
      <c r="A795" s="681"/>
      <c r="B795" s="299"/>
      <c r="C795" s="304"/>
      <c r="D795" s="685"/>
      <c r="E795" s="306" t="s">
        <v>277</v>
      </c>
      <c r="F795" s="307"/>
      <c r="G795" s="297"/>
      <c r="H795" s="308"/>
      <c r="I795" s="661"/>
      <c r="J795" s="197"/>
      <c r="L795" s="237"/>
      <c r="Q795" s="237"/>
    </row>
    <row r="796" spans="1:18" s="233" customFormat="1" ht="13.5" hidden="1" customHeight="1" outlineLevel="1">
      <c r="A796" s="681"/>
      <c r="B796" s="299" t="s">
        <v>300</v>
      </c>
      <c r="C796" s="304"/>
      <c r="D796" s="685"/>
      <c r="E796" s="306" t="s">
        <v>277</v>
      </c>
      <c r="F796" s="307"/>
      <c r="G796" s="297"/>
      <c r="H796" s="308"/>
      <c r="I796" s="661"/>
      <c r="J796" s="197"/>
      <c r="L796" s="237"/>
      <c r="Q796" s="237"/>
    </row>
    <row r="797" spans="1:18" s="233" customFormat="1" ht="13.5" hidden="1" outlineLevel="1">
      <c r="A797" s="681"/>
      <c r="B797" s="299" t="s">
        <v>268</v>
      </c>
      <c r="C797" s="304" t="s">
        <v>798</v>
      </c>
      <c r="D797" s="685" t="s">
        <v>301</v>
      </c>
      <c r="E797" s="306" t="s">
        <v>404</v>
      </c>
      <c r="F797" s="307"/>
      <c r="G797" s="297" t="s">
        <v>799</v>
      </c>
      <c r="H797" s="308" t="str">
        <f>CONCATENATE("AR-",G797,"-",I797)</f>
        <v>AR-T07-7</v>
      </c>
      <c r="I797" s="661">
        <v>7</v>
      </c>
      <c r="J797" s="197">
        <v>1</v>
      </c>
      <c r="L797" s="237"/>
      <c r="Q797" s="237"/>
    </row>
    <row r="798" spans="1:18" s="233" customFormat="1" ht="3" hidden="1" customHeight="1" outlineLevel="1">
      <c r="A798" s="681"/>
      <c r="B798" s="299"/>
      <c r="C798" s="304"/>
      <c r="D798" s="685"/>
      <c r="E798" s="306" t="s">
        <v>277</v>
      </c>
      <c r="F798" s="307"/>
      <c r="G798" s="297"/>
      <c r="H798" s="308"/>
      <c r="I798" s="661"/>
      <c r="J798" s="197"/>
      <c r="L798" s="237"/>
      <c r="Q798" s="237"/>
    </row>
    <row r="799" spans="1:18" s="233" customFormat="1" ht="13.5" hidden="1" customHeight="1" outlineLevel="1">
      <c r="A799" s="681"/>
      <c r="B799" s="299" t="s">
        <v>808</v>
      </c>
      <c r="C799" s="304"/>
      <c r="D799" s="685"/>
      <c r="E799" s="306" t="s">
        <v>277</v>
      </c>
      <c r="F799" s="307"/>
      <c r="G799" s="297"/>
      <c r="H799" s="308"/>
      <c r="I799" s="661"/>
      <c r="J799" s="197"/>
      <c r="L799" s="237"/>
      <c r="Q799" s="237"/>
    </row>
    <row r="800" spans="1:18" s="233" customFormat="1" ht="13.5" hidden="1" outlineLevel="1">
      <c r="A800" s="681"/>
      <c r="B800" s="299" t="s">
        <v>268</v>
      </c>
      <c r="C800" s="304" t="s">
        <v>800</v>
      </c>
      <c r="D800" s="685" t="s">
        <v>320</v>
      </c>
      <c r="E800" s="306" t="s">
        <v>809</v>
      </c>
      <c r="F800" s="307"/>
      <c r="G800" s="297" t="s">
        <v>799</v>
      </c>
      <c r="H800" s="308" t="str">
        <f>CONCATENATE("AR-",G800,"-",I800)</f>
        <v>AR-T07-3</v>
      </c>
      <c r="I800" s="661">
        <v>3</v>
      </c>
      <c r="J800" s="197">
        <v>1</v>
      </c>
      <c r="L800" s="237"/>
      <c r="Q800" s="237"/>
    </row>
    <row r="801" spans="1:17" s="233" customFormat="1" ht="13.5" hidden="1" outlineLevel="1">
      <c r="A801" s="681"/>
      <c r="B801" s="299" t="s">
        <v>268</v>
      </c>
      <c r="C801" s="304" t="s">
        <v>798</v>
      </c>
      <c r="D801" s="685" t="s">
        <v>322</v>
      </c>
      <c r="E801" s="306" t="s">
        <v>810</v>
      </c>
      <c r="F801" s="307"/>
      <c r="G801" s="297" t="s">
        <v>799</v>
      </c>
      <c r="H801" s="308" t="str">
        <f>CONCATENATE("AR-",G801,"-",I801)</f>
        <v>AR-T07-7</v>
      </c>
      <c r="I801" s="661">
        <v>7</v>
      </c>
      <c r="J801" s="197">
        <v>1</v>
      </c>
      <c r="L801" s="237"/>
      <c r="Q801" s="237"/>
    </row>
    <row r="802" spans="1:17" s="233" customFormat="1" ht="13.5" hidden="1" outlineLevel="1">
      <c r="A802" s="681"/>
      <c r="B802" s="299" t="s">
        <v>268</v>
      </c>
      <c r="C802" s="304" t="s">
        <v>798</v>
      </c>
      <c r="D802" s="685" t="s">
        <v>324</v>
      </c>
      <c r="E802" s="306" t="s">
        <v>811</v>
      </c>
      <c r="F802" s="307"/>
      <c r="G802" s="297" t="s">
        <v>799</v>
      </c>
      <c r="H802" s="308" t="str">
        <f>CONCATENATE("AR-",G802,"-",I802)</f>
        <v>AR-T07-7</v>
      </c>
      <c r="I802" s="661">
        <v>7</v>
      </c>
      <c r="J802" s="197">
        <v>1</v>
      </c>
      <c r="L802" s="237"/>
      <c r="Q802" s="237"/>
    </row>
    <row r="803" spans="1:17" s="233" customFormat="1" ht="13.5" hidden="1" outlineLevel="1">
      <c r="A803" s="681"/>
      <c r="B803" s="299" t="s">
        <v>268</v>
      </c>
      <c r="C803" s="304" t="s">
        <v>798</v>
      </c>
      <c r="D803" s="685" t="s">
        <v>812</v>
      </c>
      <c r="E803" s="306" t="s">
        <v>813</v>
      </c>
      <c r="F803" s="307"/>
      <c r="G803" s="297" t="s">
        <v>799</v>
      </c>
      <c r="H803" s="308" t="str">
        <f>CONCATENATE("AR-",G803,"-",I803)</f>
        <v>AR-T07-7</v>
      </c>
      <c r="I803" s="661">
        <v>7</v>
      </c>
      <c r="J803" s="197">
        <v>1</v>
      </c>
      <c r="L803" s="237"/>
      <c r="Q803" s="237"/>
    </row>
    <row r="804" spans="1:17" s="233" customFormat="1" ht="3" hidden="1" customHeight="1" outlineLevel="1">
      <c r="A804" s="681"/>
      <c r="B804" s="299"/>
      <c r="C804" s="304"/>
      <c r="D804" s="685"/>
      <c r="E804" s="306" t="s">
        <v>277</v>
      </c>
      <c r="F804" s="307"/>
      <c r="G804" s="297"/>
      <c r="H804" s="308"/>
      <c r="I804" s="661"/>
      <c r="J804" s="197"/>
      <c r="L804" s="237"/>
      <c r="Q804" s="237"/>
    </row>
    <row r="805" spans="1:17" s="233" customFormat="1" ht="13.5" hidden="1" customHeight="1" outlineLevel="1">
      <c r="A805" s="681"/>
      <c r="B805" s="299" t="s">
        <v>406</v>
      </c>
      <c r="C805" s="304"/>
      <c r="D805" s="685"/>
      <c r="E805" s="306" t="s">
        <v>277</v>
      </c>
      <c r="F805" s="307"/>
      <c r="G805" s="297"/>
      <c r="H805" s="308"/>
      <c r="I805" s="661"/>
      <c r="J805" s="197"/>
      <c r="L805" s="237"/>
      <c r="Q805" s="237"/>
    </row>
    <row r="806" spans="1:17" s="233" customFormat="1" ht="13.5" hidden="1" outlineLevel="1">
      <c r="A806" s="681"/>
      <c r="B806" s="299" t="s">
        <v>268</v>
      </c>
      <c r="C806" s="304" t="s">
        <v>798</v>
      </c>
      <c r="D806" s="685" t="s">
        <v>407</v>
      </c>
      <c r="E806" s="306" t="s">
        <v>408</v>
      </c>
      <c r="F806" s="307"/>
      <c r="G806" s="297" t="s">
        <v>799</v>
      </c>
      <c r="H806" s="308" t="str">
        <f>CONCATENATE("AR-",G806,"-",I806)</f>
        <v>AR-T07-7</v>
      </c>
      <c r="I806" s="661">
        <v>7</v>
      </c>
      <c r="J806" s="197">
        <v>1</v>
      </c>
      <c r="L806" s="237"/>
      <c r="Q806" s="237"/>
    </row>
    <row r="807" spans="1:17" s="233" customFormat="1" ht="13.5" hidden="1" outlineLevel="1">
      <c r="A807" s="681"/>
      <c r="B807" s="299" t="s">
        <v>268</v>
      </c>
      <c r="C807" s="304" t="s">
        <v>798</v>
      </c>
      <c r="D807" s="685" t="s">
        <v>409</v>
      </c>
      <c r="E807" s="306" t="s">
        <v>410</v>
      </c>
      <c r="F807" s="307"/>
      <c r="G807" s="297" t="s">
        <v>799</v>
      </c>
      <c r="H807" s="308" t="str">
        <f>CONCATENATE("AR-",G807,"-",I807)</f>
        <v>AR-T07-7</v>
      </c>
      <c r="I807" s="661">
        <v>7</v>
      </c>
      <c r="J807" s="197">
        <v>1</v>
      </c>
      <c r="L807" s="237"/>
      <c r="Q807" s="237"/>
    </row>
    <row r="808" spans="1:17" s="233" customFormat="1" ht="13.5" hidden="1" outlineLevel="1">
      <c r="A808" s="681"/>
      <c r="B808" s="299" t="s">
        <v>268</v>
      </c>
      <c r="C808" s="304" t="s">
        <v>798</v>
      </c>
      <c r="D808" s="685" t="s">
        <v>411</v>
      </c>
      <c r="E808" s="306" t="s">
        <v>412</v>
      </c>
      <c r="F808" s="307"/>
      <c r="G808" s="297" t="s">
        <v>799</v>
      </c>
      <c r="H808" s="308" t="str">
        <f>CONCATENATE("AR-",G808,"-",I808)</f>
        <v>AR-T07-7</v>
      </c>
      <c r="I808" s="661">
        <v>7</v>
      </c>
      <c r="J808" s="197">
        <v>1</v>
      </c>
      <c r="L808" s="237"/>
      <c r="Q808" s="237"/>
    </row>
    <row r="809" spans="1:17" s="233" customFormat="1" ht="13.5" hidden="1" outlineLevel="1">
      <c r="A809" s="681"/>
      <c r="B809" s="299" t="s">
        <v>268</v>
      </c>
      <c r="C809" s="304" t="s">
        <v>798</v>
      </c>
      <c r="D809" s="685" t="s">
        <v>413</v>
      </c>
      <c r="E809" s="306" t="s">
        <v>414</v>
      </c>
      <c r="F809" s="307"/>
      <c r="G809" s="297" t="s">
        <v>799</v>
      </c>
      <c r="H809" s="308" t="str">
        <f>CONCATENATE("AR-",G809,"-",I809)</f>
        <v>AR-T07-7</v>
      </c>
      <c r="I809" s="661">
        <v>7</v>
      </c>
      <c r="J809" s="197">
        <v>1</v>
      </c>
      <c r="L809" s="237"/>
      <c r="Q809" s="237"/>
    </row>
    <row r="810" spans="1:17" s="233" customFormat="1" ht="13.5" hidden="1" outlineLevel="1">
      <c r="A810" s="681"/>
      <c r="B810" s="299" t="s">
        <v>268</v>
      </c>
      <c r="C810" s="304" t="s">
        <v>798</v>
      </c>
      <c r="D810" s="685" t="s">
        <v>415</v>
      </c>
      <c r="E810" s="306" t="s">
        <v>814</v>
      </c>
      <c r="F810" s="307"/>
      <c r="G810" s="297" t="s">
        <v>799</v>
      </c>
      <c r="H810" s="308" t="str">
        <f>CONCATENATE("AR-",G810,"-",I810)</f>
        <v>AR-T07-7</v>
      </c>
      <c r="I810" s="661">
        <v>7</v>
      </c>
      <c r="J810" s="234">
        <v>1</v>
      </c>
      <c r="L810" s="237"/>
      <c r="Q810" s="237"/>
    </row>
    <row r="811" spans="1:17" s="233" customFormat="1" ht="3" hidden="1" customHeight="1" outlineLevel="1">
      <c r="A811" s="681"/>
      <c r="B811" s="299"/>
      <c r="C811" s="304"/>
      <c r="D811" s="685"/>
      <c r="E811" s="306" t="s">
        <v>277</v>
      </c>
      <c r="F811" s="307"/>
      <c r="G811" s="297"/>
      <c r="H811" s="308"/>
      <c r="I811" s="661"/>
      <c r="J811" s="197"/>
      <c r="L811" s="237"/>
      <c r="Q811" s="237"/>
    </row>
    <row r="812" spans="1:17" s="233" customFormat="1" ht="13.5" hidden="1" customHeight="1" outlineLevel="1">
      <c r="A812" s="681"/>
      <c r="B812" s="299" t="s">
        <v>417</v>
      </c>
      <c r="C812" s="304"/>
      <c r="D812" s="685"/>
      <c r="E812" s="306" t="s">
        <v>277</v>
      </c>
      <c r="F812" s="307"/>
      <c r="G812" s="297"/>
      <c r="H812" s="308"/>
      <c r="I812" s="661"/>
      <c r="J812" s="197"/>
      <c r="L812" s="237"/>
      <c r="Q812" s="237"/>
    </row>
    <row r="813" spans="1:17" s="243" customFormat="1" ht="13.5" hidden="1" outlineLevel="1">
      <c r="A813" s="687"/>
      <c r="B813" s="299" t="s">
        <v>268</v>
      </c>
      <c r="C813" s="304" t="s">
        <v>798</v>
      </c>
      <c r="D813" s="685" t="s">
        <v>418</v>
      </c>
      <c r="E813" s="306" t="s">
        <v>419</v>
      </c>
      <c r="F813" s="307"/>
      <c r="G813" s="297" t="s">
        <v>799</v>
      </c>
      <c r="H813" s="308" t="str">
        <f>CONCATENATE("AR-",G813,"-",I813)</f>
        <v>AR-T07-1</v>
      </c>
      <c r="I813" s="661">
        <v>1</v>
      </c>
      <c r="J813" s="197">
        <v>1</v>
      </c>
      <c r="L813" s="708"/>
      <c r="Q813" s="708"/>
    </row>
    <row r="814" spans="1:17" s="233" customFormat="1" ht="13.5" hidden="1" outlineLevel="1">
      <c r="A814" s="681"/>
      <c r="B814" s="299" t="s">
        <v>268</v>
      </c>
      <c r="C814" s="304" t="s">
        <v>798</v>
      </c>
      <c r="D814" s="685" t="s">
        <v>420</v>
      </c>
      <c r="E814" s="306" t="s">
        <v>421</v>
      </c>
      <c r="F814" s="307"/>
      <c r="G814" s="297" t="s">
        <v>799</v>
      </c>
      <c r="H814" s="308" t="str">
        <f>CONCATENATE("AR-",G814,"-",I814)</f>
        <v>AR-T07-1</v>
      </c>
      <c r="I814" s="661">
        <v>1</v>
      </c>
      <c r="J814" s="197">
        <v>1</v>
      </c>
      <c r="L814" s="237"/>
      <c r="Q814" s="237"/>
    </row>
    <row r="815" spans="1:17" s="243" customFormat="1" ht="13.5" hidden="1" outlineLevel="1">
      <c r="A815" s="687"/>
      <c r="B815" s="299" t="s">
        <v>268</v>
      </c>
      <c r="C815" s="304" t="s">
        <v>798</v>
      </c>
      <c r="D815" s="685" t="s">
        <v>422</v>
      </c>
      <c r="E815" s="306" t="s">
        <v>423</v>
      </c>
      <c r="F815" s="307"/>
      <c r="G815" s="297" t="s">
        <v>799</v>
      </c>
      <c r="H815" s="308" t="str">
        <f>CONCATENATE("AR-",G815,"-",I815)</f>
        <v>AR-T07-1</v>
      </c>
      <c r="I815" s="661">
        <v>1</v>
      </c>
      <c r="J815" s="197">
        <v>1</v>
      </c>
      <c r="L815" s="708"/>
      <c r="Q815" s="708"/>
    </row>
    <row r="816" spans="1:17" s="243" customFormat="1" ht="3" hidden="1" customHeight="1" outlineLevel="1">
      <c r="A816" s="687"/>
      <c r="B816" s="299"/>
      <c r="C816" s="304"/>
      <c r="D816" s="685"/>
      <c r="E816" s="306" t="s">
        <v>277</v>
      </c>
      <c r="F816" s="307"/>
      <c r="G816" s="297"/>
      <c r="H816" s="308"/>
      <c r="I816" s="661"/>
      <c r="J816" s="240"/>
      <c r="L816" s="708"/>
      <c r="Q816" s="708"/>
    </row>
    <row r="817" spans="1:17" s="233" customFormat="1" ht="13.5" hidden="1" customHeight="1" outlineLevel="1">
      <c r="A817" s="681"/>
      <c r="B817" s="299" t="s">
        <v>424</v>
      </c>
      <c r="C817" s="304"/>
      <c r="D817" s="685"/>
      <c r="E817" s="306" t="s">
        <v>277</v>
      </c>
      <c r="F817" s="307"/>
      <c r="G817" s="297"/>
      <c r="H817" s="308"/>
      <c r="I817" s="661"/>
      <c r="J817" s="197"/>
      <c r="L817" s="237"/>
      <c r="Q817" s="237"/>
    </row>
    <row r="818" spans="1:17" s="243" customFormat="1" ht="14.25" hidden="1" customHeight="1" outlineLevel="1">
      <c r="A818" s="687"/>
      <c r="B818" s="299" t="s">
        <v>268</v>
      </c>
      <c r="C818" s="304" t="s">
        <v>798</v>
      </c>
      <c r="D818" s="685" t="s">
        <v>425</v>
      </c>
      <c r="E818" s="306" t="s">
        <v>426</v>
      </c>
      <c r="F818" s="307"/>
      <c r="G818" s="297" t="s">
        <v>799</v>
      </c>
      <c r="H818" s="308" t="str">
        <f t="shared" ref="H818:H835" si="56">CONCATENATE("AR-",G818,"-",I818)</f>
        <v>AR-T07-3</v>
      </c>
      <c r="I818" s="661">
        <v>3</v>
      </c>
      <c r="J818" s="197">
        <v>1</v>
      </c>
      <c r="L818" s="708"/>
      <c r="Q818" s="708"/>
    </row>
    <row r="819" spans="1:17" s="243" customFormat="1" ht="14.25" hidden="1" customHeight="1" outlineLevel="1">
      <c r="A819" s="687"/>
      <c r="B819" s="299" t="s">
        <v>268</v>
      </c>
      <c r="C819" s="304" t="s">
        <v>798</v>
      </c>
      <c r="D819" s="685" t="s">
        <v>427</v>
      </c>
      <c r="E819" s="306" t="s">
        <v>428</v>
      </c>
      <c r="F819" s="307"/>
      <c r="G819" s="297" t="s">
        <v>799</v>
      </c>
      <c r="H819" s="308" t="str">
        <f t="shared" si="56"/>
        <v>AR-T07-3</v>
      </c>
      <c r="I819" s="661">
        <v>3</v>
      </c>
      <c r="J819" s="197">
        <v>1</v>
      </c>
      <c r="L819" s="708"/>
      <c r="Q819" s="708"/>
    </row>
    <row r="820" spans="1:17" s="243" customFormat="1" ht="14.25" hidden="1" customHeight="1" outlineLevel="1">
      <c r="A820" s="687"/>
      <c r="B820" s="299" t="s">
        <v>268</v>
      </c>
      <c r="C820" s="304" t="s">
        <v>798</v>
      </c>
      <c r="D820" s="685" t="s">
        <v>429</v>
      </c>
      <c r="E820" s="306" t="s">
        <v>430</v>
      </c>
      <c r="F820" s="307"/>
      <c r="G820" s="297" t="s">
        <v>799</v>
      </c>
      <c r="H820" s="308" t="str">
        <f t="shared" si="56"/>
        <v>AR-T07-3</v>
      </c>
      <c r="I820" s="661">
        <v>3</v>
      </c>
      <c r="J820" s="197">
        <v>1</v>
      </c>
      <c r="L820" s="708"/>
      <c r="Q820" s="708"/>
    </row>
    <row r="821" spans="1:17" s="243" customFormat="1" ht="14.25" hidden="1" customHeight="1" outlineLevel="1">
      <c r="A821" s="687"/>
      <c r="B821" s="299" t="s">
        <v>268</v>
      </c>
      <c r="C821" s="304" t="s">
        <v>798</v>
      </c>
      <c r="D821" s="685" t="s">
        <v>431</v>
      </c>
      <c r="E821" s="306" t="s">
        <v>432</v>
      </c>
      <c r="F821" s="307"/>
      <c r="G821" s="297" t="s">
        <v>799</v>
      </c>
      <c r="H821" s="308" t="str">
        <f t="shared" si="56"/>
        <v>AR-T07-3</v>
      </c>
      <c r="I821" s="661">
        <v>3</v>
      </c>
      <c r="J821" s="197">
        <v>1</v>
      </c>
      <c r="L821" s="708"/>
      <c r="Q821" s="708"/>
    </row>
    <row r="822" spans="1:17" s="243" customFormat="1" ht="14.25" hidden="1" customHeight="1" outlineLevel="1">
      <c r="A822" s="687"/>
      <c r="B822" s="299" t="s">
        <v>268</v>
      </c>
      <c r="C822" s="304" t="s">
        <v>798</v>
      </c>
      <c r="D822" s="685" t="s">
        <v>433</v>
      </c>
      <c r="E822" s="306" t="s">
        <v>434</v>
      </c>
      <c r="F822" s="307"/>
      <c r="G822" s="297" t="s">
        <v>799</v>
      </c>
      <c r="H822" s="308" t="str">
        <f t="shared" si="56"/>
        <v>AR-T07-3</v>
      </c>
      <c r="I822" s="661">
        <v>3</v>
      </c>
      <c r="J822" s="197">
        <v>1</v>
      </c>
      <c r="L822" s="708"/>
      <c r="Q822" s="708"/>
    </row>
    <row r="823" spans="1:17" s="243" customFormat="1" ht="14.25" hidden="1" customHeight="1" outlineLevel="1">
      <c r="A823" s="687"/>
      <c r="B823" s="299" t="s">
        <v>268</v>
      </c>
      <c r="C823" s="304" t="s">
        <v>798</v>
      </c>
      <c r="D823" s="685" t="s">
        <v>435</v>
      </c>
      <c r="E823" s="306" t="s">
        <v>436</v>
      </c>
      <c r="F823" s="307"/>
      <c r="G823" s="297" t="s">
        <v>799</v>
      </c>
      <c r="H823" s="308" t="str">
        <f t="shared" si="56"/>
        <v>AR-T07-3</v>
      </c>
      <c r="I823" s="661">
        <v>3</v>
      </c>
      <c r="J823" s="197">
        <v>1</v>
      </c>
      <c r="L823" s="708"/>
      <c r="Q823" s="708"/>
    </row>
    <row r="824" spans="1:17" s="243" customFormat="1" ht="14.25" hidden="1" customHeight="1" outlineLevel="1">
      <c r="A824" s="687"/>
      <c r="B824" s="299" t="s">
        <v>268</v>
      </c>
      <c r="C824" s="304" t="s">
        <v>798</v>
      </c>
      <c r="D824" s="685" t="s">
        <v>437</v>
      </c>
      <c r="E824" s="306" t="s">
        <v>438</v>
      </c>
      <c r="F824" s="307"/>
      <c r="G824" s="297" t="s">
        <v>799</v>
      </c>
      <c r="H824" s="308" t="str">
        <f t="shared" si="56"/>
        <v>AR-T07-3</v>
      </c>
      <c r="I824" s="661">
        <v>3</v>
      </c>
      <c r="J824" s="197">
        <v>1</v>
      </c>
      <c r="L824" s="708"/>
      <c r="Q824" s="708"/>
    </row>
    <row r="825" spans="1:17" s="243" customFormat="1" ht="14.25" hidden="1" customHeight="1" outlineLevel="1">
      <c r="A825" s="687"/>
      <c r="B825" s="299" t="s">
        <v>268</v>
      </c>
      <c r="C825" s="304" t="s">
        <v>798</v>
      </c>
      <c r="D825" s="685" t="s">
        <v>439</v>
      </c>
      <c r="E825" s="306" t="s">
        <v>440</v>
      </c>
      <c r="F825" s="307"/>
      <c r="G825" s="297" t="s">
        <v>799</v>
      </c>
      <c r="H825" s="308" t="str">
        <f t="shared" si="56"/>
        <v>AR-T07-3</v>
      </c>
      <c r="I825" s="661">
        <v>3</v>
      </c>
      <c r="J825" s="197">
        <v>1</v>
      </c>
      <c r="L825" s="708"/>
      <c r="Q825" s="708"/>
    </row>
    <row r="826" spans="1:17" s="243" customFormat="1" ht="14.25" hidden="1" customHeight="1" outlineLevel="1">
      <c r="A826" s="687"/>
      <c r="B826" s="299" t="s">
        <v>268</v>
      </c>
      <c r="C826" s="304" t="s">
        <v>798</v>
      </c>
      <c r="D826" s="685" t="s">
        <v>441</v>
      </c>
      <c r="E826" s="306" t="s">
        <v>442</v>
      </c>
      <c r="F826" s="307"/>
      <c r="G826" s="297" t="s">
        <v>799</v>
      </c>
      <c r="H826" s="308" t="str">
        <f t="shared" si="56"/>
        <v>AR-T07-3</v>
      </c>
      <c r="I826" s="661">
        <v>3</v>
      </c>
      <c r="J826" s="197">
        <v>1</v>
      </c>
      <c r="L826" s="708"/>
      <c r="Q826" s="708"/>
    </row>
    <row r="827" spans="1:17" s="243" customFormat="1" ht="14.25" hidden="1" customHeight="1" outlineLevel="1">
      <c r="A827" s="687"/>
      <c r="B827" s="299" t="s">
        <v>268</v>
      </c>
      <c r="C827" s="304" t="s">
        <v>798</v>
      </c>
      <c r="D827" s="685" t="s">
        <v>443</v>
      </c>
      <c r="E827" s="306" t="s">
        <v>444</v>
      </c>
      <c r="F827" s="307"/>
      <c r="G827" s="297" t="s">
        <v>799</v>
      </c>
      <c r="H827" s="308" t="str">
        <f t="shared" si="56"/>
        <v>AR-T07-3</v>
      </c>
      <c r="I827" s="661">
        <v>3</v>
      </c>
      <c r="J827" s="197">
        <v>1</v>
      </c>
      <c r="L827" s="708"/>
      <c r="Q827" s="708"/>
    </row>
    <row r="828" spans="1:17" s="243" customFormat="1" ht="14.25" hidden="1" customHeight="1" outlineLevel="1">
      <c r="A828" s="687"/>
      <c r="B828" s="299" t="s">
        <v>268</v>
      </c>
      <c r="C828" s="304" t="s">
        <v>798</v>
      </c>
      <c r="D828" s="685" t="s">
        <v>445</v>
      </c>
      <c r="E828" s="306" t="s">
        <v>446</v>
      </c>
      <c r="F828" s="307"/>
      <c r="G828" s="297" t="s">
        <v>799</v>
      </c>
      <c r="H828" s="308" t="str">
        <f t="shared" si="56"/>
        <v>AR-T07-3</v>
      </c>
      <c r="I828" s="661">
        <v>3</v>
      </c>
      <c r="J828" s="197">
        <v>1</v>
      </c>
      <c r="L828" s="708"/>
      <c r="Q828" s="708"/>
    </row>
    <row r="829" spans="1:17" s="243" customFormat="1" ht="14.25" hidden="1" customHeight="1" outlineLevel="1">
      <c r="A829" s="687"/>
      <c r="B829" s="299" t="s">
        <v>268</v>
      </c>
      <c r="C829" s="304" t="s">
        <v>798</v>
      </c>
      <c r="D829" s="685" t="s">
        <v>447</v>
      </c>
      <c r="E829" s="306" t="s">
        <v>448</v>
      </c>
      <c r="F829" s="307"/>
      <c r="G829" s="297" t="s">
        <v>799</v>
      </c>
      <c r="H829" s="308" t="str">
        <f t="shared" si="56"/>
        <v>AR-T07-3</v>
      </c>
      <c r="I829" s="661">
        <v>3</v>
      </c>
      <c r="J829" s="197">
        <v>1</v>
      </c>
      <c r="L829" s="708"/>
      <c r="Q829" s="708"/>
    </row>
    <row r="830" spans="1:17" s="243" customFormat="1" ht="14.25" hidden="1" customHeight="1" outlineLevel="1">
      <c r="A830" s="687"/>
      <c r="B830" s="299" t="s">
        <v>268</v>
      </c>
      <c r="C830" s="304" t="s">
        <v>798</v>
      </c>
      <c r="D830" s="685" t="s">
        <v>449</v>
      </c>
      <c r="E830" s="306" t="s">
        <v>450</v>
      </c>
      <c r="F830" s="307"/>
      <c r="G830" s="297" t="s">
        <v>799</v>
      </c>
      <c r="H830" s="308" t="str">
        <f t="shared" si="56"/>
        <v>AR-T07-3</v>
      </c>
      <c r="I830" s="661">
        <v>3</v>
      </c>
      <c r="J830" s="197">
        <v>1</v>
      </c>
      <c r="L830" s="708"/>
      <c r="Q830" s="708"/>
    </row>
    <row r="831" spans="1:17" s="243" customFormat="1" ht="14.25" hidden="1" customHeight="1" outlineLevel="1">
      <c r="A831" s="687"/>
      <c r="B831" s="299" t="s">
        <v>268</v>
      </c>
      <c r="C831" s="304" t="s">
        <v>798</v>
      </c>
      <c r="D831" s="685" t="s">
        <v>451</v>
      </c>
      <c r="E831" s="306" t="s">
        <v>452</v>
      </c>
      <c r="F831" s="307"/>
      <c r="G831" s="297" t="s">
        <v>799</v>
      </c>
      <c r="H831" s="308" t="str">
        <f t="shared" si="56"/>
        <v>AR-T07-3</v>
      </c>
      <c r="I831" s="661">
        <v>3</v>
      </c>
      <c r="J831" s="197">
        <v>1</v>
      </c>
      <c r="L831" s="708"/>
      <c r="Q831" s="708"/>
    </row>
    <row r="832" spans="1:17" s="243" customFormat="1" ht="14.25" hidden="1" customHeight="1" outlineLevel="1">
      <c r="A832" s="687"/>
      <c r="B832" s="299" t="s">
        <v>268</v>
      </c>
      <c r="C832" s="304" t="s">
        <v>798</v>
      </c>
      <c r="D832" s="685" t="s">
        <v>453</v>
      </c>
      <c r="E832" s="306" t="s">
        <v>454</v>
      </c>
      <c r="F832" s="307"/>
      <c r="G832" s="297" t="s">
        <v>799</v>
      </c>
      <c r="H832" s="308" t="str">
        <f t="shared" si="56"/>
        <v>AR-T07-3</v>
      </c>
      <c r="I832" s="661">
        <v>3</v>
      </c>
      <c r="J832" s="197">
        <v>1</v>
      </c>
      <c r="L832" s="708"/>
      <c r="Q832" s="708"/>
    </row>
    <row r="833" spans="1:18" s="243" customFormat="1" ht="14.25" hidden="1" customHeight="1" outlineLevel="1">
      <c r="A833" s="687"/>
      <c r="B833" s="299" t="s">
        <v>268</v>
      </c>
      <c r="C833" s="304" t="s">
        <v>798</v>
      </c>
      <c r="D833" s="685" t="s">
        <v>455</v>
      </c>
      <c r="E833" s="306" t="s">
        <v>456</v>
      </c>
      <c r="F833" s="307"/>
      <c r="G833" s="297" t="s">
        <v>799</v>
      </c>
      <c r="H833" s="308" t="str">
        <f t="shared" si="56"/>
        <v>AR-T07-3</v>
      </c>
      <c r="I833" s="661">
        <v>3</v>
      </c>
      <c r="J833" s="197">
        <v>1</v>
      </c>
      <c r="L833" s="708"/>
      <c r="Q833" s="708"/>
    </row>
    <row r="834" spans="1:18" s="243" customFormat="1" ht="14.25" hidden="1" customHeight="1" outlineLevel="1">
      <c r="A834" s="687"/>
      <c r="B834" s="299" t="s">
        <v>268</v>
      </c>
      <c r="C834" s="304" t="s">
        <v>798</v>
      </c>
      <c r="D834" s="685" t="s">
        <v>457</v>
      </c>
      <c r="E834" s="306" t="s">
        <v>458</v>
      </c>
      <c r="F834" s="307"/>
      <c r="G834" s="297" t="s">
        <v>799</v>
      </c>
      <c r="H834" s="308" t="str">
        <f t="shared" si="56"/>
        <v>AR-T07-3</v>
      </c>
      <c r="I834" s="661">
        <v>3</v>
      </c>
      <c r="J834" s="197">
        <v>1</v>
      </c>
      <c r="L834" s="708"/>
      <c r="Q834" s="708"/>
    </row>
    <row r="835" spans="1:18" s="243" customFormat="1" ht="14.25" hidden="1" customHeight="1" outlineLevel="1">
      <c r="A835" s="687"/>
      <c r="B835" s="299" t="s">
        <v>268</v>
      </c>
      <c r="C835" s="304" t="s">
        <v>798</v>
      </c>
      <c r="D835" s="685" t="s">
        <v>459</v>
      </c>
      <c r="E835" s="306" t="s">
        <v>460</v>
      </c>
      <c r="F835" s="307"/>
      <c r="G835" s="297" t="s">
        <v>799</v>
      </c>
      <c r="H835" s="308" t="str">
        <f t="shared" si="56"/>
        <v>AR-T07-3</v>
      </c>
      <c r="I835" s="661">
        <v>3</v>
      </c>
      <c r="J835" s="197">
        <v>1</v>
      </c>
      <c r="L835" s="708"/>
      <c r="Q835" s="708"/>
    </row>
    <row r="836" spans="1:18" s="243" customFormat="1" ht="3" hidden="1" customHeight="1" outlineLevel="1">
      <c r="A836" s="687"/>
      <c r="B836" s="299"/>
      <c r="C836" s="304"/>
      <c r="D836" s="685"/>
      <c r="E836" s="306" t="s">
        <v>277</v>
      </c>
      <c r="F836" s="307"/>
      <c r="G836" s="297"/>
      <c r="H836" s="308"/>
      <c r="I836" s="661"/>
      <c r="J836" s="240"/>
      <c r="L836" s="708"/>
      <c r="Q836" s="708"/>
    </row>
    <row r="837" spans="1:18" s="233" customFormat="1" ht="13.5" hidden="1" customHeight="1" outlineLevel="1">
      <c r="A837" s="681"/>
      <c r="B837" s="299" t="s">
        <v>815</v>
      </c>
      <c r="C837" s="304"/>
      <c r="D837" s="685"/>
      <c r="E837" s="306"/>
      <c r="F837" s="307"/>
      <c r="G837" s="297"/>
      <c r="H837" s="308"/>
      <c r="I837" s="661"/>
      <c r="J837" s="197"/>
      <c r="L837" s="237"/>
      <c r="Q837" s="237"/>
    </row>
    <row r="838" spans="1:18" s="233" customFormat="1" ht="14.25" hidden="1" customHeight="1" outlineLevel="1">
      <c r="A838" s="681"/>
      <c r="B838" s="299" t="s">
        <v>268</v>
      </c>
      <c r="C838" s="304" t="s">
        <v>798</v>
      </c>
      <c r="D838" s="685" t="s">
        <v>816</v>
      </c>
      <c r="E838" s="306" t="s">
        <v>817</v>
      </c>
      <c r="F838" s="307"/>
      <c r="G838" s="297" t="s">
        <v>799</v>
      </c>
      <c r="H838" s="308" t="str">
        <f>CONCATENATE("AR-",G838,"-",I838)</f>
        <v>AR-T07-7</v>
      </c>
      <c r="I838" s="661">
        <v>7</v>
      </c>
      <c r="J838" s="234">
        <v>1</v>
      </c>
      <c r="L838" s="237"/>
      <c r="Q838" s="237"/>
    </row>
    <row r="839" spans="1:18" s="233" customFormat="1" ht="3" hidden="1" customHeight="1" outlineLevel="1">
      <c r="A839" s="681"/>
      <c r="B839" s="299"/>
      <c r="C839" s="304"/>
      <c r="D839" s="685"/>
      <c r="E839" s="306" t="s">
        <v>277</v>
      </c>
      <c r="F839" s="307"/>
      <c r="G839" s="297"/>
      <c r="H839" s="308"/>
      <c r="I839" s="661"/>
      <c r="J839" s="197"/>
      <c r="L839" s="237"/>
      <c r="Q839" s="237"/>
    </row>
    <row r="840" spans="1:18" s="233" customFormat="1" ht="13.5" hidden="1" customHeight="1" outlineLevel="1">
      <c r="A840" s="681"/>
      <c r="B840" s="299" t="s">
        <v>818</v>
      </c>
      <c r="C840" s="304"/>
      <c r="D840" s="685"/>
      <c r="E840" s="306" t="s">
        <v>277</v>
      </c>
      <c r="F840" s="307"/>
      <c r="G840" s="297"/>
      <c r="H840" s="308"/>
      <c r="I840" s="661"/>
      <c r="J840" s="197"/>
      <c r="L840" s="237"/>
      <c r="Q840" s="237"/>
    </row>
    <row r="841" spans="1:18" s="233" customFormat="1" ht="14.25" hidden="1" customHeight="1" outlineLevel="1">
      <c r="A841" s="681"/>
      <c r="B841" s="299" t="s">
        <v>268</v>
      </c>
      <c r="C841" s="304" t="s">
        <v>798</v>
      </c>
      <c r="D841" s="685" t="s">
        <v>819</v>
      </c>
      <c r="E841" s="306" t="s">
        <v>820</v>
      </c>
      <c r="F841" s="307"/>
      <c r="G841" s="297" t="s">
        <v>799</v>
      </c>
      <c r="H841" s="308" t="str">
        <f>CONCATENATE("AR-",G841,"-",I841)</f>
        <v>AR-T07-7</v>
      </c>
      <c r="I841" s="661">
        <v>7</v>
      </c>
      <c r="J841" s="197">
        <v>1</v>
      </c>
      <c r="L841" s="237"/>
      <c r="Q841" s="237"/>
    </row>
    <row r="842" spans="1:18" s="233" customFormat="1" ht="3" hidden="1" customHeight="1" outlineLevel="1">
      <c r="A842" s="681"/>
      <c r="B842" s="299"/>
      <c r="C842" s="304"/>
      <c r="D842" s="685"/>
      <c r="E842" s="306" t="s">
        <v>277</v>
      </c>
      <c r="F842" s="307"/>
      <c r="G842" s="297"/>
      <c r="H842" s="308"/>
      <c r="I842" s="661"/>
      <c r="J842" s="197"/>
      <c r="L842" s="237"/>
      <c r="Q842" s="237"/>
    </row>
    <row r="843" spans="1:18" s="233" customFormat="1" ht="13.5" hidden="1" customHeight="1" outlineLevel="1">
      <c r="A843" s="681"/>
      <c r="B843" s="299" t="s">
        <v>462</v>
      </c>
      <c r="C843" s="304"/>
      <c r="D843" s="685"/>
      <c r="E843" s="306"/>
      <c r="F843" s="307"/>
      <c r="G843" s="297"/>
      <c r="H843" s="308"/>
      <c r="I843" s="661"/>
      <c r="J843" s="197"/>
      <c r="L843" s="237"/>
      <c r="Q843" s="237"/>
    </row>
    <row r="844" spans="1:18" s="233" customFormat="1" ht="14.25" hidden="1" customHeight="1" outlineLevel="1">
      <c r="A844" s="681"/>
      <c r="B844" s="299" t="s">
        <v>268</v>
      </c>
      <c r="C844" s="304" t="s">
        <v>798</v>
      </c>
      <c r="D844" s="685" t="s">
        <v>463</v>
      </c>
      <c r="E844" s="306" t="s">
        <v>464</v>
      </c>
      <c r="F844" s="307"/>
      <c r="G844" s="297" t="s">
        <v>799</v>
      </c>
      <c r="H844" s="308" t="str">
        <f t="shared" ref="H844:H849" si="57">CONCATENATE("AR-",G844,"-",I844)</f>
        <v>AR-T07-7</v>
      </c>
      <c r="I844" s="661">
        <v>7</v>
      </c>
      <c r="J844" s="234">
        <v>1</v>
      </c>
      <c r="L844" s="237"/>
      <c r="Q844" s="237"/>
    </row>
    <row r="845" spans="1:18" s="233" customFormat="1" ht="14.25" hidden="1" customHeight="1" outlineLevel="1">
      <c r="A845" s="681"/>
      <c r="B845" s="299" t="s">
        <v>268</v>
      </c>
      <c r="C845" s="304" t="s">
        <v>798</v>
      </c>
      <c r="D845" s="685" t="s">
        <v>465</v>
      </c>
      <c r="E845" s="306" t="s">
        <v>466</v>
      </c>
      <c r="F845" s="307"/>
      <c r="G845" s="297" t="s">
        <v>799</v>
      </c>
      <c r="H845" s="308" t="str">
        <f t="shared" si="57"/>
        <v>AR-T07-7</v>
      </c>
      <c r="I845" s="661">
        <v>7</v>
      </c>
      <c r="J845" s="234">
        <v>1</v>
      </c>
      <c r="L845" s="237"/>
      <c r="Q845" s="237"/>
    </row>
    <row r="846" spans="1:18" s="233" customFormat="1" ht="14.25" hidden="1" customHeight="1" outlineLevel="1">
      <c r="A846" s="681"/>
      <c r="B846" s="299" t="s">
        <v>268</v>
      </c>
      <c r="C846" s="304" t="s">
        <v>798</v>
      </c>
      <c r="D846" s="685" t="s">
        <v>467</v>
      </c>
      <c r="E846" s="306" t="s">
        <v>468</v>
      </c>
      <c r="F846" s="307"/>
      <c r="G846" s="297" t="s">
        <v>799</v>
      </c>
      <c r="H846" s="308" t="str">
        <f t="shared" si="57"/>
        <v>AR-T07-7</v>
      </c>
      <c r="I846" s="661">
        <v>7</v>
      </c>
      <c r="J846" s="234">
        <v>1</v>
      </c>
      <c r="L846" s="237"/>
      <c r="Q846" s="237"/>
    </row>
    <row r="847" spans="1:18" s="233" customFormat="1" ht="14.25" hidden="1" customHeight="1" outlineLevel="1">
      <c r="A847" s="681"/>
      <c r="B847" s="299" t="s">
        <v>268</v>
      </c>
      <c r="C847" s="304" t="s">
        <v>798</v>
      </c>
      <c r="D847" s="685" t="s">
        <v>469</v>
      </c>
      <c r="E847" s="306" t="s">
        <v>470</v>
      </c>
      <c r="F847" s="307"/>
      <c r="G847" s="297" t="s">
        <v>799</v>
      </c>
      <c r="H847" s="308" t="str">
        <f t="shared" si="57"/>
        <v>AR-T07-7</v>
      </c>
      <c r="I847" s="661">
        <v>7</v>
      </c>
      <c r="J847" s="234">
        <v>1</v>
      </c>
      <c r="L847" s="237"/>
      <c r="Q847" s="237"/>
    </row>
    <row r="848" spans="1:18" s="233" customFormat="1" ht="14.25" hidden="1" customHeight="1" outlineLevel="1">
      <c r="A848" s="681"/>
      <c r="B848" s="299" t="s">
        <v>268</v>
      </c>
      <c r="C848" s="304" t="s">
        <v>798</v>
      </c>
      <c r="D848" s="685" t="s">
        <v>471</v>
      </c>
      <c r="E848" s="306" t="s">
        <v>472</v>
      </c>
      <c r="F848" s="307"/>
      <c r="G848" s="297" t="s">
        <v>799</v>
      </c>
      <c r="H848" s="308" t="str">
        <f t="shared" si="57"/>
        <v>AR-T07-7</v>
      </c>
      <c r="I848" s="661">
        <v>7</v>
      </c>
      <c r="J848" s="197">
        <v>1</v>
      </c>
      <c r="L848" s="237"/>
      <c r="Q848" s="237"/>
    </row>
    <row r="849" spans="1:21" s="233" customFormat="1" ht="14.25" hidden="1" customHeight="1" outlineLevel="1">
      <c r="A849" s="681"/>
      <c r="B849" s="299" t="s">
        <v>268</v>
      </c>
      <c r="C849" s="304" t="s">
        <v>798</v>
      </c>
      <c r="D849" s="685" t="s">
        <v>473</v>
      </c>
      <c r="E849" s="306" t="s">
        <v>474</v>
      </c>
      <c r="F849" s="307"/>
      <c r="G849" s="297" t="s">
        <v>799</v>
      </c>
      <c r="H849" s="308" t="str">
        <f t="shared" si="57"/>
        <v>AR-T07-7</v>
      </c>
      <c r="I849" s="661">
        <v>7</v>
      </c>
      <c r="J849" s="197">
        <v>1</v>
      </c>
      <c r="L849" s="237"/>
      <c r="Q849" s="237"/>
    </row>
    <row r="850" spans="1:21" s="248" customFormat="1" ht="3" hidden="1" customHeight="1" outlineLevel="1">
      <c r="B850" s="299"/>
      <c r="C850" s="304"/>
      <c r="D850" s="685"/>
      <c r="E850" s="306" t="s">
        <v>277</v>
      </c>
      <c r="F850" s="307"/>
      <c r="G850" s="297"/>
      <c r="H850" s="308"/>
      <c r="I850" s="661"/>
      <c r="J850" s="245"/>
      <c r="L850" s="709"/>
      <c r="Q850" s="709"/>
    </row>
    <row r="851" spans="1:21" s="233" customFormat="1" ht="13.5" hidden="1" customHeight="1" outlineLevel="1">
      <c r="A851" s="681"/>
      <c r="B851" s="299" t="s">
        <v>477</v>
      </c>
      <c r="C851" s="304"/>
      <c r="D851" s="685"/>
      <c r="E851" s="306" t="s">
        <v>277</v>
      </c>
      <c r="F851" s="307"/>
      <c r="G851" s="297"/>
      <c r="H851" s="308"/>
      <c r="I851" s="661"/>
      <c r="J851" s="197"/>
      <c r="L851" s="237"/>
      <c r="Q851" s="237"/>
    </row>
    <row r="852" spans="1:21" s="248" customFormat="1" ht="3" hidden="1" customHeight="1" outlineLevel="1">
      <c r="B852" s="299"/>
      <c r="C852" s="304"/>
      <c r="D852" s="685"/>
      <c r="E852" s="306" t="s">
        <v>277</v>
      </c>
      <c r="F852" s="307"/>
      <c r="G852" s="297"/>
      <c r="H852" s="308"/>
      <c r="I852" s="661"/>
      <c r="J852" s="245"/>
      <c r="L852" s="709"/>
      <c r="Q852" s="709"/>
    </row>
    <row r="853" spans="1:21" s="243" customFormat="1" ht="14.25" hidden="1" customHeight="1" outlineLevel="1">
      <c r="A853" s="687"/>
      <c r="B853" s="299" t="s">
        <v>268</v>
      </c>
      <c r="C853" s="304" t="s">
        <v>798</v>
      </c>
      <c r="D853" s="685" t="s">
        <v>821</v>
      </c>
      <c r="E853" s="306" t="s">
        <v>822</v>
      </c>
      <c r="F853" s="307"/>
      <c r="G853" s="297" t="s">
        <v>799</v>
      </c>
      <c r="H853" s="308" t="str">
        <f>CONCATENATE("AR-",G853,"-",I853)</f>
        <v>AR-T07-9</v>
      </c>
      <c r="I853" s="661">
        <v>9</v>
      </c>
      <c r="J853" s="234">
        <v>1</v>
      </c>
      <c r="L853" s="708"/>
      <c r="Q853" s="708"/>
    </row>
    <row r="854" spans="1:21" s="243" customFormat="1" ht="3" hidden="1" customHeight="1" outlineLevel="1">
      <c r="A854" s="687"/>
      <c r="B854" s="299"/>
      <c r="C854" s="304"/>
      <c r="D854" s="685"/>
      <c r="E854" s="306" t="s">
        <v>277</v>
      </c>
      <c r="F854" s="307"/>
      <c r="G854" s="297"/>
      <c r="H854" s="308"/>
      <c r="I854" s="661"/>
      <c r="J854" s="240"/>
      <c r="K854" s="241"/>
      <c r="L854" s="256"/>
      <c r="M854" s="197"/>
      <c r="N854" s="197"/>
      <c r="O854" s="197"/>
      <c r="P854" s="197"/>
      <c r="Q854" s="242"/>
      <c r="R854" s="197"/>
      <c r="S854" s="197"/>
      <c r="T854" s="197"/>
      <c r="U854" s="197"/>
    </row>
    <row r="855" spans="1:21" s="233" customFormat="1" ht="13.5" hidden="1" customHeight="1" outlineLevel="1">
      <c r="A855" s="681"/>
      <c r="B855" s="299" t="s">
        <v>480</v>
      </c>
      <c r="C855" s="304"/>
      <c r="D855" s="685"/>
      <c r="E855" s="306" t="s">
        <v>277</v>
      </c>
      <c r="F855" s="307"/>
      <c r="G855" s="297"/>
      <c r="H855" s="308"/>
      <c r="I855" s="661"/>
      <c r="J855" s="197"/>
      <c r="K855" s="232"/>
      <c r="L855" s="261"/>
      <c r="M855" s="197"/>
      <c r="N855" s="197"/>
      <c r="O855" s="197"/>
      <c r="P855" s="197"/>
      <c r="Q855" s="234"/>
      <c r="R855" s="197"/>
      <c r="S855" s="197"/>
      <c r="T855" s="197"/>
      <c r="U855" s="197"/>
    </row>
    <row r="856" spans="1:21" s="243" customFormat="1" ht="14.25" hidden="1" customHeight="1" outlineLevel="1">
      <c r="A856" s="687"/>
      <c r="B856" s="299" t="s">
        <v>268</v>
      </c>
      <c r="C856" s="304" t="s">
        <v>798</v>
      </c>
      <c r="D856" s="685">
        <v>7100</v>
      </c>
      <c r="E856" s="306" t="s">
        <v>481</v>
      </c>
      <c r="F856" s="307"/>
      <c r="G856" s="297" t="s">
        <v>799</v>
      </c>
      <c r="H856" s="308" t="str">
        <f t="shared" ref="H856:H865" si="58">CONCATENATE("AR-",G856,"-",I856)</f>
        <v>AR-T07-7</v>
      </c>
      <c r="I856" s="661">
        <v>7</v>
      </c>
      <c r="J856" s="197">
        <v>1</v>
      </c>
      <c r="K856" s="241"/>
      <c r="L856" s="256"/>
      <c r="M856" s="197"/>
      <c r="N856" s="197"/>
      <c r="O856" s="197"/>
      <c r="P856" s="197"/>
      <c r="Q856" s="242"/>
      <c r="R856" s="197"/>
      <c r="S856" s="197"/>
      <c r="T856" s="197"/>
      <c r="U856" s="197"/>
    </row>
    <row r="857" spans="1:21" s="243" customFormat="1" ht="14.25" hidden="1" customHeight="1" outlineLevel="1">
      <c r="A857" s="687"/>
      <c r="B857" s="299" t="s">
        <v>268</v>
      </c>
      <c r="C857" s="304" t="s">
        <v>798</v>
      </c>
      <c r="D857" s="685">
        <v>7200</v>
      </c>
      <c r="E857" s="306" t="s">
        <v>482</v>
      </c>
      <c r="F857" s="307"/>
      <c r="G857" s="297" t="s">
        <v>799</v>
      </c>
      <c r="H857" s="308" t="str">
        <f t="shared" si="58"/>
        <v>AR-T07-7</v>
      </c>
      <c r="I857" s="661">
        <v>7</v>
      </c>
      <c r="J857" s="197">
        <v>1</v>
      </c>
      <c r="K857" s="241"/>
      <c r="L857" s="257"/>
      <c r="M857" s="197"/>
      <c r="N857" s="197"/>
      <c r="O857" s="197"/>
      <c r="P857" s="197"/>
      <c r="Q857" s="242"/>
      <c r="R857" s="197"/>
      <c r="S857" s="197"/>
      <c r="T857" s="197"/>
      <c r="U857" s="197"/>
    </row>
    <row r="858" spans="1:21" s="243" customFormat="1" ht="14.25" hidden="1" customHeight="1" outlineLevel="1">
      <c r="A858" s="687"/>
      <c r="B858" s="299" t="s">
        <v>268</v>
      </c>
      <c r="C858" s="304" t="s">
        <v>798</v>
      </c>
      <c r="D858" s="685">
        <v>7300</v>
      </c>
      <c r="E858" s="306" t="s">
        <v>483</v>
      </c>
      <c r="F858" s="307"/>
      <c r="G858" s="297" t="s">
        <v>799</v>
      </c>
      <c r="H858" s="308" t="str">
        <f t="shared" si="58"/>
        <v>AR-T07-7</v>
      </c>
      <c r="I858" s="661">
        <v>7</v>
      </c>
      <c r="J858" s="197">
        <v>1</v>
      </c>
      <c r="K858" s="241"/>
      <c r="L858" s="257"/>
      <c r="M858" s="197"/>
      <c r="N858" s="197"/>
      <c r="O858" s="197"/>
      <c r="P858" s="197"/>
      <c r="Q858" s="242"/>
      <c r="R858" s="197"/>
      <c r="S858" s="197"/>
      <c r="T858" s="197"/>
      <c r="U858" s="197"/>
    </row>
    <row r="859" spans="1:21" s="243" customFormat="1" ht="14.25" hidden="1" customHeight="1" outlineLevel="1">
      <c r="A859" s="687"/>
      <c r="B859" s="299" t="s">
        <v>268</v>
      </c>
      <c r="C859" s="304" t="s">
        <v>798</v>
      </c>
      <c r="D859" s="685">
        <v>7400</v>
      </c>
      <c r="E859" s="306" t="s">
        <v>484</v>
      </c>
      <c r="F859" s="307"/>
      <c r="G859" s="297" t="s">
        <v>799</v>
      </c>
      <c r="H859" s="308" t="str">
        <f t="shared" si="58"/>
        <v>AR-T07-7</v>
      </c>
      <c r="I859" s="661">
        <v>7</v>
      </c>
      <c r="J859" s="197">
        <v>1</v>
      </c>
      <c r="K859" s="241"/>
      <c r="L859" s="257"/>
      <c r="M859" s="197"/>
      <c r="N859" s="197"/>
      <c r="O859" s="197"/>
      <c r="P859" s="197"/>
      <c r="Q859" s="242"/>
      <c r="R859" s="197"/>
      <c r="S859" s="197"/>
      <c r="T859" s="197"/>
      <c r="U859" s="197"/>
    </row>
    <row r="860" spans="1:21" s="243" customFormat="1" ht="14.25" hidden="1" customHeight="1" outlineLevel="1">
      <c r="A860" s="687"/>
      <c r="B860" s="299" t="s">
        <v>268</v>
      </c>
      <c r="C860" s="304" t="s">
        <v>798</v>
      </c>
      <c r="D860" s="685">
        <v>7450</v>
      </c>
      <c r="E860" s="306" t="s">
        <v>485</v>
      </c>
      <c r="F860" s="307"/>
      <c r="G860" s="297" t="s">
        <v>799</v>
      </c>
      <c r="H860" s="308" t="str">
        <f t="shared" si="58"/>
        <v>AR-T07-7</v>
      </c>
      <c r="I860" s="661">
        <v>7</v>
      </c>
      <c r="J860" s="197">
        <v>1</v>
      </c>
      <c r="K860" s="241"/>
      <c r="L860" s="257"/>
      <c r="M860" s="197"/>
      <c r="N860" s="197"/>
      <c r="O860" s="197"/>
      <c r="P860" s="197"/>
      <c r="Q860" s="242"/>
      <c r="R860" s="197"/>
      <c r="S860" s="197"/>
      <c r="T860" s="197"/>
      <c r="U860" s="197"/>
    </row>
    <row r="861" spans="1:21" s="243" customFormat="1" ht="14.25" hidden="1" customHeight="1" outlineLevel="1">
      <c r="A861" s="682"/>
      <c r="B861" s="299" t="s">
        <v>268</v>
      </c>
      <c r="C861" s="304" t="s">
        <v>798</v>
      </c>
      <c r="D861" s="685" t="s">
        <v>823</v>
      </c>
      <c r="E861" s="306" t="s">
        <v>824</v>
      </c>
      <c r="F861" s="307"/>
      <c r="G861" s="297" t="s">
        <v>799</v>
      </c>
      <c r="H861" s="308" t="str">
        <f t="shared" si="58"/>
        <v>AR-T07-1</v>
      </c>
      <c r="I861" s="661">
        <v>1</v>
      </c>
      <c r="J861" s="197">
        <v>1</v>
      </c>
      <c r="K861" s="241"/>
      <c r="L861" s="242"/>
      <c r="M861" s="197"/>
      <c r="N861" s="197"/>
      <c r="O861" s="197"/>
      <c r="P861" s="197"/>
      <c r="Q861" s="242"/>
      <c r="R861" s="197"/>
      <c r="S861" s="197"/>
      <c r="T861" s="197"/>
      <c r="U861" s="197"/>
    </row>
    <row r="862" spans="1:21" s="243" customFormat="1" ht="14.25" hidden="1" customHeight="1" outlineLevel="1">
      <c r="A862" s="682"/>
      <c r="B862" s="299" t="s">
        <v>268</v>
      </c>
      <c r="C862" s="304" t="s">
        <v>798</v>
      </c>
      <c r="D862" s="685" t="s">
        <v>387</v>
      </c>
      <c r="E862" s="306" t="s">
        <v>825</v>
      </c>
      <c r="F862" s="307"/>
      <c r="G862" s="297" t="s">
        <v>799</v>
      </c>
      <c r="H862" s="308" t="str">
        <f t="shared" si="58"/>
        <v>AR-T07-1</v>
      </c>
      <c r="I862" s="661">
        <v>1</v>
      </c>
      <c r="J862" s="197">
        <v>1</v>
      </c>
      <c r="K862" s="241"/>
      <c r="L862" s="242"/>
      <c r="M862" s="197"/>
      <c r="N862" s="197"/>
      <c r="O862" s="197"/>
      <c r="P862" s="197"/>
      <c r="Q862" s="242"/>
      <c r="R862" s="197"/>
      <c r="S862" s="197"/>
      <c r="T862" s="197"/>
      <c r="U862" s="197"/>
    </row>
    <row r="863" spans="1:21" s="243" customFormat="1" ht="14.25" hidden="1" customHeight="1" outlineLevel="1">
      <c r="A863" s="682"/>
      <c r="B863" s="299" t="s">
        <v>268</v>
      </c>
      <c r="C863" s="304" t="s">
        <v>798</v>
      </c>
      <c r="D863" s="685" t="s">
        <v>283</v>
      </c>
      <c r="E863" s="306" t="s">
        <v>826</v>
      </c>
      <c r="F863" s="307"/>
      <c r="G863" s="297" t="s">
        <v>799</v>
      </c>
      <c r="H863" s="308" t="str">
        <f t="shared" si="58"/>
        <v>AR-T07-3</v>
      </c>
      <c r="I863" s="661">
        <v>3</v>
      </c>
      <c r="J863" s="197">
        <v>1</v>
      </c>
      <c r="K863" s="241"/>
      <c r="L863" s="242"/>
      <c r="M863" s="197"/>
      <c r="N863" s="197"/>
      <c r="O863" s="197"/>
      <c r="P863" s="197"/>
      <c r="Q863" s="242"/>
      <c r="R863" s="197"/>
      <c r="S863" s="197"/>
      <c r="T863" s="197"/>
      <c r="U863" s="197"/>
    </row>
    <row r="864" spans="1:21" s="243" customFormat="1" ht="14.25" hidden="1" customHeight="1" outlineLevel="1">
      <c r="A864" s="682"/>
      <c r="B864" s="299" t="s">
        <v>268</v>
      </c>
      <c r="C864" s="304" t="s">
        <v>798</v>
      </c>
      <c r="D864" s="685" t="s">
        <v>390</v>
      </c>
      <c r="E864" s="306" t="s">
        <v>827</v>
      </c>
      <c r="F864" s="307"/>
      <c r="G864" s="297" t="s">
        <v>799</v>
      </c>
      <c r="H864" s="308" t="str">
        <f t="shared" si="58"/>
        <v>AR-T07-2</v>
      </c>
      <c r="I864" s="661">
        <v>2</v>
      </c>
      <c r="J864" s="197">
        <v>1</v>
      </c>
      <c r="K864" s="241"/>
      <c r="L864" s="242"/>
      <c r="M864" s="197"/>
      <c r="N864" s="197"/>
      <c r="O864" s="197"/>
      <c r="P864" s="197"/>
      <c r="Q864" s="242"/>
      <c r="R864" s="197"/>
      <c r="S864" s="197"/>
      <c r="T864" s="197"/>
      <c r="U864" s="197"/>
    </row>
    <row r="865" spans="1:21" s="248" customFormat="1" ht="15" hidden="1" customHeight="1" outlineLevel="1">
      <c r="A865" s="678"/>
      <c r="B865" s="299" t="s">
        <v>268</v>
      </c>
      <c r="C865" s="304" t="s">
        <v>550</v>
      </c>
      <c r="D865" s="685" t="s">
        <v>823</v>
      </c>
      <c r="E865" s="306" t="s">
        <v>824</v>
      </c>
      <c r="F865" s="307"/>
      <c r="G865" s="297" t="s">
        <v>799</v>
      </c>
      <c r="H865" s="308" t="str">
        <f t="shared" si="58"/>
        <v>AR-T07-1</v>
      </c>
      <c r="I865" s="661">
        <v>1</v>
      </c>
      <c r="J865" s="197">
        <v>1</v>
      </c>
      <c r="K865" s="246"/>
      <c r="L865" s="247"/>
      <c r="M865" s="197"/>
      <c r="N865" s="197"/>
      <c r="O865" s="197"/>
      <c r="P865" s="197"/>
      <c r="Q865" s="247"/>
      <c r="R865" s="197"/>
      <c r="S865" s="197"/>
      <c r="T865" s="197"/>
      <c r="U865" s="197"/>
    </row>
    <row r="866" spans="1:21" s="233" customFormat="1" ht="3" customHeight="1">
      <c r="A866" s="678"/>
      <c r="B866" s="299"/>
      <c r="C866" s="304"/>
      <c r="D866" s="685"/>
      <c r="E866" s="306" t="s">
        <v>277</v>
      </c>
      <c r="F866" s="307"/>
      <c r="G866" s="297"/>
      <c r="H866" s="308"/>
      <c r="I866" s="661"/>
      <c r="J866" s="197"/>
      <c r="K866" s="232"/>
      <c r="L866" s="234"/>
      <c r="M866" s="197"/>
      <c r="N866" s="197"/>
      <c r="O866" s="197"/>
      <c r="P866" s="197"/>
      <c r="Q866" s="234"/>
      <c r="R866" s="197"/>
      <c r="S866" s="197"/>
      <c r="T866" s="197"/>
      <c r="U866" s="197"/>
    </row>
    <row r="867" spans="1:21" s="233" customFormat="1" ht="14.25" customHeight="1" collapsed="1">
      <c r="A867" s="382" t="s">
        <v>828</v>
      </c>
      <c r="B867" s="675"/>
      <c r="C867" s="676"/>
      <c r="D867" s="677"/>
      <c r="E867" s="676" t="s">
        <v>277</v>
      </c>
      <c r="F867" s="307"/>
      <c r="G867" s="297"/>
      <c r="H867" s="308"/>
      <c r="I867" s="665"/>
      <c r="J867" s="197"/>
      <c r="K867" s="232"/>
      <c r="L867" s="230">
        <f>SUM(L868:L939)</f>
        <v>0</v>
      </c>
      <c r="M867" s="188"/>
      <c r="N867" s="188"/>
      <c r="O867" s="188">
        <f t="shared" ref="O867:U867" si="59">SUM(O868:O939)</f>
        <v>0</v>
      </c>
      <c r="P867" s="188">
        <f t="shared" si="59"/>
        <v>0</v>
      </c>
      <c r="Q867" s="230">
        <f t="shared" si="59"/>
        <v>0</v>
      </c>
      <c r="R867" s="188">
        <f t="shared" si="59"/>
        <v>0</v>
      </c>
      <c r="S867" s="188">
        <f t="shared" si="59"/>
        <v>0</v>
      </c>
      <c r="T867" s="188">
        <f t="shared" si="59"/>
        <v>0</v>
      </c>
      <c r="U867" s="188">
        <f t="shared" si="59"/>
        <v>0</v>
      </c>
    </row>
    <row r="868" spans="1:21" s="233" customFormat="1" ht="3" hidden="1" customHeight="1" outlineLevel="1">
      <c r="A868" s="678"/>
      <c r="B868" s="299"/>
      <c r="C868" s="304"/>
      <c r="D868" s="685"/>
      <c r="E868" s="306" t="s">
        <v>277</v>
      </c>
      <c r="F868" s="307"/>
      <c r="G868" s="297"/>
      <c r="H868" s="308"/>
      <c r="I868" s="661"/>
      <c r="J868" s="197"/>
      <c r="K868" s="232"/>
      <c r="L868" s="234"/>
      <c r="M868" s="197"/>
      <c r="N868" s="197"/>
      <c r="O868" s="197"/>
      <c r="P868" s="197"/>
      <c r="Q868" s="234"/>
      <c r="R868" s="197"/>
      <c r="S868" s="197"/>
      <c r="T868" s="197"/>
      <c r="U868" s="197"/>
    </row>
    <row r="869" spans="1:21" s="233" customFormat="1" ht="13.5" hidden="1" customHeight="1" outlineLevel="1">
      <c r="A869" s="681"/>
      <c r="B869" s="299" t="s">
        <v>829</v>
      </c>
      <c r="C869" s="304"/>
      <c r="D869" s="685"/>
      <c r="E869" s="306" t="s">
        <v>277</v>
      </c>
      <c r="F869" s="307"/>
      <c r="G869" s="297"/>
      <c r="H869" s="308"/>
      <c r="I869" s="661"/>
      <c r="J869" s="197"/>
      <c r="K869" s="232"/>
      <c r="L869" s="234"/>
      <c r="M869" s="197"/>
      <c r="N869" s="197"/>
      <c r="O869" s="197"/>
      <c r="P869" s="197"/>
      <c r="Q869" s="234"/>
      <c r="R869" s="197"/>
      <c r="S869" s="197"/>
      <c r="T869" s="197"/>
      <c r="U869" s="197"/>
    </row>
    <row r="870" spans="1:21" s="233" customFormat="1" ht="13.5" hidden="1" outlineLevel="1">
      <c r="A870" s="681"/>
      <c r="B870" s="299" t="s">
        <v>268</v>
      </c>
      <c r="C870" s="304" t="s">
        <v>830</v>
      </c>
      <c r="D870" s="685" t="s">
        <v>273</v>
      </c>
      <c r="E870" s="306" t="s">
        <v>831</v>
      </c>
      <c r="F870" s="307"/>
      <c r="G870" s="297" t="s">
        <v>832</v>
      </c>
      <c r="H870" s="308" t="str">
        <f>CONCATENATE("AR-",G870,"-",I870)</f>
        <v>AR-VC1-1</v>
      </c>
      <c r="I870" s="661">
        <v>1</v>
      </c>
      <c r="J870" s="197">
        <v>1</v>
      </c>
      <c r="L870" s="237"/>
      <c r="Q870" s="237"/>
    </row>
    <row r="871" spans="1:21" s="233" customFormat="1" ht="13.5" hidden="1" outlineLevel="1">
      <c r="A871" s="681"/>
      <c r="B871" s="299" t="s">
        <v>268</v>
      </c>
      <c r="C871" s="304" t="s">
        <v>830</v>
      </c>
      <c r="D871" s="685" t="s">
        <v>275</v>
      </c>
      <c r="E871" s="306" t="s">
        <v>833</v>
      </c>
      <c r="F871" s="307"/>
      <c r="G871" s="297" t="s">
        <v>832</v>
      </c>
      <c r="H871" s="308" t="str">
        <f>CONCATENATE("AR-",G871,"-",I871)</f>
        <v>AR-VC1-1</v>
      </c>
      <c r="I871" s="661">
        <v>1</v>
      </c>
      <c r="J871" s="197">
        <v>1</v>
      </c>
      <c r="L871" s="237"/>
      <c r="Q871" s="237"/>
    </row>
    <row r="872" spans="1:21" s="233" customFormat="1" ht="13.5" hidden="1" outlineLevel="1">
      <c r="A872" s="681"/>
      <c r="B872" s="299" t="s">
        <v>268</v>
      </c>
      <c r="C872" s="304" t="s">
        <v>830</v>
      </c>
      <c r="D872" s="685" t="s">
        <v>834</v>
      </c>
      <c r="E872" s="306" t="s">
        <v>835</v>
      </c>
      <c r="F872" s="307"/>
      <c r="G872" s="297" t="s">
        <v>832</v>
      </c>
      <c r="H872" s="308" t="str">
        <f>CONCATENATE("AR-",G872,"-",I872)</f>
        <v>AR-VC1-1</v>
      </c>
      <c r="I872" s="661">
        <v>1</v>
      </c>
      <c r="J872" s="197">
        <v>1</v>
      </c>
      <c r="L872" s="237"/>
      <c r="Q872" s="237"/>
    </row>
    <row r="873" spans="1:21" s="233" customFormat="1" ht="3" hidden="1" customHeight="1" outlineLevel="1">
      <c r="A873" s="681"/>
      <c r="B873" s="299"/>
      <c r="C873" s="304"/>
      <c r="D873" s="685"/>
      <c r="E873" s="306" t="s">
        <v>277</v>
      </c>
      <c r="F873" s="307"/>
      <c r="G873" s="297"/>
      <c r="H873" s="308"/>
      <c r="I873" s="661"/>
      <c r="J873" s="197"/>
      <c r="L873" s="237"/>
      <c r="Q873" s="237"/>
    </row>
    <row r="874" spans="1:21" s="233" customFormat="1" ht="13.5" hidden="1" customHeight="1" outlineLevel="1">
      <c r="A874" s="681"/>
      <c r="B874" s="299" t="s">
        <v>836</v>
      </c>
      <c r="C874" s="304"/>
      <c r="D874" s="685"/>
      <c r="E874" s="306" t="s">
        <v>277</v>
      </c>
      <c r="F874" s="307"/>
      <c r="G874" s="297"/>
      <c r="H874" s="308"/>
      <c r="I874" s="661"/>
      <c r="J874" s="197"/>
      <c r="L874" s="237"/>
      <c r="Q874" s="237"/>
    </row>
    <row r="875" spans="1:21" s="233" customFormat="1" ht="13.5" hidden="1" outlineLevel="1">
      <c r="A875" s="681"/>
      <c r="B875" s="299" t="s">
        <v>268</v>
      </c>
      <c r="C875" s="304" t="s">
        <v>830</v>
      </c>
      <c r="D875" s="685" t="s">
        <v>344</v>
      </c>
      <c r="E875" s="306" t="s">
        <v>837</v>
      </c>
      <c r="F875" s="307"/>
      <c r="G875" s="297" t="s">
        <v>832</v>
      </c>
      <c r="H875" s="308" t="str">
        <f t="shared" ref="H875:H886" si="60">CONCATENATE("AR-",G875,"-",I875)</f>
        <v>AR-VC1-1</v>
      </c>
      <c r="I875" s="661">
        <v>1</v>
      </c>
      <c r="J875" s="197">
        <v>1</v>
      </c>
      <c r="L875" s="237"/>
      <c r="Q875" s="237"/>
    </row>
    <row r="876" spans="1:21" s="233" customFormat="1" ht="13.5" hidden="1" outlineLevel="1">
      <c r="A876" s="681"/>
      <c r="B876" s="299" t="s">
        <v>268</v>
      </c>
      <c r="C876" s="304" t="s">
        <v>830</v>
      </c>
      <c r="D876" s="685" t="s">
        <v>344</v>
      </c>
      <c r="E876" s="306" t="s">
        <v>838</v>
      </c>
      <c r="F876" s="307"/>
      <c r="G876" s="297" t="s">
        <v>832</v>
      </c>
      <c r="H876" s="308" t="str">
        <f t="shared" si="60"/>
        <v>AR-VC1-1</v>
      </c>
      <c r="I876" s="661">
        <v>1</v>
      </c>
      <c r="J876" s="197">
        <v>1</v>
      </c>
      <c r="L876" s="237"/>
      <c r="Q876" s="237"/>
    </row>
    <row r="877" spans="1:21" s="233" customFormat="1" ht="13.5" hidden="1" outlineLevel="1">
      <c r="A877" s="681"/>
      <c r="B877" s="299" t="s">
        <v>268</v>
      </c>
      <c r="C877" s="304" t="s">
        <v>839</v>
      </c>
      <c r="D877" s="685" t="s">
        <v>840</v>
      </c>
      <c r="E877" s="306" t="s">
        <v>841</v>
      </c>
      <c r="F877" s="307"/>
      <c r="G877" s="297" t="s">
        <v>832</v>
      </c>
      <c r="H877" s="308" t="str">
        <f t="shared" si="60"/>
        <v>AR-VC1-1</v>
      </c>
      <c r="I877" s="661">
        <v>1</v>
      </c>
      <c r="J877" s="197">
        <v>1</v>
      </c>
      <c r="L877" s="237"/>
      <c r="Q877" s="237"/>
    </row>
    <row r="878" spans="1:21" s="233" customFormat="1" ht="13.5" hidden="1" outlineLevel="1">
      <c r="A878" s="681"/>
      <c r="B878" s="299" t="s">
        <v>268</v>
      </c>
      <c r="C878" s="304" t="s">
        <v>842</v>
      </c>
      <c r="D878" s="685" t="s">
        <v>840</v>
      </c>
      <c r="E878" s="306" t="s">
        <v>843</v>
      </c>
      <c r="F878" s="307"/>
      <c r="G878" s="297" t="s">
        <v>832</v>
      </c>
      <c r="H878" s="308" t="str">
        <f t="shared" si="60"/>
        <v>AR-VC1-1</v>
      </c>
      <c r="I878" s="661">
        <v>1</v>
      </c>
      <c r="J878" s="197">
        <v>1</v>
      </c>
      <c r="L878" s="237"/>
      <c r="Q878" s="237"/>
    </row>
    <row r="879" spans="1:21" s="233" customFormat="1" ht="13.5" hidden="1" outlineLevel="1">
      <c r="A879" s="681"/>
      <c r="B879" s="299" t="s">
        <v>268</v>
      </c>
      <c r="C879" s="304" t="s">
        <v>844</v>
      </c>
      <c r="D879" s="685" t="s">
        <v>840</v>
      </c>
      <c r="E879" s="306" t="s">
        <v>845</v>
      </c>
      <c r="F879" s="307"/>
      <c r="G879" s="297" t="s">
        <v>832</v>
      </c>
      <c r="H879" s="308" t="str">
        <f t="shared" si="60"/>
        <v>AR-VC1-1</v>
      </c>
      <c r="I879" s="661">
        <v>1</v>
      </c>
      <c r="J879" s="197">
        <v>1</v>
      </c>
      <c r="L879" s="237"/>
      <c r="Q879" s="237"/>
    </row>
    <row r="880" spans="1:21" s="233" customFormat="1" ht="13.5" hidden="1" outlineLevel="1">
      <c r="A880" s="681"/>
      <c r="B880" s="299" t="s">
        <v>268</v>
      </c>
      <c r="C880" s="304" t="s">
        <v>846</v>
      </c>
      <c r="D880" s="685" t="s">
        <v>840</v>
      </c>
      <c r="E880" s="306" t="s">
        <v>847</v>
      </c>
      <c r="F880" s="307"/>
      <c r="G880" s="297" t="s">
        <v>832</v>
      </c>
      <c r="H880" s="308" t="str">
        <f t="shared" si="60"/>
        <v>AR-VC1-1</v>
      </c>
      <c r="I880" s="661">
        <v>1</v>
      </c>
      <c r="J880" s="197">
        <v>1</v>
      </c>
      <c r="L880" s="237"/>
      <c r="Q880" s="237"/>
    </row>
    <row r="881" spans="1:17" s="233" customFormat="1" ht="13.5" hidden="1" outlineLevel="1">
      <c r="A881" s="681"/>
      <c r="B881" s="299" t="s">
        <v>268</v>
      </c>
      <c r="C881" s="304" t="s">
        <v>848</v>
      </c>
      <c r="D881" s="685" t="s">
        <v>840</v>
      </c>
      <c r="E881" s="306" t="s">
        <v>849</v>
      </c>
      <c r="F881" s="307"/>
      <c r="G881" s="297" t="s">
        <v>832</v>
      </c>
      <c r="H881" s="308" t="str">
        <f t="shared" si="60"/>
        <v>AR-VC1-1</v>
      </c>
      <c r="I881" s="661">
        <v>1</v>
      </c>
      <c r="J881" s="197">
        <v>1</v>
      </c>
      <c r="L881" s="237"/>
      <c r="Q881" s="237"/>
    </row>
    <row r="882" spans="1:17" s="233" customFormat="1" ht="13.5" hidden="1" outlineLevel="1">
      <c r="A882" s="681"/>
      <c r="B882" s="299" t="s">
        <v>268</v>
      </c>
      <c r="C882" s="304" t="s">
        <v>839</v>
      </c>
      <c r="D882" s="685" t="s">
        <v>850</v>
      </c>
      <c r="E882" s="306" t="s">
        <v>851</v>
      </c>
      <c r="F882" s="307"/>
      <c r="G882" s="297" t="s">
        <v>832</v>
      </c>
      <c r="H882" s="308" t="str">
        <f t="shared" si="60"/>
        <v>AR-VC1-1</v>
      </c>
      <c r="I882" s="661">
        <v>1</v>
      </c>
      <c r="J882" s="197">
        <v>1</v>
      </c>
      <c r="L882" s="237"/>
      <c r="Q882" s="237"/>
    </row>
    <row r="883" spans="1:17" s="233" customFormat="1" ht="13.5" hidden="1" outlineLevel="1">
      <c r="A883" s="681"/>
      <c r="B883" s="299" t="s">
        <v>268</v>
      </c>
      <c r="C883" s="304" t="s">
        <v>842</v>
      </c>
      <c r="D883" s="685" t="s">
        <v>850</v>
      </c>
      <c r="E883" s="306" t="s">
        <v>852</v>
      </c>
      <c r="F883" s="307"/>
      <c r="G883" s="297" t="s">
        <v>832</v>
      </c>
      <c r="H883" s="308" t="str">
        <f t="shared" si="60"/>
        <v>AR-VC1-1</v>
      </c>
      <c r="I883" s="661">
        <v>1</v>
      </c>
      <c r="J883" s="197">
        <v>1</v>
      </c>
      <c r="L883" s="237"/>
      <c r="Q883" s="237"/>
    </row>
    <row r="884" spans="1:17" s="233" customFormat="1" ht="13.5" hidden="1" outlineLevel="1">
      <c r="A884" s="681"/>
      <c r="B884" s="299" t="s">
        <v>268</v>
      </c>
      <c r="C884" s="304" t="s">
        <v>844</v>
      </c>
      <c r="D884" s="685" t="s">
        <v>850</v>
      </c>
      <c r="E884" s="306" t="s">
        <v>853</v>
      </c>
      <c r="F884" s="307"/>
      <c r="G884" s="297" t="s">
        <v>832</v>
      </c>
      <c r="H884" s="308" t="str">
        <f t="shared" si="60"/>
        <v>AR-VC1-1</v>
      </c>
      <c r="I884" s="661">
        <v>1</v>
      </c>
      <c r="J884" s="197">
        <v>1</v>
      </c>
      <c r="L884" s="237"/>
      <c r="Q884" s="237"/>
    </row>
    <row r="885" spans="1:17" s="233" customFormat="1" ht="13.5" hidden="1" outlineLevel="1">
      <c r="A885" s="681"/>
      <c r="B885" s="299" t="s">
        <v>268</v>
      </c>
      <c r="C885" s="304" t="s">
        <v>854</v>
      </c>
      <c r="D885" s="685" t="s">
        <v>850</v>
      </c>
      <c r="E885" s="306" t="s">
        <v>855</v>
      </c>
      <c r="F885" s="307"/>
      <c r="G885" s="297" t="s">
        <v>832</v>
      </c>
      <c r="H885" s="308" t="str">
        <f t="shared" si="60"/>
        <v>AR-VC1-1</v>
      </c>
      <c r="I885" s="661">
        <v>1</v>
      </c>
      <c r="J885" s="197">
        <v>1</v>
      </c>
      <c r="L885" s="237"/>
      <c r="Q885" s="237"/>
    </row>
    <row r="886" spans="1:17" s="233" customFormat="1" ht="13.5" hidden="1" outlineLevel="1">
      <c r="A886" s="681"/>
      <c r="B886" s="299" t="s">
        <v>268</v>
      </c>
      <c r="C886" s="304" t="s">
        <v>856</v>
      </c>
      <c r="D886" s="685" t="s">
        <v>850</v>
      </c>
      <c r="E886" s="306" t="s">
        <v>857</v>
      </c>
      <c r="F886" s="307"/>
      <c r="G886" s="297" t="s">
        <v>832</v>
      </c>
      <c r="H886" s="308" t="str">
        <f t="shared" si="60"/>
        <v>AR-VC1-1</v>
      </c>
      <c r="I886" s="661">
        <v>1</v>
      </c>
      <c r="J886" s="197">
        <v>1</v>
      </c>
      <c r="L886" s="237"/>
      <c r="Q886" s="237"/>
    </row>
    <row r="887" spans="1:17" s="233" customFormat="1" ht="3" hidden="1" customHeight="1" outlineLevel="1">
      <c r="A887" s="681"/>
      <c r="B887" s="299"/>
      <c r="C887" s="304"/>
      <c r="D887" s="685"/>
      <c r="E887" s="306" t="s">
        <v>277</v>
      </c>
      <c r="F887" s="307"/>
      <c r="G887" s="297"/>
      <c r="H887" s="308"/>
      <c r="I887" s="661"/>
      <c r="J887" s="197"/>
      <c r="L887" s="237"/>
      <c r="Q887" s="237"/>
    </row>
    <row r="888" spans="1:17" s="233" customFormat="1" ht="13.5" hidden="1" customHeight="1" outlineLevel="1">
      <c r="A888" s="681"/>
      <c r="B888" s="299" t="s">
        <v>858</v>
      </c>
      <c r="C888" s="304"/>
      <c r="D888" s="685"/>
      <c r="E888" s="306" t="s">
        <v>277</v>
      </c>
      <c r="F888" s="307"/>
      <c r="G888" s="297"/>
      <c r="H888" s="308"/>
      <c r="I888" s="661"/>
      <c r="J888" s="197"/>
      <c r="L888" s="237"/>
      <c r="Q888" s="237"/>
    </row>
    <row r="889" spans="1:17" s="233" customFormat="1" ht="13.5" hidden="1" outlineLevel="1">
      <c r="A889" s="681"/>
      <c r="B889" s="299" t="s">
        <v>268</v>
      </c>
      <c r="C889" s="304" t="s">
        <v>839</v>
      </c>
      <c r="D889" s="685" t="s">
        <v>279</v>
      </c>
      <c r="E889" s="306" t="s">
        <v>859</v>
      </c>
      <c r="F889" s="307"/>
      <c r="G889" s="297" t="s">
        <v>832</v>
      </c>
      <c r="H889" s="308" t="str">
        <f>CONCATENATE("AR-",G889,"-",I889)</f>
        <v>AR-VC1-1</v>
      </c>
      <c r="I889" s="661">
        <v>1</v>
      </c>
      <c r="J889" s="197">
        <v>1</v>
      </c>
      <c r="L889" s="237"/>
      <c r="Q889" s="237"/>
    </row>
    <row r="890" spans="1:17" s="233" customFormat="1" ht="13.5" hidden="1" outlineLevel="1">
      <c r="A890" s="681"/>
      <c r="B890" s="299" t="s">
        <v>268</v>
      </c>
      <c r="C890" s="304" t="s">
        <v>842</v>
      </c>
      <c r="D890" s="685" t="s">
        <v>355</v>
      </c>
      <c r="E890" s="306" t="s">
        <v>860</v>
      </c>
      <c r="F890" s="307"/>
      <c r="G890" s="297" t="s">
        <v>832</v>
      </c>
      <c r="H890" s="308" t="str">
        <f>CONCATENATE("AR-",G890,"-",I890)</f>
        <v>AR-VC1-1</v>
      </c>
      <c r="I890" s="661">
        <v>1</v>
      </c>
      <c r="J890" s="197">
        <v>1</v>
      </c>
      <c r="L890" s="237"/>
      <c r="Q890" s="237"/>
    </row>
    <row r="891" spans="1:17" s="233" customFormat="1" ht="3" hidden="1" customHeight="1" outlineLevel="1">
      <c r="A891" s="681"/>
      <c r="B891" s="299"/>
      <c r="C891" s="304"/>
      <c r="D891" s="685"/>
      <c r="E891" s="306" t="s">
        <v>277</v>
      </c>
      <c r="F891" s="307"/>
      <c r="G891" s="297"/>
      <c r="H891" s="308"/>
      <c r="I891" s="661"/>
      <c r="J891" s="197"/>
      <c r="L891" s="237"/>
      <c r="Q891" s="237"/>
    </row>
    <row r="892" spans="1:17" s="233" customFormat="1" ht="13.5" hidden="1" customHeight="1" outlineLevel="1">
      <c r="A892" s="681"/>
      <c r="B892" s="299" t="s">
        <v>861</v>
      </c>
      <c r="C892" s="304"/>
      <c r="D892" s="685"/>
      <c r="E892" s="306" t="s">
        <v>277</v>
      </c>
      <c r="F892" s="307"/>
      <c r="G892" s="297"/>
      <c r="H892" s="308"/>
      <c r="I892" s="661"/>
      <c r="J892" s="197"/>
      <c r="L892" s="237"/>
      <c r="Q892" s="237"/>
    </row>
    <row r="893" spans="1:17" s="233" customFormat="1" ht="13.5" hidden="1" outlineLevel="1">
      <c r="A893" s="681"/>
      <c r="B893" s="299" t="s">
        <v>268</v>
      </c>
      <c r="C893" s="304" t="s">
        <v>830</v>
      </c>
      <c r="D893" s="685" t="s">
        <v>328</v>
      </c>
      <c r="E893" s="306" t="s">
        <v>862</v>
      </c>
      <c r="F893" s="307"/>
      <c r="G893" s="297" t="s">
        <v>832</v>
      </c>
      <c r="H893" s="308" t="str">
        <f>CONCATENATE("AR-",G893,"-",I893)</f>
        <v>AR-VC1-1</v>
      </c>
      <c r="I893" s="661">
        <v>1</v>
      </c>
      <c r="J893" s="197">
        <v>1</v>
      </c>
      <c r="L893" s="237"/>
      <c r="Q893" s="237"/>
    </row>
    <row r="894" spans="1:17" s="233" customFormat="1" ht="3" hidden="1" customHeight="1" outlineLevel="1">
      <c r="A894" s="681"/>
      <c r="B894" s="299"/>
      <c r="C894" s="304"/>
      <c r="D894" s="685"/>
      <c r="E894" s="306" t="s">
        <v>277</v>
      </c>
      <c r="F894" s="307"/>
      <c r="G894" s="297"/>
      <c r="H894" s="308"/>
      <c r="I894" s="661"/>
      <c r="J894" s="197"/>
      <c r="L894" s="237"/>
      <c r="Q894" s="237"/>
    </row>
    <row r="895" spans="1:17" s="233" customFormat="1" ht="13.5" hidden="1" customHeight="1" outlineLevel="1">
      <c r="A895" s="681"/>
      <c r="B895" s="299" t="s">
        <v>863</v>
      </c>
      <c r="C895" s="304"/>
      <c r="D895" s="685"/>
      <c r="E895" s="306" t="s">
        <v>277</v>
      </c>
      <c r="F895" s="307"/>
      <c r="G895" s="297"/>
      <c r="H895" s="308"/>
      <c r="I895" s="661"/>
      <c r="J895" s="197"/>
      <c r="L895" s="237"/>
      <c r="Q895" s="237"/>
    </row>
    <row r="896" spans="1:17" s="233" customFormat="1" ht="13.5" hidden="1" outlineLevel="1">
      <c r="A896" s="681"/>
      <c r="B896" s="299" t="s">
        <v>268</v>
      </c>
      <c r="C896" s="304" t="s">
        <v>830</v>
      </c>
      <c r="D896" s="685" t="s">
        <v>335</v>
      </c>
      <c r="E896" s="306" t="s">
        <v>864</v>
      </c>
      <c r="F896" s="307"/>
      <c r="G896" s="297" t="s">
        <v>832</v>
      </c>
      <c r="H896" s="308" t="str">
        <f>CONCATENATE("AR-",G896,"-",I896)</f>
        <v>AR-VC1-1</v>
      </c>
      <c r="I896" s="661">
        <v>1</v>
      </c>
      <c r="J896" s="197">
        <v>1</v>
      </c>
      <c r="L896" s="237"/>
      <c r="Q896" s="237"/>
    </row>
    <row r="897" spans="1:17" s="233" customFormat="1" ht="13.5" hidden="1" outlineLevel="1">
      <c r="A897" s="681"/>
      <c r="B897" s="299" t="s">
        <v>268</v>
      </c>
      <c r="C897" s="304" t="s">
        <v>830</v>
      </c>
      <c r="D897" s="685" t="s">
        <v>337</v>
      </c>
      <c r="E897" s="306" t="s">
        <v>865</v>
      </c>
      <c r="F897" s="307"/>
      <c r="G897" s="297" t="s">
        <v>832</v>
      </c>
      <c r="H897" s="308" t="str">
        <f>CONCATENATE("AR-",G897,"-",I897)</f>
        <v>AR-VC1-1</v>
      </c>
      <c r="I897" s="661">
        <v>1</v>
      </c>
      <c r="J897" s="197">
        <v>1</v>
      </c>
      <c r="L897" s="237"/>
      <c r="Q897" s="237"/>
    </row>
    <row r="898" spans="1:17" s="233" customFormat="1" ht="3" hidden="1" customHeight="1" outlineLevel="1">
      <c r="A898" s="681"/>
      <c r="B898" s="299"/>
      <c r="C898" s="304"/>
      <c r="D898" s="685"/>
      <c r="E898" s="306" t="s">
        <v>277</v>
      </c>
      <c r="F898" s="307"/>
      <c r="G898" s="297"/>
      <c r="H898" s="308"/>
      <c r="I898" s="661"/>
      <c r="J898" s="197"/>
      <c r="L898" s="237"/>
      <c r="Q898" s="237"/>
    </row>
    <row r="899" spans="1:17" s="233" customFormat="1" ht="13.5" hidden="1" customHeight="1" outlineLevel="1">
      <c r="A899" s="681"/>
      <c r="B899" s="299" t="s">
        <v>866</v>
      </c>
      <c r="C899" s="304"/>
      <c r="D899" s="685"/>
      <c r="E899" s="306" t="s">
        <v>277</v>
      </c>
      <c r="F899" s="307"/>
      <c r="G899" s="297"/>
      <c r="H899" s="308"/>
      <c r="I899" s="661"/>
      <c r="J899" s="197"/>
      <c r="L899" s="237"/>
      <c r="Q899" s="237"/>
    </row>
    <row r="900" spans="1:17" s="233" customFormat="1" ht="13.5" hidden="1" outlineLevel="1">
      <c r="A900" s="681"/>
      <c r="B900" s="299" t="s">
        <v>268</v>
      </c>
      <c r="C900" s="304" t="s">
        <v>830</v>
      </c>
      <c r="D900" s="685" t="s">
        <v>867</v>
      </c>
      <c r="E900" s="306" t="s">
        <v>868</v>
      </c>
      <c r="F900" s="307"/>
      <c r="G900" s="297" t="s">
        <v>832</v>
      </c>
      <c r="H900" s="308" t="str">
        <f>CONCATENATE("AR-",G900,"-",I900)</f>
        <v>AR-VC1-1</v>
      </c>
      <c r="I900" s="661">
        <v>1</v>
      </c>
      <c r="J900" s="197">
        <v>1</v>
      </c>
      <c r="L900" s="237"/>
      <c r="Q900" s="237"/>
    </row>
    <row r="901" spans="1:17" s="233" customFormat="1" ht="13.5" hidden="1" outlineLevel="1">
      <c r="A901" s="681"/>
      <c r="B901" s="299" t="s">
        <v>268</v>
      </c>
      <c r="C901" s="304" t="s">
        <v>830</v>
      </c>
      <c r="D901" s="685" t="s">
        <v>869</v>
      </c>
      <c r="E901" s="306" t="s">
        <v>870</v>
      </c>
      <c r="F901" s="307"/>
      <c r="G901" s="297" t="s">
        <v>832</v>
      </c>
      <c r="H901" s="308" t="str">
        <f>CONCATENATE("AR-",G901,"-",I901)</f>
        <v>AR-VC1-2</v>
      </c>
      <c r="I901" s="661">
        <v>2</v>
      </c>
      <c r="J901" s="197">
        <v>1</v>
      </c>
      <c r="L901" s="237"/>
      <c r="Q901" s="237"/>
    </row>
    <row r="902" spans="1:17" s="233" customFormat="1" ht="13.5" hidden="1" outlineLevel="1">
      <c r="A902" s="681"/>
      <c r="B902" s="299" t="s">
        <v>268</v>
      </c>
      <c r="C902" s="304" t="s">
        <v>830</v>
      </c>
      <c r="D902" s="685" t="s">
        <v>871</v>
      </c>
      <c r="E902" s="306" t="s">
        <v>872</v>
      </c>
      <c r="F902" s="307"/>
      <c r="G902" s="297" t="s">
        <v>832</v>
      </c>
      <c r="H902" s="308" t="str">
        <f>CONCATENATE("AR-",G902,"-",I902)</f>
        <v>AR-VC1-2</v>
      </c>
      <c r="I902" s="661">
        <v>2</v>
      </c>
      <c r="J902" s="197">
        <v>1</v>
      </c>
      <c r="L902" s="237"/>
      <c r="Q902" s="237"/>
    </row>
    <row r="903" spans="1:17" s="233" customFormat="1" ht="13.5" hidden="1" outlineLevel="1">
      <c r="A903" s="681"/>
      <c r="B903" s="299" t="s">
        <v>268</v>
      </c>
      <c r="C903" s="304" t="s">
        <v>830</v>
      </c>
      <c r="D903" s="685" t="s">
        <v>873</v>
      </c>
      <c r="E903" s="306" t="s">
        <v>874</v>
      </c>
      <c r="F903" s="307"/>
      <c r="G903" s="297" t="s">
        <v>832</v>
      </c>
      <c r="H903" s="308" t="str">
        <f>CONCATENATE("AR-",G903,"-",I903)</f>
        <v>AR-VC1-2</v>
      </c>
      <c r="I903" s="661">
        <v>2</v>
      </c>
      <c r="J903" s="197">
        <v>1</v>
      </c>
      <c r="L903" s="237"/>
      <c r="Q903" s="237"/>
    </row>
    <row r="904" spans="1:17" s="233" customFormat="1" ht="3" hidden="1" customHeight="1" outlineLevel="1">
      <c r="A904" s="681"/>
      <c r="B904" s="299"/>
      <c r="C904" s="304"/>
      <c r="D904" s="685"/>
      <c r="E904" s="306" t="s">
        <v>277</v>
      </c>
      <c r="F904" s="307"/>
      <c r="G904" s="297"/>
      <c r="H904" s="308"/>
      <c r="I904" s="661"/>
      <c r="J904" s="197"/>
      <c r="L904" s="237"/>
      <c r="Q904" s="237"/>
    </row>
    <row r="905" spans="1:17" s="233" customFormat="1" ht="13.5" hidden="1" customHeight="1" outlineLevel="1">
      <c r="A905" s="681"/>
      <c r="B905" s="299" t="s">
        <v>875</v>
      </c>
      <c r="C905" s="304"/>
      <c r="D905" s="685"/>
      <c r="E905" s="306" t="s">
        <v>277</v>
      </c>
      <c r="F905" s="307"/>
      <c r="G905" s="297"/>
      <c r="H905" s="308"/>
      <c r="I905" s="661"/>
      <c r="J905" s="197"/>
      <c r="L905" s="237"/>
      <c r="Q905" s="237"/>
    </row>
    <row r="906" spans="1:17" s="233" customFormat="1" ht="13.5" hidden="1" outlineLevel="1">
      <c r="A906" s="681"/>
      <c r="B906" s="299" t="s">
        <v>268</v>
      </c>
      <c r="C906" s="304" t="s">
        <v>876</v>
      </c>
      <c r="D906" s="685" t="s">
        <v>328</v>
      </c>
      <c r="E906" s="306" t="s">
        <v>877</v>
      </c>
      <c r="F906" s="307"/>
      <c r="G906" s="297" t="s">
        <v>832</v>
      </c>
      <c r="H906" s="308" t="str">
        <f>CONCATENATE("AR-",G906,"-",I906)</f>
        <v>AR-VC1-3</v>
      </c>
      <c r="I906" s="661">
        <v>3</v>
      </c>
      <c r="J906" s="197">
        <v>1</v>
      </c>
      <c r="L906" s="237"/>
      <c r="Q906" s="237"/>
    </row>
    <row r="907" spans="1:17" s="233" customFormat="1" ht="13.5" hidden="1" outlineLevel="1">
      <c r="A907" s="681"/>
      <c r="B907" s="299" t="s">
        <v>268</v>
      </c>
      <c r="C907" s="304" t="s">
        <v>878</v>
      </c>
      <c r="D907" s="685" t="s">
        <v>328</v>
      </c>
      <c r="E907" s="306" t="s">
        <v>879</v>
      </c>
      <c r="F907" s="307"/>
      <c r="G907" s="297" t="s">
        <v>832</v>
      </c>
      <c r="H907" s="308" t="str">
        <f>CONCATENATE("AR-",G907,"-",I907)</f>
        <v>AR-VC1-3</v>
      </c>
      <c r="I907" s="661">
        <v>3</v>
      </c>
      <c r="J907" s="197">
        <v>1</v>
      </c>
      <c r="L907" s="237"/>
      <c r="Q907" s="237"/>
    </row>
    <row r="908" spans="1:17" s="233" customFormat="1" ht="13.5" hidden="1" outlineLevel="1">
      <c r="A908" s="681"/>
      <c r="B908" s="299" t="s">
        <v>268</v>
      </c>
      <c r="C908" s="304" t="s">
        <v>878</v>
      </c>
      <c r="D908" s="685" t="s">
        <v>330</v>
      </c>
      <c r="E908" s="306" t="s">
        <v>880</v>
      </c>
      <c r="F908" s="307"/>
      <c r="G908" s="297" t="s">
        <v>832</v>
      </c>
      <c r="H908" s="308" t="str">
        <f>CONCATENATE("AR-",G908,"-",I908)</f>
        <v>AR-VC1-3</v>
      </c>
      <c r="I908" s="661">
        <v>3</v>
      </c>
      <c r="J908" s="197">
        <v>1</v>
      </c>
      <c r="L908" s="237"/>
      <c r="Q908" s="237"/>
    </row>
    <row r="909" spans="1:17" s="233" customFormat="1" ht="13.5" hidden="1" outlineLevel="1">
      <c r="A909" s="681"/>
      <c r="B909" s="299" t="s">
        <v>268</v>
      </c>
      <c r="C909" s="304" t="s">
        <v>878</v>
      </c>
      <c r="D909" s="685" t="s">
        <v>332</v>
      </c>
      <c r="E909" s="306" t="s">
        <v>881</v>
      </c>
      <c r="F909" s="307"/>
      <c r="G909" s="297" t="s">
        <v>832</v>
      </c>
      <c r="H909" s="308" t="str">
        <f>CONCATENATE("AR-",G909,"-",I909)</f>
        <v>AR-VC1-3</v>
      </c>
      <c r="I909" s="661">
        <v>3</v>
      </c>
      <c r="J909" s="197">
        <v>1</v>
      </c>
      <c r="L909" s="237"/>
      <c r="Q909" s="237"/>
    </row>
    <row r="910" spans="1:17" s="233" customFormat="1" ht="13.5" hidden="1" outlineLevel="1">
      <c r="A910" s="681"/>
      <c r="B910" s="299" t="s">
        <v>268</v>
      </c>
      <c r="C910" s="304" t="s">
        <v>878</v>
      </c>
      <c r="D910" s="685" t="s">
        <v>882</v>
      </c>
      <c r="E910" s="306" t="s">
        <v>883</v>
      </c>
      <c r="F910" s="307"/>
      <c r="G910" s="297" t="s">
        <v>832</v>
      </c>
      <c r="H910" s="308" t="str">
        <f>CONCATENATE("AR-",G910,"-",I910)</f>
        <v>AR-VC1-3</v>
      </c>
      <c r="I910" s="661">
        <v>3</v>
      </c>
      <c r="J910" s="197">
        <v>1</v>
      </c>
      <c r="L910" s="237"/>
      <c r="Q910" s="237"/>
    </row>
    <row r="911" spans="1:17" s="233" customFormat="1" ht="3" hidden="1" customHeight="1" outlineLevel="1">
      <c r="A911" s="681"/>
      <c r="B911" s="299"/>
      <c r="C911" s="304"/>
      <c r="D911" s="685"/>
      <c r="E911" s="306" t="s">
        <v>277</v>
      </c>
      <c r="F911" s="307"/>
      <c r="G911" s="297"/>
      <c r="H911" s="308"/>
      <c r="I911" s="661"/>
      <c r="J911" s="197"/>
      <c r="L911" s="237"/>
      <c r="Q911" s="237"/>
    </row>
    <row r="912" spans="1:17" s="259" customFormat="1" ht="15" hidden="1" customHeight="1" outlineLevel="1">
      <c r="B912" s="299" t="s">
        <v>884</v>
      </c>
      <c r="C912" s="304"/>
      <c r="D912" s="685"/>
      <c r="E912" s="306" t="s">
        <v>277</v>
      </c>
      <c r="F912" s="307"/>
      <c r="G912" s="297"/>
      <c r="H912" s="308"/>
      <c r="I912" s="661"/>
      <c r="J912" s="240"/>
      <c r="L912" s="715"/>
      <c r="Q912" s="715"/>
    </row>
    <row r="913" spans="1:17" s="233" customFormat="1" ht="13.5" hidden="1" outlineLevel="1">
      <c r="A913" s="681"/>
      <c r="B913" s="299" t="s">
        <v>268</v>
      </c>
      <c r="C913" s="304" t="s">
        <v>842</v>
      </c>
      <c r="D913" s="685" t="s">
        <v>335</v>
      </c>
      <c r="E913" s="306" t="s">
        <v>885</v>
      </c>
      <c r="F913" s="307"/>
      <c r="G913" s="297" t="s">
        <v>832</v>
      </c>
      <c r="H913" s="308" t="str">
        <f>CONCATENATE("AR-",G913,"-",I913)</f>
        <v>AR-VC1-3</v>
      </c>
      <c r="I913" s="661">
        <v>3</v>
      </c>
      <c r="J913" s="197">
        <v>1</v>
      </c>
      <c r="L913" s="237"/>
      <c r="Q913" s="237"/>
    </row>
    <row r="914" spans="1:17" s="233" customFormat="1" ht="13.5" hidden="1" outlineLevel="1">
      <c r="A914" s="681"/>
      <c r="B914" s="299" t="s">
        <v>268</v>
      </c>
      <c r="C914" s="304" t="s">
        <v>842</v>
      </c>
      <c r="D914" s="685" t="s">
        <v>335</v>
      </c>
      <c r="E914" s="306" t="s">
        <v>886</v>
      </c>
      <c r="F914" s="307"/>
      <c r="G914" s="297" t="s">
        <v>832</v>
      </c>
      <c r="H914" s="308" t="str">
        <f>CONCATENATE("AR-",G914,"-",I914)</f>
        <v>AR-VC1-3</v>
      </c>
      <c r="I914" s="661">
        <v>3</v>
      </c>
      <c r="J914" s="197">
        <v>1</v>
      </c>
      <c r="L914" s="237"/>
      <c r="Q914" s="237"/>
    </row>
    <row r="915" spans="1:17" s="233" customFormat="1" ht="3" hidden="1" customHeight="1" outlineLevel="1">
      <c r="A915" s="681"/>
      <c r="B915" s="299"/>
      <c r="C915" s="304"/>
      <c r="D915" s="685"/>
      <c r="E915" s="306" t="s">
        <v>277</v>
      </c>
      <c r="F915" s="307"/>
      <c r="G915" s="297"/>
      <c r="H915" s="308"/>
      <c r="I915" s="661"/>
      <c r="J915" s="197"/>
      <c r="L915" s="237"/>
      <c r="Q915" s="237"/>
    </row>
    <row r="916" spans="1:17" s="233" customFormat="1" ht="13.5" hidden="1" customHeight="1" outlineLevel="1">
      <c r="A916" s="681"/>
      <c r="B916" s="299" t="s">
        <v>887</v>
      </c>
      <c r="C916" s="304"/>
      <c r="D916" s="685"/>
      <c r="E916" s="306" t="s">
        <v>277</v>
      </c>
      <c r="F916" s="307"/>
      <c r="G916" s="297"/>
      <c r="H916" s="308"/>
      <c r="I916" s="661"/>
      <c r="J916" s="197"/>
      <c r="L916" s="237"/>
      <c r="Q916" s="237"/>
    </row>
    <row r="917" spans="1:17" s="233" customFormat="1" ht="13.5" hidden="1" outlineLevel="1">
      <c r="A917" s="681"/>
      <c r="B917" s="299" t="s">
        <v>268</v>
      </c>
      <c r="C917" s="304" t="s">
        <v>839</v>
      </c>
      <c r="D917" s="685" t="s">
        <v>320</v>
      </c>
      <c r="E917" s="306" t="s">
        <v>888</v>
      </c>
      <c r="F917" s="307"/>
      <c r="G917" s="297" t="s">
        <v>832</v>
      </c>
      <c r="H917" s="308" t="str">
        <f>CONCATENATE("AR-",G917,"-",I917)</f>
        <v>AR-VC1-2</v>
      </c>
      <c r="I917" s="661">
        <v>2</v>
      </c>
      <c r="J917" s="197">
        <v>1</v>
      </c>
      <c r="L917" s="237"/>
      <c r="Q917" s="237"/>
    </row>
    <row r="918" spans="1:17" s="233" customFormat="1" ht="13.5" hidden="1" outlineLevel="1">
      <c r="A918" s="681"/>
      <c r="B918" s="299" t="s">
        <v>268</v>
      </c>
      <c r="C918" s="304" t="s">
        <v>839</v>
      </c>
      <c r="D918" s="685" t="s">
        <v>889</v>
      </c>
      <c r="E918" s="306" t="s">
        <v>890</v>
      </c>
      <c r="F918" s="307"/>
      <c r="G918" s="297" t="s">
        <v>832</v>
      </c>
      <c r="H918" s="308" t="str">
        <f>CONCATENATE("AR-",G918,"-",I918)</f>
        <v>AR-VC1-2</v>
      </c>
      <c r="I918" s="661">
        <v>2</v>
      </c>
      <c r="J918" s="197">
        <v>1</v>
      </c>
      <c r="L918" s="237"/>
      <c r="Q918" s="237"/>
    </row>
    <row r="919" spans="1:17" s="233" customFormat="1" ht="3" hidden="1" customHeight="1" outlineLevel="1">
      <c r="A919" s="681"/>
      <c r="B919" s="299"/>
      <c r="C919" s="304"/>
      <c r="D919" s="685"/>
      <c r="E919" s="306" t="s">
        <v>277</v>
      </c>
      <c r="F919" s="307"/>
      <c r="G919" s="297"/>
      <c r="H919" s="308"/>
      <c r="I919" s="661"/>
      <c r="J919" s="197"/>
      <c r="L919" s="237"/>
      <c r="Q919" s="237"/>
    </row>
    <row r="920" spans="1:17" s="233" customFormat="1" ht="13.5" hidden="1" customHeight="1" outlineLevel="1">
      <c r="A920" s="681"/>
      <c r="B920" s="299" t="s">
        <v>891</v>
      </c>
      <c r="C920" s="304"/>
      <c r="D920" s="685"/>
      <c r="E920" s="306" t="s">
        <v>277</v>
      </c>
      <c r="F920" s="307"/>
      <c r="G920" s="297"/>
      <c r="H920" s="308"/>
      <c r="I920" s="661"/>
      <c r="J920" s="197"/>
      <c r="L920" s="237"/>
      <c r="Q920" s="237"/>
    </row>
    <row r="921" spans="1:17" s="233" customFormat="1" ht="13.5" hidden="1" outlineLevel="1">
      <c r="A921" s="681"/>
      <c r="B921" s="299" t="s">
        <v>268</v>
      </c>
      <c r="C921" s="304" t="s">
        <v>842</v>
      </c>
      <c r="D921" s="685" t="s">
        <v>409</v>
      </c>
      <c r="E921" s="306" t="s">
        <v>892</v>
      </c>
      <c r="F921" s="307"/>
      <c r="G921" s="297" t="s">
        <v>832</v>
      </c>
      <c r="H921" s="308" t="str">
        <f t="shared" ref="H921:H930" si="61">CONCATENATE("AR-",G921,"-",I921)</f>
        <v>AR-VC1-3</v>
      </c>
      <c r="I921" s="661">
        <v>3</v>
      </c>
      <c r="J921" s="197">
        <v>1</v>
      </c>
      <c r="L921" s="237"/>
      <c r="Q921" s="237"/>
    </row>
    <row r="922" spans="1:17" s="233" customFormat="1" ht="13.5" hidden="1" outlineLevel="1">
      <c r="A922" s="681"/>
      <c r="B922" s="299" t="s">
        <v>268</v>
      </c>
      <c r="C922" s="304" t="s">
        <v>842</v>
      </c>
      <c r="D922" s="685" t="s">
        <v>411</v>
      </c>
      <c r="E922" s="306" t="s">
        <v>893</v>
      </c>
      <c r="F922" s="307"/>
      <c r="G922" s="297" t="s">
        <v>832</v>
      </c>
      <c r="H922" s="308" t="str">
        <f t="shared" si="61"/>
        <v>AR-VC1-3</v>
      </c>
      <c r="I922" s="661">
        <v>3</v>
      </c>
      <c r="J922" s="197">
        <v>1</v>
      </c>
      <c r="L922" s="237"/>
      <c r="Q922" s="237"/>
    </row>
    <row r="923" spans="1:17" s="233" customFormat="1" ht="13.5" hidden="1" outlineLevel="1">
      <c r="A923" s="681"/>
      <c r="B923" s="299" t="s">
        <v>268</v>
      </c>
      <c r="C923" s="304" t="s">
        <v>842</v>
      </c>
      <c r="D923" s="685" t="s">
        <v>655</v>
      </c>
      <c r="E923" s="306" t="s">
        <v>894</v>
      </c>
      <c r="F923" s="307"/>
      <c r="G923" s="297" t="s">
        <v>832</v>
      </c>
      <c r="H923" s="308" t="str">
        <f t="shared" si="61"/>
        <v>AR-VC1-3</v>
      </c>
      <c r="I923" s="661">
        <v>3</v>
      </c>
      <c r="J923" s="197">
        <v>1</v>
      </c>
      <c r="L923" s="237"/>
      <c r="Q923" s="237"/>
    </row>
    <row r="924" spans="1:17" s="233" customFormat="1" ht="13.5" hidden="1" outlineLevel="1">
      <c r="A924" s="681"/>
      <c r="B924" s="299" t="s">
        <v>268</v>
      </c>
      <c r="C924" s="304" t="s">
        <v>842</v>
      </c>
      <c r="D924" s="685" t="s">
        <v>895</v>
      </c>
      <c r="E924" s="306" t="s">
        <v>896</v>
      </c>
      <c r="F924" s="307"/>
      <c r="G924" s="297" t="s">
        <v>832</v>
      </c>
      <c r="H924" s="308" t="str">
        <f t="shared" si="61"/>
        <v>AR-VC1-3</v>
      </c>
      <c r="I924" s="661">
        <v>3</v>
      </c>
      <c r="J924" s="197">
        <v>1</v>
      </c>
      <c r="L924" s="237"/>
      <c r="Q924" s="237"/>
    </row>
    <row r="925" spans="1:17" s="233" customFormat="1" ht="13.5" hidden="1" outlineLevel="1">
      <c r="A925" s="681"/>
      <c r="B925" s="299" t="s">
        <v>268</v>
      </c>
      <c r="C925" s="304" t="s">
        <v>842</v>
      </c>
      <c r="D925" s="685" t="s">
        <v>897</v>
      </c>
      <c r="E925" s="306" t="s">
        <v>898</v>
      </c>
      <c r="F925" s="307"/>
      <c r="G925" s="297" t="s">
        <v>832</v>
      </c>
      <c r="H925" s="308" t="str">
        <f t="shared" si="61"/>
        <v>AR-VC1-3</v>
      </c>
      <c r="I925" s="661">
        <v>3</v>
      </c>
      <c r="J925" s="197">
        <v>1</v>
      </c>
      <c r="L925" s="237"/>
      <c r="Q925" s="237"/>
    </row>
    <row r="926" spans="1:17" s="233" customFormat="1" ht="13.5" hidden="1" outlineLevel="1">
      <c r="A926" s="681"/>
      <c r="B926" s="299" t="s">
        <v>268</v>
      </c>
      <c r="C926" s="304" t="s">
        <v>842</v>
      </c>
      <c r="D926" s="685" t="s">
        <v>899</v>
      </c>
      <c r="E926" s="306" t="s">
        <v>900</v>
      </c>
      <c r="F926" s="307"/>
      <c r="G926" s="297" t="s">
        <v>832</v>
      </c>
      <c r="H926" s="308" t="str">
        <f t="shared" si="61"/>
        <v>AR-VC1-3</v>
      </c>
      <c r="I926" s="661">
        <v>3</v>
      </c>
      <c r="J926" s="197">
        <v>1</v>
      </c>
      <c r="L926" s="237"/>
      <c r="Q926" s="237"/>
    </row>
    <row r="927" spans="1:17" s="233" customFormat="1" ht="13.5" hidden="1" outlineLevel="1">
      <c r="A927" s="681"/>
      <c r="B927" s="299" t="s">
        <v>268</v>
      </c>
      <c r="C927" s="304" t="s">
        <v>842</v>
      </c>
      <c r="D927" s="685" t="s">
        <v>901</v>
      </c>
      <c r="E927" s="306" t="s">
        <v>902</v>
      </c>
      <c r="F927" s="307"/>
      <c r="G927" s="297" t="s">
        <v>832</v>
      </c>
      <c r="H927" s="308" t="str">
        <f t="shared" si="61"/>
        <v>AR-VC1-3</v>
      </c>
      <c r="I927" s="661">
        <v>3</v>
      </c>
      <c r="J927" s="197">
        <v>1</v>
      </c>
      <c r="L927" s="237"/>
      <c r="Q927" s="237"/>
    </row>
    <row r="928" spans="1:17" s="233" customFormat="1" ht="13.5" hidden="1" outlineLevel="1">
      <c r="A928" s="681"/>
      <c r="B928" s="299" t="s">
        <v>268</v>
      </c>
      <c r="C928" s="304" t="s">
        <v>842</v>
      </c>
      <c r="D928" s="685" t="s">
        <v>903</v>
      </c>
      <c r="E928" s="306" t="s">
        <v>904</v>
      </c>
      <c r="F928" s="307"/>
      <c r="G928" s="297" t="s">
        <v>832</v>
      </c>
      <c r="H928" s="308" t="str">
        <f t="shared" si="61"/>
        <v>AR-VC1-3</v>
      </c>
      <c r="I928" s="661">
        <v>3</v>
      </c>
      <c r="J928" s="197">
        <v>1</v>
      </c>
      <c r="L928" s="237"/>
      <c r="Q928" s="237"/>
    </row>
    <row r="929" spans="1:21" s="233" customFormat="1" ht="13.5" hidden="1" outlineLevel="1">
      <c r="A929" s="681"/>
      <c r="B929" s="299" t="s">
        <v>268</v>
      </c>
      <c r="C929" s="304" t="s">
        <v>842</v>
      </c>
      <c r="D929" s="685" t="s">
        <v>905</v>
      </c>
      <c r="E929" s="306" t="s">
        <v>906</v>
      </c>
      <c r="F929" s="307"/>
      <c r="G929" s="297" t="s">
        <v>832</v>
      </c>
      <c r="H929" s="308" t="str">
        <f t="shared" si="61"/>
        <v>AR-VC1-3</v>
      </c>
      <c r="I929" s="661">
        <v>3</v>
      </c>
      <c r="J929" s="197">
        <v>1</v>
      </c>
      <c r="L929" s="237"/>
      <c r="Q929" s="237"/>
    </row>
    <row r="930" spans="1:21" s="233" customFormat="1" ht="13.5" hidden="1" outlineLevel="1">
      <c r="A930" s="681"/>
      <c r="B930" s="299" t="s">
        <v>268</v>
      </c>
      <c r="C930" s="304" t="s">
        <v>842</v>
      </c>
      <c r="D930" s="685" t="s">
        <v>907</v>
      </c>
      <c r="E930" s="306" t="s">
        <v>908</v>
      </c>
      <c r="F930" s="307"/>
      <c r="G930" s="297" t="s">
        <v>832</v>
      </c>
      <c r="H930" s="308" t="str">
        <f t="shared" si="61"/>
        <v>AR-VC1-3</v>
      </c>
      <c r="I930" s="661">
        <v>3</v>
      </c>
      <c r="J930" s="197">
        <v>1</v>
      </c>
      <c r="L930" s="237"/>
      <c r="Q930" s="237"/>
    </row>
    <row r="931" spans="1:21" s="233" customFormat="1" ht="3" hidden="1" customHeight="1" outlineLevel="1">
      <c r="A931" s="681"/>
      <c r="B931" s="299"/>
      <c r="C931" s="304"/>
      <c r="D931" s="685"/>
      <c r="E931" s="306" t="s">
        <v>277</v>
      </c>
      <c r="F931" s="307"/>
      <c r="G931" s="297"/>
      <c r="H931" s="308"/>
      <c r="I931" s="661"/>
      <c r="J931" s="197"/>
      <c r="L931" s="237"/>
      <c r="Q931" s="237"/>
    </row>
    <row r="932" spans="1:21" s="233" customFormat="1" ht="13.5" hidden="1" customHeight="1" outlineLevel="1">
      <c r="A932" s="681"/>
      <c r="B932" s="299" t="s">
        <v>909</v>
      </c>
      <c r="C932" s="304"/>
      <c r="D932" s="685"/>
      <c r="E932" s="306" t="s">
        <v>277</v>
      </c>
      <c r="F932" s="307"/>
      <c r="G932" s="297"/>
      <c r="H932" s="308"/>
      <c r="I932" s="661"/>
      <c r="J932" s="197"/>
      <c r="L932" s="237"/>
      <c r="Q932" s="237"/>
    </row>
    <row r="933" spans="1:21" s="233" customFormat="1" ht="13.5" hidden="1" outlineLevel="1">
      <c r="A933" s="681"/>
      <c r="B933" s="299" t="s">
        <v>268</v>
      </c>
      <c r="C933" s="304" t="s">
        <v>842</v>
      </c>
      <c r="D933" s="685" t="s">
        <v>425</v>
      </c>
      <c r="E933" s="306" t="s">
        <v>910</v>
      </c>
      <c r="F933" s="307"/>
      <c r="G933" s="297" t="s">
        <v>832</v>
      </c>
      <c r="H933" s="308" t="str">
        <f>CONCATENATE("AR-",G933,"-",I933)</f>
        <v>AR-VC1-3</v>
      </c>
      <c r="I933" s="661">
        <v>3</v>
      </c>
      <c r="J933" s="197">
        <v>1</v>
      </c>
      <c r="L933" s="237"/>
      <c r="Q933" s="237"/>
    </row>
    <row r="934" spans="1:21" s="233" customFormat="1" ht="13.5" hidden="1" outlineLevel="1">
      <c r="A934" s="681"/>
      <c r="B934" s="299" t="s">
        <v>268</v>
      </c>
      <c r="C934" s="304" t="s">
        <v>842</v>
      </c>
      <c r="D934" s="685" t="s">
        <v>427</v>
      </c>
      <c r="E934" s="306" t="s">
        <v>911</v>
      </c>
      <c r="F934" s="307"/>
      <c r="G934" s="297" t="s">
        <v>832</v>
      </c>
      <c r="H934" s="308" t="str">
        <f>CONCATENATE("AR-",G934,"-",I934)</f>
        <v>AR-VC1-3</v>
      </c>
      <c r="I934" s="661">
        <v>3</v>
      </c>
      <c r="J934" s="197">
        <v>1</v>
      </c>
      <c r="K934" s="232"/>
      <c r="L934" s="234"/>
      <c r="M934" s="197"/>
      <c r="N934" s="197"/>
      <c r="O934" s="197"/>
      <c r="P934" s="197"/>
      <c r="Q934" s="234"/>
      <c r="R934" s="197"/>
      <c r="S934" s="197"/>
      <c r="T934" s="197"/>
      <c r="U934" s="197"/>
    </row>
    <row r="935" spans="1:21" s="233" customFormat="1" ht="13.5" hidden="1" outlineLevel="1">
      <c r="A935" s="681"/>
      <c r="B935" s="299" t="s">
        <v>268</v>
      </c>
      <c r="C935" s="304" t="s">
        <v>842</v>
      </c>
      <c r="D935" s="685" t="s">
        <v>429</v>
      </c>
      <c r="E935" s="306" t="s">
        <v>912</v>
      </c>
      <c r="F935" s="307"/>
      <c r="G935" s="297" t="s">
        <v>832</v>
      </c>
      <c r="H935" s="308" t="str">
        <f>CONCATENATE("AR-",G935,"-",I935)</f>
        <v>AR-VC1-3</v>
      </c>
      <c r="I935" s="661">
        <v>3</v>
      </c>
      <c r="J935" s="197">
        <v>1</v>
      </c>
      <c r="K935" s="232"/>
      <c r="L935" s="234"/>
      <c r="M935" s="197"/>
      <c r="N935" s="197"/>
      <c r="O935" s="197"/>
      <c r="P935" s="197"/>
      <c r="Q935" s="234"/>
      <c r="R935" s="197"/>
      <c r="S935" s="197"/>
      <c r="T935" s="197"/>
      <c r="U935" s="197"/>
    </row>
    <row r="936" spans="1:21" s="233" customFormat="1" ht="13.5" hidden="1" outlineLevel="1">
      <c r="A936" s="681"/>
      <c r="B936" s="299" t="s">
        <v>268</v>
      </c>
      <c r="C936" s="304" t="s">
        <v>842</v>
      </c>
      <c r="D936" s="685" t="s">
        <v>431</v>
      </c>
      <c r="E936" s="306" t="s">
        <v>913</v>
      </c>
      <c r="F936" s="307"/>
      <c r="G936" s="297" t="s">
        <v>832</v>
      </c>
      <c r="H936" s="308" t="str">
        <f>CONCATENATE("AR-",G936,"-",I936)</f>
        <v>AR-VC1-3</v>
      </c>
      <c r="I936" s="661">
        <v>3</v>
      </c>
      <c r="J936" s="197">
        <v>1</v>
      </c>
      <c r="K936" s="232"/>
      <c r="L936" s="234"/>
      <c r="M936" s="197"/>
      <c r="N936" s="197"/>
      <c r="O936" s="197"/>
      <c r="P936" s="197"/>
      <c r="Q936" s="234"/>
      <c r="R936" s="197"/>
      <c r="S936" s="197"/>
      <c r="T936" s="197"/>
      <c r="U936" s="197"/>
    </row>
    <row r="937" spans="1:21" s="233" customFormat="1" ht="3" hidden="1" customHeight="1" outlineLevel="1">
      <c r="A937" s="681"/>
      <c r="B937" s="299"/>
      <c r="C937" s="304"/>
      <c r="D937" s="685"/>
      <c r="E937" s="306" t="s">
        <v>277</v>
      </c>
      <c r="F937" s="307"/>
      <c r="G937" s="297"/>
      <c r="H937" s="308"/>
      <c r="I937" s="661"/>
      <c r="J937" s="197"/>
      <c r="K937" s="232"/>
      <c r="L937" s="234"/>
      <c r="M937" s="197"/>
      <c r="N937" s="197"/>
      <c r="O937" s="197"/>
      <c r="P937" s="197"/>
      <c r="Q937" s="234"/>
      <c r="R937" s="197"/>
      <c r="S937" s="197"/>
      <c r="T937" s="197"/>
      <c r="U937" s="197"/>
    </row>
    <row r="938" spans="1:21" s="233" customFormat="1" ht="13.5" hidden="1" customHeight="1" outlineLevel="1">
      <c r="A938" s="681"/>
      <c r="B938" s="299" t="s">
        <v>914</v>
      </c>
      <c r="C938" s="304"/>
      <c r="D938" s="685"/>
      <c r="E938" s="306" t="s">
        <v>277</v>
      </c>
      <c r="F938" s="307"/>
      <c r="G938" s="297"/>
      <c r="H938" s="308"/>
      <c r="I938" s="661"/>
      <c r="J938" s="197"/>
      <c r="K938" s="232"/>
      <c r="L938" s="234"/>
      <c r="M938" s="197"/>
      <c r="N938" s="197"/>
      <c r="O938" s="197"/>
      <c r="P938" s="197"/>
      <c r="Q938" s="234"/>
      <c r="R938" s="197"/>
      <c r="S938" s="197"/>
      <c r="T938" s="197"/>
      <c r="U938" s="197"/>
    </row>
    <row r="939" spans="1:21" s="233" customFormat="1" ht="13.5" hidden="1" outlineLevel="1">
      <c r="A939" s="681"/>
      <c r="B939" s="299" t="s">
        <v>268</v>
      </c>
      <c r="C939" s="304" t="s">
        <v>842</v>
      </c>
      <c r="D939" s="685" t="s">
        <v>915</v>
      </c>
      <c r="E939" s="306" t="s">
        <v>713</v>
      </c>
      <c r="F939" s="307"/>
      <c r="G939" s="297" t="s">
        <v>832</v>
      </c>
      <c r="H939" s="308" t="str">
        <f>CONCATENATE("AR-",G939,"-",I939)</f>
        <v>AR-VC1-3</v>
      </c>
      <c r="I939" s="661">
        <v>3</v>
      </c>
      <c r="J939" s="197">
        <v>1</v>
      </c>
      <c r="K939" s="232"/>
      <c r="L939" s="234"/>
      <c r="M939" s="197"/>
      <c r="N939" s="197"/>
      <c r="O939" s="197"/>
      <c r="P939" s="197"/>
      <c r="Q939" s="234"/>
      <c r="R939" s="197"/>
      <c r="S939" s="197"/>
      <c r="T939" s="197"/>
      <c r="U939" s="197"/>
    </row>
    <row r="940" spans="1:21" s="233" customFormat="1" ht="3" customHeight="1">
      <c r="A940" s="681"/>
      <c r="B940" s="299"/>
      <c r="C940" s="304"/>
      <c r="D940" s="685"/>
      <c r="E940" s="306"/>
      <c r="F940" s="307"/>
      <c r="G940" s="297"/>
      <c r="H940" s="308"/>
      <c r="I940" s="661"/>
      <c r="J940" s="197"/>
      <c r="K940" s="232"/>
      <c r="L940" s="234"/>
      <c r="M940" s="197"/>
      <c r="N940" s="197"/>
      <c r="O940" s="197"/>
      <c r="P940" s="197"/>
      <c r="Q940" s="234"/>
      <c r="R940" s="197"/>
      <c r="S940" s="197"/>
      <c r="T940" s="197"/>
      <c r="U940" s="197"/>
    </row>
    <row r="941" spans="1:21" s="233" customFormat="1" ht="14.25" customHeight="1" collapsed="1">
      <c r="A941" s="382" t="s">
        <v>916</v>
      </c>
      <c r="B941" s="675"/>
      <c r="C941" s="676"/>
      <c r="D941" s="677"/>
      <c r="E941" s="676" t="s">
        <v>277</v>
      </c>
      <c r="F941" s="307"/>
      <c r="G941" s="297"/>
      <c r="H941" s="308"/>
      <c r="I941" s="665"/>
      <c r="J941" s="197"/>
      <c r="K941" s="232"/>
      <c r="L941" s="230">
        <f>SUM(L942:L942)</f>
        <v>0</v>
      </c>
      <c r="M941" s="188">
        <v>14</v>
      </c>
      <c r="N941" s="188">
        <v>33</v>
      </c>
      <c r="O941" s="188">
        <f t="shared" ref="O941:U941" si="62">SUM(O942:O942)</f>
        <v>0</v>
      </c>
      <c r="P941" s="188">
        <f t="shared" si="62"/>
        <v>0</v>
      </c>
      <c r="Q941" s="230">
        <f t="shared" si="62"/>
        <v>0</v>
      </c>
      <c r="R941" s="188">
        <f t="shared" si="62"/>
        <v>0</v>
      </c>
      <c r="S941" s="188">
        <f t="shared" si="62"/>
        <v>0</v>
      </c>
      <c r="T941" s="188">
        <f t="shared" si="62"/>
        <v>0</v>
      </c>
      <c r="U941" s="188">
        <f t="shared" si="62"/>
        <v>0</v>
      </c>
    </row>
    <row r="942" spans="1:21" s="233" customFormat="1" ht="3" hidden="1" customHeight="1" outlineLevel="1">
      <c r="A942" s="678"/>
      <c r="B942" s="299"/>
      <c r="C942" s="304"/>
      <c r="D942" s="685"/>
      <c r="E942" s="306" t="s">
        <v>277</v>
      </c>
      <c r="F942" s="307"/>
      <c r="G942" s="297"/>
      <c r="H942" s="308"/>
      <c r="I942" s="661"/>
      <c r="J942" s="197"/>
      <c r="K942" s="232"/>
      <c r="L942" s="234"/>
      <c r="M942" s="197"/>
      <c r="N942" s="197"/>
      <c r="O942" s="197"/>
      <c r="P942" s="197"/>
      <c r="Q942" s="234"/>
      <c r="R942" s="197"/>
      <c r="S942" s="197"/>
      <c r="T942" s="197"/>
      <c r="U942" s="197"/>
    </row>
    <row r="943" spans="1:21" s="233" customFormat="1" ht="13.5" hidden="1" outlineLevel="1">
      <c r="A943" s="681" t="s">
        <v>829</v>
      </c>
      <c r="B943" s="299"/>
      <c r="C943" s="304"/>
      <c r="D943" s="685"/>
      <c r="E943" s="306"/>
      <c r="F943" s="307"/>
      <c r="G943" s="297"/>
      <c r="H943" s="308"/>
      <c r="I943" s="661"/>
      <c r="J943" s="197"/>
      <c r="K943" s="232"/>
      <c r="L943" s="234"/>
      <c r="M943" s="197"/>
      <c r="Q943" s="234"/>
    </row>
    <row r="944" spans="1:21" s="233" customFormat="1" ht="13.5" hidden="1" outlineLevel="1">
      <c r="A944" s="681" t="s">
        <v>281</v>
      </c>
      <c r="B944" s="299" t="s">
        <v>268</v>
      </c>
      <c r="C944" s="304" t="s">
        <v>917</v>
      </c>
      <c r="D944" s="685">
        <v>1</v>
      </c>
      <c r="E944" s="306" t="s">
        <v>918</v>
      </c>
      <c r="F944" s="307" t="s">
        <v>919</v>
      </c>
      <c r="G944" s="297" t="s">
        <v>917</v>
      </c>
      <c r="H944" s="308" t="str">
        <f t="shared" ref="H944" si="63">CONCATENATE("AR-",G944,"-",I944)</f>
        <v>AR-VC3-1</v>
      </c>
      <c r="I944" s="661">
        <v>1</v>
      </c>
      <c r="J944" s="197"/>
      <c r="K944" s="232"/>
      <c r="L944" s="234">
        <v>1</v>
      </c>
      <c r="M944" s="197">
        <v>1</v>
      </c>
      <c r="Q944" s="234">
        <v>1</v>
      </c>
      <c r="S944" s="233">
        <v>1</v>
      </c>
    </row>
    <row r="945" spans="1:19" s="233" customFormat="1" ht="13.5" hidden="1" outlineLevel="1">
      <c r="A945" s="681" t="s">
        <v>281</v>
      </c>
      <c r="B945" s="299" t="s">
        <v>281</v>
      </c>
      <c r="C945" s="304" t="s">
        <v>281</v>
      </c>
      <c r="D945" s="685" t="s">
        <v>281</v>
      </c>
      <c r="E945" s="306" t="s">
        <v>281</v>
      </c>
      <c r="F945" s="307" t="s">
        <v>281</v>
      </c>
      <c r="G945" s="297" t="s">
        <v>281</v>
      </c>
      <c r="H945" s="308"/>
      <c r="I945" s="661"/>
      <c r="J945" s="197"/>
      <c r="K945" s="232"/>
      <c r="L945" s="234"/>
      <c r="M945" s="197"/>
      <c r="Q945" s="234"/>
    </row>
    <row r="946" spans="1:19" s="233" customFormat="1" ht="13.5" hidden="1" outlineLevel="1">
      <c r="A946" s="681" t="s">
        <v>920</v>
      </c>
      <c r="B946" s="299"/>
      <c r="C946" s="304"/>
      <c r="D946" s="685"/>
      <c r="E946" s="306"/>
      <c r="F946" s="307"/>
      <c r="G946" s="297"/>
      <c r="H946" s="308"/>
      <c r="I946" s="661"/>
      <c r="J946" s="197"/>
      <c r="K946" s="232"/>
      <c r="L946" s="234"/>
      <c r="M946" s="197"/>
      <c r="Q946" s="234"/>
    </row>
    <row r="947" spans="1:19" s="233" customFormat="1" ht="13.5" hidden="1" outlineLevel="1">
      <c r="A947" s="681" t="s">
        <v>281</v>
      </c>
      <c r="B947" s="299" t="s">
        <v>268</v>
      </c>
      <c r="C947" s="304" t="s">
        <v>917</v>
      </c>
      <c r="D947" s="685">
        <v>101</v>
      </c>
      <c r="E947" s="306" t="s">
        <v>921</v>
      </c>
      <c r="F947" s="307" t="s">
        <v>919</v>
      </c>
      <c r="G947" s="297" t="s">
        <v>917</v>
      </c>
      <c r="H947" s="308" t="str">
        <f t="shared" ref="H947:H949" si="64">CONCATENATE("AR-",G947,"-",I947)</f>
        <v>AR-VC3-1</v>
      </c>
      <c r="I947" s="661">
        <v>1</v>
      </c>
      <c r="J947" s="197"/>
      <c r="K947" s="232"/>
      <c r="L947" s="234">
        <v>1</v>
      </c>
      <c r="M947" s="197">
        <v>1</v>
      </c>
      <c r="Q947" s="234">
        <v>1</v>
      </c>
      <c r="S947" s="233">
        <v>1</v>
      </c>
    </row>
    <row r="948" spans="1:19" s="233" customFormat="1" ht="13.5" hidden="1" outlineLevel="1">
      <c r="A948" s="681" t="s">
        <v>281</v>
      </c>
      <c r="B948" s="299" t="s">
        <v>268</v>
      </c>
      <c r="C948" s="304" t="s">
        <v>917</v>
      </c>
      <c r="D948" s="685">
        <v>102</v>
      </c>
      <c r="E948" s="306" t="s">
        <v>922</v>
      </c>
      <c r="F948" s="307" t="s">
        <v>919</v>
      </c>
      <c r="G948" s="297" t="s">
        <v>917</v>
      </c>
      <c r="H948" s="308" t="str">
        <f t="shared" si="64"/>
        <v>AR-VC3-1</v>
      </c>
      <c r="I948" s="661">
        <v>1</v>
      </c>
      <c r="J948" s="197"/>
      <c r="K948" s="232"/>
      <c r="L948" s="234">
        <v>1</v>
      </c>
      <c r="M948" s="197">
        <v>1</v>
      </c>
      <c r="Q948" s="234">
        <v>1</v>
      </c>
      <c r="S948" s="233">
        <v>1</v>
      </c>
    </row>
    <row r="949" spans="1:19" s="233" customFormat="1" ht="13.5" hidden="1" outlineLevel="1">
      <c r="A949" s="681" t="s">
        <v>281</v>
      </c>
      <c r="B949" s="299" t="s">
        <v>268</v>
      </c>
      <c r="C949" s="304" t="s">
        <v>917</v>
      </c>
      <c r="D949" s="685">
        <v>103</v>
      </c>
      <c r="E949" s="306" t="s">
        <v>923</v>
      </c>
      <c r="F949" s="307" t="s">
        <v>924</v>
      </c>
      <c r="G949" s="297" t="s">
        <v>917</v>
      </c>
      <c r="H949" s="308" t="str">
        <f t="shared" si="64"/>
        <v>AR-VC3-2</v>
      </c>
      <c r="I949" s="661">
        <v>2</v>
      </c>
      <c r="J949" s="197"/>
      <c r="K949" s="232"/>
      <c r="L949" s="234">
        <v>1</v>
      </c>
      <c r="M949" s="197">
        <v>1</v>
      </c>
      <c r="Q949" s="234"/>
    </row>
    <row r="950" spans="1:19" s="233" customFormat="1" ht="13.5" hidden="1" outlineLevel="1">
      <c r="A950" s="681" t="s">
        <v>281</v>
      </c>
      <c r="B950" s="299" t="s">
        <v>268</v>
      </c>
      <c r="C950" s="304" t="s">
        <v>917</v>
      </c>
      <c r="D950" s="685">
        <v>104</v>
      </c>
      <c r="E950" s="306" t="s">
        <v>925</v>
      </c>
      <c r="F950" s="307" t="s">
        <v>924</v>
      </c>
      <c r="G950" s="297" t="s">
        <v>917</v>
      </c>
      <c r="H950" s="308" t="str">
        <f t="shared" ref="H950" si="65">CONCATENATE("AR-",G950,"-",I950)</f>
        <v>AR-VC3-2</v>
      </c>
      <c r="I950" s="661">
        <v>2</v>
      </c>
      <c r="J950" s="197"/>
      <c r="K950" s="232"/>
      <c r="L950" s="234">
        <v>1</v>
      </c>
      <c r="M950" s="197">
        <v>1</v>
      </c>
      <c r="Q950" s="234"/>
    </row>
    <row r="951" spans="1:19" s="738" customFormat="1" ht="13.5" hidden="1" outlineLevel="1">
      <c r="A951" s="736" t="s">
        <v>281</v>
      </c>
      <c r="B951" s="299" t="s">
        <v>281</v>
      </c>
      <c r="C951" s="304" t="s">
        <v>281</v>
      </c>
      <c r="D951" s="685" t="s">
        <v>281</v>
      </c>
      <c r="E951" s="306" t="s">
        <v>281</v>
      </c>
      <c r="F951" s="307" t="s">
        <v>281</v>
      </c>
      <c r="G951" s="297" t="s">
        <v>281</v>
      </c>
      <c r="H951" s="308"/>
      <c r="I951" s="661"/>
      <c r="J951" s="311"/>
      <c r="K951" s="737"/>
      <c r="L951" s="652"/>
      <c r="M951" s="311"/>
      <c r="Q951" s="234"/>
    </row>
    <row r="952" spans="1:19" s="233" customFormat="1" ht="13.5" hidden="1" outlineLevel="1">
      <c r="A952" s="681" t="s">
        <v>926</v>
      </c>
      <c r="B952" s="299"/>
      <c r="C952" s="304"/>
      <c r="D952" s="685"/>
      <c r="E952" s="306"/>
      <c r="F952" s="307"/>
      <c r="G952" s="297"/>
      <c r="H952" s="308"/>
      <c r="I952" s="661"/>
      <c r="J952" s="197"/>
      <c r="K952" s="232"/>
      <c r="L952" s="234"/>
      <c r="M952" s="197"/>
      <c r="Q952" s="234"/>
    </row>
    <row r="953" spans="1:19" s="233" customFormat="1" ht="13.5" hidden="1" outlineLevel="1">
      <c r="A953" s="681" t="s">
        <v>281</v>
      </c>
      <c r="B953" s="299" t="s">
        <v>268</v>
      </c>
      <c r="C953" s="304" t="s">
        <v>917</v>
      </c>
      <c r="D953" s="685">
        <v>301</v>
      </c>
      <c r="E953" s="306" t="s">
        <v>927</v>
      </c>
      <c r="F953" s="307" t="s">
        <v>924</v>
      </c>
      <c r="G953" s="297" t="s">
        <v>917</v>
      </c>
      <c r="H953" s="308" t="str">
        <f t="shared" ref="H953" si="66">CONCATENATE("AR-",G953,"-",I953)</f>
        <v>AR-VC3-1</v>
      </c>
      <c r="I953" s="661">
        <v>1</v>
      </c>
      <c r="J953" s="197"/>
      <c r="K953" s="232"/>
      <c r="L953" s="234">
        <v>1</v>
      </c>
      <c r="M953" s="197">
        <v>1</v>
      </c>
      <c r="Q953" s="234">
        <v>1</v>
      </c>
      <c r="S953" s="233">
        <v>1</v>
      </c>
    </row>
    <row r="954" spans="1:19" s="233" customFormat="1" ht="13.5" hidden="1" outlineLevel="1">
      <c r="A954" s="681" t="s">
        <v>281</v>
      </c>
      <c r="B954" s="299" t="s">
        <v>268</v>
      </c>
      <c r="C954" s="304" t="s">
        <v>917</v>
      </c>
      <c r="D954" s="685">
        <v>1001</v>
      </c>
      <c r="E954" s="306" t="s">
        <v>928</v>
      </c>
      <c r="F954" s="307" t="s">
        <v>924</v>
      </c>
      <c r="G954" s="297" t="s">
        <v>917</v>
      </c>
      <c r="H954" s="308" t="str">
        <f t="shared" ref="H954" si="67">CONCATENATE("AR-",G954,"-",I954)</f>
        <v>AR-VC3-1</v>
      </c>
      <c r="I954" s="661">
        <v>1</v>
      </c>
      <c r="J954" s="197"/>
      <c r="K954" s="232"/>
      <c r="L954" s="234">
        <v>1</v>
      </c>
      <c r="M954" s="197">
        <v>1</v>
      </c>
      <c r="Q954" s="234">
        <v>1</v>
      </c>
      <c r="S954" s="233">
        <v>1</v>
      </c>
    </row>
    <row r="955" spans="1:19" s="233" customFormat="1" ht="13.5" hidden="1" outlineLevel="1">
      <c r="A955" s="681" t="s">
        <v>281</v>
      </c>
      <c r="B955" s="299" t="s">
        <v>268</v>
      </c>
      <c r="C955" s="304" t="s">
        <v>917</v>
      </c>
      <c r="D955" s="685">
        <v>1002</v>
      </c>
      <c r="E955" s="306" t="s">
        <v>929</v>
      </c>
      <c r="F955" s="307" t="s">
        <v>924</v>
      </c>
      <c r="G955" s="297" t="s">
        <v>917</v>
      </c>
      <c r="H955" s="308" t="str">
        <f t="shared" ref="H955" si="68">CONCATENATE("AR-",G955,"-",I955)</f>
        <v>AR-VC3-1</v>
      </c>
      <c r="I955" s="661">
        <v>1</v>
      </c>
      <c r="J955" s="197"/>
      <c r="K955" s="232"/>
      <c r="L955" s="234">
        <v>1</v>
      </c>
      <c r="M955" s="197">
        <v>1</v>
      </c>
      <c r="Q955" s="234">
        <v>1</v>
      </c>
      <c r="S955" s="233">
        <v>1</v>
      </c>
    </row>
    <row r="956" spans="1:19" s="233" customFormat="1" ht="13.5" hidden="1" outlineLevel="1">
      <c r="A956" s="681"/>
      <c r="B956" s="299"/>
      <c r="C956" s="304"/>
      <c r="D956" s="685"/>
      <c r="E956" s="306"/>
      <c r="F956" s="307"/>
      <c r="G956" s="297"/>
      <c r="H956" s="308"/>
      <c r="I956" s="661"/>
      <c r="J956" s="197"/>
      <c r="K956" s="232"/>
      <c r="L956" s="234"/>
      <c r="M956" s="197"/>
      <c r="Q956" s="234"/>
    </row>
    <row r="957" spans="1:19" s="233" customFormat="1" ht="13.5" hidden="1" outlineLevel="1">
      <c r="A957" s="681" t="s">
        <v>930</v>
      </c>
      <c r="B957" s="299"/>
      <c r="C957" s="304"/>
      <c r="D957" s="685"/>
      <c r="E957" s="306"/>
      <c r="F957" s="307"/>
      <c r="G957" s="297"/>
      <c r="H957" s="308"/>
      <c r="I957" s="661"/>
      <c r="J957" s="197"/>
      <c r="K957" s="232"/>
      <c r="L957" s="234"/>
      <c r="M957" s="197"/>
      <c r="Q957" s="234"/>
    </row>
    <row r="958" spans="1:19" s="233" customFormat="1" ht="13.5" hidden="1" outlineLevel="1">
      <c r="A958" s="681" t="s">
        <v>281</v>
      </c>
      <c r="B958" s="299" t="s">
        <v>268</v>
      </c>
      <c r="C958" s="304" t="s">
        <v>917</v>
      </c>
      <c r="D958" s="685">
        <v>2001</v>
      </c>
      <c r="E958" s="306" t="s">
        <v>931</v>
      </c>
      <c r="F958" s="307" t="s">
        <v>924</v>
      </c>
      <c r="G958" s="297" t="s">
        <v>917</v>
      </c>
      <c r="H958" s="308" t="str">
        <f t="shared" ref="H958:H960" si="69">CONCATENATE("AR-",G958,"-",I958)</f>
        <v>AR-VC3-3</v>
      </c>
      <c r="I958" s="661">
        <v>3</v>
      </c>
      <c r="J958" s="197"/>
      <c r="K958" s="232"/>
      <c r="L958" s="234">
        <v>1</v>
      </c>
      <c r="M958" s="197">
        <v>1</v>
      </c>
      <c r="Q958" s="234">
        <v>1</v>
      </c>
      <c r="S958" s="233">
        <v>1</v>
      </c>
    </row>
    <row r="959" spans="1:19" s="233" customFormat="1" ht="13.5" hidden="1" outlineLevel="1">
      <c r="A959" s="681" t="s">
        <v>281</v>
      </c>
      <c r="B959" s="299" t="s">
        <v>268</v>
      </c>
      <c r="C959" s="304" t="s">
        <v>917</v>
      </c>
      <c r="D959" s="685">
        <v>2002</v>
      </c>
      <c r="E959" s="306" t="s">
        <v>932</v>
      </c>
      <c r="F959" s="307" t="s">
        <v>924</v>
      </c>
      <c r="G959" s="297" t="s">
        <v>917</v>
      </c>
      <c r="H959" s="308" t="str">
        <f t="shared" si="69"/>
        <v>AR-VC3-3</v>
      </c>
      <c r="I959" s="661">
        <v>3</v>
      </c>
      <c r="J959" s="197"/>
      <c r="K959" s="232"/>
      <c r="L959" s="234">
        <v>1</v>
      </c>
      <c r="M959" s="197">
        <v>1</v>
      </c>
      <c r="Q959" s="234">
        <v>1</v>
      </c>
      <c r="S959" s="233">
        <v>1</v>
      </c>
    </row>
    <row r="960" spans="1:19" s="233" customFormat="1" ht="13.5" hidden="1" outlineLevel="1">
      <c r="A960" s="681" t="s">
        <v>281</v>
      </c>
      <c r="B960" s="299" t="s">
        <v>268</v>
      </c>
      <c r="C960" s="304" t="s">
        <v>917</v>
      </c>
      <c r="D960" s="685">
        <v>2003</v>
      </c>
      <c r="E960" s="306" t="s">
        <v>933</v>
      </c>
      <c r="F960" s="307" t="s">
        <v>924</v>
      </c>
      <c r="G960" s="297" t="s">
        <v>917</v>
      </c>
      <c r="H960" s="308" t="str">
        <f t="shared" si="69"/>
        <v>AR-VC3-3</v>
      </c>
      <c r="I960" s="661">
        <v>3</v>
      </c>
      <c r="J960" s="197"/>
      <c r="K960" s="232"/>
      <c r="L960" s="234">
        <v>1</v>
      </c>
      <c r="M960" s="197">
        <v>1</v>
      </c>
      <c r="Q960" s="234"/>
    </row>
    <row r="961" spans="1:21" s="259" customFormat="1" ht="15" hidden="1" customHeight="1" outlineLevel="1">
      <c r="B961" s="299" t="s">
        <v>934</v>
      </c>
      <c r="C961" s="304"/>
      <c r="D961" s="685"/>
      <c r="E961" s="306"/>
      <c r="F961" s="307"/>
      <c r="G961" s="297"/>
      <c r="H961" s="308"/>
      <c r="I961" s="661"/>
      <c r="K961" s="258"/>
      <c r="L961" s="242"/>
      <c r="M961" s="197"/>
      <c r="Q961" s="715"/>
    </row>
    <row r="962" spans="1:21" s="233" customFormat="1" ht="15" hidden="1" customHeight="1" outlineLevel="1">
      <c r="B962" s="299" t="s">
        <v>268</v>
      </c>
      <c r="C962" s="304" t="s">
        <v>935</v>
      </c>
      <c r="D962" s="685" t="s">
        <v>463</v>
      </c>
      <c r="E962" s="306" t="s">
        <v>936</v>
      </c>
      <c r="F962" s="307"/>
      <c r="G962" s="297" t="s">
        <v>917</v>
      </c>
      <c r="H962" s="308" t="str">
        <f>CONCATENATE("AR-",G962,"-",I962)</f>
        <v>AR-VC3-3</v>
      </c>
      <c r="I962" s="661">
        <v>3</v>
      </c>
      <c r="K962" s="232"/>
      <c r="L962" s="234">
        <v>1</v>
      </c>
      <c r="M962" s="197">
        <v>1</v>
      </c>
      <c r="Q962" s="237"/>
    </row>
    <row r="963" spans="1:21" s="233" customFormat="1" ht="15" hidden="1" customHeight="1" outlineLevel="1">
      <c r="B963" s="299" t="s">
        <v>268</v>
      </c>
      <c r="C963" s="304" t="s">
        <v>935</v>
      </c>
      <c r="D963" s="685" t="s">
        <v>588</v>
      </c>
      <c r="E963" s="306" t="s">
        <v>937</v>
      </c>
      <c r="F963" s="307"/>
      <c r="G963" s="297" t="s">
        <v>917</v>
      </c>
      <c r="H963" s="308" t="str">
        <f>CONCATENATE("AR-",G963,"-",I963)</f>
        <v>AR-VC3-3</v>
      </c>
      <c r="I963" s="661">
        <v>3</v>
      </c>
      <c r="K963" s="232"/>
      <c r="L963" s="234">
        <v>1</v>
      </c>
      <c r="M963" s="197">
        <v>1</v>
      </c>
      <c r="Q963" s="237"/>
    </row>
    <row r="964" spans="1:21" s="233" customFormat="1" ht="15" hidden="1" customHeight="1" outlineLevel="1">
      <c r="B964" s="299" t="s">
        <v>268</v>
      </c>
      <c r="C964" s="304" t="s">
        <v>935</v>
      </c>
      <c r="D964" s="685" t="s">
        <v>938</v>
      </c>
      <c r="E964" s="306" t="s">
        <v>939</v>
      </c>
      <c r="F964" s="307"/>
      <c r="G964" s="297" t="s">
        <v>917</v>
      </c>
      <c r="H964" s="308" t="str">
        <f>CONCATENATE("AR-",G964,"-",I964)</f>
        <v>AR-VC3-3</v>
      </c>
      <c r="I964" s="661">
        <v>3</v>
      </c>
      <c r="K964" s="232"/>
      <c r="L964" s="234">
        <v>1</v>
      </c>
      <c r="M964" s="197">
        <v>1</v>
      </c>
      <c r="Q964" s="237"/>
    </row>
    <row r="965" spans="1:21" s="233" customFormat="1" ht="13.5" hidden="1" outlineLevel="1">
      <c r="A965" s="681"/>
      <c r="B965" s="299"/>
      <c r="C965" s="304"/>
      <c r="D965" s="685"/>
      <c r="E965" s="306"/>
      <c r="F965" s="307"/>
      <c r="G965" s="297"/>
      <c r="H965" s="308"/>
      <c r="I965" s="661"/>
      <c r="J965" s="197"/>
      <c r="K965" s="232"/>
      <c r="L965" s="234"/>
      <c r="M965" s="197"/>
      <c r="Q965" s="234"/>
    </row>
    <row r="966" spans="1:21" s="233" customFormat="1" ht="3" customHeight="1">
      <c r="A966" s="681"/>
      <c r="B966" s="299"/>
      <c r="C966" s="304"/>
      <c r="D966" s="685"/>
      <c r="E966" s="306"/>
      <c r="F966" s="307"/>
      <c r="G966" s="297"/>
      <c r="H966" s="308"/>
      <c r="I966" s="661"/>
      <c r="J966" s="197"/>
      <c r="K966" s="232"/>
      <c r="L966" s="234"/>
      <c r="M966" s="197"/>
      <c r="N966" s="197"/>
      <c r="O966" s="197"/>
      <c r="P966" s="197"/>
      <c r="Q966" s="234"/>
      <c r="R966" s="197"/>
      <c r="S966" s="197"/>
      <c r="T966" s="197"/>
      <c r="U966" s="197"/>
    </row>
    <row r="967" spans="1:21" s="243" customFormat="1" ht="13.5" customHeight="1">
      <c r="A967" s="382" t="s">
        <v>940</v>
      </c>
      <c r="B967" s="675"/>
      <c r="C967" s="676"/>
      <c r="D967" s="677"/>
      <c r="E967" s="676" t="s">
        <v>277</v>
      </c>
      <c r="F967" s="307"/>
      <c r="G967" s="297"/>
      <c r="H967" s="308"/>
      <c r="I967" s="665"/>
      <c r="J967" s="240"/>
      <c r="K967" s="241"/>
      <c r="L967" s="230">
        <f>SUM(L968:L1317)</f>
        <v>67</v>
      </c>
      <c r="M967" s="188">
        <v>8</v>
      </c>
      <c r="N967" s="188">
        <v>70</v>
      </c>
      <c r="O967" s="188">
        <f t="shared" ref="O967:U967" si="70">SUM(O968:O1317)</f>
        <v>0</v>
      </c>
      <c r="P967" s="188">
        <f t="shared" si="70"/>
        <v>0</v>
      </c>
      <c r="Q967" s="230">
        <f t="shared" si="70"/>
        <v>0</v>
      </c>
      <c r="R967" s="188">
        <f t="shared" si="70"/>
        <v>0</v>
      </c>
      <c r="S967" s="188">
        <f t="shared" si="70"/>
        <v>0</v>
      </c>
      <c r="T967" s="188">
        <f t="shared" si="70"/>
        <v>0</v>
      </c>
      <c r="U967" s="188">
        <f t="shared" si="70"/>
        <v>0</v>
      </c>
    </row>
    <row r="968" spans="1:21" s="243" customFormat="1" ht="3" customHeight="1" outlineLevel="1">
      <c r="A968" s="181"/>
      <c r="B968" s="299"/>
      <c r="C968" s="304"/>
      <c r="D968" s="685"/>
      <c r="E968" s="306" t="s">
        <v>277</v>
      </c>
      <c r="F968" s="307"/>
      <c r="G968" s="297"/>
      <c r="H968" s="308"/>
      <c r="I968" s="661"/>
      <c r="J968" s="240"/>
      <c r="K968" s="241"/>
      <c r="L968" s="242"/>
      <c r="M968" s="197"/>
      <c r="N968" s="197"/>
      <c r="O968" s="197"/>
      <c r="P968" s="197"/>
      <c r="Q968" s="242"/>
      <c r="R968" s="197"/>
      <c r="S968" s="197"/>
      <c r="T968" s="197"/>
      <c r="U968" s="197"/>
    </row>
    <row r="969" spans="1:21" s="243" customFormat="1" ht="14.25" customHeight="1" outlineLevel="1">
      <c r="A969" s="687"/>
      <c r="B969" s="299" t="s">
        <v>941</v>
      </c>
      <c r="C969" s="304"/>
      <c r="D969" s="685"/>
      <c r="E969" s="306"/>
      <c r="F969" s="307"/>
      <c r="G969" s="297"/>
      <c r="H969" s="308"/>
      <c r="I969" s="661"/>
      <c r="J969" s="240"/>
      <c r="K969" s="241"/>
      <c r="L969" s="242"/>
      <c r="M969" s="197"/>
      <c r="N969" s="197"/>
      <c r="O969" s="197"/>
      <c r="P969" s="197"/>
      <c r="Q969" s="242"/>
      <c r="R969" s="197"/>
      <c r="S969" s="197"/>
      <c r="T969" s="197"/>
      <c r="U969" s="197"/>
    </row>
    <row r="970" spans="1:21" s="243" customFormat="1" ht="3" customHeight="1" outlineLevel="2">
      <c r="A970" s="687"/>
      <c r="B970" s="299"/>
      <c r="C970" s="304"/>
      <c r="D970" s="685"/>
      <c r="E970" s="306" t="s">
        <v>277</v>
      </c>
      <c r="F970" s="307"/>
      <c r="G970" s="297"/>
      <c r="H970" s="308"/>
      <c r="I970" s="661"/>
      <c r="J970" s="240"/>
      <c r="K970" s="241"/>
      <c r="L970" s="242"/>
      <c r="M970" s="197"/>
      <c r="N970" s="197"/>
      <c r="O970" s="197"/>
      <c r="P970" s="197"/>
      <c r="Q970" s="242"/>
      <c r="R970" s="197"/>
      <c r="S970" s="197"/>
      <c r="T970" s="197"/>
      <c r="U970" s="197"/>
    </row>
    <row r="971" spans="1:21" s="233" customFormat="1" ht="13.5" customHeight="1" outlineLevel="2">
      <c r="A971" s="681"/>
      <c r="B971" s="299" t="s">
        <v>942</v>
      </c>
      <c r="C971" s="304"/>
      <c r="D971" s="685"/>
      <c r="E971" s="306" t="s">
        <v>277</v>
      </c>
      <c r="F971" s="307"/>
      <c r="G971" s="297"/>
      <c r="H971" s="308"/>
      <c r="I971" s="661"/>
      <c r="J971" s="197"/>
      <c r="K971" s="232"/>
      <c r="L971" s="234"/>
      <c r="M971" s="197"/>
      <c r="N971" s="197"/>
      <c r="O971" s="197"/>
      <c r="P971" s="197"/>
      <c r="Q971" s="234"/>
      <c r="R971" s="197"/>
      <c r="S971" s="197"/>
      <c r="T971" s="197"/>
      <c r="U971" s="197"/>
    </row>
    <row r="972" spans="1:21" s="243" customFormat="1" ht="14.25" customHeight="1" outlineLevel="2">
      <c r="A972" s="687"/>
      <c r="B972" s="299" t="s">
        <v>268</v>
      </c>
      <c r="C972" s="304" t="s">
        <v>943</v>
      </c>
      <c r="D972" s="685" t="s">
        <v>279</v>
      </c>
      <c r="E972" s="306" t="s">
        <v>944</v>
      </c>
      <c r="F972" s="307"/>
      <c r="G972" s="297" t="s">
        <v>943</v>
      </c>
      <c r="H972" s="308" t="str">
        <f t="shared" ref="H972:H979" si="71">CONCATENATE("AR-",G972,"-",I972)</f>
        <v>AR-C20-1</v>
      </c>
      <c r="I972" s="661">
        <v>1</v>
      </c>
      <c r="J972" s="661">
        <v>1</v>
      </c>
      <c r="K972" s="241"/>
      <c r="L972" s="242"/>
      <c r="M972" s="197"/>
      <c r="N972" s="197"/>
      <c r="O972" s="197"/>
      <c r="P972" s="197"/>
      <c r="Q972" s="242"/>
      <c r="R972" s="197"/>
      <c r="S972" s="197"/>
      <c r="T972" s="197"/>
      <c r="U972" s="197"/>
    </row>
    <row r="973" spans="1:21" s="243" customFormat="1" ht="14.25" customHeight="1" outlineLevel="2">
      <c r="A973" s="687"/>
      <c r="B973" s="299" t="s">
        <v>268</v>
      </c>
      <c r="C973" s="304" t="s">
        <v>943</v>
      </c>
      <c r="D973" s="685" t="s">
        <v>374</v>
      </c>
      <c r="E973" s="306" t="s">
        <v>945</v>
      </c>
      <c r="F973" s="307"/>
      <c r="G973" s="297" t="s">
        <v>943</v>
      </c>
      <c r="H973" s="308" t="str">
        <f t="shared" si="71"/>
        <v>AR-C20-1</v>
      </c>
      <c r="I973" s="661">
        <v>1</v>
      </c>
      <c r="J973" s="661">
        <v>1</v>
      </c>
      <c r="K973" s="241"/>
      <c r="L973" s="242"/>
      <c r="M973" s="197"/>
      <c r="N973" s="197"/>
      <c r="O973" s="197"/>
      <c r="P973" s="197"/>
      <c r="Q973" s="242"/>
      <c r="R973" s="197"/>
      <c r="S973" s="197"/>
      <c r="T973" s="197"/>
      <c r="U973" s="197"/>
    </row>
    <row r="974" spans="1:21" s="243" customFormat="1" ht="14.25" customHeight="1" outlineLevel="2">
      <c r="A974" s="687"/>
      <c r="B974" s="299" t="s">
        <v>268</v>
      </c>
      <c r="C974" s="304" t="s">
        <v>943</v>
      </c>
      <c r="D974" s="685" t="s">
        <v>701</v>
      </c>
      <c r="E974" s="306" t="s">
        <v>946</v>
      </c>
      <c r="F974" s="307"/>
      <c r="G974" s="297" t="s">
        <v>943</v>
      </c>
      <c r="H974" s="308" t="str">
        <f t="shared" si="71"/>
        <v>AR-C20-1</v>
      </c>
      <c r="I974" s="661">
        <v>1</v>
      </c>
      <c r="J974" s="661">
        <v>1</v>
      </c>
      <c r="K974" s="241"/>
      <c r="L974" s="242"/>
      <c r="M974" s="197"/>
      <c r="N974" s="197"/>
      <c r="O974" s="197"/>
      <c r="P974" s="197"/>
      <c r="Q974" s="242"/>
      <c r="R974" s="197"/>
      <c r="S974" s="197"/>
      <c r="T974" s="197"/>
      <c r="U974" s="197"/>
    </row>
    <row r="975" spans="1:21" s="243" customFormat="1" ht="14.25" customHeight="1" outlineLevel="2">
      <c r="A975" s="687"/>
      <c r="B975" s="299" t="s">
        <v>268</v>
      </c>
      <c r="C975" s="304" t="s">
        <v>943</v>
      </c>
      <c r="D975" s="685" t="s">
        <v>283</v>
      </c>
      <c r="E975" s="306" t="s">
        <v>947</v>
      </c>
      <c r="F975" s="307"/>
      <c r="G975" s="297" t="s">
        <v>943</v>
      </c>
      <c r="H975" s="308" t="str">
        <f t="shared" si="71"/>
        <v>AR-C20-1</v>
      </c>
      <c r="I975" s="661">
        <v>1</v>
      </c>
      <c r="J975" s="661">
        <v>1</v>
      </c>
      <c r="L975" s="708"/>
      <c r="Q975" s="708"/>
    </row>
    <row r="976" spans="1:21" s="243" customFormat="1" ht="14.25" customHeight="1" outlineLevel="2">
      <c r="A976" s="687"/>
      <c r="B976" s="299" t="s">
        <v>268</v>
      </c>
      <c r="C976" s="304" t="s">
        <v>943</v>
      </c>
      <c r="D976" s="685" t="s">
        <v>396</v>
      </c>
      <c r="E976" s="306" t="s">
        <v>948</v>
      </c>
      <c r="F976" s="307"/>
      <c r="G976" s="297" t="s">
        <v>943</v>
      </c>
      <c r="H976" s="308" t="str">
        <f t="shared" si="71"/>
        <v>AR-C20-1</v>
      </c>
      <c r="I976" s="661">
        <v>1</v>
      </c>
      <c r="J976" s="661">
        <v>1</v>
      </c>
      <c r="L976" s="708"/>
      <c r="Q976" s="708"/>
    </row>
    <row r="977" spans="1:17" s="243" customFormat="1" ht="14.25" customHeight="1" outlineLevel="2">
      <c r="A977" s="687"/>
      <c r="B977" s="299" t="s">
        <v>268</v>
      </c>
      <c r="C977" s="304" t="s">
        <v>943</v>
      </c>
      <c r="D977" s="685" t="s">
        <v>291</v>
      </c>
      <c r="E977" s="306" t="s">
        <v>949</v>
      </c>
      <c r="F977" s="307"/>
      <c r="G977" s="297" t="s">
        <v>943</v>
      </c>
      <c r="H977" s="308" t="str">
        <f t="shared" si="71"/>
        <v>AR-C20-1</v>
      </c>
      <c r="I977" s="661">
        <v>1</v>
      </c>
      <c r="J977" s="661">
        <v>1</v>
      </c>
      <c r="L977" s="708"/>
      <c r="Q977" s="708"/>
    </row>
    <row r="978" spans="1:17" s="243" customFormat="1" ht="14.25" customHeight="1" outlineLevel="2">
      <c r="A978" s="687"/>
      <c r="B978" s="299" t="s">
        <v>268</v>
      </c>
      <c r="C978" s="304" t="s">
        <v>943</v>
      </c>
      <c r="D978" s="685" t="s">
        <v>950</v>
      </c>
      <c r="E978" s="306" t="s">
        <v>951</v>
      </c>
      <c r="F978" s="307"/>
      <c r="G978" s="297" t="s">
        <v>943</v>
      </c>
      <c r="H978" s="308" t="str">
        <f t="shared" si="71"/>
        <v>AR-C20-1</v>
      </c>
      <c r="I978" s="661">
        <v>1</v>
      </c>
      <c r="J978" s="661">
        <v>1</v>
      </c>
      <c r="L978" s="708"/>
      <c r="Q978" s="708"/>
    </row>
    <row r="979" spans="1:17" s="243" customFormat="1" ht="14.25" customHeight="1" outlineLevel="2">
      <c r="A979" s="687"/>
      <c r="B979" s="299" t="s">
        <v>268</v>
      </c>
      <c r="C979" s="304" t="s">
        <v>943</v>
      </c>
      <c r="D979" s="685" t="s">
        <v>297</v>
      </c>
      <c r="E979" s="306" t="s">
        <v>952</v>
      </c>
      <c r="F979" s="307"/>
      <c r="G979" s="297" t="s">
        <v>943</v>
      </c>
      <c r="H979" s="308" t="str">
        <f t="shared" si="71"/>
        <v>AR-C20-1</v>
      </c>
      <c r="I979" s="661">
        <v>1</v>
      </c>
      <c r="J979" s="661">
        <v>1</v>
      </c>
      <c r="L979" s="708"/>
      <c r="Q979" s="708"/>
    </row>
    <row r="980" spans="1:17" s="243" customFormat="1" ht="3" customHeight="1" outlineLevel="2">
      <c r="A980" s="687"/>
      <c r="B980" s="299"/>
      <c r="C980" s="304"/>
      <c r="D980" s="685"/>
      <c r="E980" s="306" t="s">
        <v>277</v>
      </c>
      <c r="F980" s="307"/>
      <c r="G980" s="297"/>
      <c r="H980" s="308"/>
      <c r="I980" s="661"/>
      <c r="J980" s="661"/>
      <c r="L980" s="708"/>
      <c r="Q980" s="708"/>
    </row>
    <row r="981" spans="1:17" s="233" customFormat="1" ht="13.5" customHeight="1" outlineLevel="2">
      <c r="A981" s="681"/>
      <c r="B981" s="299" t="s">
        <v>953</v>
      </c>
      <c r="C981" s="304"/>
      <c r="D981" s="685"/>
      <c r="E981" s="306" t="s">
        <v>277</v>
      </c>
      <c r="F981" s="307"/>
      <c r="G981" s="297"/>
      <c r="H981" s="308"/>
      <c r="I981" s="661"/>
      <c r="J981" s="661"/>
      <c r="L981" s="237"/>
      <c r="Q981" s="237"/>
    </row>
    <row r="982" spans="1:17" s="243" customFormat="1" ht="14.25" customHeight="1" outlineLevel="2">
      <c r="A982" s="687"/>
      <c r="B982" s="299" t="s">
        <v>268</v>
      </c>
      <c r="C982" s="304" t="s">
        <v>943</v>
      </c>
      <c r="D982" s="685" t="s">
        <v>954</v>
      </c>
      <c r="E982" s="306" t="s">
        <v>955</v>
      </c>
      <c r="F982" s="307"/>
      <c r="G982" s="297" t="s">
        <v>943</v>
      </c>
      <c r="H982" s="308" t="str">
        <f>CONCATENATE("AR-",G982,"-",I982)</f>
        <v>AR-C20-1</v>
      </c>
      <c r="I982" s="661">
        <v>1</v>
      </c>
      <c r="J982" s="661">
        <v>1</v>
      </c>
      <c r="L982" s="708"/>
      <c r="Q982" s="708"/>
    </row>
    <row r="983" spans="1:17" s="243" customFormat="1" ht="14.25" customHeight="1" outlineLevel="2">
      <c r="A983" s="687"/>
      <c r="B983" s="299" t="s">
        <v>268</v>
      </c>
      <c r="C983" s="304" t="s">
        <v>943</v>
      </c>
      <c r="D983" s="685" t="s">
        <v>956</v>
      </c>
      <c r="E983" s="306" t="s">
        <v>955</v>
      </c>
      <c r="F983" s="307"/>
      <c r="G983" s="297" t="s">
        <v>943</v>
      </c>
      <c r="H983" s="308" t="str">
        <f>CONCATENATE("AR-",G983,"-",I983)</f>
        <v>AR-C20-1</v>
      </c>
      <c r="I983" s="661">
        <v>1</v>
      </c>
      <c r="J983" s="661">
        <v>1</v>
      </c>
      <c r="L983" s="708"/>
      <c r="Q983" s="708"/>
    </row>
    <row r="984" spans="1:17" s="243" customFormat="1" ht="3" customHeight="1" outlineLevel="2">
      <c r="A984" s="687"/>
      <c r="B984" s="299"/>
      <c r="C984" s="304"/>
      <c r="D984" s="685"/>
      <c r="E984" s="306" t="s">
        <v>277</v>
      </c>
      <c r="F984" s="307"/>
      <c r="G984" s="297"/>
      <c r="H984" s="308"/>
      <c r="I984" s="661"/>
      <c r="J984" s="661"/>
      <c r="L984" s="708"/>
      <c r="Q984" s="708"/>
    </row>
    <row r="985" spans="1:17" s="243" customFormat="1" ht="14.25" customHeight="1" outlineLevel="2">
      <c r="A985" s="687"/>
      <c r="B985" s="299" t="s">
        <v>957</v>
      </c>
      <c r="C985" s="304"/>
      <c r="D985" s="685"/>
      <c r="E985" s="306" t="s">
        <v>277</v>
      </c>
      <c r="F985" s="307"/>
      <c r="G985" s="297"/>
      <c r="H985" s="308"/>
      <c r="I985" s="661"/>
      <c r="J985" s="661"/>
      <c r="L985" s="708"/>
      <c r="Q985" s="708"/>
    </row>
    <row r="986" spans="1:17" s="243" customFormat="1" ht="14.25" customHeight="1" outlineLevel="2">
      <c r="A986" s="687"/>
      <c r="B986" s="299" t="s">
        <v>268</v>
      </c>
      <c r="C986" s="304" t="s">
        <v>943</v>
      </c>
      <c r="D986" s="685" t="s">
        <v>425</v>
      </c>
      <c r="E986" s="306" t="s">
        <v>910</v>
      </c>
      <c r="F986" s="307"/>
      <c r="G986" s="297" t="s">
        <v>943</v>
      </c>
      <c r="H986" s="308" t="str">
        <f t="shared" ref="H986:H998" si="72">CONCATENATE("AR-",G986,"-",I986)</f>
        <v>AR-C20-1</v>
      </c>
      <c r="I986" s="661">
        <v>1</v>
      </c>
      <c r="J986" s="661">
        <v>1</v>
      </c>
      <c r="L986" s="708"/>
      <c r="Q986" s="708"/>
    </row>
    <row r="987" spans="1:17" s="243" customFormat="1" ht="14.25" customHeight="1" outlineLevel="2">
      <c r="A987" s="687"/>
      <c r="B987" s="299" t="s">
        <v>268</v>
      </c>
      <c r="C987" s="304" t="s">
        <v>943</v>
      </c>
      <c r="D987" s="685" t="s">
        <v>427</v>
      </c>
      <c r="E987" s="306" t="s">
        <v>911</v>
      </c>
      <c r="F987" s="307"/>
      <c r="G987" s="297" t="s">
        <v>943</v>
      </c>
      <c r="H987" s="308" t="str">
        <f t="shared" si="72"/>
        <v>AR-C20-1</v>
      </c>
      <c r="I987" s="661">
        <v>1</v>
      </c>
      <c r="J987" s="661">
        <v>1</v>
      </c>
      <c r="L987" s="708"/>
      <c r="Q987" s="708"/>
    </row>
    <row r="988" spans="1:17" s="243" customFormat="1" ht="14.25" customHeight="1" outlineLevel="2">
      <c r="A988" s="687"/>
      <c r="B988" s="299" t="s">
        <v>268</v>
      </c>
      <c r="C988" s="304" t="s">
        <v>943</v>
      </c>
      <c r="D988" s="685" t="s">
        <v>429</v>
      </c>
      <c r="E988" s="306" t="s">
        <v>912</v>
      </c>
      <c r="F988" s="307"/>
      <c r="G988" s="297" t="s">
        <v>943</v>
      </c>
      <c r="H988" s="308" t="str">
        <f t="shared" si="72"/>
        <v>AR-C20-1</v>
      </c>
      <c r="I988" s="661">
        <v>1</v>
      </c>
      <c r="J988" s="661">
        <v>1</v>
      </c>
      <c r="L988" s="708"/>
      <c r="Q988" s="708"/>
    </row>
    <row r="989" spans="1:17" s="243" customFormat="1" ht="14.25" customHeight="1" outlineLevel="2">
      <c r="A989" s="687"/>
      <c r="B989" s="299" t="s">
        <v>268</v>
      </c>
      <c r="C989" s="304" t="s">
        <v>943</v>
      </c>
      <c r="D989" s="685" t="s">
        <v>431</v>
      </c>
      <c r="E989" s="306" t="s">
        <v>913</v>
      </c>
      <c r="F989" s="307"/>
      <c r="G989" s="297" t="s">
        <v>943</v>
      </c>
      <c r="H989" s="308" t="str">
        <f t="shared" si="72"/>
        <v>AR-C20-1</v>
      </c>
      <c r="I989" s="661">
        <v>1</v>
      </c>
      <c r="J989" s="661">
        <v>1</v>
      </c>
      <c r="L989" s="708"/>
      <c r="Q989" s="708"/>
    </row>
    <row r="990" spans="1:17" s="243" customFormat="1" ht="14.25" customHeight="1" outlineLevel="2">
      <c r="A990" s="687"/>
      <c r="B990" s="299" t="s">
        <v>268</v>
      </c>
      <c r="C990" s="304" t="s">
        <v>943</v>
      </c>
      <c r="D990" s="685" t="s">
        <v>433</v>
      </c>
      <c r="E990" s="306" t="s">
        <v>958</v>
      </c>
      <c r="F990" s="307"/>
      <c r="G990" s="297" t="s">
        <v>943</v>
      </c>
      <c r="H990" s="308" t="str">
        <f t="shared" si="72"/>
        <v>AR-C20-1</v>
      </c>
      <c r="I990" s="661">
        <v>1</v>
      </c>
      <c r="J990" s="661">
        <v>1</v>
      </c>
      <c r="L990" s="708"/>
      <c r="Q990" s="708"/>
    </row>
    <row r="991" spans="1:17" s="243" customFormat="1" ht="14.25" customHeight="1" outlineLevel="2">
      <c r="A991" s="687"/>
      <c r="B991" s="299" t="s">
        <v>268</v>
      </c>
      <c r="C991" s="304" t="s">
        <v>943</v>
      </c>
      <c r="D991" s="685" t="s">
        <v>435</v>
      </c>
      <c r="E991" s="306" t="s">
        <v>959</v>
      </c>
      <c r="F991" s="307"/>
      <c r="G991" s="297" t="s">
        <v>943</v>
      </c>
      <c r="H991" s="308" t="str">
        <f t="shared" si="72"/>
        <v>AR-C20-1</v>
      </c>
      <c r="I991" s="661">
        <v>1</v>
      </c>
      <c r="J991" s="661">
        <v>1</v>
      </c>
      <c r="L991" s="708"/>
      <c r="Q991" s="708"/>
    </row>
    <row r="992" spans="1:17" s="243" customFormat="1" ht="14.25" customHeight="1" outlineLevel="2">
      <c r="A992" s="687"/>
      <c r="B992" s="299" t="s">
        <v>268</v>
      </c>
      <c r="C992" s="304" t="s">
        <v>943</v>
      </c>
      <c r="D992" s="685" t="s">
        <v>437</v>
      </c>
      <c r="E992" s="306" t="s">
        <v>960</v>
      </c>
      <c r="F992" s="307"/>
      <c r="G992" s="297" t="s">
        <v>943</v>
      </c>
      <c r="H992" s="308" t="str">
        <f t="shared" si="72"/>
        <v>AR-C20-1</v>
      </c>
      <c r="I992" s="661">
        <v>1</v>
      </c>
      <c r="J992" s="661">
        <v>1</v>
      </c>
      <c r="L992" s="708"/>
      <c r="Q992" s="708"/>
    </row>
    <row r="993" spans="1:17" s="243" customFormat="1" ht="14.25" customHeight="1" outlineLevel="2">
      <c r="A993" s="687"/>
      <c r="B993" s="299" t="s">
        <v>268</v>
      </c>
      <c r="C993" s="304" t="s">
        <v>943</v>
      </c>
      <c r="D993" s="685" t="s">
        <v>439</v>
      </c>
      <c r="E993" s="306" t="s">
        <v>961</v>
      </c>
      <c r="F993" s="307"/>
      <c r="G993" s="297" t="s">
        <v>943</v>
      </c>
      <c r="H993" s="308" t="str">
        <f t="shared" si="72"/>
        <v>AR-C20-1</v>
      </c>
      <c r="I993" s="661">
        <v>1</v>
      </c>
      <c r="J993" s="661">
        <v>1</v>
      </c>
      <c r="L993" s="708"/>
      <c r="Q993" s="708"/>
    </row>
    <row r="994" spans="1:17" s="243" customFormat="1" ht="14.25" customHeight="1" outlineLevel="2">
      <c r="A994" s="687"/>
      <c r="B994" s="299" t="s">
        <v>268</v>
      </c>
      <c r="C994" s="304" t="s">
        <v>943</v>
      </c>
      <c r="D994" s="685" t="s">
        <v>441</v>
      </c>
      <c r="E994" s="306" t="s">
        <v>962</v>
      </c>
      <c r="F994" s="307"/>
      <c r="G994" s="297" t="s">
        <v>943</v>
      </c>
      <c r="H994" s="308" t="str">
        <f t="shared" si="72"/>
        <v>AR-C20-1</v>
      </c>
      <c r="I994" s="661">
        <v>1</v>
      </c>
      <c r="J994" s="661">
        <v>1</v>
      </c>
      <c r="L994" s="708"/>
      <c r="Q994" s="708"/>
    </row>
    <row r="995" spans="1:17" s="243" customFormat="1" ht="14.25" customHeight="1" outlineLevel="2">
      <c r="A995" s="687"/>
      <c r="B995" s="299" t="s">
        <v>268</v>
      </c>
      <c r="C995" s="304" t="s">
        <v>943</v>
      </c>
      <c r="D995" s="685" t="s">
        <v>443</v>
      </c>
      <c r="E995" s="306" t="s">
        <v>963</v>
      </c>
      <c r="F995" s="307"/>
      <c r="G995" s="297" t="s">
        <v>943</v>
      </c>
      <c r="H995" s="308" t="str">
        <f t="shared" si="72"/>
        <v>AR-C20-1</v>
      </c>
      <c r="I995" s="661">
        <v>1</v>
      </c>
      <c r="J995" s="661">
        <v>1</v>
      </c>
      <c r="L995" s="708"/>
      <c r="Q995" s="708"/>
    </row>
    <row r="996" spans="1:17" s="243" customFormat="1" ht="14.25" customHeight="1" outlineLevel="2">
      <c r="A996" s="687"/>
      <c r="B996" s="299" t="s">
        <v>268</v>
      </c>
      <c r="C996" s="304" t="s">
        <v>943</v>
      </c>
      <c r="D996" s="685" t="s">
        <v>445</v>
      </c>
      <c r="E996" s="306" t="s">
        <v>964</v>
      </c>
      <c r="F996" s="307"/>
      <c r="G996" s="297" t="s">
        <v>943</v>
      </c>
      <c r="H996" s="308" t="str">
        <f t="shared" si="72"/>
        <v>AR-C20-1</v>
      </c>
      <c r="I996" s="661">
        <v>1</v>
      </c>
      <c r="J996" s="661">
        <v>1</v>
      </c>
      <c r="L996" s="708"/>
      <c r="Q996" s="708"/>
    </row>
    <row r="997" spans="1:17" s="243" customFormat="1" ht="14.25" customHeight="1" outlineLevel="2">
      <c r="A997" s="687"/>
      <c r="B997" s="299" t="s">
        <v>268</v>
      </c>
      <c r="C997" s="304" t="s">
        <v>943</v>
      </c>
      <c r="D997" s="685" t="s">
        <v>447</v>
      </c>
      <c r="E997" s="306" t="s">
        <v>965</v>
      </c>
      <c r="F997" s="307"/>
      <c r="G997" s="297" t="s">
        <v>943</v>
      </c>
      <c r="H997" s="308" t="str">
        <f t="shared" si="72"/>
        <v>AR-C20-1</v>
      </c>
      <c r="I997" s="661">
        <v>1</v>
      </c>
      <c r="J997" s="661">
        <v>1</v>
      </c>
      <c r="L997" s="708"/>
      <c r="Q997" s="708"/>
    </row>
    <row r="998" spans="1:17" s="243" customFormat="1" ht="14.25" customHeight="1" outlineLevel="2">
      <c r="A998" s="687"/>
      <c r="B998" s="299" t="s">
        <v>268</v>
      </c>
      <c r="C998" s="304" t="s">
        <v>943</v>
      </c>
      <c r="D998" s="685" t="s">
        <v>449</v>
      </c>
      <c r="E998" s="306" t="s">
        <v>966</v>
      </c>
      <c r="F998" s="307"/>
      <c r="G998" s="297" t="s">
        <v>943</v>
      </c>
      <c r="H998" s="308" t="str">
        <f t="shared" si="72"/>
        <v>AR-C20-1</v>
      </c>
      <c r="I998" s="661">
        <v>1</v>
      </c>
      <c r="J998" s="661">
        <v>1</v>
      </c>
      <c r="L998" s="708"/>
      <c r="Q998" s="708"/>
    </row>
    <row r="999" spans="1:17" s="243" customFormat="1" ht="3" customHeight="1" outlineLevel="2">
      <c r="A999" s="687"/>
      <c r="B999" s="299"/>
      <c r="C999" s="304"/>
      <c r="D999" s="685"/>
      <c r="E999" s="306" t="s">
        <v>277</v>
      </c>
      <c r="F999" s="307"/>
      <c r="G999" s="297"/>
      <c r="H999" s="308"/>
      <c r="I999" s="661"/>
      <c r="J999" s="661"/>
      <c r="L999" s="708"/>
      <c r="Q999" s="708"/>
    </row>
    <row r="1000" spans="1:17" s="233" customFormat="1" ht="13.5" customHeight="1" outlineLevel="2">
      <c r="A1000" s="681"/>
      <c r="B1000" s="299" t="s">
        <v>967</v>
      </c>
      <c r="C1000" s="304"/>
      <c r="D1000" s="685"/>
      <c r="E1000" s="306" t="s">
        <v>277</v>
      </c>
      <c r="F1000" s="307"/>
      <c r="G1000" s="297"/>
      <c r="H1000" s="308"/>
      <c r="I1000" s="661"/>
      <c r="J1000" s="661"/>
      <c r="L1000" s="237"/>
      <c r="Q1000" s="237"/>
    </row>
    <row r="1001" spans="1:17" s="243" customFormat="1" ht="14.25" customHeight="1" outlineLevel="2">
      <c r="A1001" s="687"/>
      <c r="B1001" s="299" t="s">
        <v>268</v>
      </c>
      <c r="C1001" s="304" t="s">
        <v>943</v>
      </c>
      <c r="D1001" s="685" t="s">
        <v>968</v>
      </c>
      <c r="E1001" s="306" t="s">
        <v>969</v>
      </c>
      <c r="F1001" s="307"/>
      <c r="G1001" s="297" t="s">
        <v>943</v>
      </c>
      <c r="H1001" s="308" t="str">
        <f>CONCATENATE("AR-",G1001,"-",I1001)</f>
        <v>AR-C20-1</v>
      </c>
      <c r="I1001" s="661">
        <v>1</v>
      </c>
      <c r="J1001" s="661">
        <v>1</v>
      </c>
      <c r="L1001" s="708"/>
      <c r="Q1001" s="708"/>
    </row>
    <row r="1002" spans="1:17" s="243" customFormat="1" ht="14.25" customHeight="1" outlineLevel="2">
      <c r="A1002" s="687"/>
      <c r="B1002" s="299" t="s">
        <v>268</v>
      </c>
      <c r="C1002" s="304" t="s">
        <v>943</v>
      </c>
      <c r="D1002" s="685" t="s">
        <v>970</v>
      </c>
      <c r="E1002" s="306" t="s">
        <v>971</v>
      </c>
      <c r="F1002" s="307"/>
      <c r="G1002" s="297" t="s">
        <v>943</v>
      </c>
      <c r="H1002" s="308" t="str">
        <f>CONCATENATE("AR-",G1002,"-",I1002)</f>
        <v>AR-C20-1</v>
      </c>
      <c r="I1002" s="661">
        <v>1</v>
      </c>
      <c r="J1002" s="661">
        <v>1</v>
      </c>
      <c r="L1002" s="708"/>
      <c r="Q1002" s="708"/>
    </row>
    <row r="1003" spans="1:17" s="243" customFormat="1" ht="14.25" customHeight="1" outlineLevel="2">
      <c r="A1003" s="687"/>
      <c r="B1003" s="299" t="s">
        <v>268</v>
      </c>
      <c r="C1003" s="304" t="s">
        <v>943</v>
      </c>
      <c r="D1003" s="685" t="s">
        <v>972</v>
      </c>
      <c r="E1003" s="306" t="s">
        <v>973</v>
      </c>
      <c r="F1003" s="307"/>
      <c r="G1003" s="297" t="s">
        <v>943</v>
      </c>
      <c r="H1003" s="308" t="str">
        <f>CONCATENATE("AR-",G1003,"-",I1003)</f>
        <v>AR-C20-1</v>
      </c>
      <c r="I1003" s="661">
        <v>1</v>
      </c>
      <c r="J1003" s="661">
        <v>1</v>
      </c>
      <c r="L1003" s="708"/>
      <c r="Q1003" s="708"/>
    </row>
    <row r="1004" spans="1:17" s="243" customFormat="1" ht="14.25" customHeight="1" outlineLevel="2">
      <c r="A1004" s="687"/>
      <c r="B1004" s="299" t="s">
        <v>268</v>
      </c>
      <c r="C1004" s="304" t="s">
        <v>943</v>
      </c>
      <c r="D1004" s="685" t="s">
        <v>974</v>
      </c>
      <c r="E1004" s="306" t="s">
        <v>975</v>
      </c>
      <c r="F1004" s="307"/>
      <c r="G1004" s="297" t="s">
        <v>943</v>
      </c>
      <c r="H1004" s="308" t="str">
        <f>CONCATENATE("AR-",G1004,"-",I1004)</f>
        <v>AR-C20-1</v>
      </c>
      <c r="I1004" s="661">
        <v>1</v>
      </c>
      <c r="J1004" s="661">
        <v>1</v>
      </c>
      <c r="L1004" s="708"/>
      <c r="Q1004" s="708"/>
    </row>
    <row r="1005" spans="1:17" s="243" customFormat="1" ht="3" customHeight="1" outlineLevel="2">
      <c r="A1005" s="687"/>
      <c r="B1005" s="299"/>
      <c r="C1005" s="304"/>
      <c r="D1005" s="685"/>
      <c r="E1005" s="306" t="s">
        <v>277</v>
      </c>
      <c r="F1005" s="307"/>
      <c r="G1005" s="297"/>
      <c r="H1005" s="308"/>
      <c r="I1005" s="661"/>
      <c r="J1005" s="661"/>
      <c r="L1005" s="708"/>
      <c r="Q1005" s="708"/>
    </row>
    <row r="1006" spans="1:17" s="233" customFormat="1" ht="13.5" customHeight="1" outlineLevel="2">
      <c r="A1006" s="681"/>
      <c r="B1006" s="299" t="s">
        <v>976</v>
      </c>
      <c r="C1006" s="304"/>
      <c r="D1006" s="685"/>
      <c r="E1006" s="306" t="s">
        <v>277</v>
      </c>
      <c r="F1006" s="307"/>
      <c r="G1006" s="297"/>
      <c r="H1006" s="308"/>
      <c r="I1006" s="661"/>
      <c r="J1006" s="661"/>
      <c r="L1006" s="237"/>
      <c r="Q1006" s="237"/>
    </row>
    <row r="1007" spans="1:17" s="243" customFormat="1" ht="14.25" customHeight="1" outlineLevel="2">
      <c r="A1007" s="687"/>
      <c r="B1007" s="299" t="s">
        <v>268</v>
      </c>
      <c r="C1007" s="304" t="s">
        <v>943</v>
      </c>
      <c r="D1007" s="685" t="s">
        <v>977</v>
      </c>
      <c r="E1007" s="306" t="s">
        <v>978</v>
      </c>
      <c r="F1007" s="307"/>
      <c r="G1007" s="297" t="s">
        <v>943</v>
      </c>
      <c r="H1007" s="308" t="str">
        <f t="shared" ref="H1007:H1012" si="73">CONCATENATE("AR-",G1007,"-",I1007)</f>
        <v>AR-C20-1</v>
      </c>
      <c r="I1007" s="661">
        <v>1</v>
      </c>
      <c r="J1007" s="661">
        <v>1</v>
      </c>
      <c r="L1007" s="708"/>
      <c r="Q1007" s="708"/>
    </row>
    <row r="1008" spans="1:17" s="243" customFormat="1" ht="14.25" customHeight="1" outlineLevel="2">
      <c r="A1008" s="687"/>
      <c r="B1008" s="299" t="s">
        <v>268</v>
      </c>
      <c r="C1008" s="304" t="s">
        <v>943</v>
      </c>
      <c r="D1008" s="685" t="s">
        <v>979</v>
      </c>
      <c r="E1008" s="306" t="s">
        <v>980</v>
      </c>
      <c r="F1008" s="307"/>
      <c r="G1008" s="297" t="s">
        <v>943</v>
      </c>
      <c r="H1008" s="308" t="str">
        <f t="shared" si="73"/>
        <v>AR-C20-1</v>
      </c>
      <c r="I1008" s="661">
        <v>1</v>
      </c>
      <c r="J1008" s="661">
        <v>1</v>
      </c>
      <c r="L1008" s="708"/>
      <c r="Q1008" s="708"/>
    </row>
    <row r="1009" spans="1:17" s="243" customFormat="1" ht="14.25" customHeight="1" outlineLevel="2">
      <c r="A1009" s="687"/>
      <c r="B1009" s="299" t="s">
        <v>268</v>
      </c>
      <c r="C1009" s="304" t="s">
        <v>943</v>
      </c>
      <c r="D1009" s="685" t="s">
        <v>981</v>
      </c>
      <c r="E1009" s="306" t="s">
        <v>982</v>
      </c>
      <c r="F1009" s="307"/>
      <c r="G1009" s="297" t="s">
        <v>943</v>
      </c>
      <c r="H1009" s="308" t="str">
        <f t="shared" si="73"/>
        <v>AR-C20-1</v>
      </c>
      <c r="I1009" s="661">
        <v>1</v>
      </c>
      <c r="J1009" s="661">
        <v>1</v>
      </c>
      <c r="L1009" s="708"/>
      <c r="Q1009" s="708"/>
    </row>
    <row r="1010" spans="1:17" s="243" customFormat="1" ht="14.25" customHeight="1" outlineLevel="2">
      <c r="A1010" s="687"/>
      <c r="B1010" s="299" t="s">
        <v>268</v>
      </c>
      <c r="C1010" s="304" t="s">
        <v>943</v>
      </c>
      <c r="D1010" s="685" t="s">
        <v>983</v>
      </c>
      <c r="E1010" s="306" t="s">
        <v>984</v>
      </c>
      <c r="F1010" s="307"/>
      <c r="G1010" s="297" t="s">
        <v>943</v>
      </c>
      <c r="H1010" s="308" t="str">
        <f t="shared" si="73"/>
        <v>AR-C20-1</v>
      </c>
      <c r="I1010" s="661">
        <v>1</v>
      </c>
      <c r="J1010" s="661">
        <v>1</v>
      </c>
      <c r="L1010" s="708"/>
      <c r="Q1010" s="708"/>
    </row>
    <row r="1011" spans="1:17" s="243" customFormat="1" ht="14.25" customHeight="1" outlineLevel="2">
      <c r="A1011" s="687"/>
      <c r="B1011" s="299" t="s">
        <v>268</v>
      </c>
      <c r="C1011" s="304" t="s">
        <v>943</v>
      </c>
      <c r="D1011" s="685" t="s">
        <v>985</v>
      </c>
      <c r="E1011" s="306" t="s">
        <v>986</v>
      </c>
      <c r="F1011" s="307"/>
      <c r="G1011" s="297" t="s">
        <v>943</v>
      </c>
      <c r="H1011" s="308" t="str">
        <f t="shared" si="73"/>
        <v>AR-C20-1</v>
      </c>
      <c r="I1011" s="661">
        <v>1</v>
      </c>
      <c r="J1011" s="661">
        <v>1</v>
      </c>
      <c r="L1011" s="708"/>
      <c r="Q1011" s="708"/>
    </row>
    <row r="1012" spans="1:17" s="243" customFormat="1" ht="14.25" customHeight="1" outlineLevel="2">
      <c r="A1012" s="687"/>
      <c r="B1012" s="299" t="s">
        <v>268</v>
      </c>
      <c r="C1012" s="304" t="s">
        <v>943</v>
      </c>
      <c r="D1012" s="685" t="s">
        <v>987</v>
      </c>
      <c r="E1012" s="306" t="s">
        <v>988</v>
      </c>
      <c r="F1012" s="307"/>
      <c r="G1012" s="297" t="s">
        <v>943</v>
      </c>
      <c r="H1012" s="308" t="str">
        <f t="shared" si="73"/>
        <v>AR-C20-1</v>
      </c>
      <c r="I1012" s="661">
        <v>1</v>
      </c>
      <c r="J1012" s="661">
        <v>1</v>
      </c>
      <c r="L1012" s="708"/>
      <c r="Q1012" s="708"/>
    </row>
    <row r="1013" spans="1:17" s="243" customFormat="1" ht="3" customHeight="1" outlineLevel="2">
      <c r="A1013" s="687"/>
      <c r="B1013" s="299"/>
      <c r="C1013" s="304"/>
      <c r="D1013" s="685"/>
      <c r="E1013" s="306" t="s">
        <v>277</v>
      </c>
      <c r="F1013" s="307"/>
      <c r="G1013" s="297"/>
      <c r="H1013" s="308"/>
      <c r="I1013" s="661"/>
      <c r="J1013" s="661"/>
      <c r="L1013" s="708"/>
      <c r="Q1013" s="708"/>
    </row>
    <row r="1014" spans="1:17" s="243" customFormat="1" ht="14.25" customHeight="1" outlineLevel="2">
      <c r="A1014" s="687"/>
      <c r="B1014" s="299" t="s">
        <v>480</v>
      </c>
      <c r="C1014" s="304"/>
      <c r="D1014" s="685"/>
      <c r="E1014" s="306" t="s">
        <v>277</v>
      </c>
      <c r="F1014" s="307"/>
      <c r="G1014" s="297"/>
      <c r="H1014" s="308"/>
      <c r="I1014" s="661"/>
      <c r="J1014" s="661"/>
      <c r="L1014" s="708"/>
      <c r="Q1014" s="708"/>
    </row>
    <row r="1015" spans="1:17" s="243" customFormat="1" ht="14.25" customHeight="1" outlineLevel="2">
      <c r="A1015" s="682"/>
      <c r="B1015" s="299" t="s">
        <v>268</v>
      </c>
      <c r="C1015" s="304" t="s">
        <v>943</v>
      </c>
      <c r="D1015" s="685">
        <v>7410</v>
      </c>
      <c r="E1015" s="306" t="s">
        <v>989</v>
      </c>
      <c r="F1015" s="307"/>
      <c r="G1015" s="297" t="s">
        <v>943</v>
      </c>
      <c r="H1015" s="308" t="str">
        <f t="shared" ref="H1015:H1028" si="74">CONCATENATE("AR-",G1015,"-",I1015)</f>
        <v>AR-C20-1</v>
      </c>
      <c r="I1015" s="661">
        <v>1</v>
      </c>
      <c r="J1015" s="661">
        <v>1</v>
      </c>
      <c r="L1015" s="708"/>
      <c r="Q1015" s="708"/>
    </row>
    <row r="1016" spans="1:17" s="243" customFormat="1" ht="14.25" customHeight="1" outlineLevel="2">
      <c r="A1016" s="682"/>
      <c r="B1016" s="299" t="s">
        <v>268</v>
      </c>
      <c r="C1016" s="304" t="s">
        <v>943</v>
      </c>
      <c r="D1016" s="685">
        <v>7420</v>
      </c>
      <c r="E1016" s="306" t="s">
        <v>481</v>
      </c>
      <c r="F1016" s="307"/>
      <c r="G1016" s="297" t="s">
        <v>943</v>
      </c>
      <c r="H1016" s="308" t="str">
        <f t="shared" si="74"/>
        <v>AR-C20-1</v>
      </c>
      <c r="I1016" s="661">
        <v>1</v>
      </c>
      <c r="J1016" s="661">
        <v>1</v>
      </c>
      <c r="L1016" s="708"/>
      <c r="Q1016" s="708"/>
    </row>
    <row r="1017" spans="1:17" s="243" customFormat="1" ht="14.25" customHeight="1" outlineLevel="2">
      <c r="A1017" s="682"/>
      <c r="B1017" s="299" t="s">
        <v>268</v>
      </c>
      <c r="C1017" s="304" t="s">
        <v>943</v>
      </c>
      <c r="D1017" s="685">
        <v>7430</v>
      </c>
      <c r="E1017" s="306" t="s">
        <v>482</v>
      </c>
      <c r="F1017" s="307"/>
      <c r="G1017" s="297" t="s">
        <v>943</v>
      </c>
      <c r="H1017" s="308" t="str">
        <f t="shared" si="74"/>
        <v>AR-C20-1</v>
      </c>
      <c r="I1017" s="661">
        <v>1</v>
      </c>
      <c r="J1017" s="661">
        <v>1</v>
      </c>
      <c r="L1017" s="708"/>
      <c r="Q1017" s="708"/>
    </row>
    <row r="1018" spans="1:17" s="243" customFormat="1" ht="14.25" customHeight="1" outlineLevel="2">
      <c r="A1018" s="682"/>
      <c r="B1018" s="299" t="s">
        <v>268</v>
      </c>
      <c r="C1018" s="304" t="s">
        <v>943</v>
      </c>
      <c r="D1018" s="685">
        <v>7440</v>
      </c>
      <c r="E1018" s="306" t="s">
        <v>483</v>
      </c>
      <c r="F1018" s="307"/>
      <c r="G1018" s="297" t="s">
        <v>943</v>
      </c>
      <c r="H1018" s="308" t="str">
        <f t="shared" si="74"/>
        <v>AR-C20-1</v>
      </c>
      <c r="I1018" s="661">
        <v>1</v>
      </c>
      <c r="J1018" s="661">
        <v>1</v>
      </c>
      <c r="L1018" s="708"/>
      <c r="Q1018" s="708"/>
    </row>
    <row r="1019" spans="1:17" s="243" customFormat="1" ht="14.25" customHeight="1" outlineLevel="2">
      <c r="A1019" s="682"/>
      <c r="B1019" s="299" t="s">
        <v>268</v>
      </c>
      <c r="C1019" s="304" t="s">
        <v>943</v>
      </c>
      <c r="D1019" s="685">
        <v>7450</v>
      </c>
      <c r="E1019" s="306" t="s">
        <v>990</v>
      </c>
      <c r="F1019" s="307"/>
      <c r="G1019" s="297" t="s">
        <v>943</v>
      </c>
      <c r="H1019" s="308" t="str">
        <f t="shared" si="74"/>
        <v>AR-C20-1</v>
      </c>
      <c r="I1019" s="661">
        <v>1</v>
      </c>
      <c r="J1019" s="661">
        <v>1</v>
      </c>
      <c r="L1019" s="708"/>
      <c r="Q1019" s="708"/>
    </row>
    <row r="1020" spans="1:17" s="243" customFormat="1" ht="14.25" customHeight="1" outlineLevel="2">
      <c r="A1020" s="682"/>
      <c r="B1020" s="299" t="s">
        <v>268</v>
      </c>
      <c r="C1020" s="304" t="s">
        <v>943</v>
      </c>
      <c r="D1020" s="685">
        <v>7461</v>
      </c>
      <c r="E1020" s="306" t="s">
        <v>991</v>
      </c>
      <c r="F1020" s="307"/>
      <c r="G1020" s="297" t="s">
        <v>943</v>
      </c>
      <c r="H1020" s="308" t="str">
        <f t="shared" si="74"/>
        <v>AR-C20-1</v>
      </c>
      <c r="I1020" s="661">
        <v>1</v>
      </c>
      <c r="J1020" s="661">
        <v>1</v>
      </c>
      <c r="L1020" s="708"/>
      <c r="Q1020" s="708"/>
    </row>
    <row r="1021" spans="1:17" s="243" customFormat="1" ht="14.25" customHeight="1" outlineLevel="2">
      <c r="A1021" s="682"/>
      <c r="B1021" s="299" t="s">
        <v>268</v>
      </c>
      <c r="C1021" s="304" t="s">
        <v>943</v>
      </c>
      <c r="D1021" s="685">
        <v>7462</v>
      </c>
      <c r="E1021" s="306" t="s">
        <v>992</v>
      </c>
      <c r="F1021" s="307"/>
      <c r="G1021" s="297" t="s">
        <v>943</v>
      </c>
      <c r="H1021" s="308" t="str">
        <f t="shared" si="74"/>
        <v>AR-C20-1</v>
      </c>
      <c r="I1021" s="661">
        <v>1</v>
      </c>
      <c r="J1021" s="661">
        <v>1</v>
      </c>
      <c r="L1021" s="708"/>
      <c r="Q1021" s="708"/>
    </row>
    <row r="1022" spans="1:17" s="243" customFormat="1" ht="14.25" customHeight="1" outlineLevel="2">
      <c r="A1022" s="682"/>
      <c r="B1022" s="299" t="s">
        <v>268</v>
      </c>
      <c r="C1022" s="304" t="s">
        <v>943</v>
      </c>
      <c r="D1022" s="685">
        <v>7463</v>
      </c>
      <c r="E1022" s="306" t="s">
        <v>993</v>
      </c>
      <c r="F1022" s="307"/>
      <c r="G1022" s="297" t="s">
        <v>943</v>
      </c>
      <c r="H1022" s="308" t="str">
        <f t="shared" si="74"/>
        <v>AR-C20-1</v>
      </c>
      <c r="I1022" s="661">
        <v>1</v>
      </c>
      <c r="J1022" s="661">
        <v>1</v>
      </c>
      <c r="L1022" s="708"/>
      <c r="Q1022" s="708"/>
    </row>
    <row r="1023" spans="1:17" s="243" customFormat="1" ht="14.25" customHeight="1" outlineLevel="2">
      <c r="A1023" s="682"/>
      <c r="B1023" s="299" t="s">
        <v>268</v>
      </c>
      <c r="C1023" s="304" t="s">
        <v>943</v>
      </c>
      <c r="D1023" s="685">
        <v>7470</v>
      </c>
      <c r="E1023" s="306" t="s">
        <v>484</v>
      </c>
      <c r="F1023" s="307"/>
      <c r="G1023" s="297" t="s">
        <v>943</v>
      </c>
      <c r="H1023" s="308" t="str">
        <f t="shared" si="74"/>
        <v>AR-C20-1</v>
      </c>
      <c r="I1023" s="661">
        <v>1</v>
      </c>
      <c r="J1023" s="661">
        <v>1</v>
      </c>
      <c r="L1023" s="708"/>
      <c r="Q1023" s="708"/>
    </row>
    <row r="1024" spans="1:17" s="243" customFormat="1" ht="14.25" customHeight="1" outlineLevel="2">
      <c r="A1024" s="682"/>
      <c r="B1024" s="299" t="s">
        <v>268</v>
      </c>
      <c r="C1024" s="304" t="s">
        <v>943</v>
      </c>
      <c r="D1024" s="685">
        <v>7480</v>
      </c>
      <c r="E1024" s="306" t="s">
        <v>994</v>
      </c>
      <c r="F1024" s="307"/>
      <c r="G1024" s="297" t="s">
        <v>943</v>
      </c>
      <c r="H1024" s="308" t="str">
        <f t="shared" si="74"/>
        <v>AR-C20-1</v>
      </c>
      <c r="I1024" s="661">
        <v>1</v>
      </c>
      <c r="J1024" s="661">
        <v>1</v>
      </c>
      <c r="L1024" s="708"/>
      <c r="Q1024" s="708"/>
    </row>
    <row r="1025" spans="1:17" s="243" customFormat="1" ht="14.25" customHeight="1" outlineLevel="2">
      <c r="A1025" s="682"/>
      <c r="B1025" s="299" t="s">
        <v>268</v>
      </c>
      <c r="C1025" s="304" t="s">
        <v>943</v>
      </c>
      <c r="D1025" s="685">
        <v>7490</v>
      </c>
      <c r="E1025" s="306" t="s">
        <v>995</v>
      </c>
      <c r="F1025" s="307"/>
      <c r="G1025" s="297" t="s">
        <v>943</v>
      </c>
      <c r="H1025" s="308" t="str">
        <f t="shared" si="74"/>
        <v>AR-C20-1</v>
      </c>
      <c r="I1025" s="661">
        <v>1</v>
      </c>
      <c r="J1025" s="661">
        <v>1</v>
      </c>
      <c r="L1025" s="708"/>
      <c r="Q1025" s="708"/>
    </row>
    <row r="1026" spans="1:17" s="243" customFormat="1" ht="14.25" customHeight="1" outlineLevel="2">
      <c r="A1026" s="682"/>
      <c r="B1026" s="299" t="s">
        <v>268</v>
      </c>
      <c r="C1026" s="304" t="s">
        <v>943</v>
      </c>
      <c r="D1026" s="685">
        <v>7500</v>
      </c>
      <c r="E1026" s="306" t="s">
        <v>485</v>
      </c>
      <c r="F1026" s="307"/>
      <c r="G1026" s="297" t="s">
        <v>943</v>
      </c>
      <c r="H1026" s="308" t="str">
        <f t="shared" si="74"/>
        <v>AR-C20-1</v>
      </c>
      <c r="I1026" s="661">
        <v>1</v>
      </c>
      <c r="J1026" s="661">
        <v>1</v>
      </c>
      <c r="L1026" s="708"/>
      <c r="Q1026" s="708"/>
    </row>
    <row r="1027" spans="1:17" s="243" customFormat="1" ht="14.25" customHeight="1" outlineLevel="2">
      <c r="A1027" s="682"/>
      <c r="B1027" s="299" t="s">
        <v>268</v>
      </c>
      <c r="C1027" s="304" t="s">
        <v>943</v>
      </c>
      <c r="D1027" s="685">
        <v>7510</v>
      </c>
      <c r="E1027" s="306" t="s">
        <v>996</v>
      </c>
      <c r="F1027" s="307"/>
      <c r="G1027" s="297" t="s">
        <v>943</v>
      </c>
      <c r="H1027" s="308" t="str">
        <f t="shared" si="74"/>
        <v>AR-C20-1</v>
      </c>
      <c r="I1027" s="661">
        <v>1</v>
      </c>
      <c r="J1027" s="661">
        <v>1</v>
      </c>
      <c r="L1027" s="708"/>
      <c r="Q1027" s="708"/>
    </row>
    <row r="1028" spans="1:17" s="243" customFormat="1" ht="14.25" customHeight="1" outlineLevel="2">
      <c r="A1028" s="682"/>
      <c r="B1028" s="299" t="s">
        <v>268</v>
      </c>
      <c r="C1028" s="304" t="s">
        <v>943</v>
      </c>
      <c r="D1028" s="685" t="s">
        <v>997</v>
      </c>
      <c r="E1028" s="306" t="s">
        <v>998</v>
      </c>
      <c r="F1028" s="307"/>
      <c r="G1028" s="297" t="s">
        <v>943</v>
      </c>
      <c r="H1028" s="308" t="str">
        <f t="shared" si="74"/>
        <v>AR-C20-1</v>
      </c>
      <c r="I1028" s="661">
        <v>1</v>
      </c>
      <c r="J1028" s="661">
        <v>1</v>
      </c>
      <c r="L1028" s="708"/>
      <c r="Q1028" s="708"/>
    </row>
    <row r="1029" spans="1:17" s="243" customFormat="1" ht="3" customHeight="1" outlineLevel="1">
      <c r="A1029" s="682"/>
      <c r="B1029" s="299"/>
      <c r="C1029" s="304"/>
      <c r="D1029" s="685"/>
      <c r="E1029" s="306"/>
      <c r="F1029" s="307"/>
      <c r="G1029" s="297"/>
      <c r="H1029" s="308"/>
      <c r="I1029" s="661"/>
      <c r="J1029" s="240"/>
      <c r="L1029" s="708"/>
      <c r="Q1029" s="708"/>
    </row>
    <row r="1030" spans="1:17" s="248" customFormat="1" ht="14.25" customHeight="1" outlineLevel="1">
      <c r="B1030" s="299" t="s">
        <v>999</v>
      </c>
      <c r="C1030" s="304"/>
      <c r="D1030" s="685"/>
      <c r="E1030" s="306"/>
      <c r="F1030" s="307"/>
      <c r="G1030" s="297"/>
      <c r="H1030" s="308"/>
      <c r="I1030" s="661"/>
      <c r="J1030" s="245"/>
      <c r="L1030" s="709"/>
      <c r="Q1030" s="709"/>
    </row>
    <row r="1031" spans="1:17" s="248" customFormat="1" ht="3" customHeight="1" outlineLevel="2">
      <c r="B1031" s="299"/>
      <c r="C1031" s="304"/>
      <c r="D1031" s="685"/>
      <c r="E1031" s="306" t="s">
        <v>277</v>
      </c>
      <c r="F1031" s="307"/>
      <c r="G1031" s="297"/>
      <c r="H1031" s="308"/>
      <c r="I1031" s="661"/>
      <c r="J1031" s="245"/>
      <c r="L1031" s="709"/>
      <c r="Q1031" s="709"/>
    </row>
    <row r="1032" spans="1:17" s="233" customFormat="1" ht="13.5" customHeight="1" outlineLevel="2">
      <c r="A1032" s="681"/>
      <c r="B1032" s="299" t="s">
        <v>942</v>
      </c>
      <c r="C1032" s="304"/>
      <c r="D1032" s="685"/>
      <c r="E1032" s="306" t="s">
        <v>277</v>
      </c>
      <c r="F1032" s="307"/>
      <c r="G1032" s="297"/>
      <c r="H1032" s="308"/>
      <c r="I1032" s="661"/>
      <c r="J1032" s="197"/>
      <c r="L1032" s="237"/>
      <c r="Q1032" s="237"/>
    </row>
    <row r="1033" spans="1:17" s="243" customFormat="1" ht="14.25" customHeight="1" outlineLevel="2">
      <c r="A1033" s="687"/>
      <c r="B1033" s="299" t="s">
        <v>268</v>
      </c>
      <c r="C1033" s="304" t="s">
        <v>1000</v>
      </c>
      <c r="D1033" s="685" t="s">
        <v>279</v>
      </c>
      <c r="E1033" s="306" t="s">
        <v>944</v>
      </c>
      <c r="F1033" s="307"/>
      <c r="G1033" s="297" t="s">
        <v>1000</v>
      </c>
      <c r="H1033" s="308" t="str">
        <f t="shared" ref="H1033:H1040" si="75">CONCATENATE("AR-",G1033,"-",I1033)</f>
        <v>AR-L30-1</v>
      </c>
      <c r="I1033" s="661">
        <v>1</v>
      </c>
      <c r="J1033" s="661">
        <v>1</v>
      </c>
      <c r="L1033" s="708"/>
      <c r="Q1033" s="708"/>
    </row>
    <row r="1034" spans="1:17" s="243" customFormat="1" ht="14.25" customHeight="1" outlineLevel="2">
      <c r="A1034" s="687"/>
      <c r="B1034" s="299" t="s">
        <v>268</v>
      </c>
      <c r="C1034" s="304" t="s">
        <v>1000</v>
      </c>
      <c r="D1034" s="685" t="s">
        <v>374</v>
      </c>
      <c r="E1034" s="306" t="s">
        <v>945</v>
      </c>
      <c r="F1034" s="307"/>
      <c r="G1034" s="297" t="s">
        <v>1000</v>
      </c>
      <c r="H1034" s="308" t="str">
        <f t="shared" si="75"/>
        <v>AR-L30-1</v>
      </c>
      <c r="I1034" s="661">
        <v>1</v>
      </c>
      <c r="J1034" s="661">
        <v>1</v>
      </c>
      <c r="L1034" s="708"/>
      <c r="Q1034" s="708"/>
    </row>
    <row r="1035" spans="1:17" s="243" customFormat="1" ht="14.25" customHeight="1" outlineLevel="2">
      <c r="A1035" s="687"/>
      <c r="B1035" s="299" t="s">
        <v>268</v>
      </c>
      <c r="C1035" s="304" t="s">
        <v>1000</v>
      </c>
      <c r="D1035" s="685" t="s">
        <v>701</v>
      </c>
      <c r="E1035" s="306" t="s">
        <v>946</v>
      </c>
      <c r="F1035" s="307"/>
      <c r="G1035" s="297" t="s">
        <v>1000</v>
      </c>
      <c r="H1035" s="308" t="str">
        <f t="shared" si="75"/>
        <v>AR-L30-1</v>
      </c>
      <c r="I1035" s="661">
        <v>1</v>
      </c>
      <c r="J1035" s="661">
        <v>1</v>
      </c>
      <c r="L1035" s="708"/>
      <c r="Q1035" s="708"/>
    </row>
    <row r="1036" spans="1:17" s="243" customFormat="1" ht="14.25" customHeight="1" outlineLevel="2">
      <c r="A1036" s="687"/>
      <c r="B1036" s="299" t="s">
        <v>268</v>
      </c>
      <c r="C1036" s="304" t="s">
        <v>1000</v>
      </c>
      <c r="D1036" s="685" t="s">
        <v>283</v>
      </c>
      <c r="E1036" s="306" t="s">
        <v>1001</v>
      </c>
      <c r="F1036" s="307"/>
      <c r="G1036" s="297" t="s">
        <v>1000</v>
      </c>
      <c r="H1036" s="308" t="str">
        <f t="shared" si="75"/>
        <v>AR-L30-1</v>
      </c>
      <c r="I1036" s="661">
        <v>1</v>
      </c>
      <c r="J1036" s="661">
        <v>1</v>
      </c>
      <c r="L1036" s="708"/>
      <c r="Q1036" s="708"/>
    </row>
    <row r="1037" spans="1:17" s="243" customFormat="1" ht="14.25" customHeight="1" outlineLevel="2">
      <c r="A1037" s="687"/>
      <c r="B1037" s="299" t="s">
        <v>268</v>
      </c>
      <c r="C1037" s="304" t="s">
        <v>1000</v>
      </c>
      <c r="D1037" s="685" t="s">
        <v>390</v>
      </c>
      <c r="E1037" s="306" t="s">
        <v>1002</v>
      </c>
      <c r="F1037" s="307"/>
      <c r="G1037" s="297" t="s">
        <v>1000</v>
      </c>
      <c r="H1037" s="308" t="str">
        <f t="shared" si="75"/>
        <v>AR-L30-1</v>
      </c>
      <c r="I1037" s="661">
        <v>1</v>
      </c>
      <c r="J1037" s="661">
        <v>1</v>
      </c>
      <c r="L1037" s="708"/>
      <c r="Q1037" s="708"/>
    </row>
    <row r="1038" spans="1:17" s="243" customFormat="1" ht="14.25" customHeight="1" outlineLevel="2">
      <c r="A1038" s="687"/>
      <c r="B1038" s="299" t="s">
        <v>268</v>
      </c>
      <c r="C1038" s="304" t="s">
        <v>1000</v>
      </c>
      <c r="D1038" s="685" t="s">
        <v>291</v>
      </c>
      <c r="E1038" s="306" t="s">
        <v>1003</v>
      </c>
      <c r="F1038" s="307"/>
      <c r="G1038" s="297" t="s">
        <v>1000</v>
      </c>
      <c r="H1038" s="308" t="str">
        <f t="shared" si="75"/>
        <v>AR-L30-1</v>
      </c>
      <c r="I1038" s="661">
        <v>1</v>
      </c>
      <c r="J1038" s="661">
        <v>1</v>
      </c>
      <c r="L1038" s="708"/>
      <c r="Q1038" s="708"/>
    </row>
    <row r="1039" spans="1:17" s="243" customFormat="1" ht="14.25" customHeight="1" outlineLevel="2">
      <c r="B1039" s="299" t="s">
        <v>268</v>
      </c>
      <c r="C1039" s="304" t="s">
        <v>1000</v>
      </c>
      <c r="D1039" s="685" t="s">
        <v>950</v>
      </c>
      <c r="E1039" s="306" t="s">
        <v>1004</v>
      </c>
      <c r="F1039" s="307"/>
      <c r="G1039" s="297" t="s">
        <v>1000</v>
      </c>
      <c r="H1039" s="308" t="str">
        <f t="shared" si="75"/>
        <v>AR-L30-1</v>
      </c>
      <c r="I1039" s="661">
        <v>1</v>
      </c>
      <c r="J1039" s="661">
        <v>1</v>
      </c>
      <c r="L1039" s="708"/>
      <c r="Q1039" s="708"/>
    </row>
    <row r="1040" spans="1:17" s="243" customFormat="1" ht="14.25" customHeight="1" outlineLevel="2">
      <c r="B1040" s="299" t="s">
        <v>268</v>
      </c>
      <c r="C1040" s="304" t="s">
        <v>1000</v>
      </c>
      <c r="D1040" s="685" t="s">
        <v>297</v>
      </c>
      <c r="E1040" s="306" t="s">
        <v>952</v>
      </c>
      <c r="F1040" s="307"/>
      <c r="G1040" s="297" t="s">
        <v>1000</v>
      </c>
      <c r="H1040" s="308" t="str">
        <f t="shared" si="75"/>
        <v>AR-L30-1</v>
      </c>
      <c r="I1040" s="661">
        <v>1</v>
      </c>
      <c r="J1040" s="661">
        <v>1</v>
      </c>
      <c r="L1040" s="708"/>
      <c r="Q1040" s="708"/>
    </row>
    <row r="1041" spans="2:17" s="243" customFormat="1" ht="14.25" customHeight="1" outlineLevel="2">
      <c r="B1041" s="299" t="s">
        <v>268</v>
      </c>
      <c r="C1041" s="304" t="s">
        <v>1000</v>
      </c>
      <c r="D1041" s="685" t="s">
        <v>1005</v>
      </c>
      <c r="E1041" s="306" t="s">
        <v>1006</v>
      </c>
      <c r="F1041" s="307"/>
      <c r="G1041" s="297"/>
      <c r="H1041" s="308"/>
      <c r="I1041" s="661"/>
      <c r="J1041" s="661"/>
      <c r="L1041" s="708"/>
      <c r="Q1041" s="708"/>
    </row>
    <row r="1042" spans="2:17" s="243" customFormat="1" ht="3" customHeight="1" outlineLevel="2">
      <c r="B1042" s="299"/>
      <c r="C1042" s="304"/>
      <c r="D1042" s="685"/>
      <c r="E1042" s="306" t="s">
        <v>277</v>
      </c>
      <c r="F1042" s="307"/>
      <c r="G1042" s="297"/>
      <c r="H1042" s="308"/>
      <c r="I1042" s="661"/>
      <c r="J1042" s="661"/>
      <c r="L1042" s="708"/>
      <c r="Q1042" s="708"/>
    </row>
    <row r="1043" spans="2:17" s="233" customFormat="1" ht="13.5" customHeight="1" outlineLevel="2">
      <c r="B1043" s="299" t="s">
        <v>953</v>
      </c>
      <c r="C1043" s="304"/>
      <c r="D1043" s="685"/>
      <c r="E1043" s="306" t="s">
        <v>277</v>
      </c>
      <c r="F1043" s="307"/>
      <c r="G1043" s="297"/>
      <c r="H1043" s="308"/>
      <c r="I1043" s="661"/>
      <c r="J1043" s="661"/>
      <c r="L1043" s="237"/>
      <c r="Q1043" s="237"/>
    </row>
    <row r="1044" spans="2:17" s="243" customFormat="1" ht="14.25" customHeight="1" outlineLevel="2">
      <c r="B1044" s="299" t="s">
        <v>268</v>
      </c>
      <c r="C1044" s="304" t="s">
        <v>1000</v>
      </c>
      <c r="D1044" s="685" t="s">
        <v>954</v>
      </c>
      <c r="E1044" s="306" t="s">
        <v>955</v>
      </c>
      <c r="F1044" s="307"/>
      <c r="G1044" s="297" t="s">
        <v>1000</v>
      </c>
      <c r="H1044" s="308" t="str">
        <f>CONCATENATE("AR-",G1044,"-",I1044)</f>
        <v>AR-L30-1</v>
      </c>
      <c r="I1044" s="661">
        <v>1</v>
      </c>
      <c r="J1044" s="661">
        <v>1</v>
      </c>
      <c r="L1044" s="708"/>
      <c r="Q1044" s="708"/>
    </row>
    <row r="1045" spans="2:17" s="243" customFormat="1" ht="14.25" customHeight="1" outlineLevel="2">
      <c r="B1045" s="299" t="s">
        <v>268</v>
      </c>
      <c r="C1045" s="304" t="s">
        <v>1000</v>
      </c>
      <c r="D1045" s="685" t="s">
        <v>956</v>
      </c>
      <c r="E1045" s="306" t="s">
        <v>955</v>
      </c>
      <c r="F1045" s="307"/>
      <c r="G1045" s="297" t="s">
        <v>1000</v>
      </c>
      <c r="H1045" s="308" t="str">
        <f>CONCATENATE("AR-",G1045,"-",I1045)</f>
        <v>AR-L30-1</v>
      </c>
      <c r="I1045" s="661">
        <v>1</v>
      </c>
      <c r="J1045" s="661">
        <v>1</v>
      </c>
      <c r="L1045" s="708"/>
      <c r="Q1045" s="708"/>
    </row>
    <row r="1046" spans="2:17" s="243" customFormat="1" ht="3" customHeight="1" outlineLevel="2">
      <c r="B1046" s="299"/>
      <c r="C1046" s="304"/>
      <c r="D1046" s="685"/>
      <c r="E1046" s="306" t="s">
        <v>277</v>
      </c>
      <c r="F1046" s="307"/>
      <c r="G1046" s="297"/>
      <c r="H1046" s="308"/>
      <c r="I1046" s="661"/>
      <c r="J1046" s="661"/>
      <c r="L1046" s="708"/>
      <c r="Q1046" s="708"/>
    </row>
    <row r="1047" spans="2:17" s="243" customFormat="1" ht="14.25" customHeight="1" outlineLevel="2">
      <c r="B1047" s="299" t="s">
        <v>957</v>
      </c>
      <c r="C1047" s="304"/>
      <c r="D1047" s="685"/>
      <c r="E1047" s="306" t="s">
        <v>277</v>
      </c>
      <c r="F1047" s="307"/>
      <c r="G1047" s="297"/>
      <c r="H1047" s="308"/>
      <c r="I1047" s="661"/>
      <c r="J1047" s="661"/>
      <c r="L1047" s="708"/>
      <c r="Q1047" s="708"/>
    </row>
    <row r="1048" spans="2:17" s="243" customFormat="1" ht="14.25" customHeight="1" outlineLevel="2">
      <c r="B1048" s="299" t="s">
        <v>268</v>
      </c>
      <c r="C1048" s="304" t="s">
        <v>1000</v>
      </c>
      <c r="D1048" s="685" t="s">
        <v>425</v>
      </c>
      <c r="E1048" s="306" t="s">
        <v>910</v>
      </c>
      <c r="F1048" s="307"/>
      <c r="G1048" s="297" t="s">
        <v>1000</v>
      </c>
      <c r="H1048" s="308" t="str">
        <f>CONCATENATE("AR-",G1048,"-",I1048)</f>
        <v>AR-L30-1</v>
      </c>
      <c r="I1048" s="661">
        <v>1</v>
      </c>
      <c r="J1048" s="661">
        <v>1</v>
      </c>
      <c r="L1048" s="708"/>
      <c r="Q1048" s="708"/>
    </row>
    <row r="1049" spans="2:17" s="243" customFormat="1" ht="14.25" customHeight="1" outlineLevel="2">
      <c r="B1049" s="299" t="s">
        <v>268</v>
      </c>
      <c r="C1049" s="304" t="s">
        <v>1000</v>
      </c>
      <c r="D1049" s="685" t="s">
        <v>427</v>
      </c>
      <c r="E1049" s="306" t="s">
        <v>911</v>
      </c>
      <c r="F1049" s="307"/>
      <c r="G1049" s="297" t="s">
        <v>1000</v>
      </c>
      <c r="H1049" s="308" t="str">
        <f>CONCATENATE("AR-",G1049,"-",I1049)</f>
        <v>AR-L30-1</v>
      </c>
      <c r="I1049" s="661">
        <v>1</v>
      </c>
      <c r="J1049" s="661">
        <v>1</v>
      </c>
      <c r="L1049" s="708"/>
      <c r="Q1049" s="708"/>
    </row>
    <row r="1050" spans="2:17" s="243" customFormat="1" ht="14.25" customHeight="1" outlineLevel="2">
      <c r="B1050" s="299" t="s">
        <v>268</v>
      </c>
      <c r="C1050" s="304" t="s">
        <v>1000</v>
      </c>
      <c r="D1050" s="685" t="s">
        <v>429</v>
      </c>
      <c r="E1050" s="306" t="s">
        <v>912</v>
      </c>
      <c r="F1050" s="307"/>
      <c r="G1050" s="297" t="s">
        <v>1000</v>
      </c>
      <c r="H1050" s="308" t="str">
        <f>CONCATENATE("AR-",G1050,"-",I1050)</f>
        <v>AR-L30-1</v>
      </c>
      <c r="I1050" s="661">
        <v>1</v>
      </c>
      <c r="J1050" s="661">
        <v>1</v>
      </c>
      <c r="L1050" s="708"/>
      <c r="Q1050" s="708"/>
    </row>
    <row r="1051" spans="2:17" s="243" customFormat="1" ht="14.25" customHeight="1" outlineLevel="2">
      <c r="B1051" s="299" t="s">
        <v>268</v>
      </c>
      <c r="C1051" s="304" t="s">
        <v>1000</v>
      </c>
      <c r="D1051" s="685" t="s">
        <v>431</v>
      </c>
      <c r="E1051" s="306" t="s">
        <v>913</v>
      </c>
      <c r="F1051" s="307"/>
      <c r="G1051" s="297" t="s">
        <v>1000</v>
      </c>
      <c r="H1051" s="308" t="str">
        <f>CONCATENATE("AR-",G1051,"-",I1051)</f>
        <v>AR-L30-1</v>
      </c>
      <c r="I1051" s="661">
        <v>1</v>
      </c>
      <c r="J1051" s="661">
        <v>1</v>
      </c>
      <c r="L1051" s="708"/>
      <c r="Q1051" s="708"/>
    </row>
    <row r="1052" spans="2:17" s="233" customFormat="1" ht="13.5" customHeight="1" outlineLevel="2">
      <c r="B1052" s="299" t="s">
        <v>967</v>
      </c>
      <c r="C1052" s="304"/>
      <c r="D1052" s="685"/>
      <c r="E1052" s="306" t="s">
        <v>277</v>
      </c>
      <c r="F1052" s="307"/>
      <c r="G1052" s="297"/>
      <c r="H1052" s="308"/>
      <c r="I1052" s="661"/>
      <c r="J1052" s="661"/>
      <c r="L1052" s="237"/>
      <c r="Q1052" s="237"/>
    </row>
    <row r="1053" spans="2:17" s="243" customFormat="1" ht="14.25" customHeight="1" outlineLevel="2">
      <c r="B1053" s="299" t="s">
        <v>268</v>
      </c>
      <c r="C1053" s="304" t="s">
        <v>1000</v>
      </c>
      <c r="D1053" s="685" t="s">
        <v>968</v>
      </c>
      <c r="E1053" s="306" t="s">
        <v>969</v>
      </c>
      <c r="F1053" s="307"/>
      <c r="G1053" s="297" t="s">
        <v>1000</v>
      </c>
      <c r="H1053" s="308" t="str">
        <f>CONCATENATE("AR-",G1053,"-",I1053)</f>
        <v>AR-L30-1</v>
      </c>
      <c r="I1053" s="661">
        <v>1</v>
      </c>
      <c r="J1053" s="661">
        <v>1</v>
      </c>
      <c r="L1053" s="708"/>
      <c r="Q1053" s="708"/>
    </row>
    <row r="1054" spans="2:17" s="243" customFormat="1" ht="14.25" customHeight="1" outlineLevel="2">
      <c r="B1054" s="299" t="s">
        <v>268</v>
      </c>
      <c r="C1054" s="304" t="s">
        <v>1000</v>
      </c>
      <c r="D1054" s="685" t="s">
        <v>970</v>
      </c>
      <c r="E1054" s="306" t="s">
        <v>971</v>
      </c>
      <c r="F1054" s="307"/>
      <c r="G1054" s="297" t="s">
        <v>1000</v>
      </c>
      <c r="H1054" s="308" t="str">
        <f>CONCATENATE("AR-",G1054,"-",I1054)</f>
        <v>AR-L30-1</v>
      </c>
      <c r="I1054" s="661">
        <v>1</v>
      </c>
      <c r="J1054" s="661">
        <v>1</v>
      </c>
      <c r="L1054" s="708"/>
      <c r="Q1054" s="708"/>
    </row>
    <row r="1055" spans="2:17" s="243" customFormat="1" ht="14.25" customHeight="1" outlineLevel="2">
      <c r="B1055" s="299" t="s">
        <v>268</v>
      </c>
      <c r="C1055" s="304" t="s">
        <v>1000</v>
      </c>
      <c r="D1055" s="685" t="s">
        <v>972</v>
      </c>
      <c r="E1055" s="306" t="s">
        <v>973</v>
      </c>
      <c r="F1055" s="307"/>
      <c r="G1055" s="297" t="s">
        <v>1000</v>
      </c>
      <c r="H1055" s="308" t="str">
        <f>CONCATENATE("AR-",G1055,"-",I1055)</f>
        <v>AR-L30-1</v>
      </c>
      <c r="I1055" s="661">
        <v>1</v>
      </c>
      <c r="J1055" s="661">
        <v>1</v>
      </c>
      <c r="L1055" s="708"/>
      <c r="Q1055" s="708"/>
    </row>
    <row r="1056" spans="2:17" s="243" customFormat="1" ht="14.25" customHeight="1" outlineLevel="2">
      <c r="B1056" s="299" t="s">
        <v>268</v>
      </c>
      <c r="C1056" s="304" t="s">
        <v>1000</v>
      </c>
      <c r="D1056" s="685" t="s">
        <v>974</v>
      </c>
      <c r="E1056" s="306" t="s">
        <v>975</v>
      </c>
      <c r="F1056" s="307"/>
      <c r="G1056" s="297" t="s">
        <v>1000</v>
      </c>
      <c r="H1056" s="308" t="str">
        <f>CONCATENATE("AR-",G1056,"-",I1056)</f>
        <v>AR-L30-1</v>
      </c>
      <c r="I1056" s="661">
        <v>1</v>
      </c>
      <c r="J1056" s="661">
        <v>1</v>
      </c>
      <c r="L1056" s="708"/>
      <c r="Q1056" s="708"/>
    </row>
    <row r="1057" spans="2:17" s="243" customFormat="1" ht="3" customHeight="1" outlineLevel="2">
      <c r="B1057" s="299"/>
      <c r="C1057" s="304"/>
      <c r="D1057" s="685"/>
      <c r="E1057" s="306" t="s">
        <v>277</v>
      </c>
      <c r="F1057" s="307"/>
      <c r="G1057" s="297"/>
      <c r="H1057" s="308"/>
      <c r="I1057" s="661"/>
      <c r="J1057" s="661"/>
      <c r="L1057" s="708"/>
      <c r="Q1057" s="708"/>
    </row>
    <row r="1058" spans="2:17" s="233" customFormat="1" ht="13.5" customHeight="1" outlineLevel="2">
      <c r="B1058" s="299" t="s">
        <v>976</v>
      </c>
      <c r="C1058" s="304"/>
      <c r="D1058" s="685"/>
      <c r="E1058" s="306" t="s">
        <v>277</v>
      </c>
      <c r="F1058" s="307"/>
      <c r="G1058" s="297"/>
      <c r="H1058" s="308"/>
      <c r="I1058" s="661"/>
      <c r="J1058" s="661"/>
      <c r="L1058" s="237"/>
      <c r="Q1058" s="237"/>
    </row>
    <row r="1059" spans="2:17" s="243" customFormat="1" ht="14.25" customHeight="1" outlineLevel="2">
      <c r="B1059" s="299" t="s">
        <v>268</v>
      </c>
      <c r="C1059" s="304" t="s">
        <v>1000</v>
      </c>
      <c r="D1059" s="685" t="s">
        <v>977</v>
      </c>
      <c r="E1059" s="306" t="s">
        <v>1007</v>
      </c>
      <c r="F1059" s="307"/>
      <c r="G1059" s="297" t="s">
        <v>1000</v>
      </c>
      <c r="H1059" s="308" t="str">
        <f>CONCATENATE("AR-",G1059,"-",I1059)</f>
        <v>AR-L30-1</v>
      </c>
      <c r="I1059" s="661">
        <v>1</v>
      </c>
      <c r="J1059" s="661">
        <v>1</v>
      </c>
      <c r="L1059" s="708"/>
      <c r="Q1059" s="708"/>
    </row>
    <row r="1060" spans="2:17" s="243" customFormat="1" ht="14.25" customHeight="1" outlineLevel="2">
      <c r="B1060" s="299" t="s">
        <v>268</v>
      </c>
      <c r="C1060" s="304" t="s">
        <v>1000</v>
      </c>
      <c r="D1060" s="685" t="s">
        <v>981</v>
      </c>
      <c r="E1060" s="306" t="s">
        <v>1008</v>
      </c>
      <c r="F1060" s="307"/>
      <c r="G1060" s="297" t="s">
        <v>1000</v>
      </c>
      <c r="H1060" s="308" t="str">
        <f>CONCATENATE("AR-",G1060,"-",I1060)</f>
        <v>AR-L30-1</v>
      </c>
      <c r="I1060" s="661">
        <v>1</v>
      </c>
      <c r="J1060" s="661">
        <v>1</v>
      </c>
      <c r="L1060" s="708"/>
      <c r="Q1060" s="708"/>
    </row>
    <row r="1061" spans="2:17" s="243" customFormat="1" ht="14.25" customHeight="1" outlineLevel="2">
      <c r="B1061" s="299" t="s">
        <v>268</v>
      </c>
      <c r="C1061" s="304" t="s">
        <v>1000</v>
      </c>
      <c r="D1061" s="685" t="s">
        <v>985</v>
      </c>
      <c r="E1061" s="306" t="s">
        <v>1009</v>
      </c>
      <c r="F1061" s="307"/>
      <c r="G1061" s="297" t="s">
        <v>1000</v>
      </c>
      <c r="H1061" s="308" t="str">
        <f>CONCATENATE("AR-",G1061,"-",I1061)</f>
        <v>AR-L30-1</v>
      </c>
      <c r="I1061" s="661">
        <v>1</v>
      </c>
      <c r="J1061" s="661">
        <v>1</v>
      </c>
      <c r="L1061" s="708"/>
      <c r="Q1061" s="708"/>
    </row>
    <row r="1062" spans="2:17" s="243" customFormat="1" ht="14.25" customHeight="1" outlineLevel="2">
      <c r="B1062" s="299" t="s">
        <v>268</v>
      </c>
      <c r="C1062" s="304" t="s">
        <v>1000</v>
      </c>
      <c r="D1062" s="685" t="s">
        <v>985</v>
      </c>
      <c r="E1062" s="306" t="s">
        <v>1010</v>
      </c>
      <c r="F1062" s="307"/>
      <c r="G1062" s="297" t="s">
        <v>1000</v>
      </c>
      <c r="H1062" s="308" t="str">
        <f>CONCATENATE("AR-",G1062,"-",I1062)</f>
        <v>AR-L30-1</v>
      </c>
      <c r="I1062" s="661">
        <v>1</v>
      </c>
      <c r="J1062" s="661">
        <v>1</v>
      </c>
      <c r="L1062" s="708"/>
      <c r="Q1062" s="708"/>
    </row>
    <row r="1063" spans="2:17" s="243" customFormat="1" ht="3" customHeight="1" outlineLevel="2">
      <c r="B1063" s="299"/>
      <c r="C1063" s="304"/>
      <c r="D1063" s="685"/>
      <c r="E1063" s="306" t="s">
        <v>277</v>
      </c>
      <c r="F1063" s="307"/>
      <c r="G1063" s="297"/>
      <c r="H1063" s="308"/>
      <c r="I1063" s="661"/>
      <c r="J1063" s="661"/>
      <c r="L1063" s="708"/>
      <c r="Q1063" s="708"/>
    </row>
    <row r="1064" spans="2:17" s="243" customFormat="1" ht="14.25" customHeight="1" outlineLevel="2">
      <c r="B1064" s="299" t="s">
        <v>480</v>
      </c>
      <c r="C1064" s="304"/>
      <c r="D1064" s="685"/>
      <c r="E1064" s="306" t="s">
        <v>277</v>
      </c>
      <c r="F1064" s="307"/>
      <c r="G1064" s="297"/>
      <c r="H1064" s="308"/>
      <c r="I1064" s="661"/>
      <c r="J1064" s="661"/>
      <c r="L1064" s="708"/>
      <c r="Q1064" s="708"/>
    </row>
    <row r="1065" spans="2:17" s="243" customFormat="1" ht="14.25" customHeight="1" outlineLevel="2">
      <c r="B1065" s="299" t="s">
        <v>268</v>
      </c>
      <c r="C1065" s="304" t="s">
        <v>1000</v>
      </c>
      <c r="D1065" s="685">
        <v>7410</v>
      </c>
      <c r="E1065" s="306" t="s">
        <v>989</v>
      </c>
      <c r="F1065" s="307"/>
      <c r="G1065" s="297" t="s">
        <v>1000</v>
      </c>
      <c r="H1065" s="308" t="str">
        <f t="shared" ref="H1065:H1078" si="76">CONCATENATE("AR-",G1065,"-",I1065)</f>
        <v>AR-L30-1</v>
      </c>
      <c r="I1065" s="661">
        <v>1</v>
      </c>
      <c r="J1065" s="661">
        <v>1</v>
      </c>
      <c r="L1065" s="708"/>
      <c r="Q1065" s="708"/>
    </row>
    <row r="1066" spans="2:17" s="243" customFormat="1" ht="14.25" customHeight="1" outlineLevel="2">
      <c r="B1066" s="299" t="s">
        <v>268</v>
      </c>
      <c r="C1066" s="304" t="s">
        <v>1000</v>
      </c>
      <c r="D1066" s="685">
        <v>7420</v>
      </c>
      <c r="E1066" s="306" t="s">
        <v>481</v>
      </c>
      <c r="F1066" s="307"/>
      <c r="G1066" s="297" t="s">
        <v>1000</v>
      </c>
      <c r="H1066" s="308" t="str">
        <f t="shared" si="76"/>
        <v>AR-L30-1</v>
      </c>
      <c r="I1066" s="661">
        <v>1</v>
      </c>
      <c r="J1066" s="661">
        <v>1</v>
      </c>
      <c r="L1066" s="708"/>
      <c r="Q1066" s="708"/>
    </row>
    <row r="1067" spans="2:17" s="243" customFormat="1" ht="14.25" customHeight="1" outlineLevel="2">
      <c r="B1067" s="299" t="s">
        <v>268</v>
      </c>
      <c r="C1067" s="304" t="s">
        <v>1000</v>
      </c>
      <c r="D1067" s="685">
        <v>7430</v>
      </c>
      <c r="E1067" s="306" t="s">
        <v>482</v>
      </c>
      <c r="F1067" s="307"/>
      <c r="G1067" s="297" t="s">
        <v>1000</v>
      </c>
      <c r="H1067" s="308" t="str">
        <f t="shared" si="76"/>
        <v>AR-L30-1</v>
      </c>
      <c r="I1067" s="661">
        <v>1</v>
      </c>
      <c r="J1067" s="661">
        <v>1</v>
      </c>
      <c r="L1067" s="708"/>
      <c r="Q1067" s="708"/>
    </row>
    <row r="1068" spans="2:17" s="243" customFormat="1" ht="14.25" customHeight="1" outlineLevel="2">
      <c r="B1068" s="299" t="s">
        <v>268</v>
      </c>
      <c r="C1068" s="304" t="s">
        <v>1000</v>
      </c>
      <c r="D1068" s="685">
        <v>7440</v>
      </c>
      <c r="E1068" s="306" t="s">
        <v>483</v>
      </c>
      <c r="F1068" s="307"/>
      <c r="G1068" s="297" t="s">
        <v>1000</v>
      </c>
      <c r="H1068" s="308" t="str">
        <f t="shared" si="76"/>
        <v>AR-L30-1</v>
      </c>
      <c r="I1068" s="661">
        <v>1</v>
      </c>
      <c r="J1068" s="661">
        <v>1</v>
      </c>
      <c r="L1068" s="708"/>
      <c r="Q1068" s="708"/>
    </row>
    <row r="1069" spans="2:17" s="243" customFormat="1" ht="14.25" customHeight="1" outlineLevel="2">
      <c r="B1069" s="299" t="s">
        <v>268</v>
      </c>
      <c r="C1069" s="304" t="s">
        <v>1000</v>
      </c>
      <c r="D1069" s="685">
        <v>7450</v>
      </c>
      <c r="E1069" s="306" t="s">
        <v>990</v>
      </c>
      <c r="F1069" s="307"/>
      <c r="G1069" s="297" t="s">
        <v>1000</v>
      </c>
      <c r="H1069" s="308" t="str">
        <f t="shared" si="76"/>
        <v>AR-L30-1</v>
      </c>
      <c r="I1069" s="661">
        <v>1</v>
      </c>
      <c r="J1069" s="661">
        <v>1</v>
      </c>
      <c r="L1069" s="708"/>
      <c r="Q1069" s="708"/>
    </row>
    <row r="1070" spans="2:17" s="243" customFormat="1" ht="14.25" customHeight="1" outlineLevel="2">
      <c r="B1070" s="299" t="s">
        <v>268</v>
      </c>
      <c r="C1070" s="304" t="s">
        <v>1000</v>
      </c>
      <c r="D1070" s="685">
        <v>7461</v>
      </c>
      <c r="E1070" s="306" t="s">
        <v>991</v>
      </c>
      <c r="F1070" s="307"/>
      <c r="G1070" s="297" t="s">
        <v>1000</v>
      </c>
      <c r="H1070" s="308" t="str">
        <f t="shared" si="76"/>
        <v>AR-L30-1</v>
      </c>
      <c r="I1070" s="661">
        <v>1</v>
      </c>
      <c r="J1070" s="661">
        <v>1</v>
      </c>
      <c r="L1070" s="708"/>
      <c r="Q1070" s="708"/>
    </row>
    <row r="1071" spans="2:17" s="243" customFormat="1" ht="14.25" customHeight="1" outlineLevel="2">
      <c r="B1071" s="299" t="s">
        <v>268</v>
      </c>
      <c r="C1071" s="304" t="s">
        <v>1000</v>
      </c>
      <c r="D1071" s="685">
        <v>7462</v>
      </c>
      <c r="E1071" s="306" t="s">
        <v>992</v>
      </c>
      <c r="F1071" s="307"/>
      <c r="G1071" s="297" t="s">
        <v>1000</v>
      </c>
      <c r="H1071" s="308" t="str">
        <f t="shared" si="76"/>
        <v>AR-L30-1</v>
      </c>
      <c r="I1071" s="661">
        <v>1</v>
      </c>
      <c r="J1071" s="661">
        <v>1</v>
      </c>
      <c r="L1071" s="708"/>
      <c r="Q1071" s="708"/>
    </row>
    <row r="1072" spans="2:17" s="243" customFormat="1" ht="14.25" customHeight="1" outlineLevel="2">
      <c r="B1072" s="299" t="s">
        <v>268</v>
      </c>
      <c r="C1072" s="304" t="s">
        <v>1000</v>
      </c>
      <c r="D1072" s="685">
        <v>7463</v>
      </c>
      <c r="E1072" s="306" t="s">
        <v>993</v>
      </c>
      <c r="F1072" s="307"/>
      <c r="G1072" s="297" t="s">
        <v>1000</v>
      </c>
      <c r="H1072" s="308" t="str">
        <f t="shared" si="76"/>
        <v>AR-L30-1</v>
      </c>
      <c r="I1072" s="661">
        <v>1</v>
      </c>
      <c r="J1072" s="661">
        <v>1</v>
      </c>
      <c r="L1072" s="708"/>
      <c r="Q1072" s="708"/>
    </row>
    <row r="1073" spans="2:18" s="243" customFormat="1" ht="14.25" customHeight="1" outlineLevel="2">
      <c r="B1073" s="299" t="s">
        <v>268</v>
      </c>
      <c r="C1073" s="304" t="s">
        <v>1000</v>
      </c>
      <c r="D1073" s="685">
        <v>7470</v>
      </c>
      <c r="E1073" s="306" t="s">
        <v>484</v>
      </c>
      <c r="F1073" s="307"/>
      <c r="G1073" s="297" t="s">
        <v>1000</v>
      </c>
      <c r="H1073" s="308" t="str">
        <f t="shared" si="76"/>
        <v>AR-L30-1</v>
      </c>
      <c r="I1073" s="661">
        <v>1</v>
      </c>
      <c r="J1073" s="661">
        <v>1</v>
      </c>
      <c r="L1073" s="708"/>
      <c r="Q1073" s="708"/>
    </row>
    <row r="1074" spans="2:18" s="243" customFormat="1" ht="14.25" customHeight="1" outlineLevel="2">
      <c r="B1074" s="299" t="s">
        <v>268</v>
      </c>
      <c r="C1074" s="304" t="s">
        <v>1000</v>
      </c>
      <c r="D1074" s="685">
        <v>7480</v>
      </c>
      <c r="E1074" s="306" t="s">
        <v>994</v>
      </c>
      <c r="F1074" s="307"/>
      <c r="G1074" s="297" t="s">
        <v>1000</v>
      </c>
      <c r="H1074" s="308" t="str">
        <f t="shared" si="76"/>
        <v>AR-L30-1</v>
      </c>
      <c r="I1074" s="661">
        <v>1</v>
      </c>
      <c r="J1074" s="661">
        <v>1</v>
      </c>
      <c r="L1074" s="708"/>
      <c r="Q1074" s="708"/>
    </row>
    <row r="1075" spans="2:18" s="243" customFormat="1" ht="14.25" customHeight="1" outlineLevel="2">
      <c r="B1075" s="299" t="s">
        <v>268</v>
      </c>
      <c r="C1075" s="304" t="s">
        <v>1000</v>
      </c>
      <c r="D1075" s="685">
        <v>7490</v>
      </c>
      <c r="E1075" s="306" t="s">
        <v>995</v>
      </c>
      <c r="F1075" s="307"/>
      <c r="G1075" s="297" t="s">
        <v>1000</v>
      </c>
      <c r="H1075" s="308" t="str">
        <f t="shared" si="76"/>
        <v>AR-L30-1</v>
      </c>
      <c r="I1075" s="661">
        <v>1</v>
      </c>
      <c r="J1075" s="661">
        <v>1</v>
      </c>
      <c r="L1075" s="708"/>
      <c r="Q1075" s="708"/>
    </row>
    <row r="1076" spans="2:18" s="243" customFormat="1" ht="14.25" customHeight="1" outlineLevel="2">
      <c r="B1076" s="299" t="s">
        <v>268</v>
      </c>
      <c r="C1076" s="304" t="s">
        <v>1000</v>
      </c>
      <c r="D1076" s="685">
        <v>7500</v>
      </c>
      <c r="E1076" s="306" t="s">
        <v>485</v>
      </c>
      <c r="F1076" s="307"/>
      <c r="G1076" s="297" t="s">
        <v>1000</v>
      </c>
      <c r="H1076" s="308" t="str">
        <f t="shared" si="76"/>
        <v>AR-L30-1</v>
      </c>
      <c r="I1076" s="661">
        <v>1</v>
      </c>
      <c r="J1076" s="661">
        <v>1</v>
      </c>
      <c r="L1076" s="708"/>
      <c r="Q1076" s="708"/>
    </row>
    <row r="1077" spans="2:18" s="243" customFormat="1" ht="14.25" customHeight="1" outlineLevel="2">
      <c r="B1077" s="299" t="s">
        <v>268</v>
      </c>
      <c r="C1077" s="304" t="s">
        <v>1000</v>
      </c>
      <c r="D1077" s="685">
        <v>7510</v>
      </c>
      <c r="E1077" s="306" t="s">
        <v>996</v>
      </c>
      <c r="F1077" s="307"/>
      <c r="G1077" s="297" t="s">
        <v>1000</v>
      </c>
      <c r="H1077" s="308" t="str">
        <f t="shared" si="76"/>
        <v>AR-L30-1</v>
      </c>
      <c r="I1077" s="661">
        <v>1</v>
      </c>
      <c r="J1077" s="661">
        <v>1</v>
      </c>
      <c r="L1077" s="708"/>
      <c r="Q1077" s="708"/>
    </row>
    <row r="1078" spans="2:18" s="243" customFormat="1" ht="14.25" customHeight="1" outlineLevel="2">
      <c r="B1078" s="299" t="s">
        <v>268</v>
      </c>
      <c r="C1078" s="304" t="s">
        <v>1000</v>
      </c>
      <c r="D1078" s="685" t="s">
        <v>997</v>
      </c>
      <c r="E1078" s="306" t="s">
        <v>998</v>
      </c>
      <c r="F1078" s="307"/>
      <c r="G1078" s="297" t="s">
        <v>1000</v>
      </c>
      <c r="H1078" s="308" t="str">
        <f t="shared" si="76"/>
        <v>AR-L30-1</v>
      </c>
      <c r="I1078" s="661">
        <v>1</v>
      </c>
      <c r="J1078" s="661">
        <v>1</v>
      </c>
      <c r="L1078" s="708"/>
      <c r="Q1078" s="708"/>
    </row>
    <row r="1079" spans="2:18" s="243" customFormat="1" ht="3" customHeight="1" outlineLevel="1">
      <c r="B1079" s="299"/>
      <c r="C1079" s="304"/>
      <c r="D1079" s="685"/>
      <c r="E1079" s="306" t="s">
        <v>277</v>
      </c>
      <c r="F1079" s="307"/>
      <c r="G1079" s="297"/>
      <c r="H1079" s="308"/>
      <c r="I1079" s="661"/>
      <c r="J1079" s="240"/>
      <c r="L1079" s="708"/>
      <c r="Q1079" s="708"/>
    </row>
    <row r="1080" spans="2:18" s="243" customFormat="1" ht="14.25" customHeight="1" outlineLevel="1">
      <c r="B1080" s="299" t="s">
        <v>1011</v>
      </c>
      <c r="C1080" s="304"/>
      <c r="D1080" s="685"/>
      <c r="E1080" s="306"/>
      <c r="F1080" s="307"/>
      <c r="G1080" s="297"/>
      <c r="H1080" s="308"/>
      <c r="I1080" s="661"/>
      <c r="J1080" s="240"/>
      <c r="L1080" s="708"/>
      <c r="Q1080" s="708"/>
    </row>
    <row r="1081" spans="2:18" s="248" customFormat="1" ht="14.25" customHeight="1" outlineLevel="2">
      <c r="B1081" s="299" t="s">
        <v>268</v>
      </c>
      <c r="C1081" s="304" t="s">
        <v>597</v>
      </c>
      <c r="D1081" s="685" t="s">
        <v>301</v>
      </c>
      <c r="E1081" s="306" t="s">
        <v>1012</v>
      </c>
      <c r="F1081" s="307"/>
      <c r="G1081" s="297" t="s">
        <v>1013</v>
      </c>
      <c r="H1081" s="308" t="str">
        <f t="shared" ref="H1081:H1104" si="77">CONCATENATE("AR-",G1081,"-",I1081)</f>
        <v>AR-L45-1</v>
      </c>
      <c r="I1081" s="661">
        <v>1</v>
      </c>
      <c r="J1081" s="661">
        <v>1</v>
      </c>
      <c r="L1081" s="709"/>
      <c r="Q1081" s="709"/>
    </row>
    <row r="1082" spans="2:18" s="248" customFormat="1" ht="14.25" customHeight="1" outlineLevel="2">
      <c r="B1082" s="299" t="s">
        <v>268</v>
      </c>
      <c r="C1082" s="304" t="s">
        <v>597</v>
      </c>
      <c r="D1082" s="685" t="s">
        <v>303</v>
      </c>
      <c r="E1082" s="306" t="s">
        <v>1014</v>
      </c>
      <c r="F1082" s="307"/>
      <c r="G1082" s="297" t="s">
        <v>1013</v>
      </c>
      <c r="H1082" s="308" t="str">
        <f t="shared" si="77"/>
        <v>AR-L45-1</v>
      </c>
      <c r="I1082" s="661">
        <v>1</v>
      </c>
      <c r="J1082" s="661">
        <v>1</v>
      </c>
      <c r="L1082" s="709"/>
      <c r="Q1082" s="709"/>
    </row>
    <row r="1083" spans="2:18" s="248" customFormat="1" ht="14.25" customHeight="1" outlineLevel="2">
      <c r="B1083" s="299" t="s">
        <v>268</v>
      </c>
      <c r="C1083" s="304" t="s">
        <v>597</v>
      </c>
      <c r="D1083" s="685" t="s">
        <v>305</v>
      </c>
      <c r="E1083" s="306" t="s">
        <v>1015</v>
      </c>
      <c r="F1083" s="307"/>
      <c r="G1083" s="297" t="s">
        <v>1013</v>
      </c>
      <c r="H1083" s="308" t="str">
        <f t="shared" si="77"/>
        <v>AR-L45-1</v>
      </c>
      <c r="I1083" s="661">
        <v>1</v>
      </c>
      <c r="J1083" s="661">
        <v>1</v>
      </c>
      <c r="L1083" s="709"/>
      <c r="Q1083" s="709"/>
    </row>
    <row r="1084" spans="2:18" s="248" customFormat="1" ht="14.25" customHeight="1" outlineLevel="2">
      <c r="B1084" s="299" t="s">
        <v>268</v>
      </c>
      <c r="C1084" s="304" t="s">
        <v>597</v>
      </c>
      <c r="D1084" s="685" t="s">
        <v>307</v>
      </c>
      <c r="E1084" s="306" t="s">
        <v>1016</v>
      </c>
      <c r="F1084" s="307"/>
      <c r="G1084" s="297" t="s">
        <v>1013</v>
      </c>
      <c r="H1084" s="308" t="str">
        <f t="shared" si="77"/>
        <v>AR-L45-1</v>
      </c>
      <c r="I1084" s="661">
        <v>1</v>
      </c>
      <c r="J1084" s="661">
        <v>1</v>
      </c>
      <c r="L1084" s="709"/>
      <c r="Q1084" s="709"/>
    </row>
    <row r="1085" spans="2:18" s="248" customFormat="1" ht="14.25" customHeight="1" outlineLevel="2">
      <c r="B1085" s="299" t="s">
        <v>268</v>
      </c>
      <c r="C1085" s="304" t="s">
        <v>597</v>
      </c>
      <c r="D1085" s="685" t="s">
        <v>309</v>
      </c>
      <c r="E1085" s="306" t="s">
        <v>1017</v>
      </c>
      <c r="F1085" s="307"/>
      <c r="G1085" s="297" t="s">
        <v>1013</v>
      </c>
      <c r="H1085" s="308" t="str">
        <f t="shared" si="77"/>
        <v>AR-L45-1</v>
      </c>
      <c r="I1085" s="661">
        <v>1</v>
      </c>
      <c r="J1085" s="661">
        <v>1</v>
      </c>
      <c r="L1085" s="709"/>
      <c r="Q1085" s="709"/>
    </row>
    <row r="1086" spans="2:18" s="248" customFormat="1" ht="14.25" customHeight="1" outlineLevel="2">
      <c r="B1086" s="299" t="s">
        <v>268</v>
      </c>
      <c r="C1086" s="304" t="s">
        <v>597</v>
      </c>
      <c r="D1086" s="685" t="s">
        <v>311</v>
      </c>
      <c r="E1086" s="306" t="s">
        <v>1018</v>
      </c>
      <c r="F1086" s="307"/>
      <c r="G1086" s="297" t="s">
        <v>1013</v>
      </c>
      <c r="H1086" s="308" t="str">
        <f t="shared" si="77"/>
        <v>AR-L45-1</v>
      </c>
      <c r="I1086" s="661">
        <v>1</v>
      </c>
      <c r="J1086" s="661">
        <v>1</v>
      </c>
      <c r="L1086" s="709"/>
      <c r="Q1086" s="709"/>
    </row>
    <row r="1087" spans="2:18" s="248" customFormat="1" ht="14.25" customHeight="1" outlineLevel="2">
      <c r="B1087" s="299" t="s">
        <v>268</v>
      </c>
      <c r="C1087" s="304" t="s">
        <v>597</v>
      </c>
      <c r="D1087" s="685" t="s">
        <v>313</v>
      </c>
      <c r="E1087" s="306" t="s">
        <v>1019</v>
      </c>
      <c r="F1087" s="307"/>
      <c r="G1087" s="297" t="s">
        <v>1013</v>
      </c>
      <c r="H1087" s="308" t="str">
        <f t="shared" si="77"/>
        <v>AR-L45-1</v>
      </c>
      <c r="I1087" s="661">
        <v>1</v>
      </c>
      <c r="J1087" s="661">
        <v>1</v>
      </c>
      <c r="L1087" s="709"/>
      <c r="Q1087" s="709"/>
    </row>
    <row r="1088" spans="2:18" s="248" customFormat="1" ht="14.25" customHeight="1" outlineLevel="2">
      <c r="B1088" s="299" t="s">
        <v>268</v>
      </c>
      <c r="C1088" s="304" t="s">
        <v>597</v>
      </c>
      <c r="D1088" s="685" t="s">
        <v>315</v>
      </c>
      <c r="E1088" s="306" t="s">
        <v>1020</v>
      </c>
      <c r="F1088" s="307"/>
      <c r="G1088" s="297" t="s">
        <v>1013</v>
      </c>
      <c r="H1088" s="308" t="str">
        <f t="shared" si="77"/>
        <v>AR-L45-1</v>
      </c>
      <c r="I1088" s="661">
        <v>1</v>
      </c>
      <c r="J1088" s="661">
        <v>1</v>
      </c>
      <c r="L1088" s="709"/>
      <c r="Q1088" s="709"/>
    </row>
    <row r="1089" spans="2:17" s="248" customFormat="1" ht="14.25" customHeight="1" outlineLevel="2">
      <c r="B1089" s="299" t="s">
        <v>268</v>
      </c>
      <c r="C1089" s="304" t="s">
        <v>597</v>
      </c>
      <c r="D1089" s="685" t="s">
        <v>317</v>
      </c>
      <c r="E1089" s="306" t="s">
        <v>1021</v>
      </c>
      <c r="F1089" s="307"/>
      <c r="G1089" s="297" t="s">
        <v>1013</v>
      </c>
      <c r="H1089" s="308" t="str">
        <f t="shared" si="77"/>
        <v>AR-L45-1</v>
      </c>
      <c r="I1089" s="661">
        <v>1</v>
      </c>
      <c r="J1089" s="661">
        <v>1</v>
      </c>
      <c r="L1089" s="709"/>
      <c r="Q1089" s="709"/>
    </row>
    <row r="1090" spans="2:17" s="248" customFormat="1" ht="14.25" customHeight="1" outlineLevel="2">
      <c r="B1090" s="299" t="s">
        <v>268</v>
      </c>
      <c r="C1090" s="304" t="s">
        <v>597</v>
      </c>
      <c r="D1090" s="685" t="s">
        <v>683</v>
      </c>
      <c r="E1090" s="306" t="s">
        <v>1022</v>
      </c>
      <c r="F1090" s="307"/>
      <c r="G1090" s="297" t="s">
        <v>1013</v>
      </c>
      <c r="H1090" s="308" t="str">
        <f t="shared" si="77"/>
        <v>AR-L45-1</v>
      </c>
      <c r="I1090" s="661">
        <v>1</v>
      </c>
      <c r="J1090" s="661">
        <v>1</v>
      </c>
      <c r="L1090" s="709"/>
      <c r="Q1090" s="709"/>
    </row>
    <row r="1091" spans="2:17" s="248" customFormat="1" ht="14.25" customHeight="1" outlineLevel="2">
      <c r="B1091" s="299" t="s">
        <v>268</v>
      </c>
      <c r="C1091" s="304" t="s">
        <v>597</v>
      </c>
      <c r="D1091" s="685" t="s">
        <v>1023</v>
      </c>
      <c r="E1091" s="306" t="s">
        <v>1024</v>
      </c>
      <c r="F1091" s="307"/>
      <c r="G1091" s="297" t="s">
        <v>1013</v>
      </c>
      <c r="H1091" s="308" t="str">
        <f t="shared" si="77"/>
        <v>AR-L45-1</v>
      </c>
      <c r="I1091" s="661">
        <v>1</v>
      </c>
      <c r="J1091" s="661">
        <v>1</v>
      </c>
      <c r="L1091" s="709"/>
      <c r="Q1091" s="709"/>
    </row>
    <row r="1092" spans="2:17" s="248" customFormat="1" ht="14.25" customHeight="1" outlineLevel="2">
      <c r="B1092" s="299" t="s">
        <v>268</v>
      </c>
      <c r="C1092" s="304" t="s">
        <v>597</v>
      </c>
      <c r="D1092" s="685" t="s">
        <v>1025</v>
      </c>
      <c r="E1092" s="306" t="s">
        <v>1026</v>
      </c>
      <c r="F1092" s="307"/>
      <c r="G1092" s="297" t="s">
        <v>1013</v>
      </c>
      <c r="H1092" s="308" t="str">
        <f t="shared" si="77"/>
        <v>AR-L45-1</v>
      </c>
      <c r="I1092" s="661">
        <v>1</v>
      </c>
      <c r="J1092" s="661">
        <v>1</v>
      </c>
      <c r="L1092" s="709"/>
      <c r="Q1092" s="709"/>
    </row>
    <row r="1093" spans="2:17" s="248" customFormat="1" ht="14.25" customHeight="1" outlineLevel="2">
      <c r="B1093" s="299" t="s">
        <v>268</v>
      </c>
      <c r="C1093" s="304" t="s">
        <v>597</v>
      </c>
      <c r="D1093" s="685" t="s">
        <v>1027</v>
      </c>
      <c r="E1093" s="306" t="s">
        <v>1028</v>
      </c>
      <c r="F1093" s="307"/>
      <c r="G1093" s="297" t="s">
        <v>1013</v>
      </c>
      <c r="H1093" s="308" t="str">
        <f t="shared" si="77"/>
        <v>AR-L45-1</v>
      </c>
      <c r="I1093" s="661">
        <v>1</v>
      </c>
      <c r="J1093" s="661">
        <v>1</v>
      </c>
      <c r="L1093" s="709"/>
      <c r="Q1093" s="709"/>
    </row>
    <row r="1094" spans="2:17" s="248" customFormat="1" ht="14.25" customHeight="1" outlineLevel="2">
      <c r="B1094" s="299" t="s">
        <v>268</v>
      </c>
      <c r="C1094" s="304" t="s">
        <v>597</v>
      </c>
      <c r="D1094" s="685" t="s">
        <v>1029</v>
      </c>
      <c r="E1094" s="306" t="s">
        <v>1030</v>
      </c>
      <c r="F1094" s="307"/>
      <c r="G1094" s="297" t="s">
        <v>1013</v>
      </c>
      <c r="H1094" s="308" t="str">
        <f t="shared" si="77"/>
        <v>AR-L45-1</v>
      </c>
      <c r="I1094" s="661">
        <v>1</v>
      </c>
      <c r="J1094" s="661">
        <v>1</v>
      </c>
      <c r="L1094" s="709"/>
      <c r="Q1094" s="709"/>
    </row>
    <row r="1095" spans="2:17" s="248" customFormat="1" ht="14.25" customHeight="1" outlineLevel="2">
      <c r="B1095" s="299" t="s">
        <v>268</v>
      </c>
      <c r="C1095" s="304" t="s">
        <v>597</v>
      </c>
      <c r="D1095" s="685" t="s">
        <v>1031</v>
      </c>
      <c r="E1095" s="306" t="s">
        <v>1032</v>
      </c>
      <c r="F1095" s="307"/>
      <c r="G1095" s="297" t="s">
        <v>1013</v>
      </c>
      <c r="H1095" s="308" t="str">
        <f t="shared" si="77"/>
        <v>AR-L45-1</v>
      </c>
      <c r="I1095" s="661">
        <v>1</v>
      </c>
      <c r="J1095" s="661">
        <v>1</v>
      </c>
      <c r="L1095" s="709"/>
      <c r="Q1095" s="709"/>
    </row>
    <row r="1096" spans="2:17" s="248" customFormat="1" ht="14.25" customHeight="1" outlineLevel="2">
      <c r="B1096" s="299" t="s">
        <v>268</v>
      </c>
      <c r="C1096" s="304" t="s">
        <v>597</v>
      </c>
      <c r="D1096" s="685" t="s">
        <v>1033</v>
      </c>
      <c r="E1096" s="306" t="s">
        <v>1034</v>
      </c>
      <c r="F1096" s="307"/>
      <c r="G1096" s="297" t="s">
        <v>1013</v>
      </c>
      <c r="H1096" s="308" t="str">
        <f t="shared" si="77"/>
        <v>AR-L45-1</v>
      </c>
      <c r="I1096" s="661">
        <v>1</v>
      </c>
      <c r="J1096" s="661">
        <v>1</v>
      </c>
      <c r="L1096" s="709"/>
      <c r="Q1096" s="709"/>
    </row>
    <row r="1097" spans="2:17" s="248" customFormat="1" ht="14.25" customHeight="1" outlineLevel="2">
      <c r="B1097" s="299" t="s">
        <v>268</v>
      </c>
      <c r="C1097" s="304" t="s">
        <v>597</v>
      </c>
      <c r="D1097" s="685" t="s">
        <v>1035</v>
      </c>
      <c r="E1097" s="306" t="s">
        <v>1036</v>
      </c>
      <c r="F1097" s="307"/>
      <c r="G1097" s="297" t="s">
        <v>1013</v>
      </c>
      <c r="H1097" s="308" t="str">
        <f t="shared" si="77"/>
        <v>AR-L45-1</v>
      </c>
      <c r="I1097" s="661">
        <v>1</v>
      </c>
      <c r="J1097" s="661">
        <v>1</v>
      </c>
      <c r="L1097" s="709"/>
      <c r="Q1097" s="709"/>
    </row>
    <row r="1098" spans="2:17" s="248" customFormat="1" ht="14.25" customHeight="1" outlineLevel="2">
      <c r="B1098" s="299" t="s">
        <v>268</v>
      </c>
      <c r="C1098" s="304" t="s">
        <v>597</v>
      </c>
      <c r="D1098" s="685">
        <v>1101</v>
      </c>
      <c r="E1098" s="306" t="s">
        <v>1037</v>
      </c>
      <c r="F1098" s="307"/>
      <c r="G1098" s="297" t="s">
        <v>1013</v>
      </c>
      <c r="H1098" s="308" t="str">
        <f t="shared" ref="H1098:H1100" si="78">CONCATENATE("AR-",G1098,"-",I1098)</f>
        <v>AR-L45-1</v>
      </c>
      <c r="I1098" s="661">
        <v>1</v>
      </c>
      <c r="J1098" s="661">
        <v>1</v>
      </c>
      <c r="L1098" s="709"/>
      <c r="Q1098" s="709"/>
    </row>
    <row r="1099" spans="2:17" s="248" customFormat="1" ht="14.25" customHeight="1" outlineLevel="2">
      <c r="B1099" s="299" t="s">
        <v>268</v>
      </c>
      <c r="C1099" s="304" t="s">
        <v>597</v>
      </c>
      <c r="D1099" s="685">
        <v>4702</v>
      </c>
      <c r="E1099" s="306" t="s">
        <v>1038</v>
      </c>
      <c r="F1099" s="307"/>
      <c r="G1099" s="297" t="s">
        <v>1013</v>
      </c>
      <c r="H1099" s="308" t="str">
        <f t="shared" si="78"/>
        <v>AR-L45-1</v>
      </c>
      <c r="I1099" s="661">
        <v>1</v>
      </c>
      <c r="J1099" s="661">
        <v>1</v>
      </c>
      <c r="L1099" s="709"/>
      <c r="Q1099" s="709"/>
    </row>
    <row r="1100" spans="2:17" s="248" customFormat="1" ht="14.25" customHeight="1" outlineLevel="2">
      <c r="B1100" s="299" t="s">
        <v>268</v>
      </c>
      <c r="C1100" s="304" t="s">
        <v>597</v>
      </c>
      <c r="D1100" s="685">
        <v>4704</v>
      </c>
      <c r="E1100" s="306" t="s">
        <v>1039</v>
      </c>
      <c r="F1100" s="307"/>
      <c r="G1100" s="297" t="s">
        <v>1013</v>
      </c>
      <c r="H1100" s="308" t="str">
        <f t="shared" si="78"/>
        <v>AR-L45-1</v>
      </c>
      <c r="I1100" s="661">
        <v>1</v>
      </c>
      <c r="J1100" s="661">
        <v>1</v>
      </c>
      <c r="L1100" s="709"/>
      <c r="Q1100" s="709"/>
    </row>
    <row r="1101" spans="2:17" s="248" customFormat="1" ht="14.25" customHeight="1" outlineLevel="2">
      <c r="B1101" s="299" t="s">
        <v>268</v>
      </c>
      <c r="C1101" s="304" t="s">
        <v>597</v>
      </c>
      <c r="D1101" s="685">
        <v>4705</v>
      </c>
      <c r="E1101" s="306" t="s">
        <v>1040</v>
      </c>
      <c r="F1101" s="307"/>
      <c r="G1101" s="297" t="s">
        <v>1013</v>
      </c>
      <c r="H1101" s="308" t="str">
        <f t="shared" si="77"/>
        <v>AR-L45-1</v>
      </c>
      <c r="I1101" s="661">
        <v>1</v>
      </c>
      <c r="J1101" s="661">
        <v>1</v>
      </c>
      <c r="L1101" s="709"/>
      <c r="Q1101" s="709"/>
    </row>
    <row r="1102" spans="2:17" s="248" customFormat="1" ht="14.25" customHeight="1" outlineLevel="2">
      <c r="B1102" s="299" t="s">
        <v>268</v>
      </c>
      <c r="C1102" s="304" t="s">
        <v>597</v>
      </c>
      <c r="D1102" s="685">
        <v>4706</v>
      </c>
      <c r="E1102" s="306" t="s">
        <v>1041</v>
      </c>
      <c r="F1102" s="307"/>
      <c r="G1102" s="297" t="s">
        <v>1013</v>
      </c>
      <c r="H1102" s="308" t="str">
        <f t="shared" ref="H1102" si="79">CONCATENATE("AR-",G1102,"-",I1102)</f>
        <v>AR-L45-1</v>
      </c>
      <c r="I1102" s="661">
        <v>1</v>
      </c>
      <c r="J1102" s="661">
        <v>1</v>
      </c>
      <c r="L1102" s="709"/>
      <c r="Q1102" s="709"/>
    </row>
    <row r="1103" spans="2:17" s="248" customFormat="1" ht="14.25" customHeight="1" outlineLevel="2">
      <c r="B1103" s="299" t="s">
        <v>268</v>
      </c>
      <c r="C1103" s="304" t="s">
        <v>597</v>
      </c>
      <c r="D1103" s="685">
        <v>4707</v>
      </c>
      <c r="E1103" s="306" t="s">
        <v>1042</v>
      </c>
      <c r="F1103" s="307"/>
      <c r="G1103" s="297" t="s">
        <v>1013</v>
      </c>
      <c r="H1103" s="308" t="str">
        <f t="shared" ref="H1103" si="80">CONCATENATE("AR-",G1103,"-",I1103)</f>
        <v>AR-L45-1</v>
      </c>
      <c r="I1103" s="661">
        <v>1</v>
      </c>
      <c r="J1103" s="661">
        <v>1</v>
      </c>
      <c r="L1103" s="709"/>
      <c r="Q1103" s="709"/>
    </row>
    <row r="1104" spans="2:17" s="248" customFormat="1" ht="14.25" customHeight="1" outlineLevel="2">
      <c r="B1104" s="299" t="s">
        <v>268</v>
      </c>
      <c r="C1104" s="304" t="s">
        <v>597</v>
      </c>
      <c r="D1104" s="685">
        <v>4719</v>
      </c>
      <c r="E1104" s="306" t="s">
        <v>1043</v>
      </c>
      <c r="F1104" s="307"/>
      <c r="G1104" s="297" t="s">
        <v>1013</v>
      </c>
      <c r="H1104" s="308" t="str">
        <f t="shared" si="77"/>
        <v>AR-L45-1</v>
      </c>
      <c r="I1104" s="661">
        <v>1</v>
      </c>
      <c r="J1104" s="661">
        <v>1</v>
      </c>
      <c r="L1104" s="709"/>
      <c r="Q1104" s="709"/>
    </row>
    <row r="1105" spans="2:17" s="248" customFormat="1" ht="3" customHeight="1" outlineLevel="1">
      <c r="B1105" s="299"/>
      <c r="C1105" s="304"/>
      <c r="D1105" s="685"/>
      <c r="E1105" s="306" t="s">
        <v>277</v>
      </c>
      <c r="F1105" s="307"/>
      <c r="G1105" s="297"/>
      <c r="H1105" s="308"/>
      <c r="I1105" s="661"/>
      <c r="J1105" s="245"/>
      <c r="L1105" s="709"/>
      <c r="Q1105" s="709"/>
    </row>
    <row r="1106" spans="2:17" s="243" customFormat="1" ht="14.25" customHeight="1" outlineLevel="1">
      <c r="B1106" s="299" t="s">
        <v>1044</v>
      </c>
      <c r="C1106" s="304"/>
      <c r="D1106" s="685"/>
      <c r="E1106" s="306"/>
      <c r="F1106" s="307"/>
      <c r="G1106" s="297"/>
      <c r="H1106" s="308"/>
      <c r="I1106" s="661"/>
      <c r="J1106" s="240"/>
      <c r="L1106" s="708"/>
      <c r="Q1106" s="708"/>
    </row>
    <row r="1107" spans="2:17" s="233" customFormat="1" ht="3" customHeight="1" outlineLevel="2">
      <c r="B1107" s="299"/>
      <c r="C1107" s="304"/>
      <c r="D1107" s="685"/>
      <c r="E1107" s="306" t="s">
        <v>277</v>
      </c>
      <c r="F1107" s="307"/>
      <c r="G1107" s="297"/>
      <c r="H1107" s="308"/>
      <c r="I1107" s="661"/>
      <c r="J1107" s="197"/>
      <c r="L1107" s="237"/>
      <c r="Q1107" s="237"/>
    </row>
    <row r="1108" spans="2:17" s="233" customFormat="1" ht="13.5" customHeight="1" outlineLevel="2">
      <c r="B1108" s="299" t="s">
        <v>942</v>
      </c>
      <c r="C1108" s="304"/>
      <c r="D1108" s="685"/>
      <c r="E1108" s="306" t="s">
        <v>277</v>
      </c>
      <c r="F1108" s="307"/>
      <c r="G1108" s="297"/>
      <c r="H1108" s="308"/>
      <c r="I1108" s="661"/>
      <c r="J1108" s="197"/>
      <c r="L1108" s="237"/>
      <c r="Q1108" s="237"/>
    </row>
    <row r="1109" spans="2:17" s="233" customFormat="1" ht="13.5" customHeight="1" outlineLevel="2">
      <c r="B1109" s="299" t="s">
        <v>268</v>
      </c>
      <c r="C1109" s="304" t="s">
        <v>878</v>
      </c>
      <c r="D1109" s="685" t="s">
        <v>506</v>
      </c>
      <c r="E1109" s="306" t="s">
        <v>1045</v>
      </c>
      <c r="F1109" s="307"/>
      <c r="G1109" s="297" t="s">
        <v>878</v>
      </c>
      <c r="H1109" s="308" t="str">
        <f t="shared" ref="H1109:H1114" si="81">CONCATENATE("AR-",G1109,"-",I1109)</f>
        <v>AR-V50-1</v>
      </c>
      <c r="I1109" s="661">
        <v>1</v>
      </c>
      <c r="J1109" s="661">
        <v>1</v>
      </c>
      <c r="L1109" s="237"/>
      <c r="Q1109" s="237"/>
    </row>
    <row r="1110" spans="2:17" s="233" customFormat="1" ht="13.5" customHeight="1" outlineLevel="2">
      <c r="B1110" s="299" t="s">
        <v>268</v>
      </c>
      <c r="C1110" s="304" t="s">
        <v>878</v>
      </c>
      <c r="D1110" s="685" t="s">
        <v>1046</v>
      </c>
      <c r="E1110" s="306" t="s">
        <v>1047</v>
      </c>
      <c r="F1110" s="307"/>
      <c r="G1110" s="297" t="s">
        <v>878</v>
      </c>
      <c r="H1110" s="308" t="str">
        <f t="shared" si="81"/>
        <v>AR-V50-1</v>
      </c>
      <c r="I1110" s="661">
        <v>1</v>
      </c>
      <c r="J1110" s="661">
        <v>1</v>
      </c>
      <c r="L1110" s="237"/>
      <c r="Q1110" s="237"/>
    </row>
    <row r="1111" spans="2:17" s="233" customFormat="1" ht="13.5" customHeight="1" outlineLevel="2">
      <c r="B1111" s="299" t="s">
        <v>268</v>
      </c>
      <c r="C1111" s="304" t="s">
        <v>878</v>
      </c>
      <c r="D1111" s="685" t="s">
        <v>1048</v>
      </c>
      <c r="E1111" s="306" t="s">
        <v>1049</v>
      </c>
      <c r="F1111" s="307"/>
      <c r="G1111" s="297" t="s">
        <v>878</v>
      </c>
      <c r="H1111" s="308" t="str">
        <f t="shared" si="81"/>
        <v>AR-V50-1</v>
      </c>
      <c r="I1111" s="661">
        <v>1</v>
      </c>
      <c r="J1111" s="661">
        <v>1</v>
      </c>
      <c r="L1111" s="237"/>
      <c r="Q1111" s="237"/>
    </row>
    <row r="1112" spans="2:17" s="233" customFormat="1" ht="13.5" customHeight="1" outlineLevel="2">
      <c r="B1112" s="299" t="s">
        <v>268</v>
      </c>
      <c r="C1112" s="304" t="s">
        <v>878</v>
      </c>
      <c r="D1112" s="685" t="s">
        <v>1050</v>
      </c>
      <c r="E1112" s="306" t="s">
        <v>1051</v>
      </c>
      <c r="F1112" s="307"/>
      <c r="G1112" s="297" t="s">
        <v>878</v>
      </c>
      <c r="H1112" s="308" t="str">
        <f t="shared" si="81"/>
        <v>AR-V50-1</v>
      </c>
      <c r="I1112" s="661">
        <v>1</v>
      </c>
      <c r="J1112" s="661">
        <v>1</v>
      </c>
      <c r="L1112" s="237"/>
      <c r="Q1112" s="237"/>
    </row>
    <row r="1113" spans="2:17" s="233" customFormat="1" ht="13.5" customHeight="1" outlineLevel="2">
      <c r="B1113" s="299" t="s">
        <v>268</v>
      </c>
      <c r="C1113" s="304" t="s">
        <v>878</v>
      </c>
      <c r="D1113" s="685" t="s">
        <v>1052</v>
      </c>
      <c r="E1113" s="306" t="s">
        <v>1053</v>
      </c>
      <c r="F1113" s="307"/>
      <c r="G1113" s="297" t="s">
        <v>878</v>
      </c>
      <c r="H1113" s="308" t="str">
        <f t="shared" si="81"/>
        <v>AR-V50-1</v>
      </c>
      <c r="I1113" s="661">
        <v>1</v>
      </c>
      <c r="J1113" s="661">
        <v>1</v>
      </c>
      <c r="L1113" s="237"/>
      <c r="Q1113" s="237"/>
    </row>
    <row r="1114" spans="2:17" s="233" customFormat="1" ht="13.5" customHeight="1" outlineLevel="2">
      <c r="B1114" s="299" t="s">
        <v>268</v>
      </c>
      <c r="C1114" s="304" t="s">
        <v>878</v>
      </c>
      <c r="D1114" s="685" t="s">
        <v>1054</v>
      </c>
      <c r="E1114" s="306" t="s">
        <v>1055</v>
      </c>
      <c r="F1114" s="307"/>
      <c r="G1114" s="297" t="s">
        <v>878</v>
      </c>
      <c r="H1114" s="308" t="str">
        <f t="shared" si="81"/>
        <v>AR-V50-1</v>
      </c>
      <c r="I1114" s="661">
        <v>1</v>
      </c>
      <c r="J1114" s="661">
        <v>1</v>
      </c>
      <c r="L1114" s="237"/>
      <c r="Q1114" s="237"/>
    </row>
    <row r="1115" spans="2:17" s="233" customFormat="1" ht="3" customHeight="1" outlineLevel="2">
      <c r="B1115" s="299"/>
      <c r="C1115" s="304"/>
      <c r="D1115" s="685"/>
      <c r="E1115" s="306" t="s">
        <v>277</v>
      </c>
      <c r="F1115" s="307"/>
      <c r="G1115" s="297"/>
      <c r="H1115" s="308"/>
      <c r="I1115" s="661"/>
      <c r="J1115" s="661"/>
      <c r="L1115" s="237"/>
      <c r="Q1115" s="237"/>
    </row>
    <row r="1116" spans="2:17" s="233" customFormat="1" ht="13.5" customHeight="1" outlineLevel="2">
      <c r="B1116" s="299" t="s">
        <v>1056</v>
      </c>
      <c r="C1116" s="304"/>
      <c r="D1116" s="685"/>
      <c r="E1116" s="306" t="s">
        <v>277</v>
      </c>
      <c r="F1116" s="307"/>
      <c r="G1116" s="297"/>
      <c r="H1116" s="308"/>
      <c r="I1116" s="661"/>
      <c r="J1116" s="661"/>
      <c r="L1116" s="237"/>
      <c r="Q1116" s="237"/>
    </row>
    <row r="1117" spans="2:17" s="233" customFormat="1" ht="13.5" customHeight="1" outlineLevel="2">
      <c r="B1117" s="299" t="s">
        <v>268</v>
      </c>
      <c r="C1117" s="304" t="s">
        <v>1057</v>
      </c>
      <c r="D1117" s="685" t="s">
        <v>372</v>
      </c>
      <c r="E1117" s="306" t="s">
        <v>373</v>
      </c>
      <c r="F1117" s="307"/>
      <c r="G1117" s="297" t="s">
        <v>878</v>
      </c>
      <c r="H1117" s="308" t="str">
        <f>CONCATENATE("AR-",G1117,"-",I1117)</f>
        <v>AR-V50-1</v>
      </c>
      <c r="I1117" s="661">
        <v>1</v>
      </c>
      <c r="J1117" s="661">
        <v>1</v>
      </c>
      <c r="L1117" s="237"/>
      <c r="Q1117" s="237"/>
    </row>
    <row r="1118" spans="2:17" s="233" customFormat="1" ht="13.5" customHeight="1" outlineLevel="2">
      <c r="B1118" s="299" t="s">
        <v>268</v>
      </c>
      <c r="C1118" s="304" t="s">
        <v>1057</v>
      </c>
      <c r="D1118" s="685" t="s">
        <v>374</v>
      </c>
      <c r="E1118" s="306" t="s">
        <v>1058</v>
      </c>
      <c r="F1118" s="307"/>
      <c r="G1118" s="297" t="s">
        <v>878</v>
      </c>
      <c r="H1118" s="308" t="str">
        <f>CONCATENATE("AR-",G1118,"-",I1118)</f>
        <v>AR-V50-1</v>
      </c>
      <c r="I1118" s="661">
        <v>1</v>
      </c>
      <c r="J1118" s="661">
        <v>1</v>
      </c>
      <c r="L1118" s="237"/>
      <c r="Q1118" s="237"/>
    </row>
    <row r="1119" spans="2:17" s="262" customFormat="1" ht="13.5" customHeight="1" outlineLevel="2">
      <c r="B1119" s="299" t="s">
        <v>268</v>
      </c>
      <c r="C1119" s="304" t="s">
        <v>1057</v>
      </c>
      <c r="D1119" s="685" t="s">
        <v>376</v>
      </c>
      <c r="E1119" s="306" t="s">
        <v>1059</v>
      </c>
      <c r="F1119" s="307"/>
      <c r="G1119" s="297" t="s">
        <v>878</v>
      </c>
      <c r="H1119" s="308" t="str">
        <f>CONCATENATE("AR-",G1119,"-",I1119)</f>
        <v>AR-V50-1</v>
      </c>
      <c r="I1119" s="661">
        <v>1</v>
      </c>
      <c r="J1119" s="661">
        <v>1</v>
      </c>
      <c r="L1119" s="716"/>
      <c r="Q1119" s="716"/>
    </row>
    <row r="1120" spans="2:17" s="233" customFormat="1" ht="3" customHeight="1" outlineLevel="2">
      <c r="B1120" s="299"/>
      <c r="C1120" s="304"/>
      <c r="D1120" s="685"/>
      <c r="E1120" s="306" t="s">
        <v>277</v>
      </c>
      <c r="F1120" s="307"/>
      <c r="G1120" s="297"/>
      <c r="H1120" s="308"/>
      <c r="I1120" s="661"/>
      <c r="J1120" s="661"/>
      <c r="L1120" s="237"/>
      <c r="Q1120" s="237"/>
    </row>
    <row r="1121" spans="2:17" s="233" customFormat="1" ht="13.5" customHeight="1" outlineLevel="2">
      <c r="B1121" s="299" t="s">
        <v>1060</v>
      </c>
      <c r="C1121" s="304"/>
      <c r="D1121" s="685"/>
      <c r="E1121" s="306" t="s">
        <v>277</v>
      </c>
      <c r="F1121" s="307"/>
      <c r="G1121" s="297"/>
      <c r="H1121" s="308"/>
      <c r="I1121" s="661"/>
      <c r="J1121" s="661"/>
      <c r="L1121" s="237"/>
      <c r="Q1121" s="237"/>
    </row>
    <row r="1122" spans="2:17" s="233" customFormat="1" ht="13.5" customHeight="1" outlineLevel="2">
      <c r="B1122" s="299" t="s">
        <v>268</v>
      </c>
      <c r="C1122" s="304" t="s">
        <v>878</v>
      </c>
      <c r="D1122" s="685" t="s">
        <v>701</v>
      </c>
      <c r="E1122" s="306" t="s">
        <v>1061</v>
      </c>
      <c r="F1122" s="307"/>
      <c r="G1122" s="297" t="s">
        <v>878</v>
      </c>
      <c r="H1122" s="308" t="str">
        <f>CONCATENATE("AR-",G1122,"-",I1122)</f>
        <v>AR-V50-1</v>
      </c>
      <c r="I1122" s="661">
        <v>1</v>
      </c>
      <c r="J1122" s="661">
        <v>1</v>
      </c>
      <c r="L1122" s="237"/>
      <c r="Q1122" s="237"/>
    </row>
    <row r="1123" spans="2:17" s="233" customFormat="1" ht="13.5" customHeight="1" outlineLevel="2">
      <c r="B1123" s="299" t="s">
        <v>268</v>
      </c>
      <c r="C1123" s="304" t="s">
        <v>878</v>
      </c>
      <c r="D1123" s="685" t="s">
        <v>1062</v>
      </c>
      <c r="E1123" s="306" t="s">
        <v>1063</v>
      </c>
      <c r="F1123" s="307"/>
      <c r="G1123" s="297" t="s">
        <v>878</v>
      </c>
      <c r="H1123" s="308" t="str">
        <f>CONCATENATE("AR-",G1123,"-",I1123)</f>
        <v>AR-V50-1</v>
      </c>
      <c r="I1123" s="661">
        <v>1</v>
      </c>
      <c r="J1123" s="661">
        <v>1</v>
      </c>
      <c r="L1123" s="237"/>
      <c r="Q1123" s="237"/>
    </row>
    <row r="1124" spans="2:17" s="233" customFormat="1" ht="3" customHeight="1" outlineLevel="2">
      <c r="B1124" s="299"/>
      <c r="C1124" s="304"/>
      <c r="D1124" s="685"/>
      <c r="E1124" s="306" t="s">
        <v>277</v>
      </c>
      <c r="F1124" s="307"/>
      <c r="G1124" s="297"/>
      <c r="H1124" s="308"/>
      <c r="I1124" s="661"/>
      <c r="J1124" s="661"/>
      <c r="L1124" s="237"/>
      <c r="Q1124" s="237"/>
    </row>
    <row r="1125" spans="2:17" s="233" customFormat="1" ht="13.5" customHeight="1" outlineLevel="2">
      <c r="B1125" s="299" t="s">
        <v>1064</v>
      </c>
      <c r="C1125" s="304"/>
      <c r="D1125" s="685"/>
      <c r="E1125" s="306" t="s">
        <v>277</v>
      </c>
      <c r="F1125" s="307"/>
      <c r="G1125" s="297"/>
      <c r="H1125" s="308"/>
      <c r="I1125" s="661"/>
      <c r="J1125" s="661"/>
      <c r="L1125" s="237"/>
      <c r="Q1125" s="237"/>
    </row>
    <row r="1126" spans="2:17" s="233" customFormat="1" ht="13.5" customHeight="1" outlineLevel="2">
      <c r="B1126" s="299" t="s">
        <v>268</v>
      </c>
      <c r="C1126" s="304" t="s">
        <v>1057</v>
      </c>
      <c r="D1126" s="685" t="s">
        <v>283</v>
      </c>
      <c r="E1126" s="306" t="s">
        <v>1065</v>
      </c>
      <c r="F1126" s="307"/>
      <c r="G1126" s="297" t="s">
        <v>878</v>
      </c>
      <c r="H1126" s="308" t="str">
        <f>CONCATENATE("AR-",G1126,"-",I1126)</f>
        <v>AR-V50-1</v>
      </c>
      <c r="I1126" s="661">
        <v>1</v>
      </c>
      <c r="J1126" s="661">
        <v>1</v>
      </c>
      <c r="L1126" s="237"/>
      <c r="Q1126" s="237"/>
    </row>
    <row r="1127" spans="2:17" s="233" customFormat="1" ht="13.5" customHeight="1" outlineLevel="2">
      <c r="B1127" s="299" t="s">
        <v>268</v>
      </c>
      <c r="C1127" s="304" t="s">
        <v>1057</v>
      </c>
      <c r="D1127" s="685" t="s">
        <v>390</v>
      </c>
      <c r="E1127" s="306" t="s">
        <v>1066</v>
      </c>
      <c r="F1127" s="307"/>
      <c r="G1127" s="297" t="s">
        <v>878</v>
      </c>
      <c r="H1127" s="308" t="str">
        <f>CONCATENATE("AR-",G1127,"-",I1127)</f>
        <v>AR-V50-1</v>
      </c>
      <c r="I1127" s="661">
        <v>1</v>
      </c>
      <c r="J1127" s="661">
        <v>1</v>
      </c>
      <c r="L1127" s="237"/>
      <c r="Q1127" s="237"/>
    </row>
    <row r="1128" spans="2:17" s="233" customFormat="1" ht="13.5" customHeight="1" outlineLevel="2">
      <c r="B1128" s="299" t="s">
        <v>268</v>
      </c>
      <c r="C1128" s="304" t="s">
        <v>1057</v>
      </c>
      <c r="D1128" s="685" t="s">
        <v>392</v>
      </c>
      <c r="E1128" s="306" t="s">
        <v>1067</v>
      </c>
      <c r="F1128" s="307"/>
      <c r="G1128" s="297" t="s">
        <v>878</v>
      </c>
      <c r="H1128" s="308" t="str">
        <f>CONCATENATE("AR-",G1128,"-",I1128)</f>
        <v>AR-V50-1</v>
      </c>
      <c r="I1128" s="661">
        <v>1</v>
      </c>
      <c r="J1128" s="661">
        <v>1</v>
      </c>
      <c r="L1128" s="237"/>
      <c r="Q1128" s="237"/>
    </row>
    <row r="1129" spans="2:17" s="233" customFormat="1" ht="13.5" customHeight="1" outlineLevel="2">
      <c r="B1129" s="299" t="s">
        <v>268</v>
      </c>
      <c r="C1129" s="304" t="s">
        <v>1057</v>
      </c>
      <c r="D1129" s="685" t="s">
        <v>1068</v>
      </c>
      <c r="E1129" s="306" t="s">
        <v>1069</v>
      </c>
      <c r="F1129" s="307"/>
      <c r="G1129" s="297" t="s">
        <v>878</v>
      </c>
      <c r="H1129" s="308" t="str">
        <f>CONCATENATE("AR-",G1129,"-",I1129)</f>
        <v>AR-V50-1</v>
      </c>
      <c r="I1129" s="661">
        <v>1</v>
      </c>
      <c r="J1129" s="661">
        <v>1</v>
      </c>
      <c r="L1129" s="237"/>
      <c r="Q1129" s="237"/>
    </row>
    <row r="1130" spans="2:17" s="233" customFormat="1" ht="3" customHeight="1" outlineLevel="2">
      <c r="B1130" s="299"/>
      <c r="C1130" s="304"/>
      <c r="D1130" s="685"/>
      <c r="E1130" s="306" t="s">
        <v>277</v>
      </c>
      <c r="F1130" s="307"/>
      <c r="G1130" s="297"/>
      <c r="H1130" s="308"/>
      <c r="I1130" s="661"/>
      <c r="J1130" s="661"/>
      <c r="L1130" s="237"/>
      <c r="Q1130" s="237"/>
    </row>
    <row r="1131" spans="2:17" s="233" customFormat="1" ht="13.5" customHeight="1" outlineLevel="2">
      <c r="B1131" s="299" t="s">
        <v>1070</v>
      </c>
      <c r="C1131" s="304"/>
      <c r="D1131" s="685"/>
      <c r="E1131" s="306" t="s">
        <v>277</v>
      </c>
      <c r="F1131" s="307"/>
      <c r="G1131" s="297"/>
      <c r="H1131" s="308"/>
      <c r="I1131" s="661"/>
      <c r="J1131" s="661"/>
      <c r="L1131" s="237"/>
      <c r="Q1131" s="237"/>
    </row>
    <row r="1132" spans="2:17" s="233" customFormat="1" ht="14.25" customHeight="1" outlineLevel="2">
      <c r="B1132" s="299" t="s">
        <v>268</v>
      </c>
      <c r="C1132" s="304" t="s">
        <v>878</v>
      </c>
      <c r="D1132" s="685" t="s">
        <v>291</v>
      </c>
      <c r="E1132" s="306" t="s">
        <v>1071</v>
      </c>
      <c r="F1132" s="307"/>
      <c r="G1132" s="297" t="s">
        <v>878</v>
      </c>
      <c r="H1132" s="308" t="str">
        <f>CONCATENATE("AR-",G1132,"-",I1132)</f>
        <v>AR-V50-1</v>
      </c>
      <c r="I1132" s="661">
        <v>1</v>
      </c>
      <c r="J1132" s="661">
        <v>1</v>
      </c>
      <c r="L1132" s="237"/>
      <c r="Q1132" s="237"/>
    </row>
    <row r="1133" spans="2:17" s="233" customFormat="1" ht="14.25" customHeight="1" outlineLevel="2">
      <c r="B1133" s="299" t="s">
        <v>268</v>
      </c>
      <c r="C1133" s="304" t="s">
        <v>878</v>
      </c>
      <c r="D1133" s="685" t="s">
        <v>950</v>
      </c>
      <c r="E1133" s="306" t="s">
        <v>1072</v>
      </c>
      <c r="F1133" s="307"/>
      <c r="G1133" s="297" t="s">
        <v>878</v>
      </c>
      <c r="H1133" s="308" t="str">
        <f>CONCATENATE("AR-",G1133,"-",I1133)</f>
        <v>AR-V50-1</v>
      </c>
      <c r="I1133" s="661">
        <v>1</v>
      </c>
      <c r="J1133" s="661">
        <v>1</v>
      </c>
      <c r="L1133" s="237"/>
      <c r="Q1133" s="237"/>
    </row>
    <row r="1134" spans="2:17" s="233" customFormat="1" ht="3" customHeight="1" outlineLevel="2">
      <c r="B1134" s="299"/>
      <c r="C1134" s="304"/>
      <c r="D1134" s="685"/>
      <c r="E1134" s="306" t="s">
        <v>277</v>
      </c>
      <c r="F1134" s="307"/>
      <c r="G1134" s="297"/>
      <c r="H1134" s="308"/>
      <c r="I1134" s="661"/>
      <c r="J1134" s="661"/>
      <c r="L1134" s="237"/>
      <c r="Q1134" s="237"/>
    </row>
    <row r="1135" spans="2:17" s="259" customFormat="1" ht="12" customHeight="1" outlineLevel="2">
      <c r="B1135" s="299" t="s">
        <v>1073</v>
      </c>
      <c r="C1135" s="304"/>
      <c r="D1135" s="685"/>
      <c r="E1135" s="306" t="s">
        <v>277</v>
      </c>
      <c r="F1135" s="307"/>
      <c r="G1135" s="297"/>
      <c r="H1135" s="308"/>
      <c r="I1135" s="661"/>
      <c r="J1135" s="661"/>
      <c r="L1135" s="715"/>
      <c r="Q1135" s="715"/>
    </row>
    <row r="1136" spans="2:17" s="233" customFormat="1" ht="13.5" customHeight="1" outlineLevel="2">
      <c r="B1136" s="299" t="s">
        <v>268</v>
      </c>
      <c r="C1136" s="304" t="s">
        <v>878</v>
      </c>
      <c r="D1136" s="685" t="s">
        <v>551</v>
      </c>
      <c r="E1136" s="306" t="s">
        <v>1074</v>
      </c>
      <c r="F1136" s="307"/>
      <c r="G1136" s="297" t="s">
        <v>878</v>
      </c>
      <c r="H1136" s="308" t="str">
        <f>CONCATENATE("AR-",G1136,"-",I1136)</f>
        <v>AR-V50-1</v>
      </c>
      <c r="I1136" s="661">
        <v>1</v>
      </c>
      <c r="J1136" s="661">
        <v>1</v>
      </c>
      <c r="L1136" s="237"/>
      <c r="Q1136" s="237"/>
    </row>
    <row r="1137" spans="2:17" s="233" customFormat="1" ht="13.5" customHeight="1" outlineLevel="2">
      <c r="B1137" s="299" t="s">
        <v>268</v>
      </c>
      <c r="C1137" s="304" t="s">
        <v>878</v>
      </c>
      <c r="D1137" s="685" t="s">
        <v>553</v>
      </c>
      <c r="E1137" s="306" t="s">
        <v>1075</v>
      </c>
      <c r="F1137" s="307"/>
      <c r="G1137" s="297" t="s">
        <v>878</v>
      </c>
      <c r="H1137" s="308" t="str">
        <f>CONCATENATE("AR-",G1137,"-",I1137)</f>
        <v>AR-V50-1</v>
      </c>
      <c r="I1137" s="661">
        <v>1</v>
      </c>
      <c r="J1137" s="661">
        <v>1</v>
      </c>
      <c r="L1137" s="237"/>
      <c r="Q1137" s="237"/>
    </row>
    <row r="1138" spans="2:17" s="233" customFormat="1" ht="13.5" customHeight="1" outlineLevel="2">
      <c r="B1138" s="299" t="s">
        <v>268</v>
      </c>
      <c r="C1138" s="304" t="s">
        <v>878</v>
      </c>
      <c r="D1138" s="685" t="s">
        <v>554</v>
      </c>
      <c r="E1138" s="306" t="s">
        <v>1076</v>
      </c>
      <c r="F1138" s="307"/>
      <c r="G1138" s="297" t="s">
        <v>878</v>
      </c>
      <c r="H1138" s="308" t="str">
        <f>CONCATENATE("AR-",G1138,"-",I1138)</f>
        <v>AR-V50-1</v>
      </c>
      <c r="I1138" s="661">
        <v>1</v>
      </c>
      <c r="J1138" s="661">
        <v>1</v>
      </c>
      <c r="L1138" s="237"/>
      <c r="Q1138" s="237"/>
    </row>
    <row r="1139" spans="2:17" s="233" customFormat="1" ht="3" customHeight="1" outlineLevel="2">
      <c r="B1139" s="299"/>
      <c r="C1139" s="304"/>
      <c r="D1139" s="685"/>
      <c r="E1139" s="306" t="s">
        <v>277</v>
      </c>
      <c r="F1139" s="307"/>
      <c r="G1139" s="297"/>
      <c r="H1139" s="308"/>
      <c r="I1139" s="661"/>
      <c r="J1139" s="661"/>
      <c r="L1139" s="237"/>
      <c r="Q1139" s="237"/>
    </row>
    <row r="1140" spans="2:17" s="233" customFormat="1" ht="13.5" customHeight="1" outlineLevel="2">
      <c r="B1140" s="299" t="s">
        <v>1077</v>
      </c>
      <c r="C1140" s="304"/>
      <c r="D1140" s="685"/>
      <c r="E1140" s="306" t="s">
        <v>277</v>
      </c>
      <c r="F1140" s="307"/>
      <c r="G1140" s="297"/>
      <c r="H1140" s="308"/>
      <c r="I1140" s="661"/>
      <c r="J1140" s="661"/>
      <c r="L1140" s="237"/>
      <c r="Q1140" s="237"/>
    </row>
    <row r="1141" spans="2:17" s="233" customFormat="1" ht="13.5" customHeight="1" outlineLevel="2">
      <c r="B1141" s="299" t="s">
        <v>268</v>
      </c>
      <c r="C1141" s="304" t="s">
        <v>878</v>
      </c>
      <c r="D1141" s="685" t="s">
        <v>683</v>
      </c>
      <c r="E1141" s="306" t="s">
        <v>1078</v>
      </c>
      <c r="F1141" s="307"/>
      <c r="G1141" s="297" t="s">
        <v>878</v>
      </c>
      <c r="H1141" s="308" t="str">
        <f t="shared" ref="H1141:H1146" si="82">CONCATENATE("AR-",G1141,"-",I1141)</f>
        <v>AR-V50-1</v>
      </c>
      <c r="I1141" s="661">
        <v>1</v>
      </c>
      <c r="J1141" s="661">
        <v>1</v>
      </c>
      <c r="L1141" s="237"/>
      <c r="Q1141" s="237"/>
    </row>
    <row r="1142" spans="2:17" s="233" customFormat="1" ht="13.5" customHeight="1" outlineLevel="2">
      <c r="B1142" s="299" t="s">
        <v>268</v>
      </c>
      <c r="C1142" s="304" t="s">
        <v>878</v>
      </c>
      <c r="D1142" s="685" t="s">
        <v>1023</v>
      </c>
      <c r="E1142" s="306" t="s">
        <v>1079</v>
      </c>
      <c r="F1142" s="307"/>
      <c r="G1142" s="297" t="s">
        <v>878</v>
      </c>
      <c r="H1142" s="308" t="str">
        <f t="shared" si="82"/>
        <v>AR-V50-1</v>
      </c>
      <c r="I1142" s="661">
        <v>1</v>
      </c>
      <c r="J1142" s="661">
        <v>1</v>
      </c>
      <c r="L1142" s="237"/>
      <c r="Q1142" s="237"/>
    </row>
    <row r="1143" spans="2:17" s="233" customFormat="1" ht="13.5" customHeight="1" outlineLevel="2">
      <c r="B1143" s="299" t="s">
        <v>268</v>
      </c>
      <c r="C1143" s="304" t="s">
        <v>878</v>
      </c>
      <c r="D1143" s="685" t="s">
        <v>1025</v>
      </c>
      <c r="E1143" s="306" t="s">
        <v>1080</v>
      </c>
      <c r="F1143" s="307"/>
      <c r="G1143" s="297" t="s">
        <v>878</v>
      </c>
      <c r="H1143" s="308" t="str">
        <f t="shared" si="82"/>
        <v>AR-V50-1</v>
      </c>
      <c r="I1143" s="661">
        <v>1</v>
      </c>
      <c r="J1143" s="661">
        <v>1</v>
      </c>
      <c r="L1143" s="237"/>
      <c r="Q1143" s="237"/>
    </row>
    <row r="1144" spans="2:17" s="233" customFormat="1" ht="13.5" customHeight="1" outlineLevel="2">
      <c r="B1144" s="299" t="s">
        <v>268</v>
      </c>
      <c r="C1144" s="304" t="s">
        <v>1081</v>
      </c>
      <c r="D1144" s="685">
        <v>4127</v>
      </c>
      <c r="E1144" s="306" t="s">
        <v>1082</v>
      </c>
      <c r="F1144" s="307"/>
      <c r="G1144" s="297" t="s">
        <v>878</v>
      </c>
      <c r="H1144" s="308" t="str">
        <f t="shared" si="82"/>
        <v>AR-V50-1</v>
      </c>
      <c r="I1144" s="661">
        <v>1</v>
      </c>
      <c r="J1144" s="661">
        <v>1</v>
      </c>
      <c r="L1144" s="237"/>
      <c r="Q1144" s="237"/>
    </row>
    <row r="1145" spans="2:17" s="233" customFormat="1" ht="13.5" customHeight="1" outlineLevel="2">
      <c r="B1145" s="299" t="s">
        <v>268</v>
      </c>
      <c r="C1145" s="304" t="s">
        <v>1081</v>
      </c>
      <c r="D1145" s="685">
        <v>4128</v>
      </c>
      <c r="E1145" s="306" t="s">
        <v>1083</v>
      </c>
      <c r="F1145" s="307"/>
      <c r="G1145" s="297" t="s">
        <v>878</v>
      </c>
      <c r="H1145" s="308" t="str">
        <f t="shared" si="82"/>
        <v>AR-V50-1</v>
      </c>
      <c r="I1145" s="661">
        <v>1</v>
      </c>
      <c r="J1145" s="661">
        <v>1</v>
      </c>
      <c r="L1145" s="237"/>
      <c r="Q1145" s="237"/>
    </row>
    <row r="1146" spans="2:17" s="233" customFormat="1" ht="13.5" customHeight="1" outlineLevel="2">
      <c r="B1146" s="299" t="s">
        <v>268</v>
      </c>
      <c r="C1146" s="304" t="s">
        <v>1081</v>
      </c>
      <c r="D1146" s="685">
        <v>4129</v>
      </c>
      <c r="E1146" s="306" t="s">
        <v>1084</v>
      </c>
      <c r="F1146" s="307"/>
      <c r="G1146" s="297" t="s">
        <v>878</v>
      </c>
      <c r="H1146" s="308" t="str">
        <f t="shared" si="82"/>
        <v>AR-V50-1</v>
      </c>
      <c r="I1146" s="661">
        <v>1</v>
      </c>
      <c r="J1146" s="661">
        <v>1</v>
      </c>
      <c r="L1146" s="237"/>
      <c r="Q1146" s="237"/>
    </row>
    <row r="1147" spans="2:17" s="233" customFormat="1" ht="3" customHeight="1" outlineLevel="2">
      <c r="B1147" s="299"/>
      <c r="C1147" s="304"/>
      <c r="D1147" s="685"/>
      <c r="E1147" s="306" t="s">
        <v>277</v>
      </c>
      <c r="F1147" s="307"/>
      <c r="G1147" s="297"/>
      <c r="H1147" s="308"/>
      <c r="I1147" s="661"/>
      <c r="J1147" s="661"/>
      <c r="L1147" s="237"/>
      <c r="Q1147" s="237"/>
    </row>
    <row r="1148" spans="2:17" s="259" customFormat="1" ht="12" customHeight="1" outlineLevel="2">
      <c r="B1148" s="299" t="s">
        <v>1085</v>
      </c>
      <c r="C1148" s="304"/>
      <c r="D1148" s="685"/>
      <c r="E1148" s="306" t="s">
        <v>277</v>
      </c>
      <c r="F1148" s="307"/>
      <c r="G1148" s="297"/>
      <c r="H1148" s="308"/>
      <c r="I1148" s="661"/>
      <c r="J1148" s="661"/>
      <c r="L1148" s="715"/>
      <c r="Q1148" s="715"/>
    </row>
    <row r="1149" spans="2:17" s="259" customFormat="1" outlineLevel="2">
      <c r="B1149" s="299" t="s">
        <v>268</v>
      </c>
      <c r="C1149" s="304" t="s">
        <v>1057</v>
      </c>
      <c r="D1149" s="685" t="s">
        <v>1086</v>
      </c>
      <c r="E1149" s="306" t="s">
        <v>1087</v>
      </c>
      <c r="F1149" s="307"/>
      <c r="G1149" s="297" t="s">
        <v>878</v>
      </c>
      <c r="H1149" s="308" t="str">
        <f>CONCATENATE("AR-",G1149,"-",I1149)</f>
        <v>AR-V50-1</v>
      </c>
      <c r="I1149" s="661">
        <v>1</v>
      </c>
      <c r="J1149" s="661">
        <v>1</v>
      </c>
      <c r="L1149" s="715"/>
      <c r="Q1149" s="715"/>
    </row>
    <row r="1150" spans="2:17" s="233" customFormat="1" ht="13.5" customHeight="1" outlineLevel="2">
      <c r="B1150" s="299" t="s">
        <v>268</v>
      </c>
      <c r="C1150" s="304" t="s">
        <v>878</v>
      </c>
      <c r="D1150" s="685" t="s">
        <v>320</v>
      </c>
      <c r="E1150" s="306" t="s">
        <v>1088</v>
      </c>
      <c r="F1150" s="307"/>
      <c r="G1150" s="297" t="s">
        <v>878</v>
      </c>
      <c r="H1150" s="308" t="str">
        <f>CONCATENATE("AR-",G1150,"-",I1150)</f>
        <v>AR-V50-1</v>
      </c>
      <c r="I1150" s="661">
        <v>1</v>
      </c>
      <c r="J1150" s="661">
        <v>1</v>
      </c>
      <c r="L1150" s="237"/>
      <c r="Q1150" s="237"/>
    </row>
    <row r="1151" spans="2:17" s="233" customFormat="1" ht="13.5" customHeight="1" outlineLevel="2">
      <c r="B1151" s="299" t="s">
        <v>268</v>
      </c>
      <c r="C1151" s="304" t="s">
        <v>878</v>
      </c>
      <c r="D1151" s="685" t="s">
        <v>1089</v>
      </c>
      <c r="E1151" s="306" t="s">
        <v>1090</v>
      </c>
      <c r="F1151" s="307"/>
      <c r="G1151" s="297" t="s">
        <v>878</v>
      </c>
      <c r="H1151" s="308" t="str">
        <f>CONCATENATE("AR-",G1151,"-",I1151)</f>
        <v>AR-V50-1</v>
      </c>
      <c r="I1151" s="661">
        <v>1</v>
      </c>
      <c r="J1151" s="661">
        <v>1</v>
      </c>
      <c r="L1151" s="237"/>
      <c r="Q1151" s="237"/>
    </row>
    <row r="1152" spans="2:17" s="233" customFormat="1" ht="13.5" customHeight="1" outlineLevel="2">
      <c r="B1152" s="299" t="s">
        <v>268</v>
      </c>
      <c r="C1152" s="304" t="s">
        <v>878</v>
      </c>
      <c r="D1152" s="685" t="s">
        <v>1091</v>
      </c>
      <c r="E1152" s="306" t="s">
        <v>1092</v>
      </c>
      <c r="F1152" s="307"/>
      <c r="G1152" s="297" t="s">
        <v>878</v>
      </c>
      <c r="H1152" s="308" t="str">
        <f>CONCATENATE("AR-",G1152,"-",I1152)</f>
        <v>AR-V50-1</v>
      </c>
      <c r="I1152" s="661">
        <v>1</v>
      </c>
      <c r="J1152" s="661">
        <v>1</v>
      </c>
      <c r="L1152" s="237"/>
      <c r="Q1152" s="237"/>
    </row>
    <row r="1153" spans="2:17" s="233" customFormat="1" ht="3" customHeight="1" outlineLevel="2">
      <c r="B1153" s="299"/>
      <c r="C1153" s="304"/>
      <c r="D1153" s="685"/>
      <c r="E1153" s="306" t="s">
        <v>277</v>
      </c>
      <c r="F1153" s="307"/>
      <c r="G1153" s="297"/>
      <c r="H1153" s="308"/>
      <c r="I1153" s="661"/>
      <c r="J1153" s="661"/>
      <c r="L1153" s="237"/>
      <c r="Q1153" s="237"/>
    </row>
    <row r="1154" spans="2:17" s="259" customFormat="1" ht="12" customHeight="1" outlineLevel="2">
      <c r="B1154" s="299" t="s">
        <v>1093</v>
      </c>
      <c r="C1154" s="304"/>
      <c r="D1154" s="685"/>
      <c r="E1154" s="306" t="s">
        <v>277</v>
      </c>
      <c r="F1154" s="307"/>
      <c r="G1154" s="297"/>
      <c r="H1154" s="308"/>
      <c r="I1154" s="661"/>
      <c r="J1154" s="661"/>
      <c r="L1154" s="715"/>
      <c r="Q1154" s="715"/>
    </row>
    <row r="1155" spans="2:17" s="233" customFormat="1" ht="13.5" customHeight="1" outlineLevel="2">
      <c r="B1155" s="299" t="s">
        <v>268</v>
      </c>
      <c r="C1155" s="304" t="s">
        <v>1057</v>
      </c>
      <c r="D1155" s="685" t="s">
        <v>409</v>
      </c>
      <c r="E1155" s="306" t="s">
        <v>892</v>
      </c>
      <c r="F1155" s="307"/>
      <c r="G1155" s="297" t="s">
        <v>878</v>
      </c>
      <c r="H1155" s="308" t="str">
        <f>CONCATENATE("AR-",G1155,"-",I1155)</f>
        <v>AR-V50-1</v>
      </c>
      <c r="I1155" s="661">
        <v>1</v>
      </c>
      <c r="J1155" s="661">
        <v>1</v>
      </c>
      <c r="L1155" s="237"/>
      <c r="Q1155" s="237"/>
    </row>
    <row r="1156" spans="2:17" s="233" customFormat="1" ht="13.5" customHeight="1" outlineLevel="2">
      <c r="B1156" s="299" t="s">
        <v>268</v>
      </c>
      <c r="C1156" s="304" t="s">
        <v>1057</v>
      </c>
      <c r="D1156" s="685" t="s">
        <v>411</v>
      </c>
      <c r="E1156" s="306" t="s">
        <v>893</v>
      </c>
      <c r="F1156" s="307"/>
      <c r="G1156" s="297" t="s">
        <v>878</v>
      </c>
      <c r="H1156" s="308" t="str">
        <f>CONCATENATE("AR-",G1156,"-",I1156)</f>
        <v>AR-V50-1</v>
      </c>
      <c r="I1156" s="661">
        <v>1</v>
      </c>
      <c r="J1156" s="661">
        <v>1</v>
      </c>
      <c r="L1156" s="237"/>
      <c r="Q1156" s="237"/>
    </row>
    <row r="1157" spans="2:17" s="233" customFormat="1" ht="13.5" customHeight="1" outlineLevel="2">
      <c r="B1157" s="299" t="s">
        <v>268</v>
      </c>
      <c r="C1157" s="304" t="s">
        <v>878</v>
      </c>
      <c r="D1157" s="685" t="s">
        <v>903</v>
      </c>
      <c r="E1157" s="306" t="s">
        <v>1094</v>
      </c>
      <c r="F1157" s="307"/>
      <c r="G1157" s="297" t="s">
        <v>878</v>
      </c>
      <c r="H1157" s="308" t="str">
        <f>CONCATENATE("AR-",G1157,"-",I1157)</f>
        <v>AR-V50-1</v>
      </c>
      <c r="I1157" s="661">
        <v>1</v>
      </c>
      <c r="J1157" s="661">
        <v>1</v>
      </c>
      <c r="L1157" s="237"/>
      <c r="Q1157" s="237"/>
    </row>
    <row r="1158" spans="2:17" s="233" customFormat="1" ht="13.5" customHeight="1" outlineLevel="2">
      <c r="B1158" s="299" t="s">
        <v>268</v>
      </c>
      <c r="C1158" s="304" t="s">
        <v>878</v>
      </c>
      <c r="D1158" s="685" t="s">
        <v>1095</v>
      </c>
      <c r="E1158" s="306" t="s">
        <v>1096</v>
      </c>
      <c r="F1158" s="307"/>
      <c r="G1158" s="297" t="s">
        <v>878</v>
      </c>
      <c r="H1158" s="308" t="str">
        <f>CONCATENATE("AR-",G1158,"-",I1158)</f>
        <v>AR-V50-1</v>
      </c>
      <c r="I1158" s="661">
        <v>1</v>
      </c>
      <c r="J1158" s="661">
        <v>1</v>
      </c>
      <c r="L1158" s="237"/>
      <c r="Q1158" s="237"/>
    </row>
    <row r="1159" spans="2:17" s="233" customFormat="1" ht="13.5" customHeight="1" outlineLevel="2">
      <c r="B1159" s="299" t="s">
        <v>268</v>
      </c>
      <c r="C1159" s="304" t="s">
        <v>878</v>
      </c>
      <c r="D1159" s="685" t="s">
        <v>1097</v>
      </c>
      <c r="E1159" s="306" t="s">
        <v>1098</v>
      </c>
      <c r="F1159" s="307"/>
      <c r="G1159" s="297" t="s">
        <v>878</v>
      </c>
      <c r="H1159" s="308" t="str">
        <f>CONCATENATE("AR-",G1159,"-",I1159)</f>
        <v>AR-V50-1</v>
      </c>
      <c r="I1159" s="661">
        <v>1</v>
      </c>
      <c r="J1159" s="661">
        <v>1</v>
      </c>
      <c r="L1159" s="237"/>
      <c r="Q1159" s="237"/>
    </row>
    <row r="1160" spans="2:17" s="233" customFormat="1" ht="3" customHeight="1" outlineLevel="2">
      <c r="B1160" s="299"/>
      <c r="C1160" s="304"/>
      <c r="D1160" s="685"/>
      <c r="E1160" s="306" t="s">
        <v>277</v>
      </c>
      <c r="F1160" s="307"/>
      <c r="G1160" s="297"/>
      <c r="H1160" s="308"/>
      <c r="I1160" s="661"/>
      <c r="J1160" s="661"/>
      <c r="L1160" s="237"/>
      <c r="Q1160" s="237"/>
    </row>
    <row r="1161" spans="2:17" s="259" customFormat="1" ht="12" customHeight="1" outlineLevel="2">
      <c r="B1161" s="299" t="s">
        <v>1099</v>
      </c>
      <c r="C1161" s="304"/>
      <c r="D1161" s="685"/>
      <c r="E1161" s="306" t="s">
        <v>277</v>
      </c>
      <c r="F1161" s="307"/>
      <c r="G1161" s="297"/>
      <c r="H1161" s="308"/>
      <c r="I1161" s="661"/>
      <c r="J1161" s="661"/>
      <c r="L1161" s="715"/>
      <c r="Q1161" s="715"/>
    </row>
    <row r="1162" spans="2:17" s="233" customFormat="1" ht="13.5" customHeight="1" outlineLevel="2">
      <c r="B1162" s="299" t="s">
        <v>268</v>
      </c>
      <c r="C1162" s="304" t="s">
        <v>1057</v>
      </c>
      <c r="D1162" s="685" t="s">
        <v>418</v>
      </c>
      <c r="E1162" s="306" t="s">
        <v>1100</v>
      </c>
      <c r="F1162" s="307"/>
      <c r="G1162" s="297" t="s">
        <v>878</v>
      </c>
      <c r="H1162" s="308" t="str">
        <f>CONCATENATE("AR-",G1162,"-",I1162)</f>
        <v>AR-V50-1</v>
      </c>
      <c r="I1162" s="661">
        <v>1</v>
      </c>
      <c r="J1162" s="661">
        <v>1</v>
      </c>
      <c r="L1162" s="237"/>
      <c r="Q1162" s="237"/>
    </row>
    <row r="1163" spans="2:17" s="233" customFormat="1" ht="13.5" customHeight="1" outlineLevel="2">
      <c r="B1163" s="299" t="s">
        <v>268</v>
      </c>
      <c r="C1163" s="304" t="s">
        <v>1057</v>
      </c>
      <c r="D1163" s="685" t="s">
        <v>1101</v>
      </c>
      <c r="E1163" s="306" t="s">
        <v>1102</v>
      </c>
      <c r="F1163" s="307"/>
      <c r="G1163" s="297" t="s">
        <v>878</v>
      </c>
      <c r="H1163" s="308" t="str">
        <f>CONCATENATE("AR-",G1163,"-",I1163)</f>
        <v>AR-V50-1</v>
      </c>
      <c r="I1163" s="661">
        <v>1</v>
      </c>
      <c r="J1163" s="661">
        <v>1</v>
      </c>
      <c r="L1163" s="237"/>
      <c r="Q1163" s="237"/>
    </row>
    <row r="1164" spans="2:17" s="233" customFormat="1" ht="3" customHeight="1" outlineLevel="2">
      <c r="B1164" s="299"/>
      <c r="C1164" s="304"/>
      <c r="D1164" s="685"/>
      <c r="E1164" s="306" t="s">
        <v>277</v>
      </c>
      <c r="F1164" s="307"/>
      <c r="G1164" s="297"/>
      <c r="H1164" s="308"/>
      <c r="I1164" s="661"/>
      <c r="J1164" s="661"/>
      <c r="L1164" s="237"/>
      <c r="Q1164" s="237"/>
    </row>
    <row r="1165" spans="2:17" s="259" customFormat="1" ht="12" customHeight="1" outlineLevel="2">
      <c r="B1165" s="299" t="s">
        <v>957</v>
      </c>
      <c r="C1165" s="304"/>
      <c r="D1165" s="685"/>
      <c r="E1165" s="306" t="s">
        <v>277</v>
      </c>
      <c r="F1165" s="307"/>
      <c r="G1165" s="297"/>
      <c r="H1165" s="308"/>
      <c r="I1165" s="661"/>
      <c r="J1165" s="661"/>
      <c r="L1165" s="715"/>
      <c r="Q1165" s="715"/>
    </row>
    <row r="1166" spans="2:17" s="233" customFormat="1" ht="13.5" customHeight="1" outlineLevel="2">
      <c r="B1166" s="299" t="s">
        <v>268</v>
      </c>
      <c r="C1166" s="304" t="s">
        <v>878</v>
      </c>
      <c r="D1166" s="685" t="s">
        <v>425</v>
      </c>
      <c r="E1166" s="306" t="s">
        <v>910</v>
      </c>
      <c r="F1166" s="307"/>
      <c r="G1166" s="297" t="s">
        <v>878</v>
      </c>
      <c r="H1166" s="308" t="str">
        <f>CONCATENATE("AR-",G1166,"-",I1166)</f>
        <v>AR-V50-1</v>
      </c>
      <c r="I1166" s="661">
        <v>1</v>
      </c>
      <c r="J1166" s="661">
        <v>1</v>
      </c>
      <c r="L1166" s="237"/>
      <c r="Q1166" s="237"/>
    </row>
    <row r="1167" spans="2:17" s="233" customFormat="1" ht="13.5" customHeight="1" outlineLevel="2">
      <c r="B1167" s="299" t="s">
        <v>268</v>
      </c>
      <c r="C1167" s="304" t="s">
        <v>878</v>
      </c>
      <c r="D1167" s="685" t="s">
        <v>427</v>
      </c>
      <c r="E1167" s="306" t="s">
        <v>911</v>
      </c>
      <c r="F1167" s="307"/>
      <c r="G1167" s="297" t="s">
        <v>878</v>
      </c>
      <c r="H1167" s="308" t="str">
        <f>CONCATENATE("AR-",G1167,"-",I1167)</f>
        <v>AR-V50-1</v>
      </c>
      <c r="I1167" s="661">
        <v>1</v>
      </c>
      <c r="J1167" s="661">
        <v>1</v>
      </c>
      <c r="L1167" s="237"/>
      <c r="Q1167" s="237"/>
    </row>
    <row r="1168" spans="2:17" s="233" customFormat="1" ht="13.5" customHeight="1" outlineLevel="2">
      <c r="B1168" s="299" t="s">
        <v>268</v>
      </c>
      <c r="C1168" s="304" t="s">
        <v>878</v>
      </c>
      <c r="D1168" s="685" t="s">
        <v>429</v>
      </c>
      <c r="E1168" s="306" t="s">
        <v>912</v>
      </c>
      <c r="F1168" s="307"/>
      <c r="G1168" s="297" t="s">
        <v>878</v>
      </c>
      <c r="H1168" s="308" t="str">
        <f>CONCATENATE("AR-",G1168,"-",I1168)</f>
        <v>AR-V50-1</v>
      </c>
      <c r="I1168" s="661">
        <v>1</v>
      </c>
      <c r="J1168" s="661">
        <v>1</v>
      </c>
      <c r="L1168" s="237"/>
      <c r="Q1168" s="237"/>
    </row>
    <row r="1169" spans="2:17" s="233" customFormat="1" ht="13.5" customHeight="1" outlineLevel="2">
      <c r="B1169" s="299" t="s">
        <v>268</v>
      </c>
      <c r="C1169" s="304" t="s">
        <v>878</v>
      </c>
      <c r="D1169" s="685" t="s">
        <v>431</v>
      </c>
      <c r="E1169" s="306" t="s">
        <v>913</v>
      </c>
      <c r="F1169" s="307"/>
      <c r="G1169" s="297" t="s">
        <v>878</v>
      </c>
      <c r="H1169" s="308" t="str">
        <f>CONCATENATE("AR-",G1169,"-",I1169)</f>
        <v>AR-V50-1</v>
      </c>
      <c r="I1169" s="661">
        <v>1</v>
      </c>
      <c r="J1169" s="661">
        <v>1</v>
      </c>
      <c r="L1169" s="237"/>
      <c r="Q1169" s="237"/>
    </row>
    <row r="1170" spans="2:17" s="233" customFormat="1" ht="3" customHeight="1" outlineLevel="2">
      <c r="B1170" s="299"/>
      <c r="C1170" s="304"/>
      <c r="D1170" s="685"/>
      <c r="E1170" s="306" t="s">
        <v>277</v>
      </c>
      <c r="F1170" s="307"/>
      <c r="G1170" s="297"/>
      <c r="H1170" s="308"/>
      <c r="I1170" s="661"/>
      <c r="J1170" s="661"/>
      <c r="L1170" s="237"/>
      <c r="Q1170" s="237"/>
    </row>
    <row r="1171" spans="2:17" s="259" customFormat="1" ht="15" customHeight="1" outlineLevel="2">
      <c r="B1171" s="299" t="s">
        <v>1103</v>
      </c>
      <c r="C1171" s="304"/>
      <c r="D1171" s="685"/>
      <c r="E1171" s="306" t="s">
        <v>277</v>
      </c>
      <c r="F1171" s="307"/>
      <c r="G1171" s="297"/>
      <c r="H1171" s="308"/>
      <c r="I1171" s="661"/>
      <c r="J1171" s="661"/>
      <c r="L1171" s="715"/>
      <c r="Q1171" s="715"/>
    </row>
    <row r="1172" spans="2:17" s="233" customFormat="1" ht="13.5" customHeight="1" outlineLevel="2">
      <c r="B1172" s="299" t="s">
        <v>268</v>
      </c>
      <c r="C1172" s="304" t="s">
        <v>878</v>
      </c>
      <c r="D1172" s="685" t="s">
        <v>915</v>
      </c>
      <c r="E1172" s="306" t="s">
        <v>1104</v>
      </c>
      <c r="F1172" s="307"/>
      <c r="G1172" s="297" t="s">
        <v>878</v>
      </c>
      <c r="H1172" s="308" t="str">
        <f>CONCATENATE("AR-",G1172,"-",I1172)</f>
        <v>AR-V50-1</v>
      </c>
      <c r="I1172" s="661">
        <v>1</v>
      </c>
      <c r="J1172" s="661">
        <v>1</v>
      </c>
      <c r="L1172" s="237"/>
      <c r="Q1172" s="237"/>
    </row>
    <row r="1173" spans="2:17" s="233" customFormat="1" ht="13.5" customHeight="1" outlineLevel="2">
      <c r="B1173" s="299" t="s">
        <v>268</v>
      </c>
      <c r="C1173" s="304" t="s">
        <v>878</v>
      </c>
      <c r="D1173" s="685" t="s">
        <v>1105</v>
      </c>
      <c r="E1173" s="306" t="s">
        <v>1104</v>
      </c>
      <c r="F1173" s="307"/>
      <c r="G1173" s="297" t="s">
        <v>878</v>
      </c>
      <c r="H1173" s="308" t="str">
        <f>CONCATENATE("AR-",G1173,"-",I1173)</f>
        <v>AR-V50-1</v>
      </c>
      <c r="I1173" s="661">
        <v>1</v>
      </c>
      <c r="J1173" s="661">
        <v>1</v>
      </c>
      <c r="L1173" s="237"/>
      <c r="Q1173" s="237"/>
    </row>
    <row r="1174" spans="2:17" s="233" customFormat="1" ht="13.5" customHeight="1" outlineLevel="2">
      <c r="B1174" s="299" t="s">
        <v>1106</v>
      </c>
      <c r="C1174" s="304"/>
      <c r="D1174" s="685"/>
      <c r="E1174" s="306" t="s">
        <v>277</v>
      </c>
      <c r="F1174" s="307"/>
      <c r="G1174" s="297"/>
      <c r="H1174" s="308"/>
      <c r="I1174" s="661"/>
      <c r="J1174" s="661"/>
      <c r="L1174" s="237"/>
      <c r="Q1174" s="237"/>
    </row>
    <row r="1175" spans="2:17" s="233" customFormat="1" ht="13.5" customHeight="1" outlineLevel="2">
      <c r="B1175" s="299" t="s">
        <v>268</v>
      </c>
      <c r="C1175" s="304" t="s">
        <v>878</v>
      </c>
      <c r="D1175" s="685" t="s">
        <v>1107</v>
      </c>
      <c r="E1175" s="306" t="s">
        <v>1108</v>
      </c>
      <c r="F1175" s="307"/>
      <c r="G1175" s="297" t="s">
        <v>878</v>
      </c>
      <c r="H1175" s="308" t="str">
        <f>CONCATENATE("AR-",G1175,"-",I1175)</f>
        <v>AR-V50-1</v>
      </c>
      <c r="I1175" s="661">
        <v>1</v>
      </c>
      <c r="J1175" s="661">
        <v>1</v>
      </c>
      <c r="L1175" s="237"/>
      <c r="Q1175" s="237"/>
    </row>
    <row r="1176" spans="2:17" s="233" customFormat="1" ht="13.5" customHeight="1" outlineLevel="2">
      <c r="B1176" s="299" t="s">
        <v>268</v>
      </c>
      <c r="C1176" s="304" t="s">
        <v>878</v>
      </c>
      <c r="D1176" s="685" t="s">
        <v>1109</v>
      </c>
      <c r="E1176" s="306" t="s">
        <v>1110</v>
      </c>
      <c r="F1176" s="307"/>
      <c r="G1176" s="297" t="s">
        <v>878</v>
      </c>
      <c r="H1176" s="308" t="str">
        <f>CONCATENATE("AR-",G1176,"-",I1176)</f>
        <v>AR-V50-1</v>
      </c>
      <c r="I1176" s="661">
        <v>1</v>
      </c>
      <c r="J1176" s="661">
        <v>1</v>
      </c>
      <c r="L1176" s="237"/>
      <c r="Q1176" s="237"/>
    </row>
    <row r="1177" spans="2:17" s="233" customFormat="1" ht="3" customHeight="1" outlineLevel="2">
      <c r="B1177" s="299"/>
      <c r="C1177" s="304"/>
      <c r="D1177" s="685"/>
      <c r="E1177" s="306" t="s">
        <v>277</v>
      </c>
      <c r="F1177" s="307"/>
      <c r="G1177" s="297"/>
      <c r="H1177" s="308"/>
      <c r="I1177" s="661"/>
      <c r="J1177" s="661"/>
      <c r="L1177" s="237"/>
      <c r="Q1177" s="237"/>
    </row>
    <row r="1178" spans="2:17" s="259" customFormat="1" ht="15" customHeight="1" outlineLevel="2">
      <c r="B1178" s="299" t="s">
        <v>1111</v>
      </c>
      <c r="C1178" s="304"/>
      <c r="D1178" s="685"/>
      <c r="E1178" s="306" t="s">
        <v>277</v>
      </c>
      <c r="F1178" s="307"/>
      <c r="G1178" s="297"/>
      <c r="H1178" s="308"/>
      <c r="I1178" s="661"/>
      <c r="J1178" s="661"/>
      <c r="L1178" s="715"/>
      <c r="Q1178" s="715"/>
    </row>
    <row r="1179" spans="2:17" s="233" customFormat="1" ht="13.5" customHeight="1" outlineLevel="2">
      <c r="B1179" s="299" t="s">
        <v>268</v>
      </c>
      <c r="C1179" s="304" t="s">
        <v>878</v>
      </c>
      <c r="D1179" s="685" t="s">
        <v>1112</v>
      </c>
      <c r="E1179" s="306" t="s">
        <v>1113</v>
      </c>
      <c r="F1179" s="307"/>
      <c r="G1179" s="297" t="s">
        <v>878</v>
      </c>
      <c r="H1179" s="308" t="str">
        <f>CONCATENATE("AR-",G1179,"-",I1179)</f>
        <v>AR-V50-1</v>
      </c>
      <c r="I1179" s="661">
        <v>1</v>
      </c>
      <c r="J1179" s="661">
        <v>1</v>
      </c>
      <c r="L1179" s="237"/>
      <c r="Q1179" s="237"/>
    </row>
    <row r="1180" spans="2:17" s="233" customFormat="1" ht="13.5" customHeight="1" outlineLevel="2">
      <c r="B1180" s="299" t="s">
        <v>268</v>
      </c>
      <c r="C1180" s="304" t="s">
        <v>878</v>
      </c>
      <c r="D1180" s="685" t="s">
        <v>1114</v>
      </c>
      <c r="E1180" s="306" t="s">
        <v>1115</v>
      </c>
      <c r="F1180" s="307"/>
      <c r="G1180" s="297" t="s">
        <v>878</v>
      </c>
      <c r="H1180" s="308" t="str">
        <f>CONCATENATE("AR-",G1180,"-",I1180)</f>
        <v>AR-V50-1</v>
      </c>
      <c r="I1180" s="661">
        <v>1</v>
      </c>
      <c r="J1180" s="661">
        <v>1</v>
      </c>
      <c r="L1180" s="237"/>
      <c r="Q1180" s="237"/>
    </row>
    <row r="1181" spans="2:17" s="233" customFormat="1" ht="13.5" customHeight="1" outlineLevel="2">
      <c r="B1181" s="299" t="s">
        <v>268</v>
      </c>
      <c r="C1181" s="304" t="s">
        <v>878</v>
      </c>
      <c r="D1181" s="685" t="s">
        <v>1116</v>
      </c>
      <c r="E1181" s="306" t="s">
        <v>1117</v>
      </c>
      <c r="F1181" s="307"/>
      <c r="G1181" s="297" t="s">
        <v>878</v>
      </c>
      <c r="H1181" s="308" t="str">
        <f>CONCATENATE("AR-",G1181,"-",I1181)</f>
        <v>AR-V50-1</v>
      </c>
      <c r="I1181" s="661">
        <v>1</v>
      </c>
      <c r="J1181" s="661">
        <v>1</v>
      </c>
      <c r="L1181" s="237"/>
      <c r="Q1181" s="237"/>
    </row>
    <row r="1182" spans="2:17" s="233" customFormat="1" ht="3" customHeight="1" outlineLevel="2">
      <c r="B1182" s="299"/>
      <c r="C1182" s="304"/>
      <c r="D1182" s="685"/>
      <c r="E1182" s="306" t="s">
        <v>277</v>
      </c>
      <c r="F1182" s="307"/>
      <c r="G1182" s="297"/>
      <c r="H1182" s="308"/>
      <c r="I1182" s="661"/>
      <c r="J1182" s="661"/>
      <c r="L1182" s="237"/>
      <c r="Q1182" s="237"/>
    </row>
    <row r="1183" spans="2:17" s="259" customFormat="1" ht="15" customHeight="1" outlineLevel="2">
      <c r="B1183" s="299" t="s">
        <v>1118</v>
      </c>
      <c r="C1183" s="304"/>
      <c r="D1183" s="685"/>
      <c r="E1183" s="306" t="s">
        <v>277</v>
      </c>
      <c r="F1183" s="307"/>
      <c r="G1183" s="297"/>
      <c r="H1183" s="308"/>
      <c r="I1183" s="661"/>
      <c r="J1183" s="661"/>
      <c r="L1183" s="715"/>
      <c r="Q1183" s="715"/>
    </row>
    <row r="1184" spans="2:17" s="233" customFormat="1" ht="13.5" customHeight="1" outlineLevel="2">
      <c r="B1184" s="299" t="s">
        <v>268</v>
      </c>
      <c r="C1184" s="304" t="s">
        <v>878</v>
      </c>
      <c r="D1184" s="685" t="s">
        <v>968</v>
      </c>
      <c r="E1184" s="306" t="s">
        <v>1119</v>
      </c>
      <c r="F1184" s="307"/>
      <c r="G1184" s="297" t="s">
        <v>878</v>
      </c>
      <c r="H1184" s="308" t="str">
        <f>CONCATENATE("AR-",G1184,"-",I1184)</f>
        <v>AR-V50-1</v>
      </c>
      <c r="I1184" s="661">
        <v>1</v>
      </c>
      <c r="J1184" s="661">
        <v>1</v>
      </c>
      <c r="L1184" s="237"/>
      <c r="Q1184" s="237"/>
    </row>
    <row r="1185" spans="2:17" s="233" customFormat="1" ht="13.5" customHeight="1" outlineLevel="2">
      <c r="B1185" s="299" t="s">
        <v>268</v>
      </c>
      <c r="C1185" s="304" t="s">
        <v>878</v>
      </c>
      <c r="D1185" s="685" t="s">
        <v>970</v>
      </c>
      <c r="E1185" s="306" t="s">
        <v>1119</v>
      </c>
      <c r="F1185" s="307"/>
      <c r="G1185" s="297" t="s">
        <v>878</v>
      </c>
      <c r="H1185" s="308" t="str">
        <f>CONCATENATE("AR-",G1185,"-",I1185)</f>
        <v>AR-V50-1</v>
      </c>
      <c r="I1185" s="661">
        <v>1</v>
      </c>
      <c r="J1185" s="661">
        <v>1</v>
      </c>
      <c r="L1185" s="237"/>
      <c r="Q1185" s="237"/>
    </row>
    <row r="1186" spans="2:17" s="233" customFormat="1" ht="3" customHeight="1" outlineLevel="2">
      <c r="B1186" s="299"/>
      <c r="C1186" s="304"/>
      <c r="D1186" s="685"/>
      <c r="E1186" s="306" t="s">
        <v>277</v>
      </c>
      <c r="F1186" s="307"/>
      <c r="G1186" s="297"/>
      <c r="H1186" s="308"/>
      <c r="I1186" s="661"/>
      <c r="J1186" s="661"/>
      <c r="L1186" s="237"/>
      <c r="Q1186" s="237"/>
    </row>
    <row r="1187" spans="2:17" s="259" customFormat="1" ht="15" customHeight="1" outlineLevel="2">
      <c r="B1187" s="299" t="s">
        <v>1120</v>
      </c>
      <c r="C1187" s="304"/>
      <c r="D1187" s="685"/>
      <c r="E1187" s="306" t="s">
        <v>277</v>
      </c>
      <c r="F1187" s="307"/>
      <c r="G1187" s="297"/>
      <c r="H1187" s="308"/>
      <c r="I1187" s="661"/>
      <c r="J1187" s="661"/>
      <c r="L1187" s="715"/>
      <c r="Q1187" s="715"/>
    </row>
    <row r="1188" spans="2:17" s="233" customFormat="1" ht="13.5" customHeight="1" outlineLevel="2">
      <c r="B1188" s="299" t="s">
        <v>268</v>
      </c>
      <c r="C1188" s="304" t="s">
        <v>878</v>
      </c>
      <c r="D1188" s="685" t="s">
        <v>977</v>
      </c>
      <c r="E1188" s="306" t="s">
        <v>1121</v>
      </c>
      <c r="F1188" s="307"/>
      <c r="G1188" s="297" t="s">
        <v>878</v>
      </c>
      <c r="H1188" s="308" t="str">
        <f t="shared" ref="H1188:H1193" si="83">CONCATENATE("AR-",G1188,"-",I1188)</f>
        <v>AR-V50-1</v>
      </c>
      <c r="I1188" s="661">
        <v>1</v>
      </c>
      <c r="J1188" s="661">
        <v>1</v>
      </c>
      <c r="L1188" s="237"/>
      <c r="Q1188" s="237"/>
    </row>
    <row r="1189" spans="2:17" s="233" customFormat="1" ht="13.5" customHeight="1" outlineLevel="2">
      <c r="B1189" s="299" t="s">
        <v>268</v>
      </c>
      <c r="C1189" s="304" t="s">
        <v>878</v>
      </c>
      <c r="D1189" s="685" t="s">
        <v>979</v>
      </c>
      <c r="E1189" s="306" t="s">
        <v>1122</v>
      </c>
      <c r="F1189" s="307"/>
      <c r="G1189" s="297" t="s">
        <v>878</v>
      </c>
      <c r="H1189" s="308" t="str">
        <f t="shared" si="83"/>
        <v>AR-V50-1</v>
      </c>
      <c r="I1189" s="661">
        <v>1</v>
      </c>
      <c r="J1189" s="661">
        <v>1</v>
      </c>
      <c r="L1189" s="237"/>
      <c r="Q1189" s="237"/>
    </row>
    <row r="1190" spans="2:17" s="233" customFormat="1" ht="13.5" customHeight="1" outlineLevel="2">
      <c r="B1190" s="299" t="s">
        <v>268</v>
      </c>
      <c r="C1190" s="304" t="s">
        <v>878</v>
      </c>
      <c r="D1190" s="685" t="s">
        <v>981</v>
      </c>
      <c r="E1190" s="306" t="s">
        <v>1123</v>
      </c>
      <c r="F1190" s="307"/>
      <c r="G1190" s="297" t="s">
        <v>878</v>
      </c>
      <c r="H1190" s="308" t="str">
        <f t="shared" si="83"/>
        <v>AR-V50-1</v>
      </c>
      <c r="I1190" s="661">
        <v>1</v>
      </c>
      <c r="J1190" s="661">
        <v>1</v>
      </c>
      <c r="L1190" s="237"/>
      <c r="Q1190" s="237"/>
    </row>
    <row r="1191" spans="2:17" s="233" customFormat="1" ht="13.5" customHeight="1" outlineLevel="2">
      <c r="B1191" s="299" t="s">
        <v>268</v>
      </c>
      <c r="C1191" s="304" t="s">
        <v>878</v>
      </c>
      <c r="D1191" s="685" t="s">
        <v>983</v>
      </c>
      <c r="E1191" s="306" t="s">
        <v>1124</v>
      </c>
      <c r="F1191" s="307"/>
      <c r="G1191" s="297" t="s">
        <v>878</v>
      </c>
      <c r="H1191" s="308" t="str">
        <f t="shared" si="83"/>
        <v>AR-V50-1</v>
      </c>
      <c r="I1191" s="661">
        <v>1</v>
      </c>
      <c r="J1191" s="661">
        <v>1</v>
      </c>
      <c r="L1191" s="237"/>
      <c r="Q1191" s="237"/>
    </row>
    <row r="1192" spans="2:17" s="233" customFormat="1" ht="13.5" customHeight="1" outlineLevel="2">
      <c r="B1192" s="299" t="s">
        <v>268</v>
      </c>
      <c r="C1192" s="304" t="s">
        <v>878</v>
      </c>
      <c r="D1192" s="685" t="s">
        <v>985</v>
      </c>
      <c r="E1192" s="306" t="s">
        <v>1125</v>
      </c>
      <c r="F1192" s="307"/>
      <c r="G1192" s="297" t="s">
        <v>878</v>
      </c>
      <c r="H1192" s="308" t="str">
        <f t="shared" si="83"/>
        <v>AR-V50-1</v>
      </c>
      <c r="I1192" s="661">
        <v>1</v>
      </c>
      <c r="J1192" s="661">
        <v>1</v>
      </c>
      <c r="L1192" s="237"/>
      <c r="Q1192" s="237"/>
    </row>
    <row r="1193" spans="2:17" s="233" customFormat="1" ht="13.5" customHeight="1" outlineLevel="2">
      <c r="B1193" s="299" t="s">
        <v>268</v>
      </c>
      <c r="C1193" s="304" t="s">
        <v>878</v>
      </c>
      <c r="D1193" s="685" t="s">
        <v>987</v>
      </c>
      <c r="E1193" s="306" t="s">
        <v>1126</v>
      </c>
      <c r="F1193" s="307"/>
      <c r="G1193" s="297" t="s">
        <v>878</v>
      </c>
      <c r="H1193" s="308" t="str">
        <f t="shared" si="83"/>
        <v>AR-V50-1</v>
      </c>
      <c r="I1193" s="661">
        <v>1</v>
      </c>
      <c r="J1193" s="661">
        <v>1</v>
      </c>
      <c r="L1193" s="237"/>
      <c r="Q1193" s="237"/>
    </row>
    <row r="1194" spans="2:17" s="233" customFormat="1" ht="3" customHeight="1" outlineLevel="2">
      <c r="B1194" s="299"/>
      <c r="C1194" s="304"/>
      <c r="D1194" s="685"/>
      <c r="E1194" s="306" t="s">
        <v>277</v>
      </c>
      <c r="F1194" s="307"/>
      <c r="G1194" s="297"/>
      <c r="H1194" s="308"/>
      <c r="I1194" s="661"/>
      <c r="J1194" s="661"/>
      <c r="L1194" s="237"/>
      <c r="Q1194" s="237"/>
    </row>
    <row r="1195" spans="2:17" s="259" customFormat="1" ht="15" customHeight="1" outlineLevel="2">
      <c r="B1195" s="299" t="s">
        <v>934</v>
      </c>
      <c r="C1195" s="304"/>
      <c r="D1195" s="685"/>
      <c r="E1195" s="306" t="s">
        <v>277</v>
      </c>
      <c r="F1195" s="307"/>
      <c r="G1195" s="297"/>
      <c r="H1195" s="308"/>
      <c r="I1195" s="661"/>
      <c r="J1195" s="661"/>
      <c r="L1195" s="715"/>
      <c r="Q1195" s="715"/>
    </row>
    <row r="1196" spans="2:17" s="233" customFormat="1" ht="13.5" customHeight="1" outlineLevel="2">
      <c r="B1196" s="299" t="s">
        <v>268</v>
      </c>
      <c r="C1196" s="304" t="s">
        <v>878</v>
      </c>
      <c r="D1196" s="685" t="s">
        <v>463</v>
      </c>
      <c r="E1196" s="306" t="s">
        <v>936</v>
      </c>
      <c r="F1196" s="307"/>
      <c r="G1196" s="297" t="s">
        <v>878</v>
      </c>
      <c r="H1196" s="308" t="str">
        <f>CONCATENATE("AR-",G1196,"-",I1196)</f>
        <v>AR-V50-1</v>
      </c>
      <c r="I1196" s="661">
        <v>1</v>
      </c>
      <c r="J1196" s="661">
        <v>1</v>
      </c>
      <c r="L1196" s="237"/>
      <c r="Q1196" s="237"/>
    </row>
    <row r="1197" spans="2:17" s="233" customFormat="1" ht="13.5" customHeight="1" outlineLevel="2">
      <c r="B1197" s="299" t="s">
        <v>268</v>
      </c>
      <c r="C1197" s="304" t="s">
        <v>878</v>
      </c>
      <c r="D1197" s="685" t="s">
        <v>588</v>
      </c>
      <c r="E1197" s="306" t="s">
        <v>937</v>
      </c>
      <c r="F1197" s="307"/>
      <c r="G1197" s="297" t="s">
        <v>878</v>
      </c>
      <c r="H1197" s="308" t="str">
        <f>CONCATENATE("AR-",G1197,"-",I1197)</f>
        <v>AR-V50-1</v>
      </c>
      <c r="I1197" s="661">
        <v>1</v>
      </c>
      <c r="J1197" s="661">
        <v>1</v>
      </c>
      <c r="L1197" s="237"/>
      <c r="Q1197" s="237"/>
    </row>
    <row r="1198" spans="2:17" s="233" customFormat="1" ht="13.5" customHeight="1" outlineLevel="2">
      <c r="B1198" s="299" t="s">
        <v>268</v>
      </c>
      <c r="C1198" s="304" t="s">
        <v>878</v>
      </c>
      <c r="D1198" s="685" t="s">
        <v>938</v>
      </c>
      <c r="E1198" s="306" t="s">
        <v>939</v>
      </c>
      <c r="F1198" s="307"/>
      <c r="G1198" s="297" t="s">
        <v>878</v>
      </c>
      <c r="H1198" s="308" t="str">
        <f>CONCATENATE("AR-",G1198,"-",I1198)</f>
        <v>AR-V50-1</v>
      </c>
      <c r="I1198" s="661">
        <v>1</v>
      </c>
      <c r="J1198" s="661">
        <v>1</v>
      </c>
      <c r="L1198" s="237"/>
      <c r="Q1198" s="237"/>
    </row>
    <row r="1199" spans="2:17" s="233" customFormat="1" ht="3" customHeight="1" outlineLevel="2">
      <c r="B1199" s="299"/>
      <c r="C1199" s="304"/>
      <c r="D1199" s="685"/>
      <c r="E1199" s="306" t="s">
        <v>277</v>
      </c>
      <c r="F1199" s="307"/>
      <c r="G1199" s="297"/>
      <c r="H1199" s="308"/>
      <c r="I1199" s="661"/>
      <c r="J1199" s="661"/>
      <c r="L1199" s="237"/>
      <c r="Q1199" s="237"/>
    </row>
    <row r="1200" spans="2:17" s="259" customFormat="1" ht="15" customHeight="1" outlineLevel="2">
      <c r="B1200" s="299" t="s">
        <v>1127</v>
      </c>
      <c r="C1200" s="304"/>
      <c r="D1200" s="685"/>
      <c r="E1200" s="306" t="s">
        <v>277</v>
      </c>
      <c r="F1200" s="307"/>
      <c r="G1200" s="297"/>
      <c r="H1200" s="308"/>
      <c r="I1200" s="661"/>
      <c r="J1200" s="661"/>
      <c r="L1200" s="715"/>
      <c r="Q1200" s="715"/>
    </row>
    <row r="1201" spans="2:17" s="233" customFormat="1" ht="13.5" customHeight="1" outlineLevel="2">
      <c r="B1201" s="299" t="s">
        <v>268</v>
      </c>
      <c r="C1201" s="304" t="s">
        <v>878</v>
      </c>
      <c r="D1201" s="685">
        <v>7410</v>
      </c>
      <c r="E1201" s="306" t="s">
        <v>989</v>
      </c>
      <c r="F1201" s="307"/>
      <c r="G1201" s="297" t="s">
        <v>878</v>
      </c>
      <c r="H1201" s="308" t="str">
        <f t="shared" ref="H1201:H1214" si="84">CONCATENATE("AR-",G1201,"-",I1201)</f>
        <v>AR-V50-1</v>
      </c>
      <c r="I1201" s="661">
        <v>1</v>
      </c>
      <c r="J1201" s="661">
        <v>1</v>
      </c>
      <c r="L1201" s="237"/>
      <c r="Q1201" s="237"/>
    </row>
    <row r="1202" spans="2:17" s="233" customFormat="1" ht="13.5" customHeight="1" outlineLevel="2">
      <c r="B1202" s="299" t="s">
        <v>268</v>
      </c>
      <c r="C1202" s="304" t="s">
        <v>878</v>
      </c>
      <c r="D1202" s="685">
        <v>7420</v>
      </c>
      <c r="E1202" s="306" t="s">
        <v>481</v>
      </c>
      <c r="F1202" s="307"/>
      <c r="G1202" s="297" t="s">
        <v>878</v>
      </c>
      <c r="H1202" s="308" t="str">
        <f t="shared" si="84"/>
        <v>AR-V50-1</v>
      </c>
      <c r="I1202" s="661">
        <v>1</v>
      </c>
      <c r="J1202" s="661">
        <v>1</v>
      </c>
      <c r="L1202" s="237"/>
      <c r="Q1202" s="237"/>
    </row>
    <row r="1203" spans="2:17" s="233" customFormat="1" ht="13.5" customHeight="1" outlineLevel="2">
      <c r="B1203" s="299" t="s">
        <v>268</v>
      </c>
      <c r="C1203" s="304" t="s">
        <v>878</v>
      </c>
      <c r="D1203" s="685">
        <v>7430</v>
      </c>
      <c r="E1203" s="306" t="s">
        <v>482</v>
      </c>
      <c r="F1203" s="307"/>
      <c r="G1203" s="297" t="s">
        <v>878</v>
      </c>
      <c r="H1203" s="308" t="str">
        <f t="shared" si="84"/>
        <v>AR-V50-1</v>
      </c>
      <c r="I1203" s="661">
        <v>1</v>
      </c>
      <c r="J1203" s="661">
        <v>1</v>
      </c>
      <c r="L1203" s="237"/>
      <c r="Q1203" s="237"/>
    </row>
    <row r="1204" spans="2:17" s="233" customFormat="1" ht="13.5" customHeight="1" outlineLevel="2">
      <c r="B1204" s="299" t="s">
        <v>268</v>
      </c>
      <c r="C1204" s="304" t="s">
        <v>878</v>
      </c>
      <c r="D1204" s="685">
        <v>7440</v>
      </c>
      <c r="E1204" s="306" t="s">
        <v>483</v>
      </c>
      <c r="F1204" s="307"/>
      <c r="G1204" s="297" t="s">
        <v>878</v>
      </c>
      <c r="H1204" s="308" t="str">
        <f t="shared" si="84"/>
        <v>AR-V50-1</v>
      </c>
      <c r="I1204" s="661">
        <v>1</v>
      </c>
      <c r="J1204" s="661">
        <v>1</v>
      </c>
      <c r="L1204" s="237"/>
      <c r="Q1204" s="237"/>
    </row>
    <row r="1205" spans="2:17" s="233" customFormat="1" ht="13.5" customHeight="1" outlineLevel="2">
      <c r="B1205" s="299" t="s">
        <v>268</v>
      </c>
      <c r="C1205" s="304" t="s">
        <v>878</v>
      </c>
      <c r="D1205" s="685">
        <v>7450</v>
      </c>
      <c r="E1205" s="306" t="s">
        <v>990</v>
      </c>
      <c r="F1205" s="307"/>
      <c r="G1205" s="297" t="s">
        <v>878</v>
      </c>
      <c r="H1205" s="308" t="str">
        <f t="shared" si="84"/>
        <v>AR-V50-1</v>
      </c>
      <c r="I1205" s="661">
        <v>1</v>
      </c>
      <c r="J1205" s="661">
        <v>1</v>
      </c>
      <c r="L1205" s="237"/>
      <c r="Q1205" s="237"/>
    </row>
    <row r="1206" spans="2:17" s="233" customFormat="1" ht="13.5" customHeight="1" outlineLevel="2">
      <c r="B1206" s="299" t="s">
        <v>268</v>
      </c>
      <c r="C1206" s="304" t="s">
        <v>878</v>
      </c>
      <c r="D1206" s="685">
        <v>7461</v>
      </c>
      <c r="E1206" s="306" t="s">
        <v>991</v>
      </c>
      <c r="F1206" s="307"/>
      <c r="G1206" s="297" t="s">
        <v>878</v>
      </c>
      <c r="H1206" s="308" t="str">
        <f t="shared" si="84"/>
        <v>AR-V50-1</v>
      </c>
      <c r="I1206" s="661">
        <v>1</v>
      </c>
      <c r="J1206" s="661">
        <v>1</v>
      </c>
      <c r="L1206" s="237"/>
      <c r="Q1206" s="237"/>
    </row>
    <row r="1207" spans="2:17" s="233" customFormat="1" ht="13.5" customHeight="1" outlineLevel="2">
      <c r="B1207" s="299" t="s">
        <v>268</v>
      </c>
      <c r="C1207" s="304" t="s">
        <v>878</v>
      </c>
      <c r="D1207" s="685">
        <v>7462</v>
      </c>
      <c r="E1207" s="306" t="s">
        <v>992</v>
      </c>
      <c r="F1207" s="307"/>
      <c r="G1207" s="297" t="s">
        <v>878</v>
      </c>
      <c r="H1207" s="308" t="str">
        <f t="shared" si="84"/>
        <v>AR-V50-1</v>
      </c>
      <c r="I1207" s="661">
        <v>1</v>
      </c>
      <c r="J1207" s="661">
        <v>1</v>
      </c>
      <c r="L1207" s="237"/>
      <c r="Q1207" s="237"/>
    </row>
    <row r="1208" spans="2:17" s="233" customFormat="1" ht="13.5" customHeight="1" outlineLevel="2">
      <c r="B1208" s="299" t="s">
        <v>268</v>
      </c>
      <c r="C1208" s="304" t="s">
        <v>878</v>
      </c>
      <c r="D1208" s="685">
        <v>7463</v>
      </c>
      <c r="E1208" s="306" t="s">
        <v>993</v>
      </c>
      <c r="F1208" s="307"/>
      <c r="G1208" s="297" t="s">
        <v>878</v>
      </c>
      <c r="H1208" s="308" t="str">
        <f t="shared" si="84"/>
        <v>AR-V50-1</v>
      </c>
      <c r="I1208" s="661">
        <v>1</v>
      </c>
      <c r="J1208" s="661">
        <v>1</v>
      </c>
      <c r="L1208" s="237"/>
      <c r="Q1208" s="237"/>
    </row>
    <row r="1209" spans="2:17" s="233" customFormat="1" ht="13.5" customHeight="1" outlineLevel="2">
      <c r="B1209" s="299" t="s">
        <v>268</v>
      </c>
      <c r="C1209" s="304" t="s">
        <v>878</v>
      </c>
      <c r="D1209" s="685">
        <v>7470</v>
      </c>
      <c r="E1209" s="306" t="s">
        <v>484</v>
      </c>
      <c r="F1209" s="307"/>
      <c r="G1209" s="297" t="s">
        <v>878</v>
      </c>
      <c r="H1209" s="308" t="str">
        <f t="shared" si="84"/>
        <v>AR-V50-1</v>
      </c>
      <c r="I1209" s="661">
        <v>1</v>
      </c>
      <c r="J1209" s="661">
        <v>1</v>
      </c>
      <c r="L1209" s="237"/>
      <c r="Q1209" s="237"/>
    </row>
    <row r="1210" spans="2:17" s="233" customFormat="1" ht="13.5" customHeight="1" outlineLevel="2">
      <c r="B1210" s="299" t="s">
        <v>268</v>
      </c>
      <c r="C1210" s="304" t="s">
        <v>878</v>
      </c>
      <c r="D1210" s="685">
        <v>7480</v>
      </c>
      <c r="E1210" s="306" t="s">
        <v>994</v>
      </c>
      <c r="F1210" s="307"/>
      <c r="G1210" s="297" t="s">
        <v>878</v>
      </c>
      <c r="H1210" s="308" t="str">
        <f t="shared" si="84"/>
        <v>AR-V50-1</v>
      </c>
      <c r="I1210" s="661">
        <v>1</v>
      </c>
      <c r="J1210" s="661">
        <v>1</v>
      </c>
      <c r="L1210" s="237"/>
      <c r="Q1210" s="237"/>
    </row>
    <row r="1211" spans="2:17" s="233" customFormat="1" ht="13.5" customHeight="1" outlineLevel="2">
      <c r="B1211" s="299" t="s">
        <v>268</v>
      </c>
      <c r="C1211" s="304" t="s">
        <v>878</v>
      </c>
      <c r="D1211" s="685">
        <v>7490</v>
      </c>
      <c r="E1211" s="306" t="s">
        <v>995</v>
      </c>
      <c r="F1211" s="307"/>
      <c r="G1211" s="297" t="s">
        <v>878</v>
      </c>
      <c r="H1211" s="308" t="str">
        <f t="shared" si="84"/>
        <v>AR-V50-1</v>
      </c>
      <c r="I1211" s="661">
        <v>1</v>
      </c>
      <c r="J1211" s="661">
        <v>1</v>
      </c>
      <c r="L1211" s="237"/>
      <c r="Q1211" s="237"/>
    </row>
    <row r="1212" spans="2:17" s="233" customFormat="1" ht="13.5" customHeight="1" outlineLevel="2">
      <c r="B1212" s="299" t="s">
        <v>268</v>
      </c>
      <c r="C1212" s="304" t="s">
        <v>878</v>
      </c>
      <c r="D1212" s="685">
        <v>7500</v>
      </c>
      <c r="E1212" s="306" t="s">
        <v>485</v>
      </c>
      <c r="F1212" s="307"/>
      <c r="G1212" s="297" t="s">
        <v>878</v>
      </c>
      <c r="H1212" s="308" t="str">
        <f t="shared" si="84"/>
        <v>AR-V50-1</v>
      </c>
      <c r="I1212" s="661">
        <v>1</v>
      </c>
      <c r="J1212" s="661">
        <v>1</v>
      </c>
      <c r="L1212" s="237"/>
      <c r="Q1212" s="237"/>
    </row>
    <row r="1213" spans="2:17" s="233" customFormat="1" ht="13.5" customHeight="1" outlineLevel="2">
      <c r="B1213" s="299" t="s">
        <v>268</v>
      </c>
      <c r="C1213" s="304" t="s">
        <v>878</v>
      </c>
      <c r="D1213" s="685">
        <v>7510</v>
      </c>
      <c r="E1213" s="306" t="s">
        <v>996</v>
      </c>
      <c r="F1213" s="307"/>
      <c r="G1213" s="297" t="s">
        <v>878</v>
      </c>
      <c r="H1213" s="308" t="str">
        <f t="shared" si="84"/>
        <v>AR-V50-1</v>
      </c>
      <c r="I1213" s="661">
        <v>1</v>
      </c>
      <c r="J1213" s="661">
        <v>1</v>
      </c>
      <c r="L1213" s="237"/>
      <c r="Q1213" s="237"/>
    </row>
    <row r="1214" spans="2:17" s="233" customFormat="1" ht="13.5" customHeight="1" outlineLevel="2">
      <c r="B1214" s="299" t="s">
        <v>268</v>
      </c>
      <c r="C1214" s="304" t="s">
        <v>878</v>
      </c>
      <c r="D1214" s="685" t="s">
        <v>997</v>
      </c>
      <c r="E1214" s="306" t="s">
        <v>998</v>
      </c>
      <c r="F1214" s="307"/>
      <c r="G1214" s="297" t="s">
        <v>878</v>
      </c>
      <c r="H1214" s="308" t="str">
        <f t="shared" si="84"/>
        <v>AR-V50-1</v>
      </c>
      <c r="I1214" s="661">
        <v>1</v>
      </c>
      <c r="J1214" s="661">
        <v>1</v>
      </c>
      <c r="L1214" s="237"/>
      <c r="Q1214" s="237"/>
    </row>
    <row r="1215" spans="2:17" s="248" customFormat="1" ht="3" customHeight="1" outlineLevel="1">
      <c r="B1215" s="299"/>
      <c r="C1215" s="304"/>
      <c r="D1215" s="685"/>
      <c r="E1215" s="306" t="s">
        <v>277</v>
      </c>
      <c r="F1215" s="307"/>
      <c r="G1215" s="297"/>
      <c r="H1215" s="308"/>
      <c r="I1215" s="661"/>
      <c r="J1215" s="245"/>
      <c r="K1215" s="246"/>
      <c r="L1215" s="247"/>
      <c r="M1215" s="197"/>
      <c r="Q1215" s="709"/>
    </row>
    <row r="1216" spans="2:17" s="243" customFormat="1" ht="15" customHeight="1" outlineLevel="1">
      <c r="B1216" s="299" t="s">
        <v>1128</v>
      </c>
      <c r="C1216" s="304"/>
      <c r="D1216" s="685"/>
      <c r="E1216" s="306"/>
      <c r="F1216" s="307"/>
      <c r="G1216" s="297"/>
      <c r="H1216" s="308"/>
      <c r="I1216" s="661"/>
      <c r="J1216" s="240"/>
      <c r="K1216" s="241"/>
      <c r="L1216" s="242"/>
      <c r="M1216" s="197"/>
      <c r="Q1216" s="708"/>
    </row>
    <row r="1217" spans="2:17" s="233" customFormat="1" ht="3" customHeight="1" outlineLevel="3">
      <c r="B1217" s="299"/>
      <c r="C1217" s="304"/>
      <c r="D1217" s="685"/>
      <c r="E1217" s="306" t="s">
        <v>277</v>
      </c>
      <c r="F1217" s="307"/>
      <c r="G1217" s="297"/>
      <c r="H1217" s="308"/>
      <c r="I1217" s="661"/>
      <c r="J1217" s="197"/>
      <c r="K1217" s="232"/>
      <c r="L1217" s="234"/>
      <c r="M1217" s="197"/>
      <c r="Q1217" s="237"/>
    </row>
    <row r="1218" spans="2:17" s="233" customFormat="1" ht="15" customHeight="1" outlineLevel="3">
      <c r="B1218" s="299" t="s">
        <v>942</v>
      </c>
      <c r="C1218" s="304"/>
      <c r="D1218" s="685"/>
      <c r="E1218" s="306"/>
      <c r="F1218" s="307"/>
      <c r="G1218" s="297"/>
      <c r="H1218" s="308"/>
      <c r="I1218" s="661"/>
      <c r="J1218" s="197"/>
      <c r="K1218" s="232"/>
      <c r="L1218" s="234"/>
      <c r="M1218" s="197"/>
      <c r="Q1218" s="237"/>
    </row>
    <row r="1219" spans="2:17" s="233" customFormat="1" ht="15" customHeight="1" outlineLevel="3">
      <c r="B1219" s="299" t="s">
        <v>268</v>
      </c>
      <c r="C1219" s="304" t="s">
        <v>935</v>
      </c>
      <c r="D1219" s="685" t="s">
        <v>506</v>
      </c>
      <c r="E1219" s="306" t="s">
        <v>1045</v>
      </c>
      <c r="F1219" s="307"/>
      <c r="G1219" s="297" t="s">
        <v>935</v>
      </c>
      <c r="H1219" s="308" t="str">
        <f t="shared" ref="H1219:H1224" si="85">CONCATENATE("AR-",G1219,"-",I1219)</f>
        <v>AR-V40-1</v>
      </c>
      <c r="I1219" s="661">
        <v>1</v>
      </c>
      <c r="K1219" s="232"/>
      <c r="L1219" s="234">
        <v>1</v>
      </c>
      <c r="M1219" s="197">
        <v>1</v>
      </c>
      <c r="Q1219" s="237"/>
    </row>
    <row r="1220" spans="2:17" s="233" customFormat="1" ht="15" customHeight="1" outlineLevel="3">
      <c r="B1220" s="299" t="s">
        <v>268</v>
      </c>
      <c r="C1220" s="304" t="s">
        <v>935</v>
      </c>
      <c r="D1220" s="685" t="s">
        <v>1046</v>
      </c>
      <c r="E1220" s="306" t="s">
        <v>1047</v>
      </c>
      <c r="F1220" s="307"/>
      <c r="G1220" s="297" t="s">
        <v>935</v>
      </c>
      <c r="H1220" s="308" t="str">
        <f t="shared" si="85"/>
        <v>AR-V40-1</v>
      </c>
      <c r="I1220" s="661">
        <v>1</v>
      </c>
      <c r="K1220" s="232"/>
      <c r="L1220" s="234">
        <v>1</v>
      </c>
      <c r="M1220" s="197">
        <v>1</v>
      </c>
      <c r="Q1220" s="237"/>
    </row>
    <row r="1221" spans="2:17" s="233" customFormat="1" ht="15" customHeight="1" outlineLevel="3">
      <c r="B1221" s="299" t="s">
        <v>268</v>
      </c>
      <c r="C1221" s="304" t="s">
        <v>935</v>
      </c>
      <c r="D1221" s="685" t="s">
        <v>1048</v>
      </c>
      <c r="E1221" s="306" t="s">
        <v>1049</v>
      </c>
      <c r="F1221" s="307"/>
      <c r="G1221" s="297" t="s">
        <v>935</v>
      </c>
      <c r="H1221" s="308" t="str">
        <f t="shared" si="85"/>
        <v>AR-V40-1</v>
      </c>
      <c r="I1221" s="661">
        <v>1</v>
      </c>
      <c r="K1221" s="232"/>
      <c r="L1221" s="234">
        <v>1</v>
      </c>
      <c r="M1221" s="197">
        <v>1</v>
      </c>
      <c r="Q1221" s="237"/>
    </row>
    <row r="1222" spans="2:17" s="233" customFormat="1" ht="15" customHeight="1" outlineLevel="3">
      <c r="B1222" s="299" t="s">
        <v>268</v>
      </c>
      <c r="C1222" s="304" t="s">
        <v>935</v>
      </c>
      <c r="D1222" s="685" t="s">
        <v>1050</v>
      </c>
      <c r="E1222" s="306" t="s">
        <v>1051</v>
      </c>
      <c r="F1222" s="307"/>
      <c r="G1222" s="297" t="s">
        <v>935</v>
      </c>
      <c r="H1222" s="308" t="str">
        <f t="shared" si="85"/>
        <v>AR-V40-1</v>
      </c>
      <c r="I1222" s="661">
        <v>1</v>
      </c>
      <c r="K1222" s="232"/>
      <c r="L1222" s="234">
        <v>1</v>
      </c>
      <c r="M1222" s="197">
        <v>1</v>
      </c>
      <c r="Q1222" s="237"/>
    </row>
    <row r="1223" spans="2:17" s="233" customFormat="1" ht="15" customHeight="1" outlineLevel="3">
      <c r="B1223" s="299" t="s">
        <v>268</v>
      </c>
      <c r="C1223" s="304" t="s">
        <v>935</v>
      </c>
      <c r="D1223" s="685" t="s">
        <v>1052</v>
      </c>
      <c r="E1223" s="306" t="s">
        <v>1053</v>
      </c>
      <c r="F1223" s="307"/>
      <c r="G1223" s="297" t="s">
        <v>935</v>
      </c>
      <c r="H1223" s="308" t="str">
        <f t="shared" si="85"/>
        <v>AR-V40-1</v>
      </c>
      <c r="I1223" s="661">
        <v>1</v>
      </c>
      <c r="K1223" s="232"/>
      <c r="L1223" s="234">
        <v>1</v>
      </c>
      <c r="M1223" s="197">
        <v>1</v>
      </c>
      <c r="Q1223" s="237"/>
    </row>
    <row r="1224" spans="2:17" s="233" customFormat="1" ht="15" customHeight="1" outlineLevel="3">
      <c r="B1224" s="299" t="s">
        <v>268</v>
      </c>
      <c r="C1224" s="304" t="s">
        <v>935</v>
      </c>
      <c r="D1224" s="685" t="s">
        <v>1054</v>
      </c>
      <c r="E1224" s="306" t="s">
        <v>1055</v>
      </c>
      <c r="F1224" s="307"/>
      <c r="G1224" s="297" t="s">
        <v>935</v>
      </c>
      <c r="H1224" s="308" t="str">
        <f t="shared" si="85"/>
        <v>AR-V40-1</v>
      </c>
      <c r="I1224" s="661">
        <v>1</v>
      </c>
      <c r="K1224" s="232"/>
      <c r="L1224" s="234">
        <v>1</v>
      </c>
      <c r="M1224" s="197">
        <v>1</v>
      </c>
      <c r="Q1224" s="237"/>
    </row>
    <row r="1225" spans="2:17" s="233" customFormat="1" ht="15" customHeight="1" outlineLevel="3">
      <c r="B1225" s="299"/>
      <c r="C1225" s="304"/>
      <c r="D1225" s="685"/>
      <c r="E1225" s="306" t="s">
        <v>277</v>
      </c>
      <c r="F1225" s="307"/>
      <c r="G1225" s="297"/>
      <c r="H1225" s="308"/>
      <c r="I1225" s="661"/>
      <c r="K1225" s="232"/>
      <c r="L1225" s="234"/>
      <c r="M1225" s="197"/>
      <c r="Q1225" s="237"/>
    </row>
    <row r="1226" spans="2:17" s="233" customFormat="1" ht="15" customHeight="1" outlineLevel="3">
      <c r="B1226" s="299" t="s">
        <v>1056</v>
      </c>
      <c r="C1226" s="304"/>
      <c r="D1226" s="685"/>
      <c r="E1226" s="306"/>
      <c r="F1226" s="307"/>
      <c r="G1226" s="297"/>
      <c r="H1226" s="308"/>
      <c r="I1226" s="661"/>
      <c r="K1226" s="232"/>
      <c r="L1226" s="234"/>
      <c r="M1226" s="197"/>
      <c r="Q1226" s="237"/>
    </row>
    <row r="1227" spans="2:17" s="233" customFormat="1" ht="15" customHeight="1" outlineLevel="3">
      <c r="B1227" s="299" t="s">
        <v>268</v>
      </c>
      <c r="C1227" s="304" t="s">
        <v>1129</v>
      </c>
      <c r="D1227" s="685" t="s">
        <v>372</v>
      </c>
      <c r="E1227" s="306" t="s">
        <v>373</v>
      </c>
      <c r="F1227" s="307"/>
      <c r="G1227" s="297" t="s">
        <v>935</v>
      </c>
      <c r="H1227" s="308" t="str">
        <f>CONCATENATE("AR-",G1227,"-",I1227)</f>
        <v>AR-V40-1</v>
      </c>
      <c r="I1227" s="661">
        <v>1</v>
      </c>
      <c r="K1227" s="232"/>
      <c r="L1227" s="234">
        <v>1</v>
      </c>
      <c r="M1227" s="197">
        <v>1</v>
      </c>
      <c r="Q1227" s="237"/>
    </row>
    <row r="1228" spans="2:17" s="233" customFormat="1" ht="15" customHeight="1" outlineLevel="3">
      <c r="B1228" s="299" t="s">
        <v>268</v>
      </c>
      <c r="C1228" s="304" t="s">
        <v>1129</v>
      </c>
      <c r="D1228" s="685" t="s">
        <v>374</v>
      </c>
      <c r="E1228" s="306" t="s">
        <v>1058</v>
      </c>
      <c r="F1228" s="307"/>
      <c r="G1228" s="297" t="s">
        <v>935</v>
      </c>
      <c r="H1228" s="308" t="str">
        <f>CONCATENATE("AR-",G1228,"-",I1228)</f>
        <v>AR-V40-1</v>
      </c>
      <c r="I1228" s="661">
        <v>1</v>
      </c>
      <c r="K1228" s="232"/>
      <c r="L1228" s="234">
        <v>1</v>
      </c>
      <c r="M1228" s="197">
        <v>1</v>
      </c>
      <c r="Q1228" s="237"/>
    </row>
    <row r="1229" spans="2:17" s="262" customFormat="1" ht="15" customHeight="1" outlineLevel="3">
      <c r="B1229" s="299" t="s">
        <v>268</v>
      </c>
      <c r="C1229" s="304" t="s">
        <v>1129</v>
      </c>
      <c r="D1229" s="685" t="s">
        <v>376</v>
      </c>
      <c r="E1229" s="306" t="s">
        <v>1059</v>
      </c>
      <c r="F1229" s="307"/>
      <c r="G1229" s="297" t="s">
        <v>935</v>
      </c>
      <c r="H1229" s="308" t="str">
        <f>CONCATENATE("AR-",G1229,"-",I1229)</f>
        <v>AR-V40-1</v>
      </c>
      <c r="I1229" s="661">
        <v>1</v>
      </c>
      <c r="K1229" s="260"/>
      <c r="L1229" s="234">
        <v>1</v>
      </c>
      <c r="M1229" s="197">
        <v>1</v>
      </c>
      <c r="Q1229" s="716"/>
    </row>
    <row r="1230" spans="2:17" s="233" customFormat="1" ht="15" customHeight="1" outlineLevel="3">
      <c r="B1230" s="299"/>
      <c r="C1230" s="304"/>
      <c r="D1230" s="685"/>
      <c r="E1230" s="306" t="s">
        <v>277</v>
      </c>
      <c r="F1230" s="307"/>
      <c r="G1230" s="297"/>
      <c r="H1230" s="308"/>
      <c r="I1230" s="661"/>
      <c r="K1230" s="232"/>
      <c r="L1230" s="234"/>
      <c r="M1230" s="197"/>
      <c r="Q1230" s="237"/>
    </row>
    <row r="1231" spans="2:17" s="233" customFormat="1" ht="15" customHeight="1" outlineLevel="3">
      <c r="B1231" s="299" t="s">
        <v>1060</v>
      </c>
      <c r="C1231" s="304"/>
      <c r="D1231" s="685"/>
      <c r="E1231" s="306"/>
      <c r="F1231" s="307"/>
      <c r="G1231" s="297"/>
      <c r="H1231" s="308"/>
      <c r="I1231" s="661"/>
      <c r="K1231" s="232"/>
      <c r="L1231" s="234"/>
      <c r="M1231" s="197"/>
      <c r="Q1231" s="237"/>
    </row>
    <row r="1232" spans="2:17" s="233" customFormat="1" ht="15" customHeight="1" outlineLevel="3">
      <c r="B1232" s="299" t="s">
        <v>268</v>
      </c>
      <c r="C1232" s="304" t="s">
        <v>935</v>
      </c>
      <c r="D1232" s="685" t="s">
        <v>701</v>
      </c>
      <c r="E1232" s="306" t="s">
        <v>1061</v>
      </c>
      <c r="F1232" s="307"/>
      <c r="G1232" s="297" t="s">
        <v>935</v>
      </c>
      <c r="H1232" s="308" t="str">
        <f>CONCATENATE("AR-",G1232,"-",I1232)</f>
        <v>AR-V40-1</v>
      </c>
      <c r="I1232" s="661">
        <v>1</v>
      </c>
      <c r="K1232" s="232"/>
      <c r="L1232" s="234">
        <v>1</v>
      </c>
      <c r="M1232" s="197">
        <v>1</v>
      </c>
      <c r="Q1232" s="237"/>
    </row>
    <row r="1233" spans="2:17" s="233" customFormat="1" ht="15" customHeight="1" outlineLevel="3">
      <c r="B1233" s="299" t="s">
        <v>268</v>
      </c>
      <c r="C1233" s="304" t="s">
        <v>935</v>
      </c>
      <c r="D1233" s="685" t="s">
        <v>1062</v>
      </c>
      <c r="E1233" s="306" t="s">
        <v>1063</v>
      </c>
      <c r="F1233" s="307"/>
      <c r="G1233" s="297" t="s">
        <v>935</v>
      </c>
      <c r="H1233" s="308" t="str">
        <f>CONCATENATE("AR-",G1233,"-",I1233)</f>
        <v>AR-V40-1</v>
      </c>
      <c r="I1233" s="661">
        <v>1</v>
      </c>
      <c r="K1233" s="232"/>
      <c r="L1233" s="234">
        <v>1</v>
      </c>
      <c r="M1233" s="197">
        <v>1</v>
      </c>
      <c r="Q1233" s="237"/>
    </row>
    <row r="1234" spans="2:17" s="233" customFormat="1" ht="15" customHeight="1" outlineLevel="3">
      <c r="B1234" s="299"/>
      <c r="C1234" s="304"/>
      <c r="D1234" s="685"/>
      <c r="E1234" s="306" t="s">
        <v>277</v>
      </c>
      <c r="F1234" s="307"/>
      <c r="G1234" s="297"/>
      <c r="H1234" s="308"/>
      <c r="I1234" s="661"/>
      <c r="K1234" s="232"/>
      <c r="L1234" s="234"/>
      <c r="M1234" s="197"/>
      <c r="Q1234" s="237"/>
    </row>
    <row r="1235" spans="2:17" s="233" customFormat="1" ht="15" customHeight="1" outlineLevel="3">
      <c r="B1235" s="299" t="s">
        <v>1064</v>
      </c>
      <c r="C1235" s="304"/>
      <c r="D1235" s="685"/>
      <c r="E1235" s="306"/>
      <c r="F1235" s="307"/>
      <c r="G1235" s="297"/>
      <c r="H1235" s="308"/>
      <c r="I1235" s="661"/>
      <c r="K1235" s="232"/>
      <c r="L1235" s="234"/>
      <c r="M1235" s="197"/>
      <c r="Q1235" s="237"/>
    </row>
    <row r="1236" spans="2:17" s="233" customFormat="1" ht="15" customHeight="1" outlineLevel="3">
      <c r="B1236" s="299" t="s">
        <v>268</v>
      </c>
      <c r="C1236" s="304" t="s">
        <v>1129</v>
      </c>
      <c r="D1236" s="685" t="s">
        <v>283</v>
      </c>
      <c r="E1236" s="306" t="s">
        <v>1065</v>
      </c>
      <c r="F1236" s="307"/>
      <c r="G1236" s="297" t="s">
        <v>935</v>
      </c>
      <c r="H1236" s="308" t="str">
        <f>CONCATENATE("AR-",G1236,"-",I1236)</f>
        <v>AR-V40-1</v>
      </c>
      <c r="I1236" s="661">
        <v>1</v>
      </c>
      <c r="K1236" s="232"/>
      <c r="L1236" s="234">
        <v>1</v>
      </c>
      <c r="M1236" s="197">
        <v>1</v>
      </c>
      <c r="Q1236" s="237"/>
    </row>
    <row r="1237" spans="2:17" s="233" customFormat="1" ht="15" customHeight="1" outlineLevel="3">
      <c r="B1237" s="299" t="s">
        <v>268</v>
      </c>
      <c r="C1237" s="304" t="s">
        <v>1129</v>
      </c>
      <c r="D1237" s="685" t="s">
        <v>390</v>
      </c>
      <c r="E1237" s="306" t="s">
        <v>1066</v>
      </c>
      <c r="F1237" s="307"/>
      <c r="G1237" s="297" t="s">
        <v>935</v>
      </c>
      <c r="H1237" s="308" t="str">
        <f>CONCATENATE("AR-",G1237,"-",I1237)</f>
        <v>AR-V40-1</v>
      </c>
      <c r="I1237" s="661">
        <v>1</v>
      </c>
      <c r="K1237" s="232"/>
      <c r="L1237" s="234">
        <v>1</v>
      </c>
      <c r="M1237" s="197">
        <v>1</v>
      </c>
      <c r="Q1237" s="237"/>
    </row>
    <row r="1238" spans="2:17" s="233" customFormat="1" ht="15" customHeight="1" outlineLevel="3">
      <c r="B1238" s="299" t="s">
        <v>268</v>
      </c>
      <c r="C1238" s="304" t="s">
        <v>1129</v>
      </c>
      <c r="D1238" s="685" t="s">
        <v>392</v>
      </c>
      <c r="E1238" s="306" t="s">
        <v>1067</v>
      </c>
      <c r="F1238" s="307"/>
      <c r="G1238" s="297" t="s">
        <v>935</v>
      </c>
      <c r="H1238" s="308" t="str">
        <f>CONCATENATE("AR-",G1238,"-",I1238)</f>
        <v>AR-V40-1</v>
      </c>
      <c r="I1238" s="661">
        <v>1</v>
      </c>
      <c r="K1238" s="232"/>
      <c r="L1238" s="234">
        <v>1</v>
      </c>
      <c r="M1238" s="197">
        <v>1</v>
      </c>
      <c r="Q1238" s="237"/>
    </row>
    <row r="1239" spans="2:17" s="233" customFormat="1" ht="15" customHeight="1" outlineLevel="3">
      <c r="B1239" s="299" t="s">
        <v>268</v>
      </c>
      <c r="C1239" s="304" t="s">
        <v>1129</v>
      </c>
      <c r="D1239" s="685" t="s">
        <v>1068</v>
      </c>
      <c r="E1239" s="306" t="s">
        <v>1069</v>
      </c>
      <c r="F1239" s="307"/>
      <c r="G1239" s="297" t="s">
        <v>935</v>
      </c>
      <c r="H1239" s="308" t="str">
        <f>CONCATENATE("AR-",G1239,"-",I1239)</f>
        <v>AR-V40-1</v>
      </c>
      <c r="I1239" s="661">
        <v>1</v>
      </c>
      <c r="K1239" s="232"/>
      <c r="L1239" s="234">
        <v>1</v>
      </c>
      <c r="M1239" s="197">
        <v>1</v>
      </c>
      <c r="Q1239" s="237"/>
    </row>
    <row r="1240" spans="2:17" s="233" customFormat="1" ht="15" customHeight="1" outlineLevel="3">
      <c r="B1240" s="299"/>
      <c r="C1240" s="304"/>
      <c r="D1240" s="685"/>
      <c r="E1240" s="306" t="s">
        <v>277</v>
      </c>
      <c r="F1240" s="307"/>
      <c r="G1240" s="297"/>
      <c r="H1240" s="308"/>
      <c r="I1240" s="661"/>
      <c r="K1240" s="232"/>
      <c r="L1240" s="234"/>
      <c r="M1240" s="197"/>
      <c r="Q1240" s="237"/>
    </row>
    <row r="1241" spans="2:17" s="233" customFormat="1" ht="15" customHeight="1" outlineLevel="3">
      <c r="B1241" s="299" t="s">
        <v>1070</v>
      </c>
      <c r="C1241" s="304"/>
      <c r="D1241" s="685"/>
      <c r="E1241" s="306"/>
      <c r="F1241" s="307"/>
      <c r="G1241" s="297"/>
      <c r="H1241" s="308"/>
      <c r="I1241" s="661"/>
      <c r="K1241" s="232"/>
      <c r="L1241" s="234"/>
      <c r="M1241" s="197"/>
      <c r="Q1241" s="237"/>
    </row>
    <row r="1242" spans="2:17" s="233" customFormat="1" ht="15" customHeight="1" outlineLevel="3">
      <c r="B1242" s="299" t="s">
        <v>268</v>
      </c>
      <c r="C1242" s="304" t="s">
        <v>935</v>
      </c>
      <c r="D1242" s="685" t="s">
        <v>291</v>
      </c>
      <c r="E1242" s="306" t="s">
        <v>1071</v>
      </c>
      <c r="F1242" s="307"/>
      <c r="G1242" s="297" t="s">
        <v>935</v>
      </c>
      <c r="H1242" s="308" t="str">
        <f>CONCATENATE("AR-",G1242,"-",I1242)</f>
        <v>AR-V40-1</v>
      </c>
      <c r="I1242" s="661">
        <v>1</v>
      </c>
      <c r="K1242" s="232"/>
      <c r="L1242" s="234">
        <v>1</v>
      </c>
      <c r="M1242" s="197">
        <v>1</v>
      </c>
      <c r="Q1242" s="237"/>
    </row>
    <row r="1243" spans="2:17" s="233" customFormat="1" ht="15" customHeight="1" outlineLevel="3">
      <c r="B1243" s="299" t="s">
        <v>268</v>
      </c>
      <c r="C1243" s="304" t="s">
        <v>935</v>
      </c>
      <c r="D1243" s="685" t="s">
        <v>950</v>
      </c>
      <c r="E1243" s="306" t="s">
        <v>1072</v>
      </c>
      <c r="F1243" s="307"/>
      <c r="G1243" s="297" t="s">
        <v>935</v>
      </c>
      <c r="H1243" s="308" t="str">
        <f>CONCATENATE("AR-",G1243,"-",I1243)</f>
        <v>AR-V40-1</v>
      </c>
      <c r="I1243" s="661">
        <v>1</v>
      </c>
      <c r="K1243" s="232"/>
      <c r="L1243" s="234">
        <v>1</v>
      </c>
      <c r="M1243" s="197">
        <v>1</v>
      </c>
      <c r="Q1243" s="237"/>
    </row>
    <row r="1244" spans="2:17" s="233" customFormat="1" ht="15" customHeight="1" outlineLevel="3">
      <c r="B1244" s="299"/>
      <c r="C1244" s="304"/>
      <c r="D1244" s="685"/>
      <c r="E1244" s="306" t="s">
        <v>277</v>
      </c>
      <c r="F1244" s="307"/>
      <c r="G1244" s="297"/>
      <c r="H1244" s="308"/>
      <c r="I1244" s="661"/>
      <c r="K1244" s="232"/>
      <c r="L1244" s="234"/>
      <c r="M1244" s="197"/>
      <c r="Q1244" s="237"/>
    </row>
    <row r="1245" spans="2:17" s="259" customFormat="1" ht="15" customHeight="1" outlineLevel="3">
      <c r="B1245" s="299" t="s">
        <v>1073</v>
      </c>
      <c r="C1245" s="304"/>
      <c r="D1245" s="685"/>
      <c r="E1245" s="306"/>
      <c r="F1245" s="307"/>
      <c r="G1245" s="297"/>
      <c r="H1245" s="308"/>
      <c r="I1245" s="661"/>
      <c r="K1245" s="258"/>
      <c r="L1245" s="242"/>
      <c r="M1245" s="197"/>
      <c r="Q1245" s="715"/>
    </row>
    <row r="1246" spans="2:17" s="233" customFormat="1" ht="15" customHeight="1" outlineLevel="3">
      <c r="B1246" s="299" t="s">
        <v>268</v>
      </c>
      <c r="C1246" s="304" t="s">
        <v>935</v>
      </c>
      <c r="D1246" s="685" t="s">
        <v>551</v>
      </c>
      <c r="E1246" s="306" t="s">
        <v>1074</v>
      </c>
      <c r="F1246" s="307"/>
      <c r="G1246" s="297" t="s">
        <v>935</v>
      </c>
      <c r="H1246" s="308" t="str">
        <f>CONCATENATE("AR-",G1246,"-",I1246)</f>
        <v>AR-V40-1</v>
      </c>
      <c r="I1246" s="661">
        <v>1</v>
      </c>
      <c r="K1246" s="232"/>
      <c r="L1246" s="234">
        <v>1</v>
      </c>
      <c r="M1246" s="197">
        <v>1</v>
      </c>
      <c r="Q1246" s="237"/>
    </row>
    <row r="1247" spans="2:17" s="233" customFormat="1" ht="15" customHeight="1" outlineLevel="3">
      <c r="B1247" s="299" t="s">
        <v>268</v>
      </c>
      <c r="C1247" s="304" t="s">
        <v>935</v>
      </c>
      <c r="D1247" s="685" t="s">
        <v>553</v>
      </c>
      <c r="E1247" s="306" t="s">
        <v>1075</v>
      </c>
      <c r="F1247" s="307"/>
      <c r="G1247" s="297" t="s">
        <v>935</v>
      </c>
      <c r="H1247" s="308" t="str">
        <f>CONCATENATE("AR-",G1247,"-",I1247)</f>
        <v>AR-V40-1</v>
      </c>
      <c r="I1247" s="661">
        <v>1</v>
      </c>
      <c r="K1247" s="232"/>
      <c r="L1247" s="234">
        <v>1</v>
      </c>
      <c r="M1247" s="197">
        <v>1</v>
      </c>
      <c r="Q1247" s="237"/>
    </row>
    <row r="1248" spans="2:17" s="233" customFormat="1" ht="15" customHeight="1" outlineLevel="3">
      <c r="B1248" s="299" t="s">
        <v>268</v>
      </c>
      <c r="C1248" s="304" t="s">
        <v>935</v>
      </c>
      <c r="D1248" s="685" t="s">
        <v>554</v>
      </c>
      <c r="E1248" s="306" t="s">
        <v>1076</v>
      </c>
      <c r="F1248" s="307"/>
      <c r="G1248" s="297" t="s">
        <v>935</v>
      </c>
      <c r="H1248" s="308" t="str">
        <f>CONCATENATE("AR-",G1248,"-",I1248)</f>
        <v>AR-V40-1</v>
      </c>
      <c r="I1248" s="661">
        <v>1</v>
      </c>
      <c r="K1248" s="232"/>
      <c r="L1248" s="234">
        <v>1</v>
      </c>
      <c r="M1248" s="197">
        <v>1</v>
      </c>
      <c r="Q1248" s="237"/>
    </row>
    <row r="1249" spans="2:17" s="233" customFormat="1" ht="15" customHeight="1" outlineLevel="3">
      <c r="B1249" s="299"/>
      <c r="C1249" s="304"/>
      <c r="D1249" s="685"/>
      <c r="E1249" s="306" t="s">
        <v>277</v>
      </c>
      <c r="F1249" s="307"/>
      <c r="G1249" s="297"/>
      <c r="H1249" s="308"/>
      <c r="I1249" s="661"/>
      <c r="K1249" s="232"/>
      <c r="L1249" s="234"/>
      <c r="M1249" s="197"/>
      <c r="Q1249" s="237"/>
    </row>
    <row r="1250" spans="2:17" s="233" customFormat="1" ht="15" customHeight="1" outlineLevel="3">
      <c r="B1250" s="299" t="s">
        <v>1077</v>
      </c>
      <c r="C1250" s="304"/>
      <c r="D1250" s="685"/>
      <c r="E1250" s="306"/>
      <c r="F1250" s="307"/>
      <c r="G1250" s="297"/>
      <c r="H1250" s="308"/>
      <c r="I1250" s="661"/>
      <c r="K1250" s="232"/>
      <c r="L1250" s="234"/>
      <c r="M1250" s="197"/>
      <c r="Q1250" s="237"/>
    </row>
    <row r="1251" spans="2:17" s="233" customFormat="1" ht="15" customHeight="1" outlineLevel="3">
      <c r="B1251" s="299" t="s">
        <v>268</v>
      </c>
      <c r="C1251" s="304" t="s">
        <v>935</v>
      </c>
      <c r="D1251" s="685" t="s">
        <v>683</v>
      </c>
      <c r="E1251" s="306" t="s">
        <v>1078</v>
      </c>
      <c r="F1251" s="307"/>
      <c r="G1251" s="297" t="s">
        <v>935</v>
      </c>
      <c r="H1251" s="308" t="str">
        <f>CONCATENATE("AR-",G1251,"-",I1251)</f>
        <v>AR-V40-1</v>
      </c>
      <c r="I1251" s="661">
        <v>1</v>
      </c>
      <c r="K1251" s="232"/>
      <c r="L1251" s="234">
        <v>1</v>
      </c>
      <c r="M1251" s="197">
        <v>1</v>
      </c>
      <c r="Q1251" s="237"/>
    </row>
    <row r="1252" spans="2:17" s="233" customFormat="1" ht="15" customHeight="1" outlineLevel="3">
      <c r="B1252" s="299" t="s">
        <v>268</v>
      </c>
      <c r="C1252" s="304" t="s">
        <v>935</v>
      </c>
      <c r="D1252" s="685" t="s">
        <v>1023</v>
      </c>
      <c r="E1252" s="306" t="s">
        <v>1079</v>
      </c>
      <c r="F1252" s="307"/>
      <c r="G1252" s="297" t="s">
        <v>935</v>
      </c>
      <c r="H1252" s="308" t="str">
        <f>CONCATENATE("AR-",G1252,"-",I1252)</f>
        <v>AR-V40-1</v>
      </c>
      <c r="I1252" s="661">
        <v>1</v>
      </c>
      <c r="K1252" s="232"/>
      <c r="L1252" s="234">
        <v>1</v>
      </c>
      <c r="M1252" s="197">
        <v>1</v>
      </c>
      <c r="Q1252" s="237"/>
    </row>
    <row r="1253" spans="2:17" s="233" customFormat="1" ht="15" customHeight="1" outlineLevel="3">
      <c r="B1253" s="299" t="s">
        <v>268</v>
      </c>
      <c r="C1253" s="304" t="s">
        <v>935</v>
      </c>
      <c r="D1253" s="685" t="s">
        <v>1025</v>
      </c>
      <c r="E1253" s="306" t="s">
        <v>1080</v>
      </c>
      <c r="F1253" s="307"/>
      <c r="G1253" s="297" t="s">
        <v>935</v>
      </c>
      <c r="H1253" s="308" t="str">
        <f>CONCATENATE("AR-",G1253,"-",I1253)</f>
        <v>AR-V40-1</v>
      </c>
      <c r="I1253" s="661">
        <v>1</v>
      </c>
      <c r="K1253" s="232"/>
      <c r="L1253" s="234">
        <v>1</v>
      </c>
      <c r="M1253" s="197">
        <v>1</v>
      </c>
      <c r="Q1253" s="237"/>
    </row>
    <row r="1254" spans="2:17" s="233" customFormat="1" ht="15" customHeight="1" outlineLevel="3">
      <c r="B1254" s="299"/>
      <c r="C1254" s="304"/>
      <c r="D1254" s="685"/>
      <c r="E1254" s="306" t="s">
        <v>277</v>
      </c>
      <c r="F1254" s="307"/>
      <c r="G1254" s="297"/>
      <c r="H1254" s="308"/>
      <c r="I1254" s="661"/>
      <c r="K1254" s="232"/>
      <c r="L1254" s="234"/>
      <c r="M1254" s="197"/>
      <c r="Q1254" s="237"/>
    </row>
    <row r="1255" spans="2:17" s="259" customFormat="1" ht="15" customHeight="1" outlineLevel="3">
      <c r="B1255" s="299" t="s">
        <v>1085</v>
      </c>
      <c r="C1255" s="304"/>
      <c r="D1255" s="685"/>
      <c r="E1255" s="306"/>
      <c r="F1255" s="307"/>
      <c r="G1255" s="297"/>
      <c r="H1255" s="308"/>
      <c r="I1255" s="661"/>
      <c r="K1255" s="258"/>
      <c r="L1255" s="242"/>
      <c r="M1255" s="197"/>
      <c r="Q1255" s="715"/>
    </row>
    <row r="1256" spans="2:17" s="259" customFormat="1" ht="15" customHeight="1" outlineLevel="3">
      <c r="B1256" s="299" t="s">
        <v>268</v>
      </c>
      <c r="C1256" s="304" t="s">
        <v>1129</v>
      </c>
      <c r="D1256" s="685" t="s">
        <v>1086</v>
      </c>
      <c r="E1256" s="306" t="s">
        <v>1087</v>
      </c>
      <c r="F1256" s="307"/>
      <c r="G1256" s="297" t="s">
        <v>935</v>
      </c>
      <c r="H1256" s="308" t="str">
        <f>CONCATENATE("AR-",G1256,"-",I1256)</f>
        <v>AR-V40-1</v>
      </c>
      <c r="I1256" s="661">
        <v>1</v>
      </c>
      <c r="K1256" s="258"/>
      <c r="L1256" s="234">
        <v>1</v>
      </c>
      <c r="M1256" s="197">
        <v>1</v>
      </c>
      <c r="Q1256" s="715"/>
    </row>
    <row r="1257" spans="2:17" s="233" customFormat="1" ht="15" customHeight="1" outlineLevel="3">
      <c r="B1257" s="299" t="s">
        <v>268</v>
      </c>
      <c r="C1257" s="304" t="s">
        <v>935</v>
      </c>
      <c r="D1257" s="685" t="s">
        <v>320</v>
      </c>
      <c r="E1257" s="306" t="s">
        <v>1088</v>
      </c>
      <c r="F1257" s="307"/>
      <c r="G1257" s="297" t="s">
        <v>935</v>
      </c>
      <c r="H1257" s="308" t="str">
        <f>CONCATENATE("AR-",G1257,"-",I1257)</f>
        <v>AR-V40-1</v>
      </c>
      <c r="I1257" s="661">
        <v>1</v>
      </c>
      <c r="K1257" s="232"/>
      <c r="L1257" s="234">
        <v>1</v>
      </c>
      <c r="M1257" s="197">
        <v>1</v>
      </c>
      <c r="Q1257" s="237"/>
    </row>
    <row r="1258" spans="2:17" s="233" customFormat="1" ht="15" customHeight="1" outlineLevel="3">
      <c r="B1258" s="299" t="s">
        <v>268</v>
      </c>
      <c r="C1258" s="304" t="s">
        <v>935</v>
      </c>
      <c r="D1258" s="685" t="s">
        <v>1089</v>
      </c>
      <c r="E1258" s="306" t="s">
        <v>1090</v>
      </c>
      <c r="F1258" s="307"/>
      <c r="G1258" s="297" t="s">
        <v>935</v>
      </c>
      <c r="H1258" s="308" t="str">
        <f>CONCATENATE("AR-",G1258,"-",I1258)</f>
        <v>AR-V40-1</v>
      </c>
      <c r="I1258" s="661">
        <v>1</v>
      </c>
      <c r="K1258" s="232"/>
      <c r="L1258" s="234">
        <v>1</v>
      </c>
      <c r="M1258" s="197">
        <v>1</v>
      </c>
      <c r="Q1258" s="237"/>
    </row>
    <row r="1259" spans="2:17" s="233" customFormat="1" ht="15" customHeight="1" outlineLevel="3">
      <c r="B1259" s="299" t="s">
        <v>268</v>
      </c>
      <c r="C1259" s="304" t="s">
        <v>935</v>
      </c>
      <c r="D1259" s="685" t="s">
        <v>1091</v>
      </c>
      <c r="E1259" s="306" t="s">
        <v>1092</v>
      </c>
      <c r="F1259" s="307"/>
      <c r="G1259" s="297" t="s">
        <v>935</v>
      </c>
      <c r="H1259" s="308" t="str">
        <f>CONCATENATE("AR-",G1259,"-",I1259)</f>
        <v>AR-V40-1</v>
      </c>
      <c r="I1259" s="661">
        <v>1</v>
      </c>
      <c r="K1259" s="232"/>
      <c r="L1259" s="234">
        <v>1</v>
      </c>
      <c r="M1259" s="197">
        <v>1</v>
      </c>
      <c r="Q1259" s="237"/>
    </row>
    <row r="1260" spans="2:17" s="233" customFormat="1" ht="15" customHeight="1" outlineLevel="3">
      <c r="B1260" s="299"/>
      <c r="C1260" s="304"/>
      <c r="D1260" s="685"/>
      <c r="E1260" s="306" t="s">
        <v>277</v>
      </c>
      <c r="F1260" s="307"/>
      <c r="G1260" s="297"/>
      <c r="H1260" s="308"/>
      <c r="I1260" s="661"/>
      <c r="K1260" s="232"/>
      <c r="L1260" s="234"/>
      <c r="M1260" s="197"/>
      <c r="Q1260" s="237"/>
    </row>
    <row r="1261" spans="2:17" s="259" customFormat="1" ht="15" customHeight="1" outlineLevel="3">
      <c r="B1261" s="299" t="s">
        <v>1093</v>
      </c>
      <c r="C1261" s="304"/>
      <c r="D1261" s="685"/>
      <c r="E1261" s="306"/>
      <c r="F1261" s="307"/>
      <c r="G1261" s="297"/>
      <c r="H1261" s="308"/>
      <c r="I1261" s="661"/>
      <c r="K1261" s="258"/>
      <c r="L1261" s="242"/>
      <c r="M1261" s="197"/>
      <c r="Q1261" s="715"/>
    </row>
    <row r="1262" spans="2:17" s="233" customFormat="1" ht="15" customHeight="1" outlineLevel="3">
      <c r="B1262" s="299" t="s">
        <v>268</v>
      </c>
      <c r="C1262" s="304" t="s">
        <v>1129</v>
      </c>
      <c r="D1262" s="685" t="s">
        <v>409</v>
      </c>
      <c r="E1262" s="306" t="s">
        <v>892</v>
      </c>
      <c r="F1262" s="307"/>
      <c r="G1262" s="297" t="s">
        <v>935</v>
      </c>
      <c r="H1262" s="308" t="str">
        <f>CONCATENATE("AR-",G1262,"-",I1262)</f>
        <v>AR-V40-1</v>
      </c>
      <c r="I1262" s="661">
        <v>1</v>
      </c>
      <c r="K1262" s="232"/>
      <c r="L1262" s="234">
        <v>1</v>
      </c>
      <c r="M1262" s="197">
        <v>1</v>
      </c>
      <c r="Q1262" s="237"/>
    </row>
    <row r="1263" spans="2:17" s="233" customFormat="1" ht="15" customHeight="1" outlineLevel="3">
      <c r="B1263" s="299" t="s">
        <v>268</v>
      </c>
      <c r="C1263" s="304" t="s">
        <v>1129</v>
      </c>
      <c r="D1263" s="685" t="s">
        <v>411</v>
      </c>
      <c r="E1263" s="306" t="s">
        <v>893</v>
      </c>
      <c r="F1263" s="307"/>
      <c r="G1263" s="297" t="s">
        <v>935</v>
      </c>
      <c r="H1263" s="308" t="str">
        <f>CONCATENATE("AR-",G1263,"-",I1263)</f>
        <v>AR-V40-1</v>
      </c>
      <c r="I1263" s="661">
        <v>1</v>
      </c>
      <c r="K1263" s="232"/>
      <c r="L1263" s="234">
        <v>1</v>
      </c>
      <c r="M1263" s="197">
        <v>1</v>
      </c>
      <c r="Q1263" s="237"/>
    </row>
    <row r="1264" spans="2:17" s="233" customFormat="1" ht="15" customHeight="1" outlineLevel="3">
      <c r="B1264" s="299" t="s">
        <v>268</v>
      </c>
      <c r="C1264" s="304" t="s">
        <v>935</v>
      </c>
      <c r="D1264" s="685" t="s">
        <v>903</v>
      </c>
      <c r="E1264" s="306" t="s">
        <v>1094</v>
      </c>
      <c r="F1264" s="307"/>
      <c r="G1264" s="297" t="s">
        <v>935</v>
      </c>
      <c r="H1264" s="308" t="str">
        <f>CONCATENATE("AR-",G1264,"-",I1264)</f>
        <v>AR-V40-1</v>
      </c>
      <c r="I1264" s="661">
        <v>1</v>
      </c>
      <c r="K1264" s="232"/>
      <c r="L1264" s="234">
        <v>1</v>
      </c>
      <c r="M1264" s="197">
        <v>1</v>
      </c>
      <c r="Q1264" s="237"/>
    </row>
    <row r="1265" spans="2:17" s="233" customFormat="1" ht="15" customHeight="1" outlineLevel="3">
      <c r="B1265" s="299" t="s">
        <v>268</v>
      </c>
      <c r="C1265" s="304" t="s">
        <v>935</v>
      </c>
      <c r="D1265" s="685" t="s">
        <v>1095</v>
      </c>
      <c r="E1265" s="306" t="s">
        <v>1096</v>
      </c>
      <c r="F1265" s="307"/>
      <c r="G1265" s="297" t="s">
        <v>935</v>
      </c>
      <c r="H1265" s="308" t="str">
        <f>CONCATENATE("AR-",G1265,"-",I1265)</f>
        <v>AR-V40-1</v>
      </c>
      <c r="I1265" s="661">
        <v>1</v>
      </c>
      <c r="K1265" s="232"/>
      <c r="L1265" s="234">
        <v>1</v>
      </c>
      <c r="M1265" s="197">
        <v>1</v>
      </c>
      <c r="Q1265" s="237"/>
    </row>
    <row r="1266" spans="2:17" s="233" customFormat="1" ht="15" customHeight="1" outlineLevel="3">
      <c r="B1266" s="299" t="s">
        <v>268</v>
      </c>
      <c r="C1266" s="304" t="s">
        <v>935</v>
      </c>
      <c r="D1266" s="685" t="s">
        <v>1097</v>
      </c>
      <c r="E1266" s="306" t="s">
        <v>1098</v>
      </c>
      <c r="F1266" s="307"/>
      <c r="G1266" s="297" t="s">
        <v>935</v>
      </c>
      <c r="H1266" s="308" t="str">
        <f>CONCATENATE("AR-",G1266,"-",I1266)</f>
        <v>AR-V40-1</v>
      </c>
      <c r="I1266" s="661">
        <v>1</v>
      </c>
      <c r="K1266" s="232"/>
      <c r="L1266" s="234">
        <v>1</v>
      </c>
      <c r="M1266" s="197">
        <v>1</v>
      </c>
      <c r="Q1266" s="237"/>
    </row>
    <row r="1267" spans="2:17" s="233" customFormat="1" ht="15" customHeight="1" outlineLevel="3">
      <c r="B1267" s="299"/>
      <c r="C1267" s="304"/>
      <c r="D1267" s="685"/>
      <c r="E1267" s="306" t="s">
        <v>277</v>
      </c>
      <c r="F1267" s="307"/>
      <c r="G1267" s="297"/>
      <c r="H1267" s="308"/>
      <c r="I1267" s="661"/>
      <c r="K1267" s="232"/>
      <c r="L1267" s="234"/>
      <c r="M1267" s="197"/>
      <c r="Q1267" s="237"/>
    </row>
    <row r="1268" spans="2:17" s="259" customFormat="1" ht="15" customHeight="1" outlineLevel="3">
      <c r="B1268" s="299" t="s">
        <v>1099</v>
      </c>
      <c r="C1268" s="304"/>
      <c r="D1268" s="685"/>
      <c r="E1268" s="306"/>
      <c r="F1268" s="307"/>
      <c r="G1268" s="297"/>
      <c r="H1268" s="308"/>
      <c r="I1268" s="661"/>
      <c r="K1268" s="258"/>
      <c r="L1268" s="242"/>
      <c r="M1268" s="197"/>
      <c r="Q1268" s="715"/>
    </row>
    <row r="1269" spans="2:17" s="233" customFormat="1" ht="15" customHeight="1" outlineLevel="3">
      <c r="B1269" s="299" t="s">
        <v>268</v>
      </c>
      <c r="C1269" s="304" t="s">
        <v>1129</v>
      </c>
      <c r="D1269" s="685" t="s">
        <v>418</v>
      </c>
      <c r="E1269" s="306" t="s">
        <v>1100</v>
      </c>
      <c r="F1269" s="307"/>
      <c r="G1269" s="297" t="s">
        <v>935</v>
      </c>
      <c r="H1269" s="308" t="str">
        <f>CONCATENATE("AR-",G1269,"-",I1269)</f>
        <v>AR-V40-1</v>
      </c>
      <c r="I1269" s="661">
        <v>1</v>
      </c>
      <c r="K1269" s="232"/>
      <c r="L1269" s="234">
        <v>1</v>
      </c>
      <c r="M1269" s="197">
        <v>1</v>
      </c>
      <c r="Q1269" s="237"/>
    </row>
    <row r="1270" spans="2:17" s="233" customFormat="1" ht="15" customHeight="1" outlineLevel="3">
      <c r="B1270" s="299" t="s">
        <v>268</v>
      </c>
      <c r="C1270" s="304" t="s">
        <v>1129</v>
      </c>
      <c r="D1270" s="685" t="s">
        <v>1101</v>
      </c>
      <c r="E1270" s="306" t="s">
        <v>1102</v>
      </c>
      <c r="F1270" s="307"/>
      <c r="G1270" s="297" t="s">
        <v>935</v>
      </c>
      <c r="H1270" s="308" t="str">
        <f>CONCATENATE("AR-",G1270,"-",I1270)</f>
        <v>AR-V40-1</v>
      </c>
      <c r="I1270" s="661">
        <v>1</v>
      </c>
      <c r="K1270" s="232"/>
      <c r="L1270" s="234">
        <v>1</v>
      </c>
      <c r="M1270" s="197">
        <v>1</v>
      </c>
      <c r="Q1270" s="237"/>
    </row>
    <row r="1271" spans="2:17" s="233" customFormat="1" ht="15" customHeight="1" outlineLevel="3">
      <c r="B1271" s="299"/>
      <c r="C1271" s="304"/>
      <c r="D1271" s="685"/>
      <c r="E1271" s="306" t="s">
        <v>277</v>
      </c>
      <c r="F1271" s="307"/>
      <c r="G1271" s="297"/>
      <c r="H1271" s="308"/>
      <c r="I1271" s="661"/>
      <c r="K1271" s="232"/>
      <c r="L1271" s="234"/>
      <c r="M1271" s="197"/>
      <c r="Q1271" s="237"/>
    </row>
    <row r="1272" spans="2:17" s="259" customFormat="1" ht="15" customHeight="1" outlineLevel="3">
      <c r="B1272" s="299" t="s">
        <v>957</v>
      </c>
      <c r="C1272" s="304"/>
      <c r="D1272" s="685"/>
      <c r="E1272" s="306"/>
      <c r="F1272" s="307"/>
      <c r="G1272" s="297"/>
      <c r="H1272" s="308"/>
      <c r="I1272" s="661"/>
      <c r="K1272" s="258"/>
      <c r="L1272" s="242"/>
      <c r="M1272" s="197"/>
      <c r="Q1272" s="715"/>
    </row>
    <row r="1273" spans="2:17" s="233" customFormat="1" ht="15" customHeight="1" outlineLevel="3">
      <c r="B1273" s="299" t="s">
        <v>268</v>
      </c>
      <c r="C1273" s="304" t="s">
        <v>935</v>
      </c>
      <c r="D1273" s="685" t="s">
        <v>425</v>
      </c>
      <c r="E1273" s="306" t="s">
        <v>910</v>
      </c>
      <c r="F1273" s="307"/>
      <c r="G1273" s="297" t="s">
        <v>935</v>
      </c>
      <c r="H1273" s="308" t="str">
        <f>CONCATENATE("AR-",G1273,"-",I1273)</f>
        <v>AR-V40-1</v>
      </c>
      <c r="I1273" s="661">
        <v>1</v>
      </c>
      <c r="K1273" s="232"/>
      <c r="L1273" s="234">
        <v>1</v>
      </c>
      <c r="M1273" s="197">
        <v>1</v>
      </c>
      <c r="Q1273" s="237"/>
    </row>
    <row r="1274" spans="2:17" s="233" customFormat="1" ht="15" customHeight="1" outlineLevel="3">
      <c r="B1274" s="299" t="s">
        <v>268</v>
      </c>
      <c r="C1274" s="304" t="s">
        <v>935</v>
      </c>
      <c r="D1274" s="685" t="s">
        <v>427</v>
      </c>
      <c r="E1274" s="306" t="s">
        <v>911</v>
      </c>
      <c r="F1274" s="307"/>
      <c r="G1274" s="297" t="s">
        <v>935</v>
      </c>
      <c r="H1274" s="308" t="str">
        <f>CONCATENATE("AR-",G1274,"-",I1274)</f>
        <v>AR-V40-1</v>
      </c>
      <c r="I1274" s="661">
        <v>1</v>
      </c>
      <c r="K1274" s="232"/>
      <c r="L1274" s="234">
        <v>1</v>
      </c>
      <c r="M1274" s="197">
        <v>1</v>
      </c>
      <c r="Q1274" s="237"/>
    </row>
    <row r="1275" spans="2:17" s="233" customFormat="1" ht="15" customHeight="1" outlineLevel="3">
      <c r="B1275" s="299" t="s">
        <v>268</v>
      </c>
      <c r="C1275" s="304" t="s">
        <v>935</v>
      </c>
      <c r="D1275" s="685" t="s">
        <v>429</v>
      </c>
      <c r="E1275" s="306" t="s">
        <v>912</v>
      </c>
      <c r="F1275" s="307"/>
      <c r="G1275" s="297" t="s">
        <v>935</v>
      </c>
      <c r="H1275" s="308" t="str">
        <f>CONCATENATE("AR-",G1275,"-",I1275)</f>
        <v>AR-V40-1</v>
      </c>
      <c r="I1275" s="661">
        <v>1</v>
      </c>
      <c r="K1275" s="232"/>
      <c r="L1275" s="234">
        <v>1</v>
      </c>
      <c r="M1275" s="197">
        <v>1</v>
      </c>
      <c r="Q1275" s="237"/>
    </row>
    <row r="1276" spans="2:17" s="233" customFormat="1" ht="15" customHeight="1" outlineLevel="3">
      <c r="B1276" s="299" t="s">
        <v>268</v>
      </c>
      <c r="C1276" s="304" t="s">
        <v>935</v>
      </c>
      <c r="D1276" s="685" t="s">
        <v>431</v>
      </c>
      <c r="E1276" s="306" t="s">
        <v>913</v>
      </c>
      <c r="F1276" s="307"/>
      <c r="G1276" s="297" t="s">
        <v>935</v>
      </c>
      <c r="H1276" s="308" t="str">
        <f>CONCATENATE("AR-",G1276,"-",I1276)</f>
        <v>AR-V40-1</v>
      </c>
      <c r="I1276" s="661">
        <v>1</v>
      </c>
      <c r="K1276" s="232"/>
      <c r="L1276" s="234">
        <v>1</v>
      </c>
      <c r="M1276" s="197">
        <v>1</v>
      </c>
      <c r="Q1276" s="237"/>
    </row>
    <row r="1277" spans="2:17" s="233" customFormat="1" ht="15" customHeight="1" outlineLevel="3">
      <c r="B1277" s="299"/>
      <c r="C1277" s="304"/>
      <c r="D1277" s="685"/>
      <c r="E1277" s="306" t="s">
        <v>277</v>
      </c>
      <c r="F1277" s="307"/>
      <c r="G1277" s="297"/>
      <c r="H1277" s="308"/>
      <c r="I1277" s="661"/>
      <c r="K1277" s="232"/>
      <c r="L1277" s="234"/>
      <c r="M1277" s="197"/>
      <c r="Q1277" s="237"/>
    </row>
    <row r="1278" spans="2:17" s="259" customFormat="1" ht="15" customHeight="1" outlineLevel="3">
      <c r="B1278" s="299" t="s">
        <v>1103</v>
      </c>
      <c r="C1278" s="304"/>
      <c r="D1278" s="685"/>
      <c r="E1278" s="306"/>
      <c r="F1278" s="307"/>
      <c r="G1278" s="297"/>
      <c r="H1278" s="308"/>
      <c r="I1278" s="661"/>
      <c r="K1278" s="258"/>
      <c r="L1278" s="242"/>
      <c r="M1278" s="197"/>
      <c r="Q1278" s="715"/>
    </row>
    <row r="1279" spans="2:17" s="233" customFormat="1" ht="15" customHeight="1" outlineLevel="3">
      <c r="B1279" s="299" t="s">
        <v>268</v>
      </c>
      <c r="C1279" s="304" t="s">
        <v>935</v>
      </c>
      <c r="D1279" s="685" t="s">
        <v>915</v>
      </c>
      <c r="E1279" s="306" t="s">
        <v>1104</v>
      </c>
      <c r="F1279" s="307"/>
      <c r="G1279" s="297" t="s">
        <v>935</v>
      </c>
      <c r="H1279" s="308" t="str">
        <f>CONCATENATE("AR-",G1279,"-",I1279)</f>
        <v>AR-V40-1</v>
      </c>
      <c r="I1279" s="661">
        <v>1</v>
      </c>
      <c r="K1279" s="232"/>
      <c r="L1279" s="234">
        <v>1</v>
      </c>
      <c r="M1279" s="197">
        <v>1</v>
      </c>
      <c r="Q1279" s="237"/>
    </row>
    <row r="1280" spans="2:17" s="233" customFormat="1" ht="15" customHeight="1" outlineLevel="3">
      <c r="B1280" s="299" t="s">
        <v>268</v>
      </c>
      <c r="C1280" s="304" t="s">
        <v>935</v>
      </c>
      <c r="D1280" s="685" t="s">
        <v>1105</v>
      </c>
      <c r="E1280" s="306" t="s">
        <v>1104</v>
      </c>
      <c r="F1280" s="307"/>
      <c r="G1280" s="297" t="s">
        <v>935</v>
      </c>
      <c r="H1280" s="308" t="str">
        <f>CONCATENATE("AR-",G1280,"-",I1280)</f>
        <v>AR-V40-1</v>
      </c>
      <c r="I1280" s="661">
        <v>1</v>
      </c>
      <c r="K1280" s="232"/>
      <c r="L1280" s="234">
        <v>1</v>
      </c>
      <c r="M1280" s="197">
        <v>1</v>
      </c>
      <c r="Q1280" s="237"/>
    </row>
    <row r="1281" spans="2:17" s="233" customFormat="1" ht="15" customHeight="1" outlineLevel="3">
      <c r="B1281" s="299" t="s">
        <v>1106</v>
      </c>
      <c r="C1281" s="304"/>
      <c r="D1281" s="685"/>
      <c r="E1281" s="306" t="s">
        <v>277</v>
      </c>
      <c r="F1281" s="307"/>
      <c r="G1281" s="297"/>
      <c r="H1281" s="308"/>
      <c r="I1281" s="661"/>
      <c r="K1281" s="232"/>
      <c r="L1281" s="234"/>
      <c r="M1281" s="197"/>
      <c r="Q1281" s="237"/>
    </row>
    <row r="1282" spans="2:17" s="233" customFormat="1" ht="15" customHeight="1" outlineLevel="3">
      <c r="B1282" s="299" t="s">
        <v>268</v>
      </c>
      <c r="C1282" s="304" t="s">
        <v>935</v>
      </c>
      <c r="D1282" s="685" t="s">
        <v>1107</v>
      </c>
      <c r="E1282" s="306" t="s">
        <v>1108</v>
      </c>
      <c r="F1282" s="307"/>
      <c r="G1282" s="297" t="s">
        <v>935</v>
      </c>
      <c r="H1282" s="308" t="str">
        <f>CONCATENATE("AR-",G1282,"-",I1282)</f>
        <v>AR-V40-1</v>
      </c>
      <c r="I1282" s="661">
        <v>1</v>
      </c>
      <c r="K1282" s="232"/>
      <c r="L1282" s="234">
        <v>1</v>
      </c>
      <c r="M1282" s="197">
        <v>1</v>
      </c>
      <c r="Q1282" s="237"/>
    </row>
    <row r="1283" spans="2:17" s="233" customFormat="1" ht="15" customHeight="1" outlineLevel="3">
      <c r="B1283" s="299" t="s">
        <v>268</v>
      </c>
      <c r="C1283" s="304" t="s">
        <v>935</v>
      </c>
      <c r="D1283" s="685" t="s">
        <v>1109</v>
      </c>
      <c r="E1283" s="306" t="s">
        <v>1110</v>
      </c>
      <c r="F1283" s="307"/>
      <c r="G1283" s="297" t="s">
        <v>935</v>
      </c>
      <c r="H1283" s="308" t="str">
        <f>CONCATENATE("AR-",G1283,"-",I1283)</f>
        <v>AR-V40-1</v>
      </c>
      <c r="I1283" s="661">
        <v>1</v>
      </c>
      <c r="K1283" s="232"/>
      <c r="L1283" s="234">
        <v>1</v>
      </c>
      <c r="M1283" s="197">
        <v>1</v>
      </c>
      <c r="Q1283" s="237"/>
    </row>
    <row r="1284" spans="2:17" s="233" customFormat="1" ht="15" customHeight="1" outlineLevel="3">
      <c r="B1284" s="299"/>
      <c r="C1284" s="304"/>
      <c r="D1284" s="685"/>
      <c r="E1284" s="306" t="s">
        <v>277</v>
      </c>
      <c r="F1284" s="307"/>
      <c r="G1284" s="297"/>
      <c r="H1284" s="308"/>
      <c r="I1284" s="661"/>
      <c r="K1284" s="232"/>
      <c r="L1284" s="234"/>
      <c r="M1284" s="197"/>
      <c r="Q1284" s="237"/>
    </row>
    <row r="1285" spans="2:17" s="259" customFormat="1" ht="15" customHeight="1" outlineLevel="3">
      <c r="B1285" s="299" t="s">
        <v>1111</v>
      </c>
      <c r="C1285" s="304"/>
      <c r="D1285" s="685"/>
      <c r="E1285" s="306" t="s">
        <v>277</v>
      </c>
      <c r="F1285" s="307"/>
      <c r="G1285" s="297"/>
      <c r="H1285" s="308"/>
      <c r="I1285" s="661"/>
      <c r="K1285" s="258"/>
      <c r="L1285" s="242"/>
      <c r="M1285" s="197"/>
      <c r="Q1285" s="715"/>
    </row>
    <row r="1286" spans="2:17" s="233" customFormat="1" ht="15" customHeight="1" outlineLevel="3">
      <c r="B1286" s="299" t="s">
        <v>268</v>
      </c>
      <c r="C1286" s="304" t="s">
        <v>935</v>
      </c>
      <c r="D1286" s="685" t="s">
        <v>1112</v>
      </c>
      <c r="E1286" s="306" t="s">
        <v>1113</v>
      </c>
      <c r="F1286" s="307"/>
      <c r="G1286" s="297" t="s">
        <v>935</v>
      </c>
      <c r="H1286" s="308" t="str">
        <f>CONCATENATE("AR-",G1286,"-",I1286)</f>
        <v>AR-V40-1</v>
      </c>
      <c r="I1286" s="661">
        <v>1</v>
      </c>
      <c r="K1286" s="232"/>
      <c r="L1286" s="234">
        <v>1</v>
      </c>
      <c r="M1286" s="197">
        <v>1</v>
      </c>
      <c r="Q1286" s="237"/>
    </row>
    <row r="1287" spans="2:17" s="233" customFormat="1" ht="15" customHeight="1" outlineLevel="3">
      <c r="B1287" s="299" t="s">
        <v>268</v>
      </c>
      <c r="C1287" s="304" t="s">
        <v>935</v>
      </c>
      <c r="D1287" s="685" t="s">
        <v>1114</v>
      </c>
      <c r="E1287" s="306" t="s">
        <v>1115</v>
      </c>
      <c r="F1287" s="307"/>
      <c r="G1287" s="297" t="s">
        <v>935</v>
      </c>
      <c r="H1287" s="308" t="str">
        <f>CONCATENATE("AR-",G1287,"-",I1287)</f>
        <v>AR-V40-1</v>
      </c>
      <c r="I1287" s="661">
        <v>1</v>
      </c>
      <c r="K1287" s="232"/>
      <c r="L1287" s="234">
        <v>1</v>
      </c>
      <c r="M1287" s="197">
        <v>1</v>
      </c>
      <c r="Q1287" s="237"/>
    </row>
    <row r="1288" spans="2:17" s="233" customFormat="1" ht="15" customHeight="1" outlineLevel="3">
      <c r="B1288" s="299" t="s">
        <v>268</v>
      </c>
      <c r="C1288" s="304" t="s">
        <v>935</v>
      </c>
      <c r="D1288" s="685" t="s">
        <v>1116</v>
      </c>
      <c r="E1288" s="306" t="s">
        <v>1117</v>
      </c>
      <c r="F1288" s="307"/>
      <c r="G1288" s="297" t="s">
        <v>935</v>
      </c>
      <c r="H1288" s="308" t="str">
        <f>CONCATENATE("AR-",G1288,"-",I1288)</f>
        <v>AR-V40-1</v>
      </c>
      <c r="I1288" s="661">
        <v>1</v>
      </c>
      <c r="K1288" s="232"/>
      <c r="L1288" s="234">
        <v>1</v>
      </c>
      <c r="M1288" s="197">
        <v>1</v>
      </c>
      <c r="Q1288" s="237"/>
    </row>
    <row r="1289" spans="2:17" s="233" customFormat="1" ht="15" customHeight="1" outlineLevel="3">
      <c r="B1289" s="299"/>
      <c r="C1289" s="304"/>
      <c r="D1289" s="685"/>
      <c r="E1289" s="306" t="s">
        <v>277</v>
      </c>
      <c r="F1289" s="307"/>
      <c r="G1289" s="297"/>
      <c r="H1289" s="308"/>
      <c r="I1289" s="661"/>
      <c r="K1289" s="232"/>
      <c r="L1289" s="234"/>
      <c r="M1289" s="197"/>
      <c r="Q1289" s="237"/>
    </row>
    <row r="1290" spans="2:17" s="259" customFormat="1" ht="15" customHeight="1" outlineLevel="3">
      <c r="B1290" s="299" t="s">
        <v>1118</v>
      </c>
      <c r="C1290" s="304"/>
      <c r="D1290" s="685"/>
      <c r="E1290" s="306" t="s">
        <v>277</v>
      </c>
      <c r="F1290" s="307"/>
      <c r="G1290" s="297"/>
      <c r="H1290" s="308"/>
      <c r="I1290" s="661"/>
      <c r="K1290" s="258"/>
      <c r="L1290" s="242"/>
      <c r="M1290" s="197"/>
      <c r="Q1290" s="715"/>
    </row>
    <row r="1291" spans="2:17" s="233" customFormat="1" ht="15" customHeight="1" outlineLevel="3">
      <c r="B1291" s="299" t="s">
        <v>268</v>
      </c>
      <c r="C1291" s="304" t="s">
        <v>935</v>
      </c>
      <c r="D1291" s="685" t="s">
        <v>968</v>
      </c>
      <c r="E1291" s="306" t="s">
        <v>1119</v>
      </c>
      <c r="F1291" s="307"/>
      <c r="G1291" s="297" t="s">
        <v>935</v>
      </c>
      <c r="H1291" s="308" t="str">
        <f>CONCATENATE("AR-",G1291,"-",I1291)</f>
        <v>AR-V40-1</v>
      </c>
      <c r="I1291" s="661">
        <v>1</v>
      </c>
      <c r="K1291" s="232"/>
      <c r="L1291" s="234">
        <v>1</v>
      </c>
      <c r="M1291" s="197">
        <v>1</v>
      </c>
      <c r="Q1291" s="237"/>
    </row>
    <row r="1292" spans="2:17" s="233" customFormat="1" ht="15" customHeight="1" outlineLevel="3">
      <c r="B1292" s="299" t="s">
        <v>268</v>
      </c>
      <c r="C1292" s="304" t="s">
        <v>935</v>
      </c>
      <c r="D1292" s="685" t="s">
        <v>970</v>
      </c>
      <c r="E1292" s="306" t="s">
        <v>1119</v>
      </c>
      <c r="F1292" s="307"/>
      <c r="G1292" s="297" t="s">
        <v>935</v>
      </c>
      <c r="H1292" s="308" t="str">
        <f>CONCATENATE("AR-",G1292,"-",I1292)</f>
        <v>AR-V40-1</v>
      </c>
      <c r="I1292" s="661">
        <v>1</v>
      </c>
      <c r="K1292" s="232"/>
      <c r="L1292" s="234">
        <v>1</v>
      </c>
      <c r="M1292" s="197">
        <v>1</v>
      </c>
      <c r="Q1292" s="237"/>
    </row>
    <row r="1293" spans="2:17" s="233" customFormat="1" ht="15" customHeight="1" outlineLevel="3">
      <c r="B1293" s="299"/>
      <c r="C1293" s="304"/>
      <c r="D1293" s="685"/>
      <c r="E1293" s="306" t="s">
        <v>277</v>
      </c>
      <c r="F1293" s="307"/>
      <c r="G1293" s="297"/>
      <c r="H1293" s="308"/>
      <c r="I1293" s="661"/>
      <c r="K1293" s="232"/>
      <c r="L1293" s="234"/>
      <c r="M1293" s="197"/>
      <c r="Q1293" s="237"/>
    </row>
    <row r="1294" spans="2:17" s="259" customFormat="1" ht="15" customHeight="1" outlineLevel="3">
      <c r="B1294" s="299" t="s">
        <v>1120</v>
      </c>
      <c r="C1294" s="304"/>
      <c r="D1294" s="685"/>
      <c r="E1294" s="306"/>
      <c r="F1294" s="307"/>
      <c r="G1294" s="297"/>
      <c r="H1294" s="308"/>
      <c r="I1294" s="661"/>
      <c r="K1294" s="258"/>
      <c r="L1294" s="242"/>
      <c r="M1294" s="197"/>
      <c r="Q1294" s="715"/>
    </row>
    <row r="1295" spans="2:17" s="233" customFormat="1" ht="15" customHeight="1" outlineLevel="3">
      <c r="B1295" s="299" t="s">
        <v>268</v>
      </c>
      <c r="C1295" s="304" t="s">
        <v>935</v>
      </c>
      <c r="D1295" s="685" t="s">
        <v>977</v>
      </c>
      <c r="E1295" s="306" t="s">
        <v>1121</v>
      </c>
      <c r="F1295" s="307"/>
      <c r="G1295" s="297" t="s">
        <v>935</v>
      </c>
      <c r="H1295" s="308" t="str">
        <f t="shared" ref="H1295:H1300" si="86">CONCATENATE("AR-",G1295,"-",I1295)</f>
        <v>AR-V40-1</v>
      </c>
      <c r="I1295" s="661">
        <v>1</v>
      </c>
      <c r="K1295" s="232"/>
      <c r="L1295" s="234">
        <v>1</v>
      </c>
      <c r="M1295" s="197">
        <v>1</v>
      </c>
      <c r="Q1295" s="237"/>
    </row>
    <row r="1296" spans="2:17" s="233" customFormat="1" ht="15" customHeight="1" outlineLevel="3">
      <c r="B1296" s="299" t="s">
        <v>268</v>
      </c>
      <c r="C1296" s="304" t="s">
        <v>935</v>
      </c>
      <c r="D1296" s="685" t="s">
        <v>979</v>
      </c>
      <c r="E1296" s="306" t="s">
        <v>1122</v>
      </c>
      <c r="F1296" s="307"/>
      <c r="G1296" s="297" t="s">
        <v>935</v>
      </c>
      <c r="H1296" s="308" t="str">
        <f t="shared" si="86"/>
        <v>AR-V40-1</v>
      </c>
      <c r="I1296" s="661">
        <v>1</v>
      </c>
      <c r="K1296" s="232"/>
      <c r="L1296" s="234">
        <v>1</v>
      </c>
      <c r="M1296" s="197">
        <v>1</v>
      </c>
      <c r="Q1296" s="237"/>
    </row>
    <row r="1297" spans="2:17" s="233" customFormat="1" ht="15" customHeight="1" outlineLevel="3">
      <c r="B1297" s="299" t="s">
        <v>268</v>
      </c>
      <c r="C1297" s="304" t="s">
        <v>935</v>
      </c>
      <c r="D1297" s="685" t="s">
        <v>981</v>
      </c>
      <c r="E1297" s="306" t="s">
        <v>1123</v>
      </c>
      <c r="F1297" s="307"/>
      <c r="G1297" s="297" t="s">
        <v>935</v>
      </c>
      <c r="H1297" s="308" t="str">
        <f t="shared" si="86"/>
        <v>AR-V40-1</v>
      </c>
      <c r="I1297" s="661">
        <v>1</v>
      </c>
      <c r="K1297" s="232"/>
      <c r="L1297" s="234">
        <v>1</v>
      </c>
      <c r="M1297" s="197">
        <v>1</v>
      </c>
      <c r="Q1297" s="237"/>
    </row>
    <row r="1298" spans="2:17" s="233" customFormat="1" ht="15" customHeight="1" outlineLevel="3">
      <c r="B1298" s="299" t="s">
        <v>268</v>
      </c>
      <c r="C1298" s="304" t="s">
        <v>935</v>
      </c>
      <c r="D1298" s="685" t="s">
        <v>983</v>
      </c>
      <c r="E1298" s="306" t="s">
        <v>1124</v>
      </c>
      <c r="F1298" s="307"/>
      <c r="G1298" s="297" t="s">
        <v>935</v>
      </c>
      <c r="H1298" s="308" t="str">
        <f t="shared" si="86"/>
        <v>AR-V40-1</v>
      </c>
      <c r="I1298" s="661">
        <v>1</v>
      </c>
      <c r="K1298" s="232"/>
      <c r="L1298" s="234">
        <v>1</v>
      </c>
      <c r="M1298" s="197">
        <v>1</v>
      </c>
      <c r="Q1298" s="237"/>
    </row>
    <row r="1299" spans="2:17" s="233" customFormat="1" ht="15" customHeight="1" outlineLevel="3">
      <c r="B1299" s="299" t="s">
        <v>268</v>
      </c>
      <c r="C1299" s="304" t="s">
        <v>935</v>
      </c>
      <c r="D1299" s="685" t="s">
        <v>985</v>
      </c>
      <c r="E1299" s="306" t="s">
        <v>1125</v>
      </c>
      <c r="F1299" s="307"/>
      <c r="G1299" s="297" t="s">
        <v>935</v>
      </c>
      <c r="H1299" s="308" t="str">
        <f t="shared" si="86"/>
        <v>AR-V40-1</v>
      </c>
      <c r="I1299" s="661">
        <v>1</v>
      </c>
      <c r="K1299" s="232"/>
      <c r="L1299" s="234">
        <v>1</v>
      </c>
      <c r="M1299" s="197">
        <v>1</v>
      </c>
      <c r="Q1299" s="237"/>
    </row>
    <row r="1300" spans="2:17" s="233" customFormat="1" ht="15" customHeight="1" outlineLevel="3">
      <c r="B1300" s="299" t="s">
        <v>268</v>
      </c>
      <c r="C1300" s="304" t="s">
        <v>935</v>
      </c>
      <c r="D1300" s="685" t="s">
        <v>987</v>
      </c>
      <c r="E1300" s="306" t="s">
        <v>1126</v>
      </c>
      <c r="F1300" s="307"/>
      <c r="G1300" s="297" t="s">
        <v>935</v>
      </c>
      <c r="H1300" s="308" t="str">
        <f t="shared" si="86"/>
        <v>AR-V40-1</v>
      </c>
      <c r="I1300" s="661">
        <v>1</v>
      </c>
      <c r="K1300" s="232"/>
      <c r="L1300" s="234">
        <v>1</v>
      </c>
      <c r="M1300" s="197">
        <v>1</v>
      </c>
      <c r="Q1300" s="237"/>
    </row>
    <row r="1301" spans="2:17" s="233" customFormat="1" ht="15" customHeight="1" outlineLevel="3">
      <c r="B1301" s="299"/>
      <c r="C1301" s="304"/>
      <c r="D1301" s="685"/>
      <c r="E1301" s="306" t="s">
        <v>277</v>
      </c>
      <c r="F1301" s="307"/>
      <c r="G1301" s="297"/>
      <c r="H1301" s="308"/>
      <c r="I1301" s="661"/>
      <c r="K1301" s="232"/>
      <c r="L1301" s="234"/>
      <c r="M1301" s="197"/>
      <c r="Q1301" s="237"/>
    </row>
    <row r="1302" spans="2:17" s="233" customFormat="1" ht="15" customHeight="1" outlineLevel="3">
      <c r="B1302" s="299"/>
      <c r="C1302" s="304"/>
      <c r="D1302" s="685"/>
      <c r="E1302" s="306" t="s">
        <v>277</v>
      </c>
      <c r="F1302" s="307"/>
      <c r="G1302" s="297"/>
      <c r="H1302" s="308"/>
      <c r="I1302" s="661"/>
      <c r="K1302" s="232"/>
      <c r="L1302" s="234"/>
      <c r="M1302" s="197"/>
      <c r="Q1302" s="237"/>
    </row>
    <row r="1303" spans="2:17" s="259" customFormat="1" ht="15" customHeight="1" outlineLevel="3">
      <c r="B1303" s="299" t="s">
        <v>1127</v>
      </c>
      <c r="C1303" s="304"/>
      <c r="D1303" s="685"/>
      <c r="E1303" s="306"/>
      <c r="F1303" s="307"/>
      <c r="G1303" s="297"/>
      <c r="H1303" s="308"/>
      <c r="I1303" s="661"/>
      <c r="K1303" s="258"/>
      <c r="L1303" s="242"/>
      <c r="M1303" s="197"/>
      <c r="Q1303" s="715"/>
    </row>
    <row r="1304" spans="2:17" s="233" customFormat="1" ht="15" customHeight="1" outlineLevel="3">
      <c r="B1304" s="299" t="s">
        <v>268</v>
      </c>
      <c r="C1304" s="304" t="s">
        <v>935</v>
      </c>
      <c r="D1304" s="685">
        <v>7410</v>
      </c>
      <c r="E1304" s="306" t="s">
        <v>989</v>
      </c>
      <c r="F1304" s="307"/>
      <c r="G1304" s="297" t="s">
        <v>935</v>
      </c>
      <c r="H1304" s="308" t="str">
        <f t="shared" ref="H1304:H1317" si="87">CONCATENATE("AR-",G1304,"-",I1304)</f>
        <v>AR-V40-1</v>
      </c>
      <c r="I1304" s="661">
        <v>1</v>
      </c>
      <c r="K1304" s="232"/>
      <c r="L1304" s="234">
        <v>1</v>
      </c>
      <c r="M1304" s="197">
        <v>1</v>
      </c>
      <c r="Q1304" s="237"/>
    </row>
    <row r="1305" spans="2:17" s="233" customFormat="1" ht="15" customHeight="1" outlineLevel="3">
      <c r="B1305" s="299" t="s">
        <v>268</v>
      </c>
      <c r="C1305" s="304" t="s">
        <v>935</v>
      </c>
      <c r="D1305" s="685">
        <v>7420</v>
      </c>
      <c r="E1305" s="306" t="s">
        <v>481</v>
      </c>
      <c r="F1305" s="307"/>
      <c r="G1305" s="297" t="s">
        <v>935</v>
      </c>
      <c r="H1305" s="308" t="str">
        <f t="shared" si="87"/>
        <v>AR-V40-1</v>
      </c>
      <c r="I1305" s="661">
        <v>1</v>
      </c>
      <c r="K1305" s="232"/>
      <c r="L1305" s="234">
        <v>1</v>
      </c>
      <c r="M1305" s="197">
        <v>1</v>
      </c>
      <c r="Q1305" s="237"/>
    </row>
    <row r="1306" spans="2:17" s="233" customFormat="1" ht="15" customHeight="1" outlineLevel="3">
      <c r="B1306" s="299" t="s">
        <v>268</v>
      </c>
      <c r="C1306" s="304" t="s">
        <v>935</v>
      </c>
      <c r="D1306" s="685">
        <v>7430</v>
      </c>
      <c r="E1306" s="306" t="s">
        <v>482</v>
      </c>
      <c r="F1306" s="307"/>
      <c r="G1306" s="297" t="s">
        <v>935</v>
      </c>
      <c r="H1306" s="308" t="str">
        <f t="shared" si="87"/>
        <v>AR-V40-1</v>
      </c>
      <c r="I1306" s="661">
        <v>1</v>
      </c>
      <c r="K1306" s="232"/>
      <c r="L1306" s="234">
        <v>1</v>
      </c>
      <c r="M1306" s="197">
        <v>1</v>
      </c>
      <c r="Q1306" s="237"/>
    </row>
    <row r="1307" spans="2:17" s="233" customFormat="1" ht="15" customHeight="1" outlineLevel="3">
      <c r="B1307" s="299" t="s">
        <v>268</v>
      </c>
      <c r="C1307" s="304" t="s">
        <v>935</v>
      </c>
      <c r="D1307" s="685">
        <v>7440</v>
      </c>
      <c r="E1307" s="306" t="s">
        <v>483</v>
      </c>
      <c r="F1307" s="307"/>
      <c r="G1307" s="297" t="s">
        <v>935</v>
      </c>
      <c r="H1307" s="308" t="str">
        <f t="shared" si="87"/>
        <v>AR-V40-1</v>
      </c>
      <c r="I1307" s="661">
        <v>1</v>
      </c>
      <c r="K1307" s="232"/>
      <c r="L1307" s="234">
        <v>1</v>
      </c>
      <c r="M1307" s="197">
        <v>1</v>
      </c>
      <c r="Q1307" s="237"/>
    </row>
    <row r="1308" spans="2:17" s="233" customFormat="1" ht="15" customHeight="1" outlineLevel="3">
      <c r="B1308" s="299" t="s">
        <v>268</v>
      </c>
      <c r="C1308" s="304" t="s">
        <v>935</v>
      </c>
      <c r="D1308" s="685">
        <v>7450</v>
      </c>
      <c r="E1308" s="306" t="s">
        <v>990</v>
      </c>
      <c r="F1308" s="307"/>
      <c r="G1308" s="297" t="s">
        <v>935</v>
      </c>
      <c r="H1308" s="308" t="str">
        <f t="shared" si="87"/>
        <v>AR-V40-1</v>
      </c>
      <c r="I1308" s="661">
        <v>1</v>
      </c>
      <c r="K1308" s="232"/>
      <c r="L1308" s="234">
        <v>1</v>
      </c>
      <c r="M1308" s="197">
        <v>1</v>
      </c>
      <c r="Q1308" s="237"/>
    </row>
    <row r="1309" spans="2:17" s="233" customFormat="1" ht="15" customHeight="1" outlineLevel="3">
      <c r="B1309" s="299" t="s">
        <v>268</v>
      </c>
      <c r="C1309" s="304" t="s">
        <v>935</v>
      </c>
      <c r="D1309" s="685">
        <v>7461</v>
      </c>
      <c r="E1309" s="306" t="s">
        <v>991</v>
      </c>
      <c r="F1309" s="307"/>
      <c r="G1309" s="297" t="s">
        <v>935</v>
      </c>
      <c r="H1309" s="308" t="str">
        <f t="shared" si="87"/>
        <v>AR-V40-1</v>
      </c>
      <c r="I1309" s="661">
        <v>1</v>
      </c>
      <c r="K1309" s="232"/>
      <c r="L1309" s="234">
        <v>1</v>
      </c>
      <c r="M1309" s="197">
        <v>1</v>
      </c>
      <c r="Q1309" s="237"/>
    </row>
    <row r="1310" spans="2:17" s="233" customFormat="1" ht="15" customHeight="1" outlineLevel="3">
      <c r="B1310" s="299" t="s">
        <v>268</v>
      </c>
      <c r="C1310" s="304" t="s">
        <v>935</v>
      </c>
      <c r="D1310" s="685">
        <v>7462</v>
      </c>
      <c r="E1310" s="306" t="s">
        <v>992</v>
      </c>
      <c r="F1310" s="307"/>
      <c r="G1310" s="297" t="s">
        <v>935</v>
      </c>
      <c r="H1310" s="308" t="str">
        <f t="shared" si="87"/>
        <v>AR-V40-1</v>
      </c>
      <c r="I1310" s="661">
        <v>1</v>
      </c>
      <c r="K1310" s="232"/>
      <c r="L1310" s="234">
        <v>1</v>
      </c>
      <c r="M1310" s="197">
        <v>1</v>
      </c>
      <c r="Q1310" s="237"/>
    </row>
    <row r="1311" spans="2:17" s="233" customFormat="1" ht="15" customHeight="1" outlineLevel="3">
      <c r="B1311" s="299" t="s">
        <v>268</v>
      </c>
      <c r="C1311" s="304" t="s">
        <v>935</v>
      </c>
      <c r="D1311" s="685">
        <v>7463</v>
      </c>
      <c r="E1311" s="306" t="s">
        <v>993</v>
      </c>
      <c r="F1311" s="307"/>
      <c r="G1311" s="297" t="s">
        <v>935</v>
      </c>
      <c r="H1311" s="308" t="str">
        <f t="shared" si="87"/>
        <v>AR-V40-1</v>
      </c>
      <c r="I1311" s="661">
        <v>1</v>
      </c>
      <c r="K1311" s="232"/>
      <c r="L1311" s="234">
        <v>1</v>
      </c>
      <c r="M1311" s="197">
        <v>1</v>
      </c>
      <c r="Q1311" s="237"/>
    </row>
    <row r="1312" spans="2:17" s="233" customFormat="1" ht="15" customHeight="1" outlineLevel="3">
      <c r="B1312" s="299" t="s">
        <v>268</v>
      </c>
      <c r="C1312" s="304" t="s">
        <v>935</v>
      </c>
      <c r="D1312" s="685">
        <v>7470</v>
      </c>
      <c r="E1312" s="306" t="s">
        <v>484</v>
      </c>
      <c r="F1312" s="307"/>
      <c r="G1312" s="297" t="s">
        <v>935</v>
      </c>
      <c r="H1312" s="308" t="str">
        <f t="shared" si="87"/>
        <v>AR-V40-1</v>
      </c>
      <c r="I1312" s="661">
        <v>1</v>
      </c>
      <c r="K1312" s="232"/>
      <c r="L1312" s="234">
        <v>1</v>
      </c>
      <c r="M1312" s="197">
        <v>1</v>
      </c>
      <c r="Q1312" s="237"/>
    </row>
    <row r="1313" spans="2:20" s="233" customFormat="1" ht="15" customHeight="1" outlineLevel="3">
      <c r="B1313" s="299" t="s">
        <v>268</v>
      </c>
      <c r="C1313" s="304" t="s">
        <v>935</v>
      </c>
      <c r="D1313" s="685">
        <v>7480</v>
      </c>
      <c r="E1313" s="306" t="s">
        <v>994</v>
      </c>
      <c r="F1313" s="307"/>
      <c r="G1313" s="297" t="s">
        <v>935</v>
      </c>
      <c r="H1313" s="308" t="str">
        <f t="shared" si="87"/>
        <v>AR-V40-1</v>
      </c>
      <c r="I1313" s="661">
        <v>1</v>
      </c>
      <c r="K1313" s="232"/>
      <c r="L1313" s="234">
        <v>1</v>
      </c>
      <c r="M1313" s="197">
        <v>1</v>
      </c>
      <c r="Q1313" s="237"/>
    </row>
    <row r="1314" spans="2:20" s="233" customFormat="1" ht="15" customHeight="1" outlineLevel="3">
      <c r="B1314" s="299" t="s">
        <v>268</v>
      </c>
      <c r="C1314" s="304" t="s">
        <v>935</v>
      </c>
      <c r="D1314" s="685">
        <v>7490</v>
      </c>
      <c r="E1314" s="306" t="s">
        <v>995</v>
      </c>
      <c r="F1314" s="307"/>
      <c r="G1314" s="297" t="s">
        <v>935</v>
      </c>
      <c r="H1314" s="308" t="str">
        <f t="shared" si="87"/>
        <v>AR-V40-1</v>
      </c>
      <c r="I1314" s="661">
        <v>1</v>
      </c>
      <c r="K1314" s="232"/>
      <c r="L1314" s="234">
        <v>1</v>
      </c>
      <c r="M1314" s="197">
        <v>1</v>
      </c>
      <c r="Q1314" s="237"/>
    </row>
    <row r="1315" spans="2:20" s="233" customFormat="1" ht="15" customHeight="1" outlineLevel="3">
      <c r="B1315" s="299" t="s">
        <v>268</v>
      </c>
      <c r="C1315" s="304" t="s">
        <v>935</v>
      </c>
      <c r="D1315" s="685">
        <v>7500</v>
      </c>
      <c r="E1315" s="306" t="s">
        <v>485</v>
      </c>
      <c r="F1315" s="307"/>
      <c r="G1315" s="297" t="s">
        <v>935</v>
      </c>
      <c r="H1315" s="308" t="str">
        <f t="shared" si="87"/>
        <v>AR-V40-1</v>
      </c>
      <c r="I1315" s="661">
        <v>1</v>
      </c>
      <c r="K1315" s="232"/>
      <c r="L1315" s="234">
        <v>1</v>
      </c>
      <c r="M1315" s="197">
        <v>1</v>
      </c>
      <c r="Q1315" s="237"/>
    </row>
    <row r="1316" spans="2:20" s="233" customFormat="1" ht="15" customHeight="1" outlineLevel="3">
      <c r="B1316" s="299" t="s">
        <v>268</v>
      </c>
      <c r="C1316" s="304" t="s">
        <v>935</v>
      </c>
      <c r="D1316" s="685">
        <v>7510</v>
      </c>
      <c r="E1316" s="306" t="s">
        <v>996</v>
      </c>
      <c r="F1316" s="307"/>
      <c r="G1316" s="297" t="s">
        <v>935</v>
      </c>
      <c r="H1316" s="308" t="str">
        <f t="shared" si="87"/>
        <v>AR-V40-1</v>
      </c>
      <c r="I1316" s="661">
        <v>1</v>
      </c>
      <c r="K1316" s="232"/>
      <c r="L1316" s="234">
        <v>1</v>
      </c>
      <c r="M1316" s="197">
        <v>1</v>
      </c>
      <c r="Q1316" s="237"/>
    </row>
    <row r="1317" spans="2:20" s="233" customFormat="1" ht="15" customHeight="1" outlineLevel="3">
      <c r="B1317" s="299" t="s">
        <v>268</v>
      </c>
      <c r="C1317" s="304" t="s">
        <v>935</v>
      </c>
      <c r="D1317" s="685" t="s">
        <v>997</v>
      </c>
      <c r="E1317" s="306" t="s">
        <v>998</v>
      </c>
      <c r="F1317" s="307"/>
      <c r="G1317" s="297" t="s">
        <v>935</v>
      </c>
      <c r="H1317" s="308" t="str">
        <f t="shared" si="87"/>
        <v>AR-V40-1</v>
      </c>
      <c r="I1317" s="661">
        <v>1</v>
      </c>
      <c r="K1317" s="232"/>
      <c r="L1317" s="234">
        <v>1</v>
      </c>
      <c r="M1317" s="197">
        <v>1</v>
      </c>
      <c r="Q1317" s="237"/>
    </row>
    <row r="1318" spans="2:20" s="243" customFormat="1" ht="15" customHeight="1" outlineLevel="1">
      <c r="B1318" s="299" t="s">
        <v>1130</v>
      </c>
      <c r="C1318" s="304"/>
      <c r="D1318" s="685"/>
      <c r="E1318" s="306"/>
      <c r="F1318" s="307"/>
      <c r="G1318" s="297"/>
      <c r="H1318" s="308"/>
      <c r="I1318" s="661"/>
      <c r="J1318" s="240"/>
      <c r="K1318" s="241"/>
      <c r="L1318" s="242"/>
      <c r="M1318" s="197"/>
      <c r="Q1318" s="708"/>
    </row>
    <row r="1319" spans="2:20" s="233" customFormat="1" ht="15" customHeight="1" outlineLevel="3">
      <c r="B1319" s="299"/>
      <c r="C1319" s="304"/>
      <c r="D1319" s="685"/>
      <c r="E1319" s="306" t="s">
        <v>277</v>
      </c>
      <c r="F1319" s="307"/>
      <c r="G1319" s="297"/>
      <c r="H1319" s="308"/>
      <c r="I1319" s="661"/>
      <c r="J1319" s="197"/>
      <c r="K1319" s="232"/>
      <c r="L1319" s="234"/>
      <c r="M1319" s="197"/>
      <c r="Q1319" s="237"/>
    </row>
    <row r="1320" spans="2:20" s="233" customFormat="1" ht="15" customHeight="1" outlineLevel="3">
      <c r="B1320" s="299" t="s">
        <v>942</v>
      </c>
      <c r="C1320" s="304"/>
      <c r="D1320" s="685"/>
      <c r="E1320" s="306" t="s">
        <v>277</v>
      </c>
      <c r="F1320" s="307"/>
      <c r="G1320" s="297"/>
      <c r="H1320" s="308"/>
      <c r="I1320" s="661"/>
      <c r="J1320" s="197"/>
      <c r="K1320" s="232"/>
      <c r="L1320" s="234"/>
      <c r="M1320" s="197"/>
      <c r="Q1320" s="237"/>
    </row>
    <row r="1321" spans="2:20" s="233" customFormat="1" ht="15" customHeight="1" outlineLevel="3">
      <c r="B1321" s="299" t="s">
        <v>268</v>
      </c>
      <c r="C1321" s="304" t="s">
        <v>1131</v>
      </c>
      <c r="D1321" s="685" t="s">
        <v>506</v>
      </c>
      <c r="E1321" s="306" t="s">
        <v>1045</v>
      </c>
      <c r="F1321" s="307"/>
      <c r="G1321" s="297" t="s">
        <v>1131</v>
      </c>
      <c r="H1321" s="308" t="str">
        <f t="shared" ref="H1321:H1326" si="88">CONCATENATE("AR-",G1321,"-",I1321)</f>
        <v>AR-R11-1</v>
      </c>
      <c r="I1321" s="661">
        <v>1</v>
      </c>
      <c r="K1321" s="232"/>
      <c r="L1321" s="234">
        <v>1</v>
      </c>
      <c r="M1321" s="197">
        <v>1</v>
      </c>
      <c r="Q1321" s="234">
        <v>1</v>
      </c>
      <c r="T1321" s="197">
        <v>1</v>
      </c>
    </row>
    <row r="1322" spans="2:20" s="233" customFormat="1" ht="15" customHeight="1" outlineLevel="3">
      <c r="B1322" s="299" t="s">
        <v>268</v>
      </c>
      <c r="C1322" s="304" t="s">
        <v>1131</v>
      </c>
      <c r="D1322" s="685" t="s">
        <v>1046</v>
      </c>
      <c r="E1322" s="306" t="s">
        <v>1047</v>
      </c>
      <c r="F1322" s="307"/>
      <c r="G1322" s="297" t="s">
        <v>1131</v>
      </c>
      <c r="H1322" s="308" t="str">
        <f t="shared" si="88"/>
        <v>AR-R11-1</v>
      </c>
      <c r="I1322" s="661">
        <v>1</v>
      </c>
      <c r="K1322" s="232"/>
      <c r="L1322" s="234">
        <v>1</v>
      </c>
      <c r="M1322" s="197">
        <v>1</v>
      </c>
      <c r="Q1322" s="234">
        <v>1</v>
      </c>
      <c r="T1322" s="197">
        <v>1</v>
      </c>
    </row>
    <row r="1323" spans="2:20" s="233" customFormat="1" ht="15" customHeight="1" outlineLevel="3">
      <c r="B1323" s="299" t="s">
        <v>268</v>
      </c>
      <c r="C1323" s="304" t="s">
        <v>1131</v>
      </c>
      <c r="D1323" s="685" t="s">
        <v>1048</v>
      </c>
      <c r="E1323" s="306" t="s">
        <v>1049</v>
      </c>
      <c r="F1323" s="307"/>
      <c r="G1323" s="297" t="s">
        <v>1131</v>
      </c>
      <c r="H1323" s="308" t="str">
        <f t="shared" si="88"/>
        <v>AR-R11-1</v>
      </c>
      <c r="I1323" s="661">
        <v>1</v>
      </c>
      <c r="K1323" s="232"/>
      <c r="L1323" s="234">
        <v>1</v>
      </c>
      <c r="M1323" s="197">
        <v>1</v>
      </c>
      <c r="Q1323" s="234">
        <v>1</v>
      </c>
      <c r="T1323" s="197">
        <v>1</v>
      </c>
    </row>
    <row r="1324" spans="2:20" s="233" customFormat="1" ht="15" customHeight="1" outlineLevel="3">
      <c r="B1324" s="299" t="s">
        <v>268</v>
      </c>
      <c r="C1324" s="304" t="s">
        <v>1131</v>
      </c>
      <c r="D1324" s="685" t="s">
        <v>1050</v>
      </c>
      <c r="E1324" s="306" t="s">
        <v>1051</v>
      </c>
      <c r="F1324" s="307"/>
      <c r="G1324" s="297" t="s">
        <v>1131</v>
      </c>
      <c r="H1324" s="308" t="str">
        <f t="shared" si="88"/>
        <v>AR-R11-1</v>
      </c>
      <c r="I1324" s="661">
        <v>1</v>
      </c>
      <c r="K1324" s="232"/>
      <c r="L1324" s="234">
        <v>1</v>
      </c>
      <c r="M1324" s="197">
        <v>1</v>
      </c>
      <c r="Q1324" s="234">
        <v>1</v>
      </c>
      <c r="T1324" s="197">
        <v>1</v>
      </c>
    </row>
    <row r="1325" spans="2:20" s="233" customFormat="1" ht="15" customHeight="1" outlineLevel="3">
      <c r="B1325" s="299" t="s">
        <v>268</v>
      </c>
      <c r="C1325" s="304" t="s">
        <v>1131</v>
      </c>
      <c r="D1325" s="685" t="s">
        <v>1052</v>
      </c>
      <c r="E1325" s="306" t="s">
        <v>1053</v>
      </c>
      <c r="F1325" s="307"/>
      <c r="G1325" s="297" t="s">
        <v>1131</v>
      </c>
      <c r="H1325" s="308" t="str">
        <f t="shared" si="88"/>
        <v>AR-R11-1</v>
      </c>
      <c r="I1325" s="661">
        <v>1</v>
      </c>
      <c r="K1325" s="232"/>
      <c r="L1325" s="234">
        <v>1</v>
      </c>
      <c r="M1325" s="197">
        <v>1</v>
      </c>
      <c r="Q1325" s="234">
        <v>1</v>
      </c>
      <c r="T1325" s="197">
        <v>1</v>
      </c>
    </row>
    <row r="1326" spans="2:20" s="233" customFormat="1" ht="15" customHeight="1" outlineLevel="3">
      <c r="B1326" s="299" t="s">
        <v>268</v>
      </c>
      <c r="C1326" s="304" t="s">
        <v>1131</v>
      </c>
      <c r="D1326" s="685" t="s">
        <v>1054</v>
      </c>
      <c r="E1326" s="306" t="s">
        <v>1055</v>
      </c>
      <c r="F1326" s="307"/>
      <c r="G1326" s="297" t="s">
        <v>1131</v>
      </c>
      <c r="H1326" s="308" t="str">
        <f t="shared" si="88"/>
        <v>AR-R11-1</v>
      </c>
      <c r="I1326" s="661">
        <v>1</v>
      </c>
      <c r="K1326" s="232"/>
      <c r="L1326" s="234">
        <v>1</v>
      </c>
      <c r="M1326" s="197">
        <v>1</v>
      </c>
      <c r="Q1326" s="234">
        <v>1</v>
      </c>
      <c r="T1326" s="197">
        <v>1</v>
      </c>
    </row>
    <row r="1327" spans="2:20" s="233" customFormat="1" ht="15" customHeight="1" outlineLevel="3">
      <c r="B1327" s="299"/>
      <c r="C1327" s="304"/>
      <c r="D1327" s="685"/>
      <c r="E1327" s="306" t="s">
        <v>277</v>
      </c>
      <c r="F1327" s="307"/>
      <c r="G1327" s="297"/>
      <c r="H1327" s="308"/>
      <c r="I1327" s="661"/>
      <c r="K1327" s="232"/>
      <c r="L1327" s="234"/>
      <c r="M1327" s="197"/>
      <c r="Q1327" s="237"/>
    </row>
    <row r="1328" spans="2:20" s="233" customFormat="1" ht="15" customHeight="1" outlineLevel="3">
      <c r="B1328" s="299" t="s">
        <v>1056</v>
      </c>
      <c r="C1328" s="304"/>
      <c r="D1328" s="685"/>
      <c r="E1328" s="306" t="s">
        <v>277</v>
      </c>
      <c r="F1328" s="307"/>
      <c r="G1328" s="297"/>
      <c r="H1328" s="308"/>
      <c r="I1328" s="661"/>
      <c r="K1328" s="232"/>
      <c r="L1328" s="234"/>
      <c r="M1328" s="197"/>
      <c r="Q1328" s="237"/>
    </row>
    <row r="1329" spans="2:20" s="233" customFormat="1" ht="15" customHeight="1" outlineLevel="3">
      <c r="B1329" s="299" t="s">
        <v>268</v>
      </c>
      <c r="C1329" s="304" t="s">
        <v>1131</v>
      </c>
      <c r="D1329" s="685" t="s">
        <v>372</v>
      </c>
      <c r="E1329" s="306" t="s">
        <v>373</v>
      </c>
      <c r="F1329" s="307"/>
      <c r="G1329" s="297" t="s">
        <v>1131</v>
      </c>
      <c r="H1329" s="308" t="str">
        <f>CONCATENATE("AR-",G1329,"-",I1329)</f>
        <v>AR-R11-1</v>
      </c>
      <c r="I1329" s="661">
        <v>1</v>
      </c>
      <c r="K1329" s="232"/>
      <c r="L1329" s="234">
        <v>1</v>
      </c>
      <c r="M1329" s="197">
        <v>1</v>
      </c>
      <c r="Q1329" s="234">
        <v>1</v>
      </c>
      <c r="T1329" s="197">
        <v>1</v>
      </c>
    </row>
    <row r="1330" spans="2:20" s="233" customFormat="1" ht="15" customHeight="1" outlineLevel="3">
      <c r="B1330" s="299" t="s">
        <v>268</v>
      </c>
      <c r="C1330" s="304" t="s">
        <v>1131</v>
      </c>
      <c r="D1330" s="685" t="s">
        <v>374</v>
      </c>
      <c r="E1330" s="306" t="s">
        <v>1058</v>
      </c>
      <c r="F1330" s="307"/>
      <c r="G1330" s="297" t="s">
        <v>1131</v>
      </c>
      <c r="H1330" s="308" t="str">
        <f>CONCATENATE("AR-",G1330,"-",I1330)</f>
        <v>AR-R11-1</v>
      </c>
      <c r="I1330" s="661">
        <v>1</v>
      </c>
      <c r="K1330" s="232"/>
      <c r="L1330" s="234">
        <v>1</v>
      </c>
      <c r="M1330" s="197">
        <v>1</v>
      </c>
      <c r="Q1330" s="234">
        <v>1</v>
      </c>
      <c r="T1330" s="197">
        <v>1</v>
      </c>
    </row>
    <row r="1331" spans="2:20" s="262" customFormat="1" ht="15" customHeight="1" outlineLevel="3">
      <c r="B1331" s="299" t="s">
        <v>268</v>
      </c>
      <c r="C1331" s="304" t="s">
        <v>1131</v>
      </c>
      <c r="D1331" s="685" t="s">
        <v>376</v>
      </c>
      <c r="E1331" s="306" t="s">
        <v>1059</v>
      </c>
      <c r="F1331" s="307"/>
      <c r="G1331" s="297" t="s">
        <v>1131</v>
      </c>
      <c r="H1331" s="308" t="str">
        <f>CONCATENATE("AR-",G1331,"-",I1331)</f>
        <v>AR-R11-1</v>
      </c>
      <c r="I1331" s="661">
        <v>1</v>
      </c>
      <c r="K1331" s="260"/>
      <c r="L1331" s="234">
        <v>1</v>
      </c>
      <c r="M1331" s="197">
        <v>1</v>
      </c>
      <c r="Q1331" s="234">
        <v>1</v>
      </c>
      <c r="R1331" s="233"/>
      <c r="S1331" s="233"/>
      <c r="T1331" s="197">
        <v>1</v>
      </c>
    </row>
    <row r="1332" spans="2:20" s="233" customFormat="1" ht="15" customHeight="1" outlineLevel="3">
      <c r="B1332" s="299"/>
      <c r="C1332" s="304"/>
      <c r="D1332" s="685"/>
      <c r="E1332" s="306" t="s">
        <v>277</v>
      </c>
      <c r="F1332" s="307"/>
      <c r="G1332" s="297"/>
      <c r="H1332" s="308"/>
      <c r="I1332" s="661"/>
      <c r="K1332" s="232"/>
      <c r="L1332" s="234"/>
      <c r="M1332" s="197"/>
      <c r="Q1332" s="237"/>
    </row>
    <row r="1333" spans="2:20" s="233" customFormat="1" ht="15" customHeight="1" outlineLevel="3">
      <c r="B1333" s="299" t="s">
        <v>1060</v>
      </c>
      <c r="C1333" s="304"/>
      <c r="D1333" s="685"/>
      <c r="E1333" s="306" t="s">
        <v>277</v>
      </c>
      <c r="F1333" s="307"/>
      <c r="G1333" s="297"/>
      <c r="H1333" s="308"/>
      <c r="I1333" s="661"/>
      <c r="K1333" s="232"/>
      <c r="L1333" s="234"/>
      <c r="M1333" s="197"/>
      <c r="Q1333" s="237"/>
    </row>
    <row r="1334" spans="2:20" s="233" customFormat="1" ht="15" customHeight="1" outlineLevel="3">
      <c r="B1334" s="299" t="s">
        <v>268</v>
      </c>
      <c r="C1334" s="304" t="s">
        <v>1131</v>
      </c>
      <c r="D1334" s="685" t="s">
        <v>701</v>
      </c>
      <c r="E1334" s="306" t="s">
        <v>1061</v>
      </c>
      <c r="F1334" s="307"/>
      <c r="G1334" s="297" t="s">
        <v>1131</v>
      </c>
      <c r="H1334" s="308" t="str">
        <f>CONCATENATE("AR-",G1334,"-",I1334)</f>
        <v>AR-R11-1</v>
      </c>
      <c r="I1334" s="661">
        <v>1</v>
      </c>
      <c r="K1334" s="232"/>
      <c r="L1334" s="234">
        <v>1</v>
      </c>
      <c r="M1334" s="197">
        <v>1</v>
      </c>
      <c r="Q1334" s="234">
        <v>1</v>
      </c>
      <c r="T1334" s="197">
        <v>1</v>
      </c>
    </row>
    <row r="1335" spans="2:20" s="233" customFormat="1" ht="15" customHeight="1" outlineLevel="3">
      <c r="B1335" s="299" t="s">
        <v>268</v>
      </c>
      <c r="C1335" s="304" t="s">
        <v>1131</v>
      </c>
      <c r="D1335" s="685" t="s">
        <v>1062</v>
      </c>
      <c r="E1335" s="306" t="s">
        <v>1063</v>
      </c>
      <c r="F1335" s="307"/>
      <c r="G1335" s="297" t="s">
        <v>1131</v>
      </c>
      <c r="H1335" s="308" t="str">
        <f>CONCATENATE("AR-",G1335,"-",I1335)</f>
        <v>AR-R11-1</v>
      </c>
      <c r="I1335" s="661">
        <v>1</v>
      </c>
      <c r="K1335" s="232"/>
      <c r="L1335" s="234">
        <v>1</v>
      </c>
      <c r="M1335" s="197">
        <v>1</v>
      </c>
      <c r="Q1335" s="234">
        <v>1</v>
      </c>
      <c r="T1335" s="197">
        <v>1</v>
      </c>
    </row>
    <row r="1336" spans="2:20" s="233" customFormat="1" ht="15" customHeight="1" outlineLevel="3">
      <c r="B1336" s="299"/>
      <c r="C1336" s="304"/>
      <c r="D1336" s="685"/>
      <c r="E1336" s="306" t="s">
        <v>277</v>
      </c>
      <c r="F1336" s="307"/>
      <c r="G1336" s="297"/>
      <c r="H1336" s="308"/>
      <c r="I1336" s="661"/>
      <c r="K1336" s="232"/>
      <c r="L1336" s="234"/>
      <c r="M1336" s="197"/>
      <c r="Q1336" s="237"/>
    </row>
    <row r="1337" spans="2:20" s="233" customFormat="1" ht="15" customHeight="1" outlineLevel="3">
      <c r="B1337" s="299" t="s">
        <v>1064</v>
      </c>
      <c r="C1337" s="304"/>
      <c r="D1337" s="685"/>
      <c r="E1337" s="306" t="s">
        <v>277</v>
      </c>
      <c r="F1337" s="307"/>
      <c r="G1337" s="297"/>
      <c r="H1337" s="308"/>
      <c r="I1337" s="661"/>
      <c r="K1337" s="232"/>
      <c r="L1337" s="234"/>
      <c r="M1337" s="197"/>
      <c r="Q1337" s="237"/>
    </row>
    <row r="1338" spans="2:20" s="233" customFormat="1" ht="15" customHeight="1" outlineLevel="3">
      <c r="B1338" s="299" t="s">
        <v>268</v>
      </c>
      <c r="C1338" s="304" t="s">
        <v>1131</v>
      </c>
      <c r="D1338" s="685" t="s">
        <v>283</v>
      </c>
      <c r="E1338" s="306" t="s">
        <v>1065</v>
      </c>
      <c r="F1338" s="307"/>
      <c r="G1338" s="297" t="s">
        <v>1131</v>
      </c>
      <c r="H1338" s="308" t="str">
        <f>CONCATENATE("AR-",G1338,"-",I1338)</f>
        <v>AR-R11-1</v>
      </c>
      <c r="I1338" s="661">
        <v>1</v>
      </c>
      <c r="K1338" s="232"/>
      <c r="L1338" s="234">
        <v>1</v>
      </c>
      <c r="M1338" s="197">
        <v>1</v>
      </c>
      <c r="Q1338" s="234">
        <v>1</v>
      </c>
      <c r="T1338" s="197">
        <v>1</v>
      </c>
    </row>
    <row r="1339" spans="2:20" s="233" customFormat="1" ht="15" customHeight="1" outlineLevel="3">
      <c r="B1339" s="299" t="s">
        <v>268</v>
      </c>
      <c r="C1339" s="304" t="s">
        <v>1131</v>
      </c>
      <c r="D1339" s="685" t="s">
        <v>390</v>
      </c>
      <c r="E1339" s="306" t="s">
        <v>1066</v>
      </c>
      <c r="F1339" s="307"/>
      <c r="G1339" s="297" t="s">
        <v>1131</v>
      </c>
      <c r="H1339" s="308" t="str">
        <f>CONCATENATE("AR-",G1339,"-",I1339)</f>
        <v>AR-R11-1</v>
      </c>
      <c r="I1339" s="661">
        <v>1</v>
      </c>
      <c r="K1339" s="232"/>
      <c r="L1339" s="234">
        <v>1</v>
      </c>
      <c r="M1339" s="197">
        <v>1</v>
      </c>
      <c r="Q1339" s="234">
        <v>1</v>
      </c>
      <c r="T1339" s="197">
        <v>1</v>
      </c>
    </row>
    <row r="1340" spans="2:20" s="233" customFormat="1" ht="15" customHeight="1" outlineLevel="3">
      <c r="B1340" s="299" t="s">
        <v>268</v>
      </c>
      <c r="C1340" s="304" t="s">
        <v>1131</v>
      </c>
      <c r="D1340" s="685" t="s">
        <v>392</v>
      </c>
      <c r="E1340" s="306" t="s">
        <v>1067</v>
      </c>
      <c r="F1340" s="307"/>
      <c r="G1340" s="297" t="s">
        <v>1131</v>
      </c>
      <c r="H1340" s="308" t="str">
        <f>CONCATENATE("AR-",G1340,"-",I1340)</f>
        <v>AR-R11-1</v>
      </c>
      <c r="I1340" s="661">
        <v>1</v>
      </c>
      <c r="K1340" s="232"/>
      <c r="L1340" s="234">
        <v>1</v>
      </c>
      <c r="M1340" s="197">
        <v>1</v>
      </c>
      <c r="Q1340" s="234">
        <v>1</v>
      </c>
      <c r="T1340" s="197">
        <v>1</v>
      </c>
    </row>
    <row r="1341" spans="2:20" s="233" customFormat="1" ht="15" customHeight="1" outlineLevel="3">
      <c r="B1341" s="299" t="s">
        <v>268</v>
      </c>
      <c r="C1341" s="304" t="s">
        <v>1131</v>
      </c>
      <c r="D1341" s="685" t="s">
        <v>1068</v>
      </c>
      <c r="E1341" s="306" t="s">
        <v>1069</v>
      </c>
      <c r="F1341" s="307"/>
      <c r="G1341" s="297" t="s">
        <v>1131</v>
      </c>
      <c r="H1341" s="308" t="str">
        <f>CONCATENATE("AR-",G1341,"-",I1341)</f>
        <v>AR-R11-1</v>
      </c>
      <c r="I1341" s="661">
        <v>1</v>
      </c>
      <c r="K1341" s="232"/>
      <c r="L1341" s="234">
        <v>1</v>
      </c>
      <c r="M1341" s="197">
        <v>1</v>
      </c>
      <c r="Q1341" s="234">
        <v>1</v>
      </c>
      <c r="T1341" s="197">
        <v>1</v>
      </c>
    </row>
    <row r="1342" spans="2:20" s="233" customFormat="1" ht="15" customHeight="1" outlineLevel="3">
      <c r="B1342" s="299"/>
      <c r="C1342" s="304"/>
      <c r="D1342" s="685"/>
      <c r="E1342" s="306" t="s">
        <v>277</v>
      </c>
      <c r="F1342" s="307"/>
      <c r="G1342" s="297"/>
      <c r="H1342" s="308"/>
      <c r="I1342" s="661"/>
      <c r="K1342" s="232"/>
      <c r="L1342" s="234"/>
      <c r="M1342" s="197"/>
      <c r="Q1342" s="237"/>
    </row>
    <row r="1343" spans="2:20" s="233" customFormat="1" ht="15" customHeight="1" outlineLevel="3">
      <c r="B1343" s="299" t="s">
        <v>1070</v>
      </c>
      <c r="C1343" s="304"/>
      <c r="D1343" s="685"/>
      <c r="E1343" s="306" t="s">
        <v>277</v>
      </c>
      <c r="F1343" s="307"/>
      <c r="G1343" s="297"/>
      <c r="H1343" s="308"/>
      <c r="I1343" s="661"/>
      <c r="K1343" s="232"/>
      <c r="L1343" s="234"/>
      <c r="M1343" s="197"/>
      <c r="Q1343" s="237"/>
    </row>
    <row r="1344" spans="2:20" s="233" customFormat="1" ht="15" customHeight="1" outlineLevel="3">
      <c r="B1344" s="299" t="s">
        <v>268</v>
      </c>
      <c r="C1344" s="304" t="s">
        <v>1131</v>
      </c>
      <c r="D1344" s="685" t="s">
        <v>291</v>
      </c>
      <c r="E1344" s="306" t="s">
        <v>1071</v>
      </c>
      <c r="F1344" s="307"/>
      <c r="G1344" s="297" t="s">
        <v>1131</v>
      </c>
      <c r="H1344" s="308" t="str">
        <f>CONCATENATE("AR-",G1344,"-",I1344)</f>
        <v>AR-R11-1</v>
      </c>
      <c r="I1344" s="661">
        <v>1</v>
      </c>
      <c r="K1344" s="232"/>
      <c r="L1344" s="234">
        <v>1</v>
      </c>
      <c r="M1344" s="197">
        <v>1</v>
      </c>
      <c r="Q1344" s="234">
        <v>1</v>
      </c>
      <c r="T1344" s="197">
        <v>1</v>
      </c>
    </row>
    <row r="1345" spans="2:20" s="233" customFormat="1" ht="15" customHeight="1" outlineLevel="3">
      <c r="B1345" s="299" t="s">
        <v>268</v>
      </c>
      <c r="C1345" s="304" t="s">
        <v>1131</v>
      </c>
      <c r="D1345" s="685" t="s">
        <v>950</v>
      </c>
      <c r="E1345" s="306" t="s">
        <v>1072</v>
      </c>
      <c r="F1345" s="307"/>
      <c r="G1345" s="297" t="s">
        <v>1131</v>
      </c>
      <c r="H1345" s="308" t="str">
        <f>CONCATENATE("AR-",G1345,"-",I1345)</f>
        <v>AR-R11-1</v>
      </c>
      <c r="I1345" s="661">
        <v>1</v>
      </c>
      <c r="K1345" s="232"/>
      <c r="L1345" s="234">
        <v>1</v>
      </c>
      <c r="M1345" s="197">
        <v>1</v>
      </c>
      <c r="Q1345" s="234">
        <v>1</v>
      </c>
      <c r="T1345" s="197">
        <v>1</v>
      </c>
    </row>
    <row r="1346" spans="2:20" s="233" customFormat="1" ht="15" customHeight="1" outlineLevel="3">
      <c r="B1346" s="299"/>
      <c r="C1346" s="304"/>
      <c r="D1346" s="685"/>
      <c r="E1346" s="306" t="s">
        <v>277</v>
      </c>
      <c r="F1346" s="307"/>
      <c r="G1346" s="297"/>
      <c r="H1346" s="308"/>
      <c r="I1346" s="661"/>
      <c r="K1346" s="232"/>
      <c r="L1346" s="234"/>
      <c r="M1346" s="197"/>
      <c r="Q1346" s="237"/>
    </row>
    <row r="1347" spans="2:20" s="259" customFormat="1" ht="15" customHeight="1" outlineLevel="3">
      <c r="B1347" s="299" t="s">
        <v>1073</v>
      </c>
      <c r="C1347" s="304"/>
      <c r="D1347" s="685"/>
      <c r="E1347" s="306" t="s">
        <v>277</v>
      </c>
      <c r="F1347" s="307"/>
      <c r="G1347" s="297"/>
      <c r="H1347" s="308"/>
      <c r="I1347" s="661"/>
      <c r="K1347" s="258"/>
      <c r="L1347" s="242"/>
      <c r="M1347" s="197"/>
      <c r="Q1347" s="715"/>
    </row>
    <row r="1348" spans="2:20" s="233" customFormat="1" ht="15" customHeight="1" outlineLevel="3">
      <c r="B1348" s="299" t="s">
        <v>268</v>
      </c>
      <c r="C1348" s="304" t="s">
        <v>1131</v>
      </c>
      <c r="D1348" s="685" t="s">
        <v>551</v>
      </c>
      <c r="E1348" s="306" t="s">
        <v>1074</v>
      </c>
      <c r="F1348" s="307"/>
      <c r="G1348" s="297" t="s">
        <v>1131</v>
      </c>
      <c r="H1348" s="308" t="str">
        <f>CONCATENATE("AR-",G1348,"-",I1348)</f>
        <v>AR-R11-1</v>
      </c>
      <c r="I1348" s="661">
        <v>1</v>
      </c>
      <c r="K1348" s="232"/>
      <c r="L1348" s="234">
        <v>1</v>
      </c>
      <c r="M1348" s="197">
        <v>1</v>
      </c>
      <c r="Q1348" s="234">
        <v>1</v>
      </c>
      <c r="T1348" s="197">
        <v>1</v>
      </c>
    </row>
    <row r="1349" spans="2:20" s="233" customFormat="1" ht="15" customHeight="1" outlineLevel="3">
      <c r="B1349" s="299" t="s">
        <v>268</v>
      </c>
      <c r="C1349" s="304" t="s">
        <v>1131</v>
      </c>
      <c r="D1349" s="685" t="s">
        <v>553</v>
      </c>
      <c r="E1349" s="306" t="s">
        <v>1075</v>
      </c>
      <c r="F1349" s="307"/>
      <c r="G1349" s="297" t="s">
        <v>1131</v>
      </c>
      <c r="H1349" s="308" t="str">
        <f>CONCATENATE("AR-",G1349,"-",I1349)</f>
        <v>AR-R11-1</v>
      </c>
      <c r="I1349" s="661">
        <v>1</v>
      </c>
      <c r="K1349" s="232"/>
      <c r="L1349" s="234">
        <v>1</v>
      </c>
      <c r="M1349" s="197">
        <v>1</v>
      </c>
      <c r="Q1349" s="234">
        <v>1</v>
      </c>
      <c r="T1349" s="197">
        <v>1</v>
      </c>
    </row>
    <row r="1350" spans="2:20" s="233" customFormat="1" ht="15" customHeight="1" outlineLevel="3">
      <c r="B1350" s="299" t="s">
        <v>268</v>
      </c>
      <c r="C1350" s="304" t="s">
        <v>1131</v>
      </c>
      <c r="D1350" s="685" t="s">
        <v>554</v>
      </c>
      <c r="E1350" s="306" t="s">
        <v>1076</v>
      </c>
      <c r="F1350" s="307"/>
      <c r="G1350" s="297" t="s">
        <v>1131</v>
      </c>
      <c r="H1350" s="308" t="str">
        <f>CONCATENATE("AR-",G1350,"-",I1350)</f>
        <v>AR-R11-1</v>
      </c>
      <c r="I1350" s="661">
        <v>1</v>
      </c>
      <c r="K1350" s="232"/>
      <c r="L1350" s="234">
        <v>1</v>
      </c>
      <c r="M1350" s="197">
        <v>1</v>
      </c>
      <c r="Q1350" s="234">
        <v>1</v>
      </c>
      <c r="T1350" s="197">
        <v>1</v>
      </c>
    </row>
    <row r="1351" spans="2:20" s="233" customFormat="1" ht="15" customHeight="1" outlineLevel="3">
      <c r="B1351" s="299"/>
      <c r="C1351" s="304"/>
      <c r="D1351" s="685"/>
      <c r="E1351" s="306" t="s">
        <v>277</v>
      </c>
      <c r="F1351" s="307"/>
      <c r="G1351" s="297"/>
      <c r="H1351" s="308"/>
      <c r="I1351" s="661"/>
      <c r="K1351" s="232"/>
      <c r="L1351" s="234"/>
      <c r="M1351" s="197"/>
      <c r="Q1351" s="237"/>
    </row>
    <row r="1352" spans="2:20" s="233" customFormat="1" ht="15" customHeight="1" outlineLevel="3">
      <c r="B1352" s="299" t="s">
        <v>1077</v>
      </c>
      <c r="C1352" s="304"/>
      <c r="D1352" s="685"/>
      <c r="E1352" s="306" t="s">
        <v>277</v>
      </c>
      <c r="F1352" s="307"/>
      <c r="G1352" s="297"/>
      <c r="H1352" s="308"/>
      <c r="I1352" s="661"/>
      <c r="K1352" s="232"/>
      <c r="L1352" s="234"/>
      <c r="M1352" s="197"/>
      <c r="Q1352" s="237"/>
    </row>
    <row r="1353" spans="2:20" s="233" customFormat="1" ht="15" customHeight="1" outlineLevel="3">
      <c r="B1353" s="299" t="s">
        <v>268</v>
      </c>
      <c r="C1353" s="304" t="s">
        <v>1131</v>
      </c>
      <c r="D1353" s="685" t="s">
        <v>683</v>
      </c>
      <c r="E1353" s="306" t="s">
        <v>1078</v>
      </c>
      <c r="F1353" s="307"/>
      <c r="G1353" s="297" t="s">
        <v>1131</v>
      </c>
      <c r="H1353" s="308" t="str">
        <f>CONCATENATE("AR-",G1353,"-",I1353)</f>
        <v>AR-R11-1</v>
      </c>
      <c r="I1353" s="661">
        <v>1</v>
      </c>
      <c r="K1353" s="232"/>
      <c r="L1353" s="234">
        <v>1</v>
      </c>
      <c r="M1353" s="197">
        <v>1</v>
      </c>
      <c r="Q1353" s="234">
        <v>1</v>
      </c>
      <c r="T1353" s="197">
        <v>1</v>
      </c>
    </row>
    <row r="1354" spans="2:20" s="233" customFormat="1" ht="15" customHeight="1" outlineLevel="3">
      <c r="B1354" s="299" t="s">
        <v>268</v>
      </c>
      <c r="C1354" s="304" t="s">
        <v>1131</v>
      </c>
      <c r="D1354" s="685" t="s">
        <v>1023</v>
      </c>
      <c r="E1354" s="306" t="s">
        <v>1079</v>
      </c>
      <c r="F1354" s="307"/>
      <c r="G1354" s="297" t="s">
        <v>1131</v>
      </c>
      <c r="H1354" s="308" t="str">
        <f>CONCATENATE("AR-",G1354,"-",I1354)</f>
        <v>AR-R11-1</v>
      </c>
      <c r="I1354" s="661">
        <v>1</v>
      </c>
      <c r="K1354" s="232"/>
      <c r="L1354" s="234">
        <v>1</v>
      </c>
      <c r="M1354" s="197">
        <v>1</v>
      </c>
      <c r="Q1354" s="234">
        <v>1</v>
      </c>
      <c r="T1354" s="197">
        <v>1</v>
      </c>
    </row>
    <row r="1355" spans="2:20" s="233" customFormat="1" ht="15" customHeight="1" outlineLevel="3">
      <c r="B1355" s="299" t="s">
        <v>268</v>
      </c>
      <c r="C1355" s="304" t="s">
        <v>1131</v>
      </c>
      <c r="D1355" s="685" t="s">
        <v>1025</v>
      </c>
      <c r="E1355" s="306" t="s">
        <v>1080</v>
      </c>
      <c r="F1355" s="307"/>
      <c r="G1355" s="297" t="s">
        <v>1131</v>
      </c>
      <c r="H1355" s="308" t="str">
        <f>CONCATENATE("AR-",G1355,"-",I1355)</f>
        <v>AR-R11-1</v>
      </c>
      <c r="I1355" s="661">
        <v>1</v>
      </c>
      <c r="K1355" s="232"/>
      <c r="L1355" s="234">
        <v>1</v>
      </c>
      <c r="M1355" s="197">
        <v>1</v>
      </c>
      <c r="Q1355" s="234">
        <v>1</v>
      </c>
      <c r="T1355" s="197">
        <v>1</v>
      </c>
    </row>
    <row r="1356" spans="2:20" s="233" customFormat="1" ht="15" customHeight="1" outlineLevel="3">
      <c r="B1356" s="299"/>
      <c r="C1356" s="304"/>
      <c r="D1356" s="685"/>
      <c r="E1356" s="306" t="s">
        <v>277</v>
      </c>
      <c r="F1356" s="307"/>
      <c r="G1356" s="297"/>
      <c r="H1356" s="308"/>
      <c r="I1356" s="661"/>
      <c r="K1356" s="232"/>
      <c r="L1356" s="234"/>
      <c r="M1356" s="197"/>
      <c r="Q1356" s="237"/>
    </row>
    <row r="1357" spans="2:20" s="259" customFormat="1" ht="15" customHeight="1" outlineLevel="3">
      <c r="B1357" s="299" t="s">
        <v>1085</v>
      </c>
      <c r="C1357" s="304"/>
      <c r="D1357" s="685"/>
      <c r="E1357" s="306" t="s">
        <v>277</v>
      </c>
      <c r="F1357" s="307"/>
      <c r="G1357" s="297"/>
      <c r="H1357" s="308"/>
      <c r="I1357" s="661"/>
      <c r="K1357" s="258"/>
      <c r="L1357" s="242"/>
      <c r="M1357" s="197"/>
      <c r="Q1357" s="715"/>
    </row>
    <row r="1358" spans="2:20" s="259" customFormat="1" ht="15" customHeight="1" outlineLevel="3">
      <c r="B1358" s="299" t="s">
        <v>268</v>
      </c>
      <c r="C1358" s="304" t="s">
        <v>1131</v>
      </c>
      <c r="D1358" s="685" t="s">
        <v>1086</v>
      </c>
      <c r="E1358" s="306" t="s">
        <v>1087</v>
      </c>
      <c r="F1358" s="307"/>
      <c r="G1358" s="297" t="s">
        <v>1131</v>
      </c>
      <c r="H1358" s="308" t="str">
        <f>CONCATENATE("AR-",G1358,"-",I1358)</f>
        <v>AR-R11-1</v>
      </c>
      <c r="I1358" s="661">
        <v>1</v>
      </c>
      <c r="K1358" s="258"/>
      <c r="L1358" s="234">
        <v>1</v>
      </c>
      <c r="M1358" s="197">
        <v>1</v>
      </c>
      <c r="Q1358" s="234">
        <v>1</v>
      </c>
      <c r="R1358" s="233"/>
      <c r="S1358" s="233"/>
      <c r="T1358" s="197">
        <v>1</v>
      </c>
    </row>
    <row r="1359" spans="2:20" s="233" customFormat="1" ht="15" customHeight="1" outlineLevel="3">
      <c r="B1359" s="299" t="s">
        <v>268</v>
      </c>
      <c r="C1359" s="304" t="s">
        <v>1131</v>
      </c>
      <c r="D1359" s="685" t="s">
        <v>320</v>
      </c>
      <c r="E1359" s="306" t="s">
        <v>1088</v>
      </c>
      <c r="F1359" s="307"/>
      <c r="G1359" s="297" t="s">
        <v>1131</v>
      </c>
      <c r="H1359" s="308" t="str">
        <f>CONCATENATE("AR-",G1359,"-",I1359)</f>
        <v>AR-R11-1</v>
      </c>
      <c r="I1359" s="661">
        <v>1</v>
      </c>
      <c r="K1359" s="232"/>
      <c r="L1359" s="234">
        <v>1</v>
      </c>
      <c r="M1359" s="197">
        <v>1</v>
      </c>
      <c r="Q1359" s="234">
        <v>1</v>
      </c>
      <c r="T1359" s="197">
        <v>1</v>
      </c>
    </row>
    <row r="1360" spans="2:20" s="233" customFormat="1" ht="15" customHeight="1" outlineLevel="3">
      <c r="B1360" s="299" t="s">
        <v>268</v>
      </c>
      <c r="C1360" s="304" t="s">
        <v>1131</v>
      </c>
      <c r="D1360" s="685" t="s">
        <v>1089</v>
      </c>
      <c r="E1360" s="306" t="s">
        <v>1090</v>
      </c>
      <c r="F1360" s="307"/>
      <c r="G1360" s="297" t="s">
        <v>1131</v>
      </c>
      <c r="H1360" s="308" t="str">
        <f>CONCATENATE("AR-",G1360,"-",I1360)</f>
        <v>AR-R11-1</v>
      </c>
      <c r="I1360" s="661">
        <v>1</v>
      </c>
      <c r="K1360" s="232"/>
      <c r="L1360" s="234">
        <v>1</v>
      </c>
      <c r="M1360" s="197">
        <v>1</v>
      </c>
      <c r="Q1360" s="234">
        <v>1</v>
      </c>
      <c r="T1360" s="197">
        <v>1</v>
      </c>
    </row>
    <row r="1361" spans="2:20" s="233" customFormat="1" ht="15" customHeight="1" outlineLevel="3">
      <c r="B1361" s="299" t="s">
        <v>268</v>
      </c>
      <c r="C1361" s="304" t="s">
        <v>1131</v>
      </c>
      <c r="D1361" s="685" t="s">
        <v>1091</v>
      </c>
      <c r="E1361" s="306" t="s">
        <v>1092</v>
      </c>
      <c r="F1361" s="307"/>
      <c r="G1361" s="297" t="s">
        <v>1131</v>
      </c>
      <c r="H1361" s="308" t="str">
        <f>CONCATENATE("AR-",G1361,"-",I1361)</f>
        <v>AR-R11-1</v>
      </c>
      <c r="I1361" s="661">
        <v>1</v>
      </c>
      <c r="K1361" s="232"/>
      <c r="L1361" s="234">
        <v>1</v>
      </c>
      <c r="M1361" s="197">
        <v>1</v>
      </c>
      <c r="Q1361" s="234">
        <v>1</v>
      </c>
      <c r="T1361" s="197">
        <v>1</v>
      </c>
    </row>
    <row r="1362" spans="2:20" s="233" customFormat="1" ht="15" customHeight="1" outlineLevel="3">
      <c r="B1362" s="299"/>
      <c r="C1362" s="304"/>
      <c r="D1362" s="685"/>
      <c r="E1362" s="306" t="s">
        <v>277</v>
      </c>
      <c r="F1362" s="307"/>
      <c r="G1362" s="297"/>
      <c r="H1362" s="308"/>
      <c r="I1362" s="661"/>
      <c r="K1362" s="232"/>
      <c r="L1362" s="234"/>
      <c r="M1362" s="197"/>
      <c r="Q1362" s="237"/>
    </row>
    <row r="1363" spans="2:20" s="259" customFormat="1" ht="15" customHeight="1" outlineLevel="3">
      <c r="B1363" s="299" t="s">
        <v>1093</v>
      </c>
      <c r="C1363" s="304"/>
      <c r="D1363" s="685"/>
      <c r="E1363" s="306" t="s">
        <v>277</v>
      </c>
      <c r="F1363" s="307"/>
      <c r="G1363" s="297"/>
      <c r="H1363" s="308"/>
      <c r="I1363" s="661"/>
      <c r="K1363" s="258"/>
      <c r="L1363" s="242"/>
      <c r="M1363" s="197"/>
      <c r="Q1363" s="715"/>
    </row>
    <row r="1364" spans="2:20" s="233" customFormat="1" ht="15" customHeight="1" outlineLevel="3">
      <c r="B1364" s="299" t="s">
        <v>268</v>
      </c>
      <c r="C1364" s="304" t="s">
        <v>1131</v>
      </c>
      <c r="D1364" s="685" t="s">
        <v>409</v>
      </c>
      <c r="E1364" s="306" t="s">
        <v>892</v>
      </c>
      <c r="F1364" s="307"/>
      <c r="G1364" s="297" t="s">
        <v>1131</v>
      </c>
      <c r="H1364" s="308" t="str">
        <f>CONCATENATE("AR-",G1364,"-",I1364)</f>
        <v>AR-R11-1</v>
      </c>
      <c r="I1364" s="661">
        <v>1</v>
      </c>
      <c r="K1364" s="232"/>
      <c r="L1364" s="234">
        <v>1</v>
      </c>
      <c r="M1364" s="197">
        <v>1</v>
      </c>
      <c r="Q1364" s="234">
        <v>1</v>
      </c>
      <c r="T1364" s="197">
        <v>1</v>
      </c>
    </row>
    <row r="1365" spans="2:20" s="233" customFormat="1" ht="15" customHeight="1" outlineLevel="3">
      <c r="B1365" s="299" t="s">
        <v>268</v>
      </c>
      <c r="C1365" s="304" t="s">
        <v>1131</v>
      </c>
      <c r="D1365" s="685" t="s">
        <v>411</v>
      </c>
      <c r="E1365" s="306" t="s">
        <v>893</v>
      </c>
      <c r="F1365" s="307"/>
      <c r="G1365" s="297" t="s">
        <v>1131</v>
      </c>
      <c r="H1365" s="308" t="str">
        <f>CONCATENATE("AR-",G1365,"-",I1365)</f>
        <v>AR-R11-1</v>
      </c>
      <c r="I1365" s="661">
        <v>1</v>
      </c>
      <c r="K1365" s="232"/>
      <c r="L1365" s="234">
        <v>1</v>
      </c>
      <c r="M1365" s="197">
        <v>1</v>
      </c>
      <c r="Q1365" s="234">
        <v>1</v>
      </c>
      <c r="T1365" s="197">
        <v>1</v>
      </c>
    </row>
    <row r="1366" spans="2:20" s="233" customFormat="1" ht="15" customHeight="1" outlineLevel="3">
      <c r="B1366" s="299" t="s">
        <v>268</v>
      </c>
      <c r="C1366" s="304" t="s">
        <v>1131</v>
      </c>
      <c r="D1366" s="685" t="s">
        <v>903</v>
      </c>
      <c r="E1366" s="306" t="s">
        <v>1094</v>
      </c>
      <c r="F1366" s="307"/>
      <c r="G1366" s="297" t="s">
        <v>1131</v>
      </c>
      <c r="H1366" s="308" t="str">
        <f>CONCATENATE("AR-",G1366,"-",I1366)</f>
        <v>AR-R11-1</v>
      </c>
      <c r="I1366" s="661">
        <v>1</v>
      </c>
      <c r="K1366" s="232"/>
      <c r="L1366" s="234">
        <v>1</v>
      </c>
      <c r="M1366" s="197">
        <v>1</v>
      </c>
      <c r="Q1366" s="234">
        <v>1</v>
      </c>
      <c r="T1366" s="197">
        <v>1</v>
      </c>
    </row>
    <row r="1367" spans="2:20" s="233" customFormat="1" ht="15" customHeight="1" outlineLevel="3">
      <c r="B1367" s="299" t="s">
        <v>268</v>
      </c>
      <c r="C1367" s="304" t="s">
        <v>1131</v>
      </c>
      <c r="D1367" s="685" t="s">
        <v>1095</v>
      </c>
      <c r="E1367" s="306" t="s">
        <v>1096</v>
      </c>
      <c r="F1367" s="307"/>
      <c r="G1367" s="297" t="s">
        <v>1131</v>
      </c>
      <c r="H1367" s="308" t="str">
        <f>CONCATENATE("AR-",G1367,"-",I1367)</f>
        <v>AR-R11-1</v>
      </c>
      <c r="I1367" s="661">
        <v>1</v>
      </c>
      <c r="K1367" s="232"/>
      <c r="L1367" s="234">
        <v>1</v>
      </c>
      <c r="M1367" s="197">
        <v>1</v>
      </c>
      <c r="Q1367" s="234">
        <v>1</v>
      </c>
      <c r="T1367" s="197">
        <v>1</v>
      </c>
    </row>
    <row r="1368" spans="2:20" s="233" customFormat="1" ht="15" customHeight="1" outlineLevel="3">
      <c r="B1368" s="299" t="s">
        <v>268</v>
      </c>
      <c r="C1368" s="304" t="s">
        <v>1131</v>
      </c>
      <c r="D1368" s="685" t="s">
        <v>1097</v>
      </c>
      <c r="E1368" s="306" t="s">
        <v>1098</v>
      </c>
      <c r="F1368" s="307"/>
      <c r="G1368" s="297" t="s">
        <v>1131</v>
      </c>
      <c r="H1368" s="308" t="str">
        <f>CONCATENATE("AR-",G1368,"-",I1368)</f>
        <v>AR-R11-1</v>
      </c>
      <c r="I1368" s="661">
        <v>1</v>
      </c>
      <c r="K1368" s="232"/>
      <c r="L1368" s="234">
        <v>1</v>
      </c>
      <c r="M1368" s="197">
        <v>1</v>
      </c>
      <c r="Q1368" s="234">
        <v>1</v>
      </c>
      <c r="T1368" s="197">
        <v>1</v>
      </c>
    </row>
    <row r="1369" spans="2:20" s="233" customFormat="1" ht="15" customHeight="1" outlineLevel="3">
      <c r="B1369" s="299"/>
      <c r="C1369" s="304"/>
      <c r="D1369" s="685"/>
      <c r="E1369" s="306" t="s">
        <v>277</v>
      </c>
      <c r="F1369" s="307"/>
      <c r="G1369" s="297"/>
      <c r="H1369" s="308"/>
      <c r="I1369" s="661"/>
      <c r="K1369" s="232"/>
      <c r="L1369" s="234"/>
      <c r="M1369" s="197"/>
      <c r="Q1369" s="237"/>
    </row>
    <row r="1370" spans="2:20" s="259" customFormat="1" ht="15" customHeight="1" outlineLevel="3">
      <c r="B1370" s="299" t="s">
        <v>1099</v>
      </c>
      <c r="C1370" s="304"/>
      <c r="D1370" s="685"/>
      <c r="E1370" s="306" t="s">
        <v>277</v>
      </c>
      <c r="F1370" s="307"/>
      <c r="G1370" s="297"/>
      <c r="H1370" s="308"/>
      <c r="I1370" s="661"/>
      <c r="K1370" s="258"/>
      <c r="L1370" s="242"/>
      <c r="M1370" s="197"/>
      <c r="Q1370" s="715"/>
    </row>
    <row r="1371" spans="2:20" s="233" customFormat="1" ht="15" customHeight="1" outlineLevel="3">
      <c r="B1371" s="299" t="s">
        <v>268</v>
      </c>
      <c r="C1371" s="304" t="s">
        <v>1131</v>
      </c>
      <c r="D1371" s="685" t="s">
        <v>418</v>
      </c>
      <c r="E1371" s="306" t="s">
        <v>1100</v>
      </c>
      <c r="F1371" s="307"/>
      <c r="G1371" s="297" t="s">
        <v>1131</v>
      </c>
      <c r="H1371" s="308" t="str">
        <f>CONCATENATE("AR-",G1371,"-",I1371)</f>
        <v>AR-R11-1</v>
      </c>
      <c r="I1371" s="661">
        <v>1</v>
      </c>
      <c r="K1371" s="232"/>
      <c r="L1371" s="234">
        <v>1</v>
      </c>
      <c r="M1371" s="197">
        <v>1</v>
      </c>
      <c r="Q1371" s="234">
        <v>1</v>
      </c>
      <c r="T1371" s="197">
        <v>1</v>
      </c>
    </row>
    <row r="1372" spans="2:20" s="233" customFormat="1" ht="15" customHeight="1" outlineLevel="3">
      <c r="B1372" s="299" t="s">
        <v>268</v>
      </c>
      <c r="C1372" s="304" t="s">
        <v>1131</v>
      </c>
      <c r="D1372" s="685" t="s">
        <v>1101</v>
      </c>
      <c r="E1372" s="306" t="s">
        <v>1102</v>
      </c>
      <c r="F1372" s="307"/>
      <c r="G1372" s="297" t="s">
        <v>1131</v>
      </c>
      <c r="H1372" s="308" t="str">
        <f>CONCATENATE("AR-",G1372,"-",I1372)</f>
        <v>AR-R11-1</v>
      </c>
      <c r="I1372" s="661">
        <v>1</v>
      </c>
      <c r="K1372" s="232"/>
      <c r="L1372" s="234">
        <v>1</v>
      </c>
      <c r="M1372" s="197">
        <v>1</v>
      </c>
      <c r="Q1372" s="234">
        <v>1</v>
      </c>
      <c r="T1372" s="197">
        <v>1</v>
      </c>
    </row>
    <row r="1373" spans="2:20" s="233" customFormat="1" ht="15" customHeight="1" outlineLevel="3">
      <c r="B1373" s="299"/>
      <c r="C1373" s="304"/>
      <c r="D1373" s="685"/>
      <c r="E1373" s="306" t="s">
        <v>277</v>
      </c>
      <c r="F1373" s="307"/>
      <c r="G1373" s="297"/>
      <c r="H1373" s="308"/>
      <c r="I1373" s="661"/>
      <c r="K1373" s="232"/>
      <c r="L1373" s="234"/>
      <c r="M1373" s="197"/>
      <c r="Q1373" s="237"/>
    </row>
    <row r="1374" spans="2:20" s="259" customFormat="1" ht="15" customHeight="1" outlineLevel="3">
      <c r="B1374" s="299" t="s">
        <v>957</v>
      </c>
      <c r="C1374" s="304"/>
      <c r="D1374" s="685"/>
      <c r="E1374" s="306" t="s">
        <v>277</v>
      </c>
      <c r="F1374" s="307"/>
      <c r="G1374" s="297"/>
      <c r="H1374" s="308"/>
      <c r="I1374" s="661"/>
      <c r="K1374" s="258"/>
      <c r="L1374" s="242"/>
      <c r="M1374" s="197"/>
      <c r="Q1374" s="715"/>
    </row>
    <row r="1375" spans="2:20" s="233" customFormat="1" ht="15" customHeight="1" outlineLevel="3">
      <c r="B1375" s="299" t="s">
        <v>268</v>
      </c>
      <c r="C1375" s="304" t="s">
        <v>1131</v>
      </c>
      <c r="D1375" s="685" t="s">
        <v>425</v>
      </c>
      <c r="E1375" s="306" t="s">
        <v>910</v>
      </c>
      <c r="F1375" s="307"/>
      <c r="G1375" s="297" t="s">
        <v>1131</v>
      </c>
      <c r="H1375" s="308" t="str">
        <f>CONCATENATE("AR-",G1375,"-",I1375)</f>
        <v>AR-R11-1</v>
      </c>
      <c r="I1375" s="661">
        <v>1</v>
      </c>
      <c r="K1375" s="232"/>
      <c r="L1375" s="234">
        <v>1</v>
      </c>
      <c r="M1375" s="197">
        <v>1</v>
      </c>
      <c r="Q1375" s="234">
        <v>1</v>
      </c>
      <c r="T1375" s="197">
        <v>1</v>
      </c>
    </row>
    <row r="1376" spans="2:20" s="233" customFormat="1" ht="15" customHeight="1" outlineLevel="3">
      <c r="B1376" s="299" t="s">
        <v>268</v>
      </c>
      <c r="C1376" s="304" t="s">
        <v>1131</v>
      </c>
      <c r="D1376" s="685" t="s">
        <v>427</v>
      </c>
      <c r="E1376" s="306" t="s">
        <v>911</v>
      </c>
      <c r="F1376" s="307"/>
      <c r="G1376" s="297" t="s">
        <v>1131</v>
      </c>
      <c r="H1376" s="308" t="str">
        <f>CONCATENATE("AR-",G1376,"-",I1376)</f>
        <v>AR-R11-1</v>
      </c>
      <c r="I1376" s="661">
        <v>1</v>
      </c>
      <c r="K1376" s="232"/>
      <c r="L1376" s="234">
        <v>1</v>
      </c>
      <c r="M1376" s="197">
        <v>1</v>
      </c>
      <c r="Q1376" s="234">
        <v>1</v>
      </c>
      <c r="T1376" s="197">
        <v>1</v>
      </c>
    </row>
    <row r="1377" spans="2:20" s="233" customFormat="1" ht="15" customHeight="1" outlineLevel="3">
      <c r="B1377" s="299" t="s">
        <v>268</v>
      </c>
      <c r="C1377" s="304" t="s">
        <v>1131</v>
      </c>
      <c r="D1377" s="685" t="s">
        <v>429</v>
      </c>
      <c r="E1377" s="306" t="s">
        <v>912</v>
      </c>
      <c r="F1377" s="307"/>
      <c r="G1377" s="297" t="s">
        <v>1131</v>
      </c>
      <c r="H1377" s="308" t="str">
        <f>CONCATENATE("AR-",G1377,"-",I1377)</f>
        <v>AR-R11-1</v>
      </c>
      <c r="I1377" s="661">
        <v>1</v>
      </c>
      <c r="K1377" s="232"/>
      <c r="L1377" s="234">
        <v>1</v>
      </c>
      <c r="M1377" s="197">
        <v>1</v>
      </c>
      <c r="Q1377" s="234">
        <v>1</v>
      </c>
      <c r="T1377" s="197">
        <v>1</v>
      </c>
    </row>
    <row r="1378" spans="2:20" s="233" customFormat="1" ht="15" customHeight="1" outlineLevel="3">
      <c r="B1378" s="299" t="s">
        <v>268</v>
      </c>
      <c r="C1378" s="304" t="s">
        <v>1131</v>
      </c>
      <c r="D1378" s="685" t="s">
        <v>431</v>
      </c>
      <c r="E1378" s="306" t="s">
        <v>913</v>
      </c>
      <c r="F1378" s="307"/>
      <c r="G1378" s="297" t="s">
        <v>1131</v>
      </c>
      <c r="H1378" s="308" t="str">
        <f>CONCATENATE("AR-",G1378,"-",I1378)</f>
        <v>AR-R11-1</v>
      </c>
      <c r="I1378" s="661">
        <v>1</v>
      </c>
      <c r="K1378" s="232"/>
      <c r="L1378" s="234">
        <v>1</v>
      </c>
      <c r="M1378" s="197">
        <v>1</v>
      </c>
      <c r="Q1378" s="234">
        <v>1</v>
      </c>
      <c r="T1378" s="197">
        <v>1</v>
      </c>
    </row>
    <row r="1379" spans="2:20" s="233" customFormat="1" ht="15" customHeight="1" outlineLevel="3">
      <c r="B1379" s="299"/>
      <c r="C1379" s="304"/>
      <c r="D1379" s="685"/>
      <c r="E1379" s="306" t="s">
        <v>277</v>
      </c>
      <c r="F1379" s="307"/>
      <c r="G1379" s="297"/>
      <c r="H1379" s="308"/>
      <c r="I1379" s="661"/>
      <c r="K1379" s="232"/>
      <c r="L1379" s="234"/>
      <c r="M1379" s="197"/>
      <c r="Q1379" s="237"/>
    </row>
    <row r="1380" spans="2:20" s="259" customFormat="1" ht="15" customHeight="1" outlineLevel="3">
      <c r="B1380" s="299" t="s">
        <v>1103</v>
      </c>
      <c r="C1380" s="304"/>
      <c r="D1380" s="685"/>
      <c r="E1380" s="306" t="s">
        <v>277</v>
      </c>
      <c r="F1380" s="307"/>
      <c r="G1380" s="297"/>
      <c r="H1380" s="308"/>
      <c r="I1380" s="661"/>
      <c r="K1380" s="258"/>
      <c r="L1380" s="242"/>
      <c r="M1380" s="197"/>
      <c r="Q1380" s="715"/>
    </row>
    <row r="1381" spans="2:20" s="233" customFormat="1" ht="15" customHeight="1" outlineLevel="3">
      <c r="B1381" s="299" t="s">
        <v>268</v>
      </c>
      <c r="C1381" s="304" t="s">
        <v>1131</v>
      </c>
      <c r="D1381" s="685" t="s">
        <v>915</v>
      </c>
      <c r="E1381" s="306" t="s">
        <v>1104</v>
      </c>
      <c r="F1381" s="307"/>
      <c r="G1381" s="297" t="s">
        <v>1131</v>
      </c>
      <c r="H1381" s="308" t="str">
        <f>CONCATENATE("AR-",G1381,"-",I1381)</f>
        <v>AR-R11-1</v>
      </c>
      <c r="I1381" s="661">
        <v>1</v>
      </c>
      <c r="K1381" s="232"/>
      <c r="L1381" s="234">
        <v>1</v>
      </c>
      <c r="M1381" s="197">
        <v>1</v>
      </c>
      <c r="Q1381" s="234">
        <v>1</v>
      </c>
      <c r="T1381" s="197">
        <v>1</v>
      </c>
    </row>
    <row r="1382" spans="2:20" s="233" customFormat="1" ht="15" customHeight="1" outlineLevel="3">
      <c r="B1382" s="299" t="s">
        <v>268</v>
      </c>
      <c r="C1382" s="304" t="s">
        <v>1131</v>
      </c>
      <c r="D1382" s="685" t="s">
        <v>1105</v>
      </c>
      <c r="E1382" s="306" t="s">
        <v>1104</v>
      </c>
      <c r="F1382" s="307"/>
      <c r="G1382" s="297" t="s">
        <v>1131</v>
      </c>
      <c r="H1382" s="308" t="str">
        <f>CONCATENATE("AR-",G1382,"-",I1382)</f>
        <v>AR-R11-1</v>
      </c>
      <c r="I1382" s="661">
        <v>1</v>
      </c>
      <c r="K1382" s="232"/>
      <c r="L1382" s="234">
        <v>1</v>
      </c>
      <c r="M1382" s="197">
        <v>1</v>
      </c>
      <c r="Q1382" s="234">
        <v>1</v>
      </c>
      <c r="T1382" s="197">
        <v>1</v>
      </c>
    </row>
    <row r="1383" spans="2:20" s="233" customFormat="1" ht="15" customHeight="1" outlineLevel="3">
      <c r="B1383" s="299" t="s">
        <v>1106</v>
      </c>
      <c r="C1383" s="304"/>
      <c r="D1383" s="685"/>
      <c r="E1383" s="306" t="s">
        <v>277</v>
      </c>
      <c r="F1383" s="307"/>
      <c r="G1383" s="297"/>
      <c r="H1383" s="308"/>
      <c r="I1383" s="661"/>
      <c r="K1383" s="232"/>
      <c r="L1383" s="234"/>
      <c r="M1383" s="197"/>
      <c r="Q1383" s="237"/>
    </row>
    <row r="1384" spans="2:20" s="233" customFormat="1" ht="15" customHeight="1" outlineLevel="3">
      <c r="B1384" s="299" t="s">
        <v>268</v>
      </c>
      <c r="C1384" s="304" t="s">
        <v>1131</v>
      </c>
      <c r="D1384" s="685" t="s">
        <v>1107</v>
      </c>
      <c r="E1384" s="306" t="s">
        <v>1108</v>
      </c>
      <c r="F1384" s="307"/>
      <c r="G1384" s="297" t="s">
        <v>1131</v>
      </c>
      <c r="H1384" s="308" t="str">
        <f>CONCATENATE("AR-",G1384,"-",I1384)</f>
        <v>AR-R11-1</v>
      </c>
      <c r="I1384" s="661">
        <v>1</v>
      </c>
      <c r="K1384" s="232"/>
      <c r="L1384" s="234">
        <v>1</v>
      </c>
      <c r="M1384" s="197">
        <v>1</v>
      </c>
      <c r="Q1384" s="234">
        <v>1</v>
      </c>
      <c r="T1384" s="197">
        <v>1</v>
      </c>
    </row>
    <row r="1385" spans="2:20" s="233" customFormat="1" ht="15" customHeight="1" outlineLevel="3">
      <c r="B1385" s="299" t="s">
        <v>268</v>
      </c>
      <c r="C1385" s="304" t="s">
        <v>1131</v>
      </c>
      <c r="D1385" s="685" t="s">
        <v>1109</v>
      </c>
      <c r="E1385" s="306" t="s">
        <v>1110</v>
      </c>
      <c r="F1385" s="307"/>
      <c r="G1385" s="297" t="s">
        <v>1131</v>
      </c>
      <c r="H1385" s="308" t="str">
        <f>CONCATENATE("AR-",G1385,"-",I1385)</f>
        <v>AR-R11-1</v>
      </c>
      <c r="I1385" s="661">
        <v>1</v>
      </c>
      <c r="K1385" s="232"/>
      <c r="L1385" s="234">
        <v>1</v>
      </c>
      <c r="M1385" s="197">
        <v>1</v>
      </c>
      <c r="Q1385" s="234">
        <v>1</v>
      </c>
      <c r="T1385" s="197">
        <v>1</v>
      </c>
    </row>
    <row r="1386" spans="2:20" s="233" customFormat="1" ht="15" customHeight="1" outlineLevel="3">
      <c r="B1386" s="299"/>
      <c r="C1386" s="304"/>
      <c r="D1386" s="685"/>
      <c r="E1386" s="306" t="s">
        <v>277</v>
      </c>
      <c r="F1386" s="307"/>
      <c r="G1386" s="297"/>
      <c r="H1386" s="308"/>
      <c r="I1386" s="661"/>
      <c r="K1386" s="232"/>
      <c r="L1386" s="234"/>
      <c r="M1386" s="197"/>
      <c r="Q1386" s="237"/>
    </row>
    <row r="1387" spans="2:20" s="259" customFormat="1" ht="15" customHeight="1" outlineLevel="3">
      <c r="B1387" s="299" t="s">
        <v>1111</v>
      </c>
      <c r="C1387" s="304"/>
      <c r="D1387" s="685"/>
      <c r="E1387" s="306" t="s">
        <v>277</v>
      </c>
      <c r="F1387" s="307"/>
      <c r="G1387" s="297"/>
      <c r="H1387" s="308"/>
      <c r="I1387" s="661"/>
      <c r="K1387" s="258"/>
      <c r="L1387" s="242"/>
      <c r="M1387" s="197"/>
      <c r="Q1387" s="715"/>
    </row>
    <row r="1388" spans="2:20" s="233" customFormat="1" ht="15" customHeight="1" outlineLevel="3">
      <c r="B1388" s="299" t="s">
        <v>268</v>
      </c>
      <c r="C1388" s="304" t="s">
        <v>1131</v>
      </c>
      <c r="D1388" s="685" t="s">
        <v>1112</v>
      </c>
      <c r="E1388" s="306" t="s">
        <v>1113</v>
      </c>
      <c r="F1388" s="307"/>
      <c r="G1388" s="297" t="s">
        <v>1131</v>
      </c>
      <c r="H1388" s="308" t="str">
        <f>CONCATENATE("AR-",G1388,"-",I1388)</f>
        <v>AR-R11-1</v>
      </c>
      <c r="I1388" s="661">
        <v>1</v>
      </c>
      <c r="K1388" s="232"/>
      <c r="L1388" s="234">
        <v>1</v>
      </c>
      <c r="M1388" s="197">
        <v>1</v>
      </c>
      <c r="Q1388" s="234">
        <v>1</v>
      </c>
      <c r="T1388" s="197">
        <v>1</v>
      </c>
    </row>
    <row r="1389" spans="2:20" s="233" customFormat="1" ht="15" customHeight="1" outlineLevel="3">
      <c r="B1389" s="299" t="s">
        <v>268</v>
      </c>
      <c r="C1389" s="304" t="s">
        <v>1131</v>
      </c>
      <c r="D1389" s="685" t="s">
        <v>1114</v>
      </c>
      <c r="E1389" s="306" t="s">
        <v>1115</v>
      </c>
      <c r="F1389" s="307"/>
      <c r="G1389" s="297" t="s">
        <v>1131</v>
      </c>
      <c r="H1389" s="308" t="str">
        <f>CONCATENATE("AR-",G1389,"-",I1389)</f>
        <v>AR-R11-1</v>
      </c>
      <c r="I1389" s="661">
        <v>1</v>
      </c>
      <c r="K1389" s="232"/>
      <c r="L1389" s="234">
        <v>1</v>
      </c>
      <c r="M1389" s="197">
        <v>1</v>
      </c>
      <c r="Q1389" s="234">
        <v>1</v>
      </c>
      <c r="T1389" s="197">
        <v>1</v>
      </c>
    </row>
    <row r="1390" spans="2:20" s="233" customFormat="1" ht="15" customHeight="1" outlineLevel="3">
      <c r="B1390" s="299" t="s">
        <v>268</v>
      </c>
      <c r="C1390" s="304" t="s">
        <v>1131</v>
      </c>
      <c r="D1390" s="685" t="s">
        <v>1116</v>
      </c>
      <c r="E1390" s="306" t="s">
        <v>1117</v>
      </c>
      <c r="F1390" s="307"/>
      <c r="G1390" s="297" t="s">
        <v>1131</v>
      </c>
      <c r="H1390" s="308" t="str">
        <f>CONCATENATE("AR-",G1390,"-",I1390)</f>
        <v>AR-R11-1</v>
      </c>
      <c r="I1390" s="661">
        <v>1</v>
      </c>
      <c r="K1390" s="232"/>
      <c r="L1390" s="234">
        <v>1</v>
      </c>
      <c r="M1390" s="197">
        <v>1</v>
      </c>
      <c r="Q1390" s="234">
        <v>1</v>
      </c>
      <c r="T1390" s="197">
        <v>1</v>
      </c>
    </row>
    <row r="1391" spans="2:20" s="233" customFormat="1" ht="15" customHeight="1" outlineLevel="3">
      <c r="B1391" s="299"/>
      <c r="C1391" s="304"/>
      <c r="D1391" s="685"/>
      <c r="E1391" s="306" t="s">
        <v>277</v>
      </c>
      <c r="F1391" s="307"/>
      <c r="G1391" s="297"/>
      <c r="H1391" s="308"/>
      <c r="I1391" s="661"/>
      <c r="K1391" s="232"/>
      <c r="L1391" s="234"/>
      <c r="M1391" s="197"/>
      <c r="Q1391" s="237"/>
    </row>
    <row r="1392" spans="2:20" s="259" customFormat="1" ht="15" customHeight="1" outlineLevel="3">
      <c r="B1392" s="299" t="s">
        <v>1118</v>
      </c>
      <c r="C1392" s="304"/>
      <c r="D1392" s="685"/>
      <c r="E1392" s="306" t="s">
        <v>277</v>
      </c>
      <c r="F1392" s="307"/>
      <c r="G1392" s="297"/>
      <c r="H1392" s="308"/>
      <c r="I1392" s="661"/>
      <c r="K1392" s="258"/>
      <c r="L1392" s="242"/>
      <c r="M1392" s="197"/>
      <c r="Q1392" s="715"/>
    </row>
    <row r="1393" spans="2:20" s="233" customFormat="1" ht="15" customHeight="1" outlineLevel="3">
      <c r="B1393" s="299" t="s">
        <v>268</v>
      </c>
      <c r="C1393" s="304" t="s">
        <v>1131</v>
      </c>
      <c r="D1393" s="685" t="s">
        <v>968</v>
      </c>
      <c r="E1393" s="306" t="s">
        <v>1119</v>
      </c>
      <c r="F1393" s="307"/>
      <c r="G1393" s="297" t="s">
        <v>1131</v>
      </c>
      <c r="H1393" s="308" t="str">
        <f>CONCATENATE("AR-",G1393,"-",I1393)</f>
        <v>AR-R11-1</v>
      </c>
      <c r="I1393" s="661">
        <v>1</v>
      </c>
      <c r="K1393" s="232"/>
      <c r="L1393" s="234">
        <v>1</v>
      </c>
      <c r="M1393" s="197">
        <v>1</v>
      </c>
      <c r="Q1393" s="234">
        <v>1</v>
      </c>
      <c r="T1393" s="197">
        <v>1</v>
      </c>
    </row>
    <row r="1394" spans="2:20" s="233" customFormat="1" ht="15" customHeight="1" outlineLevel="3">
      <c r="B1394" s="299" t="s">
        <v>268</v>
      </c>
      <c r="C1394" s="304" t="s">
        <v>1131</v>
      </c>
      <c r="D1394" s="685" t="s">
        <v>970</v>
      </c>
      <c r="E1394" s="306" t="s">
        <v>1119</v>
      </c>
      <c r="F1394" s="307"/>
      <c r="G1394" s="297" t="s">
        <v>1131</v>
      </c>
      <c r="H1394" s="308" t="str">
        <f>CONCATENATE("AR-",G1394,"-",I1394)</f>
        <v>AR-R11-1</v>
      </c>
      <c r="I1394" s="661">
        <v>1</v>
      </c>
      <c r="K1394" s="232"/>
      <c r="L1394" s="234">
        <v>1</v>
      </c>
      <c r="M1394" s="197">
        <v>1</v>
      </c>
      <c r="Q1394" s="234">
        <v>1</v>
      </c>
      <c r="T1394" s="197">
        <v>1</v>
      </c>
    </row>
    <row r="1395" spans="2:20" s="233" customFormat="1" ht="15" customHeight="1" outlineLevel="3">
      <c r="B1395" s="299"/>
      <c r="C1395" s="304"/>
      <c r="D1395" s="685"/>
      <c r="E1395" s="306" t="s">
        <v>277</v>
      </c>
      <c r="F1395" s="307"/>
      <c r="G1395" s="297"/>
      <c r="H1395" s="308"/>
      <c r="I1395" s="661"/>
      <c r="K1395" s="232"/>
      <c r="L1395" s="234"/>
      <c r="M1395" s="197"/>
      <c r="Q1395" s="237"/>
    </row>
    <row r="1396" spans="2:20" s="259" customFormat="1" ht="15" customHeight="1" outlineLevel="3">
      <c r="B1396" s="299" t="s">
        <v>1120</v>
      </c>
      <c r="C1396" s="304"/>
      <c r="D1396" s="685"/>
      <c r="E1396" s="306" t="s">
        <v>277</v>
      </c>
      <c r="F1396" s="307"/>
      <c r="G1396" s="297"/>
      <c r="H1396" s="308"/>
      <c r="I1396" s="661"/>
      <c r="K1396" s="258"/>
      <c r="L1396" s="242"/>
      <c r="M1396" s="197"/>
      <c r="Q1396" s="715"/>
    </row>
    <row r="1397" spans="2:20" s="233" customFormat="1" ht="15" customHeight="1" outlineLevel="3">
      <c r="B1397" s="299" t="s">
        <v>268</v>
      </c>
      <c r="C1397" s="304" t="s">
        <v>1131</v>
      </c>
      <c r="D1397" s="685" t="s">
        <v>977</v>
      </c>
      <c r="E1397" s="306" t="s">
        <v>1121</v>
      </c>
      <c r="F1397" s="307"/>
      <c r="G1397" s="297" t="s">
        <v>1131</v>
      </c>
      <c r="H1397" s="308" t="str">
        <f t="shared" ref="H1397:H1402" si="89">CONCATENATE("AR-",G1397,"-",I1397)</f>
        <v>AR-R11-1</v>
      </c>
      <c r="I1397" s="661">
        <v>1</v>
      </c>
      <c r="K1397" s="232"/>
      <c r="L1397" s="234">
        <v>1</v>
      </c>
      <c r="M1397" s="197">
        <v>1</v>
      </c>
      <c r="Q1397" s="234">
        <v>1</v>
      </c>
      <c r="T1397" s="197">
        <v>1</v>
      </c>
    </row>
    <row r="1398" spans="2:20" s="233" customFormat="1" ht="15" customHeight="1" outlineLevel="3">
      <c r="B1398" s="299" t="s">
        <v>268</v>
      </c>
      <c r="C1398" s="304" t="s">
        <v>1131</v>
      </c>
      <c r="D1398" s="685" t="s">
        <v>979</v>
      </c>
      <c r="E1398" s="306" t="s">
        <v>1122</v>
      </c>
      <c r="F1398" s="307"/>
      <c r="G1398" s="297" t="s">
        <v>1131</v>
      </c>
      <c r="H1398" s="308" t="str">
        <f t="shared" si="89"/>
        <v>AR-R11-1</v>
      </c>
      <c r="I1398" s="661">
        <v>1</v>
      </c>
      <c r="K1398" s="232"/>
      <c r="L1398" s="234">
        <v>1</v>
      </c>
      <c r="M1398" s="197">
        <v>1</v>
      </c>
      <c r="Q1398" s="234">
        <v>1</v>
      </c>
      <c r="T1398" s="197">
        <v>1</v>
      </c>
    </row>
    <row r="1399" spans="2:20" s="233" customFormat="1" ht="15" customHeight="1" outlineLevel="3">
      <c r="B1399" s="299" t="s">
        <v>268</v>
      </c>
      <c r="C1399" s="304" t="s">
        <v>1131</v>
      </c>
      <c r="D1399" s="685" t="s">
        <v>981</v>
      </c>
      <c r="E1399" s="306" t="s">
        <v>1123</v>
      </c>
      <c r="F1399" s="307"/>
      <c r="G1399" s="297" t="s">
        <v>1131</v>
      </c>
      <c r="H1399" s="308" t="str">
        <f t="shared" si="89"/>
        <v>AR-R11-1</v>
      </c>
      <c r="I1399" s="661">
        <v>1</v>
      </c>
      <c r="K1399" s="232"/>
      <c r="L1399" s="234">
        <v>1</v>
      </c>
      <c r="M1399" s="197">
        <v>1</v>
      </c>
      <c r="Q1399" s="234">
        <v>1</v>
      </c>
      <c r="T1399" s="197">
        <v>1</v>
      </c>
    </row>
    <row r="1400" spans="2:20" s="233" customFormat="1" ht="15" customHeight="1" outlineLevel="3">
      <c r="B1400" s="299" t="s">
        <v>268</v>
      </c>
      <c r="C1400" s="304" t="s">
        <v>1131</v>
      </c>
      <c r="D1400" s="685" t="s">
        <v>983</v>
      </c>
      <c r="E1400" s="306" t="s">
        <v>1124</v>
      </c>
      <c r="F1400" s="307"/>
      <c r="G1400" s="297" t="s">
        <v>1131</v>
      </c>
      <c r="H1400" s="308" t="str">
        <f t="shared" si="89"/>
        <v>AR-R11-1</v>
      </c>
      <c r="I1400" s="661">
        <v>1</v>
      </c>
      <c r="K1400" s="232"/>
      <c r="L1400" s="234">
        <v>1</v>
      </c>
      <c r="M1400" s="197">
        <v>1</v>
      </c>
      <c r="Q1400" s="234">
        <v>1</v>
      </c>
      <c r="T1400" s="197">
        <v>1</v>
      </c>
    </row>
    <row r="1401" spans="2:20" s="233" customFormat="1" ht="15" customHeight="1" outlineLevel="3">
      <c r="B1401" s="299" t="s">
        <v>268</v>
      </c>
      <c r="C1401" s="304" t="s">
        <v>1131</v>
      </c>
      <c r="D1401" s="685" t="s">
        <v>985</v>
      </c>
      <c r="E1401" s="306" t="s">
        <v>1125</v>
      </c>
      <c r="F1401" s="307"/>
      <c r="G1401" s="297" t="s">
        <v>1131</v>
      </c>
      <c r="H1401" s="308" t="str">
        <f t="shared" si="89"/>
        <v>AR-R11-1</v>
      </c>
      <c r="I1401" s="661">
        <v>1</v>
      </c>
      <c r="K1401" s="232"/>
      <c r="L1401" s="234">
        <v>1</v>
      </c>
      <c r="M1401" s="197">
        <v>1</v>
      </c>
      <c r="Q1401" s="234">
        <v>1</v>
      </c>
      <c r="T1401" s="197">
        <v>1</v>
      </c>
    </row>
    <row r="1402" spans="2:20" s="233" customFormat="1" ht="15" customHeight="1" outlineLevel="3">
      <c r="B1402" s="299" t="s">
        <v>268</v>
      </c>
      <c r="C1402" s="304" t="s">
        <v>1131</v>
      </c>
      <c r="D1402" s="685" t="s">
        <v>987</v>
      </c>
      <c r="E1402" s="306" t="s">
        <v>1126</v>
      </c>
      <c r="F1402" s="307"/>
      <c r="G1402" s="297" t="s">
        <v>1131</v>
      </c>
      <c r="H1402" s="308" t="str">
        <f t="shared" si="89"/>
        <v>AR-R11-1</v>
      </c>
      <c r="I1402" s="661">
        <v>1</v>
      </c>
      <c r="K1402" s="232"/>
      <c r="L1402" s="234">
        <v>1</v>
      </c>
      <c r="M1402" s="197">
        <v>1</v>
      </c>
      <c r="Q1402" s="234">
        <v>1</v>
      </c>
      <c r="T1402" s="197">
        <v>1</v>
      </c>
    </row>
    <row r="1403" spans="2:20" s="233" customFormat="1" ht="15" customHeight="1" outlineLevel="3">
      <c r="B1403" s="299"/>
      <c r="C1403" s="304"/>
      <c r="D1403" s="685"/>
      <c r="E1403" s="306" t="s">
        <v>277</v>
      </c>
      <c r="F1403" s="307"/>
      <c r="G1403" s="297"/>
      <c r="H1403" s="308"/>
      <c r="I1403" s="661"/>
      <c r="K1403" s="232"/>
      <c r="L1403" s="234"/>
      <c r="M1403" s="197"/>
      <c r="Q1403" s="237"/>
    </row>
    <row r="1404" spans="2:20" s="259" customFormat="1" ht="15" customHeight="1" outlineLevel="3">
      <c r="B1404" s="299" t="s">
        <v>934</v>
      </c>
      <c r="C1404" s="304"/>
      <c r="D1404" s="685"/>
      <c r="E1404" s="306" t="s">
        <v>277</v>
      </c>
      <c r="F1404" s="307"/>
      <c r="G1404" s="297"/>
      <c r="H1404" s="308"/>
      <c r="I1404" s="661"/>
      <c r="K1404" s="258"/>
      <c r="L1404" s="242"/>
      <c r="M1404" s="197"/>
      <c r="Q1404" s="715"/>
    </row>
    <row r="1405" spans="2:20" s="233" customFormat="1" ht="15" customHeight="1" outlineLevel="3">
      <c r="B1405" s="299" t="s">
        <v>268</v>
      </c>
      <c r="C1405" s="304" t="s">
        <v>1131</v>
      </c>
      <c r="D1405" s="685" t="s">
        <v>463</v>
      </c>
      <c r="E1405" s="306" t="s">
        <v>936</v>
      </c>
      <c r="F1405" s="307"/>
      <c r="G1405" s="297" t="s">
        <v>1131</v>
      </c>
      <c r="H1405" s="308" t="str">
        <f>CONCATENATE("AR-",G1405,"-",I1405)</f>
        <v>AR-R11-1</v>
      </c>
      <c r="I1405" s="661">
        <v>1</v>
      </c>
      <c r="K1405" s="232"/>
      <c r="L1405" s="234">
        <v>1</v>
      </c>
      <c r="M1405" s="197">
        <v>1</v>
      </c>
      <c r="Q1405" s="234">
        <v>1</v>
      </c>
      <c r="T1405" s="197">
        <v>1</v>
      </c>
    </row>
    <row r="1406" spans="2:20" s="233" customFormat="1" ht="15" customHeight="1" outlineLevel="3">
      <c r="B1406" s="299" t="s">
        <v>268</v>
      </c>
      <c r="C1406" s="304" t="s">
        <v>1131</v>
      </c>
      <c r="D1406" s="685" t="s">
        <v>588</v>
      </c>
      <c r="E1406" s="306" t="s">
        <v>937</v>
      </c>
      <c r="F1406" s="307"/>
      <c r="G1406" s="297" t="s">
        <v>1131</v>
      </c>
      <c r="H1406" s="308" t="str">
        <f>CONCATENATE("AR-",G1406,"-",I1406)</f>
        <v>AR-R11-1</v>
      </c>
      <c r="I1406" s="661">
        <v>1</v>
      </c>
      <c r="K1406" s="232"/>
      <c r="L1406" s="234">
        <v>1</v>
      </c>
      <c r="M1406" s="197">
        <v>1</v>
      </c>
      <c r="Q1406" s="234">
        <v>1</v>
      </c>
      <c r="T1406" s="197">
        <v>1</v>
      </c>
    </row>
    <row r="1407" spans="2:20" s="233" customFormat="1" ht="15" customHeight="1" outlineLevel="3">
      <c r="B1407" s="299" t="s">
        <v>268</v>
      </c>
      <c r="C1407" s="304" t="s">
        <v>1131</v>
      </c>
      <c r="D1407" s="685" t="s">
        <v>938</v>
      </c>
      <c r="E1407" s="306" t="s">
        <v>939</v>
      </c>
      <c r="F1407" s="307"/>
      <c r="G1407" s="297" t="s">
        <v>1131</v>
      </c>
      <c r="H1407" s="308" t="str">
        <f>CONCATENATE("AR-",G1407,"-",I1407)</f>
        <v>AR-R11-1</v>
      </c>
      <c r="I1407" s="661">
        <v>1</v>
      </c>
      <c r="K1407" s="232"/>
      <c r="L1407" s="234">
        <v>1</v>
      </c>
      <c r="M1407" s="197">
        <v>1</v>
      </c>
      <c r="Q1407" s="234">
        <v>1</v>
      </c>
      <c r="T1407" s="197">
        <v>1</v>
      </c>
    </row>
    <row r="1408" spans="2:20" s="233" customFormat="1" ht="15" customHeight="1" outlineLevel="3">
      <c r="B1408" s="299"/>
      <c r="C1408" s="304"/>
      <c r="D1408" s="685"/>
      <c r="E1408" s="306" t="s">
        <v>277</v>
      </c>
      <c r="F1408" s="307"/>
      <c r="G1408" s="297"/>
      <c r="H1408" s="308"/>
      <c r="I1408" s="661"/>
      <c r="K1408" s="232"/>
      <c r="L1408" s="234"/>
      <c r="M1408" s="197"/>
      <c r="Q1408" s="237"/>
    </row>
    <row r="1409" spans="2:20" s="259" customFormat="1" ht="15" customHeight="1" outlineLevel="3">
      <c r="B1409" s="299" t="s">
        <v>1127</v>
      </c>
      <c r="C1409" s="304"/>
      <c r="D1409" s="685"/>
      <c r="E1409" s="306" t="s">
        <v>277</v>
      </c>
      <c r="F1409" s="307"/>
      <c r="G1409" s="297"/>
      <c r="H1409" s="308"/>
      <c r="I1409" s="661"/>
      <c r="K1409" s="258"/>
      <c r="L1409" s="242"/>
      <c r="M1409" s="197"/>
      <c r="Q1409" s="715"/>
    </row>
    <row r="1410" spans="2:20" s="233" customFormat="1" ht="15" customHeight="1" outlineLevel="3">
      <c r="B1410" s="299" t="s">
        <v>268</v>
      </c>
      <c r="C1410" s="304" t="s">
        <v>1131</v>
      </c>
      <c r="D1410" s="685">
        <v>7410</v>
      </c>
      <c r="E1410" s="306" t="s">
        <v>989</v>
      </c>
      <c r="F1410" s="307"/>
      <c r="G1410" s="297" t="s">
        <v>1131</v>
      </c>
      <c r="H1410" s="308" t="str">
        <f t="shared" ref="H1410:H1423" si="90">CONCATENATE("AR-",G1410,"-",I1410)</f>
        <v>AR-R11-1</v>
      </c>
      <c r="I1410" s="661">
        <v>1</v>
      </c>
      <c r="K1410" s="232"/>
      <c r="L1410" s="234">
        <v>1</v>
      </c>
      <c r="M1410" s="197">
        <v>1</v>
      </c>
      <c r="Q1410" s="234">
        <v>1</v>
      </c>
      <c r="T1410" s="197">
        <v>1</v>
      </c>
    </row>
    <row r="1411" spans="2:20" s="233" customFormat="1" ht="15" customHeight="1" outlineLevel="3">
      <c r="B1411" s="299" t="s">
        <v>268</v>
      </c>
      <c r="C1411" s="304" t="s">
        <v>1131</v>
      </c>
      <c r="D1411" s="685">
        <v>7420</v>
      </c>
      <c r="E1411" s="306" t="s">
        <v>481</v>
      </c>
      <c r="F1411" s="307"/>
      <c r="G1411" s="297" t="s">
        <v>1131</v>
      </c>
      <c r="H1411" s="308" t="str">
        <f t="shared" si="90"/>
        <v>AR-R11-1</v>
      </c>
      <c r="I1411" s="661">
        <v>1</v>
      </c>
      <c r="K1411" s="232"/>
      <c r="L1411" s="234">
        <v>1</v>
      </c>
      <c r="M1411" s="197">
        <v>1</v>
      </c>
      <c r="Q1411" s="234">
        <v>1</v>
      </c>
      <c r="T1411" s="197">
        <v>1</v>
      </c>
    </row>
    <row r="1412" spans="2:20" s="233" customFormat="1" ht="15" customHeight="1" outlineLevel="3">
      <c r="B1412" s="299" t="s">
        <v>268</v>
      </c>
      <c r="C1412" s="304" t="s">
        <v>1131</v>
      </c>
      <c r="D1412" s="685">
        <v>7430</v>
      </c>
      <c r="E1412" s="306" t="s">
        <v>482</v>
      </c>
      <c r="F1412" s="307"/>
      <c r="G1412" s="297" t="s">
        <v>1131</v>
      </c>
      <c r="H1412" s="308" t="str">
        <f t="shared" si="90"/>
        <v>AR-R11-1</v>
      </c>
      <c r="I1412" s="661">
        <v>1</v>
      </c>
      <c r="K1412" s="232"/>
      <c r="L1412" s="234">
        <v>1</v>
      </c>
      <c r="M1412" s="197">
        <v>1</v>
      </c>
      <c r="Q1412" s="234">
        <v>1</v>
      </c>
      <c r="T1412" s="197">
        <v>1</v>
      </c>
    </row>
    <row r="1413" spans="2:20" s="233" customFormat="1" ht="15" customHeight="1" outlineLevel="3">
      <c r="B1413" s="299" t="s">
        <v>268</v>
      </c>
      <c r="C1413" s="304" t="s">
        <v>1131</v>
      </c>
      <c r="D1413" s="685">
        <v>7440</v>
      </c>
      <c r="E1413" s="306" t="s">
        <v>483</v>
      </c>
      <c r="F1413" s="307"/>
      <c r="G1413" s="297" t="s">
        <v>1131</v>
      </c>
      <c r="H1413" s="308" t="str">
        <f t="shared" si="90"/>
        <v>AR-R11-1</v>
      </c>
      <c r="I1413" s="661">
        <v>1</v>
      </c>
      <c r="K1413" s="232"/>
      <c r="L1413" s="234">
        <v>1</v>
      </c>
      <c r="M1413" s="197">
        <v>1</v>
      </c>
      <c r="Q1413" s="234">
        <v>1</v>
      </c>
      <c r="T1413" s="197">
        <v>1</v>
      </c>
    </row>
    <row r="1414" spans="2:20" s="233" customFormat="1" ht="15" customHeight="1" outlineLevel="3">
      <c r="B1414" s="299" t="s">
        <v>268</v>
      </c>
      <c r="C1414" s="304" t="s">
        <v>1131</v>
      </c>
      <c r="D1414" s="685">
        <v>7450</v>
      </c>
      <c r="E1414" s="306" t="s">
        <v>990</v>
      </c>
      <c r="F1414" s="307"/>
      <c r="G1414" s="297" t="s">
        <v>1131</v>
      </c>
      <c r="H1414" s="308" t="str">
        <f t="shared" si="90"/>
        <v>AR-R11-1</v>
      </c>
      <c r="I1414" s="661">
        <v>1</v>
      </c>
      <c r="K1414" s="232"/>
      <c r="L1414" s="234">
        <v>1</v>
      </c>
      <c r="M1414" s="197">
        <v>1</v>
      </c>
      <c r="Q1414" s="234">
        <v>1</v>
      </c>
      <c r="T1414" s="197">
        <v>1</v>
      </c>
    </row>
    <row r="1415" spans="2:20" s="233" customFormat="1" ht="15" customHeight="1" outlineLevel="3">
      <c r="B1415" s="299" t="s">
        <v>268</v>
      </c>
      <c r="C1415" s="304" t="s">
        <v>1131</v>
      </c>
      <c r="D1415" s="685">
        <v>7461</v>
      </c>
      <c r="E1415" s="306" t="s">
        <v>991</v>
      </c>
      <c r="F1415" s="307"/>
      <c r="G1415" s="297" t="s">
        <v>1131</v>
      </c>
      <c r="H1415" s="308" t="str">
        <f t="shared" si="90"/>
        <v>AR-R11-1</v>
      </c>
      <c r="I1415" s="661">
        <v>1</v>
      </c>
      <c r="K1415" s="232"/>
      <c r="L1415" s="234">
        <v>1</v>
      </c>
      <c r="M1415" s="197">
        <v>1</v>
      </c>
      <c r="Q1415" s="234">
        <v>1</v>
      </c>
      <c r="T1415" s="197">
        <v>1</v>
      </c>
    </row>
    <row r="1416" spans="2:20" s="233" customFormat="1" ht="15" customHeight="1" outlineLevel="3">
      <c r="B1416" s="299" t="s">
        <v>268</v>
      </c>
      <c r="C1416" s="304" t="s">
        <v>1131</v>
      </c>
      <c r="D1416" s="685">
        <v>7462</v>
      </c>
      <c r="E1416" s="306" t="s">
        <v>992</v>
      </c>
      <c r="F1416" s="307"/>
      <c r="G1416" s="297" t="s">
        <v>1131</v>
      </c>
      <c r="H1416" s="308" t="str">
        <f t="shared" si="90"/>
        <v>AR-R11-1</v>
      </c>
      <c r="I1416" s="661">
        <v>1</v>
      </c>
      <c r="K1416" s="232"/>
      <c r="L1416" s="234">
        <v>1</v>
      </c>
      <c r="M1416" s="197">
        <v>1</v>
      </c>
      <c r="Q1416" s="234">
        <v>1</v>
      </c>
      <c r="T1416" s="197">
        <v>1</v>
      </c>
    </row>
    <row r="1417" spans="2:20" s="233" customFormat="1" ht="15" customHeight="1" outlineLevel="3">
      <c r="B1417" s="299" t="s">
        <v>268</v>
      </c>
      <c r="C1417" s="304" t="s">
        <v>1131</v>
      </c>
      <c r="D1417" s="685">
        <v>7463</v>
      </c>
      <c r="E1417" s="306" t="s">
        <v>993</v>
      </c>
      <c r="F1417" s="307"/>
      <c r="G1417" s="297" t="s">
        <v>1131</v>
      </c>
      <c r="H1417" s="308" t="str">
        <f t="shared" si="90"/>
        <v>AR-R11-1</v>
      </c>
      <c r="I1417" s="661">
        <v>1</v>
      </c>
      <c r="K1417" s="232"/>
      <c r="L1417" s="234">
        <v>1</v>
      </c>
      <c r="M1417" s="197">
        <v>1</v>
      </c>
      <c r="Q1417" s="234">
        <v>1</v>
      </c>
      <c r="T1417" s="197">
        <v>1</v>
      </c>
    </row>
    <row r="1418" spans="2:20" s="233" customFormat="1" ht="15" customHeight="1" outlineLevel="3">
      <c r="B1418" s="299" t="s">
        <v>268</v>
      </c>
      <c r="C1418" s="304" t="s">
        <v>1131</v>
      </c>
      <c r="D1418" s="685">
        <v>7470</v>
      </c>
      <c r="E1418" s="306" t="s">
        <v>484</v>
      </c>
      <c r="F1418" s="307"/>
      <c r="G1418" s="297" t="s">
        <v>1131</v>
      </c>
      <c r="H1418" s="308" t="str">
        <f t="shared" si="90"/>
        <v>AR-R11-1</v>
      </c>
      <c r="I1418" s="661">
        <v>1</v>
      </c>
      <c r="K1418" s="232"/>
      <c r="L1418" s="234">
        <v>1</v>
      </c>
      <c r="M1418" s="197">
        <v>1</v>
      </c>
      <c r="Q1418" s="234">
        <v>1</v>
      </c>
      <c r="T1418" s="197">
        <v>1</v>
      </c>
    </row>
    <row r="1419" spans="2:20" s="233" customFormat="1" ht="15" customHeight="1" outlineLevel="3">
      <c r="B1419" s="299" t="s">
        <v>268</v>
      </c>
      <c r="C1419" s="304" t="s">
        <v>1131</v>
      </c>
      <c r="D1419" s="685">
        <v>7480</v>
      </c>
      <c r="E1419" s="306" t="s">
        <v>994</v>
      </c>
      <c r="F1419" s="307"/>
      <c r="G1419" s="297" t="s">
        <v>1131</v>
      </c>
      <c r="H1419" s="308" t="str">
        <f t="shared" si="90"/>
        <v>AR-R11-1</v>
      </c>
      <c r="I1419" s="661">
        <v>1</v>
      </c>
      <c r="K1419" s="232"/>
      <c r="L1419" s="234">
        <v>1</v>
      </c>
      <c r="M1419" s="197">
        <v>1</v>
      </c>
      <c r="Q1419" s="234">
        <v>1</v>
      </c>
      <c r="T1419" s="197">
        <v>1</v>
      </c>
    </row>
    <row r="1420" spans="2:20" s="233" customFormat="1" ht="15" customHeight="1" outlineLevel="3">
      <c r="B1420" s="299" t="s">
        <v>268</v>
      </c>
      <c r="C1420" s="304" t="s">
        <v>1131</v>
      </c>
      <c r="D1420" s="685">
        <v>7490</v>
      </c>
      <c r="E1420" s="306" t="s">
        <v>995</v>
      </c>
      <c r="F1420" s="307"/>
      <c r="G1420" s="297" t="s">
        <v>1131</v>
      </c>
      <c r="H1420" s="308" t="str">
        <f t="shared" si="90"/>
        <v>AR-R11-1</v>
      </c>
      <c r="I1420" s="661">
        <v>1</v>
      </c>
      <c r="K1420" s="232"/>
      <c r="L1420" s="234">
        <v>1</v>
      </c>
      <c r="M1420" s="197">
        <v>1</v>
      </c>
      <c r="Q1420" s="234">
        <v>1</v>
      </c>
      <c r="T1420" s="197">
        <v>1</v>
      </c>
    </row>
    <row r="1421" spans="2:20" s="233" customFormat="1" ht="15" customHeight="1" outlineLevel="3">
      <c r="B1421" s="299" t="s">
        <v>268</v>
      </c>
      <c r="C1421" s="304" t="s">
        <v>1131</v>
      </c>
      <c r="D1421" s="685">
        <v>7500</v>
      </c>
      <c r="E1421" s="306" t="s">
        <v>485</v>
      </c>
      <c r="F1421" s="307"/>
      <c r="G1421" s="297" t="s">
        <v>1131</v>
      </c>
      <c r="H1421" s="308" t="str">
        <f t="shared" si="90"/>
        <v>AR-R11-1</v>
      </c>
      <c r="I1421" s="661">
        <v>1</v>
      </c>
      <c r="K1421" s="232"/>
      <c r="L1421" s="234">
        <v>1</v>
      </c>
      <c r="M1421" s="197">
        <v>1</v>
      </c>
      <c r="Q1421" s="234">
        <v>1</v>
      </c>
      <c r="T1421" s="197">
        <v>1</v>
      </c>
    </row>
    <row r="1422" spans="2:20" s="233" customFormat="1" ht="15" customHeight="1" outlineLevel="3">
      <c r="B1422" s="299" t="s">
        <v>268</v>
      </c>
      <c r="C1422" s="304" t="s">
        <v>1131</v>
      </c>
      <c r="D1422" s="685">
        <v>7510</v>
      </c>
      <c r="E1422" s="306" t="s">
        <v>996</v>
      </c>
      <c r="F1422" s="307"/>
      <c r="G1422" s="297" t="s">
        <v>1131</v>
      </c>
      <c r="H1422" s="308" t="str">
        <f t="shared" si="90"/>
        <v>AR-R11-1</v>
      </c>
      <c r="I1422" s="661">
        <v>1</v>
      </c>
      <c r="K1422" s="232"/>
      <c r="L1422" s="234">
        <v>1</v>
      </c>
      <c r="M1422" s="197">
        <v>1</v>
      </c>
      <c r="Q1422" s="234">
        <v>1</v>
      </c>
      <c r="T1422" s="197">
        <v>1</v>
      </c>
    </row>
    <row r="1423" spans="2:20" s="233" customFormat="1" ht="15" customHeight="1" outlineLevel="3">
      <c r="B1423" s="299" t="s">
        <v>268</v>
      </c>
      <c r="C1423" s="304" t="s">
        <v>1131</v>
      </c>
      <c r="D1423" s="685" t="s">
        <v>997</v>
      </c>
      <c r="E1423" s="306" t="s">
        <v>998</v>
      </c>
      <c r="F1423" s="307"/>
      <c r="G1423" s="297" t="s">
        <v>1131</v>
      </c>
      <c r="H1423" s="308" t="str">
        <f t="shared" si="90"/>
        <v>AR-R11-1</v>
      </c>
      <c r="I1423" s="661">
        <v>1</v>
      </c>
      <c r="K1423" s="232"/>
      <c r="L1423" s="234">
        <v>1</v>
      </c>
      <c r="M1423" s="197">
        <v>1</v>
      </c>
      <c r="Q1423" s="234">
        <v>1</v>
      </c>
      <c r="T1423" s="197">
        <v>1</v>
      </c>
    </row>
    <row r="1424" spans="2:20" s="243" customFormat="1" ht="15" customHeight="1" outlineLevel="1">
      <c r="B1424" s="299" t="s">
        <v>1132</v>
      </c>
      <c r="C1424" s="304"/>
      <c r="D1424" s="685"/>
      <c r="E1424" s="306"/>
      <c r="F1424" s="307"/>
      <c r="G1424" s="297"/>
      <c r="H1424" s="308"/>
      <c r="I1424" s="661"/>
      <c r="J1424" s="240"/>
      <c r="K1424" s="241"/>
      <c r="L1424" s="242"/>
      <c r="M1424" s="197"/>
      <c r="Q1424" s="708"/>
    </row>
    <row r="1425" spans="2:17" s="233" customFormat="1" ht="15" customHeight="1" outlineLevel="3">
      <c r="B1425" s="299"/>
      <c r="C1425" s="304"/>
      <c r="D1425" s="685"/>
      <c r="E1425" s="306" t="s">
        <v>277</v>
      </c>
      <c r="F1425" s="307"/>
      <c r="G1425" s="297"/>
      <c r="H1425" s="308"/>
      <c r="I1425" s="661"/>
      <c r="J1425" s="197"/>
      <c r="K1425" s="232"/>
      <c r="L1425" s="234"/>
      <c r="M1425" s="197"/>
      <c r="Q1425" s="237"/>
    </row>
    <row r="1426" spans="2:17" s="233" customFormat="1" ht="15" customHeight="1" outlineLevel="3">
      <c r="B1426" s="299" t="s">
        <v>942</v>
      </c>
      <c r="C1426" s="304"/>
      <c r="D1426" s="685"/>
      <c r="E1426" s="306" t="s">
        <v>277</v>
      </c>
      <c r="F1426" s="307"/>
      <c r="G1426" s="297"/>
      <c r="H1426" s="308"/>
      <c r="I1426" s="661"/>
      <c r="J1426" s="197"/>
      <c r="K1426" s="232"/>
      <c r="L1426" s="234"/>
      <c r="M1426" s="197"/>
      <c r="Q1426" s="237"/>
    </row>
    <row r="1427" spans="2:17" s="233" customFormat="1" ht="15" customHeight="1" outlineLevel="3">
      <c r="B1427" s="299" t="s">
        <v>268</v>
      </c>
      <c r="C1427" s="304" t="s">
        <v>1133</v>
      </c>
      <c r="D1427" s="685" t="s">
        <v>506</v>
      </c>
      <c r="E1427" s="306" t="s">
        <v>1045</v>
      </c>
      <c r="F1427" s="307"/>
      <c r="G1427" s="297" t="s">
        <v>1133</v>
      </c>
      <c r="H1427" s="308" t="str">
        <f t="shared" ref="H1427:H1432" si="91">CONCATENATE("AR-",G1427,"-",I1427)</f>
        <v>AR-R22-1</v>
      </c>
      <c r="I1427" s="661">
        <v>1</v>
      </c>
      <c r="K1427" s="232"/>
      <c r="L1427" s="234">
        <v>1</v>
      </c>
      <c r="M1427" s="197">
        <v>1</v>
      </c>
      <c r="Q1427" s="237"/>
    </row>
    <row r="1428" spans="2:17" s="233" customFormat="1" ht="15" customHeight="1" outlineLevel="3">
      <c r="B1428" s="299" t="s">
        <v>268</v>
      </c>
      <c r="C1428" s="304" t="s">
        <v>1133</v>
      </c>
      <c r="D1428" s="685" t="s">
        <v>1046</v>
      </c>
      <c r="E1428" s="306" t="s">
        <v>1047</v>
      </c>
      <c r="F1428" s="307"/>
      <c r="G1428" s="297" t="s">
        <v>1133</v>
      </c>
      <c r="H1428" s="308" t="str">
        <f t="shared" si="91"/>
        <v>AR-R22-1</v>
      </c>
      <c r="I1428" s="661">
        <v>1</v>
      </c>
      <c r="K1428" s="232"/>
      <c r="L1428" s="234">
        <v>1</v>
      </c>
      <c r="M1428" s="197">
        <v>1</v>
      </c>
      <c r="Q1428" s="237"/>
    </row>
    <row r="1429" spans="2:17" s="233" customFormat="1" ht="15" customHeight="1" outlineLevel="3">
      <c r="B1429" s="299" t="s">
        <v>268</v>
      </c>
      <c r="C1429" s="304" t="s">
        <v>1133</v>
      </c>
      <c r="D1429" s="685" t="s">
        <v>1048</v>
      </c>
      <c r="E1429" s="306" t="s">
        <v>1049</v>
      </c>
      <c r="F1429" s="307"/>
      <c r="G1429" s="297" t="s">
        <v>1133</v>
      </c>
      <c r="H1429" s="308" t="str">
        <f t="shared" si="91"/>
        <v>AR-R22-1</v>
      </c>
      <c r="I1429" s="661">
        <v>1</v>
      </c>
      <c r="K1429" s="232"/>
      <c r="L1429" s="234">
        <v>1</v>
      </c>
      <c r="M1429" s="197">
        <v>1</v>
      </c>
      <c r="Q1429" s="237"/>
    </row>
    <row r="1430" spans="2:17" s="233" customFormat="1" ht="15" customHeight="1" outlineLevel="3">
      <c r="B1430" s="299" t="s">
        <v>268</v>
      </c>
      <c r="C1430" s="304" t="s">
        <v>1133</v>
      </c>
      <c r="D1430" s="685" t="s">
        <v>1050</v>
      </c>
      <c r="E1430" s="306" t="s">
        <v>1051</v>
      </c>
      <c r="F1430" s="307"/>
      <c r="G1430" s="297" t="s">
        <v>1133</v>
      </c>
      <c r="H1430" s="308" t="str">
        <f t="shared" si="91"/>
        <v>AR-R22-1</v>
      </c>
      <c r="I1430" s="661">
        <v>1</v>
      </c>
      <c r="K1430" s="232"/>
      <c r="L1430" s="234">
        <v>1</v>
      </c>
      <c r="M1430" s="197">
        <v>1</v>
      </c>
      <c r="Q1430" s="237"/>
    </row>
    <row r="1431" spans="2:17" s="233" customFormat="1" ht="15" customHeight="1" outlineLevel="3">
      <c r="B1431" s="299" t="s">
        <v>268</v>
      </c>
      <c r="C1431" s="304" t="s">
        <v>1133</v>
      </c>
      <c r="D1431" s="685" t="s">
        <v>1052</v>
      </c>
      <c r="E1431" s="306" t="s">
        <v>1053</v>
      </c>
      <c r="F1431" s="307"/>
      <c r="G1431" s="297" t="s">
        <v>1133</v>
      </c>
      <c r="H1431" s="308" t="str">
        <f t="shared" si="91"/>
        <v>AR-R22-1</v>
      </c>
      <c r="I1431" s="661">
        <v>1</v>
      </c>
      <c r="K1431" s="232"/>
      <c r="L1431" s="234">
        <v>1</v>
      </c>
      <c r="M1431" s="197">
        <v>1</v>
      </c>
      <c r="Q1431" s="237"/>
    </row>
    <row r="1432" spans="2:17" s="233" customFormat="1" ht="15" customHeight="1" outlineLevel="3">
      <c r="B1432" s="299" t="s">
        <v>268</v>
      </c>
      <c r="C1432" s="304" t="s">
        <v>1133</v>
      </c>
      <c r="D1432" s="685" t="s">
        <v>1054</v>
      </c>
      <c r="E1432" s="306" t="s">
        <v>1055</v>
      </c>
      <c r="F1432" s="307"/>
      <c r="G1432" s="297" t="s">
        <v>1133</v>
      </c>
      <c r="H1432" s="308" t="str">
        <f t="shared" si="91"/>
        <v>AR-R22-1</v>
      </c>
      <c r="I1432" s="661">
        <v>1</v>
      </c>
      <c r="K1432" s="232"/>
      <c r="L1432" s="234">
        <v>1</v>
      </c>
      <c r="M1432" s="197">
        <v>1</v>
      </c>
      <c r="Q1432" s="237"/>
    </row>
    <row r="1433" spans="2:17" s="233" customFormat="1" ht="15" customHeight="1" outlineLevel="3">
      <c r="B1433" s="299"/>
      <c r="C1433" s="304"/>
      <c r="D1433" s="685"/>
      <c r="E1433" s="306" t="s">
        <v>277</v>
      </c>
      <c r="F1433" s="307"/>
      <c r="G1433" s="297"/>
      <c r="H1433" s="308"/>
      <c r="I1433" s="661"/>
      <c r="K1433" s="232"/>
      <c r="L1433" s="234"/>
      <c r="M1433" s="197"/>
      <c r="Q1433" s="237"/>
    </row>
    <row r="1434" spans="2:17" s="233" customFormat="1" ht="15" customHeight="1" outlineLevel="3">
      <c r="B1434" s="299" t="s">
        <v>1056</v>
      </c>
      <c r="C1434" s="304"/>
      <c r="D1434" s="685"/>
      <c r="E1434" s="306" t="s">
        <v>277</v>
      </c>
      <c r="F1434" s="307"/>
      <c r="G1434" s="297"/>
      <c r="H1434" s="308"/>
      <c r="I1434" s="661"/>
      <c r="K1434" s="232"/>
      <c r="L1434" s="234"/>
      <c r="M1434" s="197"/>
      <c r="Q1434" s="237"/>
    </row>
    <row r="1435" spans="2:17" s="233" customFormat="1" ht="15" customHeight="1" outlineLevel="3">
      <c r="B1435" s="299" t="s">
        <v>268</v>
      </c>
      <c r="C1435" s="304" t="s">
        <v>1133</v>
      </c>
      <c r="D1435" s="685" t="s">
        <v>372</v>
      </c>
      <c r="E1435" s="306" t="s">
        <v>373</v>
      </c>
      <c r="F1435" s="307"/>
      <c r="G1435" s="297" t="s">
        <v>1133</v>
      </c>
      <c r="H1435" s="308" t="str">
        <f>CONCATENATE("AR-",G1435,"-",I1435)</f>
        <v>AR-R22-1</v>
      </c>
      <c r="I1435" s="661">
        <v>1</v>
      </c>
      <c r="K1435" s="232"/>
      <c r="L1435" s="234">
        <v>1</v>
      </c>
      <c r="M1435" s="197">
        <v>1</v>
      </c>
      <c r="Q1435" s="237"/>
    </row>
    <row r="1436" spans="2:17" s="233" customFormat="1" ht="15" customHeight="1" outlineLevel="3">
      <c r="B1436" s="299" t="s">
        <v>268</v>
      </c>
      <c r="C1436" s="304" t="s">
        <v>1133</v>
      </c>
      <c r="D1436" s="685" t="s">
        <v>374</v>
      </c>
      <c r="E1436" s="306" t="s">
        <v>1058</v>
      </c>
      <c r="F1436" s="307"/>
      <c r="G1436" s="297" t="s">
        <v>1133</v>
      </c>
      <c r="H1436" s="308" t="str">
        <f>CONCATENATE("AR-",G1436,"-",I1436)</f>
        <v>AR-R22-1</v>
      </c>
      <c r="I1436" s="661">
        <v>1</v>
      </c>
      <c r="K1436" s="232"/>
      <c r="L1436" s="234">
        <v>1</v>
      </c>
      <c r="M1436" s="197">
        <v>1</v>
      </c>
      <c r="Q1436" s="237"/>
    </row>
    <row r="1437" spans="2:17" s="262" customFormat="1" ht="15" customHeight="1" outlineLevel="3">
      <c r="B1437" s="299" t="s">
        <v>268</v>
      </c>
      <c r="C1437" s="304" t="s">
        <v>1133</v>
      </c>
      <c r="D1437" s="685" t="s">
        <v>376</v>
      </c>
      <c r="E1437" s="306" t="s">
        <v>1059</v>
      </c>
      <c r="F1437" s="307"/>
      <c r="G1437" s="297" t="s">
        <v>1133</v>
      </c>
      <c r="H1437" s="308" t="str">
        <f>CONCATENATE("AR-",G1437,"-",I1437)</f>
        <v>AR-R22-1</v>
      </c>
      <c r="I1437" s="661">
        <v>1</v>
      </c>
      <c r="K1437" s="260"/>
      <c r="L1437" s="234">
        <v>1</v>
      </c>
      <c r="M1437" s="197">
        <v>1</v>
      </c>
      <c r="Q1437" s="716"/>
    </row>
    <row r="1438" spans="2:17" s="233" customFormat="1" ht="15" customHeight="1" outlineLevel="3">
      <c r="B1438" s="299"/>
      <c r="C1438" s="304"/>
      <c r="D1438" s="685"/>
      <c r="E1438" s="306" t="s">
        <v>277</v>
      </c>
      <c r="F1438" s="307"/>
      <c r="G1438" s="297"/>
      <c r="H1438" s="308"/>
      <c r="I1438" s="661"/>
      <c r="K1438" s="232"/>
      <c r="L1438" s="234"/>
      <c r="M1438" s="197"/>
      <c r="Q1438" s="237"/>
    </row>
    <row r="1439" spans="2:17" s="233" customFormat="1" ht="15" customHeight="1" outlineLevel="3">
      <c r="B1439" s="299" t="s">
        <v>1060</v>
      </c>
      <c r="C1439" s="304"/>
      <c r="D1439" s="685"/>
      <c r="E1439" s="306" t="s">
        <v>277</v>
      </c>
      <c r="F1439" s="307"/>
      <c r="G1439" s="297"/>
      <c r="H1439" s="308"/>
      <c r="I1439" s="661"/>
      <c r="K1439" s="232"/>
      <c r="L1439" s="234"/>
      <c r="M1439" s="197"/>
      <c r="Q1439" s="237"/>
    </row>
    <row r="1440" spans="2:17" s="233" customFormat="1" ht="15" customHeight="1" outlineLevel="3">
      <c r="B1440" s="299" t="s">
        <v>268</v>
      </c>
      <c r="C1440" s="304" t="s">
        <v>1133</v>
      </c>
      <c r="D1440" s="685" t="s">
        <v>701</v>
      </c>
      <c r="E1440" s="306" t="s">
        <v>1061</v>
      </c>
      <c r="F1440" s="307"/>
      <c r="G1440" s="297" t="s">
        <v>1133</v>
      </c>
      <c r="H1440" s="308" t="str">
        <f>CONCATENATE("AR-",G1440,"-",I1440)</f>
        <v>AR-R22-1</v>
      </c>
      <c r="I1440" s="661">
        <v>1</v>
      </c>
      <c r="K1440" s="232"/>
      <c r="L1440" s="234">
        <v>1</v>
      </c>
      <c r="M1440" s="197">
        <v>1</v>
      </c>
      <c r="Q1440" s="237"/>
    </row>
    <row r="1441" spans="2:17" s="233" customFormat="1" ht="15" customHeight="1" outlineLevel="3">
      <c r="B1441" s="299" t="s">
        <v>268</v>
      </c>
      <c r="C1441" s="304" t="s">
        <v>1133</v>
      </c>
      <c r="D1441" s="685" t="s">
        <v>1062</v>
      </c>
      <c r="E1441" s="306" t="s">
        <v>1063</v>
      </c>
      <c r="F1441" s="307"/>
      <c r="G1441" s="297" t="s">
        <v>1133</v>
      </c>
      <c r="H1441" s="308" t="str">
        <f>CONCATENATE("AR-",G1441,"-",I1441)</f>
        <v>AR-R22-1</v>
      </c>
      <c r="I1441" s="661">
        <v>1</v>
      </c>
      <c r="K1441" s="232"/>
      <c r="L1441" s="234">
        <v>1</v>
      </c>
      <c r="M1441" s="197">
        <v>1</v>
      </c>
      <c r="Q1441" s="237"/>
    </row>
    <row r="1442" spans="2:17" s="233" customFormat="1" ht="15" customHeight="1" outlineLevel="3">
      <c r="B1442" s="299"/>
      <c r="C1442" s="304"/>
      <c r="D1442" s="685"/>
      <c r="E1442" s="306" t="s">
        <v>277</v>
      </c>
      <c r="F1442" s="307"/>
      <c r="G1442" s="297"/>
      <c r="H1442" s="308"/>
      <c r="I1442" s="661"/>
      <c r="K1442" s="232"/>
      <c r="L1442" s="234"/>
      <c r="M1442" s="197"/>
      <c r="Q1442" s="237"/>
    </row>
    <row r="1443" spans="2:17" s="233" customFormat="1" ht="15" customHeight="1" outlineLevel="3">
      <c r="B1443" s="299" t="s">
        <v>1064</v>
      </c>
      <c r="C1443" s="304"/>
      <c r="D1443" s="685"/>
      <c r="E1443" s="306" t="s">
        <v>277</v>
      </c>
      <c r="F1443" s="307"/>
      <c r="G1443" s="297"/>
      <c r="H1443" s="308"/>
      <c r="I1443" s="661"/>
      <c r="K1443" s="232"/>
      <c r="L1443" s="234"/>
      <c r="M1443" s="197"/>
      <c r="Q1443" s="237"/>
    </row>
    <row r="1444" spans="2:17" s="233" customFormat="1" ht="15" customHeight="1" outlineLevel="3">
      <c r="B1444" s="299" t="s">
        <v>268</v>
      </c>
      <c r="C1444" s="304" t="s">
        <v>1133</v>
      </c>
      <c r="D1444" s="685" t="s">
        <v>283</v>
      </c>
      <c r="E1444" s="306" t="s">
        <v>1065</v>
      </c>
      <c r="F1444" s="307"/>
      <c r="G1444" s="297" t="s">
        <v>1133</v>
      </c>
      <c r="H1444" s="308" t="str">
        <f>CONCATENATE("AR-",G1444,"-",I1444)</f>
        <v>AR-R22-1</v>
      </c>
      <c r="I1444" s="661">
        <v>1</v>
      </c>
      <c r="K1444" s="232"/>
      <c r="L1444" s="234">
        <v>1</v>
      </c>
      <c r="M1444" s="197">
        <v>1</v>
      </c>
      <c r="Q1444" s="237"/>
    </row>
    <row r="1445" spans="2:17" s="233" customFormat="1" ht="15" customHeight="1" outlineLevel="3">
      <c r="B1445" s="299" t="s">
        <v>268</v>
      </c>
      <c r="C1445" s="304" t="s">
        <v>1133</v>
      </c>
      <c r="D1445" s="685" t="s">
        <v>390</v>
      </c>
      <c r="E1445" s="306" t="s">
        <v>1066</v>
      </c>
      <c r="F1445" s="307"/>
      <c r="G1445" s="297" t="s">
        <v>1133</v>
      </c>
      <c r="H1445" s="308" t="str">
        <f>CONCATENATE("AR-",G1445,"-",I1445)</f>
        <v>AR-R22-1</v>
      </c>
      <c r="I1445" s="661">
        <v>1</v>
      </c>
      <c r="K1445" s="232"/>
      <c r="L1445" s="234">
        <v>1</v>
      </c>
      <c r="M1445" s="197">
        <v>1</v>
      </c>
      <c r="Q1445" s="237"/>
    </row>
    <row r="1446" spans="2:17" s="233" customFormat="1" ht="15" customHeight="1" outlineLevel="3">
      <c r="B1446" s="299" t="s">
        <v>268</v>
      </c>
      <c r="C1446" s="304" t="s">
        <v>1133</v>
      </c>
      <c r="D1446" s="685" t="s">
        <v>392</v>
      </c>
      <c r="E1446" s="306" t="s">
        <v>1067</v>
      </c>
      <c r="F1446" s="307"/>
      <c r="G1446" s="297" t="s">
        <v>1133</v>
      </c>
      <c r="H1446" s="308" t="str">
        <f>CONCATENATE("AR-",G1446,"-",I1446)</f>
        <v>AR-R22-1</v>
      </c>
      <c r="I1446" s="661">
        <v>1</v>
      </c>
      <c r="K1446" s="232"/>
      <c r="L1446" s="234">
        <v>1</v>
      </c>
      <c r="M1446" s="197">
        <v>1</v>
      </c>
      <c r="Q1446" s="237"/>
    </row>
    <row r="1447" spans="2:17" s="233" customFormat="1" ht="15" customHeight="1" outlineLevel="3">
      <c r="B1447" s="299" t="s">
        <v>268</v>
      </c>
      <c r="C1447" s="304" t="s">
        <v>1133</v>
      </c>
      <c r="D1447" s="685" t="s">
        <v>1068</v>
      </c>
      <c r="E1447" s="306" t="s">
        <v>1069</v>
      </c>
      <c r="F1447" s="307"/>
      <c r="G1447" s="297" t="s">
        <v>1133</v>
      </c>
      <c r="H1447" s="308" t="str">
        <f>CONCATENATE("AR-",G1447,"-",I1447)</f>
        <v>AR-R22-1</v>
      </c>
      <c r="I1447" s="661">
        <v>1</v>
      </c>
      <c r="K1447" s="232"/>
      <c r="L1447" s="234">
        <v>1</v>
      </c>
      <c r="M1447" s="197">
        <v>1</v>
      </c>
      <c r="Q1447" s="237"/>
    </row>
    <row r="1448" spans="2:17" s="233" customFormat="1" ht="15" customHeight="1" outlineLevel="3">
      <c r="B1448" s="299"/>
      <c r="C1448" s="304"/>
      <c r="D1448" s="685"/>
      <c r="E1448" s="306" t="s">
        <v>277</v>
      </c>
      <c r="F1448" s="307"/>
      <c r="G1448" s="297"/>
      <c r="H1448" s="308"/>
      <c r="I1448" s="661"/>
      <c r="K1448" s="232"/>
      <c r="L1448" s="234"/>
      <c r="M1448" s="197"/>
      <c r="Q1448" s="237"/>
    </row>
    <row r="1449" spans="2:17" s="233" customFormat="1" ht="15" customHeight="1" outlineLevel="3">
      <c r="B1449" s="299" t="s">
        <v>1070</v>
      </c>
      <c r="C1449" s="304"/>
      <c r="D1449" s="685"/>
      <c r="E1449" s="306" t="s">
        <v>277</v>
      </c>
      <c r="F1449" s="307"/>
      <c r="G1449" s="297"/>
      <c r="H1449" s="308"/>
      <c r="I1449" s="661"/>
      <c r="K1449" s="232"/>
      <c r="L1449" s="234"/>
      <c r="M1449" s="197"/>
      <c r="Q1449" s="237"/>
    </row>
    <row r="1450" spans="2:17" s="233" customFormat="1" ht="15" customHeight="1" outlineLevel="3">
      <c r="B1450" s="299" t="s">
        <v>268</v>
      </c>
      <c r="C1450" s="304" t="s">
        <v>1133</v>
      </c>
      <c r="D1450" s="685" t="s">
        <v>291</v>
      </c>
      <c r="E1450" s="306" t="s">
        <v>1071</v>
      </c>
      <c r="F1450" s="307"/>
      <c r="G1450" s="297" t="s">
        <v>1133</v>
      </c>
      <c r="H1450" s="308" t="str">
        <f>CONCATENATE("AR-",G1450,"-",I1450)</f>
        <v>AR-R22-1</v>
      </c>
      <c r="I1450" s="661">
        <v>1</v>
      </c>
      <c r="K1450" s="232"/>
      <c r="L1450" s="234">
        <v>1</v>
      </c>
      <c r="M1450" s="197">
        <v>1</v>
      </c>
      <c r="Q1450" s="237"/>
    </row>
    <row r="1451" spans="2:17" s="233" customFormat="1" ht="15" customHeight="1" outlineLevel="3">
      <c r="B1451" s="299" t="s">
        <v>268</v>
      </c>
      <c r="C1451" s="304" t="s">
        <v>1133</v>
      </c>
      <c r="D1451" s="685" t="s">
        <v>950</v>
      </c>
      <c r="E1451" s="306" t="s">
        <v>1072</v>
      </c>
      <c r="F1451" s="307"/>
      <c r="G1451" s="297" t="s">
        <v>1133</v>
      </c>
      <c r="H1451" s="308" t="str">
        <f>CONCATENATE("AR-",G1451,"-",I1451)</f>
        <v>AR-R22-1</v>
      </c>
      <c r="I1451" s="661">
        <v>1</v>
      </c>
      <c r="K1451" s="232"/>
      <c r="L1451" s="234">
        <v>1</v>
      </c>
      <c r="M1451" s="197">
        <v>1</v>
      </c>
      <c r="Q1451" s="237"/>
    </row>
    <row r="1452" spans="2:17" s="233" customFormat="1" ht="15" customHeight="1" outlineLevel="3">
      <c r="B1452" s="299"/>
      <c r="C1452" s="304"/>
      <c r="D1452" s="685"/>
      <c r="E1452" s="306" t="s">
        <v>277</v>
      </c>
      <c r="F1452" s="307"/>
      <c r="G1452" s="297"/>
      <c r="H1452" s="308"/>
      <c r="I1452" s="661"/>
      <c r="K1452" s="232"/>
      <c r="L1452" s="234"/>
      <c r="M1452" s="197"/>
      <c r="Q1452" s="237"/>
    </row>
    <row r="1453" spans="2:17" s="259" customFormat="1" ht="15" customHeight="1" outlineLevel="3">
      <c r="B1453" s="299" t="s">
        <v>1073</v>
      </c>
      <c r="C1453" s="304"/>
      <c r="D1453" s="685"/>
      <c r="E1453" s="306" t="s">
        <v>277</v>
      </c>
      <c r="F1453" s="307"/>
      <c r="G1453" s="297"/>
      <c r="H1453" s="308"/>
      <c r="I1453" s="661"/>
      <c r="K1453" s="258"/>
      <c r="L1453" s="242"/>
      <c r="M1453" s="197"/>
      <c r="Q1453" s="715"/>
    </row>
    <row r="1454" spans="2:17" s="233" customFormat="1" ht="15" customHeight="1" outlineLevel="3">
      <c r="B1454" s="299" t="s">
        <v>268</v>
      </c>
      <c r="C1454" s="304" t="s">
        <v>1133</v>
      </c>
      <c r="D1454" s="685" t="s">
        <v>551</v>
      </c>
      <c r="E1454" s="306" t="s">
        <v>1074</v>
      </c>
      <c r="F1454" s="307"/>
      <c r="G1454" s="297" t="s">
        <v>1133</v>
      </c>
      <c r="H1454" s="308" t="str">
        <f>CONCATENATE("AR-",G1454,"-",I1454)</f>
        <v>AR-R22-1</v>
      </c>
      <c r="I1454" s="661">
        <v>1</v>
      </c>
      <c r="K1454" s="232"/>
      <c r="L1454" s="234">
        <v>1</v>
      </c>
      <c r="M1454" s="197">
        <v>1</v>
      </c>
      <c r="Q1454" s="237"/>
    </row>
    <row r="1455" spans="2:17" s="233" customFormat="1" ht="15" customHeight="1" outlineLevel="3">
      <c r="B1455" s="299" t="s">
        <v>268</v>
      </c>
      <c r="C1455" s="304" t="s">
        <v>1133</v>
      </c>
      <c r="D1455" s="685" t="s">
        <v>553</v>
      </c>
      <c r="E1455" s="306" t="s">
        <v>1075</v>
      </c>
      <c r="F1455" s="307"/>
      <c r="G1455" s="297" t="s">
        <v>1133</v>
      </c>
      <c r="H1455" s="308" t="str">
        <f>CONCATENATE("AR-",G1455,"-",I1455)</f>
        <v>AR-R22-1</v>
      </c>
      <c r="I1455" s="661">
        <v>1</v>
      </c>
      <c r="K1455" s="232"/>
      <c r="L1455" s="234">
        <v>1</v>
      </c>
      <c r="M1455" s="197">
        <v>1</v>
      </c>
      <c r="Q1455" s="237"/>
    </row>
    <row r="1456" spans="2:17" s="233" customFormat="1" ht="15" customHeight="1" outlineLevel="3">
      <c r="B1456" s="299" t="s">
        <v>268</v>
      </c>
      <c r="C1456" s="304" t="s">
        <v>1133</v>
      </c>
      <c r="D1456" s="685" t="s">
        <v>554</v>
      </c>
      <c r="E1456" s="306" t="s">
        <v>1076</v>
      </c>
      <c r="F1456" s="307"/>
      <c r="G1456" s="297" t="s">
        <v>1133</v>
      </c>
      <c r="H1456" s="308" t="str">
        <f>CONCATENATE("AR-",G1456,"-",I1456)</f>
        <v>AR-R22-1</v>
      </c>
      <c r="I1456" s="661">
        <v>1</v>
      </c>
      <c r="K1456" s="232"/>
      <c r="L1456" s="234">
        <v>1</v>
      </c>
      <c r="M1456" s="197">
        <v>1</v>
      </c>
      <c r="Q1456" s="237"/>
    </row>
    <row r="1457" spans="2:17" s="233" customFormat="1" ht="15" customHeight="1" outlineLevel="3">
      <c r="B1457" s="299"/>
      <c r="C1457" s="304"/>
      <c r="D1457" s="685"/>
      <c r="E1457" s="306" t="s">
        <v>277</v>
      </c>
      <c r="F1457" s="307"/>
      <c r="G1457" s="297"/>
      <c r="H1457" s="308"/>
      <c r="I1457" s="661"/>
      <c r="K1457" s="232"/>
      <c r="L1457" s="234"/>
      <c r="M1457" s="197"/>
      <c r="Q1457" s="237"/>
    </row>
    <row r="1458" spans="2:17" s="233" customFormat="1" ht="15" customHeight="1" outlineLevel="3">
      <c r="B1458" s="299" t="s">
        <v>1077</v>
      </c>
      <c r="C1458" s="304"/>
      <c r="D1458" s="685"/>
      <c r="E1458" s="306" t="s">
        <v>277</v>
      </c>
      <c r="F1458" s="307"/>
      <c r="G1458" s="297"/>
      <c r="H1458" s="308"/>
      <c r="I1458" s="661"/>
      <c r="K1458" s="232"/>
      <c r="L1458" s="234"/>
      <c r="M1458" s="197"/>
      <c r="Q1458" s="237"/>
    </row>
    <row r="1459" spans="2:17" s="233" customFormat="1" ht="15" customHeight="1" outlineLevel="3">
      <c r="B1459" s="299" t="s">
        <v>268</v>
      </c>
      <c r="C1459" s="304" t="s">
        <v>1133</v>
      </c>
      <c r="D1459" s="685" t="s">
        <v>683</v>
      </c>
      <c r="E1459" s="306" t="s">
        <v>1078</v>
      </c>
      <c r="F1459" s="307"/>
      <c r="G1459" s="297" t="s">
        <v>1133</v>
      </c>
      <c r="H1459" s="308" t="str">
        <f>CONCATENATE("AR-",G1459,"-",I1459)</f>
        <v>AR-R22-1</v>
      </c>
      <c r="I1459" s="661">
        <v>1</v>
      </c>
      <c r="K1459" s="232"/>
      <c r="L1459" s="234">
        <v>1</v>
      </c>
      <c r="M1459" s="197">
        <v>1</v>
      </c>
      <c r="Q1459" s="237"/>
    </row>
    <row r="1460" spans="2:17" s="233" customFormat="1" ht="15" customHeight="1" outlineLevel="3">
      <c r="B1460" s="299" t="s">
        <v>268</v>
      </c>
      <c r="C1460" s="304" t="s">
        <v>1133</v>
      </c>
      <c r="D1460" s="685" t="s">
        <v>1023</v>
      </c>
      <c r="E1460" s="306" t="s">
        <v>1079</v>
      </c>
      <c r="F1460" s="307"/>
      <c r="G1460" s="297" t="s">
        <v>1133</v>
      </c>
      <c r="H1460" s="308" t="str">
        <f>CONCATENATE("AR-",G1460,"-",I1460)</f>
        <v>AR-R22-1</v>
      </c>
      <c r="I1460" s="661">
        <v>1</v>
      </c>
      <c r="K1460" s="232"/>
      <c r="L1460" s="234">
        <v>1</v>
      </c>
      <c r="M1460" s="197">
        <v>1</v>
      </c>
      <c r="Q1460" s="237"/>
    </row>
    <row r="1461" spans="2:17" s="233" customFormat="1" ht="15" customHeight="1" outlineLevel="3">
      <c r="B1461" s="299" t="s">
        <v>268</v>
      </c>
      <c r="C1461" s="304" t="s">
        <v>1133</v>
      </c>
      <c r="D1461" s="685" t="s">
        <v>1025</v>
      </c>
      <c r="E1461" s="306" t="s">
        <v>1080</v>
      </c>
      <c r="F1461" s="307"/>
      <c r="G1461" s="297" t="s">
        <v>1133</v>
      </c>
      <c r="H1461" s="308" t="str">
        <f>CONCATENATE("AR-",G1461,"-",I1461)</f>
        <v>AR-R22-1</v>
      </c>
      <c r="I1461" s="661">
        <v>1</v>
      </c>
      <c r="K1461" s="232"/>
      <c r="L1461" s="234">
        <v>1</v>
      </c>
      <c r="M1461" s="197">
        <v>1</v>
      </c>
      <c r="Q1461" s="237"/>
    </row>
    <row r="1462" spans="2:17" s="233" customFormat="1" ht="15" customHeight="1" outlineLevel="3">
      <c r="B1462" s="299"/>
      <c r="C1462" s="304"/>
      <c r="D1462" s="685"/>
      <c r="E1462" s="306" t="s">
        <v>277</v>
      </c>
      <c r="F1462" s="307"/>
      <c r="G1462" s="297"/>
      <c r="H1462" s="308"/>
      <c r="I1462" s="661"/>
      <c r="K1462" s="232"/>
      <c r="L1462" s="234"/>
      <c r="M1462" s="197"/>
      <c r="Q1462" s="237"/>
    </row>
    <row r="1463" spans="2:17" s="259" customFormat="1" ht="15" customHeight="1" outlineLevel="3">
      <c r="B1463" s="299" t="s">
        <v>1085</v>
      </c>
      <c r="C1463" s="304"/>
      <c r="D1463" s="685"/>
      <c r="E1463" s="306" t="s">
        <v>277</v>
      </c>
      <c r="F1463" s="307"/>
      <c r="G1463" s="297"/>
      <c r="H1463" s="308"/>
      <c r="I1463" s="661"/>
      <c r="K1463" s="258"/>
      <c r="L1463" s="242"/>
      <c r="M1463" s="197"/>
      <c r="Q1463" s="715"/>
    </row>
    <row r="1464" spans="2:17" s="259" customFormat="1" ht="15" customHeight="1" outlineLevel="3">
      <c r="B1464" s="299" t="s">
        <v>268</v>
      </c>
      <c r="C1464" s="304" t="s">
        <v>1133</v>
      </c>
      <c r="D1464" s="685" t="s">
        <v>1086</v>
      </c>
      <c r="E1464" s="306" t="s">
        <v>1087</v>
      </c>
      <c r="F1464" s="307"/>
      <c r="G1464" s="297" t="s">
        <v>1133</v>
      </c>
      <c r="H1464" s="308" t="str">
        <f>CONCATENATE("AR-",G1464,"-",I1464)</f>
        <v>AR-R22-1</v>
      </c>
      <c r="I1464" s="661">
        <v>1</v>
      </c>
      <c r="K1464" s="258"/>
      <c r="L1464" s="234">
        <v>1</v>
      </c>
      <c r="M1464" s="197">
        <v>1</v>
      </c>
      <c r="Q1464" s="715"/>
    </row>
    <row r="1465" spans="2:17" s="233" customFormat="1" ht="15" customHeight="1" outlineLevel="3">
      <c r="B1465" s="299" t="s">
        <v>268</v>
      </c>
      <c r="C1465" s="304" t="s">
        <v>1133</v>
      </c>
      <c r="D1465" s="685" t="s">
        <v>320</v>
      </c>
      <c r="E1465" s="306" t="s">
        <v>1088</v>
      </c>
      <c r="F1465" s="307"/>
      <c r="G1465" s="297" t="s">
        <v>1133</v>
      </c>
      <c r="H1465" s="308" t="str">
        <f>CONCATENATE("AR-",G1465,"-",I1465)</f>
        <v>AR-R22-1</v>
      </c>
      <c r="I1465" s="661">
        <v>1</v>
      </c>
      <c r="K1465" s="232"/>
      <c r="L1465" s="234">
        <v>1</v>
      </c>
      <c r="M1465" s="197">
        <v>1</v>
      </c>
      <c r="Q1465" s="237"/>
    </row>
    <row r="1466" spans="2:17" s="233" customFormat="1" ht="15" customHeight="1" outlineLevel="3">
      <c r="B1466" s="299" t="s">
        <v>268</v>
      </c>
      <c r="C1466" s="304" t="s">
        <v>1133</v>
      </c>
      <c r="D1466" s="685" t="s">
        <v>1089</v>
      </c>
      <c r="E1466" s="306" t="s">
        <v>1090</v>
      </c>
      <c r="F1466" s="307"/>
      <c r="G1466" s="297" t="s">
        <v>1133</v>
      </c>
      <c r="H1466" s="308" t="str">
        <f>CONCATENATE("AR-",G1466,"-",I1466)</f>
        <v>AR-R22-1</v>
      </c>
      <c r="I1466" s="661">
        <v>1</v>
      </c>
      <c r="K1466" s="232"/>
      <c r="L1466" s="234">
        <v>1</v>
      </c>
      <c r="M1466" s="197">
        <v>1</v>
      </c>
      <c r="Q1466" s="237"/>
    </row>
    <row r="1467" spans="2:17" s="233" customFormat="1" ht="15" customHeight="1" outlineLevel="3">
      <c r="B1467" s="299" t="s">
        <v>268</v>
      </c>
      <c r="C1467" s="304" t="s">
        <v>1133</v>
      </c>
      <c r="D1467" s="685" t="s">
        <v>1091</v>
      </c>
      <c r="E1467" s="306" t="s">
        <v>1092</v>
      </c>
      <c r="F1467" s="307"/>
      <c r="G1467" s="297" t="s">
        <v>1133</v>
      </c>
      <c r="H1467" s="308" t="str">
        <f>CONCATENATE("AR-",G1467,"-",I1467)</f>
        <v>AR-R22-1</v>
      </c>
      <c r="I1467" s="661">
        <v>1</v>
      </c>
      <c r="K1467" s="232"/>
      <c r="L1467" s="234">
        <v>1</v>
      </c>
      <c r="M1467" s="197">
        <v>1</v>
      </c>
      <c r="Q1467" s="237"/>
    </row>
    <row r="1468" spans="2:17" s="233" customFormat="1" ht="15" customHeight="1" outlineLevel="3">
      <c r="B1468" s="299"/>
      <c r="C1468" s="304"/>
      <c r="D1468" s="685"/>
      <c r="E1468" s="306" t="s">
        <v>277</v>
      </c>
      <c r="F1468" s="307"/>
      <c r="G1468" s="297"/>
      <c r="H1468" s="308"/>
      <c r="I1468" s="661"/>
      <c r="K1468" s="232"/>
      <c r="L1468" s="234"/>
      <c r="M1468" s="197"/>
      <c r="Q1468" s="237"/>
    </row>
    <row r="1469" spans="2:17" s="259" customFormat="1" ht="15" customHeight="1" outlineLevel="3">
      <c r="B1469" s="299" t="s">
        <v>1093</v>
      </c>
      <c r="C1469" s="304"/>
      <c r="D1469" s="685"/>
      <c r="E1469" s="306" t="s">
        <v>277</v>
      </c>
      <c r="F1469" s="307"/>
      <c r="G1469" s="297"/>
      <c r="H1469" s="308"/>
      <c r="I1469" s="661"/>
      <c r="K1469" s="258"/>
      <c r="L1469" s="242"/>
      <c r="M1469" s="197"/>
      <c r="Q1469" s="715"/>
    </row>
    <row r="1470" spans="2:17" s="233" customFormat="1" ht="15" customHeight="1" outlineLevel="3">
      <c r="B1470" s="299" t="s">
        <v>268</v>
      </c>
      <c r="C1470" s="304" t="s">
        <v>1133</v>
      </c>
      <c r="D1470" s="685" t="s">
        <v>409</v>
      </c>
      <c r="E1470" s="306" t="s">
        <v>892</v>
      </c>
      <c r="F1470" s="307"/>
      <c r="G1470" s="297" t="s">
        <v>1133</v>
      </c>
      <c r="H1470" s="308" t="str">
        <f>CONCATENATE("AR-",G1470,"-",I1470)</f>
        <v>AR-R22-1</v>
      </c>
      <c r="I1470" s="661">
        <v>1</v>
      </c>
      <c r="K1470" s="232"/>
      <c r="L1470" s="234">
        <v>1</v>
      </c>
      <c r="M1470" s="197">
        <v>1</v>
      </c>
      <c r="Q1470" s="237"/>
    </row>
    <row r="1471" spans="2:17" s="233" customFormat="1" ht="15" customHeight="1" outlineLevel="3">
      <c r="B1471" s="299" t="s">
        <v>268</v>
      </c>
      <c r="C1471" s="304" t="s">
        <v>1133</v>
      </c>
      <c r="D1471" s="685" t="s">
        <v>411</v>
      </c>
      <c r="E1471" s="306" t="s">
        <v>893</v>
      </c>
      <c r="F1471" s="307"/>
      <c r="G1471" s="297" t="s">
        <v>1133</v>
      </c>
      <c r="H1471" s="308" t="str">
        <f>CONCATENATE("AR-",G1471,"-",I1471)</f>
        <v>AR-R22-1</v>
      </c>
      <c r="I1471" s="661">
        <v>1</v>
      </c>
      <c r="K1471" s="232"/>
      <c r="L1471" s="234">
        <v>1</v>
      </c>
      <c r="M1471" s="197">
        <v>1</v>
      </c>
      <c r="Q1471" s="237"/>
    </row>
    <row r="1472" spans="2:17" s="233" customFormat="1" ht="15" customHeight="1" outlineLevel="3">
      <c r="B1472" s="299" t="s">
        <v>268</v>
      </c>
      <c r="C1472" s="304" t="s">
        <v>1133</v>
      </c>
      <c r="D1472" s="685" t="s">
        <v>903</v>
      </c>
      <c r="E1472" s="306" t="s">
        <v>1094</v>
      </c>
      <c r="F1472" s="307"/>
      <c r="G1472" s="297" t="s">
        <v>1133</v>
      </c>
      <c r="H1472" s="308" t="str">
        <f>CONCATENATE("AR-",G1472,"-",I1472)</f>
        <v>AR-R22-1</v>
      </c>
      <c r="I1472" s="661">
        <v>1</v>
      </c>
      <c r="K1472" s="232"/>
      <c r="L1472" s="234">
        <v>1</v>
      </c>
      <c r="M1472" s="197">
        <v>1</v>
      </c>
      <c r="Q1472" s="237"/>
    </row>
    <row r="1473" spans="2:17" s="233" customFormat="1" ht="15" customHeight="1" outlineLevel="3">
      <c r="B1473" s="299" t="s">
        <v>268</v>
      </c>
      <c r="C1473" s="304" t="s">
        <v>1133</v>
      </c>
      <c r="D1473" s="685" t="s">
        <v>1095</v>
      </c>
      <c r="E1473" s="306" t="s">
        <v>1096</v>
      </c>
      <c r="F1473" s="307"/>
      <c r="G1473" s="297" t="s">
        <v>1133</v>
      </c>
      <c r="H1473" s="308" t="str">
        <f>CONCATENATE("AR-",G1473,"-",I1473)</f>
        <v>AR-R22-1</v>
      </c>
      <c r="I1473" s="661">
        <v>1</v>
      </c>
      <c r="K1473" s="232"/>
      <c r="L1473" s="234">
        <v>1</v>
      </c>
      <c r="M1473" s="197">
        <v>1</v>
      </c>
      <c r="Q1473" s="237"/>
    </row>
    <row r="1474" spans="2:17" s="233" customFormat="1" ht="15" customHeight="1" outlineLevel="3">
      <c r="B1474" s="299" t="s">
        <v>268</v>
      </c>
      <c r="C1474" s="304" t="s">
        <v>1133</v>
      </c>
      <c r="D1474" s="685" t="s">
        <v>1097</v>
      </c>
      <c r="E1474" s="306" t="s">
        <v>1098</v>
      </c>
      <c r="F1474" s="307"/>
      <c r="G1474" s="297" t="s">
        <v>1133</v>
      </c>
      <c r="H1474" s="308" t="str">
        <f>CONCATENATE("AR-",G1474,"-",I1474)</f>
        <v>AR-R22-1</v>
      </c>
      <c r="I1474" s="661">
        <v>1</v>
      </c>
      <c r="K1474" s="232"/>
      <c r="L1474" s="234">
        <v>1</v>
      </c>
      <c r="M1474" s="197">
        <v>1</v>
      </c>
      <c r="Q1474" s="237"/>
    </row>
    <row r="1475" spans="2:17" s="233" customFormat="1" ht="15" customHeight="1" outlineLevel="3">
      <c r="B1475" s="299"/>
      <c r="C1475" s="304"/>
      <c r="D1475" s="685"/>
      <c r="E1475" s="306" t="s">
        <v>277</v>
      </c>
      <c r="F1475" s="307"/>
      <c r="G1475" s="297"/>
      <c r="H1475" s="308"/>
      <c r="I1475" s="661"/>
      <c r="K1475" s="232"/>
      <c r="L1475" s="234"/>
      <c r="M1475" s="197"/>
      <c r="Q1475" s="237"/>
    </row>
    <row r="1476" spans="2:17" s="259" customFormat="1" ht="15" customHeight="1" outlineLevel="3">
      <c r="B1476" s="299" t="s">
        <v>1099</v>
      </c>
      <c r="C1476" s="304"/>
      <c r="D1476" s="685"/>
      <c r="E1476" s="306" t="s">
        <v>277</v>
      </c>
      <c r="F1476" s="307"/>
      <c r="G1476" s="297"/>
      <c r="H1476" s="308"/>
      <c r="I1476" s="661"/>
      <c r="K1476" s="258"/>
      <c r="L1476" s="242"/>
      <c r="M1476" s="197"/>
      <c r="Q1476" s="715"/>
    </row>
    <row r="1477" spans="2:17" s="233" customFormat="1" ht="15" customHeight="1" outlineLevel="3">
      <c r="B1477" s="299" t="s">
        <v>268</v>
      </c>
      <c r="C1477" s="304" t="s">
        <v>1133</v>
      </c>
      <c r="D1477" s="685" t="s">
        <v>418</v>
      </c>
      <c r="E1477" s="306" t="s">
        <v>1100</v>
      </c>
      <c r="F1477" s="307"/>
      <c r="G1477" s="297" t="s">
        <v>1133</v>
      </c>
      <c r="H1477" s="308" t="str">
        <f>CONCATENATE("AR-",G1477,"-",I1477)</f>
        <v>AR-R22-1</v>
      </c>
      <c r="I1477" s="661">
        <v>1</v>
      </c>
      <c r="K1477" s="232"/>
      <c r="L1477" s="234">
        <v>1</v>
      </c>
      <c r="M1477" s="197">
        <v>1</v>
      </c>
      <c r="Q1477" s="237"/>
    </row>
    <row r="1478" spans="2:17" s="233" customFormat="1" ht="15" customHeight="1" outlineLevel="3">
      <c r="B1478" s="299" t="s">
        <v>268</v>
      </c>
      <c r="C1478" s="304" t="s">
        <v>1133</v>
      </c>
      <c r="D1478" s="685" t="s">
        <v>1101</v>
      </c>
      <c r="E1478" s="306" t="s">
        <v>1102</v>
      </c>
      <c r="F1478" s="307"/>
      <c r="G1478" s="297" t="s">
        <v>1133</v>
      </c>
      <c r="H1478" s="308" t="str">
        <f>CONCATENATE("AR-",G1478,"-",I1478)</f>
        <v>AR-R22-1</v>
      </c>
      <c r="I1478" s="661">
        <v>1</v>
      </c>
      <c r="K1478" s="232"/>
      <c r="L1478" s="234">
        <v>1</v>
      </c>
      <c r="M1478" s="197">
        <v>1</v>
      </c>
      <c r="Q1478" s="237"/>
    </row>
    <row r="1479" spans="2:17" s="233" customFormat="1" ht="15" customHeight="1" outlineLevel="3">
      <c r="B1479" s="299"/>
      <c r="C1479" s="304"/>
      <c r="D1479" s="685"/>
      <c r="E1479" s="306" t="s">
        <v>277</v>
      </c>
      <c r="F1479" s="307"/>
      <c r="G1479" s="297"/>
      <c r="H1479" s="308"/>
      <c r="I1479" s="661"/>
      <c r="K1479" s="232"/>
      <c r="L1479" s="234"/>
      <c r="M1479" s="197"/>
      <c r="Q1479" s="237"/>
    </row>
    <row r="1480" spans="2:17" s="259" customFormat="1" ht="15" customHeight="1" outlineLevel="3">
      <c r="B1480" s="299" t="s">
        <v>957</v>
      </c>
      <c r="C1480" s="304"/>
      <c r="D1480" s="685"/>
      <c r="E1480" s="306" t="s">
        <v>277</v>
      </c>
      <c r="F1480" s="307"/>
      <c r="G1480" s="297"/>
      <c r="H1480" s="308"/>
      <c r="I1480" s="661"/>
      <c r="K1480" s="258"/>
      <c r="L1480" s="242"/>
      <c r="M1480" s="197"/>
      <c r="Q1480" s="715"/>
    </row>
    <row r="1481" spans="2:17" s="233" customFormat="1" ht="15" customHeight="1" outlineLevel="3">
      <c r="B1481" s="299" t="s">
        <v>268</v>
      </c>
      <c r="C1481" s="304" t="s">
        <v>1133</v>
      </c>
      <c r="D1481" s="685" t="s">
        <v>425</v>
      </c>
      <c r="E1481" s="306" t="s">
        <v>910</v>
      </c>
      <c r="F1481" s="307"/>
      <c r="G1481" s="297" t="s">
        <v>1133</v>
      </c>
      <c r="H1481" s="308" t="str">
        <f>CONCATENATE("AR-",G1481,"-",I1481)</f>
        <v>AR-R22-1</v>
      </c>
      <c r="I1481" s="661">
        <v>1</v>
      </c>
      <c r="K1481" s="232"/>
      <c r="L1481" s="234">
        <v>1</v>
      </c>
      <c r="M1481" s="197">
        <v>1</v>
      </c>
      <c r="Q1481" s="237"/>
    </row>
    <row r="1482" spans="2:17" s="233" customFormat="1" ht="15" customHeight="1" outlineLevel="3">
      <c r="B1482" s="299" t="s">
        <v>268</v>
      </c>
      <c r="C1482" s="304" t="s">
        <v>1133</v>
      </c>
      <c r="D1482" s="685" t="s">
        <v>427</v>
      </c>
      <c r="E1482" s="306" t="s">
        <v>911</v>
      </c>
      <c r="F1482" s="307"/>
      <c r="G1482" s="297" t="s">
        <v>1133</v>
      </c>
      <c r="H1482" s="308" t="str">
        <f>CONCATENATE("AR-",G1482,"-",I1482)</f>
        <v>AR-R22-1</v>
      </c>
      <c r="I1482" s="661">
        <v>1</v>
      </c>
      <c r="K1482" s="232"/>
      <c r="L1482" s="234">
        <v>1</v>
      </c>
      <c r="M1482" s="197">
        <v>1</v>
      </c>
      <c r="Q1482" s="237"/>
    </row>
    <row r="1483" spans="2:17" s="233" customFormat="1" ht="15" customHeight="1" outlineLevel="3">
      <c r="B1483" s="299" t="s">
        <v>268</v>
      </c>
      <c r="C1483" s="304" t="s">
        <v>1133</v>
      </c>
      <c r="D1483" s="685" t="s">
        <v>429</v>
      </c>
      <c r="E1483" s="306" t="s">
        <v>912</v>
      </c>
      <c r="F1483" s="307"/>
      <c r="G1483" s="297" t="s">
        <v>1133</v>
      </c>
      <c r="H1483" s="308" t="str">
        <f>CONCATENATE("AR-",G1483,"-",I1483)</f>
        <v>AR-R22-1</v>
      </c>
      <c r="I1483" s="661">
        <v>1</v>
      </c>
      <c r="K1483" s="232"/>
      <c r="L1483" s="234">
        <v>1</v>
      </c>
      <c r="M1483" s="197">
        <v>1</v>
      </c>
      <c r="Q1483" s="237"/>
    </row>
    <row r="1484" spans="2:17" s="233" customFormat="1" ht="15" customHeight="1" outlineLevel="3">
      <c r="B1484" s="299" t="s">
        <v>268</v>
      </c>
      <c r="C1484" s="304" t="s">
        <v>1133</v>
      </c>
      <c r="D1484" s="685" t="s">
        <v>431</v>
      </c>
      <c r="E1484" s="306" t="s">
        <v>913</v>
      </c>
      <c r="F1484" s="307"/>
      <c r="G1484" s="297" t="s">
        <v>1133</v>
      </c>
      <c r="H1484" s="308" t="str">
        <f>CONCATENATE("AR-",G1484,"-",I1484)</f>
        <v>AR-R22-1</v>
      </c>
      <c r="I1484" s="661">
        <v>1</v>
      </c>
      <c r="K1484" s="232"/>
      <c r="L1484" s="234">
        <v>1</v>
      </c>
      <c r="M1484" s="197">
        <v>1</v>
      </c>
      <c r="Q1484" s="237"/>
    </row>
    <row r="1485" spans="2:17" s="233" customFormat="1" ht="15" customHeight="1" outlineLevel="3">
      <c r="B1485" s="299"/>
      <c r="C1485" s="304"/>
      <c r="D1485" s="685"/>
      <c r="E1485" s="306" t="s">
        <v>277</v>
      </c>
      <c r="F1485" s="307"/>
      <c r="G1485" s="297"/>
      <c r="H1485" s="308"/>
      <c r="I1485" s="661"/>
      <c r="K1485" s="232"/>
      <c r="L1485" s="234"/>
      <c r="M1485" s="197"/>
      <c r="Q1485" s="237"/>
    </row>
    <row r="1486" spans="2:17" s="259" customFormat="1" ht="15" customHeight="1" outlineLevel="3">
      <c r="B1486" s="299" t="s">
        <v>1103</v>
      </c>
      <c r="C1486" s="304"/>
      <c r="D1486" s="685"/>
      <c r="E1486" s="306" t="s">
        <v>277</v>
      </c>
      <c r="F1486" s="307"/>
      <c r="G1486" s="297"/>
      <c r="H1486" s="308"/>
      <c r="I1486" s="661"/>
      <c r="K1486" s="258"/>
      <c r="L1486" s="242"/>
      <c r="M1486" s="197"/>
      <c r="Q1486" s="715"/>
    </row>
    <row r="1487" spans="2:17" s="233" customFormat="1" ht="15" customHeight="1" outlineLevel="3">
      <c r="B1487" s="299" t="s">
        <v>268</v>
      </c>
      <c r="C1487" s="304" t="s">
        <v>1133</v>
      </c>
      <c r="D1487" s="685" t="s">
        <v>915</v>
      </c>
      <c r="E1487" s="306" t="s">
        <v>1104</v>
      </c>
      <c r="F1487" s="307"/>
      <c r="G1487" s="297" t="s">
        <v>1133</v>
      </c>
      <c r="H1487" s="308" t="str">
        <f>CONCATENATE("AR-",G1487,"-",I1487)</f>
        <v>AR-R22-1</v>
      </c>
      <c r="I1487" s="661">
        <v>1</v>
      </c>
      <c r="K1487" s="232"/>
      <c r="L1487" s="234">
        <v>1</v>
      </c>
      <c r="M1487" s="197">
        <v>1</v>
      </c>
      <c r="Q1487" s="237"/>
    </row>
    <row r="1488" spans="2:17" s="233" customFormat="1" ht="15" customHeight="1" outlineLevel="3">
      <c r="B1488" s="299" t="s">
        <v>268</v>
      </c>
      <c r="C1488" s="304" t="s">
        <v>1133</v>
      </c>
      <c r="D1488" s="685" t="s">
        <v>1105</v>
      </c>
      <c r="E1488" s="306" t="s">
        <v>1104</v>
      </c>
      <c r="F1488" s="307"/>
      <c r="G1488" s="297" t="s">
        <v>1133</v>
      </c>
      <c r="H1488" s="308" t="str">
        <f>CONCATENATE("AR-",G1488,"-",I1488)</f>
        <v>AR-R22-1</v>
      </c>
      <c r="I1488" s="661">
        <v>1</v>
      </c>
      <c r="K1488" s="232"/>
      <c r="L1488" s="234">
        <v>1</v>
      </c>
      <c r="M1488" s="197">
        <v>1</v>
      </c>
      <c r="Q1488" s="237"/>
    </row>
    <row r="1489" spans="2:17" s="233" customFormat="1" ht="15" customHeight="1" outlineLevel="3">
      <c r="B1489" s="299" t="s">
        <v>1106</v>
      </c>
      <c r="C1489" s="304"/>
      <c r="D1489" s="685"/>
      <c r="E1489" s="306" t="s">
        <v>277</v>
      </c>
      <c r="F1489" s="307"/>
      <c r="G1489" s="297"/>
      <c r="H1489" s="308"/>
      <c r="I1489" s="661"/>
      <c r="K1489" s="232"/>
      <c r="L1489" s="234"/>
      <c r="M1489" s="197"/>
      <c r="Q1489" s="237"/>
    </row>
    <row r="1490" spans="2:17" s="233" customFormat="1" ht="15" customHeight="1" outlineLevel="3">
      <c r="B1490" s="299" t="s">
        <v>268</v>
      </c>
      <c r="C1490" s="304" t="s">
        <v>1133</v>
      </c>
      <c r="D1490" s="685" t="s">
        <v>1107</v>
      </c>
      <c r="E1490" s="306" t="s">
        <v>1108</v>
      </c>
      <c r="F1490" s="307"/>
      <c r="G1490" s="297" t="s">
        <v>1133</v>
      </c>
      <c r="H1490" s="308" t="str">
        <f>CONCATENATE("AR-",G1490,"-",I1490)</f>
        <v>AR-R22-1</v>
      </c>
      <c r="I1490" s="661">
        <v>1</v>
      </c>
      <c r="K1490" s="232"/>
      <c r="L1490" s="234">
        <v>1</v>
      </c>
      <c r="M1490" s="197">
        <v>1</v>
      </c>
      <c r="Q1490" s="237"/>
    </row>
    <row r="1491" spans="2:17" s="233" customFormat="1" ht="15" customHeight="1" outlineLevel="3">
      <c r="B1491" s="299" t="s">
        <v>268</v>
      </c>
      <c r="C1491" s="304" t="s">
        <v>1133</v>
      </c>
      <c r="D1491" s="685" t="s">
        <v>1109</v>
      </c>
      <c r="E1491" s="306" t="s">
        <v>1110</v>
      </c>
      <c r="F1491" s="307"/>
      <c r="G1491" s="297" t="s">
        <v>1133</v>
      </c>
      <c r="H1491" s="308" t="str">
        <f>CONCATENATE("AR-",G1491,"-",I1491)</f>
        <v>AR-R22-1</v>
      </c>
      <c r="I1491" s="661">
        <v>1</v>
      </c>
      <c r="K1491" s="232"/>
      <c r="L1491" s="234">
        <v>1</v>
      </c>
      <c r="M1491" s="197">
        <v>1</v>
      </c>
      <c r="Q1491" s="237"/>
    </row>
    <row r="1492" spans="2:17" s="233" customFormat="1" ht="15" customHeight="1" outlineLevel="3">
      <c r="B1492" s="299"/>
      <c r="C1492" s="304"/>
      <c r="D1492" s="685"/>
      <c r="E1492" s="306" t="s">
        <v>277</v>
      </c>
      <c r="F1492" s="307"/>
      <c r="G1492" s="297"/>
      <c r="H1492" s="308"/>
      <c r="I1492" s="661"/>
      <c r="K1492" s="232"/>
      <c r="L1492" s="234"/>
      <c r="M1492" s="197"/>
      <c r="Q1492" s="237"/>
    </row>
    <row r="1493" spans="2:17" s="259" customFormat="1" ht="15" customHeight="1" outlineLevel="3">
      <c r="B1493" s="299" t="s">
        <v>1111</v>
      </c>
      <c r="C1493" s="304"/>
      <c r="D1493" s="685"/>
      <c r="E1493" s="306" t="s">
        <v>277</v>
      </c>
      <c r="F1493" s="307"/>
      <c r="G1493" s="297"/>
      <c r="H1493" s="308"/>
      <c r="I1493" s="661"/>
      <c r="K1493" s="258"/>
      <c r="L1493" s="242"/>
      <c r="M1493" s="197"/>
      <c r="Q1493" s="715"/>
    </row>
    <row r="1494" spans="2:17" s="233" customFormat="1" ht="15" customHeight="1" outlineLevel="3">
      <c r="B1494" s="299" t="s">
        <v>268</v>
      </c>
      <c r="C1494" s="304" t="s">
        <v>1133</v>
      </c>
      <c r="D1494" s="685" t="s">
        <v>1112</v>
      </c>
      <c r="E1494" s="306" t="s">
        <v>1113</v>
      </c>
      <c r="F1494" s="307"/>
      <c r="G1494" s="297" t="s">
        <v>1133</v>
      </c>
      <c r="H1494" s="308" t="str">
        <f>CONCATENATE("AR-",G1494,"-",I1494)</f>
        <v>AR-R22-1</v>
      </c>
      <c r="I1494" s="661">
        <v>1</v>
      </c>
      <c r="K1494" s="232"/>
      <c r="L1494" s="234">
        <v>1</v>
      </c>
      <c r="M1494" s="197">
        <v>1</v>
      </c>
      <c r="Q1494" s="237"/>
    </row>
    <row r="1495" spans="2:17" s="233" customFormat="1" ht="15" customHeight="1" outlineLevel="3">
      <c r="B1495" s="299" t="s">
        <v>268</v>
      </c>
      <c r="C1495" s="304" t="s">
        <v>1133</v>
      </c>
      <c r="D1495" s="685" t="s">
        <v>1114</v>
      </c>
      <c r="E1495" s="306" t="s">
        <v>1115</v>
      </c>
      <c r="F1495" s="307"/>
      <c r="G1495" s="297" t="s">
        <v>1133</v>
      </c>
      <c r="H1495" s="308" t="str">
        <f>CONCATENATE("AR-",G1495,"-",I1495)</f>
        <v>AR-R22-1</v>
      </c>
      <c r="I1495" s="661">
        <v>1</v>
      </c>
      <c r="K1495" s="232"/>
      <c r="L1495" s="234">
        <v>1</v>
      </c>
      <c r="M1495" s="197">
        <v>1</v>
      </c>
      <c r="Q1495" s="237"/>
    </row>
    <row r="1496" spans="2:17" s="233" customFormat="1" ht="15" customHeight="1" outlineLevel="3">
      <c r="B1496" s="299" t="s">
        <v>268</v>
      </c>
      <c r="C1496" s="304" t="s">
        <v>1133</v>
      </c>
      <c r="D1496" s="685" t="s">
        <v>1116</v>
      </c>
      <c r="E1496" s="306" t="s">
        <v>1117</v>
      </c>
      <c r="F1496" s="307"/>
      <c r="G1496" s="297" t="s">
        <v>1133</v>
      </c>
      <c r="H1496" s="308" t="str">
        <f>CONCATENATE("AR-",G1496,"-",I1496)</f>
        <v>AR-R22-1</v>
      </c>
      <c r="I1496" s="661">
        <v>1</v>
      </c>
      <c r="K1496" s="232"/>
      <c r="L1496" s="234">
        <v>1</v>
      </c>
      <c r="M1496" s="197">
        <v>1</v>
      </c>
      <c r="Q1496" s="237"/>
    </row>
    <row r="1497" spans="2:17" s="233" customFormat="1" ht="15" customHeight="1" outlineLevel="3">
      <c r="B1497" s="299"/>
      <c r="C1497" s="304"/>
      <c r="D1497" s="685"/>
      <c r="E1497" s="306" t="s">
        <v>277</v>
      </c>
      <c r="F1497" s="307"/>
      <c r="G1497" s="297"/>
      <c r="H1497" s="308"/>
      <c r="I1497" s="661"/>
      <c r="K1497" s="232"/>
      <c r="L1497" s="234"/>
      <c r="M1497" s="197"/>
      <c r="Q1497" s="237"/>
    </row>
    <row r="1498" spans="2:17" s="259" customFormat="1" ht="15" customHeight="1" outlineLevel="3">
      <c r="B1498" s="299" t="s">
        <v>1118</v>
      </c>
      <c r="C1498" s="304"/>
      <c r="D1498" s="685"/>
      <c r="E1498" s="306" t="s">
        <v>277</v>
      </c>
      <c r="F1498" s="307"/>
      <c r="G1498" s="297"/>
      <c r="H1498" s="308"/>
      <c r="I1498" s="661"/>
      <c r="K1498" s="258"/>
      <c r="L1498" s="242"/>
      <c r="M1498" s="197"/>
      <c r="Q1498" s="715"/>
    </row>
    <row r="1499" spans="2:17" s="233" customFormat="1" ht="15" customHeight="1" outlineLevel="3">
      <c r="B1499" s="299" t="s">
        <v>268</v>
      </c>
      <c r="C1499" s="304" t="s">
        <v>1133</v>
      </c>
      <c r="D1499" s="685" t="s">
        <v>968</v>
      </c>
      <c r="E1499" s="306" t="s">
        <v>1119</v>
      </c>
      <c r="F1499" s="307"/>
      <c r="G1499" s="297" t="s">
        <v>1133</v>
      </c>
      <c r="H1499" s="308" t="str">
        <f>CONCATENATE("AR-",G1499,"-",I1499)</f>
        <v>AR-R22-1</v>
      </c>
      <c r="I1499" s="661">
        <v>1</v>
      </c>
      <c r="K1499" s="232"/>
      <c r="L1499" s="234">
        <v>1</v>
      </c>
      <c r="M1499" s="197">
        <v>1</v>
      </c>
      <c r="Q1499" s="237"/>
    </row>
    <row r="1500" spans="2:17" s="233" customFormat="1" ht="15" customHeight="1" outlineLevel="3">
      <c r="B1500" s="299" t="s">
        <v>268</v>
      </c>
      <c r="C1500" s="304" t="s">
        <v>1133</v>
      </c>
      <c r="D1500" s="685" t="s">
        <v>970</v>
      </c>
      <c r="E1500" s="306" t="s">
        <v>1119</v>
      </c>
      <c r="F1500" s="307"/>
      <c r="G1500" s="297" t="s">
        <v>1133</v>
      </c>
      <c r="H1500" s="308" t="str">
        <f>CONCATENATE("AR-",G1500,"-",I1500)</f>
        <v>AR-R22-1</v>
      </c>
      <c r="I1500" s="661">
        <v>1</v>
      </c>
      <c r="K1500" s="232"/>
      <c r="L1500" s="234">
        <v>1</v>
      </c>
      <c r="M1500" s="197">
        <v>1</v>
      </c>
      <c r="Q1500" s="237"/>
    </row>
    <row r="1501" spans="2:17" s="233" customFormat="1" ht="15" customHeight="1" outlineLevel="3">
      <c r="B1501" s="299"/>
      <c r="C1501" s="304"/>
      <c r="D1501" s="685"/>
      <c r="E1501" s="306" t="s">
        <v>277</v>
      </c>
      <c r="F1501" s="307"/>
      <c r="G1501" s="297"/>
      <c r="H1501" s="308"/>
      <c r="I1501" s="661"/>
      <c r="K1501" s="232"/>
      <c r="L1501" s="234"/>
      <c r="M1501" s="197"/>
      <c r="Q1501" s="237"/>
    </row>
    <row r="1502" spans="2:17" s="259" customFormat="1" ht="15" customHeight="1" outlineLevel="3">
      <c r="B1502" s="299" t="s">
        <v>1120</v>
      </c>
      <c r="C1502" s="304"/>
      <c r="D1502" s="685"/>
      <c r="E1502" s="306" t="s">
        <v>277</v>
      </c>
      <c r="F1502" s="307"/>
      <c r="G1502" s="297"/>
      <c r="H1502" s="308"/>
      <c r="I1502" s="661"/>
      <c r="K1502" s="258"/>
      <c r="L1502" s="242"/>
      <c r="M1502" s="197"/>
      <c r="Q1502" s="715"/>
    </row>
    <row r="1503" spans="2:17" s="233" customFormat="1" ht="15" customHeight="1" outlineLevel="3">
      <c r="B1503" s="299" t="s">
        <v>268</v>
      </c>
      <c r="C1503" s="304" t="s">
        <v>1133</v>
      </c>
      <c r="D1503" s="685" t="s">
        <v>977</v>
      </c>
      <c r="E1503" s="306" t="s">
        <v>1121</v>
      </c>
      <c r="F1503" s="307"/>
      <c r="G1503" s="297" t="s">
        <v>1133</v>
      </c>
      <c r="H1503" s="308" t="str">
        <f t="shared" ref="H1503:H1508" si="92">CONCATENATE("AR-",G1503,"-",I1503)</f>
        <v>AR-R22-1</v>
      </c>
      <c r="I1503" s="661">
        <v>1</v>
      </c>
      <c r="K1503" s="232"/>
      <c r="L1503" s="234">
        <v>1</v>
      </c>
      <c r="M1503" s="197">
        <v>1</v>
      </c>
      <c r="Q1503" s="237"/>
    </row>
    <row r="1504" spans="2:17" s="233" customFormat="1" ht="15" customHeight="1" outlineLevel="3">
      <c r="B1504" s="299" t="s">
        <v>268</v>
      </c>
      <c r="C1504" s="304" t="s">
        <v>1133</v>
      </c>
      <c r="D1504" s="685" t="s">
        <v>979</v>
      </c>
      <c r="E1504" s="306" t="s">
        <v>1122</v>
      </c>
      <c r="F1504" s="307"/>
      <c r="G1504" s="297" t="s">
        <v>1133</v>
      </c>
      <c r="H1504" s="308" t="str">
        <f t="shared" si="92"/>
        <v>AR-R22-1</v>
      </c>
      <c r="I1504" s="661">
        <v>1</v>
      </c>
      <c r="K1504" s="232"/>
      <c r="L1504" s="234">
        <v>1</v>
      </c>
      <c r="M1504" s="197">
        <v>1</v>
      </c>
      <c r="Q1504" s="237"/>
    </row>
    <row r="1505" spans="2:17" s="233" customFormat="1" ht="15" customHeight="1" outlineLevel="3">
      <c r="B1505" s="299" t="s">
        <v>268</v>
      </c>
      <c r="C1505" s="304" t="s">
        <v>1133</v>
      </c>
      <c r="D1505" s="685" t="s">
        <v>981</v>
      </c>
      <c r="E1505" s="306" t="s">
        <v>1123</v>
      </c>
      <c r="F1505" s="307"/>
      <c r="G1505" s="297" t="s">
        <v>1133</v>
      </c>
      <c r="H1505" s="308" t="str">
        <f t="shared" si="92"/>
        <v>AR-R22-1</v>
      </c>
      <c r="I1505" s="661">
        <v>1</v>
      </c>
      <c r="K1505" s="232"/>
      <c r="L1505" s="234">
        <v>1</v>
      </c>
      <c r="M1505" s="197">
        <v>1</v>
      </c>
      <c r="Q1505" s="237"/>
    </row>
    <row r="1506" spans="2:17" s="233" customFormat="1" ht="15" customHeight="1" outlineLevel="3">
      <c r="B1506" s="299" t="s">
        <v>268</v>
      </c>
      <c r="C1506" s="304" t="s">
        <v>1133</v>
      </c>
      <c r="D1506" s="685" t="s">
        <v>983</v>
      </c>
      <c r="E1506" s="306" t="s">
        <v>1124</v>
      </c>
      <c r="F1506" s="307"/>
      <c r="G1506" s="297" t="s">
        <v>1133</v>
      </c>
      <c r="H1506" s="308" t="str">
        <f t="shared" si="92"/>
        <v>AR-R22-1</v>
      </c>
      <c r="I1506" s="661">
        <v>1</v>
      </c>
      <c r="K1506" s="232"/>
      <c r="L1506" s="234">
        <v>1</v>
      </c>
      <c r="M1506" s="197">
        <v>1</v>
      </c>
      <c r="Q1506" s="237"/>
    </row>
    <row r="1507" spans="2:17" s="233" customFormat="1" ht="15" customHeight="1" outlineLevel="3">
      <c r="B1507" s="299" t="s">
        <v>268</v>
      </c>
      <c r="C1507" s="304" t="s">
        <v>1133</v>
      </c>
      <c r="D1507" s="685" t="s">
        <v>985</v>
      </c>
      <c r="E1507" s="306" t="s">
        <v>1125</v>
      </c>
      <c r="F1507" s="307"/>
      <c r="G1507" s="297" t="s">
        <v>1133</v>
      </c>
      <c r="H1507" s="308" t="str">
        <f t="shared" si="92"/>
        <v>AR-R22-1</v>
      </c>
      <c r="I1507" s="661">
        <v>1</v>
      </c>
      <c r="K1507" s="232"/>
      <c r="L1507" s="234">
        <v>1</v>
      </c>
      <c r="M1507" s="197">
        <v>1</v>
      </c>
      <c r="Q1507" s="237"/>
    </row>
    <row r="1508" spans="2:17" s="233" customFormat="1" ht="15" customHeight="1" outlineLevel="3">
      <c r="B1508" s="299" t="s">
        <v>268</v>
      </c>
      <c r="C1508" s="304" t="s">
        <v>1133</v>
      </c>
      <c r="D1508" s="685" t="s">
        <v>987</v>
      </c>
      <c r="E1508" s="306" t="s">
        <v>1126</v>
      </c>
      <c r="F1508" s="307"/>
      <c r="G1508" s="297" t="s">
        <v>1133</v>
      </c>
      <c r="H1508" s="308" t="str">
        <f t="shared" si="92"/>
        <v>AR-R22-1</v>
      </c>
      <c r="I1508" s="661">
        <v>1</v>
      </c>
      <c r="K1508" s="232"/>
      <c r="L1508" s="234">
        <v>1</v>
      </c>
      <c r="M1508" s="197">
        <v>1</v>
      </c>
      <c r="Q1508" s="237"/>
    </row>
    <row r="1509" spans="2:17" s="233" customFormat="1" ht="15" customHeight="1" outlineLevel="3">
      <c r="B1509" s="299"/>
      <c r="C1509" s="304"/>
      <c r="D1509" s="685"/>
      <c r="E1509" s="306" t="s">
        <v>277</v>
      </c>
      <c r="F1509" s="307"/>
      <c r="G1509" s="297"/>
      <c r="H1509" s="308"/>
      <c r="I1509" s="661"/>
      <c r="K1509" s="232"/>
      <c r="L1509" s="234"/>
      <c r="M1509" s="197"/>
      <c r="Q1509" s="237"/>
    </row>
    <row r="1510" spans="2:17" s="259" customFormat="1" ht="15" customHeight="1" outlineLevel="3">
      <c r="B1510" s="299" t="s">
        <v>934</v>
      </c>
      <c r="C1510" s="304"/>
      <c r="D1510" s="685"/>
      <c r="E1510" s="306" t="s">
        <v>277</v>
      </c>
      <c r="F1510" s="307"/>
      <c r="G1510" s="297"/>
      <c r="H1510" s="308"/>
      <c r="I1510" s="661"/>
      <c r="K1510" s="258"/>
      <c r="L1510" s="242"/>
      <c r="M1510" s="197"/>
      <c r="Q1510" s="715"/>
    </row>
    <row r="1511" spans="2:17" s="233" customFormat="1" ht="15" customHeight="1" outlineLevel="3">
      <c r="B1511" s="299" t="s">
        <v>268</v>
      </c>
      <c r="C1511" s="304" t="s">
        <v>1133</v>
      </c>
      <c r="D1511" s="685" t="s">
        <v>463</v>
      </c>
      <c r="E1511" s="306" t="s">
        <v>936</v>
      </c>
      <c r="F1511" s="307"/>
      <c r="G1511" s="297" t="s">
        <v>1133</v>
      </c>
      <c r="H1511" s="308" t="str">
        <f>CONCATENATE("AR-",G1511,"-",I1511)</f>
        <v>AR-R22-1</v>
      </c>
      <c r="I1511" s="661">
        <v>1</v>
      </c>
      <c r="K1511" s="232"/>
      <c r="L1511" s="234">
        <v>1</v>
      </c>
      <c r="M1511" s="197">
        <v>1</v>
      </c>
      <c r="Q1511" s="237"/>
    </row>
    <row r="1512" spans="2:17" s="233" customFormat="1" ht="15" customHeight="1" outlineLevel="3">
      <c r="B1512" s="299" t="s">
        <v>268</v>
      </c>
      <c r="C1512" s="304" t="s">
        <v>1133</v>
      </c>
      <c r="D1512" s="685" t="s">
        <v>588</v>
      </c>
      <c r="E1512" s="306" t="s">
        <v>937</v>
      </c>
      <c r="F1512" s="307"/>
      <c r="G1512" s="297" t="s">
        <v>1133</v>
      </c>
      <c r="H1512" s="308" t="str">
        <f>CONCATENATE("AR-",G1512,"-",I1512)</f>
        <v>AR-R22-1</v>
      </c>
      <c r="I1512" s="661">
        <v>1</v>
      </c>
      <c r="K1512" s="232"/>
      <c r="L1512" s="234">
        <v>1</v>
      </c>
      <c r="M1512" s="197">
        <v>1</v>
      </c>
      <c r="Q1512" s="237"/>
    </row>
    <row r="1513" spans="2:17" s="233" customFormat="1" ht="15" customHeight="1" outlineLevel="3">
      <c r="B1513" s="299" t="s">
        <v>268</v>
      </c>
      <c r="C1513" s="304" t="s">
        <v>1133</v>
      </c>
      <c r="D1513" s="685" t="s">
        <v>938</v>
      </c>
      <c r="E1513" s="306" t="s">
        <v>939</v>
      </c>
      <c r="F1513" s="307"/>
      <c r="G1513" s="297" t="s">
        <v>1133</v>
      </c>
      <c r="H1513" s="308" t="str">
        <f>CONCATENATE("AR-",G1513,"-",I1513)</f>
        <v>AR-R22-1</v>
      </c>
      <c r="I1513" s="661">
        <v>1</v>
      </c>
      <c r="K1513" s="232"/>
      <c r="L1513" s="234">
        <v>1</v>
      </c>
      <c r="M1513" s="197">
        <v>1</v>
      </c>
      <c r="Q1513" s="237"/>
    </row>
    <row r="1514" spans="2:17" s="233" customFormat="1" ht="15" customHeight="1" outlineLevel="3">
      <c r="B1514" s="299"/>
      <c r="C1514" s="304"/>
      <c r="D1514" s="685"/>
      <c r="E1514" s="306" t="s">
        <v>277</v>
      </c>
      <c r="F1514" s="307"/>
      <c r="G1514" s="297"/>
      <c r="H1514" s="308"/>
      <c r="I1514" s="661"/>
      <c r="K1514" s="232"/>
      <c r="L1514" s="234"/>
      <c r="M1514" s="197"/>
      <c r="Q1514" s="237"/>
    </row>
    <row r="1515" spans="2:17" s="259" customFormat="1" ht="15" customHeight="1" outlineLevel="3">
      <c r="B1515" s="299" t="s">
        <v>1127</v>
      </c>
      <c r="C1515" s="304"/>
      <c r="D1515" s="685"/>
      <c r="E1515" s="306" t="s">
        <v>277</v>
      </c>
      <c r="F1515" s="307"/>
      <c r="G1515" s="297"/>
      <c r="H1515" s="308"/>
      <c r="I1515" s="661"/>
      <c r="K1515" s="258"/>
      <c r="L1515" s="242"/>
      <c r="M1515" s="197"/>
      <c r="Q1515" s="715"/>
    </row>
    <row r="1516" spans="2:17" s="233" customFormat="1" ht="15" customHeight="1" outlineLevel="3">
      <c r="B1516" s="299" t="s">
        <v>268</v>
      </c>
      <c r="C1516" s="304" t="s">
        <v>1133</v>
      </c>
      <c r="D1516" s="685">
        <v>7410</v>
      </c>
      <c r="E1516" s="306" t="s">
        <v>989</v>
      </c>
      <c r="F1516" s="307"/>
      <c r="G1516" s="297" t="s">
        <v>1133</v>
      </c>
      <c r="H1516" s="308" t="str">
        <f t="shared" ref="H1516:H1529" si="93">CONCATENATE("AR-",G1516,"-",I1516)</f>
        <v>AR-R22-1</v>
      </c>
      <c r="I1516" s="661">
        <v>1</v>
      </c>
      <c r="K1516" s="232"/>
      <c r="L1516" s="234">
        <v>1</v>
      </c>
      <c r="M1516" s="197">
        <v>1</v>
      </c>
      <c r="Q1516" s="237"/>
    </row>
    <row r="1517" spans="2:17" s="233" customFormat="1" ht="15" customHeight="1" outlineLevel="3">
      <c r="B1517" s="299" t="s">
        <v>268</v>
      </c>
      <c r="C1517" s="304" t="s">
        <v>1133</v>
      </c>
      <c r="D1517" s="685">
        <v>7420</v>
      </c>
      <c r="E1517" s="306" t="s">
        <v>481</v>
      </c>
      <c r="F1517" s="307"/>
      <c r="G1517" s="297" t="s">
        <v>1133</v>
      </c>
      <c r="H1517" s="308" t="str">
        <f t="shared" si="93"/>
        <v>AR-R22-1</v>
      </c>
      <c r="I1517" s="661">
        <v>1</v>
      </c>
      <c r="K1517" s="232"/>
      <c r="L1517" s="234">
        <v>1</v>
      </c>
      <c r="M1517" s="197">
        <v>1</v>
      </c>
      <c r="Q1517" s="237"/>
    </row>
    <row r="1518" spans="2:17" s="233" customFormat="1" ht="15" customHeight="1" outlineLevel="3">
      <c r="B1518" s="299" t="s">
        <v>268</v>
      </c>
      <c r="C1518" s="304" t="s">
        <v>1133</v>
      </c>
      <c r="D1518" s="685">
        <v>7430</v>
      </c>
      <c r="E1518" s="306" t="s">
        <v>482</v>
      </c>
      <c r="F1518" s="307"/>
      <c r="G1518" s="297" t="s">
        <v>1133</v>
      </c>
      <c r="H1518" s="308" t="str">
        <f t="shared" si="93"/>
        <v>AR-R22-1</v>
      </c>
      <c r="I1518" s="661">
        <v>1</v>
      </c>
      <c r="K1518" s="232"/>
      <c r="L1518" s="234">
        <v>1</v>
      </c>
      <c r="M1518" s="197">
        <v>1</v>
      </c>
      <c r="Q1518" s="237"/>
    </row>
    <row r="1519" spans="2:17" s="233" customFormat="1" ht="15" customHeight="1" outlineLevel="3">
      <c r="B1519" s="299" t="s">
        <v>268</v>
      </c>
      <c r="C1519" s="304" t="s">
        <v>1133</v>
      </c>
      <c r="D1519" s="685">
        <v>7440</v>
      </c>
      <c r="E1519" s="306" t="s">
        <v>483</v>
      </c>
      <c r="F1519" s="307"/>
      <c r="G1519" s="297" t="s">
        <v>1133</v>
      </c>
      <c r="H1519" s="308" t="str">
        <f t="shared" si="93"/>
        <v>AR-R22-1</v>
      </c>
      <c r="I1519" s="661">
        <v>1</v>
      </c>
      <c r="K1519" s="232"/>
      <c r="L1519" s="234">
        <v>1</v>
      </c>
      <c r="M1519" s="197">
        <v>1</v>
      </c>
      <c r="Q1519" s="237"/>
    </row>
    <row r="1520" spans="2:17" s="233" customFormat="1" ht="15" customHeight="1" outlineLevel="3">
      <c r="B1520" s="299" t="s">
        <v>268</v>
      </c>
      <c r="C1520" s="304" t="s">
        <v>1133</v>
      </c>
      <c r="D1520" s="685">
        <v>7450</v>
      </c>
      <c r="E1520" s="306" t="s">
        <v>990</v>
      </c>
      <c r="F1520" s="307"/>
      <c r="G1520" s="297" t="s">
        <v>1133</v>
      </c>
      <c r="H1520" s="308" t="str">
        <f t="shared" si="93"/>
        <v>AR-R22-1</v>
      </c>
      <c r="I1520" s="661">
        <v>1</v>
      </c>
      <c r="K1520" s="232"/>
      <c r="L1520" s="234">
        <v>1</v>
      </c>
      <c r="M1520" s="197">
        <v>1</v>
      </c>
      <c r="Q1520" s="237"/>
    </row>
    <row r="1521" spans="2:19" s="233" customFormat="1" ht="15" customHeight="1" outlineLevel="3">
      <c r="B1521" s="299" t="s">
        <v>268</v>
      </c>
      <c r="C1521" s="304" t="s">
        <v>1133</v>
      </c>
      <c r="D1521" s="685">
        <v>7461</v>
      </c>
      <c r="E1521" s="306" t="s">
        <v>991</v>
      </c>
      <c r="F1521" s="307"/>
      <c r="G1521" s="297" t="s">
        <v>1133</v>
      </c>
      <c r="H1521" s="308" t="str">
        <f t="shared" si="93"/>
        <v>AR-R22-1</v>
      </c>
      <c r="I1521" s="661">
        <v>1</v>
      </c>
      <c r="K1521" s="232"/>
      <c r="L1521" s="234">
        <v>1</v>
      </c>
      <c r="M1521" s="197">
        <v>1</v>
      </c>
      <c r="Q1521" s="237"/>
    </row>
    <row r="1522" spans="2:19" s="233" customFormat="1" ht="15" customHeight="1" outlineLevel="3">
      <c r="B1522" s="299" t="s">
        <v>268</v>
      </c>
      <c r="C1522" s="304" t="s">
        <v>1133</v>
      </c>
      <c r="D1522" s="685">
        <v>7462</v>
      </c>
      <c r="E1522" s="306" t="s">
        <v>992</v>
      </c>
      <c r="F1522" s="307"/>
      <c r="G1522" s="297" t="s">
        <v>1133</v>
      </c>
      <c r="H1522" s="308" t="str">
        <f t="shared" si="93"/>
        <v>AR-R22-1</v>
      </c>
      <c r="I1522" s="661">
        <v>1</v>
      </c>
      <c r="K1522" s="232"/>
      <c r="L1522" s="234">
        <v>1</v>
      </c>
      <c r="M1522" s="197">
        <v>1</v>
      </c>
      <c r="Q1522" s="237"/>
    </row>
    <row r="1523" spans="2:19" s="233" customFormat="1" ht="15" customHeight="1" outlineLevel="3">
      <c r="B1523" s="299" t="s">
        <v>268</v>
      </c>
      <c r="C1523" s="304" t="s">
        <v>1133</v>
      </c>
      <c r="D1523" s="685">
        <v>7463</v>
      </c>
      <c r="E1523" s="306" t="s">
        <v>993</v>
      </c>
      <c r="F1523" s="307"/>
      <c r="G1523" s="297" t="s">
        <v>1133</v>
      </c>
      <c r="H1523" s="308" t="str">
        <f t="shared" si="93"/>
        <v>AR-R22-1</v>
      </c>
      <c r="I1523" s="661">
        <v>1</v>
      </c>
      <c r="K1523" s="232"/>
      <c r="L1523" s="234">
        <v>1</v>
      </c>
      <c r="M1523" s="197">
        <v>1</v>
      </c>
      <c r="Q1523" s="237"/>
    </row>
    <row r="1524" spans="2:19" s="233" customFormat="1" ht="15" customHeight="1" outlineLevel="3">
      <c r="B1524" s="299" t="s">
        <v>268</v>
      </c>
      <c r="C1524" s="304" t="s">
        <v>1133</v>
      </c>
      <c r="D1524" s="685">
        <v>7470</v>
      </c>
      <c r="E1524" s="306" t="s">
        <v>484</v>
      </c>
      <c r="F1524" s="307"/>
      <c r="G1524" s="297" t="s">
        <v>1133</v>
      </c>
      <c r="H1524" s="308" t="str">
        <f t="shared" si="93"/>
        <v>AR-R22-1</v>
      </c>
      <c r="I1524" s="661">
        <v>1</v>
      </c>
      <c r="K1524" s="232"/>
      <c r="L1524" s="234">
        <v>1</v>
      </c>
      <c r="M1524" s="197">
        <v>1</v>
      </c>
      <c r="Q1524" s="237"/>
    </row>
    <row r="1525" spans="2:19" s="233" customFormat="1" ht="15" customHeight="1" outlineLevel="3">
      <c r="B1525" s="299" t="s">
        <v>268</v>
      </c>
      <c r="C1525" s="304" t="s">
        <v>1133</v>
      </c>
      <c r="D1525" s="685">
        <v>7480</v>
      </c>
      <c r="E1525" s="306" t="s">
        <v>994</v>
      </c>
      <c r="F1525" s="307"/>
      <c r="G1525" s="297" t="s">
        <v>1133</v>
      </c>
      <c r="H1525" s="308" t="str">
        <f t="shared" si="93"/>
        <v>AR-R22-1</v>
      </c>
      <c r="I1525" s="661">
        <v>1</v>
      </c>
      <c r="K1525" s="232"/>
      <c r="L1525" s="234">
        <v>1</v>
      </c>
      <c r="M1525" s="197">
        <v>1</v>
      </c>
      <c r="Q1525" s="237"/>
    </row>
    <row r="1526" spans="2:19" s="233" customFormat="1" ht="15" customHeight="1" outlineLevel="3">
      <c r="B1526" s="299" t="s">
        <v>268</v>
      </c>
      <c r="C1526" s="304" t="s">
        <v>1133</v>
      </c>
      <c r="D1526" s="685">
        <v>7490</v>
      </c>
      <c r="E1526" s="306" t="s">
        <v>995</v>
      </c>
      <c r="F1526" s="307"/>
      <c r="G1526" s="297" t="s">
        <v>1133</v>
      </c>
      <c r="H1526" s="308" t="str">
        <f t="shared" si="93"/>
        <v>AR-R22-1</v>
      </c>
      <c r="I1526" s="661">
        <v>1</v>
      </c>
      <c r="K1526" s="232"/>
      <c r="L1526" s="234">
        <v>1</v>
      </c>
      <c r="M1526" s="197">
        <v>1</v>
      </c>
      <c r="Q1526" s="237"/>
    </row>
    <row r="1527" spans="2:19" s="233" customFormat="1" ht="15" customHeight="1" outlineLevel="3">
      <c r="B1527" s="299" t="s">
        <v>268</v>
      </c>
      <c r="C1527" s="304" t="s">
        <v>1133</v>
      </c>
      <c r="D1527" s="685">
        <v>7500</v>
      </c>
      <c r="E1527" s="306" t="s">
        <v>485</v>
      </c>
      <c r="F1527" s="307"/>
      <c r="G1527" s="297" t="s">
        <v>1133</v>
      </c>
      <c r="H1527" s="308" t="str">
        <f t="shared" si="93"/>
        <v>AR-R22-1</v>
      </c>
      <c r="I1527" s="661">
        <v>1</v>
      </c>
      <c r="K1527" s="232"/>
      <c r="L1527" s="234">
        <v>1</v>
      </c>
      <c r="M1527" s="197">
        <v>1</v>
      </c>
      <c r="Q1527" s="237"/>
    </row>
    <row r="1528" spans="2:19" s="233" customFormat="1" ht="15" customHeight="1" outlineLevel="3">
      <c r="B1528" s="299" t="s">
        <v>268</v>
      </c>
      <c r="C1528" s="304" t="s">
        <v>1133</v>
      </c>
      <c r="D1528" s="685">
        <v>7510</v>
      </c>
      <c r="E1528" s="306" t="s">
        <v>996</v>
      </c>
      <c r="F1528" s="307"/>
      <c r="G1528" s="297" t="s">
        <v>1133</v>
      </c>
      <c r="H1528" s="308" t="str">
        <f t="shared" si="93"/>
        <v>AR-R22-1</v>
      </c>
      <c r="I1528" s="661">
        <v>1</v>
      </c>
      <c r="K1528" s="232"/>
      <c r="L1528" s="234">
        <v>1</v>
      </c>
      <c r="M1528" s="197">
        <v>1</v>
      </c>
      <c r="Q1528" s="237"/>
    </row>
    <row r="1529" spans="2:19" s="233" customFormat="1" ht="15" customHeight="1" outlineLevel="3">
      <c r="B1529" s="299" t="s">
        <v>268</v>
      </c>
      <c r="C1529" s="304" t="s">
        <v>1133</v>
      </c>
      <c r="D1529" s="685" t="s">
        <v>997</v>
      </c>
      <c r="E1529" s="306" t="s">
        <v>998</v>
      </c>
      <c r="F1529" s="307"/>
      <c r="G1529" s="297" t="s">
        <v>1133</v>
      </c>
      <c r="H1529" s="308" t="str">
        <f t="shared" si="93"/>
        <v>AR-R22-1</v>
      </c>
      <c r="I1529" s="661">
        <v>1</v>
      </c>
      <c r="K1529" s="232"/>
      <c r="L1529" s="234">
        <v>1</v>
      </c>
      <c r="M1529" s="197">
        <v>1</v>
      </c>
      <c r="Q1529" s="237"/>
    </row>
    <row r="1530" spans="2:19" s="233" customFormat="1" ht="3.6" customHeight="1" outlineLevel="1">
      <c r="L1530" s="237"/>
      <c r="Q1530" s="237"/>
    </row>
    <row r="1531" spans="2:19" s="243" customFormat="1" ht="15" customHeight="1" outlineLevel="1">
      <c r="B1531" s="299" t="s">
        <v>1134</v>
      </c>
      <c r="C1531" s="304"/>
      <c r="D1531" s="685"/>
      <c r="E1531" s="306"/>
      <c r="F1531" s="307"/>
      <c r="G1531" s="297"/>
      <c r="H1531" s="308"/>
      <c r="I1531" s="661"/>
      <c r="J1531" s="240"/>
      <c r="K1531" s="241"/>
      <c r="L1531" s="242"/>
      <c r="M1531" s="197"/>
      <c r="Q1531" s="708"/>
    </row>
    <row r="1532" spans="2:19" s="233" customFormat="1" ht="15" customHeight="1" outlineLevel="3">
      <c r="B1532" s="299"/>
      <c r="C1532" s="304"/>
      <c r="D1532" s="685"/>
      <c r="E1532" s="306" t="s">
        <v>277</v>
      </c>
      <c r="F1532" s="307"/>
      <c r="G1532" s="297"/>
      <c r="H1532" s="308"/>
      <c r="I1532" s="661"/>
      <c r="J1532" s="197"/>
      <c r="K1532" s="232"/>
      <c r="L1532" s="234"/>
      <c r="M1532" s="197"/>
      <c r="Q1532" s="237"/>
    </row>
    <row r="1533" spans="2:19" s="233" customFormat="1" ht="15" customHeight="1" outlineLevel="3">
      <c r="B1533" s="299" t="s">
        <v>942</v>
      </c>
      <c r="C1533" s="304"/>
      <c r="D1533" s="685"/>
      <c r="E1533" s="306" t="s">
        <v>277</v>
      </c>
      <c r="F1533" s="307"/>
      <c r="G1533" s="297"/>
      <c r="H1533" s="308"/>
      <c r="I1533" s="661"/>
      <c r="J1533" s="197"/>
      <c r="K1533" s="232"/>
      <c r="L1533" s="234"/>
      <c r="M1533" s="197"/>
      <c r="Q1533" s="237"/>
    </row>
    <row r="1534" spans="2:19" s="233" customFormat="1" ht="15" customHeight="1" outlineLevel="3">
      <c r="B1534" s="299" t="s">
        <v>268</v>
      </c>
      <c r="C1534" s="304" t="s">
        <v>1135</v>
      </c>
      <c r="D1534" s="685" t="s">
        <v>506</v>
      </c>
      <c r="E1534" s="306" t="s">
        <v>1045</v>
      </c>
      <c r="F1534" s="307"/>
      <c r="G1534" s="297" t="s">
        <v>1135</v>
      </c>
      <c r="H1534" s="308" t="str">
        <f t="shared" ref="H1534:H1539" si="94">CONCATENATE("AR-",G1534,"-",I1534)</f>
        <v>AR-C20P-1</v>
      </c>
      <c r="I1534" s="661">
        <v>1</v>
      </c>
      <c r="K1534" s="232"/>
      <c r="L1534" s="234">
        <v>1</v>
      </c>
      <c r="M1534" s="197">
        <v>1</v>
      </c>
      <c r="Q1534" s="764">
        <v>1</v>
      </c>
      <c r="S1534" s="197">
        <v>1</v>
      </c>
    </row>
    <row r="1535" spans="2:19" s="233" customFormat="1" ht="15" customHeight="1" outlineLevel="3">
      <c r="B1535" s="299" t="s">
        <v>268</v>
      </c>
      <c r="C1535" s="304" t="s">
        <v>1135</v>
      </c>
      <c r="D1535" s="685" t="s">
        <v>1046</v>
      </c>
      <c r="E1535" s="306" t="s">
        <v>1047</v>
      </c>
      <c r="F1535" s="307"/>
      <c r="G1535" s="297" t="s">
        <v>1135</v>
      </c>
      <c r="H1535" s="308" t="str">
        <f t="shared" si="94"/>
        <v>AR-C20P-1</v>
      </c>
      <c r="I1535" s="661">
        <v>1</v>
      </c>
      <c r="K1535" s="232"/>
      <c r="L1535" s="234">
        <v>1</v>
      </c>
      <c r="M1535" s="197">
        <v>1</v>
      </c>
      <c r="Q1535" s="764">
        <v>1</v>
      </c>
      <c r="S1535" s="197">
        <v>1</v>
      </c>
    </row>
    <row r="1536" spans="2:19" s="233" customFormat="1" ht="15" customHeight="1" outlineLevel="3">
      <c r="B1536" s="299" t="s">
        <v>268</v>
      </c>
      <c r="C1536" s="304" t="s">
        <v>1135</v>
      </c>
      <c r="D1536" s="685" t="s">
        <v>1048</v>
      </c>
      <c r="E1536" s="306" t="s">
        <v>1049</v>
      </c>
      <c r="F1536" s="307"/>
      <c r="G1536" s="297" t="s">
        <v>1135</v>
      </c>
      <c r="H1536" s="308" t="str">
        <f t="shared" si="94"/>
        <v>AR-C20P-1</v>
      </c>
      <c r="I1536" s="661">
        <v>1</v>
      </c>
      <c r="K1536" s="232"/>
      <c r="L1536" s="234">
        <v>1</v>
      </c>
      <c r="M1536" s="197">
        <v>1</v>
      </c>
      <c r="Q1536" s="764">
        <v>1</v>
      </c>
      <c r="S1536" s="197">
        <v>1</v>
      </c>
    </row>
    <row r="1537" spans="2:19" s="233" customFormat="1" ht="15" customHeight="1" outlineLevel="3">
      <c r="B1537" s="299" t="s">
        <v>268</v>
      </c>
      <c r="C1537" s="304" t="s">
        <v>1135</v>
      </c>
      <c r="D1537" s="685" t="s">
        <v>1050</v>
      </c>
      <c r="E1537" s="306" t="s">
        <v>1051</v>
      </c>
      <c r="F1537" s="307"/>
      <c r="G1537" s="297" t="s">
        <v>1135</v>
      </c>
      <c r="H1537" s="308" t="str">
        <f t="shared" si="94"/>
        <v>AR-C20P-1</v>
      </c>
      <c r="I1537" s="661">
        <v>1</v>
      </c>
      <c r="K1537" s="232"/>
      <c r="L1537" s="234">
        <v>1</v>
      </c>
      <c r="M1537" s="197">
        <v>1</v>
      </c>
      <c r="Q1537" s="764">
        <v>1</v>
      </c>
      <c r="S1537" s="197">
        <v>1</v>
      </c>
    </row>
    <row r="1538" spans="2:19" s="233" customFormat="1" ht="15" customHeight="1" outlineLevel="3">
      <c r="B1538" s="299" t="s">
        <v>268</v>
      </c>
      <c r="C1538" s="304" t="s">
        <v>1135</v>
      </c>
      <c r="D1538" s="685" t="s">
        <v>1052</v>
      </c>
      <c r="E1538" s="306" t="s">
        <v>1053</v>
      </c>
      <c r="F1538" s="307"/>
      <c r="G1538" s="297" t="s">
        <v>1135</v>
      </c>
      <c r="H1538" s="308" t="str">
        <f t="shared" si="94"/>
        <v>AR-C20P-1</v>
      </c>
      <c r="I1538" s="661">
        <v>1</v>
      </c>
      <c r="K1538" s="232"/>
      <c r="L1538" s="234">
        <v>1</v>
      </c>
      <c r="M1538" s="197">
        <v>1</v>
      </c>
      <c r="Q1538" s="764">
        <v>1</v>
      </c>
      <c r="S1538" s="197">
        <v>1</v>
      </c>
    </row>
    <row r="1539" spans="2:19" s="233" customFormat="1" ht="15" customHeight="1" outlineLevel="3">
      <c r="B1539" s="299" t="s">
        <v>268</v>
      </c>
      <c r="C1539" s="304" t="s">
        <v>1135</v>
      </c>
      <c r="D1539" s="685" t="s">
        <v>1054</v>
      </c>
      <c r="E1539" s="306" t="s">
        <v>1055</v>
      </c>
      <c r="F1539" s="307"/>
      <c r="G1539" s="297" t="s">
        <v>1135</v>
      </c>
      <c r="H1539" s="308" t="str">
        <f t="shared" si="94"/>
        <v>AR-C20P-1</v>
      </c>
      <c r="I1539" s="661">
        <v>1</v>
      </c>
      <c r="K1539" s="232"/>
      <c r="L1539" s="234">
        <v>1</v>
      </c>
      <c r="M1539" s="197">
        <v>1</v>
      </c>
      <c r="Q1539" s="764">
        <v>1</v>
      </c>
      <c r="S1539" s="197">
        <v>1</v>
      </c>
    </row>
    <row r="1540" spans="2:19" s="233" customFormat="1" ht="15" customHeight="1" outlineLevel="3">
      <c r="B1540" s="299"/>
      <c r="C1540" s="304"/>
      <c r="D1540" s="685"/>
      <c r="E1540" s="306" t="s">
        <v>277</v>
      </c>
      <c r="F1540" s="307"/>
      <c r="G1540" s="297"/>
      <c r="H1540" s="308"/>
      <c r="I1540" s="661"/>
      <c r="K1540" s="232"/>
      <c r="L1540" s="234"/>
      <c r="M1540" s="197"/>
      <c r="Q1540" s="764"/>
      <c r="S1540" s="197"/>
    </row>
    <row r="1541" spans="2:19" s="233" customFormat="1" ht="15" customHeight="1" outlineLevel="3">
      <c r="B1541" s="299" t="s">
        <v>1056</v>
      </c>
      <c r="C1541" s="304"/>
      <c r="D1541" s="685"/>
      <c r="E1541" s="306" t="s">
        <v>277</v>
      </c>
      <c r="F1541" s="307"/>
      <c r="G1541" s="297"/>
      <c r="H1541" s="308"/>
      <c r="I1541" s="661"/>
      <c r="K1541" s="232"/>
      <c r="L1541" s="234"/>
      <c r="M1541" s="197"/>
      <c r="Q1541" s="764"/>
      <c r="S1541" s="197"/>
    </row>
    <row r="1542" spans="2:19" s="233" customFormat="1" ht="15" customHeight="1" outlineLevel="3">
      <c r="B1542" s="299" t="s">
        <v>268</v>
      </c>
      <c r="C1542" s="304" t="s">
        <v>1135</v>
      </c>
      <c r="D1542" s="685" t="s">
        <v>372</v>
      </c>
      <c r="E1542" s="306" t="s">
        <v>373</v>
      </c>
      <c r="F1542" s="307"/>
      <c r="G1542" s="297" t="s">
        <v>1135</v>
      </c>
      <c r="H1542" s="308" t="str">
        <f>CONCATENATE("AR-",G1542,"-",I1542)</f>
        <v>AR-C20P-1</v>
      </c>
      <c r="I1542" s="661">
        <v>1</v>
      </c>
      <c r="K1542" s="232"/>
      <c r="L1542" s="234">
        <v>1</v>
      </c>
      <c r="M1542" s="197">
        <v>1</v>
      </c>
      <c r="Q1542" s="764">
        <v>1</v>
      </c>
      <c r="S1542" s="197">
        <v>1</v>
      </c>
    </row>
    <row r="1543" spans="2:19" s="233" customFormat="1" ht="15" customHeight="1" outlineLevel="3">
      <c r="B1543" s="299" t="s">
        <v>268</v>
      </c>
      <c r="C1543" s="304" t="s">
        <v>1135</v>
      </c>
      <c r="D1543" s="685" t="s">
        <v>374</v>
      </c>
      <c r="E1543" s="306" t="s">
        <v>1058</v>
      </c>
      <c r="F1543" s="307"/>
      <c r="G1543" s="297" t="s">
        <v>1135</v>
      </c>
      <c r="H1543" s="308" t="str">
        <f>CONCATENATE("AR-",G1543,"-",I1543)</f>
        <v>AR-C20P-1</v>
      </c>
      <c r="I1543" s="661">
        <v>1</v>
      </c>
      <c r="K1543" s="232"/>
      <c r="L1543" s="234">
        <v>1</v>
      </c>
      <c r="M1543" s="197">
        <v>1</v>
      </c>
      <c r="Q1543" s="764">
        <v>1</v>
      </c>
      <c r="S1543" s="197">
        <v>1</v>
      </c>
    </row>
    <row r="1544" spans="2:19" s="262" customFormat="1" ht="15" customHeight="1" outlineLevel="3">
      <c r="B1544" s="299" t="s">
        <v>268</v>
      </c>
      <c r="C1544" s="304" t="s">
        <v>1135</v>
      </c>
      <c r="D1544" s="685" t="s">
        <v>376</v>
      </c>
      <c r="E1544" s="306" t="s">
        <v>1059</v>
      </c>
      <c r="F1544" s="307"/>
      <c r="G1544" s="297" t="s">
        <v>1135</v>
      </c>
      <c r="H1544" s="308" t="str">
        <f>CONCATENATE("AR-",G1544,"-",I1544)</f>
        <v>AR-C20P-1</v>
      </c>
      <c r="I1544" s="661">
        <v>1</v>
      </c>
      <c r="K1544" s="260"/>
      <c r="L1544" s="234">
        <v>1</v>
      </c>
      <c r="M1544" s="197">
        <v>1</v>
      </c>
      <c r="Q1544" s="765">
        <v>1</v>
      </c>
      <c r="S1544" s="197">
        <v>1</v>
      </c>
    </row>
    <row r="1545" spans="2:19" s="233" customFormat="1" ht="15" customHeight="1" outlineLevel="3">
      <c r="B1545" s="299"/>
      <c r="C1545" s="304"/>
      <c r="D1545" s="685"/>
      <c r="E1545" s="306" t="s">
        <v>277</v>
      </c>
      <c r="F1545" s="307"/>
      <c r="G1545" s="297"/>
      <c r="H1545" s="308"/>
      <c r="I1545" s="661"/>
      <c r="K1545" s="232"/>
      <c r="L1545" s="234"/>
      <c r="M1545" s="197"/>
      <c r="Q1545" s="764"/>
      <c r="S1545" s="197"/>
    </row>
    <row r="1546" spans="2:19" s="233" customFormat="1" ht="15" customHeight="1" outlineLevel="3">
      <c r="B1546" s="299" t="s">
        <v>1060</v>
      </c>
      <c r="C1546" s="304"/>
      <c r="D1546" s="685"/>
      <c r="E1546" s="306" t="s">
        <v>277</v>
      </c>
      <c r="F1546" s="307"/>
      <c r="G1546" s="297"/>
      <c r="H1546" s="308"/>
      <c r="I1546" s="661"/>
      <c r="K1546" s="232"/>
      <c r="L1546" s="234"/>
      <c r="M1546" s="197"/>
      <c r="Q1546" s="764"/>
      <c r="S1546" s="197"/>
    </row>
    <row r="1547" spans="2:19" s="233" customFormat="1" ht="15" customHeight="1" outlineLevel="3">
      <c r="B1547" s="299" t="s">
        <v>268</v>
      </c>
      <c r="C1547" s="304" t="s">
        <v>1135</v>
      </c>
      <c r="D1547" s="685" t="s">
        <v>701</v>
      </c>
      <c r="E1547" s="306" t="s">
        <v>1061</v>
      </c>
      <c r="F1547" s="307"/>
      <c r="G1547" s="297" t="s">
        <v>1135</v>
      </c>
      <c r="H1547" s="308" t="str">
        <f>CONCATENATE("AR-",G1547,"-",I1547)</f>
        <v>AR-C20P-1</v>
      </c>
      <c r="I1547" s="661">
        <v>1</v>
      </c>
      <c r="K1547" s="232"/>
      <c r="L1547" s="234">
        <v>1</v>
      </c>
      <c r="M1547" s="197">
        <v>1</v>
      </c>
      <c r="Q1547" s="764">
        <v>1</v>
      </c>
      <c r="S1547" s="197">
        <v>1</v>
      </c>
    </row>
    <row r="1548" spans="2:19" s="233" customFormat="1" ht="15" customHeight="1" outlineLevel="3">
      <c r="B1548" s="299" t="s">
        <v>268</v>
      </c>
      <c r="C1548" s="304" t="s">
        <v>1135</v>
      </c>
      <c r="D1548" s="685" t="s">
        <v>1062</v>
      </c>
      <c r="E1548" s="306" t="s">
        <v>1063</v>
      </c>
      <c r="F1548" s="307"/>
      <c r="G1548" s="297" t="s">
        <v>1135</v>
      </c>
      <c r="H1548" s="308" t="str">
        <f>CONCATENATE("AR-",G1548,"-",I1548)</f>
        <v>AR-C20P-1</v>
      </c>
      <c r="I1548" s="661">
        <v>1</v>
      </c>
      <c r="K1548" s="232"/>
      <c r="L1548" s="234">
        <v>1</v>
      </c>
      <c r="M1548" s="197">
        <v>1</v>
      </c>
      <c r="Q1548" s="764">
        <v>1</v>
      </c>
      <c r="S1548" s="197">
        <v>1</v>
      </c>
    </row>
    <row r="1549" spans="2:19" s="233" customFormat="1" ht="15" customHeight="1" outlineLevel="3">
      <c r="B1549" s="299"/>
      <c r="C1549" s="304"/>
      <c r="D1549" s="685"/>
      <c r="E1549" s="306" t="s">
        <v>277</v>
      </c>
      <c r="F1549" s="307"/>
      <c r="G1549" s="297"/>
      <c r="H1549" s="308"/>
      <c r="I1549" s="661"/>
      <c r="K1549" s="232"/>
      <c r="L1549" s="234"/>
      <c r="M1549" s="197"/>
      <c r="Q1549" s="764"/>
      <c r="S1549" s="197"/>
    </row>
    <row r="1550" spans="2:19" s="233" customFormat="1" ht="15" customHeight="1" outlineLevel="3">
      <c r="B1550" s="299" t="s">
        <v>1064</v>
      </c>
      <c r="C1550" s="304"/>
      <c r="D1550" s="685"/>
      <c r="E1550" s="306" t="s">
        <v>277</v>
      </c>
      <c r="F1550" s="307"/>
      <c r="G1550" s="297"/>
      <c r="H1550" s="308"/>
      <c r="I1550" s="661"/>
      <c r="K1550" s="232"/>
      <c r="L1550" s="234"/>
      <c r="M1550" s="197"/>
      <c r="Q1550" s="764"/>
      <c r="S1550" s="197"/>
    </row>
    <row r="1551" spans="2:19" s="233" customFormat="1" ht="15" customHeight="1" outlineLevel="3">
      <c r="B1551" s="299" t="s">
        <v>268</v>
      </c>
      <c r="C1551" s="304" t="s">
        <v>1135</v>
      </c>
      <c r="D1551" s="685" t="s">
        <v>283</v>
      </c>
      <c r="E1551" s="306" t="s">
        <v>1065</v>
      </c>
      <c r="F1551" s="307"/>
      <c r="G1551" s="297" t="s">
        <v>1135</v>
      </c>
      <c r="H1551" s="308" t="str">
        <f>CONCATENATE("AR-",G1551,"-",I1551)</f>
        <v>AR-C20P-1</v>
      </c>
      <c r="I1551" s="661">
        <v>1</v>
      </c>
      <c r="K1551" s="232"/>
      <c r="L1551" s="234">
        <v>1</v>
      </c>
      <c r="M1551" s="197">
        <v>1</v>
      </c>
      <c r="Q1551" s="764">
        <v>1</v>
      </c>
      <c r="S1551" s="197">
        <v>1</v>
      </c>
    </row>
    <row r="1552" spans="2:19" s="233" customFormat="1" ht="15" customHeight="1" outlineLevel="3">
      <c r="B1552" s="299" t="s">
        <v>268</v>
      </c>
      <c r="C1552" s="304" t="s">
        <v>1135</v>
      </c>
      <c r="D1552" s="685" t="s">
        <v>390</v>
      </c>
      <c r="E1552" s="306" t="s">
        <v>1066</v>
      </c>
      <c r="F1552" s="307"/>
      <c r="G1552" s="297" t="s">
        <v>1135</v>
      </c>
      <c r="H1552" s="308" t="str">
        <f>CONCATENATE("AR-",G1552,"-",I1552)</f>
        <v>AR-C20P-1</v>
      </c>
      <c r="I1552" s="661">
        <v>1</v>
      </c>
      <c r="K1552" s="232"/>
      <c r="L1552" s="234">
        <v>1</v>
      </c>
      <c r="M1552" s="197">
        <v>1</v>
      </c>
      <c r="Q1552" s="764">
        <v>1</v>
      </c>
      <c r="S1552" s="197">
        <v>1</v>
      </c>
    </row>
    <row r="1553" spans="2:19" s="233" customFormat="1" ht="15" customHeight="1" outlineLevel="3">
      <c r="B1553" s="299" t="s">
        <v>268</v>
      </c>
      <c r="C1553" s="304" t="s">
        <v>1135</v>
      </c>
      <c r="D1553" s="685" t="s">
        <v>392</v>
      </c>
      <c r="E1553" s="306" t="s">
        <v>1067</v>
      </c>
      <c r="F1553" s="307"/>
      <c r="G1553" s="297" t="s">
        <v>1135</v>
      </c>
      <c r="H1553" s="308" t="str">
        <f>CONCATENATE("AR-",G1553,"-",I1553)</f>
        <v>AR-C20P-1</v>
      </c>
      <c r="I1553" s="661">
        <v>1</v>
      </c>
      <c r="K1553" s="232"/>
      <c r="L1553" s="234">
        <v>1</v>
      </c>
      <c r="M1553" s="197">
        <v>1</v>
      </c>
      <c r="Q1553" s="764">
        <v>1</v>
      </c>
      <c r="S1553" s="197">
        <v>1</v>
      </c>
    </row>
    <row r="1554" spans="2:19" s="233" customFormat="1" ht="15" customHeight="1" outlineLevel="3">
      <c r="B1554" s="299" t="s">
        <v>268</v>
      </c>
      <c r="C1554" s="304" t="s">
        <v>1135</v>
      </c>
      <c r="D1554" s="685" t="s">
        <v>1068</v>
      </c>
      <c r="E1554" s="306" t="s">
        <v>1069</v>
      </c>
      <c r="F1554" s="307"/>
      <c r="G1554" s="297" t="s">
        <v>1135</v>
      </c>
      <c r="H1554" s="308" t="str">
        <f>CONCATENATE("AR-",G1554,"-",I1554)</f>
        <v>AR-C20P-1</v>
      </c>
      <c r="I1554" s="661">
        <v>1</v>
      </c>
      <c r="K1554" s="232"/>
      <c r="L1554" s="234">
        <v>1</v>
      </c>
      <c r="M1554" s="197">
        <v>1</v>
      </c>
      <c r="Q1554" s="764">
        <v>1</v>
      </c>
      <c r="S1554" s="197">
        <v>1</v>
      </c>
    </row>
    <row r="1555" spans="2:19" s="233" customFormat="1" ht="15" customHeight="1" outlineLevel="3">
      <c r="B1555" s="299"/>
      <c r="C1555" s="304"/>
      <c r="D1555" s="685"/>
      <c r="E1555" s="306" t="s">
        <v>277</v>
      </c>
      <c r="F1555" s="307"/>
      <c r="G1555" s="297"/>
      <c r="H1555" s="308"/>
      <c r="I1555" s="661"/>
      <c r="K1555" s="232"/>
      <c r="L1555" s="234"/>
      <c r="M1555" s="197"/>
      <c r="Q1555" s="764"/>
      <c r="S1555" s="197"/>
    </row>
    <row r="1556" spans="2:19" s="233" customFormat="1" ht="15" customHeight="1" outlineLevel="3">
      <c r="B1556" s="299" t="s">
        <v>1070</v>
      </c>
      <c r="C1556" s="304"/>
      <c r="D1556" s="685"/>
      <c r="E1556" s="306" t="s">
        <v>277</v>
      </c>
      <c r="F1556" s="307"/>
      <c r="G1556" s="297"/>
      <c r="H1556" s="308"/>
      <c r="I1556" s="661"/>
      <c r="K1556" s="232"/>
      <c r="L1556" s="234"/>
      <c r="M1556" s="197"/>
      <c r="Q1556" s="764"/>
      <c r="S1556" s="197"/>
    </row>
    <row r="1557" spans="2:19" s="233" customFormat="1" ht="15" customHeight="1" outlineLevel="3">
      <c r="B1557" s="299" t="s">
        <v>268</v>
      </c>
      <c r="C1557" s="304" t="s">
        <v>1135</v>
      </c>
      <c r="D1557" s="685" t="s">
        <v>291</v>
      </c>
      <c r="E1557" s="306" t="s">
        <v>1071</v>
      </c>
      <c r="F1557" s="307"/>
      <c r="G1557" s="297" t="s">
        <v>1135</v>
      </c>
      <c r="H1557" s="308" t="str">
        <f>CONCATENATE("AR-",G1557,"-",I1557)</f>
        <v>AR-C20P-1</v>
      </c>
      <c r="I1557" s="661">
        <v>1</v>
      </c>
      <c r="K1557" s="232"/>
      <c r="L1557" s="234">
        <v>1</v>
      </c>
      <c r="M1557" s="197">
        <v>1</v>
      </c>
      <c r="Q1557" s="764">
        <v>1</v>
      </c>
      <c r="S1557" s="197">
        <v>1</v>
      </c>
    </row>
    <row r="1558" spans="2:19" s="233" customFormat="1" ht="15" customHeight="1" outlineLevel="3">
      <c r="B1558" s="299" t="s">
        <v>268</v>
      </c>
      <c r="C1558" s="304" t="s">
        <v>1135</v>
      </c>
      <c r="D1558" s="685" t="s">
        <v>950</v>
      </c>
      <c r="E1558" s="306" t="s">
        <v>1072</v>
      </c>
      <c r="F1558" s="307"/>
      <c r="G1558" s="297" t="s">
        <v>1135</v>
      </c>
      <c r="H1558" s="308" t="str">
        <f>CONCATENATE("AR-",G1558,"-",I1558)</f>
        <v>AR-C20P-1</v>
      </c>
      <c r="I1558" s="661">
        <v>1</v>
      </c>
      <c r="K1558" s="232"/>
      <c r="L1558" s="234">
        <v>1</v>
      </c>
      <c r="M1558" s="197">
        <v>1</v>
      </c>
      <c r="Q1558" s="764">
        <v>1</v>
      </c>
      <c r="S1558" s="197">
        <v>1</v>
      </c>
    </row>
    <row r="1559" spans="2:19" s="233" customFormat="1" ht="15" customHeight="1" outlineLevel="3">
      <c r="B1559" s="299"/>
      <c r="C1559" s="304"/>
      <c r="D1559" s="685"/>
      <c r="E1559" s="306" t="s">
        <v>277</v>
      </c>
      <c r="F1559" s="307"/>
      <c r="G1559" s="297"/>
      <c r="H1559" s="308"/>
      <c r="I1559" s="661"/>
      <c r="K1559" s="232"/>
      <c r="L1559" s="234"/>
      <c r="M1559" s="197"/>
      <c r="Q1559" s="764"/>
      <c r="S1559" s="197"/>
    </row>
    <row r="1560" spans="2:19" s="259" customFormat="1" ht="15" customHeight="1" outlineLevel="3">
      <c r="B1560" s="299" t="s">
        <v>1073</v>
      </c>
      <c r="C1560" s="304"/>
      <c r="D1560" s="685"/>
      <c r="E1560" s="306" t="s">
        <v>277</v>
      </c>
      <c r="F1560" s="307"/>
      <c r="G1560" s="297"/>
      <c r="H1560" s="308"/>
      <c r="I1560" s="661"/>
      <c r="K1560" s="258"/>
      <c r="L1560" s="242"/>
      <c r="M1560" s="197"/>
      <c r="Q1560" s="711"/>
      <c r="S1560" s="197"/>
    </row>
    <row r="1561" spans="2:19" s="233" customFormat="1" ht="15" customHeight="1" outlineLevel="3">
      <c r="B1561" s="299" t="s">
        <v>268</v>
      </c>
      <c r="C1561" s="304" t="s">
        <v>1135</v>
      </c>
      <c r="D1561" s="685" t="s">
        <v>551</v>
      </c>
      <c r="E1561" s="306" t="s">
        <v>1074</v>
      </c>
      <c r="F1561" s="307"/>
      <c r="G1561" s="297" t="s">
        <v>1135</v>
      </c>
      <c r="H1561" s="308" t="str">
        <f>CONCATENATE("AR-",G1561,"-",I1561)</f>
        <v>AR-C20P-1</v>
      </c>
      <c r="I1561" s="661">
        <v>1</v>
      </c>
      <c r="K1561" s="232"/>
      <c r="L1561" s="234">
        <v>1</v>
      </c>
      <c r="M1561" s="197">
        <v>1</v>
      </c>
      <c r="Q1561" s="764">
        <v>1</v>
      </c>
      <c r="S1561" s="197">
        <v>1</v>
      </c>
    </row>
    <row r="1562" spans="2:19" s="233" customFormat="1" ht="15" customHeight="1" outlineLevel="3">
      <c r="B1562" s="299" t="s">
        <v>268</v>
      </c>
      <c r="C1562" s="304" t="s">
        <v>1135</v>
      </c>
      <c r="D1562" s="685" t="s">
        <v>553</v>
      </c>
      <c r="E1562" s="306" t="s">
        <v>1075</v>
      </c>
      <c r="F1562" s="307"/>
      <c r="G1562" s="297" t="s">
        <v>1135</v>
      </c>
      <c r="H1562" s="308" t="str">
        <f>CONCATENATE("AR-",G1562,"-",I1562)</f>
        <v>AR-C20P-1</v>
      </c>
      <c r="I1562" s="661">
        <v>1</v>
      </c>
      <c r="K1562" s="232"/>
      <c r="L1562" s="234">
        <v>1</v>
      </c>
      <c r="M1562" s="197">
        <v>1</v>
      </c>
      <c r="Q1562" s="764">
        <v>1</v>
      </c>
      <c r="S1562" s="197">
        <v>1</v>
      </c>
    </row>
    <row r="1563" spans="2:19" s="233" customFormat="1" ht="15" customHeight="1" outlineLevel="3">
      <c r="B1563" s="299" t="s">
        <v>268</v>
      </c>
      <c r="C1563" s="304" t="s">
        <v>1135</v>
      </c>
      <c r="D1563" s="685" t="s">
        <v>554</v>
      </c>
      <c r="E1563" s="306" t="s">
        <v>1076</v>
      </c>
      <c r="F1563" s="307"/>
      <c r="G1563" s="297" t="s">
        <v>1135</v>
      </c>
      <c r="H1563" s="308" t="str">
        <f>CONCATENATE("AR-",G1563,"-",I1563)</f>
        <v>AR-C20P-1</v>
      </c>
      <c r="I1563" s="661">
        <v>1</v>
      </c>
      <c r="K1563" s="232"/>
      <c r="L1563" s="234">
        <v>1</v>
      </c>
      <c r="M1563" s="197">
        <v>1</v>
      </c>
      <c r="Q1563" s="764">
        <v>1</v>
      </c>
      <c r="S1563" s="197">
        <v>1</v>
      </c>
    </row>
    <row r="1564" spans="2:19" s="233" customFormat="1" ht="15" customHeight="1" outlineLevel="3">
      <c r="B1564" s="299"/>
      <c r="C1564" s="304"/>
      <c r="D1564" s="685"/>
      <c r="E1564" s="306" t="s">
        <v>277</v>
      </c>
      <c r="F1564" s="307"/>
      <c r="G1564" s="297"/>
      <c r="H1564" s="308"/>
      <c r="I1564" s="661"/>
      <c r="K1564" s="232"/>
      <c r="L1564" s="234"/>
      <c r="M1564" s="197"/>
      <c r="Q1564" s="764"/>
      <c r="S1564" s="197"/>
    </row>
    <row r="1565" spans="2:19" s="233" customFormat="1" ht="15" customHeight="1" outlineLevel="3">
      <c r="B1565" s="299" t="s">
        <v>1077</v>
      </c>
      <c r="C1565" s="304"/>
      <c r="D1565" s="685"/>
      <c r="E1565" s="306" t="s">
        <v>277</v>
      </c>
      <c r="F1565" s="307"/>
      <c r="G1565" s="297"/>
      <c r="H1565" s="308"/>
      <c r="I1565" s="661"/>
      <c r="K1565" s="232"/>
      <c r="L1565" s="234"/>
      <c r="M1565" s="197"/>
      <c r="Q1565" s="764"/>
      <c r="S1565" s="197"/>
    </row>
    <row r="1566" spans="2:19" s="233" customFormat="1" ht="15" customHeight="1" outlineLevel="3">
      <c r="B1566" s="299" t="s">
        <v>268</v>
      </c>
      <c r="C1566" s="304" t="s">
        <v>1135</v>
      </c>
      <c r="D1566" s="685" t="s">
        <v>683</v>
      </c>
      <c r="E1566" s="306" t="s">
        <v>1078</v>
      </c>
      <c r="F1566" s="307"/>
      <c r="G1566" s="297" t="s">
        <v>1135</v>
      </c>
      <c r="H1566" s="308" t="str">
        <f>CONCATENATE("AR-",G1566,"-",I1566)</f>
        <v>AR-C20P-1</v>
      </c>
      <c r="I1566" s="661">
        <v>1</v>
      </c>
      <c r="K1566" s="232"/>
      <c r="L1566" s="234">
        <v>1</v>
      </c>
      <c r="M1566" s="197">
        <v>1</v>
      </c>
      <c r="Q1566" s="764">
        <v>1</v>
      </c>
      <c r="S1566" s="197">
        <v>1</v>
      </c>
    </row>
    <row r="1567" spans="2:19" s="233" customFormat="1" ht="15" customHeight="1" outlineLevel="3">
      <c r="B1567" s="299" t="s">
        <v>268</v>
      </c>
      <c r="C1567" s="304" t="s">
        <v>1135</v>
      </c>
      <c r="D1567" s="685" t="s">
        <v>1023</v>
      </c>
      <c r="E1567" s="306" t="s">
        <v>1079</v>
      </c>
      <c r="F1567" s="307"/>
      <c r="G1567" s="297" t="s">
        <v>1135</v>
      </c>
      <c r="H1567" s="308" t="str">
        <f>CONCATENATE("AR-",G1567,"-",I1567)</f>
        <v>AR-C20P-1</v>
      </c>
      <c r="I1567" s="661">
        <v>1</v>
      </c>
      <c r="K1567" s="232"/>
      <c r="L1567" s="234">
        <v>1</v>
      </c>
      <c r="M1567" s="197">
        <v>1</v>
      </c>
      <c r="Q1567" s="764">
        <v>1</v>
      </c>
      <c r="S1567" s="197">
        <v>1</v>
      </c>
    </row>
    <row r="1568" spans="2:19" s="233" customFormat="1" ht="15" customHeight="1" outlineLevel="3">
      <c r="B1568" s="299" t="s">
        <v>268</v>
      </c>
      <c r="C1568" s="304" t="s">
        <v>1135</v>
      </c>
      <c r="D1568" s="685" t="s">
        <v>1025</v>
      </c>
      <c r="E1568" s="306" t="s">
        <v>1080</v>
      </c>
      <c r="F1568" s="307"/>
      <c r="G1568" s="297" t="s">
        <v>1135</v>
      </c>
      <c r="H1568" s="308" t="str">
        <f>CONCATENATE("AR-",G1568,"-",I1568)</f>
        <v>AR-C20P-1</v>
      </c>
      <c r="I1568" s="661">
        <v>1</v>
      </c>
      <c r="K1568" s="232"/>
      <c r="L1568" s="234">
        <v>1</v>
      </c>
      <c r="M1568" s="197">
        <v>1</v>
      </c>
      <c r="Q1568" s="764">
        <v>1</v>
      </c>
      <c r="S1568" s="197">
        <v>1</v>
      </c>
    </row>
    <row r="1569" spans="2:19" s="233" customFormat="1" ht="15" customHeight="1" outlineLevel="3">
      <c r="B1569" s="299"/>
      <c r="C1569" s="304"/>
      <c r="D1569" s="685"/>
      <c r="E1569" s="306" t="s">
        <v>277</v>
      </c>
      <c r="F1569" s="307"/>
      <c r="G1569" s="297"/>
      <c r="H1569" s="308"/>
      <c r="I1569" s="661"/>
      <c r="K1569" s="232"/>
      <c r="L1569" s="234"/>
      <c r="M1569" s="197"/>
      <c r="Q1569" s="764"/>
      <c r="S1569" s="197"/>
    </row>
    <row r="1570" spans="2:19" s="259" customFormat="1" ht="15" customHeight="1" outlineLevel="3">
      <c r="B1570" s="299" t="s">
        <v>1085</v>
      </c>
      <c r="C1570" s="304"/>
      <c r="D1570" s="685"/>
      <c r="E1570" s="306" t="s">
        <v>277</v>
      </c>
      <c r="F1570" s="307"/>
      <c r="G1570" s="297"/>
      <c r="H1570" s="308"/>
      <c r="I1570" s="661"/>
      <c r="K1570" s="258"/>
      <c r="L1570" s="242"/>
      <c r="M1570" s="197"/>
      <c r="Q1570" s="711"/>
      <c r="S1570" s="197"/>
    </row>
    <row r="1571" spans="2:19" s="259" customFormat="1" ht="15" customHeight="1" outlineLevel="3">
      <c r="B1571" s="299" t="s">
        <v>268</v>
      </c>
      <c r="C1571" s="304" t="s">
        <v>1135</v>
      </c>
      <c r="D1571" s="685" t="s">
        <v>1086</v>
      </c>
      <c r="E1571" s="306" t="s">
        <v>1087</v>
      </c>
      <c r="F1571" s="307"/>
      <c r="G1571" s="297" t="s">
        <v>1135</v>
      </c>
      <c r="H1571" s="308" t="str">
        <f>CONCATENATE("AR-",G1571,"-",I1571)</f>
        <v>AR-C20P-1</v>
      </c>
      <c r="I1571" s="661">
        <v>1</v>
      </c>
      <c r="K1571" s="258"/>
      <c r="L1571" s="234">
        <v>1</v>
      </c>
      <c r="M1571" s="197">
        <v>1</v>
      </c>
      <c r="Q1571" s="711">
        <v>1</v>
      </c>
      <c r="S1571" s="197">
        <v>1</v>
      </c>
    </row>
    <row r="1572" spans="2:19" s="233" customFormat="1" ht="15" customHeight="1" outlineLevel="3">
      <c r="B1572" s="299" t="s">
        <v>268</v>
      </c>
      <c r="C1572" s="304" t="s">
        <v>1135</v>
      </c>
      <c r="D1572" s="685" t="s">
        <v>320</v>
      </c>
      <c r="E1572" s="306" t="s">
        <v>1088</v>
      </c>
      <c r="F1572" s="307"/>
      <c r="G1572" s="297" t="s">
        <v>1135</v>
      </c>
      <c r="H1572" s="308" t="str">
        <f>CONCATENATE("AR-",G1572,"-",I1572)</f>
        <v>AR-C20P-1</v>
      </c>
      <c r="I1572" s="661">
        <v>1</v>
      </c>
      <c r="K1572" s="232"/>
      <c r="L1572" s="234">
        <v>1</v>
      </c>
      <c r="M1572" s="197">
        <v>1</v>
      </c>
      <c r="Q1572" s="764">
        <v>1</v>
      </c>
      <c r="S1572" s="197">
        <v>1</v>
      </c>
    </row>
    <row r="1573" spans="2:19" s="233" customFormat="1" ht="15" customHeight="1" outlineLevel="3">
      <c r="B1573" s="299" t="s">
        <v>268</v>
      </c>
      <c r="C1573" s="304" t="s">
        <v>1135</v>
      </c>
      <c r="D1573" s="685" t="s">
        <v>1089</v>
      </c>
      <c r="E1573" s="306" t="s">
        <v>1090</v>
      </c>
      <c r="F1573" s="307"/>
      <c r="G1573" s="297" t="s">
        <v>1135</v>
      </c>
      <c r="H1573" s="308" t="str">
        <f>CONCATENATE("AR-",G1573,"-",I1573)</f>
        <v>AR-C20P-1</v>
      </c>
      <c r="I1573" s="661">
        <v>1</v>
      </c>
      <c r="K1573" s="232"/>
      <c r="L1573" s="234">
        <v>1</v>
      </c>
      <c r="M1573" s="197">
        <v>1</v>
      </c>
      <c r="Q1573" s="764">
        <v>1</v>
      </c>
      <c r="S1573" s="197">
        <v>1</v>
      </c>
    </row>
    <row r="1574" spans="2:19" s="233" customFormat="1" ht="15" customHeight="1" outlineLevel="3">
      <c r="B1574" s="299" t="s">
        <v>268</v>
      </c>
      <c r="C1574" s="304" t="s">
        <v>1135</v>
      </c>
      <c r="D1574" s="685" t="s">
        <v>1091</v>
      </c>
      <c r="E1574" s="306" t="s">
        <v>1092</v>
      </c>
      <c r="F1574" s="307"/>
      <c r="G1574" s="297" t="s">
        <v>1135</v>
      </c>
      <c r="H1574" s="308" t="str">
        <f>CONCATENATE("AR-",G1574,"-",I1574)</f>
        <v>AR-C20P-1</v>
      </c>
      <c r="I1574" s="661">
        <v>1</v>
      </c>
      <c r="K1574" s="232"/>
      <c r="L1574" s="234">
        <v>1</v>
      </c>
      <c r="M1574" s="197">
        <v>1</v>
      </c>
      <c r="Q1574" s="764">
        <v>1</v>
      </c>
      <c r="S1574" s="197">
        <v>1</v>
      </c>
    </row>
    <row r="1575" spans="2:19" s="233" customFormat="1" ht="15" customHeight="1" outlineLevel="3">
      <c r="B1575" s="299"/>
      <c r="C1575" s="304"/>
      <c r="D1575" s="685"/>
      <c r="E1575" s="306" t="s">
        <v>277</v>
      </c>
      <c r="F1575" s="307"/>
      <c r="G1575" s="297"/>
      <c r="H1575" s="308"/>
      <c r="I1575" s="661"/>
      <c r="K1575" s="232"/>
      <c r="L1575" s="234"/>
      <c r="M1575" s="197"/>
      <c r="Q1575" s="764"/>
      <c r="S1575" s="197"/>
    </row>
    <row r="1576" spans="2:19" s="259" customFormat="1" ht="15" customHeight="1" outlineLevel="3">
      <c r="B1576" s="299" t="s">
        <v>1093</v>
      </c>
      <c r="C1576" s="304"/>
      <c r="D1576" s="685"/>
      <c r="E1576" s="306" t="s">
        <v>277</v>
      </c>
      <c r="F1576" s="307"/>
      <c r="G1576" s="297"/>
      <c r="H1576" s="308"/>
      <c r="I1576" s="661"/>
      <c r="K1576" s="258"/>
      <c r="L1576" s="242"/>
      <c r="M1576" s="197"/>
      <c r="Q1576" s="711"/>
      <c r="S1576" s="197"/>
    </row>
    <row r="1577" spans="2:19" s="233" customFormat="1" ht="15" customHeight="1" outlineLevel="3">
      <c r="B1577" s="299" t="s">
        <v>268</v>
      </c>
      <c r="C1577" s="304" t="s">
        <v>1135</v>
      </c>
      <c r="D1577" s="685" t="s">
        <v>409</v>
      </c>
      <c r="E1577" s="306" t="s">
        <v>892</v>
      </c>
      <c r="F1577" s="307"/>
      <c r="G1577" s="297" t="s">
        <v>1135</v>
      </c>
      <c r="H1577" s="308" t="str">
        <f>CONCATENATE("AR-",G1577,"-",I1577)</f>
        <v>AR-C20P-1</v>
      </c>
      <c r="I1577" s="661">
        <v>1</v>
      </c>
      <c r="K1577" s="232"/>
      <c r="L1577" s="234">
        <v>1</v>
      </c>
      <c r="M1577" s="197">
        <v>1</v>
      </c>
      <c r="Q1577" s="764">
        <v>1</v>
      </c>
      <c r="S1577" s="197">
        <v>1</v>
      </c>
    </row>
    <row r="1578" spans="2:19" s="233" customFormat="1" ht="15" customHeight="1" outlineLevel="3">
      <c r="B1578" s="299" t="s">
        <v>268</v>
      </c>
      <c r="C1578" s="304" t="s">
        <v>1135</v>
      </c>
      <c r="D1578" s="685" t="s">
        <v>411</v>
      </c>
      <c r="E1578" s="306" t="s">
        <v>893</v>
      </c>
      <c r="F1578" s="307"/>
      <c r="G1578" s="297" t="s">
        <v>1135</v>
      </c>
      <c r="H1578" s="308" t="str">
        <f>CONCATENATE("AR-",G1578,"-",I1578)</f>
        <v>AR-C20P-1</v>
      </c>
      <c r="I1578" s="661">
        <v>1</v>
      </c>
      <c r="K1578" s="232"/>
      <c r="L1578" s="234">
        <v>1</v>
      </c>
      <c r="M1578" s="197">
        <v>1</v>
      </c>
      <c r="Q1578" s="764">
        <v>1</v>
      </c>
      <c r="S1578" s="197">
        <v>1</v>
      </c>
    </row>
    <row r="1579" spans="2:19" s="233" customFormat="1" ht="15" customHeight="1" outlineLevel="3">
      <c r="B1579" s="299" t="s">
        <v>268</v>
      </c>
      <c r="C1579" s="304" t="s">
        <v>1135</v>
      </c>
      <c r="D1579" s="685" t="s">
        <v>903</v>
      </c>
      <c r="E1579" s="306" t="s">
        <v>1094</v>
      </c>
      <c r="F1579" s="307"/>
      <c r="G1579" s="297" t="s">
        <v>1135</v>
      </c>
      <c r="H1579" s="308" t="str">
        <f>CONCATENATE("AR-",G1579,"-",I1579)</f>
        <v>AR-C20P-1</v>
      </c>
      <c r="I1579" s="661">
        <v>1</v>
      </c>
      <c r="K1579" s="232"/>
      <c r="L1579" s="234">
        <v>1</v>
      </c>
      <c r="M1579" s="197">
        <v>1</v>
      </c>
      <c r="Q1579" s="764">
        <v>1</v>
      </c>
      <c r="S1579" s="197">
        <v>1</v>
      </c>
    </row>
    <row r="1580" spans="2:19" s="233" customFormat="1" ht="15" customHeight="1" outlineLevel="3">
      <c r="B1580" s="299" t="s">
        <v>268</v>
      </c>
      <c r="C1580" s="304" t="s">
        <v>1135</v>
      </c>
      <c r="D1580" s="685" t="s">
        <v>1095</v>
      </c>
      <c r="E1580" s="306" t="s">
        <v>1096</v>
      </c>
      <c r="F1580" s="307"/>
      <c r="G1580" s="297" t="s">
        <v>1135</v>
      </c>
      <c r="H1580" s="308" t="str">
        <f>CONCATENATE("AR-",G1580,"-",I1580)</f>
        <v>AR-C20P-1</v>
      </c>
      <c r="I1580" s="661">
        <v>1</v>
      </c>
      <c r="K1580" s="232"/>
      <c r="L1580" s="234">
        <v>1</v>
      </c>
      <c r="M1580" s="197">
        <v>1</v>
      </c>
      <c r="Q1580" s="764">
        <v>1</v>
      </c>
      <c r="S1580" s="197">
        <v>1</v>
      </c>
    </row>
    <row r="1581" spans="2:19" s="233" customFormat="1" ht="15" customHeight="1" outlineLevel="3">
      <c r="B1581" s="299" t="s">
        <v>268</v>
      </c>
      <c r="C1581" s="304" t="s">
        <v>1135</v>
      </c>
      <c r="D1581" s="685" t="s">
        <v>1097</v>
      </c>
      <c r="E1581" s="306" t="s">
        <v>1098</v>
      </c>
      <c r="F1581" s="307"/>
      <c r="G1581" s="297" t="s">
        <v>1135</v>
      </c>
      <c r="H1581" s="308" t="str">
        <f>CONCATENATE("AR-",G1581,"-",I1581)</f>
        <v>AR-C20P-1</v>
      </c>
      <c r="I1581" s="661">
        <v>1</v>
      </c>
      <c r="K1581" s="232"/>
      <c r="L1581" s="234">
        <v>1</v>
      </c>
      <c r="M1581" s="197">
        <v>1</v>
      </c>
      <c r="Q1581" s="764">
        <v>1</v>
      </c>
      <c r="S1581" s="197">
        <v>1</v>
      </c>
    </row>
    <row r="1582" spans="2:19" s="233" customFormat="1" ht="15" customHeight="1" outlineLevel="3">
      <c r="B1582" s="299"/>
      <c r="C1582" s="304"/>
      <c r="D1582" s="685"/>
      <c r="E1582" s="306" t="s">
        <v>277</v>
      </c>
      <c r="F1582" s="307"/>
      <c r="G1582" s="297"/>
      <c r="H1582" s="308"/>
      <c r="I1582" s="661"/>
      <c r="K1582" s="232"/>
      <c r="L1582" s="234"/>
      <c r="M1582" s="197"/>
      <c r="Q1582" s="764"/>
      <c r="S1582" s="197"/>
    </row>
    <row r="1583" spans="2:19" s="259" customFormat="1" ht="15" customHeight="1" outlineLevel="3">
      <c r="B1583" s="299" t="s">
        <v>1099</v>
      </c>
      <c r="C1583" s="304"/>
      <c r="D1583" s="685"/>
      <c r="E1583" s="306" t="s">
        <v>277</v>
      </c>
      <c r="F1583" s="307"/>
      <c r="G1583" s="297"/>
      <c r="H1583" s="308"/>
      <c r="I1583" s="661"/>
      <c r="K1583" s="258"/>
      <c r="L1583" s="242"/>
      <c r="M1583" s="197"/>
      <c r="Q1583" s="711"/>
      <c r="S1583" s="197"/>
    </row>
    <row r="1584" spans="2:19" s="233" customFormat="1" ht="15" customHeight="1" outlineLevel="3">
      <c r="B1584" s="299" t="s">
        <v>268</v>
      </c>
      <c r="C1584" s="304" t="s">
        <v>1135</v>
      </c>
      <c r="D1584" s="685" t="s">
        <v>418</v>
      </c>
      <c r="E1584" s="306" t="s">
        <v>1100</v>
      </c>
      <c r="F1584" s="307"/>
      <c r="G1584" s="297" t="s">
        <v>1135</v>
      </c>
      <c r="H1584" s="308" t="str">
        <f>CONCATENATE("AR-",G1584,"-",I1584)</f>
        <v>AR-C20P-1</v>
      </c>
      <c r="I1584" s="661">
        <v>1</v>
      </c>
      <c r="K1584" s="232"/>
      <c r="L1584" s="234">
        <v>1</v>
      </c>
      <c r="M1584" s="197">
        <v>1</v>
      </c>
      <c r="Q1584" s="764">
        <v>1</v>
      </c>
      <c r="S1584" s="197">
        <v>1</v>
      </c>
    </row>
    <row r="1585" spans="2:19" s="233" customFormat="1" ht="15" customHeight="1" outlineLevel="3">
      <c r="B1585" s="299" t="s">
        <v>268</v>
      </c>
      <c r="C1585" s="304" t="s">
        <v>1135</v>
      </c>
      <c r="D1585" s="685" t="s">
        <v>1101</v>
      </c>
      <c r="E1585" s="306" t="s">
        <v>1102</v>
      </c>
      <c r="F1585" s="307"/>
      <c r="G1585" s="297" t="s">
        <v>1135</v>
      </c>
      <c r="H1585" s="308" t="str">
        <f>CONCATENATE("AR-",G1585,"-",I1585)</f>
        <v>AR-C20P-1</v>
      </c>
      <c r="I1585" s="661">
        <v>1</v>
      </c>
      <c r="K1585" s="232"/>
      <c r="L1585" s="234">
        <v>1</v>
      </c>
      <c r="M1585" s="197">
        <v>1</v>
      </c>
      <c r="Q1585" s="764">
        <v>1</v>
      </c>
      <c r="S1585" s="197">
        <v>1</v>
      </c>
    </row>
    <row r="1586" spans="2:19" s="233" customFormat="1" ht="15" customHeight="1" outlineLevel="3">
      <c r="B1586" s="299"/>
      <c r="C1586" s="304"/>
      <c r="D1586" s="685"/>
      <c r="E1586" s="306" t="s">
        <v>277</v>
      </c>
      <c r="F1586" s="307"/>
      <c r="G1586" s="297"/>
      <c r="H1586" s="308"/>
      <c r="I1586" s="661"/>
      <c r="K1586" s="232"/>
      <c r="L1586" s="234"/>
      <c r="M1586" s="197"/>
      <c r="Q1586" s="764"/>
      <c r="S1586" s="197"/>
    </row>
    <row r="1587" spans="2:19" s="259" customFormat="1" ht="15" customHeight="1" outlineLevel="3">
      <c r="B1587" s="299" t="s">
        <v>957</v>
      </c>
      <c r="C1587" s="304"/>
      <c r="D1587" s="685"/>
      <c r="E1587" s="306" t="s">
        <v>277</v>
      </c>
      <c r="F1587" s="307"/>
      <c r="G1587" s="297"/>
      <c r="H1587" s="308"/>
      <c r="I1587" s="661"/>
      <c r="K1587" s="258"/>
      <c r="L1587" s="242"/>
      <c r="M1587" s="197"/>
      <c r="Q1587" s="711"/>
      <c r="S1587" s="197"/>
    </row>
    <row r="1588" spans="2:19" s="233" customFormat="1" ht="15" customHeight="1" outlineLevel="3">
      <c r="B1588" s="299" t="s">
        <v>268</v>
      </c>
      <c r="C1588" s="304" t="s">
        <v>1135</v>
      </c>
      <c r="D1588" s="685" t="s">
        <v>425</v>
      </c>
      <c r="E1588" s="306" t="s">
        <v>910</v>
      </c>
      <c r="F1588" s="307"/>
      <c r="G1588" s="297" t="s">
        <v>1135</v>
      </c>
      <c r="H1588" s="308" t="str">
        <f>CONCATENATE("AR-",G1588,"-",I1588)</f>
        <v>AR-C20P-1</v>
      </c>
      <c r="I1588" s="661">
        <v>1</v>
      </c>
      <c r="K1588" s="232"/>
      <c r="L1588" s="234">
        <v>1</v>
      </c>
      <c r="M1588" s="197">
        <v>1</v>
      </c>
      <c r="Q1588" s="764">
        <v>1</v>
      </c>
      <c r="S1588" s="197">
        <v>1</v>
      </c>
    </row>
    <row r="1589" spans="2:19" s="233" customFormat="1" ht="15" customHeight="1" outlineLevel="3">
      <c r="B1589" s="299" t="s">
        <v>268</v>
      </c>
      <c r="C1589" s="304" t="s">
        <v>1135</v>
      </c>
      <c r="D1589" s="685" t="s">
        <v>427</v>
      </c>
      <c r="E1589" s="306" t="s">
        <v>911</v>
      </c>
      <c r="F1589" s="307"/>
      <c r="G1589" s="297" t="s">
        <v>1135</v>
      </c>
      <c r="H1589" s="308" t="str">
        <f>CONCATENATE("AR-",G1589,"-",I1589)</f>
        <v>AR-C20P-1</v>
      </c>
      <c r="I1589" s="661">
        <v>1</v>
      </c>
      <c r="K1589" s="232"/>
      <c r="L1589" s="234">
        <v>1</v>
      </c>
      <c r="M1589" s="197">
        <v>1</v>
      </c>
      <c r="Q1589" s="764">
        <v>1</v>
      </c>
      <c r="S1589" s="197">
        <v>1</v>
      </c>
    </row>
    <row r="1590" spans="2:19" s="233" customFormat="1" ht="15" customHeight="1" outlineLevel="3">
      <c r="B1590" s="299" t="s">
        <v>268</v>
      </c>
      <c r="C1590" s="304" t="s">
        <v>1135</v>
      </c>
      <c r="D1590" s="685" t="s">
        <v>429</v>
      </c>
      <c r="E1590" s="306" t="s">
        <v>912</v>
      </c>
      <c r="F1590" s="307"/>
      <c r="G1590" s="297" t="s">
        <v>1135</v>
      </c>
      <c r="H1590" s="308" t="str">
        <f>CONCATENATE("AR-",G1590,"-",I1590)</f>
        <v>AR-C20P-1</v>
      </c>
      <c r="I1590" s="661">
        <v>1</v>
      </c>
      <c r="K1590" s="232"/>
      <c r="L1590" s="234">
        <v>1</v>
      </c>
      <c r="M1590" s="197">
        <v>1</v>
      </c>
      <c r="Q1590" s="764">
        <v>1</v>
      </c>
      <c r="S1590" s="197">
        <v>1</v>
      </c>
    </row>
    <row r="1591" spans="2:19" s="233" customFormat="1" ht="15" customHeight="1" outlineLevel="3">
      <c r="B1591" s="299" t="s">
        <v>268</v>
      </c>
      <c r="C1591" s="304" t="s">
        <v>1135</v>
      </c>
      <c r="D1591" s="685" t="s">
        <v>431</v>
      </c>
      <c r="E1591" s="306" t="s">
        <v>913</v>
      </c>
      <c r="F1591" s="307"/>
      <c r="G1591" s="297" t="s">
        <v>1135</v>
      </c>
      <c r="H1591" s="308" t="str">
        <f>CONCATENATE("AR-",G1591,"-",I1591)</f>
        <v>AR-C20P-1</v>
      </c>
      <c r="I1591" s="661">
        <v>1</v>
      </c>
      <c r="K1591" s="232"/>
      <c r="L1591" s="234">
        <v>1</v>
      </c>
      <c r="M1591" s="197">
        <v>1</v>
      </c>
      <c r="Q1591" s="764">
        <v>1</v>
      </c>
      <c r="S1591" s="197">
        <v>1</v>
      </c>
    </row>
    <row r="1592" spans="2:19" s="233" customFormat="1" ht="15" customHeight="1" outlineLevel="3">
      <c r="B1592" s="299"/>
      <c r="C1592" s="304"/>
      <c r="D1592" s="685"/>
      <c r="E1592" s="306" t="s">
        <v>277</v>
      </c>
      <c r="F1592" s="307"/>
      <c r="G1592" s="297"/>
      <c r="H1592" s="308"/>
      <c r="I1592" s="661"/>
      <c r="K1592" s="232"/>
      <c r="L1592" s="234"/>
      <c r="M1592" s="197"/>
      <c r="Q1592" s="764"/>
      <c r="S1592" s="197"/>
    </row>
    <row r="1593" spans="2:19" s="259" customFormat="1" ht="15" customHeight="1" outlineLevel="3">
      <c r="B1593" s="299" t="s">
        <v>1103</v>
      </c>
      <c r="C1593" s="304"/>
      <c r="D1593" s="685"/>
      <c r="E1593" s="306" t="s">
        <v>277</v>
      </c>
      <c r="F1593" s="307"/>
      <c r="G1593" s="297"/>
      <c r="H1593" s="308"/>
      <c r="I1593" s="661"/>
      <c r="K1593" s="258"/>
      <c r="L1593" s="242"/>
      <c r="M1593" s="197"/>
      <c r="Q1593" s="711"/>
      <c r="S1593" s="197"/>
    </row>
    <row r="1594" spans="2:19" s="233" customFormat="1" ht="15" customHeight="1" outlineLevel="3">
      <c r="B1594" s="299" t="s">
        <v>268</v>
      </c>
      <c r="C1594" s="304" t="s">
        <v>1135</v>
      </c>
      <c r="D1594" s="685" t="s">
        <v>915</v>
      </c>
      <c r="E1594" s="306" t="s">
        <v>1104</v>
      </c>
      <c r="F1594" s="307"/>
      <c r="G1594" s="297" t="s">
        <v>1135</v>
      </c>
      <c r="H1594" s="308" t="str">
        <f>CONCATENATE("AR-",G1594,"-",I1594)</f>
        <v>AR-C20P-1</v>
      </c>
      <c r="I1594" s="661">
        <v>1</v>
      </c>
      <c r="K1594" s="232"/>
      <c r="L1594" s="234">
        <v>1</v>
      </c>
      <c r="M1594" s="197">
        <v>1</v>
      </c>
      <c r="Q1594" s="764">
        <v>1</v>
      </c>
      <c r="S1594" s="197">
        <v>1</v>
      </c>
    </row>
    <row r="1595" spans="2:19" s="233" customFormat="1" ht="15" customHeight="1" outlineLevel="3">
      <c r="B1595" s="299" t="s">
        <v>268</v>
      </c>
      <c r="C1595" s="304" t="s">
        <v>1135</v>
      </c>
      <c r="D1595" s="685" t="s">
        <v>1105</v>
      </c>
      <c r="E1595" s="306" t="s">
        <v>1104</v>
      </c>
      <c r="F1595" s="307"/>
      <c r="G1595" s="297" t="s">
        <v>1135</v>
      </c>
      <c r="H1595" s="308" t="str">
        <f>CONCATENATE("AR-",G1595,"-",I1595)</f>
        <v>AR-C20P-1</v>
      </c>
      <c r="I1595" s="661">
        <v>1</v>
      </c>
      <c r="K1595" s="232"/>
      <c r="L1595" s="234">
        <v>1</v>
      </c>
      <c r="M1595" s="197">
        <v>1</v>
      </c>
      <c r="Q1595" s="764">
        <v>1</v>
      </c>
      <c r="S1595" s="197">
        <v>1</v>
      </c>
    </row>
    <row r="1596" spans="2:19" s="233" customFormat="1" ht="15" customHeight="1" outlineLevel="3">
      <c r="B1596" s="299" t="s">
        <v>1106</v>
      </c>
      <c r="C1596" s="304"/>
      <c r="D1596" s="685"/>
      <c r="E1596" s="306" t="s">
        <v>277</v>
      </c>
      <c r="F1596" s="307"/>
      <c r="G1596" s="297"/>
      <c r="H1596" s="308"/>
      <c r="I1596" s="661"/>
      <c r="K1596" s="232"/>
      <c r="L1596" s="234"/>
      <c r="M1596" s="197"/>
      <c r="Q1596" s="764"/>
      <c r="S1596" s="197"/>
    </row>
    <row r="1597" spans="2:19" s="233" customFormat="1" ht="15" customHeight="1" outlineLevel="3">
      <c r="B1597" s="299" t="s">
        <v>268</v>
      </c>
      <c r="C1597" s="304" t="s">
        <v>1135</v>
      </c>
      <c r="D1597" s="685" t="s">
        <v>1107</v>
      </c>
      <c r="E1597" s="306" t="s">
        <v>1108</v>
      </c>
      <c r="F1597" s="307"/>
      <c r="G1597" s="297" t="s">
        <v>1135</v>
      </c>
      <c r="H1597" s="308" t="str">
        <f>CONCATENATE("AR-",G1597,"-",I1597)</f>
        <v>AR-C20P-1</v>
      </c>
      <c r="I1597" s="661">
        <v>1</v>
      </c>
      <c r="K1597" s="232"/>
      <c r="L1597" s="234">
        <v>1</v>
      </c>
      <c r="M1597" s="197">
        <v>1</v>
      </c>
      <c r="Q1597" s="764">
        <v>1</v>
      </c>
      <c r="S1597" s="197">
        <v>1</v>
      </c>
    </row>
    <row r="1598" spans="2:19" s="233" customFormat="1" ht="15" customHeight="1" outlineLevel="3">
      <c r="B1598" s="299" t="s">
        <v>268</v>
      </c>
      <c r="C1598" s="304" t="s">
        <v>1135</v>
      </c>
      <c r="D1598" s="685" t="s">
        <v>1109</v>
      </c>
      <c r="E1598" s="306" t="s">
        <v>1110</v>
      </c>
      <c r="F1598" s="307"/>
      <c r="G1598" s="297" t="s">
        <v>1135</v>
      </c>
      <c r="H1598" s="308" t="str">
        <f>CONCATENATE("AR-",G1598,"-",I1598)</f>
        <v>AR-C20P-1</v>
      </c>
      <c r="I1598" s="661">
        <v>1</v>
      </c>
      <c r="K1598" s="232"/>
      <c r="L1598" s="234">
        <v>1</v>
      </c>
      <c r="M1598" s="197">
        <v>1</v>
      </c>
      <c r="Q1598" s="764">
        <v>1</v>
      </c>
      <c r="S1598" s="197">
        <v>1</v>
      </c>
    </row>
    <row r="1599" spans="2:19" s="233" customFormat="1" ht="15" customHeight="1" outlineLevel="3">
      <c r="B1599" s="299"/>
      <c r="C1599" s="304"/>
      <c r="D1599" s="685"/>
      <c r="E1599" s="306" t="s">
        <v>277</v>
      </c>
      <c r="F1599" s="307"/>
      <c r="G1599" s="297"/>
      <c r="H1599" s="308"/>
      <c r="I1599" s="661"/>
      <c r="K1599" s="232"/>
      <c r="L1599" s="234"/>
      <c r="M1599" s="197"/>
      <c r="Q1599" s="764"/>
      <c r="S1599" s="197"/>
    </row>
    <row r="1600" spans="2:19" s="259" customFormat="1" ht="15" customHeight="1" outlineLevel="3">
      <c r="B1600" s="299" t="s">
        <v>1111</v>
      </c>
      <c r="C1600" s="304"/>
      <c r="D1600" s="685"/>
      <c r="E1600" s="306" t="s">
        <v>277</v>
      </c>
      <c r="F1600" s="307"/>
      <c r="G1600" s="297"/>
      <c r="H1600" s="308"/>
      <c r="I1600" s="661"/>
      <c r="K1600" s="258"/>
      <c r="L1600" s="242"/>
      <c r="M1600" s="197"/>
      <c r="Q1600" s="711"/>
      <c r="S1600" s="197"/>
    </row>
    <row r="1601" spans="2:19" s="233" customFormat="1" ht="15" customHeight="1" outlineLevel="3">
      <c r="B1601" s="299" t="s">
        <v>268</v>
      </c>
      <c r="C1601" s="304" t="s">
        <v>1135</v>
      </c>
      <c r="D1601" s="685" t="s">
        <v>1112</v>
      </c>
      <c r="E1601" s="306" t="s">
        <v>1113</v>
      </c>
      <c r="F1601" s="307"/>
      <c r="G1601" s="297" t="s">
        <v>1135</v>
      </c>
      <c r="H1601" s="308" t="str">
        <f>CONCATENATE("AR-",G1601,"-",I1601)</f>
        <v>AR-C20P-1</v>
      </c>
      <c r="I1601" s="661">
        <v>1</v>
      </c>
      <c r="K1601" s="232"/>
      <c r="L1601" s="234">
        <v>1</v>
      </c>
      <c r="M1601" s="197">
        <v>1</v>
      </c>
      <c r="Q1601" s="764">
        <v>1</v>
      </c>
      <c r="S1601" s="197">
        <v>1</v>
      </c>
    </row>
    <row r="1602" spans="2:19" s="233" customFormat="1" ht="15" customHeight="1" outlineLevel="3">
      <c r="B1602" s="299" t="s">
        <v>268</v>
      </c>
      <c r="C1602" s="304" t="s">
        <v>1135</v>
      </c>
      <c r="D1602" s="685" t="s">
        <v>1114</v>
      </c>
      <c r="E1602" s="306" t="s">
        <v>1115</v>
      </c>
      <c r="F1602" s="307"/>
      <c r="G1602" s="297" t="s">
        <v>1135</v>
      </c>
      <c r="H1602" s="308" t="str">
        <f>CONCATENATE("AR-",G1602,"-",I1602)</f>
        <v>AR-C20P-1</v>
      </c>
      <c r="I1602" s="661">
        <v>1</v>
      </c>
      <c r="K1602" s="232"/>
      <c r="L1602" s="234">
        <v>1</v>
      </c>
      <c r="M1602" s="197">
        <v>1</v>
      </c>
      <c r="Q1602" s="764">
        <v>1</v>
      </c>
      <c r="S1602" s="197">
        <v>1</v>
      </c>
    </row>
    <row r="1603" spans="2:19" s="233" customFormat="1" ht="15" customHeight="1" outlineLevel="3">
      <c r="B1603" s="299" t="s">
        <v>268</v>
      </c>
      <c r="C1603" s="304" t="s">
        <v>1135</v>
      </c>
      <c r="D1603" s="685" t="s">
        <v>1116</v>
      </c>
      <c r="E1603" s="306" t="s">
        <v>1117</v>
      </c>
      <c r="F1603" s="307"/>
      <c r="G1603" s="297" t="s">
        <v>1135</v>
      </c>
      <c r="H1603" s="308" t="str">
        <f>CONCATENATE("AR-",G1603,"-",I1603)</f>
        <v>AR-C20P-1</v>
      </c>
      <c r="I1603" s="661">
        <v>1</v>
      </c>
      <c r="K1603" s="232"/>
      <c r="L1603" s="234">
        <v>1</v>
      </c>
      <c r="M1603" s="197">
        <v>1</v>
      </c>
      <c r="Q1603" s="764">
        <v>1</v>
      </c>
      <c r="S1603" s="197">
        <v>1</v>
      </c>
    </row>
    <row r="1604" spans="2:19" s="233" customFormat="1" ht="15" customHeight="1" outlineLevel="3">
      <c r="B1604" s="299"/>
      <c r="C1604" s="304"/>
      <c r="D1604" s="685"/>
      <c r="E1604" s="306" t="s">
        <v>277</v>
      </c>
      <c r="F1604" s="307"/>
      <c r="G1604" s="297"/>
      <c r="H1604" s="308"/>
      <c r="I1604" s="661"/>
      <c r="K1604" s="232"/>
      <c r="L1604" s="234"/>
      <c r="M1604" s="197"/>
      <c r="Q1604" s="764"/>
      <c r="S1604" s="197"/>
    </row>
    <row r="1605" spans="2:19" s="259" customFormat="1" ht="15" customHeight="1" outlineLevel="3">
      <c r="B1605" s="299" t="s">
        <v>1118</v>
      </c>
      <c r="C1605" s="304"/>
      <c r="D1605" s="685"/>
      <c r="E1605" s="306" t="s">
        <v>277</v>
      </c>
      <c r="F1605" s="307"/>
      <c r="G1605" s="297"/>
      <c r="H1605" s="308"/>
      <c r="I1605" s="661"/>
      <c r="K1605" s="258"/>
      <c r="L1605" s="242"/>
      <c r="M1605" s="197"/>
      <c r="Q1605" s="711"/>
      <c r="S1605" s="197"/>
    </row>
    <row r="1606" spans="2:19" s="233" customFormat="1" ht="15" customHeight="1" outlineLevel="3">
      <c r="B1606" s="299" t="s">
        <v>268</v>
      </c>
      <c r="C1606" s="304" t="s">
        <v>1135</v>
      </c>
      <c r="D1606" s="685" t="s">
        <v>968</v>
      </c>
      <c r="E1606" s="306" t="s">
        <v>1119</v>
      </c>
      <c r="F1606" s="307"/>
      <c r="G1606" s="297" t="s">
        <v>1135</v>
      </c>
      <c r="H1606" s="308" t="str">
        <f>CONCATENATE("AR-",G1606,"-",I1606)</f>
        <v>AR-C20P-1</v>
      </c>
      <c r="I1606" s="661">
        <v>1</v>
      </c>
      <c r="K1606" s="232"/>
      <c r="L1606" s="234">
        <v>1</v>
      </c>
      <c r="M1606" s="197">
        <v>1</v>
      </c>
      <c r="Q1606" s="764">
        <v>1</v>
      </c>
      <c r="S1606" s="197">
        <v>1</v>
      </c>
    </row>
    <row r="1607" spans="2:19" s="233" customFormat="1" ht="15" customHeight="1" outlineLevel="3">
      <c r="B1607" s="299" t="s">
        <v>268</v>
      </c>
      <c r="C1607" s="304" t="s">
        <v>1135</v>
      </c>
      <c r="D1607" s="685" t="s">
        <v>970</v>
      </c>
      <c r="E1607" s="306" t="s">
        <v>1119</v>
      </c>
      <c r="F1607" s="307"/>
      <c r="G1607" s="297" t="s">
        <v>1135</v>
      </c>
      <c r="H1607" s="308" t="str">
        <f>CONCATENATE("AR-",G1607,"-",I1607)</f>
        <v>AR-C20P-1</v>
      </c>
      <c r="I1607" s="661">
        <v>1</v>
      </c>
      <c r="K1607" s="232"/>
      <c r="L1607" s="234">
        <v>1</v>
      </c>
      <c r="M1607" s="197">
        <v>1</v>
      </c>
      <c r="Q1607" s="764">
        <v>1</v>
      </c>
      <c r="S1607" s="197">
        <v>1</v>
      </c>
    </row>
    <row r="1608" spans="2:19" s="233" customFormat="1" ht="15" customHeight="1" outlineLevel="3">
      <c r="B1608" s="299"/>
      <c r="C1608" s="304"/>
      <c r="D1608" s="685"/>
      <c r="E1608" s="306" t="s">
        <v>277</v>
      </c>
      <c r="F1608" s="307"/>
      <c r="G1608" s="297"/>
      <c r="H1608" s="308"/>
      <c r="I1608" s="661"/>
      <c r="K1608" s="232"/>
      <c r="L1608" s="234"/>
      <c r="M1608" s="197"/>
      <c r="Q1608" s="764"/>
      <c r="S1608" s="197"/>
    </row>
    <row r="1609" spans="2:19" s="259" customFormat="1" ht="15" customHeight="1" outlineLevel="3">
      <c r="B1609" s="299" t="s">
        <v>1120</v>
      </c>
      <c r="C1609" s="304"/>
      <c r="D1609" s="685"/>
      <c r="E1609" s="306" t="s">
        <v>277</v>
      </c>
      <c r="F1609" s="307"/>
      <c r="G1609" s="297"/>
      <c r="H1609" s="308"/>
      <c r="I1609" s="661"/>
      <c r="K1609" s="258"/>
      <c r="L1609" s="242"/>
      <c r="M1609" s="197"/>
      <c r="Q1609" s="711"/>
      <c r="S1609" s="197"/>
    </row>
    <row r="1610" spans="2:19" s="233" customFormat="1" ht="15" customHeight="1" outlineLevel="3">
      <c r="B1610" s="299" t="s">
        <v>268</v>
      </c>
      <c r="C1610" s="304" t="s">
        <v>1135</v>
      </c>
      <c r="D1610" s="685" t="s">
        <v>977</v>
      </c>
      <c r="E1610" s="306" t="s">
        <v>1121</v>
      </c>
      <c r="F1610" s="307"/>
      <c r="G1610" s="297" t="s">
        <v>1135</v>
      </c>
      <c r="H1610" s="308" t="str">
        <f t="shared" ref="H1610:H1615" si="95">CONCATENATE("AR-",G1610,"-",I1610)</f>
        <v>AR-C20P-1</v>
      </c>
      <c r="I1610" s="661">
        <v>1</v>
      </c>
      <c r="K1610" s="232"/>
      <c r="L1610" s="234">
        <v>1</v>
      </c>
      <c r="M1610" s="197">
        <v>1</v>
      </c>
      <c r="Q1610" s="764">
        <v>1</v>
      </c>
      <c r="S1610" s="197">
        <v>1</v>
      </c>
    </row>
    <row r="1611" spans="2:19" s="233" customFormat="1" ht="15" customHeight="1" outlineLevel="3">
      <c r="B1611" s="299" t="s">
        <v>268</v>
      </c>
      <c r="C1611" s="304" t="s">
        <v>1135</v>
      </c>
      <c r="D1611" s="685" t="s">
        <v>979</v>
      </c>
      <c r="E1611" s="306" t="s">
        <v>1122</v>
      </c>
      <c r="F1611" s="307"/>
      <c r="G1611" s="297" t="s">
        <v>1135</v>
      </c>
      <c r="H1611" s="308" t="str">
        <f t="shared" si="95"/>
        <v>AR-C20P-1</v>
      </c>
      <c r="I1611" s="661">
        <v>1</v>
      </c>
      <c r="K1611" s="232"/>
      <c r="L1611" s="234">
        <v>1</v>
      </c>
      <c r="M1611" s="197">
        <v>1</v>
      </c>
      <c r="Q1611" s="764">
        <v>1</v>
      </c>
      <c r="S1611" s="197">
        <v>1</v>
      </c>
    </row>
    <row r="1612" spans="2:19" s="233" customFormat="1" ht="15" customHeight="1" outlineLevel="3">
      <c r="B1612" s="299" t="s">
        <v>268</v>
      </c>
      <c r="C1612" s="304" t="s">
        <v>1135</v>
      </c>
      <c r="D1612" s="685" t="s">
        <v>981</v>
      </c>
      <c r="E1612" s="306" t="s">
        <v>1123</v>
      </c>
      <c r="F1612" s="307"/>
      <c r="G1612" s="297" t="s">
        <v>1135</v>
      </c>
      <c r="H1612" s="308" t="str">
        <f t="shared" si="95"/>
        <v>AR-C20P-1</v>
      </c>
      <c r="I1612" s="661">
        <v>1</v>
      </c>
      <c r="K1612" s="232"/>
      <c r="L1612" s="234">
        <v>1</v>
      </c>
      <c r="M1612" s="197">
        <v>1</v>
      </c>
      <c r="Q1612" s="764">
        <v>1</v>
      </c>
      <c r="S1612" s="197">
        <v>1</v>
      </c>
    </row>
    <row r="1613" spans="2:19" s="233" customFormat="1" ht="15" customHeight="1" outlineLevel="3">
      <c r="B1613" s="299" t="s">
        <v>268</v>
      </c>
      <c r="C1613" s="304" t="s">
        <v>1135</v>
      </c>
      <c r="D1613" s="685" t="s">
        <v>983</v>
      </c>
      <c r="E1613" s="306" t="s">
        <v>1124</v>
      </c>
      <c r="F1613" s="307"/>
      <c r="G1613" s="297" t="s">
        <v>1135</v>
      </c>
      <c r="H1613" s="308" t="str">
        <f t="shared" si="95"/>
        <v>AR-C20P-1</v>
      </c>
      <c r="I1613" s="661">
        <v>1</v>
      </c>
      <c r="K1613" s="232"/>
      <c r="L1613" s="234">
        <v>1</v>
      </c>
      <c r="M1613" s="197">
        <v>1</v>
      </c>
      <c r="Q1613" s="764">
        <v>1</v>
      </c>
      <c r="S1613" s="197">
        <v>1</v>
      </c>
    </row>
    <row r="1614" spans="2:19" s="233" customFormat="1" ht="15" customHeight="1" outlineLevel="3">
      <c r="B1614" s="299" t="s">
        <v>268</v>
      </c>
      <c r="C1614" s="304" t="s">
        <v>1135</v>
      </c>
      <c r="D1614" s="685" t="s">
        <v>985</v>
      </c>
      <c r="E1614" s="306" t="s">
        <v>1125</v>
      </c>
      <c r="F1614" s="307"/>
      <c r="G1614" s="297" t="s">
        <v>1135</v>
      </c>
      <c r="H1614" s="308" t="str">
        <f t="shared" si="95"/>
        <v>AR-C20P-1</v>
      </c>
      <c r="I1614" s="661">
        <v>1</v>
      </c>
      <c r="K1614" s="232"/>
      <c r="L1614" s="234">
        <v>1</v>
      </c>
      <c r="M1614" s="197">
        <v>1</v>
      </c>
      <c r="Q1614" s="764">
        <v>1</v>
      </c>
      <c r="S1614" s="197">
        <v>1</v>
      </c>
    </row>
    <row r="1615" spans="2:19" s="233" customFormat="1" ht="15" customHeight="1" outlineLevel="3">
      <c r="B1615" s="299" t="s">
        <v>268</v>
      </c>
      <c r="C1615" s="304" t="s">
        <v>1135</v>
      </c>
      <c r="D1615" s="685" t="s">
        <v>987</v>
      </c>
      <c r="E1615" s="306" t="s">
        <v>1126</v>
      </c>
      <c r="F1615" s="307"/>
      <c r="G1615" s="297" t="s">
        <v>1135</v>
      </c>
      <c r="H1615" s="308" t="str">
        <f t="shared" si="95"/>
        <v>AR-C20P-1</v>
      </c>
      <c r="I1615" s="661">
        <v>1</v>
      </c>
      <c r="K1615" s="232"/>
      <c r="L1615" s="234">
        <v>1</v>
      </c>
      <c r="M1615" s="197">
        <v>1</v>
      </c>
      <c r="Q1615" s="764">
        <v>1</v>
      </c>
      <c r="S1615" s="197">
        <v>1</v>
      </c>
    </row>
    <row r="1616" spans="2:19" s="233" customFormat="1" ht="15" customHeight="1" outlineLevel="3">
      <c r="B1616" s="299"/>
      <c r="C1616" s="304"/>
      <c r="D1616" s="685"/>
      <c r="E1616" s="306" t="s">
        <v>277</v>
      </c>
      <c r="F1616" s="307"/>
      <c r="G1616" s="297"/>
      <c r="H1616" s="308"/>
      <c r="I1616" s="661"/>
      <c r="K1616" s="232"/>
      <c r="L1616" s="234"/>
      <c r="M1616" s="197"/>
      <c r="Q1616" s="764"/>
      <c r="S1616" s="197"/>
    </row>
    <row r="1617" spans="2:19" s="259" customFormat="1" ht="15" customHeight="1" outlineLevel="3">
      <c r="B1617" s="299" t="s">
        <v>934</v>
      </c>
      <c r="C1617" s="304"/>
      <c r="D1617" s="685"/>
      <c r="E1617" s="306" t="s">
        <v>277</v>
      </c>
      <c r="F1617" s="307"/>
      <c r="G1617" s="297"/>
      <c r="H1617" s="308"/>
      <c r="I1617" s="661"/>
      <c r="K1617" s="258"/>
      <c r="L1617" s="242"/>
      <c r="M1617" s="197"/>
      <c r="Q1617" s="711"/>
      <c r="S1617" s="197"/>
    </row>
    <row r="1618" spans="2:19" s="233" customFormat="1" ht="15" customHeight="1" outlineLevel="3">
      <c r="B1618" s="299" t="s">
        <v>268</v>
      </c>
      <c r="C1618" s="304" t="s">
        <v>1135</v>
      </c>
      <c r="D1618" s="685" t="s">
        <v>463</v>
      </c>
      <c r="E1618" s="306" t="s">
        <v>936</v>
      </c>
      <c r="F1618" s="307"/>
      <c r="G1618" s="297" t="s">
        <v>1135</v>
      </c>
      <c r="H1618" s="308" t="str">
        <f>CONCATENATE("AR-",G1618,"-",I1618)</f>
        <v>AR-C20P-1</v>
      </c>
      <c r="I1618" s="661">
        <v>1</v>
      </c>
      <c r="K1618" s="232"/>
      <c r="L1618" s="234">
        <v>1</v>
      </c>
      <c r="M1618" s="197">
        <v>1</v>
      </c>
      <c r="Q1618" s="764">
        <v>1</v>
      </c>
      <c r="S1618" s="197">
        <v>1</v>
      </c>
    </row>
    <row r="1619" spans="2:19" s="233" customFormat="1" ht="15" customHeight="1" outlineLevel="3">
      <c r="B1619" s="299" t="s">
        <v>268</v>
      </c>
      <c r="C1619" s="304" t="s">
        <v>1135</v>
      </c>
      <c r="D1619" s="685" t="s">
        <v>588</v>
      </c>
      <c r="E1619" s="306" t="s">
        <v>937</v>
      </c>
      <c r="F1619" s="307"/>
      <c r="G1619" s="297" t="s">
        <v>1135</v>
      </c>
      <c r="H1619" s="308" t="str">
        <f>CONCATENATE("AR-",G1619,"-",I1619)</f>
        <v>AR-C20P-1</v>
      </c>
      <c r="I1619" s="661">
        <v>1</v>
      </c>
      <c r="K1619" s="232"/>
      <c r="L1619" s="234">
        <v>1</v>
      </c>
      <c r="M1619" s="197">
        <v>1</v>
      </c>
      <c r="Q1619" s="764">
        <v>1</v>
      </c>
      <c r="S1619" s="197">
        <v>1</v>
      </c>
    </row>
    <row r="1620" spans="2:19" s="233" customFormat="1" ht="15" customHeight="1" outlineLevel="3">
      <c r="B1620" s="299" t="s">
        <v>268</v>
      </c>
      <c r="C1620" s="304" t="s">
        <v>1135</v>
      </c>
      <c r="D1620" s="685" t="s">
        <v>938</v>
      </c>
      <c r="E1620" s="306" t="s">
        <v>939</v>
      </c>
      <c r="F1620" s="307"/>
      <c r="G1620" s="297" t="s">
        <v>1135</v>
      </c>
      <c r="H1620" s="308" t="str">
        <f>CONCATENATE("AR-",G1620,"-",I1620)</f>
        <v>AR-C20P-1</v>
      </c>
      <c r="I1620" s="661">
        <v>1</v>
      </c>
      <c r="K1620" s="232"/>
      <c r="L1620" s="234">
        <v>1</v>
      </c>
      <c r="M1620" s="197">
        <v>1</v>
      </c>
      <c r="Q1620" s="764">
        <v>1</v>
      </c>
      <c r="S1620" s="197">
        <v>1</v>
      </c>
    </row>
    <row r="1621" spans="2:19" s="233" customFormat="1" ht="15" customHeight="1" outlineLevel="3">
      <c r="B1621" s="299"/>
      <c r="C1621" s="304"/>
      <c r="D1621" s="685"/>
      <c r="E1621" s="306" t="s">
        <v>277</v>
      </c>
      <c r="F1621" s="307"/>
      <c r="G1621" s="297"/>
      <c r="H1621" s="308"/>
      <c r="I1621" s="661"/>
      <c r="K1621" s="232"/>
      <c r="L1621" s="234"/>
      <c r="M1621" s="197"/>
      <c r="Q1621" s="764"/>
      <c r="S1621" s="197"/>
    </row>
    <row r="1622" spans="2:19" s="259" customFormat="1" ht="15" customHeight="1" outlineLevel="3">
      <c r="B1622" s="299" t="s">
        <v>1127</v>
      </c>
      <c r="C1622" s="304"/>
      <c r="D1622" s="685"/>
      <c r="E1622" s="306" t="s">
        <v>277</v>
      </c>
      <c r="F1622" s="307"/>
      <c r="G1622" s="297"/>
      <c r="H1622" s="308"/>
      <c r="I1622" s="661"/>
      <c r="K1622" s="258"/>
      <c r="L1622" s="242"/>
      <c r="M1622" s="197"/>
      <c r="Q1622" s="711"/>
      <c r="S1622" s="197"/>
    </row>
    <row r="1623" spans="2:19" s="233" customFormat="1" ht="15" customHeight="1" outlineLevel="3">
      <c r="B1623" s="299" t="s">
        <v>268</v>
      </c>
      <c r="C1623" s="304" t="s">
        <v>1135</v>
      </c>
      <c r="D1623" s="685">
        <v>7410</v>
      </c>
      <c r="E1623" s="306" t="s">
        <v>989</v>
      </c>
      <c r="F1623" s="307"/>
      <c r="G1623" s="297" t="s">
        <v>1135</v>
      </c>
      <c r="H1623" s="308" t="str">
        <f t="shared" ref="H1623:H1636" si="96">CONCATENATE("AR-",G1623,"-",I1623)</f>
        <v>AR-C20P-1</v>
      </c>
      <c r="I1623" s="661">
        <v>1</v>
      </c>
      <c r="K1623" s="232"/>
      <c r="L1623" s="234">
        <v>1</v>
      </c>
      <c r="M1623" s="197">
        <v>1</v>
      </c>
      <c r="Q1623" s="764">
        <v>1</v>
      </c>
      <c r="S1623" s="197">
        <v>1</v>
      </c>
    </row>
    <row r="1624" spans="2:19" s="233" customFormat="1" ht="15" customHeight="1" outlineLevel="3">
      <c r="B1624" s="299" t="s">
        <v>268</v>
      </c>
      <c r="C1624" s="304" t="s">
        <v>1135</v>
      </c>
      <c r="D1624" s="685">
        <v>7420</v>
      </c>
      <c r="E1624" s="306" t="s">
        <v>481</v>
      </c>
      <c r="F1624" s="307"/>
      <c r="G1624" s="297" t="s">
        <v>1135</v>
      </c>
      <c r="H1624" s="308" t="str">
        <f t="shared" si="96"/>
        <v>AR-C20P-1</v>
      </c>
      <c r="I1624" s="661">
        <v>1</v>
      </c>
      <c r="K1624" s="232"/>
      <c r="L1624" s="234">
        <v>1</v>
      </c>
      <c r="M1624" s="197">
        <v>1</v>
      </c>
      <c r="Q1624" s="764">
        <v>1</v>
      </c>
      <c r="S1624" s="197">
        <v>1</v>
      </c>
    </row>
    <row r="1625" spans="2:19" s="233" customFormat="1" ht="15" customHeight="1" outlineLevel="3">
      <c r="B1625" s="299" t="s">
        <v>268</v>
      </c>
      <c r="C1625" s="304" t="s">
        <v>1135</v>
      </c>
      <c r="D1625" s="685">
        <v>7430</v>
      </c>
      <c r="E1625" s="306" t="s">
        <v>482</v>
      </c>
      <c r="F1625" s="307"/>
      <c r="G1625" s="297" t="s">
        <v>1135</v>
      </c>
      <c r="H1625" s="308" t="str">
        <f t="shared" si="96"/>
        <v>AR-C20P-1</v>
      </c>
      <c r="I1625" s="661">
        <v>1</v>
      </c>
      <c r="K1625" s="232"/>
      <c r="L1625" s="234">
        <v>1</v>
      </c>
      <c r="M1625" s="197">
        <v>1</v>
      </c>
      <c r="Q1625" s="764">
        <v>1</v>
      </c>
      <c r="S1625" s="197">
        <v>1</v>
      </c>
    </row>
    <row r="1626" spans="2:19" s="233" customFormat="1" ht="15" customHeight="1" outlineLevel="3">
      <c r="B1626" s="299" t="s">
        <v>268</v>
      </c>
      <c r="C1626" s="304" t="s">
        <v>1135</v>
      </c>
      <c r="D1626" s="685">
        <v>7440</v>
      </c>
      <c r="E1626" s="306" t="s">
        <v>483</v>
      </c>
      <c r="F1626" s="307"/>
      <c r="G1626" s="297" t="s">
        <v>1135</v>
      </c>
      <c r="H1626" s="308" t="str">
        <f t="shared" si="96"/>
        <v>AR-C20P-1</v>
      </c>
      <c r="I1626" s="661">
        <v>1</v>
      </c>
      <c r="K1626" s="232"/>
      <c r="L1626" s="234">
        <v>1</v>
      </c>
      <c r="M1626" s="197">
        <v>1</v>
      </c>
      <c r="Q1626" s="764">
        <v>1</v>
      </c>
      <c r="S1626" s="197">
        <v>1</v>
      </c>
    </row>
    <row r="1627" spans="2:19" s="233" customFormat="1" ht="15" customHeight="1" outlineLevel="3">
      <c r="B1627" s="299" t="s">
        <v>268</v>
      </c>
      <c r="C1627" s="304" t="s">
        <v>1135</v>
      </c>
      <c r="D1627" s="685">
        <v>7450</v>
      </c>
      <c r="E1627" s="306" t="s">
        <v>990</v>
      </c>
      <c r="F1627" s="307"/>
      <c r="G1627" s="297" t="s">
        <v>1135</v>
      </c>
      <c r="H1627" s="308" t="str">
        <f t="shared" si="96"/>
        <v>AR-C20P-1</v>
      </c>
      <c r="I1627" s="661">
        <v>1</v>
      </c>
      <c r="K1627" s="232"/>
      <c r="L1627" s="234">
        <v>1</v>
      </c>
      <c r="M1627" s="197">
        <v>1</v>
      </c>
      <c r="Q1627" s="764">
        <v>1</v>
      </c>
      <c r="S1627" s="197">
        <v>1</v>
      </c>
    </row>
    <row r="1628" spans="2:19" s="233" customFormat="1" ht="15" customHeight="1" outlineLevel="3">
      <c r="B1628" s="299" t="s">
        <v>268</v>
      </c>
      <c r="C1628" s="304" t="s">
        <v>1135</v>
      </c>
      <c r="D1628" s="685">
        <v>7461</v>
      </c>
      <c r="E1628" s="306" t="s">
        <v>991</v>
      </c>
      <c r="F1628" s="307"/>
      <c r="G1628" s="297" t="s">
        <v>1135</v>
      </c>
      <c r="H1628" s="308" t="str">
        <f t="shared" si="96"/>
        <v>AR-C20P-1</v>
      </c>
      <c r="I1628" s="661">
        <v>1</v>
      </c>
      <c r="K1628" s="232"/>
      <c r="L1628" s="234">
        <v>1</v>
      </c>
      <c r="M1628" s="197">
        <v>1</v>
      </c>
      <c r="Q1628" s="764">
        <v>1</v>
      </c>
      <c r="S1628" s="197">
        <v>1</v>
      </c>
    </row>
    <row r="1629" spans="2:19" s="233" customFormat="1" ht="15" customHeight="1" outlineLevel="3">
      <c r="B1629" s="299" t="s">
        <v>268</v>
      </c>
      <c r="C1629" s="304" t="s">
        <v>1135</v>
      </c>
      <c r="D1629" s="685">
        <v>7462</v>
      </c>
      <c r="E1629" s="306" t="s">
        <v>992</v>
      </c>
      <c r="F1629" s="307"/>
      <c r="G1629" s="297" t="s">
        <v>1135</v>
      </c>
      <c r="H1629" s="308" t="str">
        <f t="shared" si="96"/>
        <v>AR-C20P-1</v>
      </c>
      <c r="I1629" s="661">
        <v>1</v>
      </c>
      <c r="K1629" s="232"/>
      <c r="L1629" s="234">
        <v>1</v>
      </c>
      <c r="M1629" s="197">
        <v>1</v>
      </c>
      <c r="Q1629" s="764">
        <v>1</v>
      </c>
      <c r="S1629" s="197">
        <v>1</v>
      </c>
    </row>
    <row r="1630" spans="2:19" s="233" customFormat="1" ht="15" customHeight="1" outlineLevel="3">
      <c r="B1630" s="299" t="s">
        <v>268</v>
      </c>
      <c r="C1630" s="304" t="s">
        <v>1135</v>
      </c>
      <c r="D1630" s="685">
        <v>7463</v>
      </c>
      <c r="E1630" s="306" t="s">
        <v>993</v>
      </c>
      <c r="F1630" s="307"/>
      <c r="G1630" s="297" t="s">
        <v>1135</v>
      </c>
      <c r="H1630" s="308" t="str">
        <f t="shared" si="96"/>
        <v>AR-C20P-1</v>
      </c>
      <c r="I1630" s="661">
        <v>1</v>
      </c>
      <c r="K1630" s="232"/>
      <c r="L1630" s="234">
        <v>1</v>
      </c>
      <c r="M1630" s="197">
        <v>1</v>
      </c>
      <c r="Q1630" s="764">
        <v>1</v>
      </c>
      <c r="S1630" s="197">
        <v>1</v>
      </c>
    </row>
    <row r="1631" spans="2:19" s="233" customFormat="1" ht="15" customHeight="1" outlineLevel="3">
      <c r="B1631" s="299" t="s">
        <v>268</v>
      </c>
      <c r="C1631" s="304" t="s">
        <v>1135</v>
      </c>
      <c r="D1631" s="685">
        <v>7470</v>
      </c>
      <c r="E1631" s="306" t="s">
        <v>484</v>
      </c>
      <c r="F1631" s="307"/>
      <c r="G1631" s="297" t="s">
        <v>1135</v>
      </c>
      <c r="H1631" s="308" t="str">
        <f t="shared" si="96"/>
        <v>AR-C20P-1</v>
      </c>
      <c r="I1631" s="661">
        <v>1</v>
      </c>
      <c r="K1631" s="232"/>
      <c r="L1631" s="234">
        <v>1</v>
      </c>
      <c r="M1631" s="197">
        <v>1</v>
      </c>
      <c r="Q1631" s="764">
        <v>1</v>
      </c>
      <c r="S1631" s="197">
        <v>1</v>
      </c>
    </row>
    <row r="1632" spans="2:19" s="233" customFormat="1" ht="15" customHeight="1" outlineLevel="3">
      <c r="B1632" s="299" t="s">
        <v>268</v>
      </c>
      <c r="C1632" s="304" t="s">
        <v>1135</v>
      </c>
      <c r="D1632" s="685">
        <v>7480</v>
      </c>
      <c r="E1632" s="306" t="s">
        <v>994</v>
      </c>
      <c r="F1632" s="307"/>
      <c r="G1632" s="297" t="s">
        <v>1135</v>
      </c>
      <c r="H1632" s="308" t="str">
        <f t="shared" si="96"/>
        <v>AR-C20P-1</v>
      </c>
      <c r="I1632" s="661">
        <v>1</v>
      </c>
      <c r="K1632" s="232"/>
      <c r="L1632" s="234">
        <v>1</v>
      </c>
      <c r="M1632" s="197">
        <v>1</v>
      </c>
      <c r="Q1632" s="764">
        <v>1</v>
      </c>
      <c r="S1632" s="197">
        <v>1</v>
      </c>
    </row>
    <row r="1633" spans="2:19" s="233" customFormat="1" ht="15" customHeight="1" outlineLevel="3">
      <c r="B1633" s="299" t="s">
        <v>268</v>
      </c>
      <c r="C1633" s="304" t="s">
        <v>1135</v>
      </c>
      <c r="D1633" s="685">
        <v>7490</v>
      </c>
      <c r="E1633" s="306" t="s">
        <v>995</v>
      </c>
      <c r="F1633" s="307"/>
      <c r="G1633" s="297" t="s">
        <v>1135</v>
      </c>
      <c r="H1633" s="308" t="str">
        <f t="shared" si="96"/>
        <v>AR-C20P-1</v>
      </c>
      <c r="I1633" s="661">
        <v>1</v>
      </c>
      <c r="K1633" s="232"/>
      <c r="L1633" s="234">
        <v>1</v>
      </c>
      <c r="M1633" s="197">
        <v>1</v>
      </c>
      <c r="Q1633" s="764">
        <v>1</v>
      </c>
      <c r="S1633" s="197">
        <v>1</v>
      </c>
    </row>
    <row r="1634" spans="2:19" s="233" customFormat="1" ht="15" customHeight="1" outlineLevel="3">
      <c r="B1634" s="299" t="s">
        <v>268</v>
      </c>
      <c r="C1634" s="304" t="s">
        <v>1135</v>
      </c>
      <c r="D1634" s="685">
        <v>7500</v>
      </c>
      <c r="E1634" s="306" t="s">
        <v>485</v>
      </c>
      <c r="F1634" s="307"/>
      <c r="G1634" s="297" t="s">
        <v>1135</v>
      </c>
      <c r="H1634" s="308" t="str">
        <f t="shared" si="96"/>
        <v>AR-C20P-1</v>
      </c>
      <c r="I1634" s="661">
        <v>1</v>
      </c>
      <c r="K1634" s="232"/>
      <c r="L1634" s="234">
        <v>1</v>
      </c>
      <c r="M1634" s="197">
        <v>1</v>
      </c>
      <c r="Q1634" s="764">
        <v>1</v>
      </c>
      <c r="S1634" s="197">
        <v>1</v>
      </c>
    </row>
    <row r="1635" spans="2:19" s="233" customFormat="1" ht="15" customHeight="1" outlineLevel="3">
      <c r="B1635" s="299" t="s">
        <v>268</v>
      </c>
      <c r="C1635" s="304" t="s">
        <v>1135</v>
      </c>
      <c r="D1635" s="685">
        <v>7510</v>
      </c>
      <c r="E1635" s="306" t="s">
        <v>996</v>
      </c>
      <c r="F1635" s="307"/>
      <c r="G1635" s="297" t="s">
        <v>1135</v>
      </c>
      <c r="H1635" s="308" t="str">
        <f t="shared" si="96"/>
        <v>AR-C20P-1</v>
      </c>
      <c r="I1635" s="661">
        <v>1</v>
      </c>
      <c r="K1635" s="232"/>
      <c r="L1635" s="234">
        <v>1</v>
      </c>
      <c r="M1635" s="197">
        <v>1</v>
      </c>
      <c r="Q1635" s="764">
        <v>1</v>
      </c>
      <c r="S1635" s="197">
        <v>1</v>
      </c>
    </row>
    <row r="1636" spans="2:19" s="233" customFormat="1" ht="15" customHeight="1" outlineLevel="3">
      <c r="B1636" s="299" t="s">
        <v>268</v>
      </c>
      <c r="C1636" s="304" t="s">
        <v>1135</v>
      </c>
      <c r="D1636" s="685" t="s">
        <v>997</v>
      </c>
      <c r="E1636" s="306" t="s">
        <v>998</v>
      </c>
      <c r="F1636" s="307"/>
      <c r="G1636" s="297" t="s">
        <v>1135</v>
      </c>
      <c r="H1636" s="308" t="str">
        <f t="shared" si="96"/>
        <v>AR-C20P-1</v>
      </c>
      <c r="I1636" s="661">
        <v>1</v>
      </c>
      <c r="K1636" s="232"/>
      <c r="L1636" s="234">
        <v>1</v>
      </c>
      <c r="M1636" s="197">
        <v>1</v>
      </c>
      <c r="Q1636" s="764">
        <v>1</v>
      </c>
      <c r="S1636" s="197">
        <v>1</v>
      </c>
    </row>
    <row r="1637" spans="2:19" s="233" customFormat="1" ht="3.6" customHeight="1" outlineLevel="1">
      <c r="B1637" s="299"/>
      <c r="C1637" s="304"/>
      <c r="D1637" s="685"/>
      <c r="E1637" s="306"/>
      <c r="F1637" s="307"/>
      <c r="G1637" s="297"/>
      <c r="H1637" s="308"/>
      <c r="I1637" s="661"/>
      <c r="K1637" s="232"/>
      <c r="L1637" s="234"/>
      <c r="M1637" s="197"/>
      <c r="Q1637" s="237"/>
    </row>
    <row r="1638" spans="2:19" s="243" customFormat="1" ht="15" customHeight="1" outlineLevel="1">
      <c r="B1638" s="299" t="s">
        <v>1136</v>
      </c>
      <c r="C1638" s="304"/>
      <c r="D1638" s="685"/>
      <c r="E1638" s="306"/>
      <c r="F1638" s="307"/>
      <c r="G1638" s="297"/>
      <c r="H1638" s="308"/>
      <c r="I1638" s="661"/>
      <c r="J1638" s="240"/>
      <c r="K1638" s="241"/>
      <c r="L1638" s="242"/>
      <c r="M1638" s="197"/>
      <c r="Q1638" s="708"/>
    </row>
    <row r="1639" spans="2:19" s="233" customFormat="1" ht="15" customHeight="1" outlineLevel="3">
      <c r="B1639" s="299"/>
      <c r="C1639" s="304"/>
      <c r="D1639" s="685"/>
      <c r="E1639" s="306" t="s">
        <v>277</v>
      </c>
      <c r="F1639" s="307"/>
      <c r="G1639" s="297"/>
      <c r="H1639" s="308"/>
      <c r="I1639" s="661"/>
      <c r="J1639" s="197"/>
      <c r="K1639" s="232"/>
      <c r="L1639" s="234"/>
      <c r="M1639" s="197"/>
      <c r="Q1639" s="237"/>
    </row>
    <row r="1640" spans="2:19" s="233" customFormat="1" ht="15" customHeight="1" outlineLevel="3">
      <c r="B1640" s="299" t="s">
        <v>942</v>
      </c>
      <c r="C1640" s="304"/>
      <c r="D1640" s="685"/>
      <c r="E1640" s="306" t="s">
        <v>277</v>
      </c>
      <c r="F1640" s="307"/>
      <c r="G1640" s="297"/>
      <c r="H1640" s="308"/>
      <c r="I1640" s="661"/>
      <c r="J1640" s="197"/>
      <c r="K1640" s="232"/>
      <c r="L1640" s="234"/>
      <c r="M1640" s="197"/>
      <c r="Q1640" s="237"/>
    </row>
    <row r="1641" spans="2:19" s="233" customFormat="1" ht="15" customHeight="1" outlineLevel="3">
      <c r="B1641" s="299" t="s">
        <v>268</v>
      </c>
      <c r="C1641" s="304" t="s">
        <v>1137</v>
      </c>
      <c r="D1641" s="685" t="s">
        <v>506</v>
      </c>
      <c r="E1641" s="306" t="s">
        <v>1045</v>
      </c>
      <c r="F1641" s="307"/>
      <c r="G1641" s="297" t="s">
        <v>1137</v>
      </c>
      <c r="H1641" s="308" t="str">
        <f t="shared" ref="H1641:H1646" si="97">CONCATENATE("AR-",G1641,"-",I1641)</f>
        <v>AR-L30P-1</v>
      </c>
      <c r="I1641" s="661">
        <v>1</v>
      </c>
      <c r="K1641" s="232"/>
      <c r="L1641" s="234">
        <v>1</v>
      </c>
      <c r="M1641" s="197">
        <v>1</v>
      </c>
      <c r="Q1641" s="237"/>
    </row>
    <row r="1642" spans="2:19" s="233" customFormat="1" ht="15" customHeight="1" outlineLevel="3">
      <c r="B1642" s="299" t="s">
        <v>268</v>
      </c>
      <c r="C1642" s="304" t="s">
        <v>1137</v>
      </c>
      <c r="D1642" s="685" t="s">
        <v>1046</v>
      </c>
      <c r="E1642" s="306" t="s">
        <v>1047</v>
      </c>
      <c r="F1642" s="307"/>
      <c r="G1642" s="297" t="s">
        <v>1137</v>
      </c>
      <c r="H1642" s="308" t="str">
        <f t="shared" si="97"/>
        <v>AR-L30P-1</v>
      </c>
      <c r="I1642" s="661">
        <v>1</v>
      </c>
      <c r="K1642" s="232"/>
      <c r="L1642" s="234">
        <v>1</v>
      </c>
      <c r="M1642" s="197">
        <v>1</v>
      </c>
      <c r="Q1642" s="237"/>
    </row>
    <row r="1643" spans="2:19" s="233" customFormat="1" ht="15" customHeight="1" outlineLevel="3">
      <c r="B1643" s="299" t="s">
        <v>268</v>
      </c>
      <c r="C1643" s="304" t="s">
        <v>1137</v>
      </c>
      <c r="D1643" s="685" t="s">
        <v>1048</v>
      </c>
      <c r="E1643" s="306" t="s">
        <v>1049</v>
      </c>
      <c r="F1643" s="307"/>
      <c r="G1643" s="297" t="s">
        <v>1137</v>
      </c>
      <c r="H1643" s="308" t="str">
        <f t="shared" si="97"/>
        <v>AR-L30P-1</v>
      </c>
      <c r="I1643" s="661">
        <v>1</v>
      </c>
      <c r="K1643" s="232"/>
      <c r="L1643" s="234">
        <v>1</v>
      </c>
      <c r="M1643" s="197">
        <v>1</v>
      </c>
      <c r="Q1643" s="237"/>
    </row>
    <row r="1644" spans="2:19" s="233" customFormat="1" ht="15" customHeight="1" outlineLevel="3">
      <c r="B1644" s="299" t="s">
        <v>268</v>
      </c>
      <c r="C1644" s="304" t="s">
        <v>1137</v>
      </c>
      <c r="D1644" s="685" t="s">
        <v>1050</v>
      </c>
      <c r="E1644" s="306" t="s">
        <v>1051</v>
      </c>
      <c r="F1644" s="307"/>
      <c r="G1644" s="297" t="s">
        <v>1137</v>
      </c>
      <c r="H1644" s="308" t="str">
        <f t="shared" si="97"/>
        <v>AR-L30P-1</v>
      </c>
      <c r="I1644" s="661">
        <v>1</v>
      </c>
      <c r="K1644" s="232"/>
      <c r="L1644" s="234">
        <v>1</v>
      </c>
      <c r="M1644" s="197">
        <v>1</v>
      </c>
      <c r="Q1644" s="237"/>
    </row>
    <row r="1645" spans="2:19" s="233" customFormat="1" ht="15" customHeight="1" outlineLevel="3">
      <c r="B1645" s="299" t="s">
        <v>268</v>
      </c>
      <c r="C1645" s="304" t="s">
        <v>1137</v>
      </c>
      <c r="D1645" s="685" t="s">
        <v>1052</v>
      </c>
      <c r="E1645" s="306" t="s">
        <v>1053</v>
      </c>
      <c r="F1645" s="307"/>
      <c r="G1645" s="297" t="s">
        <v>1137</v>
      </c>
      <c r="H1645" s="308" t="str">
        <f t="shared" si="97"/>
        <v>AR-L30P-1</v>
      </c>
      <c r="I1645" s="661">
        <v>1</v>
      </c>
      <c r="K1645" s="232"/>
      <c r="L1645" s="234">
        <v>1</v>
      </c>
      <c r="M1645" s="197">
        <v>1</v>
      </c>
      <c r="Q1645" s="237"/>
    </row>
    <row r="1646" spans="2:19" s="233" customFormat="1" ht="15" customHeight="1" outlineLevel="3">
      <c r="B1646" s="299" t="s">
        <v>268</v>
      </c>
      <c r="C1646" s="304" t="s">
        <v>1137</v>
      </c>
      <c r="D1646" s="685" t="s">
        <v>1054</v>
      </c>
      <c r="E1646" s="306" t="s">
        <v>1055</v>
      </c>
      <c r="F1646" s="307"/>
      <c r="G1646" s="297" t="s">
        <v>1137</v>
      </c>
      <c r="H1646" s="308" t="str">
        <f t="shared" si="97"/>
        <v>AR-L30P-1</v>
      </c>
      <c r="I1646" s="661">
        <v>1</v>
      </c>
      <c r="K1646" s="232"/>
      <c r="L1646" s="234">
        <v>1</v>
      </c>
      <c r="M1646" s="197">
        <v>1</v>
      </c>
      <c r="Q1646" s="237"/>
    </row>
    <row r="1647" spans="2:19" s="233" customFormat="1" ht="15" customHeight="1" outlineLevel="3">
      <c r="B1647" s="299"/>
      <c r="C1647" s="304"/>
      <c r="D1647" s="685"/>
      <c r="E1647" s="306" t="s">
        <v>277</v>
      </c>
      <c r="F1647" s="307"/>
      <c r="G1647" s="297"/>
      <c r="H1647" s="308"/>
      <c r="I1647" s="661"/>
      <c r="K1647" s="232"/>
      <c r="L1647" s="234"/>
      <c r="M1647" s="197"/>
      <c r="Q1647" s="237"/>
    </row>
    <row r="1648" spans="2:19" s="233" customFormat="1" ht="15" customHeight="1" outlineLevel="3">
      <c r="B1648" s="299" t="s">
        <v>1056</v>
      </c>
      <c r="C1648" s="304"/>
      <c r="D1648" s="685"/>
      <c r="E1648" s="306" t="s">
        <v>277</v>
      </c>
      <c r="F1648" s="307"/>
      <c r="G1648" s="297"/>
      <c r="H1648" s="308"/>
      <c r="I1648" s="661"/>
      <c r="K1648" s="232"/>
      <c r="L1648" s="234"/>
      <c r="M1648" s="197"/>
      <c r="Q1648" s="237"/>
    </row>
    <row r="1649" spans="2:17" s="233" customFormat="1" ht="15" customHeight="1" outlineLevel="3">
      <c r="B1649" s="299" t="s">
        <v>268</v>
      </c>
      <c r="C1649" s="304" t="s">
        <v>1137</v>
      </c>
      <c r="D1649" s="685" t="s">
        <v>372</v>
      </c>
      <c r="E1649" s="306" t="s">
        <v>373</v>
      </c>
      <c r="F1649" s="307"/>
      <c r="G1649" s="297" t="s">
        <v>1137</v>
      </c>
      <c r="H1649" s="308" t="str">
        <f>CONCATENATE("AR-",G1649,"-",I1649)</f>
        <v>AR-L30P-1</v>
      </c>
      <c r="I1649" s="661">
        <v>1</v>
      </c>
      <c r="K1649" s="232"/>
      <c r="L1649" s="234">
        <v>1</v>
      </c>
      <c r="M1649" s="197">
        <v>1</v>
      </c>
      <c r="Q1649" s="237"/>
    </row>
    <row r="1650" spans="2:17" s="233" customFormat="1" ht="15" customHeight="1" outlineLevel="3">
      <c r="B1650" s="299" t="s">
        <v>268</v>
      </c>
      <c r="C1650" s="304" t="s">
        <v>1137</v>
      </c>
      <c r="D1650" s="685" t="s">
        <v>374</v>
      </c>
      <c r="E1650" s="306" t="s">
        <v>1058</v>
      </c>
      <c r="F1650" s="307"/>
      <c r="G1650" s="297" t="s">
        <v>1137</v>
      </c>
      <c r="H1650" s="308" t="str">
        <f>CONCATENATE("AR-",G1650,"-",I1650)</f>
        <v>AR-L30P-1</v>
      </c>
      <c r="I1650" s="661">
        <v>1</v>
      </c>
      <c r="K1650" s="232"/>
      <c r="L1650" s="234">
        <v>1</v>
      </c>
      <c r="M1650" s="197">
        <v>1</v>
      </c>
      <c r="Q1650" s="237"/>
    </row>
    <row r="1651" spans="2:17" s="262" customFormat="1" ht="15" customHeight="1" outlineLevel="3">
      <c r="B1651" s="299" t="s">
        <v>268</v>
      </c>
      <c r="C1651" s="304" t="s">
        <v>1137</v>
      </c>
      <c r="D1651" s="685" t="s">
        <v>376</v>
      </c>
      <c r="E1651" s="306" t="s">
        <v>1059</v>
      </c>
      <c r="F1651" s="307"/>
      <c r="G1651" s="297" t="s">
        <v>1137</v>
      </c>
      <c r="H1651" s="308" t="str">
        <f>CONCATENATE("AR-",G1651,"-",I1651)</f>
        <v>AR-L30P-1</v>
      </c>
      <c r="I1651" s="661">
        <v>1</v>
      </c>
      <c r="K1651" s="260"/>
      <c r="L1651" s="234">
        <v>1</v>
      </c>
      <c r="M1651" s="197">
        <v>1</v>
      </c>
      <c r="Q1651" s="716"/>
    </row>
    <row r="1652" spans="2:17" s="233" customFormat="1" ht="15" customHeight="1" outlineLevel="3">
      <c r="B1652" s="299"/>
      <c r="C1652" s="304"/>
      <c r="D1652" s="685"/>
      <c r="E1652" s="306" t="s">
        <v>277</v>
      </c>
      <c r="F1652" s="307"/>
      <c r="G1652" s="297"/>
      <c r="H1652" s="308"/>
      <c r="I1652" s="661"/>
      <c r="K1652" s="232"/>
      <c r="L1652" s="234"/>
      <c r="M1652" s="197"/>
      <c r="Q1652" s="237"/>
    </row>
    <row r="1653" spans="2:17" s="233" customFormat="1" ht="15" customHeight="1" outlineLevel="3">
      <c r="B1653" s="299" t="s">
        <v>1060</v>
      </c>
      <c r="C1653" s="304"/>
      <c r="D1653" s="685"/>
      <c r="E1653" s="306" t="s">
        <v>277</v>
      </c>
      <c r="F1653" s="307"/>
      <c r="G1653" s="297"/>
      <c r="H1653" s="308"/>
      <c r="I1653" s="661"/>
      <c r="K1653" s="232"/>
      <c r="L1653" s="234"/>
      <c r="M1653" s="197"/>
      <c r="Q1653" s="237"/>
    </row>
    <row r="1654" spans="2:17" s="233" customFormat="1" ht="15" customHeight="1" outlineLevel="3">
      <c r="B1654" s="299" t="s">
        <v>268</v>
      </c>
      <c r="C1654" s="304" t="s">
        <v>1137</v>
      </c>
      <c r="D1654" s="685" t="s">
        <v>701</v>
      </c>
      <c r="E1654" s="306" t="s">
        <v>1061</v>
      </c>
      <c r="F1654" s="307"/>
      <c r="G1654" s="297" t="s">
        <v>1137</v>
      </c>
      <c r="H1654" s="308" t="str">
        <f>CONCATENATE("AR-",G1654,"-",I1654)</f>
        <v>AR-L30P-1</v>
      </c>
      <c r="I1654" s="661">
        <v>1</v>
      </c>
      <c r="K1654" s="232"/>
      <c r="L1654" s="234">
        <v>1</v>
      </c>
      <c r="M1654" s="197">
        <v>1</v>
      </c>
      <c r="Q1654" s="237"/>
    </row>
    <row r="1655" spans="2:17" s="233" customFormat="1" ht="15" customHeight="1" outlineLevel="3">
      <c r="B1655" s="299" t="s">
        <v>268</v>
      </c>
      <c r="C1655" s="304" t="s">
        <v>1137</v>
      </c>
      <c r="D1655" s="685" t="s">
        <v>1062</v>
      </c>
      <c r="E1655" s="306" t="s">
        <v>1063</v>
      </c>
      <c r="F1655" s="307"/>
      <c r="G1655" s="297" t="s">
        <v>1137</v>
      </c>
      <c r="H1655" s="308" t="str">
        <f>CONCATENATE("AR-",G1655,"-",I1655)</f>
        <v>AR-L30P-1</v>
      </c>
      <c r="I1655" s="661">
        <v>1</v>
      </c>
      <c r="K1655" s="232"/>
      <c r="L1655" s="234">
        <v>1</v>
      </c>
      <c r="M1655" s="197">
        <v>1</v>
      </c>
      <c r="Q1655" s="237"/>
    </row>
    <row r="1656" spans="2:17" s="233" customFormat="1" ht="15" customHeight="1" outlineLevel="3">
      <c r="B1656" s="299"/>
      <c r="C1656" s="304"/>
      <c r="D1656" s="685"/>
      <c r="E1656" s="306" t="s">
        <v>277</v>
      </c>
      <c r="F1656" s="307"/>
      <c r="G1656" s="297"/>
      <c r="H1656" s="308"/>
      <c r="I1656" s="661"/>
      <c r="K1656" s="232"/>
      <c r="L1656" s="234"/>
      <c r="M1656" s="197"/>
      <c r="Q1656" s="237"/>
    </row>
    <row r="1657" spans="2:17" s="233" customFormat="1" ht="15" customHeight="1" outlineLevel="3">
      <c r="B1657" s="299" t="s">
        <v>1064</v>
      </c>
      <c r="C1657" s="304"/>
      <c r="D1657" s="685"/>
      <c r="E1657" s="306" t="s">
        <v>277</v>
      </c>
      <c r="F1657" s="307"/>
      <c r="G1657" s="297"/>
      <c r="H1657" s="308"/>
      <c r="I1657" s="661"/>
      <c r="K1657" s="232"/>
      <c r="L1657" s="234"/>
      <c r="M1657" s="197"/>
      <c r="Q1657" s="237"/>
    </row>
    <row r="1658" spans="2:17" s="233" customFormat="1" ht="15" customHeight="1" outlineLevel="3">
      <c r="B1658" s="299" t="s">
        <v>268</v>
      </c>
      <c r="C1658" s="304" t="s">
        <v>1137</v>
      </c>
      <c r="D1658" s="685" t="s">
        <v>283</v>
      </c>
      <c r="E1658" s="306" t="s">
        <v>1065</v>
      </c>
      <c r="F1658" s="307"/>
      <c r="G1658" s="297" t="s">
        <v>1137</v>
      </c>
      <c r="H1658" s="308" t="str">
        <f>CONCATENATE("AR-",G1658,"-",I1658)</f>
        <v>AR-L30P-1</v>
      </c>
      <c r="I1658" s="661">
        <v>1</v>
      </c>
      <c r="K1658" s="232"/>
      <c r="L1658" s="234">
        <v>1</v>
      </c>
      <c r="M1658" s="197">
        <v>1</v>
      </c>
      <c r="Q1658" s="237"/>
    </row>
    <row r="1659" spans="2:17" s="233" customFormat="1" ht="15" customHeight="1" outlineLevel="3">
      <c r="B1659" s="299" t="s">
        <v>268</v>
      </c>
      <c r="C1659" s="304" t="s">
        <v>1137</v>
      </c>
      <c r="D1659" s="685" t="s">
        <v>390</v>
      </c>
      <c r="E1659" s="306" t="s">
        <v>1066</v>
      </c>
      <c r="F1659" s="307"/>
      <c r="G1659" s="297" t="s">
        <v>1137</v>
      </c>
      <c r="H1659" s="308" t="str">
        <f>CONCATENATE("AR-",G1659,"-",I1659)</f>
        <v>AR-L30P-1</v>
      </c>
      <c r="I1659" s="661">
        <v>1</v>
      </c>
      <c r="K1659" s="232"/>
      <c r="L1659" s="234">
        <v>1</v>
      </c>
      <c r="M1659" s="197">
        <v>1</v>
      </c>
      <c r="Q1659" s="237"/>
    </row>
    <row r="1660" spans="2:17" s="233" customFormat="1" ht="15" customHeight="1" outlineLevel="3">
      <c r="B1660" s="299" t="s">
        <v>268</v>
      </c>
      <c r="C1660" s="304" t="s">
        <v>1137</v>
      </c>
      <c r="D1660" s="685" t="s">
        <v>392</v>
      </c>
      <c r="E1660" s="306" t="s">
        <v>1067</v>
      </c>
      <c r="F1660" s="307"/>
      <c r="G1660" s="297" t="s">
        <v>1137</v>
      </c>
      <c r="H1660" s="308" t="str">
        <f>CONCATENATE("AR-",G1660,"-",I1660)</f>
        <v>AR-L30P-1</v>
      </c>
      <c r="I1660" s="661">
        <v>1</v>
      </c>
      <c r="K1660" s="232"/>
      <c r="L1660" s="234">
        <v>1</v>
      </c>
      <c r="M1660" s="197">
        <v>1</v>
      </c>
      <c r="Q1660" s="237"/>
    </row>
    <row r="1661" spans="2:17" s="233" customFormat="1" ht="15" customHeight="1" outlineLevel="3">
      <c r="B1661" s="299" t="s">
        <v>268</v>
      </c>
      <c r="C1661" s="304" t="s">
        <v>1137</v>
      </c>
      <c r="D1661" s="685" t="s">
        <v>1068</v>
      </c>
      <c r="E1661" s="306" t="s">
        <v>1069</v>
      </c>
      <c r="F1661" s="307"/>
      <c r="G1661" s="297" t="s">
        <v>1137</v>
      </c>
      <c r="H1661" s="308" t="str">
        <f>CONCATENATE("AR-",G1661,"-",I1661)</f>
        <v>AR-L30P-1</v>
      </c>
      <c r="I1661" s="661">
        <v>1</v>
      </c>
      <c r="K1661" s="232"/>
      <c r="L1661" s="234">
        <v>1</v>
      </c>
      <c r="M1661" s="197">
        <v>1</v>
      </c>
      <c r="Q1661" s="237"/>
    </row>
    <row r="1662" spans="2:17" s="233" customFormat="1" ht="15" customHeight="1" outlineLevel="3">
      <c r="B1662" s="299"/>
      <c r="C1662" s="304"/>
      <c r="D1662" s="685"/>
      <c r="E1662" s="306" t="s">
        <v>277</v>
      </c>
      <c r="F1662" s="307"/>
      <c r="G1662" s="297"/>
      <c r="H1662" s="308"/>
      <c r="I1662" s="661"/>
      <c r="K1662" s="232"/>
      <c r="L1662" s="234"/>
      <c r="M1662" s="197"/>
      <c r="Q1662" s="237"/>
    </row>
    <row r="1663" spans="2:17" s="233" customFormat="1" ht="15" customHeight="1" outlineLevel="3">
      <c r="B1663" s="299" t="s">
        <v>1070</v>
      </c>
      <c r="C1663" s="304"/>
      <c r="D1663" s="685"/>
      <c r="E1663" s="306" t="s">
        <v>277</v>
      </c>
      <c r="F1663" s="307"/>
      <c r="G1663" s="297"/>
      <c r="H1663" s="308"/>
      <c r="I1663" s="661"/>
      <c r="K1663" s="232"/>
      <c r="L1663" s="234"/>
      <c r="M1663" s="197"/>
      <c r="Q1663" s="237"/>
    </row>
    <row r="1664" spans="2:17" s="233" customFormat="1" ht="15" customHeight="1" outlineLevel="3">
      <c r="B1664" s="299" t="s">
        <v>268</v>
      </c>
      <c r="C1664" s="304" t="s">
        <v>1137</v>
      </c>
      <c r="D1664" s="685" t="s">
        <v>291</v>
      </c>
      <c r="E1664" s="306" t="s">
        <v>1071</v>
      </c>
      <c r="F1664" s="307"/>
      <c r="G1664" s="297" t="s">
        <v>1137</v>
      </c>
      <c r="H1664" s="308" t="str">
        <f>CONCATENATE("AR-",G1664,"-",I1664)</f>
        <v>AR-L30P-1</v>
      </c>
      <c r="I1664" s="661">
        <v>1</v>
      </c>
      <c r="K1664" s="232"/>
      <c r="L1664" s="234">
        <v>1</v>
      </c>
      <c r="M1664" s="197">
        <v>1</v>
      </c>
      <c r="Q1664" s="237"/>
    </row>
    <row r="1665" spans="2:17" s="233" customFormat="1" ht="15" customHeight="1" outlineLevel="3">
      <c r="B1665" s="299" t="s">
        <v>268</v>
      </c>
      <c r="C1665" s="304" t="s">
        <v>1137</v>
      </c>
      <c r="D1665" s="685" t="s">
        <v>950</v>
      </c>
      <c r="E1665" s="306" t="s">
        <v>1072</v>
      </c>
      <c r="F1665" s="307"/>
      <c r="G1665" s="297" t="s">
        <v>1137</v>
      </c>
      <c r="H1665" s="308" t="str">
        <f>CONCATENATE("AR-",G1665,"-",I1665)</f>
        <v>AR-L30P-1</v>
      </c>
      <c r="I1665" s="661">
        <v>1</v>
      </c>
      <c r="K1665" s="232"/>
      <c r="L1665" s="234">
        <v>1</v>
      </c>
      <c r="M1665" s="197">
        <v>1</v>
      </c>
      <c r="Q1665" s="237"/>
    </row>
    <row r="1666" spans="2:17" s="233" customFormat="1" ht="15" customHeight="1" outlineLevel="3">
      <c r="B1666" s="299"/>
      <c r="C1666" s="304"/>
      <c r="D1666" s="685"/>
      <c r="E1666" s="306" t="s">
        <v>277</v>
      </c>
      <c r="F1666" s="307"/>
      <c r="G1666" s="297"/>
      <c r="H1666" s="308"/>
      <c r="I1666" s="661"/>
      <c r="K1666" s="232"/>
      <c r="L1666" s="234"/>
      <c r="M1666" s="197"/>
      <c r="Q1666" s="237"/>
    </row>
    <row r="1667" spans="2:17" s="259" customFormat="1" ht="15" customHeight="1" outlineLevel="3">
      <c r="B1667" s="299" t="s">
        <v>1073</v>
      </c>
      <c r="C1667" s="304"/>
      <c r="D1667" s="685"/>
      <c r="E1667" s="306" t="s">
        <v>277</v>
      </c>
      <c r="F1667" s="307"/>
      <c r="G1667" s="297"/>
      <c r="H1667" s="308"/>
      <c r="I1667" s="661"/>
      <c r="K1667" s="258"/>
      <c r="L1667" s="242"/>
      <c r="M1667" s="197"/>
      <c r="Q1667" s="715"/>
    </row>
    <row r="1668" spans="2:17" s="233" customFormat="1" ht="15" customHeight="1" outlineLevel="3">
      <c r="B1668" s="299" t="s">
        <v>268</v>
      </c>
      <c r="C1668" s="304" t="s">
        <v>1137</v>
      </c>
      <c r="D1668" s="685" t="s">
        <v>551</v>
      </c>
      <c r="E1668" s="306" t="s">
        <v>1074</v>
      </c>
      <c r="F1668" s="307"/>
      <c r="G1668" s="297" t="s">
        <v>1137</v>
      </c>
      <c r="H1668" s="308" t="str">
        <f>CONCATENATE("AR-",G1668,"-",I1668)</f>
        <v>AR-L30P-1</v>
      </c>
      <c r="I1668" s="661">
        <v>1</v>
      </c>
      <c r="K1668" s="232"/>
      <c r="L1668" s="234">
        <v>1</v>
      </c>
      <c r="M1668" s="197">
        <v>1</v>
      </c>
      <c r="Q1668" s="237"/>
    </row>
    <row r="1669" spans="2:17" s="233" customFormat="1" ht="15" customHeight="1" outlineLevel="3">
      <c r="B1669" s="299" t="s">
        <v>268</v>
      </c>
      <c r="C1669" s="304" t="s">
        <v>1137</v>
      </c>
      <c r="D1669" s="685" t="s">
        <v>553</v>
      </c>
      <c r="E1669" s="306" t="s">
        <v>1075</v>
      </c>
      <c r="F1669" s="307"/>
      <c r="G1669" s="297" t="s">
        <v>1137</v>
      </c>
      <c r="H1669" s="308" t="str">
        <f>CONCATENATE("AR-",G1669,"-",I1669)</f>
        <v>AR-L30P-1</v>
      </c>
      <c r="I1669" s="661">
        <v>1</v>
      </c>
      <c r="K1669" s="232"/>
      <c r="L1669" s="234">
        <v>1</v>
      </c>
      <c r="M1669" s="197">
        <v>1</v>
      </c>
      <c r="Q1669" s="237"/>
    </row>
    <row r="1670" spans="2:17" s="233" customFormat="1" ht="15" customHeight="1" outlineLevel="3">
      <c r="B1670" s="299" t="s">
        <v>268</v>
      </c>
      <c r="C1670" s="304" t="s">
        <v>1137</v>
      </c>
      <c r="D1670" s="685" t="s">
        <v>554</v>
      </c>
      <c r="E1670" s="306" t="s">
        <v>1076</v>
      </c>
      <c r="F1670" s="307"/>
      <c r="G1670" s="297" t="s">
        <v>1137</v>
      </c>
      <c r="H1670" s="308" t="str">
        <f>CONCATENATE("AR-",G1670,"-",I1670)</f>
        <v>AR-L30P-1</v>
      </c>
      <c r="I1670" s="661">
        <v>1</v>
      </c>
      <c r="K1670" s="232"/>
      <c r="L1670" s="234">
        <v>1</v>
      </c>
      <c r="M1670" s="197">
        <v>1</v>
      </c>
      <c r="Q1670" s="237"/>
    </row>
    <row r="1671" spans="2:17" s="233" customFormat="1" ht="15" customHeight="1" outlineLevel="3">
      <c r="B1671" s="299"/>
      <c r="C1671" s="304"/>
      <c r="D1671" s="685"/>
      <c r="E1671" s="306" t="s">
        <v>277</v>
      </c>
      <c r="F1671" s="307"/>
      <c r="G1671" s="297"/>
      <c r="H1671" s="308"/>
      <c r="I1671" s="661"/>
      <c r="K1671" s="232"/>
      <c r="L1671" s="234"/>
      <c r="M1671" s="197"/>
      <c r="Q1671" s="237"/>
    </row>
    <row r="1672" spans="2:17" s="233" customFormat="1" ht="15" customHeight="1" outlineLevel="3">
      <c r="B1672" s="299" t="s">
        <v>1077</v>
      </c>
      <c r="C1672" s="304"/>
      <c r="D1672" s="685"/>
      <c r="E1672" s="306" t="s">
        <v>277</v>
      </c>
      <c r="F1672" s="307"/>
      <c r="G1672" s="297"/>
      <c r="H1672" s="308"/>
      <c r="I1672" s="661"/>
      <c r="K1672" s="232"/>
      <c r="L1672" s="234"/>
      <c r="M1672" s="197"/>
      <c r="Q1672" s="237"/>
    </row>
    <row r="1673" spans="2:17" s="233" customFormat="1" ht="15" customHeight="1" outlineLevel="3">
      <c r="B1673" s="299" t="s">
        <v>268</v>
      </c>
      <c r="C1673" s="304" t="s">
        <v>1137</v>
      </c>
      <c r="D1673" s="685" t="s">
        <v>683</v>
      </c>
      <c r="E1673" s="306" t="s">
        <v>1078</v>
      </c>
      <c r="F1673" s="307"/>
      <c r="G1673" s="297" t="s">
        <v>1137</v>
      </c>
      <c r="H1673" s="308" t="str">
        <f>CONCATENATE("AR-",G1673,"-",I1673)</f>
        <v>AR-L30P-1</v>
      </c>
      <c r="I1673" s="661">
        <v>1</v>
      </c>
      <c r="K1673" s="232"/>
      <c r="L1673" s="234">
        <v>1</v>
      </c>
      <c r="M1673" s="197">
        <v>1</v>
      </c>
      <c r="Q1673" s="237"/>
    </row>
    <row r="1674" spans="2:17" s="233" customFormat="1" ht="15" customHeight="1" outlineLevel="3">
      <c r="B1674" s="299" t="s">
        <v>268</v>
      </c>
      <c r="C1674" s="304" t="s">
        <v>1137</v>
      </c>
      <c r="D1674" s="685" t="s">
        <v>1023</v>
      </c>
      <c r="E1674" s="306" t="s">
        <v>1079</v>
      </c>
      <c r="F1674" s="307"/>
      <c r="G1674" s="297" t="s">
        <v>1137</v>
      </c>
      <c r="H1674" s="308" t="str">
        <f>CONCATENATE("AR-",G1674,"-",I1674)</f>
        <v>AR-L30P-1</v>
      </c>
      <c r="I1674" s="661">
        <v>1</v>
      </c>
      <c r="K1674" s="232"/>
      <c r="L1674" s="234">
        <v>1</v>
      </c>
      <c r="M1674" s="197">
        <v>1</v>
      </c>
      <c r="Q1674" s="237"/>
    </row>
    <row r="1675" spans="2:17" s="233" customFormat="1" ht="15" customHeight="1" outlineLevel="3">
      <c r="B1675" s="299" t="s">
        <v>268</v>
      </c>
      <c r="C1675" s="304" t="s">
        <v>1137</v>
      </c>
      <c r="D1675" s="685" t="s">
        <v>1025</v>
      </c>
      <c r="E1675" s="306" t="s">
        <v>1080</v>
      </c>
      <c r="F1675" s="307"/>
      <c r="G1675" s="297" t="s">
        <v>1137</v>
      </c>
      <c r="H1675" s="308" t="str">
        <f>CONCATENATE("AR-",G1675,"-",I1675)</f>
        <v>AR-L30P-1</v>
      </c>
      <c r="I1675" s="661">
        <v>1</v>
      </c>
      <c r="K1675" s="232"/>
      <c r="L1675" s="234">
        <v>1</v>
      </c>
      <c r="M1675" s="197">
        <v>1</v>
      </c>
      <c r="Q1675" s="237"/>
    </row>
    <row r="1676" spans="2:17" s="233" customFormat="1" ht="15" customHeight="1" outlineLevel="3">
      <c r="B1676" s="299"/>
      <c r="C1676" s="304"/>
      <c r="D1676" s="685"/>
      <c r="E1676" s="306" t="s">
        <v>277</v>
      </c>
      <c r="F1676" s="307"/>
      <c r="G1676" s="297"/>
      <c r="H1676" s="308"/>
      <c r="I1676" s="661"/>
      <c r="K1676" s="232"/>
      <c r="L1676" s="234"/>
      <c r="M1676" s="197"/>
      <c r="Q1676" s="237"/>
    </row>
    <row r="1677" spans="2:17" s="259" customFormat="1" ht="15" customHeight="1" outlineLevel="3">
      <c r="B1677" s="299" t="s">
        <v>1085</v>
      </c>
      <c r="C1677" s="304"/>
      <c r="D1677" s="685"/>
      <c r="E1677" s="306" t="s">
        <v>277</v>
      </c>
      <c r="F1677" s="307"/>
      <c r="G1677" s="297"/>
      <c r="H1677" s="308"/>
      <c r="I1677" s="661"/>
      <c r="K1677" s="258"/>
      <c r="L1677" s="242"/>
      <c r="M1677" s="197"/>
      <c r="Q1677" s="715"/>
    </row>
    <row r="1678" spans="2:17" s="259" customFormat="1" ht="15" customHeight="1" outlineLevel="3">
      <c r="B1678" s="299" t="s">
        <v>268</v>
      </c>
      <c r="C1678" s="304" t="s">
        <v>1137</v>
      </c>
      <c r="D1678" s="685" t="s">
        <v>1086</v>
      </c>
      <c r="E1678" s="306" t="s">
        <v>1087</v>
      </c>
      <c r="F1678" s="307"/>
      <c r="G1678" s="297" t="s">
        <v>1137</v>
      </c>
      <c r="H1678" s="308" t="str">
        <f>CONCATENATE("AR-",G1678,"-",I1678)</f>
        <v>AR-L30P-1</v>
      </c>
      <c r="I1678" s="661">
        <v>1</v>
      </c>
      <c r="K1678" s="258"/>
      <c r="L1678" s="234">
        <v>1</v>
      </c>
      <c r="M1678" s="197">
        <v>1</v>
      </c>
      <c r="Q1678" s="715"/>
    </row>
    <row r="1679" spans="2:17" s="233" customFormat="1" ht="15" customHeight="1" outlineLevel="3">
      <c r="B1679" s="299" t="s">
        <v>268</v>
      </c>
      <c r="C1679" s="304" t="s">
        <v>1137</v>
      </c>
      <c r="D1679" s="685" t="s">
        <v>320</v>
      </c>
      <c r="E1679" s="306" t="s">
        <v>1088</v>
      </c>
      <c r="F1679" s="307"/>
      <c r="G1679" s="297" t="s">
        <v>1137</v>
      </c>
      <c r="H1679" s="308" t="str">
        <f>CONCATENATE("AR-",G1679,"-",I1679)</f>
        <v>AR-L30P-1</v>
      </c>
      <c r="I1679" s="661">
        <v>1</v>
      </c>
      <c r="K1679" s="232"/>
      <c r="L1679" s="234">
        <v>1</v>
      </c>
      <c r="M1679" s="197">
        <v>1</v>
      </c>
      <c r="Q1679" s="237"/>
    </row>
    <row r="1680" spans="2:17" s="233" customFormat="1" ht="15" customHeight="1" outlineLevel="3">
      <c r="B1680" s="299" t="s">
        <v>268</v>
      </c>
      <c r="C1680" s="304" t="s">
        <v>1137</v>
      </c>
      <c r="D1680" s="685" t="s">
        <v>1089</v>
      </c>
      <c r="E1680" s="306" t="s">
        <v>1090</v>
      </c>
      <c r="F1680" s="307"/>
      <c r="G1680" s="297" t="s">
        <v>1137</v>
      </c>
      <c r="H1680" s="308" t="str">
        <f>CONCATENATE("AR-",G1680,"-",I1680)</f>
        <v>AR-L30P-1</v>
      </c>
      <c r="I1680" s="661">
        <v>1</v>
      </c>
      <c r="K1680" s="232"/>
      <c r="L1680" s="234">
        <v>1</v>
      </c>
      <c r="M1680" s="197">
        <v>1</v>
      </c>
      <c r="Q1680" s="237"/>
    </row>
    <row r="1681" spans="2:17" s="233" customFormat="1" ht="15" customHeight="1" outlineLevel="3">
      <c r="B1681" s="299" t="s">
        <v>268</v>
      </c>
      <c r="C1681" s="304" t="s">
        <v>1137</v>
      </c>
      <c r="D1681" s="685" t="s">
        <v>1091</v>
      </c>
      <c r="E1681" s="306" t="s">
        <v>1092</v>
      </c>
      <c r="F1681" s="307"/>
      <c r="G1681" s="297" t="s">
        <v>1137</v>
      </c>
      <c r="H1681" s="308" t="str">
        <f>CONCATENATE("AR-",G1681,"-",I1681)</f>
        <v>AR-L30P-1</v>
      </c>
      <c r="I1681" s="661">
        <v>1</v>
      </c>
      <c r="K1681" s="232"/>
      <c r="L1681" s="234">
        <v>1</v>
      </c>
      <c r="M1681" s="197">
        <v>1</v>
      </c>
      <c r="Q1681" s="237"/>
    </row>
    <row r="1682" spans="2:17" s="233" customFormat="1" ht="15" customHeight="1" outlineLevel="3">
      <c r="B1682" s="299"/>
      <c r="C1682" s="304"/>
      <c r="D1682" s="685"/>
      <c r="E1682" s="306" t="s">
        <v>277</v>
      </c>
      <c r="F1682" s="307"/>
      <c r="G1682" s="297"/>
      <c r="H1682" s="308"/>
      <c r="I1682" s="661"/>
      <c r="K1682" s="232"/>
      <c r="L1682" s="234"/>
      <c r="M1682" s="197"/>
      <c r="Q1682" s="237"/>
    </row>
    <row r="1683" spans="2:17" s="259" customFormat="1" ht="15" customHeight="1" outlineLevel="3">
      <c r="B1683" s="299" t="s">
        <v>1093</v>
      </c>
      <c r="C1683" s="304"/>
      <c r="D1683" s="685"/>
      <c r="E1683" s="306" t="s">
        <v>277</v>
      </c>
      <c r="F1683" s="307"/>
      <c r="G1683" s="297"/>
      <c r="H1683" s="308"/>
      <c r="I1683" s="661"/>
      <c r="K1683" s="258"/>
      <c r="L1683" s="242"/>
      <c r="M1683" s="197"/>
      <c r="Q1683" s="715"/>
    </row>
    <row r="1684" spans="2:17" s="233" customFormat="1" ht="15" customHeight="1" outlineLevel="3">
      <c r="B1684" s="299" t="s">
        <v>268</v>
      </c>
      <c r="C1684" s="304" t="s">
        <v>1137</v>
      </c>
      <c r="D1684" s="685" t="s">
        <v>409</v>
      </c>
      <c r="E1684" s="306" t="s">
        <v>892</v>
      </c>
      <c r="F1684" s="307"/>
      <c r="G1684" s="297" t="s">
        <v>1137</v>
      </c>
      <c r="H1684" s="308" t="str">
        <f>CONCATENATE("AR-",G1684,"-",I1684)</f>
        <v>AR-L30P-1</v>
      </c>
      <c r="I1684" s="661">
        <v>1</v>
      </c>
      <c r="K1684" s="232"/>
      <c r="L1684" s="234">
        <v>1</v>
      </c>
      <c r="M1684" s="197">
        <v>1</v>
      </c>
      <c r="Q1684" s="237"/>
    </row>
    <row r="1685" spans="2:17" s="233" customFormat="1" ht="15" customHeight="1" outlineLevel="3">
      <c r="B1685" s="299" t="s">
        <v>268</v>
      </c>
      <c r="C1685" s="304" t="s">
        <v>1137</v>
      </c>
      <c r="D1685" s="685" t="s">
        <v>411</v>
      </c>
      <c r="E1685" s="306" t="s">
        <v>893</v>
      </c>
      <c r="F1685" s="307"/>
      <c r="G1685" s="297" t="s">
        <v>1137</v>
      </c>
      <c r="H1685" s="308" t="str">
        <f>CONCATENATE("AR-",G1685,"-",I1685)</f>
        <v>AR-L30P-1</v>
      </c>
      <c r="I1685" s="661">
        <v>1</v>
      </c>
      <c r="K1685" s="232"/>
      <c r="L1685" s="234">
        <v>1</v>
      </c>
      <c r="M1685" s="197">
        <v>1</v>
      </c>
      <c r="Q1685" s="237"/>
    </row>
    <row r="1686" spans="2:17" s="233" customFormat="1" ht="15" customHeight="1" outlineLevel="3">
      <c r="B1686" s="299" t="s">
        <v>268</v>
      </c>
      <c r="C1686" s="304" t="s">
        <v>1137</v>
      </c>
      <c r="D1686" s="685" t="s">
        <v>903</v>
      </c>
      <c r="E1686" s="306" t="s">
        <v>1094</v>
      </c>
      <c r="F1686" s="307"/>
      <c r="G1686" s="297" t="s">
        <v>1137</v>
      </c>
      <c r="H1686" s="308" t="str">
        <f>CONCATENATE("AR-",G1686,"-",I1686)</f>
        <v>AR-L30P-1</v>
      </c>
      <c r="I1686" s="661">
        <v>1</v>
      </c>
      <c r="K1686" s="232"/>
      <c r="L1686" s="234">
        <v>1</v>
      </c>
      <c r="M1686" s="197">
        <v>1</v>
      </c>
      <c r="Q1686" s="237"/>
    </row>
    <row r="1687" spans="2:17" s="233" customFormat="1" ht="15" customHeight="1" outlineLevel="3">
      <c r="B1687" s="299" t="s">
        <v>268</v>
      </c>
      <c r="C1687" s="304" t="s">
        <v>1137</v>
      </c>
      <c r="D1687" s="685" t="s">
        <v>1095</v>
      </c>
      <c r="E1687" s="306" t="s">
        <v>1096</v>
      </c>
      <c r="F1687" s="307"/>
      <c r="G1687" s="297" t="s">
        <v>1137</v>
      </c>
      <c r="H1687" s="308" t="str">
        <f>CONCATENATE("AR-",G1687,"-",I1687)</f>
        <v>AR-L30P-1</v>
      </c>
      <c r="I1687" s="661">
        <v>1</v>
      </c>
      <c r="K1687" s="232"/>
      <c r="L1687" s="234">
        <v>1</v>
      </c>
      <c r="M1687" s="197">
        <v>1</v>
      </c>
      <c r="Q1687" s="237"/>
    </row>
    <row r="1688" spans="2:17" s="233" customFormat="1" ht="15" customHeight="1" outlineLevel="3">
      <c r="B1688" s="299" t="s">
        <v>268</v>
      </c>
      <c r="C1688" s="304" t="s">
        <v>1137</v>
      </c>
      <c r="D1688" s="685" t="s">
        <v>1097</v>
      </c>
      <c r="E1688" s="306" t="s">
        <v>1098</v>
      </c>
      <c r="F1688" s="307"/>
      <c r="G1688" s="297" t="s">
        <v>1137</v>
      </c>
      <c r="H1688" s="308" t="str">
        <f>CONCATENATE("AR-",G1688,"-",I1688)</f>
        <v>AR-L30P-1</v>
      </c>
      <c r="I1688" s="661">
        <v>1</v>
      </c>
      <c r="K1688" s="232"/>
      <c r="L1688" s="234">
        <v>1</v>
      </c>
      <c r="M1688" s="197">
        <v>1</v>
      </c>
      <c r="Q1688" s="237"/>
    </row>
    <row r="1689" spans="2:17" s="233" customFormat="1" ht="15" customHeight="1" outlineLevel="3">
      <c r="B1689" s="299"/>
      <c r="C1689" s="304"/>
      <c r="D1689" s="685"/>
      <c r="E1689" s="306" t="s">
        <v>277</v>
      </c>
      <c r="F1689" s="307"/>
      <c r="G1689" s="297"/>
      <c r="H1689" s="308"/>
      <c r="I1689" s="661"/>
      <c r="K1689" s="232"/>
      <c r="L1689" s="234"/>
      <c r="M1689" s="197"/>
      <c r="Q1689" s="237"/>
    </row>
    <row r="1690" spans="2:17" s="259" customFormat="1" ht="15" customHeight="1" outlineLevel="3">
      <c r="B1690" s="299" t="s">
        <v>1099</v>
      </c>
      <c r="C1690" s="304"/>
      <c r="D1690" s="685"/>
      <c r="E1690" s="306" t="s">
        <v>277</v>
      </c>
      <c r="F1690" s="307"/>
      <c r="G1690" s="297"/>
      <c r="H1690" s="308"/>
      <c r="I1690" s="661"/>
      <c r="K1690" s="258"/>
      <c r="L1690" s="242"/>
      <c r="M1690" s="197"/>
      <c r="Q1690" s="715"/>
    </row>
    <row r="1691" spans="2:17" s="233" customFormat="1" ht="15" customHeight="1" outlineLevel="3">
      <c r="B1691" s="299" t="s">
        <v>268</v>
      </c>
      <c r="C1691" s="304" t="s">
        <v>1137</v>
      </c>
      <c r="D1691" s="685" t="s">
        <v>418</v>
      </c>
      <c r="E1691" s="306" t="s">
        <v>1100</v>
      </c>
      <c r="F1691" s="307"/>
      <c r="G1691" s="297" t="s">
        <v>1137</v>
      </c>
      <c r="H1691" s="308" t="str">
        <f>CONCATENATE("AR-",G1691,"-",I1691)</f>
        <v>AR-L30P-1</v>
      </c>
      <c r="I1691" s="661">
        <v>1</v>
      </c>
      <c r="K1691" s="232"/>
      <c r="L1691" s="234">
        <v>1</v>
      </c>
      <c r="M1691" s="197">
        <v>1</v>
      </c>
      <c r="Q1691" s="237"/>
    </row>
    <row r="1692" spans="2:17" s="233" customFormat="1" ht="15" customHeight="1" outlineLevel="3">
      <c r="B1692" s="299" t="s">
        <v>268</v>
      </c>
      <c r="C1692" s="304" t="s">
        <v>1137</v>
      </c>
      <c r="D1692" s="685" t="s">
        <v>1101</v>
      </c>
      <c r="E1692" s="306" t="s">
        <v>1102</v>
      </c>
      <c r="F1692" s="307"/>
      <c r="G1692" s="297" t="s">
        <v>1137</v>
      </c>
      <c r="H1692" s="308" t="str">
        <f>CONCATENATE("AR-",G1692,"-",I1692)</f>
        <v>AR-L30P-1</v>
      </c>
      <c r="I1692" s="661">
        <v>1</v>
      </c>
      <c r="K1692" s="232"/>
      <c r="L1692" s="234">
        <v>1</v>
      </c>
      <c r="M1692" s="197">
        <v>1</v>
      </c>
      <c r="Q1692" s="237"/>
    </row>
    <row r="1693" spans="2:17" s="233" customFormat="1" ht="15" customHeight="1" outlineLevel="3">
      <c r="B1693" s="299"/>
      <c r="C1693" s="304"/>
      <c r="D1693" s="685"/>
      <c r="E1693" s="306" t="s">
        <v>277</v>
      </c>
      <c r="F1693" s="307"/>
      <c r="G1693" s="297"/>
      <c r="H1693" s="308"/>
      <c r="I1693" s="661"/>
      <c r="K1693" s="232"/>
      <c r="L1693" s="234"/>
      <c r="M1693" s="197"/>
      <c r="Q1693" s="237"/>
    </row>
    <row r="1694" spans="2:17" s="259" customFormat="1" ht="15" customHeight="1" outlineLevel="3">
      <c r="B1694" s="299" t="s">
        <v>957</v>
      </c>
      <c r="C1694" s="304"/>
      <c r="D1694" s="685"/>
      <c r="E1694" s="306" t="s">
        <v>277</v>
      </c>
      <c r="F1694" s="307"/>
      <c r="G1694" s="297"/>
      <c r="H1694" s="308"/>
      <c r="I1694" s="661"/>
      <c r="K1694" s="258"/>
      <c r="L1694" s="242"/>
      <c r="M1694" s="197"/>
      <c r="Q1694" s="715"/>
    </row>
    <row r="1695" spans="2:17" s="233" customFormat="1" ht="15" customHeight="1" outlineLevel="3">
      <c r="B1695" s="299" t="s">
        <v>268</v>
      </c>
      <c r="C1695" s="304" t="s">
        <v>1137</v>
      </c>
      <c r="D1695" s="685" t="s">
        <v>425</v>
      </c>
      <c r="E1695" s="306" t="s">
        <v>910</v>
      </c>
      <c r="F1695" s="307"/>
      <c r="G1695" s="297" t="s">
        <v>1137</v>
      </c>
      <c r="H1695" s="308" t="str">
        <f>CONCATENATE("AR-",G1695,"-",I1695)</f>
        <v>AR-L30P-1</v>
      </c>
      <c r="I1695" s="661">
        <v>1</v>
      </c>
      <c r="K1695" s="232"/>
      <c r="L1695" s="234">
        <v>1</v>
      </c>
      <c r="M1695" s="197">
        <v>1</v>
      </c>
      <c r="Q1695" s="237"/>
    </row>
    <row r="1696" spans="2:17" s="233" customFormat="1" ht="15" customHeight="1" outlineLevel="3">
      <c r="B1696" s="299" t="s">
        <v>268</v>
      </c>
      <c r="C1696" s="304" t="s">
        <v>1137</v>
      </c>
      <c r="D1696" s="685" t="s">
        <v>427</v>
      </c>
      <c r="E1696" s="306" t="s">
        <v>911</v>
      </c>
      <c r="F1696" s="307"/>
      <c r="G1696" s="297" t="s">
        <v>1137</v>
      </c>
      <c r="H1696" s="308" t="str">
        <f>CONCATENATE("AR-",G1696,"-",I1696)</f>
        <v>AR-L30P-1</v>
      </c>
      <c r="I1696" s="661">
        <v>1</v>
      </c>
      <c r="K1696" s="232"/>
      <c r="L1696" s="234">
        <v>1</v>
      </c>
      <c r="M1696" s="197">
        <v>1</v>
      </c>
      <c r="Q1696" s="237"/>
    </row>
    <row r="1697" spans="2:17" s="233" customFormat="1" ht="15" customHeight="1" outlineLevel="3">
      <c r="B1697" s="299" t="s">
        <v>268</v>
      </c>
      <c r="C1697" s="304" t="s">
        <v>1137</v>
      </c>
      <c r="D1697" s="685" t="s">
        <v>429</v>
      </c>
      <c r="E1697" s="306" t="s">
        <v>912</v>
      </c>
      <c r="F1697" s="307"/>
      <c r="G1697" s="297" t="s">
        <v>1137</v>
      </c>
      <c r="H1697" s="308" t="str">
        <f>CONCATENATE("AR-",G1697,"-",I1697)</f>
        <v>AR-L30P-1</v>
      </c>
      <c r="I1697" s="661">
        <v>1</v>
      </c>
      <c r="K1697" s="232"/>
      <c r="L1697" s="234">
        <v>1</v>
      </c>
      <c r="M1697" s="197">
        <v>1</v>
      </c>
      <c r="Q1697" s="237"/>
    </row>
    <row r="1698" spans="2:17" s="233" customFormat="1" ht="15" customHeight="1" outlineLevel="3">
      <c r="B1698" s="299" t="s">
        <v>268</v>
      </c>
      <c r="C1698" s="304" t="s">
        <v>1137</v>
      </c>
      <c r="D1698" s="685" t="s">
        <v>431</v>
      </c>
      <c r="E1698" s="306" t="s">
        <v>913</v>
      </c>
      <c r="F1698" s="307"/>
      <c r="G1698" s="297" t="s">
        <v>1137</v>
      </c>
      <c r="H1698" s="308" t="str">
        <f>CONCATENATE("AR-",G1698,"-",I1698)</f>
        <v>AR-L30P-1</v>
      </c>
      <c r="I1698" s="661">
        <v>1</v>
      </c>
      <c r="K1698" s="232"/>
      <c r="L1698" s="234">
        <v>1</v>
      </c>
      <c r="M1698" s="197">
        <v>1</v>
      </c>
      <c r="Q1698" s="237"/>
    </row>
    <row r="1699" spans="2:17" s="233" customFormat="1" ht="15" customHeight="1" outlineLevel="3">
      <c r="B1699" s="299"/>
      <c r="C1699" s="304"/>
      <c r="D1699" s="685"/>
      <c r="E1699" s="306" t="s">
        <v>277</v>
      </c>
      <c r="F1699" s="307"/>
      <c r="G1699" s="297"/>
      <c r="H1699" s="308"/>
      <c r="I1699" s="661"/>
      <c r="K1699" s="232"/>
      <c r="L1699" s="234"/>
      <c r="M1699" s="197"/>
      <c r="Q1699" s="237"/>
    </row>
    <row r="1700" spans="2:17" s="259" customFormat="1" ht="15" customHeight="1" outlineLevel="3">
      <c r="B1700" s="299" t="s">
        <v>1103</v>
      </c>
      <c r="C1700" s="304"/>
      <c r="D1700" s="685"/>
      <c r="E1700" s="306" t="s">
        <v>277</v>
      </c>
      <c r="F1700" s="307"/>
      <c r="G1700" s="297"/>
      <c r="H1700" s="308"/>
      <c r="I1700" s="661"/>
      <c r="K1700" s="258"/>
      <c r="L1700" s="242"/>
      <c r="M1700" s="197"/>
      <c r="Q1700" s="715"/>
    </row>
    <row r="1701" spans="2:17" s="233" customFormat="1" ht="15" customHeight="1" outlineLevel="3">
      <c r="B1701" s="299" t="s">
        <v>268</v>
      </c>
      <c r="C1701" s="304" t="s">
        <v>1137</v>
      </c>
      <c r="D1701" s="685" t="s">
        <v>915</v>
      </c>
      <c r="E1701" s="306" t="s">
        <v>1104</v>
      </c>
      <c r="F1701" s="307"/>
      <c r="G1701" s="297" t="s">
        <v>1137</v>
      </c>
      <c r="H1701" s="308" t="str">
        <f>CONCATENATE("AR-",G1701,"-",I1701)</f>
        <v>AR-L30P-1</v>
      </c>
      <c r="I1701" s="661">
        <v>1</v>
      </c>
      <c r="K1701" s="232"/>
      <c r="L1701" s="234">
        <v>1</v>
      </c>
      <c r="M1701" s="197">
        <v>1</v>
      </c>
      <c r="Q1701" s="237"/>
    </row>
    <row r="1702" spans="2:17" s="233" customFormat="1" ht="15" customHeight="1" outlineLevel="3">
      <c r="B1702" s="299" t="s">
        <v>268</v>
      </c>
      <c r="C1702" s="304" t="s">
        <v>1137</v>
      </c>
      <c r="D1702" s="685" t="s">
        <v>1105</v>
      </c>
      <c r="E1702" s="306" t="s">
        <v>1104</v>
      </c>
      <c r="F1702" s="307"/>
      <c r="G1702" s="297" t="s">
        <v>1137</v>
      </c>
      <c r="H1702" s="308" t="str">
        <f>CONCATENATE("AR-",G1702,"-",I1702)</f>
        <v>AR-L30P-1</v>
      </c>
      <c r="I1702" s="661">
        <v>1</v>
      </c>
      <c r="K1702" s="232"/>
      <c r="L1702" s="234">
        <v>1</v>
      </c>
      <c r="M1702" s="197">
        <v>1</v>
      </c>
      <c r="Q1702" s="237"/>
    </row>
    <row r="1703" spans="2:17" s="233" customFormat="1" ht="15" customHeight="1" outlineLevel="3">
      <c r="B1703" s="299" t="s">
        <v>1106</v>
      </c>
      <c r="C1703" s="304"/>
      <c r="D1703" s="685"/>
      <c r="E1703" s="306" t="s">
        <v>277</v>
      </c>
      <c r="F1703" s="307"/>
      <c r="G1703" s="297"/>
      <c r="H1703" s="308"/>
      <c r="I1703" s="661"/>
      <c r="K1703" s="232"/>
      <c r="L1703" s="234"/>
      <c r="M1703" s="197"/>
      <c r="Q1703" s="237"/>
    </row>
    <row r="1704" spans="2:17" s="233" customFormat="1" ht="15" customHeight="1" outlineLevel="3">
      <c r="B1704" s="299" t="s">
        <v>268</v>
      </c>
      <c r="C1704" s="304" t="s">
        <v>1137</v>
      </c>
      <c r="D1704" s="685" t="s">
        <v>1107</v>
      </c>
      <c r="E1704" s="306" t="s">
        <v>1108</v>
      </c>
      <c r="F1704" s="307"/>
      <c r="G1704" s="297" t="s">
        <v>1137</v>
      </c>
      <c r="H1704" s="308" t="str">
        <f>CONCATENATE("AR-",G1704,"-",I1704)</f>
        <v>AR-L30P-1</v>
      </c>
      <c r="I1704" s="661">
        <v>1</v>
      </c>
      <c r="K1704" s="232"/>
      <c r="L1704" s="234">
        <v>1</v>
      </c>
      <c r="M1704" s="197">
        <v>1</v>
      </c>
      <c r="Q1704" s="237"/>
    </row>
    <row r="1705" spans="2:17" s="233" customFormat="1" ht="15" customHeight="1" outlineLevel="3">
      <c r="B1705" s="299" t="s">
        <v>268</v>
      </c>
      <c r="C1705" s="304" t="s">
        <v>1137</v>
      </c>
      <c r="D1705" s="685" t="s">
        <v>1109</v>
      </c>
      <c r="E1705" s="306" t="s">
        <v>1110</v>
      </c>
      <c r="F1705" s="307"/>
      <c r="G1705" s="297" t="s">
        <v>1137</v>
      </c>
      <c r="H1705" s="308" t="str">
        <f>CONCATENATE("AR-",G1705,"-",I1705)</f>
        <v>AR-L30P-1</v>
      </c>
      <c r="I1705" s="661">
        <v>1</v>
      </c>
      <c r="K1705" s="232"/>
      <c r="L1705" s="234">
        <v>1</v>
      </c>
      <c r="M1705" s="197">
        <v>1</v>
      </c>
      <c r="Q1705" s="237"/>
    </row>
    <row r="1706" spans="2:17" s="233" customFormat="1" ht="15" customHeight="1" outlineLevel="3">
      <c r="B1706" s="299"/>
      <c r="C1706" s="304"/>
      <c r="D1706" s="685"/>
      <c r="E1706" s="306" t="s">
        <v>277</v>
      </c>
      <c r="F1706" s="307"/>
      <c r="G1706" s="297"/>
      <c r="H1706" s="308"/>
      <c r="I1706" s="661"/>
      <c r="K1706" s="232"/>
      <c r="L1706" s="234"/>
      <c r="M1706" s="197"/>
      <c r="Q1706" s="237"/>
    </row>
    <row r="1707" spans="2:17" s="259" customFormat="1" ht="15" customHeight="1" outlineLevel="3">
      <c r="B1707" s="299" t="s">
        <v>1111</v>
      </c>
      <c r="C1707" s="304"/>
      <c r="D1707" s="685"/>
      <c r="E1707" s="306" t="s">
        <v>277</v>
      </c>
      <c r="F1707" s="307"/>
      <c r="G1707" s="297"/>
      <c r="H1707" s="308"/>
      <c r="I1707" s="661"/>
      <c r="K1707" s="258"/>
      <c r="L1707" s="242"/>
      <c r="M1707" s="197"/>
      <c r="Q1707" s="715"/>
    </row>
    <row r="1708" spans="2:17" s="233" customFormat="1" ht="15" customHeight="1" outlineLevel="3">
      <c r="B1708" s="299" t="s">
        <v>268</v>
      </c>
      <c r="C1708" s="304" t="s">
        <v>1137</v>
      </c>
      <c r="D1708" s="685" t="s">
        <v>1112</v>
      </c>
      <c r="E1708" s="306" t="s">
        <v>1113</v>
      </c>
      <c r="F1708" s="307"/>
      <c r="G1708" s="297" t="s">
        <v>1137</v>
      </c>
      <c r="H1708" s="308" t="str">
        <f>CONCATENATE("AR-",G1708,"-",I1708)</f>
        <v>AR-L30P-1</v>
      </c>
      <c r="I1708" s="661">
        <v>1</v>
      </c>
      <c r="K1708" s="232"/>
      <c r="L1708" s="234">
        <v>1</v>
      </c>
      <c r="M1708" s="197">
        <v>1</v>
      </c>
      <c r="Q1708" s="237"/>
    </row>
    <row r="1709" spans="2:17" s="233" customFormat="1" ht="15" customHeight="1" outlineLevel="3">
      <c r="B1709" s="299" t="s">
        <v>268</v>
      </c>
      <c r="C1709" s="304" t="s">
        <v>1137</v>
      </c>
      <c r="D1709" s="685" t="s">
        <v>1114</v>
      </c>
      <c r="E1709" s="306" t="s">
        <v>1115</v>
      </c>
      <c r="F1709" s="307"/>
      <c r="G1709" s="297" t="s">
        <v>1137</v>
      </c>
      <c r="H1709" s="308" t="str">
        <f>CONCATENATE("AR-",G1709,"-",I1709)</f>
        <v>AR-L30P-1</v>
      </c>
      <c r="I1709" s="661">
        <v>1</v>
      </c>
      <c r="K1709" s="232"/>
      <c r="L1709" s="234">
        <v>1</v>
      </c>
      <c r="M1709" s="197">
        <v>1</v>
      </c>
      <c r="Q1709" s="237"/>
    </row>
    <row r="1710" spans="2:17" s="233" customFormat="1" ht="15" customHeight="1" outlineLevel="3">
      <c r="B1710" s="299" t="s">
        <v>268</v>
      </c>
      <c r="C1710" s="304" t="s">
        <v>1137</v>
      </c>
      <c r="D1710" s="685" t="s">
        <v>1116</v>
      </c>
      <c r="E1710" s="306" t="s">
        <v>1117</v>
      </c>
      <c r="F1710" s="307"/>
      <c r="G1710" s="297" t="s">
        <v>1137</v>
      </c>
      <c r="H1710" s="308" t="str">
        <f>CONCATENATE("AR-",G1710,"-",I1710)</f>
        <v>AR-L30P-1</v>
      </c>
      <c r="I1710" s="661">
        <v>1</v>
      </c>
      <c r="K1710" s="232"/>
      <c r="L1710" s="234">
        <v>1</v>
      </c>
      <c r="M1710" s="197">
        <v>1</v>
      </c>
      <c r="Q1710" s="237"/>
    </row>
    <row r="1711" spans="2:17" s="233" customFormat="1" ht="15" customHeight="1" outlineLevel="3">
      <c r="B1711" s="299"/>
      <c r="C1711" s="304"/>
      <c r="D1711" s="685"/>
      <c r="E1711" s="306" t="s">
        <v>277</v>
      </c>
      <c r="F1711" s="307"/>
      <c r="G1711" s="297"/>
      <c r="H1711" s="308"/>
      <c r="I1711" s="661"/>
      <c r="K1711" s="232"/>
      <c r="L1711" s="234"/>
      <c r="M1711" s="197"/>
      <c r="Q1711" s="237"/>
    </row>
    <row r="1712" spans="2:17" s="259" customFormat="1" ht="15" customHeight="1" outlineLevel="3">
      <c r="B1712" s="299" t="s">
        <v>1118</v>
      </c>
      <c r="C1712" s="304"/>
      <c r="D1712" s="685"/>
      <c r="E1712" s="306" t="s">
        <v>277</v>
      </c>
      <c r="F1712" s="307"/>
      <c r="G1712" s="297"/>
      <c r="H1712" s="308"/>
      <c r="I1712" s="661"/>
      <c r="K1712" s="258"/>
      <c r="L1712" s="242"/>
      <c r="M1712" s="197"/>
      <c r="Q1712" s="715"/>
    </row>
    <row r="1713" spans="2:17" s="233" customFormat="1" ht="15" customHeight="1" outlineLevel="3">
      <c r="B1713" s="299" t="s">
        <v>268</v>
      </c>
      <c r="C1713" s="304" t="s">
        <v>1137</v>
      </c>
      <c r="D1713" s="685" t="s">
        <v>968</v>
      </c>
      <c r="E1713" s="306" t="s">
        <v>1119</v>
      </c>
      <c r="F1713" s="307"/>
      <c r="G1713" s="297" t="s">
        <v>1137</v>
      </c>
      <c r="H1713" s="308" t="str">
        <f>CONCATENATE("AR-",G1713,"-",I1713)</f>
        <v>AR-L30P-1</v>
      </c>
      <c r="I1713" s="661">
        <v>1</v>
      </c>
      <c r="K1713" s="232"/>
      <c r="L1713" s="234">
        <v>1</v>
      </c>
      <c r="M1713" s="197">
        <v>1</v>
      </c>
      <c r="Q1713" s="237"/>
    </row>
    <row r="1714" spans="2:17" s="233" customFormat="1" ht="15" customHeight="1" outlineLevel="3">
      <c r="B1714" s="299" t="s">
        <v>268</v>
      </c>
      <c r="C1714" s="304" t="s">
        <v>1137</v>
      </c>
      <c r="D1714" s="685" t="s">
        <v>970</v>
      </c>
      <c r="E1714" s="306" t="s">
        <v>1119</v>
      </c>
      <c r="F1714" s="307"/>
      <c r="G1714" s="297" t="s">
        <v>1137</v>
      </c>
      <c r="H1714" s="308" t="str">
        <f>CONCATENATE("AR-",G1714,"-",I1714)</f>
        <v>AR-L30P-1</v>
      </c>
      <c r="I1714" s="661">
        <v>1</v>
      </c>
      <c r="K1714" s="232"/>
      <c r="L1714" s="234">
        <v>1</v>
      </c>
      <c r="M1714" s="197">
        <v>1</v>
      </c>
      <c r="Q1714" s="237"/>
    </row>
    <row r="1715" spans="2:17" s="233" customFormat="1" ht="15" customHeight="1" outlineLevel="3">
      <c r="B1715" s="299"/>
      <c r="C1715" s="304"/>
      <c r="D1715" s="685"/>
      <c r="E1715" s="306" t="s">
        <v>277</v>
      </c>
      <c r="F1715" s="307"/>
      <c r="G1715" s="297"/>
      <c r="H1715" s="308"/>
      <c r="I1715" s="661"/>
      <c r="K1715" s="232"/>
      <c r="L1715" s="234"/>
      <c r="M1715" s="197"/>
      <c r="Q1715" s="237"/>
    </row>
    <row r="1716" spans="2:17" s="259" customFormat="1" ht="15" customHeight="1" outlineLevel="3">
      <c r="B1716" s="299" t="s">
        <v>1120</v>
      </c>
      <c r="C1716" s="304"/>
      <c r="D1716" s="685"/>
      <c r="E1716" s="306" t="s">
        <v>277</v>
      </c>
      <c r="F1716" s="307"/>
      <c r="G1716" s="297"/>
      <c r="H1716" s="308"/>
      <c r="I1716" s="661"/>
      <c r="K1716" s="258"/>
      <c r="L1716" s="242"/>
      <c r="M1716" s="197"/>
      <c r="Q1716" s="715"/>
    </row>
    <row r="1717" spans="2:17" s="233" customFormat="1" ht="15" customHeight="1" outlineLevel="3">
      <c r="B1717" s="299" t="s">
        <v>268</v>
      </c>
      <c r="C1717" s="304" t="s">
        <v>1137</v>
      </c>
      <c r="D1717" s="685" t="s">
        <v>977</v>
      </c>
      <c r="E1717" s="306" t="s">
        <v>1121</v>
      </c>
      <c r="F1717" s="307"/>
      <c r="G1717" s="297" t="s">
        <v>1137</v>
      </c>
      <c r="H1717" s="308" t="str">
        <f t="shared" ref="H1717:H1722" si="98">CONCATENATE("AR-",G1717,"-",I1717)</f>
        <v>AR-L30P-1</v>
      </c>
      <c r="I1717" s="661">
        <v>1</v>
      </c>
      <c r="K1717" s="232"/>
      <c r="L1717" s="234">
        <v>1</v>
      </c>
      <c r="M1717" s="197">
        <v>1</v>
      </c>
      <c r="Q1717" s="237"/>
    </row>
    <row r="1718" spans="2:17" s="233" customFormat="1" ht="15" customHeight="1" outlineLevel="3">
      <c r="B1718" s="299" t="s">
        <v>268</v>
      </c>
      <c r="C1718" s="304" t="s">
        <v>1137</v>
      </c>
      <c r="D1718" s="685" t="s">
        <v>979</v>
      </c>
      <c r="E1718" s="306" t="s">
        <v>1122</v>
      </c>
      <c r="F1718" s="307"/>
      <c r="G1718" s="297" t="s">
        <v>1137</v>
      </c>
      <c r="H1718" s="308" t="str">
        <f t="shared" si="98"/>
        <v>AR-L30P-1</v>
      </c>
      <c r="I1718" s="661">
        <v>1</v>
      </c>
      <c r="K1718" s="232"/>
      <c r="L1718" s="234">
        <v>1</v>
      </c>
      <c r="M1718" s="197">
        <v>1</v>
      </c>
      <c r="Q1718" s="237"/>
    </row>
    <row r="1719" spans="2:17" s="233" customFormat="1" ht="15" customHeight="1" outlineLevel="3">
      <c r="B1719" s="299" t="s">
        <v>268</v>
      </c>
      <c r="C1719" s="304" t="s">
        <v>1137</v>
      </c>
      <c r="D1719" s="685" t="s">
        <v>981</v>
      </c>
      <c r="E1719" s="306" t="s">
        <v>1123</v>
      </c>
      <c r="F1719" s="307"/>
      <c r="G1719" s="297" t="s">
        <v>1137</v>
      </c>
      <c r="H1719" s="308" t="str">
        <f t="shared" si="98"/>
        <v>AR-L30P-1</v>
      </c>
      <c r="I1719" s="661">
        <v>1</v>
      </c>
      <c r="K1719" s="232"/>
      <c r="L1719" s="234">
        <v>1</v>
      </c>
      <c r="M1719" s="197">
        <v>1</v>
      </c>
      <c r="Q1719" s="237"/>
    </row>
    <row r="1720" spans="2:17" s="233" customFormat="1" ht="15" customHeight="1" outlineLevel="3">
      <c r="B1720" s="299" t="s">
        <v>268</v>
      </c>
      <c r="C1720" s="304" t="s">
        <v>1137</v>
      </c>
      <c r="D1720" s="685" t="s">
        <v>983</v>
      </c>
      <c r="E1720" s="306" t="s">
        <v>1124</v>
      </c>
      <c r="F1720" s="307"/>
      <c r="G1720" s="297" t="s">
        <v>1137</v>
      </c>
      <c r="H1720" s="308" t="str">
        <f t="shared" si="98"/>
        <v>AR-L30P-1</v>
      </c>
      <c r="I1720" s="661">
        <v>1</v>
      </c>
      <c r="K1720" s="232"/>
      <c r="L1720" s="234">
        <v>1</v>
      </c>
      <c r="M1720" s="197">
        <v>1</v>
      </c>
      <c r="Q1720" s="237"/>
    </row>
    <row r="1721" spans="2:17" s="233" customFormat="1" ht="15" customHeight="1" outlineLevel="3">
      <c r="B1721" s="299" t="s">
        <v>268</v>
      </c>
      <c r="C1721" s="304" t="s">
        <v>1137</v>
      </c>
      <c r="D1721" s="685" t="s">
        <v>985</v>
      </c>
      <c r="E1721" s="306" t="s">
        <v>1125</v>
      </c>
      <c r="F1721" s="307"/>
      <c r="G1721" s="297" t="s">
        <v>1137</v>
      </c>
      <c r="H1721" s="308" t="str">
        <f t="shared" si="98"/>
        <v>AR-L30P-1</v>
      </c>
      <c r="I1721" s="661">
        <v>1</v>
      </c>
      <c r="K1721" s="232"/>
      <c r="L1721" s="234">
        <v>1</v>
      </c>
      <c r="M1721" s="197">
        <v>1</v>
      </c>
      <c r="Q1721" s="237"/>
    </row>
    <row r="1722" spans="2:17" s="233" customFormat="1" ht="15" customHeight="1" outlineLevel="3">
      <c r="B1722" s="299" t="s">
        <v>268</v>
      </c>
      <c r="C1722" s="304" t="s">
        <v>1137</v>
      </c>
      <c r="D1722" s="685" t="s">
        <v>987</v>
      </c>
      <c r="E1722" s="306" t="s">
        <v>1126</v>
      </c>
      <c r="F1722" s="307"/>
      <c r="G1722" s="297" t="s">
        <v>1137</v>
      </c>
      <c r="H1722" s="308" t="str">
        <f t="shared" si="98"/>
        <v>AR-L30P-1</v>
      </c>
      <c r="I1722" s="661">
        <v>1</v>
      </c>
      <c r="K1722" s="232"/>
      <c r="L1722" s="234">
        <v>1</v>
      </c>
      <c r="M1722" s="197">
        <v>1</v>
      </c>
      <c r="Q1722" s="237"/>
    </row>
    <row r="1723" spans="2:17" s="233" customFormat="1" ht="15" customHeight="1" outlineLevel="3">
      <c r="B1723" s="299"/>
      <c r="C1723" s="304"/>
      <c r="D1723" s="685"/>
      <c r="E1723" s="306" t="s">
        <v>277</v>
      </c>
      <c r="F1723" s="307"/>
      <c r="G1723" s="297"/>
      <c r="H1723" s="308"/>
      <c r="I1723" s="661"/>
      <c r="K1723" s="232"/>
      <c r="L1723" s="234"/>
      <c r="M1723" s="197"/>
      <c r="Q1723" s="237"/>
    </row>
    <row r="1724" spans="2:17" s="259" customFormat="1" ht="15" customHeight="1" outlineLevel="3">
      <c r="B1724" s="299" t="s">
        <v>934</v>
      </c>
      <c r="C1724" s="304"/>
      <c r="D1724" s="685"/>
      <c r="E1724" s="306" t="s">
        <v>277</v>
      </c>
      <c r="F1724" s="307"/>
      <c r="G1724" s="297"/>
      <c r="H1724" s="308"/>
      <c r="I1724" s="661"/>
      <c r="K1724" s="258"/>
      <c r="L1724" s="242"/>
      <c r="M1724" s="197"/>
      <c r="Q1724" s="715"/>
    </row>
    <row r="1725" spans="2:17" s="233" customFormat="1" ht="15" customHeight="1" outlineLevel="3">
      <c r="B1725" s="299" t="s">
        <v>268</v>
      </c>
      <c r="C1725" s="304" t="s">
        <v>1137</v>
      </c>
      <c r="D1725" s="685" t="s">
        <v>463</v>
      </c>
      <c r="E1725" s="306" t="s">
        <v>936</v>
      </c>
      <c r="F1725" s="307"/>
      <c r="G1725" s="297" t="s">
        <v>1137</v>
      </c>
      <c r="H1725" s="308" t="str">
        <f>CONCATENATE("AR-",G1725,"-",I1725)</f>
        <v>AR-L30P-1</v>
      </c>
      <c r="I1725" s="661">
        <v>1</v>
      </c>
      <c r="K1725" s="232"/>
      <c r="L1725" s="234">
        <v>1</v>
      </c>
      <c r="M1725" s="197">
        <v>1</v>
      </c>
      <c r="Q1725" s="237"/>
    </row>
    <row r="1726" spans="2:17" s="233" customFormat="1" ht="15" customHeight="1" outlineLevel="3">
      <c r="B1726" s="299" t="s">
        <v>268</v>
      </c>
      <c r="C1726" s="304" t="s">
        <v>1137</v>
      </c>
      <c r="D1726" s="685" t="s">
        <v>588</v>
      </c>
      <c r="E1726" s="306" t="s">
        <v>937</v>
      </c>
      <c r="F1726" s="307"/>
      <c r="G1726" s="297" t="s">
        <v>1137</v>
      </c>
      <c r="H1726" s="308" t="str">
        <f>CONCATENATE("AR-",G1726,"-",I1726)</f>
        <v>AR-L30P-1</v>
      </c>
      <c r="I1726" s="661">
        <v>1</v>
      </c>
      <c r="K1726" s="232"/>
      <c r="L1726" s="234">
        <v>1</v>
      </c>
      <c r="M1726" s="197">
        <v>1</v>
      </c>
      <c r="Q1726" s="237"/>
    </row>
    <row r="1727" spans="2:17" s="233" customFormat="1" ht="15" customHeight="1" outlineLevel="3">
      <c r="B1727" s="299" t="s">
        <v>268</v>
      </c>
      <c r="C1727" s="304" t="s">
        <v>1137</v>
      </c>
      <c r="D1727" s="685" t="s">
        <v>938</v>
      </c>
      <c r="E1727" s="306" t="s">
        <v>939</v>
      </c>
      <c r="F1727" s="307"/>
      <c r="G1727" s="297" t="s">
        <v>1137</v>
      </c>
      <c r="H1727" s="308" t="str">
        <f>CONCATENATE("AR-",G1727,"-",I1727)</f>
        <v>AR-L30P-1</v>
      </c>
      <c r="I1727" s="661">
        <v>1</v>
      </c>
      <c r="K1727" s="232"/>
      <c r="L1727" s="234">
        <v>1</v>
      </c>
      <c r="M1727" s="197">
        <v>1</v>
      </c>
      <c r="Q1727" s="237"/>
    </row>
    <row r="1728" spans="2:17" s="233" customFormat="1" ht="15" customHeight="1" outlineLevel="3">
      <c r="B1728" s="299"/>
      <c r="C1728" s="304"/>
      <c r="D1728" s="685"/>
      <c r="E1728" s="306" t="s">
        <v>277</v>
      </c>
      <c r="F1728" s="307"/>
      <c r="G1728" s="297"/>
      <c r="H1728" s="308"/>
      <c r="I1728" s="661"/>
      <c r="K1728" s="232"/>
      <c r="L1728" s="234"/>
      <c r="M1728" s="197"/>
      <c r="Q1728" s="237"/>
    </row>
    <row r="1729" spans="2:17" s="259" customFormat="1" ht="15" customHeight="1" outlineLevel="3">
      <c r="B1729" s="299" t="s">
        <v>1127</v>
      </c>
      <c r="C1729" s="304"/>
      <c r="D1729" s="685"/>
      <c r="E1729" s="306" t="s">
        <v>277</v>
      </c>
      <c r="F1729" s="307"/>
      <c r="G1729" s="297"/>
      <c r="H1729" s="308"/>
      <c r="I1729" s="661"/>
      <c r="K1729" s="258"/>
      <c r="L1729" s="242"/>
      <c r="M1729" s="197"/>
      <c r="Q1729" s="715"/>
    </row>
    <row r="1730" spans="2:17" s="233" customFormat="1" ht="15" customHeight="1" outlineLevel="3">
      <c r="B1730" s="299" t="s">
        <v>268</v>
      </c>
      <c r="C1730" s="304" t="s">
        <v>1137</v>
      </c>
      <c r="D1730" s="685">
        <v>7410</v>
      </c>
      <c r="E1730" s="306" t="s">
        <v>989</v>
      </c>
      <c r="F1730" s="307"/>
      <c r="G1730" s="297" t="s">
        <v>1137</v>
      </c>
      <c r="H1730" s="308" t="str">
        <f t="shared" ref="H1730:H1743" si="99">CONCATENATE("AR-",G1730,"-",I1730)</f>
        <v>AR-L30P-1</v>
      </c>
      <c r="I1730" s="661">
        <v>1</v>
      </c>
      <c r="K1730" s="232"/>
      <c r="L1730" s="234">
        <v>1</v>
      </c>
      <c r="M1730" s="197">
        <v>1</v>
      </c>
      <c r="Q1730" s="237"/>
    </row>
    <row r="1731" spans="2:17" s="233" customFormat="1" ht="15" customHeight="1" outlineLevel="3">
      <c r="B1731" s="299" t="s">
        <v>268</v>
      </c>
      <c r="C1731" s="304" t="s">
        <v>1137</v>
      </c>
      <c r="D1731" s="685">
        <v>7420</v>
      </c>
      <c r="E1731" s="306" t="s">
        <v>481</v>
      </c>
      <c r="F1731" s="307"/>
      <c r="G1731" s="297" t="s">
        <v>1137</v>
      </c>
      <c r="H1731" s="308" t="str">
        <f t="shared" si="99"/>
        <v>AR-L30P-1</v>
      </c>
      <c r="I1731" s="661">
        <v>1</v>
      </c>
      <c r="K1731" s="232"/>
      <c r="L1731" s="234">
        <v>1</v>
      </c>
      <c r="M1731" s="197">
        <v>1</v>
      </c>
      <c r="Q1731" s="237"/>
    </row>
    <row r="1732" spans="2:17" s="233" customFormat="1" ht="15" customHeight="1" outlineLevel="3">
      <c r="B1732" s="299" t="s">
        <v>268</v>
      </c>
      <c r="C1732" s="304" t="s">
        <v>1137</v>
      </c>
      <c r="D1732" s="685">
        <v>7430</v>
      </c>
      <c r="E1732" s="306" t="s">
        <v>482</v>
      </c>
      <c r="F1732" s="307"/>
      <c r="G1732" s="297" t="s">
        <v>1137</v>
      </c>
      <c r="H1732" s="308" t="str">
        <f t="shared" si="99"/>
        <v>AR-L30P-1</v>
      </c>
      <c r="I1732" s="661">
        <v>1</v>
      </c>
      <c r="K1732" s="232"/>
      <c r="L1732" s="234">
        <v>1</v>
      </c>
      <c r="M1732" s="197">
        <v>1</v>
      </c>
      <c r="Q1732" s="237"/>
    </row>
    <row r="1733" spans="2:17" s="233" customFormat="1" ht="15" customHeight="1" outlineLevel="3">
      <c r="B1733" s="299" t="s">
        <v>268</v>
      </c>
      <c r="C1733" s="304" t="s">
        <v>1137</v>
      </c>
      <c r="D1733" s="685">
        <v>7440</v>
      </c>
      <c r="E1733" s="306" t="s">
        <v>483</v>
      </c>
      <c r="F1733" s="307"/>
      <c r="G1733" s="297" t="s">
        <v>1137</v>
      </c>
      <c r="H1733" s="308" t="str">
        <f t="shared" si="99"/>
        <v>AR-L30P-1</v>
      </c>
      <c r="I1733" s="661">
        <v>1</v>
      </c>
      <c r="K1733" s="232"/>
      <c r="L1733" s="234">
        <v>1</v>
      </c>
      <c r="M1733" s="197">
        <v>1</v>
      </c>
      <c r="Q1733" s="237"/>
    </row>
    <row r="1734" spans="2:17" s="233" customFormat="1" ht="15" customHeight="1" outlineLevel="3">
      <c r="B1734" s="299" t="s">
        <v>268</v>
      </c>
      <c r="C1734" s="304" t="s">
        <v>1137</v>
      </c>
      <c r="D1734" s="685">
        <v>7450</v>
      </c>
      <c r="E1734" s="306" t="s">
        <v>990</v>
      </c>
      <c r="F1734" s="307"/>
      <c r="G1734" s="297" t="s">
        <v>1137</v>
      </c>
      <c r="H1734" s="308" t="str">
        <f t="shared" si="99"/>
        <v>AR-L30P-1</v>
      </c>
      <c r="I1734" s="661">
        <v>1</v>
      </c>
      <c r="K1734" s="232"/>
      <c r="L1734" s="234">
        <v>1</v>
      </c>
      <c r="M1734" s="197">
        <v>1</v>
      </c>
      <c r="Q1734" s="237"/>
    </row>
    <row r="1735" spans="2:17" s="233" customFormat="1" ht="15" customHeight="1" outlineLevel="3">
      <c r="B1735" s="299" t="s">
        <v>268</v>
      </c>
      <c r="C1735" s="304" t="s">
        <v>1137</v>
      </c>
      <c r="D1735" s="685">
        <v>7461</v>
      </c>
      <c r="E1735" s="306" t="s">
        <v>991</v>
      </c>
      <c r="F1735" s="307"/>
      <c r="G1735" s="297" t="s">
        <v>1137</v>
      </c>
      <c r="H1735" s="308" t="str">
        <f t="shared" si="99"/>
        <v>AR-L30P-1</v>
      </c>
      <c r="I1735" s="661">
        <v>1</v>
      </c>
      <c r="K1735" s="232"/>
      <c r="L1735" s="234">
        <v>1</v>
      </c>
      <c r="M1735" s="197">
        <v>1</v>
      </c>
      <c r="Q1735" s="237"/>
    </row>
    <row r="1736" spans="2:17" s="233" customFormat="1" ht="15" customHeight="1" outlineLevel="3">
      <c r="B1736" s="299" t="s">
        <v>268</v>
      </c>
      <c r="C1736" s="304" t="s">
        <v>1137</v>
      </c>
      <c r="D1736" s="685">
        <v>7462</v>
      </c>
      <c r="E1736" s="306" t="s">
        <v>992</v>
      </c>
      <c r="F1736" s="307"/>
      <c r="G1736" s="297" t="s">
        <v>1137</v>
      </c>
      <c r="H1736" s="308" t="str">
        <f t="shared" si="99"/>
        <v>AR-L30P-1</v>
      </c>
      <c r="I1736" s="661">
        <v>1</v>
      </c>
      <c r="K1736" s="232"/>
      <c r="L1736" s="234">
        <v>1</v>
      </c>
      <c r="M1736" s="197">
        <v>1</v>
      </c>
      <c r="Q1736" s="237"/>
    </row>
    <row r="1737" spans="2:17" s="233" customFormat="1" ht="15" customHeight="1" outlineLevel="3">
      <c r="B1737" s="299" t="s">
        <v>268</v>
      </c>
      <c r="C1737" s="304" t="s">
        <v>1137</v>
      </c>
      <c r="D1737" s="685">
        <v>7463</v>
      </c>
      <c r="E1737" s="306" t="s">
        <v>993</v>
      </c>
      <c r="F1737" s="307"/>
      <c r="G1737" s="297" t="s">
        <v>1137</v>
      </c>
      <c r="H1737" s="308" t="str">
        <f t="shared" si="99"/>
        <v>AR-L30P-1</v>
      </c>
      <c r="I1737" s="661">
        <v>1</v>
      </c>
      <c r="K1737" s="232"/>
      <c r="L1737" s="234">
        <v>1</v>
      </c>
      <c r="M1737" s="197">
        <v>1</v>
      </c>
      <c r="Q1737" s="237"/>
    </row>
    <row r="1738" spans="2:17" s="233" customFormat="1" ht="15" customHeight="1" outlineLevel="3">
      <c r="B1738" s="299" t="s">
        <v>268</v>
      </c>
      <c r="C1738" s="304" t="s">
        <v>1137</v>
      </c>
      <c r="D1738" s="685">
        <v>7470</v>
      </c>
      <c r="E1738" s="306" t="s">
        <v>484</v>
      </c>
      <c r="F1738" s="307"/>
      <c r="G1738" s="297" t="s">
        <v>1137</v>
      </c>
      <c r="H1738" s="308" t="str">
        <f t="shared" si="99"/>
        <v>AR-L30P-1</v>
      </c>
      <c r="I1738" s="661">
        <v>1</v>
      </c>
      <c r="K1738" s="232"/>
      <c r="L1738" s="234">
        <v>1</v>
      </c>
      <c r="M1738" s="197">
        <v>1</v>
      </c>
      <c r="Q1738" s="237"/>
    </row>
    <row r="1739" spans="2:17" s="233" customFormat="1" ht="15" customHeight="1" outlineLevel="3">
      <c r="B1739" s="299" t="s">
        <v>268</v>
      </c>
      <c r="C1739" s="304" t="s">
        <v>1137</v>
      </c>
      <c r="D1739" s="685">
        <v>7480</v>
      </c>
      <c r="E1739" s="306" t="s">
        <v>994</v>
      </c>
      <c r="F1739" s="307"/>
      <c r="G1739" s="297" t="s">
        <v>1137</v>
      </c>
      <c r="H1739" s="308" t="str">
        <f t="shared" si="99"/>
        <v>AR-L30P-1</v>
      </c>
      <c r="I1739" s="661">
        <v>1</v>
      </c>
      <c r="K1739" s="232"/>
      <c r="L1739" s="234">
        <v>1</v>
      </c>
      <c r="M1739" s="197">
        <v>1</v>
      </c>
      <c r="Q1739" s="237"/>
    </row>
    <row r="1740" spans="2:17" s="233" customFormat="1" ht="15" customHeight="1" outlineLevel="3">
      <c r="B1740" s="299" t="s">
        <v>268</v>
      </c>
      <c r="C1740" s="304" t="s">
        <v>1137</v>
      </c>
      <c r="D1740" s="685">
        <v>7490</v>
      </c>
      <c r="E1740" s="306" t="s">
        <v>995</v>
      </c>
      <c r="F1740" s="307"/>
      <c r="G1740" s="297" t="s">
        <v>1137</v>
      </c>
      <c r="H1740" s="308" t="str">
        <f t="shared" si="99"/>
        <v>AR-L30P-1</v>
      </c>
      <c r="I1740" s="661">
        <v>1</v>
      </c>
      <c r="K1740" s="232"/>
      <c r="L1740" s="234">
        <v>1</v>
      </c>
      <c r="M1740" s="197">
        <v>1</v>
      </c>
      <c r="Q1740" s="237"/>
    </row>
    <row r="1741" spans="2:17" s="233" customFormat="1" ht="15" customHeight="1" outlineLevel="3">
      <c r="B1741" s="299" t="s">
        <v>268</v>
      </c>
      <c r="C1741" s="304" t="s">
        <v>1137</v>
      </c>
      <c r="D1741" s="685">
        <v>7500</v>
      </c>
      <c r="E1741" s="306" t="s">
        <v>485</v>
      </c>
      <c r="F1741" s="307"/>
      <c r="G1741" s="297" t="s">
        <v>1137</v>
      </c>
      <c r="H1741" s="308" t="str">
        <f t="shared" si="99"/>
        <v>AR-L30P-1</v>
      </c>
      <c r="I1741" s="661">
        <v>1</v>
      </c>
      <c r="K1741" s="232"/>
      <c r="L1741" s="234">
        <v>1</v>
      </c>
      <c r="M1741" s="197">
        <v>1</v>
      </c>
      <c r="Q1741" s="237"/>
    </row>
    <row r="1742" spans="2:17" s="233" customFormat="1" ht="15" customHeight="1" outlineLevel="3">
      <c r="B1742" s="299" t="s">
        <v>268</v>
      </c>
      <c r="C1742" s="304" t="s">
        <v>1137</v>
      </c>
      <c r="D1742" s="685">
        <v>7510</v>
      </c>
      <c r="E1742" s="306" t="s">
        <v>996</v>
      </c>
      <c r="F1742" s="307"/>
      <c r="G1742" s="297" t="s">
        <v>1137</v>
      </c>
      <c r="H1742" s="308" t="str">
        <f t="shared" si="99"/>
        <v>AR-L30P-1</v>
      </c>
      <c r="I1742" s="661">
        <v>1</v>
      </c>
      <c r="K1742" s="232"/>
      <c r="L1742" s="234">
        <v>1</v>
      </c>
      <c r="M1742" s="197">
        <v>1</v>
      </c>
      <c r="Q1742" s="237"/>
    </row>
    <row r="1743" spans="2:17" s="233" customFormat="1" ht="15" customHeight="1" outlineLevel="3">
      <c r="B1743" s="299" t="s">
        <v>268</v>
      </c>
      <c r="C1743" s="304" t="s">
        <v>1137</v>
      </c>
      <c r="D1743" s="685" t="s">
        <v>997</v>
      </c>
      <c r="E1743" s="306" t="s">
        <v>998</v>
      </c>
      <c r="F1743" s="307"/>
      <c r="G1743" s="297" t="s">
        <v>1137</v>
      </c>
      <c r="H1743" s="308" t="str">
        <f t="shared" si="99"/>
        <v>AR-L30P-1</v>
      </c>
      <c r="I1743" s="661">
        <v>1</v>
      </c>
      <c r="K1743" s="232"/>
      <c r="L1743" s="234">
        <v>1</v>
      </c>
      <c r="M1743" s="197">
        <v>1</v>
      </c>
      <c r="Q1743" s="237"/>
    </row>
    <row r="1744" spans="2:17" s="233" customFormat="1" ht="3.6" customHeight="1" outlineLevel="1">
      <c r="B1744" s="299"/>
      <c r="C1744" s="304"/>
      <c r="D1744" s="685"/>
      <c r="E1744" s="306"/>
      <c r="F1744" s="307"/>
      <c r="G1744" s="297"/>
      <c r="H1744" s="308"/>
      <c r="I1744" s="661"/>
      <c r="K1744" s="232"/>
      <c r="L1744" s="234"/>
      <c r="M1744" s="197"/>
      <c r="Q1744" s="237"/>
    </row>
    <row r="1745" spans="2:19" s="243" customFormat="1" ht="15" customHeight="1" outlineLevel="1">
      <c r="B1745" s="299" t="s">
        <v>1138</v>
      </c>
      <c r="C1745" s="304"/>
      <c r="D1745" s="685"/>
      <c r="E1745" s="306"/>
      <c r="F1745" s="307"/>
      <c r="G1745" s="297"/>
      <c r="H1745" s="308"/>
      <c r="I1745" s="661"/>
      <c r="J1745" s="240"/>
      <c r="K1745" s="241"/>
      <c r="L1745" s="242"/>
      <c r="M1745" s="197"/>
      <c r="Q1745" s="708"/>
    </row>
    <row r="1746" spans="2:19" s="233" customFormat="1" ht="3" customHeight="1" outlineLevel="3">
      <c r="B1746" s="299"/>
      <c r="C1746" s="304"/>
      <c r="D1746" s="685"/>
      <c r="E1746" s="306" t="s">
        <v>277</v>
      </c>
      <c r="F1746" s="307"/>
      <c r="G1746" s="297"/>
      <c r="H1746" s="308"/>
      <c r="I1746" s="661"/>
      <c r="J1746" s="197"/>
      <c r="K1746" s="232"/>
      <c r="L1746" s="234"/>
      <c r="M1746" s="197"/>
      <c r="Q1746" s="237"/>
    </row>
    <row r="1747" spans="2:19" s="233" customFormat="1" ht="15" customHeight="1" outlineLevel="3">
      <c r="B1747" s="299" t="s">
        <v>942</v>
      </c>
      <c r="C1747" s="304"/>
      <c r="D1747" s="685"/>
      <c r="E1747" s="306" t="s">
        <v>277</v>
      </c>
      <c r="F1747" s="307"/>
      <c r="G1747" s="297"/>
      <c r="H1747" s="308"/>
      <c r="I1747" s="661"/>
      <c r="J1747" s="197"/>
      <c r="K1747" s="232"/>
      <c r="L1747" s="234"/>
      <c r="M1747" s="197"/>
      <c r="Q1747" s="237"/>
    </row>
    <row r="1748" spans="2:19" s="233" customFormat="1" ht="15" customHeight="1" outlineLevel="3">
      <c r="B1748" s="299" t="s">
        <v>268</v>
      </c>
      <c r="C1748" s="304" t="s">
        <v>1139</v>
      </c>
      <c r="D1748" s="685" t="s">
        <v>506</v>
      </c>
      <c r="E1748" s="306" t="s">
        <v>1045</v>
      </c>
      <c r="F1748" s="307"/>
      <c r="G1748" s="297" t="s">
        <v>1139</v>
      </c>
      <c r="H1748" s="308" t="str">
        <f t="shared" ref="H1748:H1753" si="100">CONCATENATE("AR-",G1748,"-",I1748)</f>
        <v>AR-L45P-1</v>
      </c>
      <c r="I1748" s="661">
        <v>1</v>
      </c>
      <c r="K1748" s="232"/>
      <c r="L1748" s="234">
        <v>1</v>
      </c>
      <c r="M1748" s="197">
        <v>1</v>
      </c>
      <c r="Q1748" s="764">
        <v>1</v>
      </c>
      <c r="S1748" s="197">
        <v>1</v>
      </c>
    </row>
    <row r="1749" spans="2:19" s="233" customFormat="1" ht="15" customHeight="1" outlineLevel="3">
      <c r="B1749" s="299" t="s">
        <v>268</v>
      </c>
      <c r="C1749" s="304" t="s">
        <v>1139</v>
      </c>
      <c r="D1749" s="685" t="s">
        <v>1046</v>
      </c>
      <c r="E1749" s="306" t="s">
        <v>1047</v>
      </c>
      <c r="F1749" s="307"/>
      <c r="G1749" s="297" t="s">
        <v>1139</v>
      </c>
      <c r="H1749" s="308" t="str">
        <f t="shared" si="100"/>
        <v>AR-L45P-1</v>
      </c>
      <c r="I1749" s="661">
        <v>1</v>
      </c>
      <c r="K1749" s="232"/>
      <c r="L1749" s="234">
        <v>1</v>
      </c>
      <c r="M1749" s="197">
        <v>1</v>
      </c>
      <c r="Q1749" s="764">
        <v>1</v>
      </c>
      <c r="S1749" s="197">
        <v>1</v>
      </c>
    </row>
    <row r="1750" spans="2:19" s="233" customFormat="1" ht="15" customHeight="1" outlineLevel="3">
      <c r="B1750" s="299" t="s">
        <v>268</v>
      </c>
      <c r="C1750" s="304" t="s">
        <v>1139</v>
      </c>
      <c r="D1750" s="685" t="s">
        <v>1048</v>
      </c>
      <c r="E1750" s="306" t="s">
        <v>1049</v>
      </c>
      <c r="F1750" s="307"/>
      <c r="G1750" s="297" t="s">
        <v>1139</v>
      </c>
      <c r="H1750" s="308" t="str">
        <f t="shared" si="100"/>
        <v>AR-L45P-1</v>
      </c>
      <c r="I1750" s="661">
        <v>1</v>
      </c>
      <c r="K1750" s="232"/>
      <c r="L1750" s="234">
        <v>1</v>
      </c>
      <c r="M1750" s="197">
        <v>1</v>
      </c>
      <c r="Q1750" s="764">
        <v>1</v>
      </c>
      <c r="S1750" s="197">
        <v>1</v>
      </c>
    </row>
    <row r="1751" spans="2:19" s="233" customFormat="1" ht="15" customHeight="1" outlineLevel="3">
      <c r="B1751" s="299" t="s">
        <v>268</v>
      </c>
      <c r="C1751" s="304" t="s">
        <v>1139</v>
      </c>
      <c r="D1751" s="685" t="s">
        <v>1050</v>
      </c>
      <c r="E1751" s="306" t="s">
        <v>1051</v>
      </c>
      <c r="F1751" s="307"/>
      <c r="G1751" s="297" t="s">
        <v>1139</v>
      </c>
      <c r="H1751" s="308" t="str">
        <f t="shared" si="100"/>
        <v>AR-L45P-1</v>
      </c>
      <c r="I1751" s="661">
        <v>1</v>
      </c>
      <c r="K1751" s="232"/>
      <c r="L1751" s="234">
        <v>1</v>
      </c>
      <c r="M1751" s="197">
        <v>1</v>
      </c>
      <c r="Q1751" s="764">
        <v>1</v>
      </c>
      <c r="S1751" s="197">
        <v>1</v>
      </c>
    </row>
    <row r="1752" spans="2:19" s="233" customFormat="1" ht="15" customHeight="1" outlineLevel="3">
      <c r="B1752" s="299" t="s">
        <v>268</v>
      </c>
      <c r="C1752" s="304" t="s">
        <v>1139</v>
      </c>
      <c r="D1752" s="685" t="s">
        <v>1052</v>
      </c>
      <c r="E1752" s="306" t="s">
        <v>1053</v>
      </c>
      <c r="F1752" s="307"/>
      <c r="G1752" s="297" t="s">
        <v>1139</v>
      </c>
      <c r="H1752" s="308" t="str">
        <f t="shared" si="100"/>
        <v>AR-L45P-1</v>
      </c>
      <c r="I1752" s="661">
        <v>1</v>
      </c>
      <c r="K1752" s="232"/>
      <c r="L1752" s="234">
        <v>1</v>
      </c>
      <c r="M1752" s="197">
        <v>1</v>
      </c>
      <c r="Q1752" s="764">
        <v>1</v>
      </c>
      <c r="S1752" s="197">
        <v>1</v>
      </c>
    </row>
    <row r="1753" spans="2:19" s="233" customFormat="1" ht="15" customHeight="1" outlineLevel="3">
      <c r="B1753" s="299" t="s">
        <v>268</v>
      </c>
      <c r="C1753" s="304" t="s">
        <v>1139</v>
      </c>
      <c r="D1753" s="685" t="s">
        <v>1054</v>
      </c>
      <c r="E1753" s="306" t="s">
        <v>1055</v>
      </c>
      <c r="F1753" s="307"/>
      <c r="G1753" s="297" t="s">
        <v>1139</v>
      </c>
      <c r="H1753" s="308" t="str">
        <f t="shared" si="100"/>
        <v>AR-L45P-1</v>
      </c>
      <c r="I1753" s="661">
        <v>1</v>
      </c>
      <c r="K1753" s="232"/>
      <c r="L1753" s="234">
        <v>1</v>
      </c>
      <c r="M1753" s="197">
        <v>1</v>
      </c>
      <c r="Q1753" s="764">
        <v>1</v>
      </c>
      <c r="S1753" s="197">
        <v>1</v>
      </c>
    </row>
    <row r="1754" spans="2:19" s="233" customFormat="1" ht="15" customHeight="1" outlineLevel="3">
      <c r="B1754" s="299"/>
      <c r="C1754" s="304"/>
      <c r="D1754" s="685"/>
      <c r="E1754" s="306" t="s">
        <v>277</v>
      </c>
      <c r="F1754" s="307"/>
      <c r="G1754" s="297"/>
      <c r="H1754" s="308"/>
      <c r="I1754" s="661"/>
      <c r="K1754" s="232"/>
      <c r="L1754" s="234"/>
      <c r="M1754" s="197"/>
      <c r="Q1754" s="764"/>
      <c r="S1754" s="197"/>
    </row>
    <row r="1755" spans="2:19" s="233" customFormat="1" ht="15" customHeight="1" outlineLevel="3">
      <c r="B1755" s="299" t="s">
        <v>1056</v>
      </c>
      <c r="C1755" s="304"/>
      <c r="D1755" s="685"/>
      <c r="E1755" s="306" t="s">
        <v>277</v>
      </c>
      <c r="F1755" s="307"/>
      <c r="G1755" s="297"/>
      <c r="H1755" s="308"/>
      <c r="I1755" s="661"/>
      <c r="K1755" s="232"/>
      <c r="L1755" s="234"/>
      <c r="M1755" s="197"/>
      <c r="Q1755" s="764"/>
      <c r="S1755" s="197"/>
    </row>
    <row r="1756" spans="2:19" s="233" customFormat="1" ht="15" customHeight="1" outlineLevel="3">
      <c r="B1756" s="299" t="s">
        <v>268</v>
      </c>
      <c r="C1756" s="304" t="s">
        <v>1139</v>
      </c>
      <c r="D1756" s="685" t="s">
        <v>372</v>
      </c>
      <c r="E1756" s="306" t="s">
        <v>373</v>
      </c>
      <c r="F1756" s="307"/>
      <c r="G1756" s="297" t="s">
        <v>1139</v>
      </c>
      <c r="H1756" s="308" t="str">
        <f>CONCATENATE("AR-",G1756,"-",I1756)</f>
        <v>AR-L45P-1</v>
      </c>
      <c r="I1756" s="661">
        <v>1</v>
      </c>
      <c r="K1756" s="232"/>
      <c r="L1756" s="234">
        <v>1</v>
      </c>
      <c r="M1756" s="197">
        <v>1</v>
      </c>
      <c r="Q1756" s="764">
        <v>1</v>
      </c>
      <c r="S1756" s="197">
        <v>1</v>
      </c>
    </row>
    <row r="1757" spans="2:19" s="233" customFormat="1" ht="15" customHeight="1" outlineLevel="3">
      <c r="B1757" s="299" t="s">
        <v>268</v>
      </c>
      <c r="C1757" s="304" t="s">
        <v>1139</v>
      </c>
      <c r="D1757" s="685" t="s">
        <v>374</v>
      </c>
      <c r="E1757" s="306" t="s">
        <v>1058</v>
      </c>
      <c r="F1757" s="307"/>
      <c r="G1757" s="297" t="s">
        <v>1139</v>
      </c>
      <c r="H1757" s="308" t="str">
        <f>CONCATENATE("AR-",G1757,"-",I1757)</f>
        <v>AR-L45P-1</v>
      </c>
      <c r="I1757" s="661">
        <v>1</v>
      </c>
      <c r="K1757" s="232"/>
      <c r="L1757" s="234">
        <v>1</v>
      </c>
      <c r="M1757" s="197">
        <v>1</v>
      </c>
      <c r="Q1757" s="764">
        <v>1</v>
      </c>
      <c r="S1757" s="197">
        <v>1</v>
      </c>
    </row>
    <row r="1758" spans="2:19" s="262" customFormat="1" ht="15" customHeight="1" outlineLevel="3">
      <c r="B1758" s="299" t="s">
        <v>268</v>
      </c>
      <c r="C1758" s="304" t="s">
        <v>1139</v>
      </c>
      <c r="D1758" s="685" t="s">
        <v>376</v>
      </c>
      <c r="E1758" s="306" t="s">
        <v>1059</v>
      </c>
      <c r="F1758" s="307"/>
      <c r="G1758" s="297" t="s">
        <v>1139</v>
      </c>
      <c r="H1758" s="308" t="str">
        <f>CONCATENATE("AR-",G1758,"-",I1758)</f>
        <v>AR-L45P-1</v>
      </c>
      <c r="I1758" s="661">
        <v>1</v>
      </c>
      <c r="K1758" s="260"/>
      <c r="L1758" s="234">
        <v>1</v>
      </c>
      <c r="M1758" s="197">
        <v>1</v>
      </c>
      <c r="Q1758" s="765">
        <v>1</v>
      </c>
      <c r="S1758" s="197">
        <v>1</v>
      </c>
    </row>
    <row r="1759" spans="2:19" s="233" customFormat="1" ht="15" customHeight="1" outlineLevel="3">
      <c r="B1759" s="299"/>
      <c r="C1759" s="304"/>
      <c r="D1759" s="685"/>
      <c r="E1759" s="306" t="s">
        <v>277</v>
      </c>
      <c r="F1759" s="307"/>
      <c r="G1759" s="297"/>
      <c r="H1759" s="308"/>
      <c r="I1759" s="661"/>
      <c r="K1759" s="232"/>
      <c r="L1759" s="234"/>
      <c r="M1759" s="197"/>
      <c r="Q1759" s="764"/>
      <c r="S1759" s="197"/>
    </row>
    <row r="1760" spans="2:19" s="233" customFormat="1" ht="15" customHeight="1" outlineLevel="3">
      <c r="B1760" s="299" t="s">
        <v>1060</v>
      </c>
      <c r="C1760" s="304"/>
      <c r="D1760" s="685"/>
      <c r="E1760" s="306" t="s">
        <v>277</v>
      </c>
      <c r="F1760" s="307"/>
      <c r="G1760" s="297"/>
      <c r="H1760" s="308"/>
      <c r="I1760" s="661"/>
      <c r="K1760" s="232"/>
      <c r="L1760" s="234"/>
      <c r="M1760" s="197"/>
      <c r="Q1760" s="764"/>
      <c r="S1760" s="197"/>
    </row>
    <row r="1761" spans="2:19" s="233" customFormat="1" ht="15" customHeight="1" outlineLevel="3">
      <c r="B1761" s="299" t="s">
        <v>268</v>
      </c>
      <c r="C1761" s="304" t="s">
        <v>1139</v>
      </c>
      <c r="D1761" s="685" t="s">
        <v>701</v>
      </c>
      <c r="E1761" s="306" t="s">
        <v>1061</v>
      </c>
      <c r="F1761" s="307"/>
      <c r="G1761" s="297" t="s">
        <v>1139</v>
      </c>
      <c r="H1761" s="308" t="str">
        <f>CONCATENATE("AR-",G1761,"-",I1761)</f>
        <v>AR-L45P-1</v>
      </c>
      <c r="I1761" s="661">
        <v>1</v>
      </c>
      <c r="K1761" s="232"/>
      <c r="L1761" s="234">
        <v>1</v>
      </c>
      <c r="M1761" s="197">
        <v>1</v>
      </c>
      <c r="Q1761" s="764">
        <v>1</v>
      </c>
      <c r="S1761" s="197">
        <v>1</v>
      </c>
    </row>
    <row r="1762" spans="2:19" s="233" customFormat="1" ht="15" customHeight="1" outlineLevel="3">
      <c r="B1762" s="299" t="s">
        <v>268</v>
      </c>
      <c r="C1762" s="304" t="s">
        <v>1139</v>
      </c>
      <c r="D1762" s="685" t="s">
        <v>1062</v>
      </c>
      <c r="E1762" s="306" t="s">
        <v>1063</v>
      </c>
      <c r="F1762" s="307"/>
      <c r="G1762" s="297" t="s">
        <v>1139</v>
      </c>
      <c r="H1762" s="308" t="str">
        <f>CONCATENATE("AR-",G1762,"-",I1762)</f>
        <v>AR-L45P-1</v>
      </c>
      <c r="I1762" s="661">
        <v>1</v>
      </c>
      <c r="K1762" s="232"/>
      <c r="L1762" s="234">
        <v>1</v>
      </c>
      <c r="M1762" s="197">
        <v>1</v>
      </c>
      <c r="Q1762" s="764">
        <v>1</v>
      </c>
      <c r="S1762" s="197">
        <v>1</v>
      </c>
    </row>
    <row r="1763" spans="2:19" s="233" customFormat="1" ht="15" customHeight="1" outlineLevel="3">
      <c r="B1763" s="299"/>
      <c r="C1763" s="304"/>
      <c r="D1763" s="685"/>
      <c r="E1763" s="306" t="s">
        <v>277</v>
      </c>
      <c r="F1763" s="307"/>
      <c r="G1763" s="297"/>
      <c r="H1763" s="308"/>
      <c r="I1763" s="661"/>
      <c r="K1763" s="232"/>
      <c r="L1763" s="234"/>
      <c r="M1763" s="197"/>
      <c r="Q1763" s="764"/>
      <c r="S1763" s="197"/>
    </row>
    <row r="1764" spans="2:19" s="233" customFormat="1" ht="15" customHeight="1" outlineLevel="3">
      <c r="B1764" s="299" t="s">
        <v>1064</v>
      </c>
      <c r="C1764" s="304"/>
      <c r="D1764" s="685"/>
      <c r="E1764" s="306" t="s">
        <v>277</v>
      </c>
      <c r="F1764" s="307"/>
      <c r="G1764" s="297"/>
      <c r="H1764" s="308"/>
      <c r="I1764" s="661"/>
      <c r="K1764" s="232"/>
      <c r="L1764" s="234"/>
      <c r="M1764" s="197"/>
      <c r="Q1764" s="764"/>
      <c r="S1764" s="197"/>
    </row>
    <row r="1765" spans="2:19" s="233" customFormat="1" ht="15" customHeight="1" outlineLevel="3">
      <c r="B1765" s="299" t="s">
        <v>268</v>
      </c>
      <c r="C1765" s="304" t="s">
        <v>1139</v>
      </c>
      <c r="D1765" s="685" t="s">
        <v>283</v>
      </c>
      <c r="E1765" s="306" t="s">
        <v>1065</v>
      </c>
      <c r="F1765" s="307"/>
      <c r="G1765" s="297" t="s">
        <v>1139</v>
      </c>
      <c r="H1765" s="308" t="str">
        <f>CONCATENATE("AR-",G1765,"-",I1765)</f>
        <v>AR-L45P-1</v>
      </c>
      <c r="I1765" s="661">
        <v>1</v>
      </c>
      <c r="K1765" s="232"/>
      <c r="L1765" s="234">
        <v>1</v>
      </c>
      <c r="M1765" s="197">
        <v>1</v>
      </c>
      <c r="Q1765" s="764">
        <v>1</v>
      </c>
      <c r="S1765" s="197">
        <v>1</v>
      </c>
    </row>
    <row r="1766" spans="2:19" s="233" customFormat="1" ht="15" customHeight="1" outlineLevel="3">
      <c r="B1766" s="299" t="s">
        <v>268</v>
      </c>
      <c r="C1766" s="304" t="s">
        <v>1139</v>
      </c>
      <c r="D1766" s="685" t="s">
        <v>390</v>
      </c>
      <c r="E1766" s="306" t="s">
        <v>1066</v>
      </c>
      <c r="F1766" s="307"/>
      <c r="G1766" s="297" t="s">
        <v>1139</v>
      </c>
      <c r="H1766" s="308" t="str">
        <f>CONCATENATE("AR-",G1766,"-",I1766)</f>
        <v>AR-L45P-1</v>
      </c>
      <c r="I1766" s="661">
        <v>1</v>
      </c>
      <c r="K1766" s="232"/>
      <c r="L1766" s="234">
        <v>1</v>
      </c>
      <c r="M1766" s="197">
        <v>1</v>
      </c>
      <c r="Q1766" s="764">
        <v>1</v>
      </c>
      <c r="S1766" s="197">
        <v>1</v>
      </c>
    </row>
    <row r="1767" spans="2:19" s="233" customFormat="1" ht="15" customHeight="1" outlineLevel="3">
      <c r="B1767" s="299" t="s">
        <v>268</v>
      </c>
      <c r="C1767" s="304" t="s">
        <v>1139</v>
      </c>
      <c r="D1767" s="685" t="s">
        <v>392</v>
      </c>
      <c r="E1767" s="306" t="s">
        <v>1067</v>
      </c>
      <c r="F1767" s="307"/>
      <c r="G1767" s="297" t="s">
        <v>1139</v>
      </c>
      <c r="H1767" s="308" t="str">
        <f>CONCATENATE("AR-",G1767,"-",I1767)</f>
        <v>AR-L45P-1</v>
      </c>
      <c r="I1767" s="661">
        <v>1</v>
      </c>
      <c r="K1767" s="232"/>
      <c r="L1767" s="234">
        <v>1</v>
      </c>
      <c r="M1767" s="197">
        <v>1</v>
      </c>
      <c r="Q1767" s="764">
        <v>1</v>
      </c>
      <c r="S1767" s="197">
        <v>1</v>
      </c>
    </row>
    <row r="1768" spans="2:19" s="233" customFormat="1" ht="15" customHeight="1" outlineLevel="3">
      <c r="B1768" s="299" t="s">
        <v>268</v>
      </c>
      <c r="C1768" s="304" t="s">
        <v>1139</v>
      </c>
      <c r="D1768" s="685" t="s">
        <v>1068</v>
      </c>
      <c r="E1768" s="306" t="s">
        <v>1069</v>
      </c>
      <c r="F1768" s="307"/>
      <c r="G1768" s="297" t="s">
        <v>1139</v>
      </c>
      <c r="H1768" s="308" t="str">
        <f>CONCATENATE("AR-",G1768,"-",I1768)</f>
        <v>AR-L45P-1</v>
      </c>
      <c r="I1768" s="661">
        <v>1</v>
      </c>
      <c r="K1768" s="232"/>
      <c r="L1768" s="234">
        <v>1</v>
      </c>
      <c r="M1768" s="197">
        <v>1</v>
      </c>
      <c r="Q1768" s="764">
        <v>1</v>
      </c>
      <c r="S1768" s="197">
        <v>1</v>
      </c>
    </row>
    <row r="1769" spans="2:19" s="233" customFormat="1" ht="15" customHeight="1" outlineLevel="3">
      <c r="B1769" s="299"/>
      <c r="C1769" s="304"/>
      <c r="D1769" s="685"/>
      <c r="E1769" s="306" t="s">
        <v>277</v>
      </c>
      <c r="F1769" s="307"/>
      <c r="G1769" s="297"/>
      <c r="H1769" s="308"/>
      <c r="I1769" s="661"/>
      <c r="K1769" s="232"/>
      <c r="L1769" s="234"/>
      <c r="M1769" s="197"/>
      <c r="Q1769" s="764"/>
      <c r="S1769" s="197"/>
    </row>
    <row r="1770" spans="2:19" s="233" customFormat="1" ht="15" customHeight="1" outlineLevel="3">
      <c r="B1770" s="299" t="s">
        <v>1070</v>
      </c>
      <c r="C1770" s="304"/>
      <c r="D1770" s="685"/>
      <c r="E1770" s="306" t="s">
        <v>277</v>
      </c>
      <c r="F1770" s="307"/>
      <c r="G1770" s="297"/>
      <c r="H1770" s="308"/>
      <c r="I1770" s="661"/>
      <c r="K1770" s="232"/>
      <c r="L1770" s="234"/>
      <c r="M1770" s="197"/>
      <c r="Q1770" s="764"/>
      <c r="S1770" s="197"/>
    </row>
    <row r="1771" spans="2:19" s="233" customFormat="1" ht="15" customHeight="1" outlineLevel="3">
      <c r="B1771" s="299" t="s">
        <v>268</v>
      </c>
      <c r="C1771" s="304" t="s">
        <v>1139</v>
      </c>
      <c r="D1771" s="685" t="s">
        <v>291</v>
      </c>
      <c r="E1771" s="306" t="s">
        <v>1071</v>
      </c>
      <c r="F1771" s="307"/>
      <c r="G1771" s="297" t="s">
        <v>1139</v>
      </c>
      <c r="H1771" s="308" t="str">
        <f>CONCATENATE("AR-",G1771,"-",I1771)</f>
        <v>AR-L45P-1</v>
      </c>
      <c r="I1771" s="661">
        <v>1</v>
      </c>
      <c r="K1771" s="232"/>
      <c r="L1771" s="234">
        <v>1</v>
      </c>
      <c r="M1771" s="197">
        <v>1</v>
      </c>
      <c r="Q1771" s="764">
        <v>1</v>
      </c>
      <c r="S1771" s="197">
        <v>1</v>
      </c>
    </row>
    <row r="1772" spans="2:19" s="233" customFormat="1" ht="15" customHeight="1" outlineLevel="3">
      <c r="B1772" s="299" t="s">
        <v>268</v>
      </c>
      <c r="C1772" s="304" t="s">
        <v>1139</v>
      </c>
      <c r="D1772" s="685" t="s">
        <v>950</v>
      </c>
      <c r="E1772" s="306" t="s">
        <v>1072</v>
      </c>
      <c r="F1772" s="307"/>
      <c r="G1772" s="297" t="s">
        <v>1139</v>
      </c>
      <c r="H1772" s="308" t="str">
        <f>CONCATENATE("AR-",G1772,"-",I1772)</f>
        <v>AR-L45P-1</v>
      </c>
      <c r="I1772" s="661">
        <v>1</v>
      </c>
      <c r="K1772" s="232"/>
      <c r="L1772" s="234">
        <v>1</v>
      </c>
      <c r="M1772" s="197">
        <v>1</v>
      </c>
      <c r="Q1772" s="764">
        <v>1</v>
      </c>
      <c r="S1772" s="197">
        <v>1</v>
      </c>
    </row>
    <row r="1773" spans="2:19" s="233" customFormat="1" ht="15" customHeight="1" outlineLevel="3">
      <c r="B1773" s="299"/>
      <c r="C1773" s="304"/>
      <c r="D1773" s="685"/>
      <c r="E1773" s="306" t="s">
        <v>277</v>
      </c>
      <c r="F1773" s="307"/>
      <c r="G1773" s="297"/>
      <c r="H1773" s="308"/>
      <c r="I1773" s="661"/>
      <c r="K1773" s="232"/>
      <c r="L1773" s="234"/>
      <c r="M1773" s="197"/>
      <c r="Q1773" s="764"/>
      <c r="S1773" s="197"/>
    </row>
    <row r="1774" spans="2:19" s="259" customFormat="1" ht="15" customHeight="1" outlineLevel="3">
      <c r="B1774" s="299" t="s">
        <v>1073</v>
      </c>
      <c r="C1774" s="304"/>
      <c r="D1774" s="685"/>
      <c r="E1774" s="306" t="s">
        <v>277</v>
      </c>
      <c r="F1774" s="307"/>
      <c r="G1774" s="297"/>
      <c r="H1774" s="308"/>
      <c r="I1774" s="661"/>
      <c r="K1774" s="258"/>
      <c r="L1774" s="242"/>
      <c r="M1774" s="197"/>
      <c r="Q1774" s="711"/>
      <c r="S1774" s="197"/>
    </row>
    <row r="1775" spans="2:19" s="233" customFormat="1" ht="15" customHeight="1" outlineLevel="3">
      <c r="B1775" s="299" t="s">
        <v>268</v>
      </c>
      <c r="C1775" s="304" t="s">
        <v>1139</v>
      </c>
      <c r="D1775" s="685" t="s">
        <v>551</v>
      </c>
      <c r="E1775" s="306" t="s">
        <v>1074</v>
      </c>
      <c r="F1775" s="307"/>
      <c r="G1775" s="297" t="s">
        <v>1139</v>
      </c>
      <c r="H1775" s="308" t="str">
        <f>CONCATENATE("AR-",G1775,"-",I1775)</f>
        <v>AR-L45P-1</v>
      </c>
      <c r="I1775" s="661">
        <v>1</v>
      </c>
      <c r="K1775" s="232"/>
      <c r="L1775" s="234">
        <v>1</v>
      </c>
      <c r="M1775" s="197">
        <v>1</v>
      </c>
      <c r="Q1775" s="764">
        <v>1</v>
      </c>
      <c r="S1775" s="197">
        <v>1</v>
      </c>
    </row>
    <row r="1776" spans="2:19" s="233" customFormat="1" ht="15" customHeight="1" outlineLevel="3">
      <c r="B1776" s="299" t="s">
        <v>268</v>
      </c>
      <c r="C1776" s="304" t="s">
        <v>1139</v>
      </c>
      <c r="D1776" s="685" t="s">
        <v>553</v>
      </c>
      <c r="E1776" s="306" t="s">
        <v>1075</v>
      </c>
      <c r="F1776" s="307"/>
      <c r="G1776" s="297" t="s">
        <v>1139</v>
      </c>
      <c r="H1776" s="308" t="str">
        <f>CONCATENATE("AR-",G1776,"-",I1776)</f>
        <v>AR-L45P-1</v>
      </c>
      <c r="I1776" s="661">
        <v>1</v>
      </c>
      <c r="K1776" s="232"/>
      <c r="L1776" s="234">
        <v>1</v>
      </c>
      <c r="M1776" s="197">
        <v>1</v>
      </c>
      <c r="Q1776" s="764">
        <v>1</v>
      </c>
      <c r="S1776" s="197">
        <v>1</v>
      </c>
    </row>
    <row r="1777" spans="2:19" s="233" customFormat="1" ht="15" customHeight="1" outlineLevel="3">
      <c r="B1777" s="299" t="s">
        <v>268</v>
      </c>
      <c r="C1777" s="304" t="s">
        <v>1139</v>
      </c>
      <c r="D1777" s="685" t="s">
        <v>554</v>
      </c>
      <c r="E1777" s="306" t="s">
        <v>1076</v>
      </c>
      <c r="F1777" s="307"/>
      <c r="G1777" s="297" t="s">
        <v>1139</v>
      </c>
      <c r="H1777" s="308" t="str">
        <f>CONCATENATE("AR-",G1777,"-",I1777)</f>
        <v>AR-L45P-1</v>
      </c>
      <c r="I1777" s="661">
        <v>1</v>
      </c>
      <c r="K1777" s="232"/>
      <c r="L1777" s="234">
        <v>1</v>
      </c>
      <c r="M1777" s="197">
        <v>1</v>
      </c>
      <c r="Q1777" s="764">
        <v>1</v>
      </c>
      <c r="S1777" s="197">
        <v>1</v>
      </c>
    </row>
    <row r="1778" spans="2:19" s="233" customFormat="1" ht="15" customHeight="1" outlineLevel="3">
      <c r="B1778" s="299"/>
      <c r="C1778" s="304"/>
      <c r="D1778" s="685"/>
      <c r="E1778" s="306" t="s">
        <v>277</v>
      </c>
      <c r="F1778" s="307"/>
      <c r="G1778" s="297"/>
      <c r="H1778" s="308"/>
      <c r="I1778" s="661"/>
      <c r="K1778" s="232"/>
      <c r="L1778" s="234"/>
      <c r="M1778" s="197"/>
      <c r="Q1778" s="764"/>
      <c r="S1778" s="197"/>
    </row>
    <row r="1779" spans="2:19" s="233" customFormat="1" ht="15" customHeight="1" outlineLevel="3">
      <c r="B1779" s="299" t="s">
        <v>1077</v>
      </c>
      <c r="C1779" s="304"/>
      <c r="D1779" s="685"/>
      <c r="E1779" s="306" t="s">
        <v>277</v>
      </c>
      <c r="F1779" s="307"/>
      <c r="G1779" s="297"/>
      <c r="H1779" s="308"/>
      <c r="I1779" s="661"/>
      <c r="K1779" s="232"/>
      <c r="L1779" s="234"/>
      <c r="M1779" s="197"/>
      <c r="Q1779" s="764"/>
      <c r="S1779" s="197"/>
    </row>
    <row r="1780" spans="2:19" s="233" customFormat="1" ht="15" customHeight="1" outlineLevel="3">
      <c r="B1780" s="299" t="s">
        <v>268</v>
      </c>
      <c r="C1780" s="304" t="s">
        <v>1139</v>
      </c>
      <c r="D1780" s="685" t="s">
        <v>683</v>
      </c>
      <c r="E1780" s="306" t="s">
        <v>1078</v>
      </c>
      <c r="F1780" s="307"/>
      <c r="G1780" s="297" t="s">
        <v>1139</v>
      </c>
      <c r="H1780" s="308" t="str">
        <f>CONCATENATE("AR-",G1780,"-",I1780)</f>
        <v>AR-L45P-1</v>
      </c>
      <c r="I1780" s="661">
        <v>1</v>
      </c>
      <c r="K1780" s="232"/>
      <c r="L1780" s="234">
        <v>1</v>
      </c>
      <c r="M1780" s="197">
        <v>1</v>
      </c>
      <c r="Q1780" s="764">
        <v>1</v>
      </c>
      <c r="S1780" s="197">
        <v>1</v>
      </c>
    </row>
    <row r="1781" spans="2:19" s="233" customFormat="1" ht="15" customHeight="1" outlineLevel="3">
      <c r="B1781" s="299" t="s">
        <v>268</v>
      </c>
      <c r="C1781" s="304" t="s">
        <v>1139</v>
      </c>
      <c r="D1781" s="685" t="s">
        <v>1023</v>
      </c>
      <c r="E1781" s="306" t="s">
        <v>1079</v>
      </c>
      <c r="F1781" s="307"/>
      <c r="G1781" s="297" t="s">
        <v>1139</v>
      </c>
      <c r="H1781" s="308" t="str">
        <f>CONCATENATE("AR-",G1781,"-",I1781)</f>
        <v>AR-L45P-1</v>
      </c>
      <c r="I1781" s="661">
        <v>1</v>
      </c>
      <c r="K1781" s="232"/>
      <c r="L1781" s="234">
        <v>1</v>
      </c>
      <c r="M1781" s="197">
        <v>1</v>
      </c>
      <c r="Q1781" s="764">
        <v>1</v>
      </c>
      <c r="S1781" s="197">
        <v>1</v>
      </c>
    </row>
    <row r="1782" spans="2:19" s="233" customFormat="1" ht="15" customHeight="1" outlineLevel="3">
      <c r="B1782" s="299" t="s">
        <v>268</v>
      </c>
      <c r="C1782" s="304" t="s">
        <v>1139</v>
      </c>
      <c r="D1782" s="685" t="s">
        <v>1025</v>
      </c>
      <c r="E1782" s="306" t="s">
        <v>1080</v>
      </c>
      <c r="F1782" s="307"/>
      <c r="G1782" s="297" t="s">
        <v>1139</v>
      </c>
      <c r="H1782" s="308" t="str">
        <f>CONCATENATE("AR-",G1782,"-",I1782)</f>
        <v>AR-L45P-1</v>
      </c>
      <c r="I1782" s="661">
        <v>1</v>
      </c>
      <c r="K1782" s="232"/>
      <c r="L1782" s="234">
        <v>1</v>
      </c>
      <c r="M1782" s="197">
        <v>1</v>
      </c>
      <c r="Q1782" s="764">
        <v>1</v>
      </c>
      <c r="S1782" s="197">
        <v>1</v>
      </c>
    </row>
    <row r="1783" spans="2:19" s="233" customFormat="1" ht="15" customHeight="1" outlineLevel="3">
      <c r="B1783" s="299"/>
      <c r="C1783" s="304"/>
      <c r="D1783" s="685"/>
      <c r="E1783" s="306" t="s">
        <v>277</v>
      </c>
      <c r="F1783" s="307"/>
      <c r="G1783" s="297"/>
      <c r="H1783" s="308"/>
      <c r="I1783" s="661"/>
      <c r="K1783" s="232"/>
      <c r="L1783" s="234"/>
      <c r="M1783" s="197"/>
      <c r="Q1783" s="764"/>
      <c r="S1783" s="197"/>
    </row>
    <row r="1784" spans="2:19" s="259" customFormat="1" ht="15" customHeight="1" outlineLevel="3">
      <c r="B1784" s="299" t="s">
        <v>1085</v>
      </c>
      <c r="C1784" s="304"/>
      <c r="D1784" s="685"/>
      <c r="E1784" s="306" t="s">
        <v>277</v>
      </c>
      <c r="F1784" s="307"/>
      <c r="G1784" s="297"/>
      <c r="H1784" s="308"/>
      <c r="I1784" s="661"/>
      <c r="K1784" s="258"/>
      <c r="L1784" s="242"/>
      <c r="M1784" s="197"/>
      <c r="Q1784" s="711"/>
      <c r="S1784" s="197"/>
    </row>
    <row r="1785" spans="2:19" s="259" customFormat="1" ht="15" customHeight="1" outlineLevel="3">
      <c r="B1785" s="299" t="s">
        <v>268</v>
      </c>
      <c r="C1785" s="304" t="s">
        <v>1139</v>
      </c>
      <c r="D1785" s="685" t="s">
        <v>1086</v>
      </c>
      <c r="E1785" s="306" t="s">
        <v>1087</v>
      </c>
      <c r="F1785" s="307"/>
      <c r="G1785" s="297" t="s">
        <v>1139</v>
      </c>
      <c r="H1785" s="308" t="str">
        <f>CONCATENATE("AR-",G1785,"-",I1785)</f>
        <v>AR-L45P-1</v>
      </c>
      <c r="I1785" s="661">
        <v>1</v>
      </c>
      <c r="K1785" s="258"/>
      <c r="L1785" s="234">
        <v>1</v>
      </c>
      <c r="M1785" s="197">
        <v>1</v>
      </c>
      <c r="Q1785" s="711">
        <v>1</v>
      </c>
      <c r="S1785" s="197">
        <v>1</v>
      </c>
    </row>
    <row r="1786" spans="2:19" s="233" customFormat="1" ht="15" customHeight="1" outlineLevel="3">
      <c r="B1786" s="299" t="s">
        <v>268</v>
      </c>
      <c r="C1786" s="304" t="s">
        <v>1139</v>
      </c>
      <c r="D1786" s="685" t="s">
        <v>320</v>
      </c>
      <c r="E1786" s="306" t="s">
        <v>1088</v>
      </c>
      <c r="F1786" s="307"/>
      <c r="G1786" s="297" t="s">
        <v>1139</v>
      </c>
      <c r="H1786" s="308" t="str">
        <f>CONCATENATE("AR-",G1786,"-",I1786)</f>
        <v>AR-L45P-1</v>
      </c>
      <c r="I1786" s="661">
        <v>1</v>
      </c>
      <c r="K1786" s="232"/>
      <c r="L1786" s="234">
        <v>1</v>
      </c>
      <c r="M1786" s="197">
        <v>1</v>
      </c>
      <c r="Q1786" s="764">
        <v>1</v>
      </c>
      <c r="S1786" s="197">
        <v>1</v>
      </c>
    </row>
    <row r="1787" spans="2:19" s="233" customFormat="1" ht="15" customHeight="1" outlineLevel="3">
      <c r="B1787" s="299" t="s">
        <v>268</v>
      </c>
      <c r="C1787" s="304" t="s">
        <v>1139</v>
      </c>
      <c r="D1787" s="685" t="s">
        <v>1089</v>
      </c>
      <c r="E1787" s="306" t="s">
        <v>1090</v>
      </c>
      <c r="F1787" s="307"/>
      <c r="G1787" s="297" t="s">
        <v>1139</v>
      </c>
      <c r="H1787" s="308" t="str">
        <f>CONCATENATE("AR-",G1787,"-",I1787)</f>
        <v>AR-L45P-1</v>
      </c>
      <c r="I1787" s="661">
        <v>1</v>
      </c>
      <c r="K1787" s="232"/>
      <c r="L1787" s="234">
        <v>1</v>
      </c>
      <c r="M1787" s="197">
        <v>1</v>
      </c>
      <c r="Q1787" s="764">
        <v>1</v>
      </c>
      <c r="S1787" s="197">
        <v>1</v>
      </c>
    </row>
    <row r="1788" spans="2:19" s="233" customFormat="1" ht="15" customHeight="1" outlineLevel="3">
      <c r="B1788" s="299" t="s">
        <v>268</v>
      </c>
      <c r="C1788" s="304" t="s">
        <v>1139</v>
      </c>
      <c r="D1788" s="685" t="s">
        <v>1091</v>
      </c>
      <c r="E1788" s="306" t="s">
        <v>1092</v>
      </c>
      <c r="F1788" s="307"/>
      <c r="G1788" s="297" t="s">
        <v>1139</v>
      </c>
      <c r="H1788" s="308" t="str">
        <f>CONCATENATE("AR-",G1788,"-",I1788)</f>
        <v>AR-L45P-1</v>
      </c>
      <c r="I1788" s="661">
        <v>1</v>
      </c>
      <c r="K1788" s="232"/>
      <c r="L1788" s="234">
        <v>1</v>
      </c>
      <c r="M1788" s="197">
        <v>1</v>
      </c>
      <c r="Q1788" s="764">
        <v>1</v>
      </c>
      <c r="S1788" s="197">
        <v>1</v>
      </c>
    </row>
    <row r="1789" spans="2:19" s="233" customFormat="1" ht="15" customHeight="1" outlineLevel="3">
      <c r="B1789" s="299"/>
      <c r="C1789" s="304"/>
      <c r="D1789" s="685"/>
      <c r="E1789" s="306" t="s">
        <v>277</v>
      </c>
      <c r="F1789" s="307"/>
      <c r="G1789" s="297"/>
      <c r="H1789" s="308"/>
      <c r="I1789" s="661"/>
      <c r="K1789" s="232"/>
      <c r="L1789" s="234"/>
      <c r="M1789" s="197"/>
      <c r="Q1789" s="764"/>
      <c r="S1789" s="197"/>
    </row>
    <row r="1790" spans="2:19" s="259" customFormat="1" ht="15" customHeight="1" outlineLevel="3">
      <c r="B1790" s="299" t="s">
        <v>1093</v>
      </c>
      <c r="C1790" s="304"/>
      <c r="D1790" s="685"/>
      <c r="E1790" s="306" t="s">
        <v>277</v>
      </c>
      <c r="F1790" s="307"/>
      <c r="G1790" s="297"/>
      <c r="H1790" s="308"/>
      <c r="I1790" s="661"/>
      <c r="K1790" s="258"/>
      <c r="L1790" s="242"/>
      <c r="M1790" s="197"/>
      <c r="Q1790" s="711"/>
      <c r="S1790" s="197"/>
    </row>
    <row r="1791" spans="2:19" s="233" customFormat="1" ht="15" customHeight="1" outlineLevel="3">
      <c r="B1791" s="299" t="s">
        <v>268</v>
      </c>
      <c r="C1791" s="304" t="s">
        <v>1139</v>
      </c>
      <c r="D1791" s="685" t="s">
        <v>409</v>
      </c>
      <c r="E1791" s="306" t="s">
        <v>892</v>
      </c>
      <c r="F1791" s="307"/>
      <c r="G1791" s="297" t="s">
        <v>1139</v>
      </c>
      <c r="H1791" s="308" t="str">
        <f>CONCATENATE("AR-",G1791,"-",I1791)</f>
        <v>AR-L45P-1</v>
      </c>
      <c r="I1791" s="661">
        <v>1</v>
      </c>
      <c r="K1791" s="232"/>
      <c r="L1791" s="234">
        <v>1</v>
      </c>
      <c r="M1791" s="197">
        <v>1</v>
      </c>
      <c r="Q1791" s="764">
        <v>1</v>
      </c>
      <c r="S1791" s="197">
        <v>1</v>
      </c>
    </row>
    <row r="1792" spans="2:19" s="233" customFormat="1" ht="15" customHeight="1" outlineLevel="3">
      <c r="B1792" s="299" t="s">
        <v>268</v>
      </c>
      <c r="C1792" s="304" t="s">
        <v>1139</v>
      </c>
      <c r="D1792" s="685" t="s">
        <v>411</v>
      </c>
      <c r="E1792" s="306" t="s">
        <v>893</v>
      </c>
      <c r="F1792" s="307"/>
      <c r="G1792" s="297" t="s">
        <v>1139</v>
      </c>
      <c r="H1792" s="308" t="str">
        <f>CONCATENATE("AR-",G1792,"-",I1792)</f>
        <v>AR-L45P-1</v>
      </c>
      <c r="I1792" s="661">
        <v>1</v>
      </c>
      <c r="K1792" s="232"/>
      <c r="L1792" s="234">
        <v>1</v>
      </c>
      <c r="M1792" s="197">
        <v>1</v>
      </c>
      <c r="Q1792" s="764">
        <v>1</v>
      </c>
      <c r="S1792" s="197">
        <v>1</v>
      </c>
    </row>
    <row r="1793" spans="2:19" s="233" customFormat="1" ht="15" customHeight="1" outlineLevel="3">
      <c r="B1793" s="299" t="s">
        <v>268</v>
      </c>
      <c r="C1793" s="304" t="s">
        <v>1139</v>
      </c>
      <c r="D1793" s="685" t="s">
        <v>903</v>
      </c>
      <c r="E1793" s="306" t="s">
        <v>1094</v>
      </c>
      <c r="F1793" s="307"/>
      <c r="G1793" s="297" t="s">
        <v>1139</v>
      </c>
      <c r="H1793" s="308" t="str">
        <f>CONCATENATE("AR-",G1793,"-",I1793)</f>
        <v>AR-L45P-1</v>
      </c>
      <c r="I1793" s="661">
        <v>1</v>
      </c>
      <c r="K1793" s="232"/>
      <c r="L1793" s="234">
        <v>1</v>
      </c>
      <c r="M1793" s="197">
        <v>1</v>
      </c>
      <c r="Q1793" s="764">
        <v>1</v>
      </c>
      <c r="S1793" s="197">
        <v>1</v>
      </c>
    </row>
    <row r="1794" spans="2:19" s="233" customFormat="1" ht="15" customHeight="1" outlineLevel="3">
      <c r="B1794" s="299" t="s">
        <v>268</v>
      </c>
      <c r="C1794" s="304" t="s">
        <v>1139</v>
      </c>
      <c r="D1794" s="685" t="s">
        <v>1095</v>
      </c>
      <c r="E1794" s="306" t="s">
        <v>1096</v>
      </c>
      <c r="F1794" s="307"/>
      <c r="G1794" s="297" t="s">
        <v>1139</v>
      </c>
      <c r="H1794" s="308" t="str">
        <f>CONCATENATE("AR-",G1794,"-",I1794)</f>
        <v>AR-L45P-1</v>
      </c>
      <c r="I1794" s="661">
        <v>1</v>
      </c>
      <c r="K1794" s="232"/>
      <c r="L1794" s="234">
        <v>1</v>
      </c>
      <c r="M1794" s="197">
        <v>1</v>
      </c>
      <c r="Q1794" s="764">
        <v>1</v>
      </c>
      <c r="S1794" s="197">
        <v>1</v>
      </c>
    </row>
    <row r="1795" spans="2:19" s="233" customFormat="1" ht="15" customHeight="1" outlineLevel="3">
      <c r="B1795" s="299" t="s">
        <v>268</v>
      </c>
      <c r="C1795" s="304" t="s">
        <v>1139</v>
      </c>
      <c r="D1795" s="685" t="s">
        <v>1097</v>
      </c>
      <c r="E1795" s="306" t="s">
        <v>1098</v>
      </c>
      <c r="F1795" s="307"/>
      <c r="G1795" s="297" t="s">
        <v>1139</v>
      </c>
      <c r="H1795" s="308" t="str">
        <f>CONCATENATE("AR-",G1795,"-",I1795)</f>
        <v>AR-L45P-1</v>
      </c>
      <c r="I1795" s="661">
        <v>1</v>
      </c>
      <c r="K1795" s="232"/>
      <c r="L1795" s="234">
        <v>1</v>
      </c>
      <c r="M1795" s="197">
        <v>1</v>
      </c>
      <c r="Q1795" s="764">
        <v>1</v>
      </c>
      <c r="S1795" s="197">
        <v>1</v>
      </c>
    </row>
    <row r="1796" spans="2:19" s="233" customFormat="1" ht="15" customHeight="1" outlineLevel="3">
      <c r="B1796" s="299"/>
      <c r="C1796" s="304"/>
      <c r="D1796" s="685"/>
      <c r="E1796" s="306" t="s">
        <v>277</v>
      </c>
      <c r="F1796" s="307"/>
      <c r="G1796" s="297"/>
      <c r="H1796" s="308"/>
      <c r="I1796" s="661"/>
      <c r="K1796" s="232"/>
      <c r="L1796" s="234"/>
      <c r="M1796" s="197"/>
      <c r="Q1796" s="764"/>
      <c r="S1796" s="197"/>
    </row>
    <row r="1797" spans="2:19" s="259" customFormat="1" ht="15" customHeight="1" outlineLevel="3">
      <c r="B1797" s="299" t="s">
        <v>1099</v>
      </c>
      <c r="C1797" s="304"/>
      <c r="D1797" s="685"/>
      <c r="E1797" s="306" t="s">
        <v>277</v>
      </c>
      <c r="F1797" s="307"/>
      <c r="G1797" s="297"/>
      <c r="H1797" s="308"/>
      <c r="I1797" s="661"/>
      <c r="K1797" s="258"/>
      <c r="L1797" s="242"/>
      <c r="M1797" s="197"/>
      <c r="Q1797" s="711"/>
      <c r="S1797" s="197"/>
    </row>
    <row r="1798" spans="2:19" s="233" customFormat="1" ht="15" customHeight="1" outlineLevel="3">
      <c r="B1798" s="299" t="s">
        <v>268</v>
      </c>
      <c r="C1798" s="304" t="s">
        <v>1139</v>
      </c>
      <c r="D1798" s="685" t="s">
        <v>418</v>
      </c>
      <c r="E1798" s="306" t="s">
        <v>1100</v>
      </c>
      <c r="F1798" s="307"/>
      <c r="G1798" s="297" t="s">
        <v>1139</v>
      </c>
      <c r="H1798" s="308" t="str">
        <f>CONCATENATE("AR-",G1798,"-",I1798)</f>
        <v>AR-L45P-1</v>
      </c>
      <c r="I1798" s="661">
        <v>1</v>
      </c>
      <c r="K1798" s="232"/>
      <c r="L1798" s="234">
        <v>1</v>
      </c>
      <c r="M1798" s="197">
        <v>1</v>
      </c>
      <c r="Q1798" s="764">
        <v>1</v>
      </c>
      <c r="S1798" s="197">
        <v>1</v>
      </c>
    </row>
    <row r="1799" spans="2:19" s="233" customFormat="1" ht="15" customHeight="1" outlineLevel="3">
      <c r="B1799" s="299" t="s">
        <v>268</v>
      </c>
      <c r="C1799" s="304" t="s">
        <v>1139</v>
      </c>
      <c r="D1799" s="685" t="s">
        <v>1101</v>
      </c>
      <c r="E1799" s="306" t="s">
        <v>1102</v>
      </c>
      <c r="F1799" s="307"/>
      <c r="G1799" s="297" t="s">
        <v>1139</v>
      </c>
      <c r="H1799" s="308" t="str">
        <f>CONCATENATE("AR-",G1799,"-",I1799)</f>
        <v>AR-L45P-1</v>
      </c>
      <c r="I1799" s="661">
        <v>1</v>
      </c>
      <c r="K1799" s="232"/>
      <c r="L1799" s="234">
        <v>1</v>
      </c>
      <c r="M1799" s="197">
        <v>1</v>
      </c>
      <c r="Q1799" s="764">
        <v>1</v>
      </c>
      <c r="S1799" s="197">
        <v>1</v>
      </c>
    </row>
    <row r="1800" spans="2:19" s="233" customFormat="1" ht="15" customHeight="1" outlineLevel="3">
      <c r="B1800" s="299"/>
      <c r="C1800" s="304"/>
      <c r="D1800" s="685"/>
      <c r="E1800" s="306" t="s">
        <v>277</v>
      </c>
      <c r="F1800" s="307"/>
      <c r="G1800" s="297"/>
      <c r="H1800" s="308"/>
      <c r="I1800" s="661"/>
      <c r="K1800" s="232"/>
      <c r="L1800" s="234"/>
      <c r="M1800" s="197"/>
      <c r="Q1800" s="764"/>
      <c r="S1800" s="197"/>
    </row>
    <row r="1801" spans="2:19" s="259" customFormat="1" ht="15" customHeight="1" outlineLevel="3">
      <c r="B1801" s="299" t="s">
        <v>957</v>
      </c>
      <c r="C1801" s="304"/>
      <c r="D1801" s="685"/>
      <c r="E1801" s="306" t="s">
        <v>277</v>
      </c>
      <c r="F1801" s="307"/>
      <c r="G1801" s="297"/>
      <c r="H1801" s="308"/>
      <c r="I1801" s="661"/>
      <c r="K1801" s="258"/>
      <c r="L1801" s="242"/>
      <c r="M1801" s="197"/>
      <c r="Q1801" s="711"/>
      <c r="S1801" s="197"/>
    </row>
    <row r="1802" spans="2:19" s="233" customFormat="1" ht="15" customHeight="1" outlineLevel="3">
      <c r="B1802" s="299" t="s">
        <v>268</v>
      </c>
      <c r="C1802" s="304" t="s">
        <v>1139</v>
      </c>
      <c r="D1802" s="685" t="s">
        <v>425</v>
      </c>
      <c r="E1802" s="306" t="s">
        <v>910</v>
      </c>
      <c r="F1802" s="307"/>
      <c r="G1802" s="297" t="s">
        <v>1139</v>
      </c>
      <c r="H1802" s="308" t="str">
        <f>CONCATENATE("AR-",G1802,"-",I1802)</f>
        <v>AR-L45P-1</v>
      </c>
      <c r="I1802" s="661">
        <v>1</v>
      </c>
      <c r="K1802" s="232"/>
      <c r="L1802" s="234">
        <v>1</v>
      </c>
      <c r="M1802" s="197">
        <v>1</v>
      </c>
      <c r="Q1802" s="764">
        <v>1</v>
      </c>
      <c r="S1802" s="197">
        <v>1</v>
      </c>
    </row>
    <row r="1803" spans="2:19" s="233" customFormat="1" ht="15" customHeight="1" outlineLevel="3">
      <c r="B1803" s="299" t="s">
        <v>268</v>
      </c>
      <c r="C1803" s="304" t="s">
        <v>1139</v>
      </c>
      <c r="D1803" s="685" t="s">
        <v>427</v>
      </c>
      <c r="E1803" s="306" t="s">
        <v>911</v>
      </c>
      <c r="F1803" s="307"/>
      <c r="G1803" s="297" t="s">
        <v>1139</v>
      </c>
      <c r="H1803" s="308" t="str">
        <f>CONCATENATE("AR-",G1803,"-",I1803)</f>
        <v>AR-L45P-1</v>
      </c>
      <c r="I1803" s="661">
        <v>1</v>
      </c>
      <c r="K1803" s="232"/>
      <c r="L1803" s="234">
        <v>1</v>
      </c>
      <c r="M1803" s="197">
        <v>1</v>
      </c>
      <c r="Q1803" s="764">
        <v>1</v>
      </c>
      <c r="S1803" s="197">
        <v>1</v>
      </c>
    </row>
    <row r="1804" spans="2:19" s="233" customFormat="1" ht="15" customHeight="1" outlineLevel="3">
      <c r="B1804" s="299" t="s">
        <v>268</v>
      </c>
      <c r="C1804" s="304" t="s">
        <v>1139</v>
      </c>
      <c r="D1804" s="685" t="s">
        <v>429</v>
      </c>
      <c r="E1804" s="306" t="s">
        <v>912</v>
      </c>
      <c r="F1804" s="307"/>
      <c r="G1804" s="297" t="s">
        <v>1139</v>
      </c>
      <c r="H1804" s="308" t="str">
        <f>CONCATENATE("AR-",G1804,"-",I1804)</f>
        <v>AR-L45P-1</v>
      </c>
      <c r="I1804" s="661">
        <v>1</v>
      </c>
      <c r="K1804" s="232"/>
      <c r="L1804" s="234">
        <v>1</v>
      </c>
      <c r="M1804" s="197">
        <v>1</v>
      </c>
      <c r="Q1804" s="764">
        <v>1</v>
      </c>
      <c r="S1804" s="197">
        <v>1</v>
      </c>
    </row>
    <row r="1805" spans="2:19" s="233" customFormat="1" ht="15" customHeight="1" outlineLevel="3">
      <c r="B1805" s="299" t="s">
        <v>268</v>
      </c>
      <c r="C1805" s="304" t="s">
        <v>1139</v>
      </c>
      <c r="D1805" s="685" t="s">
        <v>431</v>
      </c>
      <c r="E1805" s="306" t="s">
        <v>913</v>
      </c>
      <c r="F1805" s="307"/>
      <c r="G1805" s="297" t="s">
        <v>1139</v>
      </c>
      <c r="H1805" s="308" t="str">
        <f>CONCATENATE("AR-",G1805,"-",I1805)</f>
        <v>AR-L45P-1</v>
      </c>
      <c r="I1805" s="661">
        <v>1</v>
      </c>
      <c r="K1805" s="232"/>
      <c r="L1805" s="234">
        <v>1</v>
      </c>
      <c r="M1805" s="197">
        <v>1</v>
      </c>
      <c r="Q1805" s="764">
        <v>1</v>
      </c>
      <c r="S1805" s="197">
        <v>1</v>
      </c>
    </row>
    <row r="1806" spans="2:19" s="233" customFormat="1" ht="15" customHeight="1" outlineLevel="3">
      <c r="B1806" s="299"/>
      <c r="C1806" s="304"/>
      <c r="D1806" s="685"/>
      <c r="E1806" s="306" t="s">
        <v>277</v>
      </c>
      <c r="F1806" s="307"/>
      <c r="G1806" s="297"/>
      <c r="H1806" s="308"/>
      <c r="I1806" s="661"/>
      <c r="K1806" s="232"/>
      <c r="L1806" s="234"/>
      <c r="M1806" s="197"/>
      <c r="Q1806" s="764"/>
      <c r="S1806" s="197"/>
    </row>
    <row r="1807" spans="2:19" s="259" customFormat="1" ht="15" customHeight="1" outlineLevel="3">
      <c r="B1807" s="299" t="s">
        <v>1103</v>
      </c>
      <c r="C1807" s="304"/>
      <c r="D1807" s="685"/>
      <c r="E1807" s="306" t="s">
        <v>277</v>
      </c>
      <c r="F1807" s="307"/>
      <c r="G1807" s="297"/>
      <c r="H1807" s="308"/>
      <c r="I1807" s="661"/>
      <c r="K1807" s="258"/>
      <c r="L1807" s="242"/>
      <c r="M1807" s="197"/>
      <c r="Q1807" s="711"/>
      <c r="S1807" s="197"/>
    </row>
    <row r="1808" spans="2:19" s="233" customFormat="1" ht="15" customHeight="1" outlineLevel="3">
      <c r="B1808" s="299" t="s">
        <v>268</v>
      </c>
      <c r="C1808" s="304" t="s">
        <v>1139</v>
      </c>
      <c r="D1808" s="685" t="s">
        <v>915</v>
      </c>
      <c r="E1808" s="306" t="s">
        <v>1104</v>
      </c>
      <c r="F1808" s="307"/>
      <c r="G1808" s="297" t="s">
        <v>1139</v>
      </c>
      <c r="H1808" s="308" t="str">
        <f>CONCATENATE("AR-",G1808,"-",I1808)</f>
        <v>AR-L45P-1</v>
      </c>
      <c r="I1808" s="661">
        <v>1</v>
      </c>
      <c r="K1808" s="232"/>
      <c r="L1808" s="234">
        <v>1</v>
      </c>
      <c r="M1808" s="197">
        <v>1</v>
      </c>
      <c r="Q1808" s="764">
        <v>1</v>
      </c>
      <c r="S1808" s="197">
        <v>1</v>
      </c>
    </row>
    <row r="1809" spans="2:19" s="233" customFormat="1" ht="15" customHeight="1" outlineLevel="3">
      <c r="B1809" s="299" t="s">
        <v>268</v>
      </c>
      <c r="C1809" s="304" t="s">
        <v>1139</v>
      </c>
      <c r="D1809" s="685" t="s">
        <v>1105</v>
      </c>
      <c r="E1809" s="306" t="s">
        <v>1104</v>
      </c>
      <c r="F1809" s="307"/>
      <c r="G1809" s="297" t="s">
        <v>1139</v>
      </c>
      <c r="H1809" s="308" t="str">
        <f>CONCATENATE("AR-",G1809,"-",I1809)</f>
        <v>AR-L45P-1</v>
      </c>
      <c r="I1809" s="661">
        <v>1</v>
      </c>
      <c r="K1809" s="232"/>
      <c r="L1809" s="234">
        <v>1</v>
      </c>
      <c r="M1809" s="197">
        <v>1</v>
      </c>
      <c r="Q1809" s="764">
        <v>1</v>
      </c>
      <c r="S1809" s="197">
        <v>1</v>
      </c>
    </row>
    <row r="1810" spans="2:19" s="233" customFormat="1" ht="15" customHeight="1" outlineLevel="3">
      <c r="B1810" s="299" t="s">
        <v>1106</v>
      </c>
      <c r="C1810" s="304"/>
      <c r="D1810" s="685"/>
      <c r="E1810" s="306" t="s">
        <v>277</v>
      </c>
      <c r="F1810" s="307"/>
      <c r="G1810" s="297"/>
      <c r="H1810" s="308"/>
      <c r="I1810" s="661"/>
      <c r="K1810" s="232"/>
      <c r="L1810" s="234"/>
      <c r="M1810" s="197"/>
      <c r="Q1810" s="764"/>
      <c r="S1810" s="197"/>
    </row>
    <row r="1811" spans="2:19" s="233" customFormat="1" ht="15" customHeight="1" outlineLevel="3">
      <c r="B1811" s="299" t="s">
        <v>268</v>
      </c>
      <c r="C1811" s="304" t="s">
        <v>1139</v>
      </c>
      <c r="D1811" s="685" t="s">
        <v>1107</v>
      </c>
      <c r="E1811" s="306" t="s">
        <v>1108</v>
      </c>
      <c r="F1811" s="307"/>
      <c r="G1811" s="297" t="s">
        <v>1139</v>
      </c>
      <c r="H1811" s="308" t="str">
        <f>CONCATENATE("AR-",G1811,"-",I1811)</f>
        <v>AR-L45P-1</v>
      </c>
      <c r="I1811" s="661">
        <v>1</v>
      </c>
      <c r="K1811" s="232"/>
      <c r="L1811" s="234">
        <v>1</v>
      </c>
      <c r="M1811" s="197">
        <v>1</v>
      </c>
      <c r="Q1811" s="764">
        <v>1</v>
      </c>
      <c r="S1811" s="197">
        <v>1</v>
      </c>
    </row>
    <row r="1812" spans="2:19" s="233" customFormat="1" ht="15" customHeight="1" outlineLevel="3">
      <c r="B1812" s="299" t="s">
        <v>268</v>
      </c>
      <c r="C1812" s="304" t="s">
        <v>1139</v>
      </c>
      <c r="D1812" s="685" t="s">
        <v>1109</v>
      </c>
      <c r="E1812" s="306" t="s">
        <v>1110</v>
      </c>
      <c r="F1812" s="307"/>
      <c r="G1812" s="297" t="s">
        <v>1139</v>
      </c>
      <c r="H1812" s="308" t="str">
        <f>CONCATENATE("AR-",G1812,"-",I1812)</f>
        <v>AR-L45P-1</v>
      </c>
      <c r="I1812" s="661">
        <v>1</v>
      </c>
      <c r="K1812" s="232"/>
      <c r="L1812" s="234">
        <v>1</v>
      </c>
      <c r="M1812" s="197">
        <v>1</v>
      </c>
      <c r="Q1812" s="764">
        <v>1</v>
      </c>
      <c r="S1812" s="197">
        <v>1</v>
      </c>
    </row>
    <row r="1813" spans="2:19" s="233" customFormat="1" ht="15" customHeight="1" outlineLevel="3">
      <c r="B1813" s="299"/>
      <c r="C1813" s="304"/>
      <c r="D1813" s="685"/>
      <c r="E1813" s="306" t="s">
        <v>277</v>
      </c>
      <c r="F1813" s="307"/>
      <c r="G1813" s="297"/>
      <c r="H1813" s="308"/>
      <c r="I1813" s="661"/>
      <c r="K1813" s="232"/>
      <c r="L1813" s="234"/>
      <c r="M1813" s="197"/>
      <c r="Q1813" s="764"/>
      <c r="S1813" s="197"/>
    </row>
    <row r="1814" spans="2:19" s="259" customFormat="1" ht="15" customHeight="1" outlineLevel="3">
      <c r="B1814" s="299" t="s">
        <v>1111</v>
      </c>
      <c r="C1814" s="304"/>
      <c r="D1814" s="685"/>
      <c r="E1814" s="306" t="s">
        <v>277</v>
      </c>
      <c r="F1814" s="307"/>
      <c r="G1814" s="297"/>
      <c r="H1814" s="308"/>
      <c r="I1814" s="661"/>
      <c r="K1814" s="258"/>
      <c r="L1814" s="242"/>
      <c r="M1814" s="197"/>
      <c r="Q1814" s="711"/>
      <c r="S1814" s="197"/>
    </row>
    <row r="1815" spans="2:19" s="233" customFormat="1" ht="15" customHeight="1" outlineLevel="3">
      <c r="B1815" s="299" t="s">
        <v>268</v>
      </c>
      <c r="C1815" s="304" t="s">
        <v>1139</v>
      </c>
      <c r="D1815" s="685" t="s">
        <v>1112</v>
      </c>
      <c r="E1815" s="306" t="s">
        <v>1113</v>
      </c>
      <c r="F1815" s="307"/>
      <c r="G1815" s="297" t="s">
        <v>1139</v>
      </c>
      <c r="H1815" s="308" t="str">
        <f>CONCATENATE("AR-",G1815,"-",I1815)</f>
        <v>AR-L45P-1</v>
      </c>
      <c r="I1815" s="661">
        <v>1</v>
      </c>
      <c r="K1815" s="232"/>
      <c r="L1815" s="234">
        <v>1</v>
      </c>
      <c r="M1815" s="197">
        <v>1</v>
      </c>
      <c r="Q1815" s="764">
        <v>1</v>
      </c>
      <c r="S1815" s="197">
        <v>1</v>
      </c>
    </row>
    <row r="1816" spans="2:19" s="233" customFormat="1" ht="15" customHeight="1" outlineLevel="3">
      <c r="B1816" s="299" t="s">
        <v>268</v>
      </c>
      <c r="C1816" s="304" t="s">
        <v>1139</v>
      </c>
      <c r="D1816" s="685" t="s">
        <v>1114</v>
      </c>
      <c r="E1816" s="306" t="s">
        <v>1115</v>
      </c>
      <c r="F1816" s="307"/>
      <c r="G1816" s="297" t="s">
        <v>1139</v>
      </c>
      <c r="H1816" s="308" t="str">
        <f>CONCATENATE("AR-",G1816,"-",I1816)</f>
        <v>AR-L45P-1</v>
      </c>
      <c r="I1816" s="661">
        <v>1</v>
      </c>
      <c r="K1816" s="232"/>
      <c r="L1816" s="234">
        <v>1</v>
      </c>
      <c r="M1816" s="197">
        <v>1</v>
      </c>
      <c r="Q1816" s="764">
        <v>1</v>
      </c>
      <c r="S1816" s="197">
        <v>1</v>
      </c>
    </row>
    <row r="1817" spans="2:19" s="233" customFormat="1" ht="15" customHeight="1" outlineLevel="3">
      <c r="B1817" s="299" t="s">
        <v>268</v>
      </c>
      <c r="C1817" s="304" t="s">
        <v>1139</v>
      </c>
      <c r="D1817" s="685" t="s">
        <v>1116</v>
      </c>
      <c r="E1817" s="306" t="s">
        <v>1117</v>
      </c>
      <c r="F1817" s="307"/>
      <c r="G1817" s="297" t="s">
        <v>1139</v>
      </c>
      <c r="H1817" s="308" t="str">
        <f>CONCATENATE("AR-",G1817,"-",I1817)</f>
        <v>AR-L45P-1</v>
      </c>
      <c r="I1817" s="661">
        <v>1</v>
      </c>
      <c r="K1817" s="232"/>
      <c r="L1817" s="234">
        <v>1</v>
      </c>
      <c r="M1817" s="197">
        <v>1</v>
      </c>
      <c r="Q1817" s="764">
        <v>1</v>
      </c>
      <c r="S1817" s="197">
        <v>1</v>
      </c>
    </row>
    <row r="1818" spans="2:19" s="233" customFormat="1" ht="15" customHeight="1" outlineLevel="3">
      <c r="B1818" s="299"/>
      <c r="C1818" s="304"/>
      <c r="D1818" s="685"/>
      <c r="E1818" s="306" t="s">
        <v>277</v>
      </c>
      <c r="F1818" s="307"/>
      <c r="G1818" s="297"/>
      <c r="H1818" s="308"/>
      <c r="I1818" s="661"/>
      <c r="K1818" s="232"/>
      <c r="L1818" s="234"/>
      <c r="M1818" s="197"/>
      <c r="Q1818" s="764"/>
      <c r="S1818" s="197"/>
    </row>
    <row r="1819" spans="2:19" s="259" customFormat="1" ht="15" customHeight="1" outlineLevel="3">
      <c r="B1819" s="299" t="s">
        <v>1118</v>
      </c>
      <c r="C1819" s="304"/>
      <c r="D1819" s="685"/>
      <c r="E1819" s="306" t="s">
        <v>277</v>
      </c>
      <c r="F1819" s="307"/>
      <c r="G1819" s="297"/>
      <c r="H1819" s="308"/>
      <c r="I1819" s="661"/>
      <c r="K1819" s="258"/>
      <c r="L1819" s="242"/>
      <c r="M1819" s="197"/>
      <c r="Q1819" s="711"/>
      <c r="S1819" s="197"/>
    </row>
    <row r="1820" spans="2:19" s="233" customFormat="1" ht="15" customHeight="1" outlineLevel="3">
      <c r="B1820" s="299" t="s">
        <v>268</v>
      </c>
      <c r="C1820" s="304" t="s">
        <v>1139</v>
      </c>
      <c r="D1820" s="685" t="s">
        <v>968</v>
      </c>
      <c r="E1820" s="306" t="s">
        <v>1119</v>
      </c>
      <c r="F1820" s="307"/>
      <c r="G1820" s="297" t="s">
        <v>1139</v>
      </c>
      <c r="H1820" s="308" t="str">
        <f>CONCATENATE("AR-",G1820,"-",I1820)</f>
        <v>AR-L45P-1</v>
      </c>
      <c r="I1820" s="661">
        <v>1</v>
      </c>
      <c r="K1820" s="232"/>
      <c r="L1820" s="234">
        <v>1</v>
      </c>
      <c r="M1820" s="197">
        <v>1</v>
      </c>
      <c r="Q1820" s="764">
        <v>1</v>
      </c>
      <c r="S1820" s="197">
        <v>1</v>
      </c>
    </row>
    <row r="1821" spans="2:19" s="233" customFormat="1" ht="15" customHeight="1" outlineLevel="3">
      <c r="B1821" s="299" t="s">
        <v>268</v>
      </c>
      <c r="C1821" s="304" t="s">
        <v>1139</v>
      </c>
      <c r="D1821" s="685" t="s">
        <v>970</v>
      </c>
      <c r="E1821" s="306" t="s">
        <v>1119</v>
      </c>
      <c r="F1821" s="307"/>
      <c r="G1821" s="297" t="s">
        <v>1139</v>
      </c>
      <c r="H1821" s="308" t="str">
        <f>CONCATENATE("AR-",G1821,"-",I1821)</f>
        <v>AR-L45P-1</v>
      </c>
      <c r="I1821" s="661">
        <v>1</v>
      </c>
      <c r="K1821" s="232"/>
      <c r="L1821" s="234">
        <v>1</v>
      </c>
      <c r="M1821" s="197">
        <v>1</v>
      </c>
      <c r="Q1821" s="764">
        <v>1</v>
      </c>
      <c r="S1821" s="197">
        <v>1</v>
      </c>
    </row>
    <row r="1822" spans="2:19" s="233" customFormat="1" ht="15" customHeight="1" outlineLevel="3">
      <c r="B1822" s="299"/>
      <c r="C1822" s="304"/>
      <c r="D1822" s="685"/>
      <c r="E1822" s="306" t="s">
        <v>277</v>
      </c>
      <c r="F1822" s="307"/>
      <c r="G1822" s="297"/>
      <c r="H1822" s="308"/>
      <c r="I1822" s="661"/>
      <c r="K1822" s="232"/>
      <c r="L1822" s="234"/>
      <c r="M1822" s="197"/>
      <c r="Q1822" s="764"/>
      <c r="S1822" s="197"/>
    </row>
    <row r="1823" spans="2:19" s="259" customFormat="1" ht="15" customHeight="1" outlineLevel="3">
      <c r="B1823" s="299" t="s">
        <v>1120</v>
      </c>
      <c r="C1823" s="304"/>
      <c r="D1823" s="685"/>
      <c r="E1823" s="306" t="s">
        <v>277</v>
      </c>
      <c r="F1823" s="307"/>
      <c r="G1823" s="297"/>
      <c r="H1823" s="308"/>
      <c r="I1823" s="661"/>
      <c r="K1823" s="258"/>
      <c r="L1823" s="242"/>
      <c r="M1823" s="197"/>
      <c r="Q1823" s="711"/>
      <c r="S1823" s="197"/>
    </row>
    <row r="1824" spans="2:19" s="233" customFormat="1" ht="15" customHeight="1" outlineLevel="3">
      <c r="B1824" s="299" t="s">
        <v>268</v>
      </c>
      <c r="C1824" s="304" t="s">
        <v>1139</v>
      </c>
      <c r="D1824" s="685" t="s">
        <v>977</v>
      </c>
      <c r="E1824" s="306" t="s">
        <v>1121</v>
      </c>
      <c r="F1824" s="307"/>
      <c r="G1824" s="297" t="s">
        <v>1139</v>
      </c>
      <c r="H1824" s="308" t="str">
        <f t="shared" ref="H1824:H1829" si="101">CONCATENATE("AR-",G1824,"-",I1824)</f>
        <v>AR-L45P-1</v>
      </c>
      <c r="I1824" s="661">
        <v>1</v>
      </c>
      <c r="K1824" s="232"/>
      <c r="L1824" s="234">
        <v>1</v>
      </c>
      <c r="M1824" s="197">
        <v>1</v>
      </c>
      <c r="Q1824" s="764">
        <v>1</v>
      </c>
      <c r="S1824" s="197">
        <v>1</v>
      </c>
    </row>
    <row r="1825" spans="2:19" s="233" customFormat="1" ht="15" customHeight="1" outlineLevel="3">
      <c r="B1825" s="299" t="s">
        <v>268</v>
      </c>
      <c r="C1825" s="304" t="s">
        <v>1139</v>
      </c>
      <c r="D1825" s="685" t="s">
        <v>979</v>
      </c>
      <c r="E1825" s="306" t="s">
        <v>1122</v>
      </c>
      <c r="F1825" s="307"/>
      <c r="G1825" s="297" t="s">
        <v>1139</v>
      </c>
      <c r="H1825" s="308" t="str">
        <f t="shared" si="101"/>
        <v>AR-L45P-1</v>
      </c>
      <c r="I1825" s="661">
        <v>1</v>
      </c>
      <c r="K1825" s="232"/>
      <c r="L1825" s="234">
        <v>1</v>
      </c>
      <c r="M1825" s="197">
        <v>1</v>
      </c>
      <c r="Q1825" s="764">
        <v>1</v>
      </c>
      <c r="S1825" s="197">
        <v>1</v>
      </c>
    </row>
    <row r="1826" spans="2:19" s="233" customFormat="1" ht="15" customHeight="1" outlineLevel="3">
      <c r="B1826" s="299" t="s">
        <v>268</v>
      </c>
      <c r="C1826" s="304" t="s">
        <v>1139</v>
      </c>
      <c r="D1826" s="685" t="s">
        <v>981</v>
      </c>
      <c r="E1826" s="306" t="s">
        <v>1123</v>
      </c>
      <c r="F1826" s="307"/>
      <c r="G1826" s="297" t="s">
        <v>1139</v>
      </c>
      <c r="H1826" s="308" t="str">
        <f t="shared" si="101"/>
        <v>AR-L45P-1</v>
      </c>
      <c r="I1826" s="661">
        <v>1</v>
      </c>
      <c r="K1826" s="232"/>
      <c r="L1826" s="234">
        <v>1</v>
      </c>
      <c r="M1826" s="197">
        <v>1</v>
      </c>
      <c r="Q1826" s="764">
        <v>1</v>
      </c>
      <c r="S1826" s="197">
        <v>1</v>
      </c>
    </row>
    <row r="1827" spans="2:19" s="233" customFormat="1" ht="15" customHeight="1" outlineLevel="3">
      <c r="B1827" s="299" t="s">
        <v>268</v>
      </c>
      <c r="C1827" s="304" t="s">
        <v>1139</v>
      </c>
      <c r="D1827" s="685" t="s">
        <v>983</v>
      </c>
      <c r="E1827" s="306" t="s">
        <v>1124</v>
      </c>
      <c r="F1827" s="307"/>
      <c r="G1827" s="297" t="s">
        <v>1139</v>
      </c>
      <c r="H1827" s="308" t="str">
        <f t="shared" si="101"/>
        <v>AR-L45P-1</v>
      </c>
      <c r="I1827" s="661">
        <v>1</v>
      </c>
      <c r="K1827" s="232"/>
      <c r="L1827" s="234">
        <v>1</v>
      </c>
      <c r="M1827" s="197">
        <v>1</v>
      </c>
      <c r="Q1827" s="764">
        <v>1</v>
      </c>
      <c r="S1827" s="197">
        <v>1</v>
      </c>
    </row>
    <row r="1828" spans="2:19" s="233" customFormat="1" ht="15" customHeight="1" outlineLevel="3">
      <c r="B1828" s="299" t="s">
        <v>268</v>
      </c>
      <c r="C1828" s="304" t="s">
        <v>1139</v>
      </c>
      <c r="D1828" s="685" t="s">
        <v>985</v>
      </c>
      <c r="E1828" s="306" t="s">
        <v>1125</v>
      </c>
      <c r="F1828" s="307"/>
      <c r="G1828" s="297" t="s">
        <v>1139</v>
      </c>
      <c r="H1828" s="308" t="str">
        <f t="shared" si="101"/>
        <v>AR-L45P-1</v>
      </c>
      <c r="I1828" s="661">
        <v>1</v>
      </c>
      <c r="K1828" s="232"/>
      <c r="L1828" s="234">
        <v>1</v>
      </c>
      <c r="M1828" s="197">
        <v>1</v>
      </c>
      <c r="Q1828" s="764">
        <v>1</v>
      </c>
      <c r="S1828" s="197">
        <v>1</v>
      </c>
    </row>
    <row r="1829" spans="2:19" s="233" customFormat="1" ht="15" customHeight="1" outlineLevel="3">
      <c r="B1829" s="299" t="s">
        <v>268</v>
      </c>
      <c r="C1829" s="304" t="s">
        <v>1139</v>
      </c>
      <c r="D1829" s="685" t="s">
        <v>987</v>
      </c>
      <c r="E1829" s="306" t="s">
        <v>1126</v>
      </c>
      <c r="F1829" s="307"/>
      <c r="G1829" s="297" t="s">
        <v>1139</v>
      </c>
      <c r="H1829" s="308" t="str">
        <f t="shared" si="101"/>
        <v>AR-L45P-1</v>
      </c>
      <c r="I1829" s="661">
        <v>1</v>
      </c>
      <c r="K1829" s="232"/>
      <c r="L1829" s="234">
        <v>1</v>
      </c>
      <c r="M1829" s="197">
        <v>1</v>
      </c>
      <c r="Q1829" s="764">
        <v>1</v>
      </c>
      <c r="S1829" s="197">
        <v>1</v>
      </c>
    </row>
    <row r="1830" spans="2:19" s="233" customFormat="1" ht="15" customHeight="1" outlineLevel="3">
      <c r="B1830" s="299"/>
      <c r="C1830" s="304"/>
      <c r="D1830" s="685"/>
      <c r="E1830" s="306" t="s">
        <v>277</v>
      </c>
      <c r="F1830" s="307"/>
      <c r="G1830" s="297"/>
      <c r="H1830" s="308"/>
      <c r="I1830" s="661"/>
      <c r="K1830" s="232"/>
      <c r="L1830" s="234"/>
      <c r="M1830" s="197"/>
      <c r="Q1830" s="764"/>
      <c r="S1830" s="197"/>
    </row>
    <row r="1831" spans="2:19" s="259" customFormat="1" ht="15" customHeight="1" outlineLevel="3">
      <c r="B1831" s="299" t="s">
        <v>934</v>
      </c>
      <c r="C1831" s="304"/>
      <c r="D1831" s="685"/>
      <c r="E1831" s="306" t="s">
        <v>277</v>
      </c>
      <c r="F1831" s="307"/>
      <c r="G1831" s="297"/>
      <c r="H1831" s="308"/>
      <c r="I1831" s="661"/>
      <c r="K1831" s="258"/>
      <c r="L1831" s="242"/>
      <c r="M1831" s="197"/>
      <c r="Q1831" s="711"/>
      <c r="S1831" s="197"/>
    </row>
    <row r="1832" spans="2:19" s="233" customFormat="1" ht="15" customHeight="1" outlineLevel="3">
      <c r="B1832" s="299" t="s">
        <v>268</v>
      </c>
      <c r="C1832" s="304" t="s">
        <v>1139</v>
      </c>
      <c r="D1832" s="685" t="s">
        <v>463</v>
      </c>
      <c r="E1832" s="306" t="s">
        <v>936</v>
      </c>
      <c r="F1832" s="307"/>
      <c r="G1832" s="297" t="s">
        <v>1139</v>
      </c>
      <c r="H1832" s="308" t="str">
        <f>CONCATENATE("AR-",G1832,"-",I1832)</f>
        <v>AR-L45P-1</v>
      </c>
      <c r="I1832" s="661">
        <v>1</v>
      </c>
      <c r="K1832" s="232"/>
      <c r="L1832" s="234">
        <v>1</v>
      </c>
      <c r="M1832" s="197">
        <v>1</v>
      </c>
      <c r="Q1832" s="764">
        <v>1</v>
      </c>
      <c r="S1832" s="197">
        <v>1</v>
      </c>
    </row>
    <row r="1833" spans="2:19" s="233" customFormat="1" ht="15" customHeight="1" outlineLevel="3">
      <c r="B1833" s="299" t="s">
        <v>268</v>
      </c>
      <c r="C1833" s="304" t="s">
        <v>1139</v>
      </c>
      <c r="D1833" s="685" t="s">
        <v>588</v>
      </c>
      <c r="E1833" s="306" t="s">
        <v>937</v>
      </c>
      <c r="F1833" s="307"/>
      <c r="G1833" s="297" t="s">
        <v>1139</v>
      </c>
      <c r="H1833" s="308" t="str">
        <f>CONCATENATE("AR-",G1833,"-",I1833)</f>
        <v>AR-L45P-1</v>
      </c>
      <c r="I1833" s="661">
        <v>1</v>
      </c>
      <c r="K1833" s="232"/>
      <c r="L1833" s="234">
        <v>1</v>
      </c>
      <c r="M1833" s="197">
        <v>1</v>
      </c>
      <c r="Q1833" s="764">
        <v>1</v>
      </c>
      <c r="S1833" s="197">
        <v>1</v>
      </c>
    </row>
    <row r="1834" spans="2:19" s="233" customFormat="1" ht="15" customHeight="1" outlineLevel="3">
      <c r="B1834" s="299" t="s">
        <v>268</v>
      </c>
      <c r="C1834" s="304" t="s">
        <v>1139</v>
      </c>
      <c r="D1834" s="685" t="s">
        <v>938</v>
      </c>
      <c r="E1834" s="306" t="s">
        <v>939</v>
      </c>
      <c r="F1834" s="307"/>
      <c r="G1834" s="297" t="s">
        <v>1139</v>
      </c>
      <c r="H1834" s="308" t="str">
        <f>CONCATENATE("AR-",G1834,"-",I1834)</f>
        <v>AR-L45P-1</v>
      </c>
      <c r="I1834" s="661">
        <v>1</v>
      </c>
      <c r="K1834" s="232"/>
      <c r="L1834" s="234">
        <v>1</v>
      </c>
      <c r="M1834" s="197">
        <v>1</v>
      </c>
      <c r="Q1834" s="764">
        <v>1</v>
      </c>
      <c r="S1834" s="197">
        <v>1</v>
      </c>
    </row>
    <row r="1835" spans="2:19" s="233" customFormat="1" ht="15" customHeight="1" outlineLevel="3">
      <c r="B1835" s="299"/>
      <c r="C1835" s="304"/>
      <c r="D1835" s="685"/>
      <c r="E1835" s="306" t="s">
        <v>277</v>
      </c>
      <c r="F1835" s="307"/>
      <c r="G1835" s="297"/>
      <c r="H1835" s="308"/>
      <c r="I1835" s="661"/>
      <c r="K1835" s="232"/>
      <c r="L1835" s="234"/>
      <c r="M1835" s="197"/>
      <c r="Q1835" s="764"/>
      <c r="S1835" s="197"/>
    </row>
    <row r="1836" spans="2:19" s="259" customFormat="1" ht="15" customHeight="1" outlineLevel="3">
      <c r="B1836" s="299" t="s">
        <v>1127</v>
      </c>
      <c r="C1836" s="304"/>
      <c r="D1836" s="685"/>
      <c r="E1836" s="306" t="s">
        <v>277</v>
      </c>
      <c r="F1836" s="307"/>
      <c r="G1836" s="297"/>
      <c r="H1836" s="308"/>
      <c r="I1836" s="661"/>
      <c r="K1836" s="258"/>
      <c r="L1836" s="242"/>
      <c r="M1836" s="197"/>
      <c r="Q1836" s="711"/>
      <c r="S1836" s="197"/>
    </row>
    <row r="1837" spans="2:19" s="233" customFormat="1" ht="15" customHeight="1" outlineLevel="3">
      <c r="B1837" s="299" t="s">
        <v>268</v>
      </c>
      <c r="C1837" s="304" t="s">
        <v>1139</v>
      </c>
      <c r="D1837" s="685">
        <v>7410</v>
      </c>
      <c r="E1837" s="306" t="s">
        <v>989</v>
      </c>
      <c r="F1837" s="307"/>
      <c r="G1837" s="297" t="s">
        <v>1139</v>
      </c>
      <c r="H1837" s="308" t="str">
        <f t="shared" ref="H1837:H1850" si="102">CONCATENATE("AR-",G1837,"-",I1837)</f>
        <v>AR-L45P-1</v>
      </c>
      <c r="I1837" s="661">
        <v>1</v>
      </c>
      <c r="K1837" s="232"/>
      <c r="L1837" s="234">
        <v>1</v>
      </c>
      <c r="M1837" s="197">
        <v>1</v>
      </c>
      <c r="Q1837" s="764">
        <v>1</v>
      </c>
      <c r="S1837" s="197">
        <v>1</v>
      </c>
    </row>
    <row r="1838" spans="2:19" s="233" customFormat="1" ht="15" customHeight="1" outlineLevel="3">
      <c r="B1838" s="299" t="s">
        <v>268</v>
      </c>
      <c r="C1838" s="304" t="s">
        <v>1139</v>
      </c>
      <c r="D1838" s="685">
        <v>7420</v>
      </c>
      <c r="E1838" s="306" t="s">
        <v>481</v>
      </c>
      <c r="F1838" s="307"/>
      <c r="G1838" s="297" t="s">
        <v>1139</v>
      </c>
      <c r="H1838" s="308" t="str">
        <f t="shared" si="102"/>
        <v>AR-L45P-1</v>
      </c>
      <c r="I1838" s="661">
        <v>1</v>
      </c>
      <c r="K1838" s="232"/>
      <c r="L1838" s="234">
        <v>1</v>
      </c>
      <c r="M1838" s="197">
        <v>1</v>
      </c>
      <c r="Q1838" s="764">
        <v>1</v>
      </c>
      <c r="S1838" s="197">
        <v>1</v>
      </c>
    </row>
    <row r="1839" spans="2:19" s="233" customFormat="1" ht="15" customHeight="1" outlineLevel="3">
      <c r="B1839" s="299" t="s">
        <v>268</v>
      </c>
      <c r="C1839" s="304" t="s">
        <v>1139</v>
      </c>
      <c r="D1839" s="685">
        <v>7430</v>
      </c>
      <c r="E1839" s="306" t="s">
        <v>482</v>
      </c>
      <c r="F1839" s="307"/>
      <c r="G1839" s="297" t="s">
        <v>1139</v>
      </c>
      <c r="H1839" s="308" t="str">
        <f t="shared" si="102"/>
        <v>AR-L45P-1</v>
      </c>
      <c r="I1839" s="661">
        <v>1</v>
      </c>
      <c r="K1839" s="232"/>
      <c r="L1839" s="234">
        <v>1</v>
      </c>
      <c r="M1839" s="197">
        <v>1</v>
      </c>
      <c r="Q1839" s="764">
        <v>1</v>
      </c>
      <c r="S1839" s="197">
        <v>1</v>
      </c>
    </row>
    <row r="1840" spans="2:19" s="233" customFormat="1" ht="15" customHeight="1" outlineLevel="3">
      <c r="B1840" s="299" t="s">
        <v>268</v>
      </c>
      <c r="C1840" s="304" t="s">
        <v>1139</v>
      </c>
      <c r="D1840" s="685">
        <v>7440</v>
      </c>
      <c r="E1840" s="306" t="s">
        <v>483</v>
      </c>
      <c r="F1840" s="307"/>
      <c r="G1840" s="297" t="s">
        <v>1139</v>
      </c>
      <c r="H1840" s="308" t="str">
        <f t="shared" si="102"/>
        <v>AR-L45P-1</v>
      </c>
      <c r="I1840" s="661">
        <v>1</v>
      </c>
      <c r="K1840" s="232"/>
      <c r="L1840" s="234">
        <v>1</v>
      </c>
      <c r="M1840" s="197">
        <v>1</v>
      </c>
      <c r="Q1840" s="764">
        <v>1</v>
      </c>
      <c r="S1840" s="197">
        <v>1</v>
      </c>
    </row>
    <row r="1841" spans="1:21" s="233" customFormat="1" ht="15" customHeight="1" outlineLevel="3">
      <c r="B1841" s="299" t="s">
        <v>268</v>
      </c>
      <c r="C1841" s="304" t="s">
        <v>1139</v>
      </c>
      <c r="D1841" s="685">
        <v>7450</v>
      </c>
      <c r="E1841" s="306" t="s">
        <v>990</v>
      </c>
      <c r="F1841" s="307"/>
      <c r="G1841" s="297" t="s">
        <v>1139</v>
      </c>
      <c r="H1841" s="308" t="str">
        <f t="shared" si="102"/>
        <v>AR-L45P-1</v>
      </c>
      <c r="I1841" s="661">
        <v>1</v>
      </c>
      <c r="K1841" s="232"/>
      <c r="L1841" s="234">
        <v>1</v>
      </c>
      <c r="M1841" s="197">
        <v>1</v>
      </c>
      <c r="Q1841" s="764">
        <v>1</v>
      </c>
      <c r="S1841" s="197">
        <v>1</v>
      </c>
    </row>
    <row r="1842" spans="1:21" s="233" customFormat="1" ht="15" customHeight="1" outlineLevel="3">
      <c r="B1842" s="299" t="s">
        <v>268</v>
      </c>
      <c r="C1842" s="304" t="s">
        <v>1139</v>
      </c>
      <c r="D1842" s="685">
        <v>7461</v>
      </c>
      <c r="E1842" s="306" t="s">
        <v>991</v>
      </c>
      <c r="F1842" s="307"/>
      <c r="G1842" s="297" t="s">
        <v>1139</v>
      </c>
      <c r="H1842" s="308" t="str">
        <f t="shared" si="102"/>
        <v>AR-L45P-1</v>
      </c>
      <c r="I1842" s="661">
        <v>1</v>
      </c>
      <c r="K1842" s="232"/>
      <c r="L1842" s="234">
        <v>1</v>
      </c>
      <c r="M1842" s="197">
        <v>1</v>
      </c>
      <c r="Q1842" s="764">
        <v>1</v>
      </c>
      <c r="S1842" s="197">
        <v>1</v>
      </c>
    </row>
    <row r="1843" spans="1:21" s="233" customFormat="1" ht="15" customHeight="1" outlineLevel="3">
      <c r="B1843" s="299" t="s">
        <v>268</v>
      </c>
      <c r="C1843" s="304" t="s">
        <v>1139</v>
      </c>
      <c r="D1843" s="685">
        <v>7462</v>
      </c>
      <c r="E1843" s="306" t="s">
        <v>992</v>
      </c>
      <c r="F1843" s="307"/>
      <c r="G1843" s="297" t="s">
        <v>1139</v>
      </c>
      <c r="H1843" s="308" t="str">
        <f t="shared" si="102"/>
        <v>AR-L45P-1</v>
      </c>
      <c r="I1843" s="661">
        <v>1</v>
      </c>
      <c r="K1843" s="232"/>
      <c r="L1843" s="234">
        <v>1</v>
      </c>
      <c r="M1843" s="197">
        <v>1</v>
      </c>
      <c r="Q1843" s="764">
        <v>1</v>
      </c>
      <c r="S1843" s="197">
        <v>1</v>
      </c>
    </row>
    <row r="1844" spans="1:21" s="233" customFormat="1" ht="15" customHeight="1" outlineLevel="3">
      <c r="B1844" s="299" t="s">
        <v>268</v>
      </c>
      <c r="C1844" s="304" t="s">
        <v>1139</v>
      </c>
      <c r="D1844" s="685">
        <v>7463</v>
      </c>
      <c r="E1844" s="306" t="s">
        <v>993</v>
      </c>
      <c r="F1844" s="307"/>
      <c r="G1844" s="297" t="s">
        <v>1139</v>
      </c>
      <c r="H1844" s="308" t="str">
        <f t="shared" si="102"/>
        <v>AR-L45P-1</v>
      </c>
      <c r="I1844" s="661">
        <v>1</v>
      </c>
      <c r="K1844" s="232"/>
      <c r="L1844" s="234">
        <v>1</v>
      </c>
      <c r="M1844" s="197">
        <v>1</v>
      </c>
      <c r="Q1844" s="764">
        <v>1</v>
      </c>
      <c r="S1844" s="197">
        <v>1</v>
      </c>
    </row>
    <row r="1845" spans="1:21" s="233" customFormat="1" ht="15" customHeight="1" outlineLevel="3">
      <c r="B1845" s="299" t="s">
        <v>268</v>
      </c>
      <c r="C1845" s="304" t="s">
        <v>1139</v>
      </c>
      <c r="D1845" s="685">
        <v>7470</v>
      </c>
      <c r="E1845" s="306" t="s">
        <v>484</v>
      </c>
      <c r="F1845" s="307"/>
      <c r="G1845" s="297" t="s">
        <v>1139</v>
      </c>
      <c r="H1845" s="308" t="str">
        <f t="shared" si="102"/>
        <v>AR-L45P-1</v>
      </c>
      <c r="I1845" s="661">
        <v>1</v>
      </c>
      <c r="K1845" s="232"/>
      <c r="L1845" s="234">
        <v>1</v>
      </c>
      <c r="M1845" s="197">
        <v>1</v>
      </c>
      <c r="Q1845" s="764">
        <v>1</v>
      </c>
      <c r="S1845" s="197">
        <v>1</v>
      </c>
    </row>
    <row r="1846" spans="1:21" s="233" customFormat="1" ht="15" customHeight="1" outlineLevel="3">
      <c r="B1846" s="299" t="s">
        <v>268</v>
      </c>
      <c r="C1846" s="304" t="s">
        <v>1139</v>
      </c>
      <c r="D1846" s="685">
        <v>7480</v>
      </c>
      <c r="E1846" s="306" t="s">
        <v>994</v>
      </c>
      <c r="F1846" s="307"/>
      <c r="G1846" s="297" t="s">
        <v>1139</v>
      </c>
      <c r="H1846" s="308" t="str">
        <f t="shared" si="102"/>
        <v>AR-L45P-1</v>
      </c>
      <c r="I1846" s="661">
        <v>1</v>
      </c>
      <c r="K1846" s="232"/>
      <c r="L1846" s="234">
        <v>1</v>
      </c>
      <c r="M1846" s="197">
        <v>1</v>
      </c>
      <c r="Q1846" s="764">
        <v>1</v>
      </c>
      <c r="S1846" s="197">
        <v>1</v>
      </c>
    </row>
    <row r="1847" spans="1:21" s="233" customFormat="1" ht="15" customHeight="1" outlineLevel="3">
      <c r="B1847" s="299" t="s">
        <v>268</v>
      </c>
      <c r="C1847" s="304" t="s">
        <v>1139</v>
      </c>
      <c r="D1847" s="685">
        <v>7490</v>
      </c>
      <c r="E1847" s="306" t="s">
        <v>995</v>
      </c>
      <c r="F1847" s="307"/>
      <c r="G1847" s="297" t="s">
        <v>1139</v>
      </c>
      <c r="H1847" s="308" t="str">
        <f t="shared" si="102"/>
        <v>AR-L45P-1</v>
      </c>
      <c r="I1847" s="661">
        <v>1</v>
      </c>
      <c r="K1847" s="232"/>
      <c r="L1847" s="234">
        <v>1</v>
      </c>
      <c r="M1847" s="197">
        <v>1</v>
      </c>
      <c r="Q1847" s="764">
        <v>1</v>
      </c>
      <c r="S1847" s="197">
        <v>1</v>
      </c>
    </row>
    <row r="1848" spans="1:21" s="233" customFormat="1" ht="15" customHeight="1" outlineLevel="3">
      <c r="B1848" s="299" t="s">
        <v>268</v>
      </c>
      <c r="C1848" s="304" t="s">
        <v>1139</v>
      </c>
      <c r="D1848" s="685">
        <v>7500</v>
      </c>
      <c r="E1848" s="306" t="s">
        <v>485</v>
      </c>
      <c r="F1848" s="307"/>
      <c r="G1848" s="297" t="s">
        <v>1139</v>
      </c>
      <c r="H1848" s="308" t="str">
        <f t="shared" si="102"/>
        <v>AR-L45P-1</v>
      </c>
      <c r="I1848" s="661">
        <v>1</v>
      </c>
      <c r="K1848" s="232"/>
      <c r="L1848" s="234">
        <v>1</v>
      </c>
      <c r="M1848" s="197">
        <v>1</v>
      </c>
      <c r="Q1848" s="764">
        <v>1</v>
      </c>
      <c r="S1848" s="197">
        <v>1</v>
      </c>
    </row>
    <row r="1849" spans="1:21" s="233" customFormat="1" ht="15" customHeight="1" outlineLevel="3">
      <c r="B1849" s="299" t="s">
        <v>268</v>
      </c>
      <c r="C1849" s="304" t="s">
        <v>1139</v>
      </c>
      <c r="D1849" s="685">
        <v>7510</v>
      </c>
      <c r="E1849" s="306" t="s">
        <v>996</v>
      </c>
      <c r="F1849" s="307"/>
      <c r="G1849" s="297" t="s">
        <v>1139</v>
      </c>
      <c r="H1849" s="308" t="str">
        <f t="shared" si="102"/>
        <v>AR-L45P-1</v>
      </c>
      <c r="I1849" s="661">
        <v>1</v>
      </c>
      <c r="K1849" s="232"/>
      <c r="L1849" s="234">
        <v>1</v>
      </c>
      <c r="M1849" s="197">
        <v>1</v>
      </c>
      <c r="Q1849" s="764">
        <v>1</v>
      </c>
      <c r="S1849" s="197">
        <v>1</v>
      </c>
    </row>
    <row r="1850" spans="1:21" s="233" customFormat="1" ht="15" customHeight="1" outlineLevel="3">
      <c r="B1850" s="299" t="s">
        <v>268</v>
      </c>
      <c r="C1850" s="304" t="s">
        <v>1139</v>
      </c>
      <c r="D1850" s="685" t="s">
        <v>997</v>
      </c>
      <c r="E1850" s="306" t="s">
        <v>998</v>
      </c>
      <c r="F1850" s="307"/>
      <c r="G1850" s="297" t="s">
        <v>1139</v>
      </c>
      <c r="H1850" s="308" t="str">
        <f t="shared" si="102"/>
        <v>AR-L45P-1</v>
      </c>
      <c r="I1850" s="661">
        <v>1</v>
      </c>
      <c r="K1850" s="232"/>
      <c r="L1850" s="234">
        <v>1</v>
      </c>
      <c r="M1850" s="197">
        <v>1</v>
      </c>
      <c r="Q1850" s="764">
        <v>1</v>
      </c>
      <c r="S1850" s="197">
        <v>1</v>
      </c>
    </row>
    <row r="1851" spans="1:21" ht="3" customHeight="1">
      <c r="L1851" s="251"/>
      <c r="Q1851" s="251"/>
    </row>
    <row r="1852" spans="1:21" s="233" customFormat="1" ht="13.5" customHeight="1" collapsed="1">
      <c r="A1852" s="382" t="s">
        <v>27</v>
      </c>
      <c r="B1852" s="675"/>
      <c r="C1852" s="676"/>
      <c r="D1852" s="677"/>
      <c r="E1852" s="676" t="s">
        <v>277</v>
      </c>
      <c r="F1852" s="307"/>
      <c r="G1852" s="297"/>
      <c r="H1852" s="308"/>
      <c r="I1852" s="665"/>
      <c r="J1852" s="197"/>
      <c r="K1852" s="232"/>
      <c r="L1852" s="230">
        <f>SUM(L1853:L2157)</f>
        <v>41</v>
      </c>
      <c r="M1852" s="188">
        <v>48</v>
      </c>
      <c r="N1852" s="188"/>
      <c r="O1852" s="188">
        <f t="shared" ref="O1852:U1852" si="103">SUM(O1853:O2157)</f>
        <v>0</v>
      </c>
      <c r="P1852" s="188">
        <f t="shared" si="103"/>
        <v>0</v>
      </c>
      <c r="Q1852" s="230">
        <f t="shared" si="103"/>
        <v>5</v>
      </c>
      <c r="R1852" s="188">
        <f t="shared" si="103"/>
        <v>4</v>
      </c>
      <c r="S1852" s="188">
        <f t="shared" si="103"/>
        <v>1</v>
      </c>
      <c r="T1852" s="188">
        <f t="shared" si="103"/>
        <v>0</v>
      </c>
      <c r="U1852" s="188">
        <f t="shared" si="103"/>
        <v>0</v>
      </c>
    </row>
    <row r="1853" spans="1:21" s="233" customFormat="1" ht="3" hidden="1" customHeight="1" outlineLevel="1">
      <c r="A1853" s="678"/>
      <c r="B1853" s="299"/>
      <c r="C1853" s="304"/>
      <c r="D1853" s="685"/>
      <c r="E1853" s="306" t="s">
        <v>277</v>
      </c>
      <c r="F1853" s="307"/>
      <c r="G1853" s="297"/>
      <c r="H1853" s="308"/>
      <c r="I1853" s="661"/>
      <c r="J1853" s="197"/>
      <c r="K1853" s="232"/>
      <c r="L1853" s="234"/>
      <c r="M1853" s="197"/>
      <c r="N1853" s="197"/>
      <c r="O1853" s="197"/>
      <c r="P1853" s="197"/>
      <c r="Q1853" s="234"/>
      <c r="R1853" s="197"/>
      <c r="S1853" s="197"/>
      <c r="T1853" s="197"/>
      <c r="U1853" s="197"/>
    </row>
    <row r="1854" spans="1:21" s="233" customFormat="1" ht="13.5" hidden="1" customHeight="1" outlineLevel="1">
      <c r="A1854" s="681"/>
      <c r="B1854" s="299" t="s">
        <v>267</v>
      </c>
      <c r="C1854" s="304"/>
      <c r="D1854" s="685"/>
      <c r="E1854" s="306" t="s">
        <v>277</v>
      </c>
      <c r="F1854" s="307"/>
      <c r="G1854" s="297"/>
      <c r="H1854" s="308"/>
      <c r="I1854" s="661"/>
      <c r="J1854" s="197"/>
      <c r="K1854" s="232"/>
      <c r="L1854" s="234"/>
      <c r="M1854" s="197"/>
      <c r="N1854" s="197"/>
      <c r="O1854" s="197"/>
      <c r="P1854" s="197"/>
      <c r="Q1854" s="234"/>
      <c r="R1854" s="197"/>
      <c r="S1854" s="197"/>
      <c r="T1854" s="197"/>
      <c r="U1854" s="197"/>
    </row>
    <row r="1855" spans="1:21" s="233" customFormat="1" ht="13.5" hidden="1" customHeight="1" outlineLevel="2">
      <c r="A1855" s="681"/>
      <c r="B1855" s="299" t="s">
        <v>268</v>
      </c>
      <c r="C1855" s="304" t="s">
        <v>1140</v>
      </c>
      <c r="D1855" s="685" t="s">
        <v>270</v>
      </c>
      <c r="E1855" s="306" t="s">
        <v>271</v>
      </c>
      <c r="F1855" s="307"/>
      <c r="G1855" s="297" t="s">
        <v>1141</v>
      </c>
      <c r="H1855" s="308" t="str">
        <f>CONCATENATE("AR-",G1855,"-",I1855)</f>
        <v>AR-SDV-1</v>
      </c>
      <c r="I1855" s="661">
        <v>1</v>
      </c>
      <c r="J1855" s="197">
        <v>1</v>
      </c>
      <c r="K1855" s="232"/>
      <c r="L1855" s="234"/>
      <c r="M1855" s="197"/>
      <c r="N1855" s="197"/>
      <c r="O1855" s="197"/>
      <c r="P1855" s="197"/>
      <c r="Q1855" s="234"/>
      <c r="R1855" s="197"/>
      <c r="S1855" s="197"/>
      <c r="T1855" s="197"/>
      <c r="U1855" s="197"/>
    </row>
    <row r="1856" spans="1:21" s="233" customFormat="1" ht="13.5" hidden="1" customHeight="1" outlineLevel="2">
      <c r="A1856" s="681"/>
      <c r="B1856" s="299" t="s">
        <v>268</v>
      </c>
      <c r="C1856" s="304" t="s">
        <v>1140</v>
      </c>
      <c r="D1856" s="685" t="s">
        <v>273</v>
      </c>
      <c r="E1856" s="306" t="s">
        <v>274</v>
      </c>
      <c r="F1856" s="307"/>
      <c r="G1856" s="297" t="s">
        <v>1141</v>
      </c>
      <c r="H1856" s="308" t="str">
        <f>CONCATENATE("AR-",G1856,"-",I1856)</f>
        <v>AR-SDV-1</v>
      </c>
      <c r="I1856" s="661">
        <v>1</v>
      </c>
      <c r="J1856" s="197">
        <v>1</v>
      </c>
      <c r="K1856" s="232"/>
      <c r="L1856" s="234"/>
      <c r="M1856" s="197"/>
      <c r="N1856" s="197"/>
      <c r="O1856" s="197"/>
      <c r="P1856" s="197"/>
      <c r="Q1856" s="234"/>
      <c r="R1856" s="197"/>
      <c r="S1856" s="197"/>
      <c r="T1856" s="197"/>
      <c r="U1856" s="197"/>
    </row>
    <row r="1857" spans="1:21" s="233" customFormat="1" ht="14.25" hidden="1" customHeight="1" outlineLevel="2">
      <c r="A1857" s="681"/>
      <c r="B1857" s="299" t="s">
        <v>268</v>
      </c>
      <c r="C1857" s="304" t="s">
        <v>1140</v>
      </c>
      <c r="D1857" s="685" t="s">
        <v>275</v>
      </c>
      <c r="E1857" s="306" t="s">
        <v>1142</v>
      </c>
      <c r="F1857" s="307"/>
      <c r="G1857" s="297" t="s">
        <v>1141</v>
      </c>
      <c r="H1857" s="308" t="str">
        <f>CONCATENATE("AR-",G1857,"-",I1857)</f>
        <v>AR-SDV-1</v>
      </c>
      <c r="I1857" s="661">
        <v>1</v>
      </c>
      <c r="J1857" s="197">
        <v>1</v>
      </c>
      <c r="K1857" s="232"/>
      <c r="L1857" s="234"/>
      <c r="M1857" s="197"/>
      <c r="N1857" s="197"/>
      <c r="O1857" s="197"/>
      <c r="P1857" s="197"/>
      <c r="Q1857" s="234"/>
      <c r="R1857" s="197"/>
      <c r="S1857" s="197"/>
      <c r="T1857" s="197"/>
      <c r="U1857" s="197"/>
    </row>
    <row r="1858" spans="1:21" s="233" customFormat="1" ht="3" hidden="1" customHeight="1" outlineLevel="2">
      <c r="A1858" s="681"/>
      <c r="B1858" s="299"/>
      <c r="C1858" s="304"/>
      <c r="D1858" s="685"/>
      <c r="E1858" s="306" t="s">
        <v>277</v>
      </c>
      <c r="F1858" s="307"/>
      <c r="G1858" s="297"/>
      <c r="H1858" s="308"/>
      <c r="I1858" s="661"/>
      <c r="J1858" s="197"/>
      <c r="K1858" s="232"/>
      <c r="L1858" s="234"/>
      <c r="M1858" s="197"/>
      <c r="N1858" s="197"/>
      <c r="O1858" s="197"/>
      <c r="P1858" s="197"/>
      <c r="Q1858" s="234"/>
      <c r="R1858" s="197"/>
      <c r="S1858" s="197"/>
      <c r="T1858" s="197"/>
      <c r="U1858" s="197"/>
    </row>
    <row r="1859" spans="1:21" s="233" customFormat="1" ht="13.5" hidden="1" customHeight="1" outlineLevel="2">
      <c r="A1859" s="681"/>
      <c r="B1859" s="299" t="s">
        <v>1143</v>
      </c>
      <c r="C1859" s="304"/>
      <c r="D1859" s="685"/>
      <c r="E1859" s="306" t="s">
        <v>277</v>
      </c>
      <c r="F1859" s="307"/>
      <c r="G1859" s="297"/>
      <c r="H1859" s="308"/>
      <c r="I1859" s="661"/>
      <c r="J1859" s="197"/>
      <c r="K1859" s="232"/>
      <c r="L1859" s="234"/>
      <c r="M1859" s="197"/>
      <c r="N1859" s="197"/>
      <c r="O1859" s="197"/>
      <c r="P1859" s="197"/>
      <c r="Q1859" s="234"/>
      <c r="R1859" s="197"/>
      <c r="S1859" s="197"/>
      <c r="T1859" s="197"/>
      <c r="U1859" s="197"/>
    </row>
    <row r="1860" spans="1:21" s="233" customFormat="1" ht="14.25" hidden="1" customHeight="1" outlineLevel="2">
      <c r="A1860" s="681"/>
      <c r="B1860" s="299" t="s">
        <v>268</v>
      </c>
      <c r="C1860" s="304" t="s">
        <v>1140</v>
      </c>
      <c r="D1860" s="685" t="s">
        <v>1144</v>
      </c>
      <c r="E1860" s="306" t="s">
        <v>43</v>
      </c>
      <c r="F1860" s="307"/>
      <c r="G1860" s="297" t="s">
        <v>1141</v>
      </c>
      <c r="H1860" s="308" t="str">
        <f t="shared" ref="H1860:H1872" si="104">CONCATENATE("AR-",G1860,"-",I1860)</f>
        <v>AR-SDV-1</v>
      </c>
      <c r="I1860" s="661">
        <v>1</v>
      </c>
      <c r="J1860" s="197">
        <v>1</v>
      </c>
      <c r="K1860" s="232"/>
      <c r="L1860" s="234"/>
      <c r="M1860" s="197"/>
      <c r="N1860" s="197"/>
      <c r="O1860" s="197"/>
      <c r="P1860" s="197"/>
      <c r="Q1860" s="234"/>
      <c r="R1860" s="197"/>
      <c r="S1860" s="197"/>
      <c r="T1860" s="197"/>
      <c r="U1860" s="197"/>
    </row>
    <row r="1861" spans="1:21" s="233" customFormat="1" ht="14.25" hidden="1" customHeight="1" outlineLevel="2">
      <c r="A1861" s="681"/>
      <c r="B1861" s="299" t="s">
        <v>268</v>
      </c>
      <c r="C1861" s="304" t="s">
        <v>1140</v>
      </c>
      <c r="D1861" s="685" t="s">
        <v>1145</v>
      </c>
      <c r="E1861" s="306" t="s">
        <v>1146</v>
      </c>
      <c r="F1861" s="307"/>
      <c r="G1861" s="297" t="s">
        <v>1141</v>
      </c>
      <c r="H1861" s="308" t="str">
        <f t="shared" si="104"/>
        <v>AR-SDV-1</v>
      </c>
      <c r="I1861" s="661">
        <v>1</v>
      </c>
      <c r="J1861" s="197">
        <v>1</v>
      </c>
      <c r="K1861" s="232"/>
      <c r="L1861" s="234"/>
      <c r="M1861" s="197"/>
      <c r="N1861" s="197"/>
      <c r="O1861" s="197"/>
      <c r="P1861" s="197"/>
      <c r="Q1861" s="234"/>
      <c r="R1861" s="197"/>
      <c r="S1861" s="197"/>
      <c r="T1861" s="197"/>
      <c r="U1861" s="197"/>
    </row>
    <row r="1862" spans="1:21" s="233" customFormat="1" ht="14.25" hidden="1" customHeight="1" outlineLevel="2">
      <c r="A1862" s="681"/>
      <c r="B1862" s="299" t="s">
        <v>268</v>
      </c>
      <c r="C1862" s="304" t="s">
        <v>1140</v>
      </c>
      <c r="D1862" s="685" t="s">
        <v>1147</v>
      </c>
      <c r="E1862" s="306" t="s">
        <v>1148</v>
      </c>
      <c r="F1862" s="307"/>
      <c r="G1862" s="297" t="s">
        <v>1141</v>
      </c>
      <c r="H1862" s="308" t="str">
        <f t="shared" si="104"/>
        <v>AR-SDV-1</v>
      </c>
      <c r="I1862" s="661">
        <v>1</v>
      </c>
      <c r="J1862" s="197">
        <v>1</v>
      </c>
      <c r="K1862" s="232"/>
      <c r="L1862" s="237"/>
      <c r="M1862" s="197"/>
      <c r="N1862" s="197"/>
      <c r="O1862" s="197"/>
      <c r="P1862" s="197"/>
      <c r="Q1862" s="234"/>
      <c r="R1862" s="197"/>
      <c r="S1862" s="197"/>
      <c r="T1862" s="197"/>
      <c r="U1862" s="197"/>
    </row>
    <row r="1863" spans="1:21" s="233" customFormat="1" ht="14.25" hidden="1" customHeight="1" outlineLevel="2">
      <c r="A1863" s="681"/>
      <c r="B1863" s="299" t="s">
        <v>268</v>
      </c>
      <c r="C1863" s="304" t="s">
        <v>1140</v>
      </c>
      <c r="D1863" s="685" t="s">
        <v>1149</v>
      </c>
      <c r="E1863" s="306" t="s">
        <v>1150</v>
      </c>
      <c r="F1863" s="307"/>
      <c r="G1863" s="297" t="s">
        <v>1141</v>
      </c>
      <c r="H1863" s="308" t="str">
        <f t="shared" si="104"/>
        <v>AR-SDV-3</v>
      </c>
      <c r="I1863" s="661">
        <v>3</v>
      </c>
      <c r="J1863" s="197">
        <v>1</v>
      </c>
      <c r="K1863" s="232"/>
      <c r="L1863" s="237"/>
      <c r="M1863" s="197"/>
      <c r="N1863" s="197"/>
      <c r="O1863" s="197"/>
      <c r="P1863" s="197"/>
      <c r="Q1863" s="234"/>
      <c r="R1863" s="197"/>
      <c r="S1863" s="197"/>
      <c r="T1863" s="197"/>
      <c r="U1863" s="197"/>
    </row>
    <row r="1864" spans="1:21" s="233" customFormat="1" ht="14.25" hidden="1" customHeight="1" outlineLevel="2">
      <c r="A1864" s="681"/>
      <c r="B1864" s="299" t="s">
        <v>268</v>
      </c>
      <c r="C1864" s="304" t="s">
        <v>1140</v>
      </c>
      <c r="D1864" s="685" t="s">
        <v>1151</v>
      </c>
      <c r="E1864" s="306" t="s">
        <v>1152</v>
      </c>
      <c r="F1864" s="307"/>
      <c r="G1864" s="297" t="s">
        <v>1141</v>
      </c>
      <c r="H1864" s="308" t="str">
        <f t="shared" si="104"/>
        <v>AR-SDV-1</v>
      </c>
      <c r="I1864" s="661">
        <v>1</v>
      </c>
      <c r="J1864" s="197">
        <v>1</v>
      </c>
      <c r="K1864" s="232"/>
      <c r="L1864" s="237"/>
      <c r="M1864" s="197"/>
      <c r="N1864" s="197"/>
      <c r="O1864" s="197"/>
      <c r="P1864" s="197"/>
      <c r="Q1864" s="234"/>
      <c r="R1864" s="197"/>
      <c r="S1864" s="197"/>
      <c r="T1864" s="197"/>
      <c r="U1864" s="197"/>
    </row>
    <row r="1865" spans="1:21" s="233" customFormat="1" ht="14.25" hidden="1" customHeight="1" outlineLevel="2">
      <c r="A1865" s="681"/>
      <c r="B1865" s="299" t="s">
        <v>268</v>
      </c>
      <c r="C1865" s="304" t="s">
        <v>1140</v>
      </c>
      <c r="D1865" s="685" t="s">
        <v>1153</v>
      </c>
      <c r="E1865" s="306" t="s">
        <v>1154</v>
      </c>
      <c r="F1865" s="307"/>
      <c r="G1865" s="297" t="s">
        <v>1141</v>
      </c>
      <c r="H1865" s="308" t="str">
        <f t="shared" si="104"/>
        <v>AR-SDV-1</v>
      </c>
      <c r="I1865" s="661">
        <v>1</v>
      </c>
      <c r="J1865" s="197">
        <v>1</v>
      </c>
      <c r="K1865" s="232"/>
      <c r="L1865" s="237"/>
      <c r="M1865" s="197"/>
      <c r="N1865" s="197"/>
      <c r="O1865" s="197"/>
      <c r="P1865" s="197"/>
      <c r="Q1865" s="234"/>
      <c r="R1865" s="197"/>
      <c r="S1865" s="197"/>
      <c r="T1865" s="197"/>
      <c r="U1865" s="197"/>
    </row>
    <row r="1866" spans="1:21" s="233" customFormat="1" ht="14.25" hidden="1" customHeight="1" outlineLevel="2">
      <c r="A1866" s="681"/>
      <c r="B1866" s="299" t="s">
        <v>268</v>
      </c>
      <c r="C1866" s="304" t="s">
        <v>1140</v>
      </c>
      <c r="D1866" s="685" t="s">
        <v>1155</v>
      </c>
      <c r="E1866" s="306" t="s">
        <v>1156</v>
      </c>
      <c r="F1866" s="307"/>
      <c r="G1866" s="297" t="s">
        <v>1141</v>
      </c>
      <c r="H1866" s="308" t="str">
        <f t="shared" si="104"/>
        <v>AR-SDV-1</v>
      </c>
      <c r="I1866" s="661">
        <v>1</v>
      </c>
      <c r="J1866" s="197">
        <v>1</v>
      </c>
      <c r="K1866" s="232"/>
      <c r="L1866" s="234"/>
      <c r="M1866" s="197"/>
      <c r="N1866" s="197"/>
      <c r="O1866" s="197"/>
      <c r="P1866" s="197"/>
      <c r="Q1866" s="234"/>
      <c r="R1866" s="197"/>
      <c r="S1866" s="197"/>
      <c r="T1866" s="197"/>
      <c r="U1866" s="197"/>
    </row>
    <row r="1867" spans="1:21" s="233" customFormat="1" ht="14.25" hidden="1" customHeight="1" outlineLevel="2">
      <c r="A1867" s="681"/>
      <c r="B1867" s="299" t="s">
        <v>268</v>
      </c>
      <c r="C1867" s="304" t="s">
        <v>1140</v>
      </c>
      <c r="D1867" s="685" t="s">
        <v>1157</v>
      </c>
      <c r="E1867" s="306" t="s">
        <v>1158</v>
      </c>
      <c r="F1867" s="307"/>
      <c r="G1867" s="297" t="s">
        <v>1141</v>
      </c>
      <c r="H1867" s="308" t="str">
        <f t="shared" si="104"/>
        <v>AR-SDV-NA</v>
      </c>
      <c r="I1867" s="661" t="s">
        <v>293</v>
      </c>
      <c r="J1867" s="197"/>
      <c r="K1867" s="232"/>
      <c r="L1867" s="234"/>
      <c r="M1867" s="197"/>
      <c r="Q1867" s="234"/>
    </row>
    <row r="1868" spans="1:21" s="233" customFormat="1" ht="14.25" hidden="1" customHeight="1" outlineLevel="2">
      <c r="A1868" s="681"/>
      <c r="B1868" s="299" t="s">
        <v>268</v>
      </c>
      <c r="C1868" s="304" t="s">
        <v>1140</v>
      </c>
      <c r="D1868" s="685" t="s">
        <v>1159</v>
      </c>
      <c r="E1868" s="306" t="s">
        <v>1160</v>
      </c>
      <c r="F1868" s="307"/>
      <c r="G1868" s="297" t="s">
        <v>1141</v>
      </c>
      <c r="H1868" s="308" t="str">
        <f t="shared" si="104"/>
        <v>AR-SDV-1</v>
      </c>
      <c r="I1868" s="661">
        <v>1</v>
      </c>
      <c r="J1868" s="197">
        <v>1</v>
      </c>
      <c r="K1868" s="232"/>
      <c r="L1868" s="234"/>
      <c r="M1868" s="197"/>
      <c r="Q1868" s="234"/>
    </row>
    <row r="1869" spans="1:21" s="233" customFormat="1" ht="13.5" hidden="1" customHeight="1" outlineLevel="2">
      <c r="A1869" s="681"/>
      <c r="B1869" s="299" t="s">
        <v>268</v>
      </c>
      <c r="C1869" s="304" t="s">
        <v>1140</v>
      </c>
      <c r="D1869" s="685" t="s">
        <v>1161</v>
      </c>
      <c r="E1869" s="306" t="s">
        <v>1162</v>
      </c>
      <c r="F1869" s="307"/>
      <c r="G1869" s="297" t="s">
        <v>1141</v>
      </c>
      <c r="H1869" s="308" t="str">
        <f t="shared" si="104"/>
        <v>AR-SDV-1</v>
      </c>
      <c r="I1869" s="661">
        <v>1</v>
      </c>
      <c r="J1869" s="197">
        <v>1</v>
      </c>
      <c r="K1869" s="232"/>
      <c r="L1869" s="234"/>
      <c r="M1869" s="197"/>
      <c r="Q1869" s="234"/>
    </row>
    <row r="1870" spans="1:21" s="233" customFormat="1" ht="14.1" hidden="1" customHeight="1" outlineLevel="2">
      <c r="A1870" s="681"/>
      <c r="B1870" s="299" t="s">
        <v>268</v>
      </c>
      <c r="C1870" s="304" t="s">
        <v>1140</v>
      </c>
      <c r="D1870" s="685" t="s">
        <v>1163</v>
      </c>
      <c r="E1870" s="306" t="s">
        <v>1164</v>
      </c>
      <c r="F1870" s="307"/>
      <c r="G1870" s="297" t="s">
        <v>1141</v>
      </c>
      <c r="H1870" s="308" t="str">
        <f t="shared" si="104"/>
        <v>AR-SDV-1</v>
      </c>
      <c r="I1870" s="661">
        <v>1</v>
      </c>
      <c r="J1870" s="197"/>
      <c r="K1870" s="232"/>
      <c r="L1870" s="234">
        <v>1</v>
      </c>
      <c r="M1870" s="197">
        <v>1</v>
      </c>
      <c r="Q1870" s="234">
        <v>1</v>
      </c>
      <c r="S1870" s="233">
        <v>1</v>
      </c>
    </row>
    <row r="1871" spans="1:21" s="233" customFormat="1" ht="14.25" hidden="1" customHeight="1" outlineLevel="2">
      <c r="A1871" s="681"/>
      <c r="B1871" s="299" t="s">
        <v>268</v>
      </c>
      <c r="C1871" s="304" t="s">
        <v>1140</v>
      </c>
      <c r="D1871" s="685" t="s">
        <v>1165</v>
      </c>
      <c r="E1871" s="306" t="s">
        <v>1166</v>
      </c>
      <c r="F1871" s="307"/>
      <c r="G1871" s="297" t="s">
        <v>1141</v>
      </c>
      <c r="H1871" s="308" t="str">
        <f t="shared" si="104"/>
        <v>AR-SDV-NA</v>
      </c>
      <c r="I1871" s="665" t="s">
        <v>293</v>
      </c>
      <c r="J1871" s="197"/>
      <c r="K1871" s="232"/>
      <c r="L1871" s="234"/>
      <c r="M1871" s="197"/>
      <c r="Q1871" s="234"/>
    </row>
    <row r="1872" spans="1:21" s="233" customFormat="1" ht="14.25" hidden="1" customHeight="1" outlineLevel="2">
      <c r="A1872" s="681"/>
      <c r="B1872" s="299" t="s">
        <v>268</v>
      </c>
      <c r="C1872" s="304" t="s">
        <v>1140</v>
      </c>
      <c r="D1872" s="685" t="s">
        <v>1167</v>
      </c>
      <c r="E1872" s="306" t="s">
        <v>1168</v>
      </c>
      <c r="F1872" s="307"/>
      <c r="G1872" s="297" t="s">
        <v>1141</v>
      </c>
      <c r="H1872" s="308" t="str">
        <f t="shared" si="104"/>
        <v>AR-SDV-NA</v>
      </c>
      <c r="I1872" s="665" t="s">
        <v>293</v>
      </c>
      <c r="J1872" s="197"/>
      <c r="K1872" s="232"/>
      <c r="L1872" s="234"/>
      <c r="M1872" s="197"/>
      <c r="Q1872" s="234"/>
    </row>
    <row r="1873" spans="1:17" s="233" customFormat="1" ht="13.5" hidden="1" customHeight="1" outlineLevel="2">
      <c r="A1873" s="681"/>
      <c r="B1873" s="299" t="s">
        <v>1169</v>
      </c>
      <c r="C1873" s="304"/>
      <c r="D1873" s="685"/>
      <c r="E1873" s="306" t="s">
        <v>277</v>
      </c>
      <c r="F1873" s="307"/>
      <c r="G1873" s="297"/>
      <c r="H1873" s="308"/>
      <c r="I1873" s="661"/>
      <c r="J1873" s="197"/>
      <c r="K1873" s="232"/>
      <c r="L1873" s="234"/>
      <c r="M1873" s="197"/>
      <c r="Q1873" s="234"/>
    </row>
    <row r="1874" spans="1:17" s="233" customFormat="1" ht="14.25" hidden="1" customHeight="1" outlineLevel="2">
      <c r="A1874" s="681"/>
      <c r="B1874" s="299" t="s">
        <v>268</v>
      </c>
      <c r="C1874" s="304" t="s">
        <v>1140</v>
      </c>
      <c r="D1874" s="685" t="s">
        <v>1144</v>
      </c>
      <c r="E1874" s="306" t="s">
        <v>1170</v>
      </c>
      <c r="F1874" s="307"/>
      <c r="G1874" s="297" t="s">
        <v>1141</v>
      </c>
      <c r="H1874" s="308" t="str">
        <f>CONCATENATE("AR-",G1874,"-",I1874)</f>
        <v>AR-SDV-1</v>
      </c>
      <c r="I1874" s="661">
        <v>1</v>
      </c>
      <c r="J1874" s="197">
        <v>1</v>
      </c>
      <c r="K1874" s="232"/>
      <c r="L1874" s="234"/>
      <c r="M1874" s="197"/>
      <c r="Q1874" s="234"/>
    </row>
    <row r="1875" spans="1:17" s="233" customFormat="1" ht="14.25" hidden="1" customHeight="1" outlineLevel="2">
      <c r="A1875" s="681"/>
      <c r="B1875" s="299" t="s">
        <v>268</v>
      </c>
      <c r="C1875" s="304" t="s">
        <v>1140</v>
      </c>
      <c r="D1875" s="685" t="s">
        <v>1145</v>
      </c>
      <c r="E1875" s="306" t="s">
        <v>1171</v>
      </c>
      <c r="F1875" s="307"/>
      <c r="G1875" s="297" t="s">
        <v>1141</v>
      </c>
      <c r="H1875" s="308" t="str">
        <f>CONCATENATE("AR-",G1875,"-",I1875)</f>
        <v>AR-SDV-1</v>
      </c>
      <c r="I1875" s="661">
        <v>1</v>
      </c>
      <c r="J1875" s="197">
        <v>1</v>
      </c>
      <c r="K1875" s="232"/>
      <c r="L1875" s="234"/>
      <c r="M1875" s="197"/>
      <c r="Q1875" s="234"/>
    </row>
    <row r="1876" spans="1:17" s="233" customFormat="1" ht="14.25" hidden="1" customHeight="1" outlineLevel="2">
      <c r="A1876" s="681"/>
      <c r="B1876" s="299" t="s">
        <v>268</v>
      </c>
      <c r="C1876" s="304" t="s">
        <v>1140</v>
      </c>
      <c r="D1876" s="685" t="s">
        <v>1147</v>
      </c>
      <c r="E1876" s="306" t="s">
        <v>1172</v>
      </c>
      <c r="F1876" s="307"/>
      <c r="G1876" s="297" t="s">
        <v>1141</v>
      </c>
      <c r="H1876" s="308" t="str">
        <f>CONCATENATE("AR-",G1876,"-",I1876)</f>
        <v>AR-SDV-1</v>
      </c>
      <c r="I1876" s="661">
        <v>1</v>
      </c>
      <c r="J1876" s="197">
        <v>1</v>
      </c>
      <c r="K1876" s="232"/>
      <c r="L1876" s="237"/>
      <c r="M1876" s="197"/>
      <c r="Q1876" s="234"/>
    </row>
    <row r="1877" spans="1:17" s="233" customFormat="1" ht="14.25" hidden="1" customHeight="1" outlineLevel="2">
      <c r="A1877" s="681"/>
      <c r="B1877" s="299"/>
      <c r="C1877" s="304"/>
      <c r="D1877" s="685"/>
      <c r="E1877" s="306" t="s">
        <v>277</v>
      </c>
      <c r="F1877" s="307"/>
      <c r="G1877" s="297"/>
      <c r="H1877" s="308"/>
      <c r="I1877" s="661"/>
      <c r="J1877" s="197"/>
      <c r="K1877" s="232"/>
      <c r="L1877" s="234"/>
      <c r="M1877" s="197"/>
      <c r="Q1877" s="237"/>
    </row>
    <row r="1878" spans="1:17" s="233" customFormat="1" ht="3" hidden="1" customHeight="1" outlineLevel="2">
      <c r="A1878" s="681"/>
      <c r="B1878" s="299"/>
      <c r="C1878" s="304"/>
      <c r="D1878" s="685"/>
      <c r="E1878" s="306" t="s">
        <v>277</v>
      </c>
      <c r="F1878" s="307"/>
      <c r="G1878" s="297"/>
      <c r="H1878" s="308"/>
      <c r="I1878" s="661"/>
      <c r="J1878" s="197"/>
      <c r="K1878" s="232"/>
      <c r="L1878" s="234"/>
      <c r="M1878" s="197"/>
      <c r="Q1878" s="237"/>
    </row>
    <row r="1879" spans="1:17" s="233" customFormat="1" ht="13.5" hidden="1" customHeight="1" outlineLevel="2">
      <c r="A1879" s="681"/>
      <c r="B1879" s="299" t="s">
        <v>1173</v>
      </c>
      <c r="C1879" s="304"/>
      <c r="D1879" s="685"/>
      <c r="E1879" s="306" t="s">
        <v>277</v>
      </c>
      <c r="F1879" s="307"/>
      <c r="G1879" s="297"/>
      <c r="H1879" s="308"/>
      <c r="I1879" s="661"/>
      <c r="J1879" s="197"/>
      <c r="K1879" s="232"/>
      <c r="L1879" s="234"/>
      <c r="M1879" s="197"/>
      <c r="Q1879" s="237"/>
    </row>
    <row r="1880" spans="1:17" s="233" customFormat="1" ht="14.25" hidden="1" customHeight="1" outlineLevel="2">
      <c r="A1880" s="681"/>
      <c r="B1880" s="299" t="s">
        <v>268</v>
      </c>
      <c r="C1880" s="304" t="s">
        <v>1140</v>
      </c>
      <c r="D1880" s="685" t="s">
        <v>1174</v>
      </c>
      <c r="E1880" s="306" t="s">
        <v>1175</v>
      </c>
      <c r="F1880" s="307"/>
      <c r="G1880" s="297" t="s">
        <v>1141</v>
      </c>
      <c r="H1880" s="308" t="str">
        <f>CONCATENATE("AR-",G1880,"-",I1880)</f>
        <v>AR-SDV-1</v>
      </c>
      <c r="I1880" s="661">
        <v>1</v>
      </c>
      <c r="J1880" s="197">
        <v>1</v>
      </c>
      <c r="K1880" s="232"/>
      <c r="L1880" s="234"/>
      <c r="M1880" s="197"/>
      <c r="Q1880" s="237"/>
    </row>
    <row r="1881" spans="1:17" s="233" customFormat="1" ht="14.25" hidden="1" customHeight="1" outlineLevel="2">
      <c r="A1881" s="681"/>
      <c r="B1881" s="299" t="s">
        <v>268</v>
      </c>
      <c r="C1881" s="304" t="s">
        <v>1140</v>
      </c>
      <c r="D1881" s="685" t="s">
        <v>1176</v>
      </c>
      <c r="E1881" s="306" t="s">
        <v>1177</v>
      </c>
      <c r="F1881" s="307"/>
      <c r="G1881" s="297" t="s">
        <v>1141</v>
      </c>
      <c r="H1881" s="308" t="str">
        <f>CONCATENATE("AR-",G1881,"-",I1881)</f>
        <v>AR-SDV-1</v>
      </c>
      <c r="I1881" s="661">
        <v>1</v>
      </c>
      <c r="J1881" s="197">
        <v>1</v>
      </c>
      <c r="K1881" s="232"/>
      <c r="L1881" s="234"/>
      <c r="M1881" s="197"/>
      <c r="Q1881" s="237"/>
    </row>
    <row r="1882" spans="1:17" s="233" customFormat="1" ht="14.25" hidden="1" customHeight="1" outlineLevel="2">
      <c r="A1882" s="681"/>
      <c r="B1882" s="299" t="s">
        <v>268</v>
      </c>
      <c r="C1882" s="304" t="s">
        <v>1140</v>
      </c>
      <c r="D1882" s="685" t="s">
        <v>1178</v>
      </c>
      <c r="E1882" s="306" t="s">
        <v>1179</v>
      </c>
      <c r="F1882" s="307"/>
      <c r="G1882" s="297" t="s">
        <v>1141</v>
      </c>
      <c r="H1882" s="308" t="str">
        <f>CONCATENATE("AR-",G1882,"-",I1882)</f>
        <v>AR-SDV-1</v>
      </c>
      <c r="I1882" s="661">
        <v>1</v>
      </c>
      <c r="J1882" s="197">
        <v>1</v>
      </c>
      <c r="K1882" s="232"/>
      <c r="L1882" s="234"/>
      <c r="M1882" s="197"/>
      <c r="Q1882" s="237"/>
    </row>
    <row r="1883" spans="1:17" s="233" customFormat="1" ht="14.25" hidden="1" customHeight="1" outlineLevel="2">
      <c r="A1883" s="681"/>
      <c r="B1883" s="299" t="s">
        <v>268</v>
      </c>
      <c r="C1883" s="304" t="s">
        <v>1140</v>
      </c>
      <c r="D1883" s="685" t="s">
        <v>1180</v>
      </c>
      <c r="E1883" s="306" t="s">
        <v>1181</v>
      </c>
      <c r="F1883" s="307"/>
      <c r="G1883" s="297" t="s">
        <v>1141</v>
      </c>
      <c r="H1883" s="308" t="str">
        <f>CONCATENATE("AR-",G1883,"-",I1883)</f>
        <v>AR-SDV-1</v>
      </c>
      <c r="I1883" s="661">
        <v>1</v>
      </c>
      <c r="J1883" s="197">
        <v>1</v>
      </c>
      <c r="L1883" s="237"/>
      <c r="Q1883" s="237"/>
    </row>
    <row r="1884" spans="1:17" s="233" customFormat="1" ht="3" hidden="1" customHeight="1" outlineLevel="2">
      <c r="A1884" s="681"/>
      <c r="B1884" s="299"/>
      <c r="C1884" s="304"/>
      <c r="D1884" s="685"/>
      <c r="E1884" s="306" t="s">
        <v>277</v>
      </c>
      <c r="F1884" s="307"/>
      <c r="G1884" s="297"/>
      <c r="H1884" s="308"/>
      <c r="I1884" s="661"/>
      <c r="J1884" s="197"/>
      <c r="L1884" s="237"/>
      <c r="Q1884" s="237"/>
    </row>
    <row r="1885" spans="1:17" s="233" customFormat="1" ht="13.5" hidden="1" customHeight="1" outlineLevel="2">
      <c r="A1885" s="681"/>
      <c r="B1885" s="299" t="s">
        <v>1182</v>
      </c>
      <c r="C1885" s="304"/>
      <c r="D1885" s="685"/>
      <c r="E1885" s="306" t="s">
        <v>277</v>
      </c>
      <c r="F1885" s="307"/>
      <c r="G1885" s="297"/>
      <c r="H1885" s="308"/>
      <c r="I1885" s="661"/>
      <c r="J1885" s="197"/>
      <c r="L1885" s="237"/>
      <c r="Q1885" s="237"/>
    </row>
    <row r="1886" spans="1:17" s="233" customFormat="1" ht="14.25" hidden="1" customHeight="1" outlineLevel="2">
      <c r="A1886" s="681"/>
      <c r="B1886" s="299" t="s">
        <v>268</v>
      </c>
      <c r="C1886" s="304" t="s">
        <v>1140</v>
      </c>
      <c r="D1886" s="685" t="s">
        <v>1183</v>
      </c>
      <c r="E1886" s="306" t="s">
        <v>1184</v>
      </c>
      <c r="F1886" s="307"/>
      <c r="G1886" s="297" t="s">
        <v>1141</v>
      </c>
      <c r="H1886" s="308" t="str">
        <f t="shared" ref="H1886:H1892" si="105">CONCATENATE("AR-",G1886,"-",I1886)</f>
        <v>AR-SDV-1</v>
      </c>
      <c r="I1886" s="661">
        <v>1</v>
      </c>
      <c r="J1886" s="197">
        <v>1</v>
      </c>
      <c r="L1886" s="237"/>
      <c r="Q1886" s="237"/>
    </row>
    <row r="1887" spans="1:17" s="233" customFormat="1" ht="14.25" hidden="1" customHeight="1" outlineLevel="2">
      <c r="A1887" s="681"/>
      <c r="B1887" s="299" t="s">
        <v>268</v>
      </c>
      <c r="C1887" s="304" t="s">
        <v>1140</v>
      </c>
      <c r="D1887" s="685" t="s">
        <v>1185</v>
      </c>
      <c r="E1887" s="306" t="s">
        <v>1186</v>
      </c>
      <c r="F1887" s="307"/>
      <c r="G1887" s="297" t="s">
        <v>1141</v>
      </c>
      <c r="H1887" s="308" t="str">
        <f t="shared" si="105"/>
        <v>AR-SDV-1</v>
      </c>
      <c r="I1887" s="661">
        <v>1</v>
      </c>
      <c r="J1887" s="197">
        <v>1</v>
      </c>
      <c r="L1887" s="237"/>
      <c r="Q1887" s="237"/>
    </row>
    <row r="1888" spans="1:17" s="233" customFormat="1" ht="14.25" hidden="1" customHeight="1" outlineLevel="2">
      <c r="A1888" s="681"/>
      <c r="B1888" s="299" t="s">
        <v>268</v>
      </c>
      <c r="C1888" s="304" t="s">
        <v>1140</v>
      </c>
      <c r="D1888" s="685" t="s">
        <v>337</v>
      </c>
      <c r="E1888" s="306" t="s">
        <v>1187</v>
      </c>
      <c r="F1888" s="307"/>
      <c r="G1888" s="297" t="s">
        <v>1141</v>
      </c>
      <c r="H1888" s="308" t="str">
        <f t="shared" si="105"/>
        <v>AR-SDV-1</v>
      </c>
      <c r="I1888" s="661">
        <v>1</v>
      </c>
      <c r="J1888" s="197">
        <v>1</v>
      </c>
      <c r="L1888" s="237"/>
      <c r="Q1888" s="237"/>
    </row>
    <row r="1889" spans="1:18" s="233" customFormat="1" ht="14.25" hidden="1" customHeight="1" outlineLevel="2">
      <c r="A1889" s="681"/>
      <c r="B1889" s="299" t="s">
        <v>268</v>
      </c>
      <c r="C1889" s="304" t="s">
        <v>1140</v>
      </c>
      <c r="D1889" s="685" t="s">
        <v>1188</v>
      </c>
      <c r="E1889" s="306" t="s">
        <v>1189</v>
      </c>
      <c r="F1889" s="307"/>
      <c r="G1889" s="297" t="s">
        <v>1141</v>
      </c>
      <c r="H1889" s="308" t="str">
        <f t="shared" si="105"/>
        <v>AR-SDV-1</v>
      </c>
      <c r="I1889" s="661">
        <v>1</v>
      </c>
      <c r="J1889" s="197">
        <v>1</v>
      </c>
      <c r="L1889" s="237"/>
      <c r="Q1889" s="237"/>
    </row>
    <row r="1890" spans="1:18" s="233" customFormat="1" ht="14.25" hidden="1" customHeight="1" outlineLevel="2">
      <c r="A1890" s="681"/>
      <c r="B1890" s="299" t="s">
        <v>268</v>
      </c>
      <c r="C1890" s="304" t="s">
        <v>1140</v>
      </c>
      <c r="D1890" s="685" t="s">
        <v>1188</v>
      </c>
      <c r="E1890" s="306" t="s">
        <v>1190</v>
      </c>
      <c r="F1890" s="307"/>
      <c r="G1890" s="297" t="s">
        <v>1141</v>
      </c>
      <c r="H1890" s="308" t="str">
        <f t="shared" si="105"/>
        <v>AR-SDV-1</v>
      </c>
      <c r="I1890" s="661">
        <v>1</v>
      </c>
      <c r="J1890" s="197">
        <v>1</v>
      </c>
      <c r="L1890" s="237"/>
      <c r="Q1890" s="237"/>
    </row>
    <row r="1891" spans="1:18" s="233" customFormat="1" ht="14.25" hidden="1" customHeight="1" outlineLevel="2">
      <c r="A1891" s="681"/>
      <c r="B1891" s="299" t="s">
        <v>268</v>
      </c>
      <c r="C1891" s="304" t="s">
        <v>1140</v>
      </c>
      <c r="D1891" s="685" t="s">
        <v>1191</v>
      </c>
      <c r="E1891" s="306" t="s">
        <v>1192</v>
      </c>
      <c r="F1891" s="307"/>
      <c r="G1891" s="297" t="s">
        <v>1141</v>
      </c>
      <c r="H1891" s="308" t="str">
        <f t="shared" si="105"/>
        <v>AR-SDV-1</v>
      </c>
      <c r="I1891" s="661">
        <v>1</v>
      </c>
      <c r="J1891" s="197">
        <v>1</v>
      </c>
      <c r="L1891" s="237"/>
      <c r="Q1891" s="237"/>
    </row>
    <row r="1892" spans="1:18" s="233" customFormat="1" ht="14.25" hidden="1" customHeight="1" outlineLevel="2">
      <c r="A1892" s="681"/>
      <c r="B1892" s="299" t="s">
        <v>268</v>
      </c>
      <c r="C1892" s="304" t="s">
        <v>1140</v>
      </c>
      <c r="D1892" s="685" t="s">
        <v>335</v>
      </c>
      <c r="E1892" s="306" t="s">
        <v>1193</v>
      </c>
      <c r="F1892" s="307"/>
      <c r="G1892" s="297" t="s">
        <v>1141</v>
      </c>
      <c r="H1892" s="308" t="str">
        <f t="shared" si="105"/>
        <v>AR-SDV-1</v>
      </c>
      <c r="I1892" s="661">
        <v>1</v>
      </c>
      <c r="J1892" s="197">
        <v>1</v>
      </c>
      <c r="L1892" s="237"/>
      <c r="Q1892" s="237"/>
    </row>
    <row r="1893" spans="1:18" s="233" customFormat="1" ht="3" hidden="1" customHeight="1" outlineLevel="2">
      <c r="A1893" s="681"/>
      <c r="B1893" s="299"/>
      <c r="C1893" s="304"/>
      <c r="D1893" s="685"/>
      <c r="E1893" s="306" t="s">
        <v>277</v>
      </c>
      <c r="F1893" s="307"/>
      <c r="G1893" s="297"/>
      <c r="H1893" s="308"/>
      <c r="I1893" s="661"/>
      <c r="J1893" s="197"/>
      <c r="L1893" s="237"/>
      <c r="Q1893" s="237"/>
    </row>
    <row r="1894" spans="1:18" s="233" customFormat="1" ht="13.5" hidden="1" customHeight="1" outlineLevel="2">
      <c r="A1894" s="681"/>
      <c r="B1894" s="299" t="s">
        <v>1194</v>
      </c>
      <c r="C1894" s="304"/>
      <c r="D1894" s="685"/>
      <c r="E1894" s="306" t="s">
        <v>277</v>
      </c>
      <c r="F1894" s="307"/>
      <c r="G1894" s="297"/>
      <c r="H1894" s="308"/>
      <c r="I1894" s="661"/>
      <c r="J1894" s="197"/>
      <c r="L1894" s="237"/>
      <c r="Q1894" s="237"/>
    </row>
    <row r="1895" spans="1:18" s="233" customFormat="1" ht="14.25" hidden="1" customHeight="1" outlineLevel="2">
      <c r="A1895" s="681"/>
      <c r="B1895" s="299" t="s">
        <v>268</v>
      </c>
      <c r="C1895" s="304" t="s">
        <v>1140</v>
      </c>
      <c r="D1895" s="685" t="s">
        <v>1023</v>
      </c>
      <c r="E1895" s="306" t="s">
        <v>1195</v>
      </c>
      <c r="F1895" s="307"/>
      <c r="G1895" s="297" t="s">
        <v>1141</v>
      </c>
      <c r="H1895" s="308" t="str">
        <f>CONCATENATE("AR-",G1895,"-",I1895)</f>
        <v>AR-SDV-2</v>
      </c>
      <c r="I1895" s="661">
        <v>2</v>
      </c>
      <c r="J1895" s="197">
        <v>1</v>
      </c>
      <c r="L1895" s="237"/>
      <c r="Q1895" s="237"/>
    </row>
    <row r="1896" spans="1:18" s="233" customFormat="1" ht="3" hidden="1" customHeight="1" outlineLevel="2">
      <c r="A1896" s="681"/>
      <c r="B1896" s="299"/>
      <c r="C1896" s="304"/>
      <c r="D1896" s="685"/>
      <c r="E1896" s="306" t="s">
        <v>277</v>
      </c>
      <c r="F1896" s="307"/>
      <c r="G1896" s="297"/>
      <c r="H1896" s="308"/>
      <c r="I1896" s="661"/>
      <c r="J1896" s="197"/>
      <c r="L1896" s="237"/>
      <c r="Q1896" s="237"/>
    </row>
    <row r="1897" spans="1:18" s="233" customFormat="1" ht="13.5" hidden="1" customHeight="1" outlineLevel="2">
      <c r="A1897" s="681"/>
      <c r="B1897" s="299" t="s">
        <v>1196</v>
      </c>
      <c r="C1897" s="304"/>
      <c r="D1897" s="685"/>
      <c r="E1897" s="306" t="s">
        <v>277</v>
      </c>
      <c r="F1897" s="307"/>
      <c r="G1897" s="297"/>
      <c r="H1897" s="308"/>
      <c r="I1897" s="661"/>
      <c r="J1897" s="197"/>
      <c r="L1897" s="237"/>
      <c r="Q1897" s="237"/>
    </row>
    <row r="1898" spans="1:18" s="233" customFormat="1" ht="14.25" hidden="1" customHeight="1" outlineLevel="2">
      <c r="A1898" s="681"/>
      <c r="B1898" s="299" t="s">
        <v>268</v>
      </c>
      <c r="C1898" s="304" t="s">
        <v>1140</v>
      </c>
      <c r="D1898" s="685" t="s">
        <v>320</v>
      </c>
      <c r="E1898" s="306" t="s">
        <v>1197</v>
      </c>
      <c r="F1898" s="307"/>
      <c r="G1898" s="297" t="s">
        <v>1141</v>
      </c>
      <c r="H1898" s="308" t="str">
        <f>CONCATENATE("AR-",G1898,"-",I1898)</f>
        <v>AR-SDV-NA</v>
      </c>
      <c r="I1898" s="665" t="s">
        <v>293</v>
      </c>
      <c r="J1898" s="197"/>
      <c r="L1898" s="237"/>
      <c r="Q1898" s="237"/>
    </row>
    <row r="1899" spans="1:18" s="233" customFormat="1" ht="14.25" hidden="1" customHeight="1" outlineLevel="2">
      <c r="A1899" s="681"/>
      <c r="B1899" s="299" t="s">
        <v>268</v>
      </c>
      <c r="C1899" s="304" t="s">
        <v>1140</v>
      </c>
      <c r="D1899" s="685" t="s">
        <v>322</v>
      </c>
      <c r="E1899" s="306" t="s">
        <v>1198</v>
      </c>
      <c r="F1899" s="307"/>
      <c r="G1899" s="297" t="s">
        <v>1141</v>
      </c>
      <c r="H1899" s="308" t="str">
        <f>CONCATENATE("AR-",G1899,"-",I1899)</f>
        <v>AR-SDV-NA</v>
      </c>
      <c r="I1899" s="665" t="s">
        <v>293</v>
      </c>
      <c r="J1899" s="197"/>
      <c r="K1899" s="232"/>
      <c r="L1899" s="234"/>
      <c r="M1899" s="197"/>
      <c r="N1899" s="197"/>
      <c r="O1899" s="197"/>
      <c r="P1899" s="197"/>
      <c r="Q1899" s="234"/>
      <c r="R1899" s="197"/>
    </row>
    <row r="1900" spans="1:18" s="233" customFormat="1" ht="3" hidden="1" customHeight="1" outlineLevel="2">
      <c r="A1900" s="681"/>
      <c r="B1900" s="299"/>
      <c r="C1900" s="304"/>
      <c r="D1900" s="685"/>
      <c r="E1900" s="306" t="s">
        <v>277</v>
      </c>
      <c r="F1900" s="307"/>
      <c r="G1900" s="297"/>
      <c r="H1900" s="308"/>
      <c r="I1900" s="661"/>
      <c r="J1900" s="197"/>
      <c r="K1900" s="232"/>
      <c r="L1900" s="234"/>
      <c r="M1900" s="197"/>
      <c r="N1900" s="197"/>
      <c r="O1900" s="197"/>
      <c r="P1900" s="197"/>
      <c r="Q1900" s="234"/>
      <c r="R1900" s="197"/>
    </row>
    <row r="1901" spans="1:18" s="233" customFormat="1" ht="13.5" hidden="1" customHeight="1" outlineLevel="2">
      <c r="A1901" s="681"/>
      <c r="B1901" s="299" t="s">
        <v>1199</v>
      </c>
      <c r="C1901" s="304"/>
      <c r="D1901" s="685"/>
      <c r="E1901" s="306"/>
      <c r="F1901" s="307"/>
      <c r="G1901" s="297"/>
      <c r="H1901" s="308"/>
      <c r="I1901" s="661"/>
      <c r="J1901" s="197"/>
      <c r="K1901" s="232"/>
      <c r="L1901" s="234"/>
      <c r="M1901" s="197"/>
      <c r="N1901" s="197"/>
      <c r="O1901" s="197"/>
      <c r="P1901" s="197"/>
      <c r="Q1901" s="234"/>
      <c r="R1901" s="197"/>
    </row>
    <row r="1902" spans="1:18" s="233" customFormat="1" ht="14.25" hidden="1" customHeight="1" outlineLevel="2">
      <c r="A1902" s="681"/>
      <c r="B1902" s="299" t="s">
        <v>268</v>
      </c>
      <c r="C1902" s="304" t="s">
        <v>1140</v>
      </c>
      <c r="D1902" s="685" t="s">
        <v>409</v>
      </c>
      <c r="E1902" s="306" t="s">
        <v>1200</v>
      </c>
      <c r="F1902" s="307"/>
      <c r="G1902" s="297" t="s">
        <v>1141</v>
      </c>
      <c r="H1902" s="308" t="str">
        <f>CONCATENATE("AR-",G1902,"-",I1902)</f>
        <v>AR-SDV-NA</v>
      </c>
      <c r="I1902" s="665" t="s">
        <v>293</v>
      </c>
      <c r="J1902" s="197"/>
      <c r="K1902" s="232"/>
      <c r="L1902" s="234"/>
      <c r="M1902" s="197"/>
      <c r="N1902" s="197"/>
      <c r="O1902" s="197"/>
      <c r="P1902" s="197"/>
      <c r="Q1902" s="234"/>
      <c r="R1902" s="197"/>
    </row>
    <row r="1903" spans="1:18" s="233" customFormat="1" ht="14.25" hidden="1" customHeight="1" outlineLevel="2">
      <c r="A1903" s="681"/>
      <c r="B1903" s="299" t="s">
        <v>268</v>
      </c>
      <c r="C1903" s="304" t="s">
        <v>1140</v>
      </c>
      <c r="D1903" s="685" t="s">
        <v>411</v>
      </c>
      <c r="E1903" s="306" t="s">
        <v>1201</v>
      </c>
      <c r="F1903" s="307"/>
      <c r="G1903" s="297" t="s">
        <v>1141</v>
      </c>
      <c r="H1903" s="308" t="str">
        <f>CONCATENATE("AR-",G1903,"-",I1903)</f>
        <v>AR-SDV-NA</v>
      </c>
      <c r="I1903" s="665" t="s">
        <v>293</v>
      </c>
      <c r="J1903" s="197"/>
      <c r="K1903" s="232"/>
      <c r="L1903" s="234"/>
      <c r="M1903" s="197"/>
      <c r="N1903" s="197"/>
      <c r="O1903" s="197"/>
      <c r="P1903" s="197"/>
      <c r="Q1903" s="234"/>
      <c r="R1903" s="197"/>
    </row>
    <row r="1904" spans="1:18" s="233" customFormat="1" ht="3" hidden="1" customHeight="1" outlineLevel="2">
      <c r="A1904" s="681"/>
      <c r="B1904" s="299"/>
      <c r="C1904" s="304"/>
      <c r="D1904" s="685"/>
      <c r="E1904" s="306" t="s">
        <v>277</v>
      </c>
      <c r="F1904" s="307"/>
      <c r="G1904" s="297"/>
      <c r="H1904" s="308"/>
      <c r="I1904" s="661"/>
      <c r="J1904" s="197"/>
      <c r="K1904" s="232"/>
      <c r="L1904" s="234"/>
      <c r="M1904" s="197"/>
      <c r="N1904" s="197"/>
      <c r="O1904" s="197"/>
      <c r="P1904" s="197"/>
      <c r="Q1904" s="234"/>
      <c r="R1904" s="197"/>
    </row>
    <row r="1905" spans="1:18" s="233" customFormat="1" ht="13.5" hidden="1" customHeight="1" outlineLevel="2">
      <c r="A1905" s="681"/>
      <c r="B1905" s="299" t="s">
        <v>1202</v>
      </c>
      <c r="C1905" s="304"/>
      <c r="D1905" s="685"/>
      <c r="E1905" s="306"/>
      <c r="F1905" s="307"/>
      <c r="G1905" s="297"/>
      <c r="H1905" s="308"/>
      <c r="I1905" s="661"/>
      <c r="J1905" s="197"/>
      <c r="K1905" s="232"/>
      <c r="L1905" s="234"/>
      <c r="M1905" s="197"/>
      <c r="N1905" s="197"/>
      <c r="O1905" s="197"/>
      <c r="P1905" s="197"/>
      <c r="Q1905" s="234"/>
      <c r="R1905" s="197"/>
    </row>
    <row r="1906" spans="1:18" s="233" customFormat="1" ht="13.5" hidden="1" customHeight="1" outlineLevel="2">
      <c r="A1906" s="681"/>
      <c r="B1906" s="299" t="s">
        <v>268</v>
      </c>
      <c r="C1906" s="304" t="s">
        <v>1140</v>
      </c>
      <c r="D1906" s="685" t="s">
        <v>1109</v>
      </c>
      <c r="E1906" s="306" t="s">
        <v>1203</v>
      </c>
      <c r="F1906" s="307"/>
      <c r="G1906" s="297" t="s">
        <v>1141</v>
      </c>
      <c r="H1906" s="308" t="str">
        <f t="shared" ref="H1906:H1912" si="106">CONCATENATE("AR-",G1906,"-",I1906)</f>
        <v>AR-SDV-2</v>
      </c>
      <c r="I1906" s="661">
        <v>2</v>
      </c>
      <c r="J1906" s="197">
        <v>1</v>
      </c>
      <c r="K1906" s="232"/>
      <c r="L1906" s="234"/>
      <c r="M1906" s="197"/>
      <c r="N1906" s="197"/>
      <c r="O1906" s="197"/>
      <c r="P1906" s="197"/>
      <c r="Q1906" s="234"/>
      <c r="R1906" s="197"/>
    </row>
    <row r="1907" spans="1:18" s="233" customFormat="1" ht="13.5" hidden="1" customHeight="1" outlineLevel="2">
      <c r="A1907" s="681"/>
      <c r="B1907" s="299" t="s">
        <v>268</v>
      </c>
      <c r="C1907" s="304" t="s">
        <v>1140</v>
      </c>
      <c r="D1907" s="685" t="s">
        <v>1204</v>
      </c>
      <c r="E1907" s="306" t="s">
        <v>1205</v>
      </c>
      <c r="F1907" s="307"/>
      <c r="G1907" s="297" t="s">
        <v>1141</v>
      </c>
      <c r="H1907" s="308" t="str">
        <f t="shared" si="106"/>
        <v>AR-SDV-2</v>
      </c>
      <c r="I1907" s="661">
        <v>2</v>
      </c>
      <c r="J1907" s="197">
        <v>1</v>
      </c>
      <c r="K1907" s="232"/>
      <c r="L1907" s="234"/>
      <c r="M1907" s="197"/>
      <c r="N1907" s="197"/>
      <c r="O1907" s="197"/>
      <c r="P1907" s="197"/>
      <c r="Q1907" s="234"/>
      <c r="R1907" s="197"/>
    </row>
    <row r="1908" spans="1:18" s="233" customFormat="1" ht="13.5" hidden="1" customHeight="1" outlineLevel="2">
      <c r="A1908" s="681"/>
      <c r="B1908" s="299" t="s">
        <v>268</v>
      </c>
      <c r="C1908" s="304" t="s">
        <v>1140</v>
      </c>
      <c r="D1908" s="685" t="s">
        <v>1204</v>
      </c>
      <c r="E1908" s="306" t="s">
        <v>1206</v>
      </c>
      <c r="F1908" s="307"/>
      <c r="G1908" s="297" t="s">
        <v>1141</v>
      </c>
      <c r="H1908" s="308" t="str">
        <f t="shared" ref="H1908" si="107">CONCATENATE("AR-",G1908,"-",I1908)</f>
        <v>AR-SDV-2</v>
      </c>
      <c r="I1908" s="661">
        <v>2</v>
      </c>
      <c r="J1908" s="197"/>
      <c r="K1908" s="232"/>
      <c r="L1908" s="234">
        <v>1</v>
      </c>
      <c r="M1908" s="197">
        <v>1</v>
      </c>
      <c r="N1908" s="197"/>
      <c r="O1908" s="197"/>
      <c r="P1908" s="197"/>
      <c r="Q1908" s="234"/>
      <c r="R1908" s="197"/>
    </row>
    <row r="1909" spans="1:18" s="233" customFormat="1" ht="14.25" hidden="1" customHeight="1" outlineLevel="2">
      <c r="A1909" s="681"/>
      <c r="B1909" s="299" t="s">
        <v>268</v>
      </c>
      <c r="C1909" s="304" t="s">
        <v>1140</v>
      </c>
      <c r="D1909" s="685" t="s">
        <v>1207</v>
      </c>
      <c r="E1909" s="306" t="s">
        <v>1208</v>
      </c>
      <c r="F1909" s="307"/>
      <c r="G1909" s="297" t="s">
        <v>1141</v>
      </c>
      <c r="H1909" s="308" t="str">
        <f t="shared" si="106"/>
        <v>AR-SDV-3</v>
      </c>
      <c r="I1909" s="661">
        <v>3</v>
      </c>
      <c r="J1909" s="234">
        <v>1</v>
      </c>
      <c r="K1909" s="232"/>
      <c r="L1909" s="234"/>
      <c r="M1909" s="197"/>
      <c r="N1909" s="197"/>
      <c r="O1909" s="197"/>
      <c r="P1909" s="197"/>
      <c r="Q1909" s="234"/>
      <c r="R1909" s="197"/>
    </row>
    <row r="1910" spans="1:18" s="233" customFormat="1" ht="14.25" hidden="1" customHeight="1" outlineLevel="2">
      <c r="A1910" s="681"/>
      <c r="B1910" s="299" t="s">
        <v>268</v>
      </c>
      <c r="C1910" s="304" t="s">
        <v>1140</v>
      </c>
      <c r="D1910" s="685" t="s">
        <v>1209</v>
      </c>
      <c r="E1910" s="306" t="s">
        <v>1210</v>
      </c>
      <c r="F1910" s="307"/>
      <c r="G1910" s="297" t="s">
        <v>1141</v>
      </c>
      <c r="H1910" s="308" t="str">
        <f t="shared" si="106"/>
        <v>AR-SDV-3</v>
      </c>
      <c r="I1910" s="661">
        <v>3</v>
      </c>
      <c r="J1910" s="234">
        <v>1</v>
      </c>
      <c r="K1910" s="232"/>
      <c r="L1910" s="234"/>
      <c r="M1910" s="197"/>
      <c r="N1910" s="197"/>
      <c r="O1910" s="197"/>
      <c r="P1910" s="197"/>
      <c r="Q1910" s="234"/>
      <c r="R1910" s="197"/>
    </row>
    <row r="1911" spans="1:18" s="233" customFormat="1" ht="14.25" hidden="1" customHeight="1" outlineLevel="2">
      <c r="A1911" s="681"/>
      <c r="B1911" s="299" t="s">
        <v>268</v>
      </c>
      <c r="C1911" s="304" t="s">
        <v>1140</v>
      </c>
      <c r="D1911" s="685" t="s">
        <v>1211</v>
      </c>
      <c r="E1911" s="306" t="s">
        <v>1212</v>
      </c>
      <c r="F1911" s="307"/>
      <c r="G1911" s="297" t="s">
        <v>1141</v>
      </c>
      <c r="H1911" s="308" t="str">
        <f t="shared" si="106"/>
        <v>AR-SDV-3</v>
      </c>
      <c r="I1911" s="661">
        <v>3</v>
      </c>
      <c r="J1911" s="197"/>
      <c r="K1911" s="232"/>
      <c r="L1911" s="234">
        <v>1</v>
      </c>
      <c r="M1911" s="197">
        <v>1</v>
      </c>
      <c r="N1911" s="197"/>
      <c r="O1911" s="197"/>
      <c r="P1911" s="197"/>
      <c r="Q1911" s="234">
        <v>1</v>
      </c>
      <c r="R1911" s="197">
        <v>1</v>
      </c>
    </row>
    <row r="1912" spans="1:18" s="233" customFormat="1" ht="14.25" hidden="1" customHeight="1" outlineLevel="2">
      <c r="A1912" s="681"/>
      <c r="B1912" s="299" t="s">
        <v>268</v>
      </c>
      <c r="C1912" s="304" t="s">
        <v>1140</v>
      </c>
      <c r="D1912" s="685" t="s">
        <v>1213</v>
      </c>
      <c r="E1912" s="306" t="s">
        <v>1214</v>
      </c>
      <c r="F1912" s="307"/>
      <c r="G1912" s="297" t="s">
        <v>1141</v>
      </c>
      <c r="H1912" s="308" t="str">
        <f t="shared" si="106"/>
        <v>AR-SDV-3</v>
      </c>
      <c r="I1912" s="661">
        <v>3</v>
      </c>
      <c r="J1912" s="197"/>
      <c r="K1912" s="232"/>
      <c r="L1912" s="234">
        <v>1</v>
      </c>
      <c r="M1912" s="197">
        <v>1</v>
      </c>
      <c r="N1912" s="197"/>
      <c r="O1912" s="197"/>
      <c r="P1912" s="197"/>
      <c r="Q1912" s="234">
        <v>1</v>
      </c>
      <c r="R1912" s="197">
        <v>1</v>
      </c>
    </row>
    <row r="1913" spans="1:18" s="233" customFormat="1" ht="3" hidden="1" customHeight="1" outlineLevel="2">
      <c r="A1913" s="681"/>
      <c r="B1913" s="299"/>
      <c r="C1913" s="304"/>
      <c r="D1913" s="685"/>
      <c r="E1913" s="306" t="s">
        <v>277</v>
      </c>
      <c r="F1913" s="307"/>
      <c r="G1913" s="297"/>
      <c r="H1913" s="308"/>
      <c r="I1913" s="661"/>
      <c r="J1913" s="197"/>
      <c r="K1913" s="232"/>
      <c r="L1913" s="234"/>
      <c r="M1913" s="197"/>
      <c r="N1913" s="197"/>
      <c r="O1913" s="197"/>
      <c r="P1913" s="197"/>
      <c r="Q1913" s="234"/>
      <c r="R1913" s="197"/>
    </row>
    <row r="1914" spans="1:18" s="233" customFormat="1" ht="13.5" hidden="1" customHeight="1" outlineLevel="2">
      <c r="A1914" s="681"/>
      <c r="B1914" s="299" t="s">
        <v>1215</v>
      </c>
      <c r="C1914" s="304"/>
      <c r="D1914" s="685"/>
      <c r="E1914" s="306"/>
      <c r="F1914" s="307"/>
      <c r="G1914" s="297"/>
      <c r="H1914" s="308"/>
      <c r="I1914" s="661"/>
      <c r="J1914" s="197"/>
      <c r="K1914" s="232"/>
      <c r="L1914" s="234"/>
      <c r="M1914" s="197"/>
      <c r="N1914" s="197"/>
      <c r="O1914" s="197"/>
      <c r="P1914" s="197"/>
      <c r="Q1914" s="234"/>
      <c r="R1914" s="197"/>
    </row>
    <row r="1915" spans="1:18" s="233" customFormat="1" ht="14.25" hidden="1" customHeight="1" outlineLevel="2">
      <c r="A1915" s="681"/>
      <c r="B1915" s="299" t="s">
        <v>268</v>
      </c>
      <c r="C1915" s="304" t="s">
        <v>1140</v>
      </c>
      <c r="D1915" s="685" t="s">
        <v>1216</v>
      </c>
      <c r="E1915" s="306" t="s">
        <v>1217</v>
      </c>
      <c r="F1915" s="307"/>
      <c r="G1915" s="297" t="s">
        <v>1141</v>
      </c>
      <c r="H1915" s="308" t="str">
        <f>CONCATENATE("AR-",G1915,"-",I1915)</f>
        <v>AR-SDV-2</v>
      </c>
      <c r="I1915" s="661">
        <v>2</v>
      </c>
      <c r="J1915" s="197"/>
      <c r="K1915" s="232"/>
      <c r="L1915" s="234">
        <v>1</v>
      </c>
      <c r="M1915" s="197">
        <v>1</v>
      </c>
      <c r="N1915" s="197"/>
      <c r="O1915" s="197"/>
      <c r="P1915" s="197"/>
      <c r="Q1915" s="234"/>
      <c r="R1915" s="197"/>
    </row>
    <row r="1916" spans="1:18" s="233" customFormat="1" ht="14.25" hidden="1" customHeight="1" outlineLevel="2">
      <c r="A1916" s="681"/>
      <c r="B1916" s="299" t="s">
        <v>268</v>
      </c>
      <c r="C1916" s="304" t="s">
        <v>1140</v>
      </c>
      <c r="D1916" s="685" t="s">
        <v>1218</v>
      </c>
      <c r="E1916" s="306" t="s">
        <v>1219</v>
      </c>
      <c r="F1916" s="307"/>
      <c r="G1916" s="297" t="s">
        <v>1141</v>
      </c>
      <c r="H1916" s="308" t="str">
        <f>CONCATENATE("AR-",G1916,"-",I1916)</f>
        <v>AR-SDV-NA</v>
      </c>
      <c r="I1916" s="665" t="s">
        <v>293</v>
      </c>
      <c r="J1916" s="197"/>
      <c r="K1916" s="232"/>
      <c r="L1916" s="234"/>
      <c r="M1916" s="197"/>
      <c r="Q1916" s="237"/>
    </row>
    <row r="1917" spans="1:18" s="233" customFormat="1" ht="3" hidden="1" customHeight="1" outlineLevel="2">
      <c r="A1917" s="681"/>
      <c r="B1917" s="299"/>
      <c r="C1917" s="304"/>
      <c r="D1917" s="685"/>
      <c r="E1917" s="306" t="s">
        <v>277</v>
      </c>
      <c r="F1917" s="307"/>
      <c r="G1917" s="297"/>
      <c r="H1917" s="308"/>
      <c r="I1917" s="661"/>
      <c r="J1917" s="197"/>
      <c r="K1917" s="232"/>
      <c r="L1917" s="234"/>
      <c r="M1917" s="197"/>
      <c r="Q1917" s="237"/>
    </row>
    <row r="1918" spans="1:18" s="233" customFormat="1" ht="13.5" hidden="1" customHeight="1" outlineLevel="2">
      <c r="A1918" s="681"/>
      <c r="B1918" s="299" t="s">
        <v>1220</v>
      </c>
      <c r="C1918" s="304"/>
      <c r="D1918" s="685"/>
      <c r="E1918" s="306"/>
      <c r="F1918" s="307"/>
      <c r="G1918" s="297"/>
      <c r="H1918" s="308"/>
      <c r="I1918" s="661"/>
      <c r="J1918" s="197"/>
      <c r="K1918" s="232"/>
      <c r="L1918" s="234"/>
      <c r="M1918" s="197"/>
      <c r="Q1918" s="237"/>
    </row>
    <row r="1919" spans="1:18" s="233" customFormat="1" ht="14.25" hidden="1" customHeight="1" outlineLevel="2">
      <c r="A1919" s="681"/>
      <c r="B1919" s="299" t="s">
        <v>268</v>
      </c>
      <c r="C1919" s="304" t="s">
        <v>1140</v>
      </c>
      <c r="D1919" s="685" t="s">
        <v>1221</v>
      </c>
      <c r="E1919" s="306" t="s">
        <v>1222</v>
      </c>
      <c r="F1919" s="307"/>
      <c r="G1919" s="297" t="s">
        <v>1141</v>
      </c>
      <c r="H1919" s="308" t="str">
        <f>CONCATENATE("AR-",G1919,"-",I1919)</f>
        <v>AR-SDV-3</v>
      </c>
      <c r="I1919" s="661">
        <v>3</v>
      </c>
      <c r="J1919" s="197">
        <v>1</v>
      </c>
      <c r="K1919" s="232"/>
      <c r="L1919" s="234"/>
      <c r="M1919" s="197"/>
      <c r="Q1919" s="237"/>
    </row>
    <row r="1920" spans="1:18" s="233" customFormat="1" ht="14.25" hidden="1" customHeight="1" outlineLevel="2">
      <c r="A1920" s="681"/>
      <c r="B1920" s="299" t="s">
        <v>268</v>
      </c>
      <c r="C1920" s="304" t="s">
        <v>1140</v>
      </c>
      <c r="D1920" s="685" t="s">
        <v>1221</v>
      </c>
      <c r="E1920" s="306" t="s">
        <v>1223</v>
      </c>
      <c r="F1920" s="307"/>
      <c r="G1920" s="297" t="s">
        <v>1141</v>
      </c>
      <c r="H1920" s="308" t="str">
        <f>CONCATENATE("AR-",G1920,"-",I1920)</f>
        <v>AR-SDV-2</v>
      </c>
      <c r="I1920" s="661">
        <v>2</v>
      </c>
      <c r="J1920" s="197"/>
      <c r="K1920" s="232"/>
      <c r="L1920" s="234">
        <v>1</v>
      </c>
      <c r="M1920" s="197">
        <v>1</v>
      </c>
      <c r="Q1920" s="237"/>
    </row>
    <row r="1921" spans="1:17" s="233" customFormat="1" ht="3" hidden="1" customHeight="1" outlineLevel="2">
      <c r="A1921" s="681"/>
      <c r="B1921" s="299"/>
      <c r="C1921" s="304"/>
      <c r="D1921" s="685"/>
      <c r="E1921" s="306" t="s">
        <v>277</v>
      </c>
      <c r="F1921" s="307"/>
      <c r="G1921" s="297"/>
      <c r="H1921" s="308"/>
      <c r="I1921" s="661"/>
      <c r="J1921" s="197"/>
      <c r="K1921" s="232"/>
      <c r="L1921" s="234"/>
      <c r="M1921" s="197"/>
      <c r="Q1921" s="237"/>
    </row>
    <row r="1922" spans="1:17" s="233" customFormat="1" ht="14.25" hidden="1" customHeight="1" outlineLevel="2">
      <c r="A1922" s="681"/>
      <c r="B1922" s="299" t="s">
        <v>1224</v>
      </c>
      <c r="C1922" s="304"/>
      <c r="D1922" s="685"/>
      <c r="E1922" s="306"/>
      <c r="F1922" s="307"/>
      <c r="G1922" s="297"/>
      <c r="H1922" s="308"/>
      <c r="I1922" s="661"/>
      <c r="J1922" s="197"/>
      <c r="K1922" s="232"/>
      <c r="L1922" s="234"/>
      <c r="M1922" s="197"/>
      <c r="Q1922" s="237"/>
    </row>
    <row r="1923" spans="1:17" s="233" customFormat="1" ht="14.25" hidden="1" customHeight="1" outlineLevel="2">
      <c r="A1923" s="681"/>
      <c r="B1923" s="299" t="s">
        <v>268</v>
      </c>
      <c r="C1923" s="304" t="s">
        <v>1140</v>
      </c>
      <c r="D1923" s="685" t="s">
        <v>1225</v>
      </c>
      <c r="E1923" s="306" t="s">
        <v>1226</v>
      </c>
      <c r="F1923" s="307"/>
      <c r="G1923" s="297" t="s">
        <v>1141</v>
      </c>
      <c r="H1923" s="308" t="str">
        <f t="shared" ref="H1923:H1930" si="108">CONCATENATE("AR-",G1923,"-",I1923)</f>
        <v>AR-SDV-1</v>
      </c>
      <c r="I1923" s="661">
        <v>1</v>
      </c>
      <c r="J1923" s="197">
        <v>1</v>
      </c>
      <c r="K1923" s="232"/>
      <c r="L1923" s="234"/>
      <c r="M1923" s="197"/>
      <c r="Q1923" s="237"/>
    </row>
    <row r="1924" spans="1:17" s="233" customFormat="1" ht="14.25" hidden="1" customHeight="1" outlineLevel="2">
      <c r="A1924" s="681"/>
      <c r="B1924" s="299" t="s">
        <v>268</v>
      </c>
      <c r="C1924" s="304" t="s">
        <v>1140</v>
      </c>
      <c r="D1924" s="685" t="s">
        <v>1227</v>
      </c>
      <c r="E1924" s="306" t="s">
        <v>1228</v>
      </c>
      <c r="F1924" s="307"/>
      <c r="G1924" s="297" t="s">
        <v>1141</v>
      </c>
      <c r="H1924" s="308" t="str">
        <f t="shared" si="108"/>
        <v>AR-SDV-1</v>
      </c>
      <c r="I1924" s="661">
        <v>1</v>
      </c>
      <c r="J1924" s="197">
        <v>1</v>
      </c>
      <c r="K1924" s="232"/>
      <c r="L1924" s="234"/>
      <c r="M1924" s="197"/>
      <c r="Q1924" s="237"/>
    </row>
    <row r="1925" spans="1:17" s="233" customFormat="1" ht="14.25" hidden="1" customHeight="1" outlineLevel="2">
      <c r="A1925" s="681"/>
      <c r="B1925" s="299" t="s">
        <v>268</v>
      </c>
      <c r="C1925" s="304" t="s">
        <v>1140</v>
      </c>
      <c r="D1925" s="685" t="s">
        <v>1229</v>
      </c>
      <c r="E1925" s="306" t="s">
        <v>1230</v>
      </c>
      <c r="F1925" s="307"/>
      <c r="G1925" s="297" t="s">
        <v>1141</v>
      </c>
      <c r="H1925" s="308" t="str">
        <f t="shared" si="108"/>
        <v>AR-SDV-1</v>
      </c>
      <c r="I1925" s="661">
        <v>1</v>
      </c>
      <c r="J1925" s="197">
        <v>1</v>
      </c>
      <c r="K1925" s="232"/>
      <c r="L1925" s="234"/>
      <c r="M1925" s="197"/>
      <c r="Q1925" s="237"/>
    </row>
    <row r="1926" spans="1:17" s="233" customFormat="1" ht="14.25" hidden="1" customHeight="1" outlineLevel="2">
      <c r="A1926" s="681"/>
      <c r="B1926" s="299" t="s">
        <v>268</v>
      </c>
      <c r="C1926" s="304" t="s">
        <v>1140</v>
      </c>
      <c r="D1926" s="685" t="s">
        <v>1231</v>
      </c>
      <c r="E1926" s="306" t="s">
        <v>1232</v>
      </c>
      <c r="F1926" s="307"/>
      <c r="G1926" s="297" t="s">
        <v>1141</v>
      </c>
      <c r="H1926" s="308" t="str">
        <f t="shared" si="108"/>
        <v>AR-SDV-1</v>
      </c>
      <c r="I1926" s="661">
        <v>1</v>
      </c>
      <c r="J1926" s="197">
        <v>1</v>
      </c>
      <c r="K1926" s="232"/>
      <c r="L1926" s="234"/>
      <c r="M1926" s="197"/>
      <c r="Q1926" s="237"/>
    </row>
    <row r="1927" spans="1:17" s="233" customFormat="1" ht="14.25" hidden="1" customHeight="1" outlineLevel="2">
      <c r="A1927" s="681"/>
      <c r="B1927" s="299" t="s">
        <v>268</v>
      </c>
      <c r="C1927" s="304" t="s">
        <v>1140</v>
      </c>
      <c r="D1927" s="685" t="s">
        <v>1233</v>
      </c>
      <c r="E1927" s="306" t="s">
        <v>1234</v>
      </c>
      <c r="F1927" s="307"/>
      <c r="G1927" s="297" t="s">
        <v>1141</v>
      </c>
      <c r="H1927" s="308" t="str">
        <f t="shared" si="108"/>
        <v>AR-SDV-1</v>
      </c>
      <c r="I1927" s="661">
        <v>1</v>
      </c>
      <c r="J1927" s="197">
        <v>1</v>
      </c>
      <c r="K1927" s="232"/>
      <c r="L1927" s="234"/>
      <c r="M1927" s="197"/>
      <c r="Q1927" s="237"/>
    </row>
    <row r="1928" spans="1:17" s="233" customFormat="1" ht="14.25" hidden="1" customHeight="1" outlineLevel="2">
      <c r="A1928" s="681"/>
      <c r="B1928" s="299" t="s">
        <v>268</v>
      </c>
      <c r="C1928" s="304" t="s">
        <v>1140</v>
      </c>
      <c r="D1928" s="685" t="s">
        <v>1235</v>
      </c>
      <c r="E1928" s="306" t="s">
        <v>1236</v>
      </c>
      <c r="F1928" s="307"/>
      <c r="G1928" s="297" t="s">
        <v>1141</v>
      </c>
      <c r="H1928" s="308" t="str">
        <f t="shared" si="108"/>
        <v>AR-SDV-1</v>
      </c>
      <c r="I1928" s="661">
        <v>1</v>
      </c>
      <c r="J1928" s="197">
        <v>1</v>
      </c>
      <c r="K1928" s="232"/>
      <c r="L1928" s="234"/>
      <c r="M1928" s="197"/>
      <c r="Q1928" s="237"/>
    </row>
    <row r="1929" spans="1:17" s="233" customFormat="1" ht="14.25" hidden="1" customHeight="1" outlineLevel="2">
      <c r="A1929" s="681"/>
      <c r="B1929" s="299" t="s">
        <v>268</v>
      </c>
      <c r="C1929" s="304" t="s">
        <v>1140</v>
      </c>
      <c r="D1929" s="685" t="s">
        <v>1237</v>
      </c>
      <c r="E1929" s="306" t="s">
        <v>1238</v>
      </c>
      <c r="F1929" s="307"/>
      <c r="G1929" s="297" t="s">
        <v>1141</v>
      </c>
      <c r="H1929" s="308" t="str">
        <f t="shared" si="108"/>
        <v>AR-SDV-1</v>
      </c>
      <c r="I1929" s="661">
        <v>1</v>
      </c>
      <c r="J1929" s="197">
        <v>1</v>
      </c>
      <c r="K1929" s="232"/>
      <c r="L1929" s="234"/>
      <c r="M1929" s="197"/>
      <c r="Q1929" s="237"/>
    </row>
    <row r="1930" spans="1:17" s="233" customFormat="1" ht="14.25" hidden="1" customHeight="1" outlineLevel="2">
      <c r="A1930" s="681"/>
      <c r="B1930" s="299" t="s">
        <v>268</v>
      </c>
      <c r="C1930" s="304" t="s">
        <v>1140</v>
      </c>
      <c r="D1930" s="685" t="s">
        <v>1239</v>
      </c>
      <c r="E1930" s="306" t="s">
        <v>1240</v>
      </c>
      <c r="F1930" s="307"/>
      <c r="G1930" s="297" t="s">
        <v>1141</v>
      </c>
      <c r="H1930" s="308" t="str">
        <f t="shared" si="108"/>
        <v>AR-SDV-1</v>
      </c>
      <c r="I1930" s="661">
        <v>1</v>
      </c>
      <c r="J1930" s="197">
        <v>1</v>
      </c>
      <c r="K1930" s="232"/>
      <c r="L1930" s="234"/>
      <c r="M1930" s="197"/>
      <c r="Q1930" s="237"/>
    </row>
    <row r="1931" spans="1:17" s="233" customFormat="1" ht="3" hidden="1" customHeight="1" outlineLevel="2">
      <c r="A1931" s="681"/>
      <c r="B1931" s="299"/>
      <c r="C1931" s="304"/>
      <c r="D1931" s="685"/>
      <c r="E1931" s="306" t="s">
        <v>277</v>
      </c>
      <c r="F1931" s="307"/>
      <c r="G1931" s="297"/>
      <c r="H1931" s="308"/>
      <c r="I1931" s="661"/>
      <c r="J1931" s="197"/>
      <c r="K1931" s="232"/>
      <c r="L1931" s="234"/>
      <c r="M1931" s="197"/>
      <c r="Q1931" s="237"/>
    </row>
    <row r="1932" spans="1:17" s="233" customFormat="1" ht="14.25" hidden="1" customHeight="1" outlineLevel="2">
      <c r="A1932" s="681"/>
      <c r="B1932" s="299" t="s">
        <v>1241</v>
      </c>
      <c r="C1932" s="304"/>
      <c r="D1932" s="685"/>
      <c r="E1932" s="306"/>
      <c r="F1932" s="307"/>
      <c r="G1932" s="297"/>
      <c r="H1932" s="308"/>
      <c r="I1932" s="661"/>
      <c r="J1932" s="197"/>
      <c r="K1932" s="232"/>
      <c r="L1932" s="234"/>
      <c r="M1932" s="197"/>
      <c r="Q1932" s="237"/>
    </row>
    <row r="1933" spans="1:17" s="233" customFormat="1" ht="14.25" hidden="1" customHeight="1" outlineLevel="2">
      <c r="A1933" s="681"/>
      <c r="B1933" s="299" t="s">
        <v>268</v>
      </c>
      <c r="C1933" s="304" t="s">
        <v>1140</v>
      </c>
      <c r="D1933" s="685" t="s">
        <v>1242</v>
      </c>
      <c r="E1933" s="306" t="s">
        <v>1243</v>
      </c>
      <c r="F1933" s="307"/>
      <c r="G1933" s="297" t="s">
        <v>1141</v>
      </c>
      <c r="H1933" s="308" t="str">
        <f>CONCATENATE("AR-",G1933,"-",I1933)</f>
        <v>AR-SDV-4</v>
      </c>
      <c r="I1933" s="661">
        <v>4</v>
      </c>
      <c r="J1933" s="234">
        <v>1</v>
      </c>
      <c r="K1933" s="232"/>
      <c r="L1933" s="234"/>
      <c r="M1933" s="197"/>
      <c r="Q1933" s="237"/>
    </row>
    <row r="1934" spans="1:17" s="233" customFormat="1" ht="14.25" hidden="1" customHeight="1" outlineLevel="2">
      <c r="A1934" s="681"/>
      <c r="B1934" s="299" t="s">
        <v>268</v>
      </c>
      <c r="C1934" s="304" t="s">
        <v>1140</v>
      </c>
      <c r="D1934" s="685" t="s">
        <v>1244</v>
      </c>
      <c r="E1934" s="306" t="s">
        <v>1245</v>
      </c>
      <c r="F1934" s="307"/>
      <c r="G1934" s="297" t="s">
        <v>1141</v>
      </c>
      <c r="H1934" s="308" t="str">
        <f>CONCATENATE("AR-",G1934,"-",I1934)</f>
        <v>AR-SDV-4</v>
      </c>
      <c r="I1934" s="661">
        <v>4</v>
      </c>
      <c r="J1934" s="234">
        <v>1</v>
      </c>
      <c r="K1934" s="232"/>
      <c r="L1934" s="234"/>
      <c r="M1934" s="197"/>
      <c r="Q1934" s="237"/>
    </row>
    <row r="1935" spans="1:17" s="233" customFormat="1" ht="14.25" hidden="1" customHeight="1" outlineLevel="2">
      <c r="A1935" s="681"/>
      <c r="B1935" s="299" t="s">
        <v>268</v>
      </c>
      <c r="C1935" s="304" t="s">
        <v>1140</v>
      </c>
      <c r="D1935" s="685" t="s">
        <v>1242</v>
      </c>
      <c r="E1935" s="306" t="s">
        <v>1246</v>
      </c>
      <c r="F1935" s="307"/>
      <c r="G1935" s="297" t="s">
        <v>1141</v>
      </c>
      <c r="H1935" s="308" t="str">
        <f>CONCATENATE("AR-",G1935,"-",I1935)</f>
        <v>AR-SDV-4</v>
      </c>
      <c r="I1935" s="661">
        <v>4</v>
      </c>
      <c r="J1935" s="197"/>
      <c r="K1935" s="232"/>
      <c r="L1935" s="234">
        <v>1</v>
      </c>
      <c r="M1935" s="197">
        <v>1</v>
      </c>
      <c r="Q1935" s="237"/>
    </row>
    <row r="1936" spans="1:17" s="233" customFormat="1" ht="14.25" hidden="1" customHeight="1" outlineLevel="2">
      <c r="A1936" s="681"/>
      <c r="B1936" s="299" t="s">
        <v>268</v>
      </c>
      <c r="C1936" s="304" t="s">
        <v>1140</v>
      </c>
      <c r="D1936" s="685" t="s">
        <v>1244</v>
      </c>
      <c r="E1936" s="306" t="s">
        <v>1247</v>
      </c>
      <c r="F1936" s="307"/>
      <c r="G1936" s="297" t="s">
        <v>1141</v>
      </c>
      <c r="H1936" s="308" t="str">
        <f>CONCATENATE("AR-",G1936,"-",I1936)</f>
        <v>AR-SDV-4</v>
      </c>
      <c r="I1936" s="661">
        <v>4</v>
      </c>
      <c r="J1936" s="197"/>
      <c r="K1936" s="232"/>
      <c r="L1936" s="234">
        <v>1</v>
      </c>
      <c r="M1936" s="197">
        <v>1</v>
      </c>
      <c r="Q1936" s="237"/>
    </row>
    <row r="1937" spans="1:17" s="233" customFormat="1" ht="3" hidden="1" customHeight="1" outlineLevel="2">
      <c r="A1937" s="681"/>
      <c r="B1937" s="299"/>
      <c r="C1937" s="304"/>
      <c r="D1937" s="685"/>
      <c r="E1937" s="306" t="s">
        <v>277</v>
      </c>
      <c r="F1937" s="307"/>
      <c r="G1937" s="297"/>
      <c r="H1937" s="308"/>
      <c r="I1937" s="661"/>
      <c r="J1937" s="197"/>
      <c r="K1937" s="232"/>
      <c r="L1937" s="234"/>
      <c r="M1937" s="197"/>
      <c r="Q1937" s="237"/>
    </row>
    <row r="1938" spans="1:17" s="233" customFormat="1" ht="14.25" hidden="1" customHeight="1" outlineLevel="2">
      <c r="A1938" s="681"/>
      <c r="B1938" s="299" t="s">
        <v>1248</v>
      </c>
      <c r="C1938" s="304"/>
      <c r="D1938" s="685"/>
      <c r="E1938" s="306" t="s">
        <v>277</v>
      </c>
      <c r="F1938" s="307"/>
      <c r="G1938" s="297"/>
      <c r="H1938" s="308"/>
      <c r="I1938" s="661"/>
      <c r="J1938" s="197"/>
      <c r="K1938" s="232"/>
      <c r="L1938" s="234"/>
      <c r="M1938" s="197"/>
      <c r="Q1938" s="237"/>
    </row>
    <row r="1939" spans="1:17" s="233" customFormat="1" ht="14.25" hidden="1" customHeight="1" outlineLevel="2">
      <c r="A1939" s="681"/>
      <c r="B1939" s="299" t="s">
        <v>268</v>
      </c>
      <c r="C1939" s="304" t="s">
        <v>1140</v>
      </c>
      <c r="D1939" s="685">
        <v>1401</v>
      </c>
      <c r="E1939" s="306" t="s">
        <v>1170</v>
      </c>
      <c r="F1939" s="307"/>
      <c r="G1939" s="297" t="s">
        <v>1141</v>
      </c>
      <c r="H1939" s="308" t="str">
        <f>CONCATENATE("AR-",G1939,"-",I1939)</f>
        <v>AR-SDV-4</v>
      </c>
      <c r="I1939" s="661">
        <v>4</v>
      </c>
      <c r="J1939" s="197">
        <v>1</v>
      </c>
      <c r="K1939" s="232"/>
      <c r="L1939" s="234"/>
      <c r="M1939" s="197"/>
      <c r="Q1939" s="237"/>
    </row>
    <row r="1940" spans="1:17" s="233" customFormat="1" ht="14.25" hidden="1" customHeight="1" outlineLevel="2">
      <c r="A1940" s="681"/>
      <c r="B1940" s="299"/>
      <c r="C1940" s="304"/>
      <c r="D1940" s="685">
        <v>1402</v>
      </c>
      <c r="E1940" s="306" t="s">
        <v>1171</v>
      </c>
      <c r="F1940" s="307"/>
      <c r="G1940" s="297" t="s">
        <v>1141</v>
      </c>
      <c r="H1940" s="308" t="str">
        <f>CONCATENATE("AR-",G1940,"-",I1940)</f>
        <v>AR-SDV-4</v>
      </c>
      <c r="I1940" s="661">
        <v>4</v>
      </c>
      <c r="J1940" s="197">
        <v>1</v>
      </c>
      <c r="K1940" s="232"/>
      <c r="L1940" s="234"/>
      <c r="M1940" s="197"/>
      <c r="Q1940" s="237"/>
    </row>
    <row r="1941" spans="1:17" s="233" customFormat="1" ht="14.25" hidden="1" customHeight="1" outlineLevel="2">
      <c r="A1941" s="681"/>
      <c r="B1941" s="299" t="s">
        <v>268</v>
      </c>
      <c r="C1941" s="304" t="s">
        <v>1140</v>
      </c>
      <c r="D1941" s="685">
        <v>1411</v>
      </c>
      <c r="E1941" s="306" t="s">
        <v>1172</v>
      </c>
      <c r="F1941" s="307"/>
      <c r="G1941" s="297" t="s">
        <v>1141</v>
      </c>
      <c r="H1941" s="308" t="str">
        <f>CONCATENATE("AR-",G1941,"-",I1941)</f>
        <v>AR-SDV-4</v>
      </c>
      <c r="I1941" s="661">
        <v>4</v>
      </c>
      <c r="J1941" s="197">
        <v>1</v>
      </c>
      <c r="K1941" s="232"/>
      <c r="L1941" s="234"/>
      <c r="M1941" s="197"/>
      <c r="Q1941" s="237"/>
    </row>
    <row r="1942" spans="1:17" s="233" customFormat="1" ht="3" hidden="1" customHeight="1" outlineLevel="2">
      <c r="A1942" s="681"/>
      <c r="B1942" s="299"/>
      <c r="C1942" s="304"/>
      <c r="D1942" s="685"/>
      <c r="E1942" s="306" t="s">
        <v>277</v>
      </c>
      <c r="F1942" s="307"/>
      <c r="G1942" s="297"/>
      <c r="H1942" s="308"/>
      <c r="I1942" s="661"/>
      <c r="J1942" s="197"/>
      <c r="K1942" s="232"/>
      <c r="L1942" s="234"/>
      <c r="M1942" s="197"/>
      <c r="Q1942" s="237"/>
    </row>
    <row r="1943" spans="1:17" s="233" customFormat="1" ht="13.5" hidden="1" customHeight="1" outlineLevel="2">
      <c r="A1943" s="681"/>
      <c r="B1943" s="299" t="s">
        <v>1249</v>
      </c>
      <c r="C1943" s="304"/>
      <c r="D1943" s="685"/>
      <c r="E1943" s="306" t="s">
        <v>277</v>
      </c>
      <c r="F1943" s="307"/>
      <c r="G1943" s="297"/>
      <c r="H1943" s="308"/>
      <c r="I1943" s="661"/>
      <c r="J1943" s="197"/>
      <c r="K1943" s="232"/>
      <c r="L1943" s="234"/>
      <c r="M1943" s="197"/>
      <c r="Q1943" s="237"/>
    </row>
    <row r="1944" spans="1:17" s="233" customFormat="1" ht="14.25" hidden="1" customHeight="1" outlineLevel="2">
      <c r="A1944" s="681"/>
      <c r="B1944" s="299" t="s">
        <v>268</v>
      </c>
      <c r="C1944" s="304" t="s">
        <v>1250</v>
      </c>
      <c r="D1944" s="685" t="s">
        <v>1251</v>
      </c>
      <c r="E1944" s="306" t="s">
        <v>1252</v>
      </c>
      <c r="F1944" s="307"/>
      <c r="G1944" s="297" t="s">
        <v>1141</v>
      </c>
      <c r="H1944" s="308" t="str">
        <f t="shared" ref="H1944:H1964" si="109">CONCATENATE("AR-",G1944,"-",I1944)</f>
        <v>AR-SDV-1</v>
      </c>
      <c r="I1944" s="661">
        <v>1</v>
      </c>
      <c r="J1944" s="197">
        <v>1</v>
      </c>
      <c r="K1944" s="232"/>
      <c r="L1944" s="234"/>
      <c r="M1944" s="197"/>
      <c r="Q1944" s="237"/>
    </row>
    <row r="1945" spans="1:17" s="233" customFormat="1" ht="14.25" hidden="1" customHeight="1" outlineLevel="2">
      <c r="A1945" s="681"/>
      <c r="B1945" s="299" t="s">
        <v>268</v>
      </c>
      <c r="C1945" s="304" t="s">
        <v>1250</v>
      </c>
      <c r="D1945" s="685" t="s">
        <v>1253</v>
      </c>
      <c r="E1945" s="306" t="s">
        <v>1254</v>
      </c>
      <c r="F1945" s="307"/>
      <c r="G1945" s="297" t="s">
        <v>1141</v>
      </c>
      <c r="H1945" s="308" t="str">
        <f t="shared" si="109"/>
        <v>AR-SDV-1</v>
      </c>
      <c r="I1945" s="661">
        <v>1</v>
      </c>
      <c r="J1945" s="197">
        <v>1</v>
      </c>
      <c r="K1945" s="232"/>
      <c r="L1945" s="234"/>
      <c r="M1945" s="197"/>
      <c r="Q1945" s="237"/>
    </row>
    <row r="1946" spans="1:17" s="233" customFormat="1" ht="14.25" hidden="1" customHeight="1" outlineLevel="2">
      <c r="A1946" s="681"/>
      <c r="B1946" s="299" t="s">
        <v>268</v>
      </c>
      <c r="C1946" s="304" t="s">
        <v>1250</v>
      </c>
      <c r="D1946" s="685" t="s">
        <v>1255</v>
      </c>
      <c r="E1946" s="306" t="s">
        <v>1256</v>
      </c>
      <c r="F1946" s="307"/>
      <c r="G1946" s="297" t="s">
        <v>1141</v>
      </c>
      <c r="H1946" s="308" t="str">
        <f t="shared" si="109"/>
        <v>AR-SDV-1</v>
      </c>
      <c r="I1946" s="661">
        <v>1</v>
      </c>
      <c r="J1946" s="197">
        <v>1</v>
      </c>
      <c r="K1946" s="232"/>
      <c r="L1946" s="234"/>
      <c r="M1946" s="197"/>
      <c r="Q1946" s="237"/>
    </row>
    <row r="1947" spans="1:17" s="233" customFormat="1" ht="14.25" hidden="1" customHeight="1" outlineLevel="2">
      <c r="A1947" s="681"/>
      <c r="B1947" s="299" t="s">
        <v>268</v>
      </c>
      <c r="C1947" s="304" t="s">
        <v>1250</v>
      </c>
      <c r="D1947" s="685" t="s">
        <v>1257</v>
      </c>
      <c r="E1947" s="306" t="s">
        <v>1258</v>
      </c>
      <c r="F1947" s="307"/>
      <c r="G1947" s="297" t="s">
        <v>1141</v>
      </c>
      <c r="H1947" s="308" t="str">
        <f t="shared" si="109"/>
        <v>AR-SDV-2</v>
      </c>
      <c r="I1947" s="661">
        <v>2</v>
      </c>
      <c r="J1947" s="197">
        <v>1</v>
      </c>
      <c r="K1947" s="232"/>
      <c r="L1947" s="234"/>
      <c r="M1947" s="197"/>
      <c r="Q1947" s="237"/>
    </row>
    <row r="1948" spans="1:17" s="233" customFormat="1" ht="14.25" hidden="1" customHeight="1" outlineLevel="2">
      <c r="A1948" s="681"/>
      <c r="B1948" s="299" t="s">
        <v>268</v>
      </c>
      <c r="C1948" s="304" t="s">
        <v>1250</v>
      </c>
      <c r="D1948" s="685" t="s">
        <v>1259</v>
      </c>
      <c r="E1948" s="306" t="s">
        <v>1260</v>
      </c>
      <c r="F1948" s="307"/>
      <c r="G1948" s="297" t="s">
        <v>1141</v>
      </c>
      <c r="H1948" s="308" t="str">
        <f t="shared" si="109"/>
        <v>AR-SDV-1</v>
      </c>
      <c r="I1948" s="661">
        <v>1</v>
      </c>
      <c r="J1948" s="197">
        <v>1</v>
      </c>
      <c r="L1948" s="237"/>
      <c r="Q1948" s="237"/>
    </row>
    <row r="1949" spans="1:17" s="233" customFormat="1" ht="14.25" hidden="1" customHeight="1" outlineLevel="2">
      <c r="A1949" s="681"/>
      <c r="B1949" s="299" t="s">
        <v>268</v>
      </c>
      <c r="C1949" s="304" t="s">
        <v>1250</v>
      </c>
      <c r="D1949" s="685" t="s">
        <v>1261</v>
      </c>
      <c r="E1949" s="306" t="s">
        <v>1262</v>
      </c>
      <c r="F1949" s="307"/>
      <c r="G1949" s="297" t="s">
        <v>1141</v>
      </c>
      <c r="H1949" s="308" t="str">
        <f t="shared" si="109"/>
        <v>AR-SDV-1</v>
      </c>
      <c r="I1949" s="661">
        <v>1</v>
      </c>
      <c r="J1949" s="197">
        <v>1</v>
      </c>
      <c r="L1949" s="237"/>
      <c r="Q1949" s="237"/>
    </row>
    <row r="1950" spans="1:17" s="233" customFormat="1" ht="14.25" hidden="1" customHeight="1" outlineLevel="2">
      <c r="A1950" s="681"/>
      <c r="B1950" s="299" t="s">
        <v>268</v>
      </c>
      <c r="C1950" s="304" t="s">
        <v>1250</v>
      </c>
      <c r="D1950" s="685" t="s">
        <v>1263</v>
      </c>
      <c r="E1950" s="306" t="s">
        <v>1264</v>
      </c>
      <c r="F1950" s="307"/>
      <c r="G1950" s="297" t="s">
        <v>1141</v>
      </c>
      <c r="H1950" s="308" t="str">
        <f t="shared" si="109"/>
        <v>AR-SDV-1</v>
      </c>
      <c r="I1950" s="661">
        <v>1</v>
      </c>
      <c r="J1950" s="197">
        <v>1</v>
      </c>
      <c r="L1950" s="237"/>
      <c r="Q1950" s="237"/>
    </row>
    <row r="1951" spans="1:17" s="233" customFormat="1" ht="14.25" hidden="1" customHeight="1" outlineLevel="2">
      <c r="A1951" s="681"/>
      <c r="B1951" s="299" t="s">
        <v>268</v>
      </c>
      <c r="C1951" s="304" t="s">
        <v>1250</v>
      </c>
      <c r="D1951" s="685" t="s">
        <v>1265</v>
      </c>
      <c r="E1951" s="306" t="s">
        <v>1266</v>
      </c>
      <c r="F1951" s="307"/>
      <c r="G1951" s="297" t="s">
        <v>1141</v>
      </c>
      <c r="H1951" s="308" t="str">
        <f t="shared" si="109"/>
        <v>AR-SDV-1</v>
      </c>
      <c r="I1951" s="661">
        <v>1</v>
      </c>
      <c r="J1951" s="197">
        <v>1</v>
      </c>
      <c r="L1951" s="237"/>
      <c r="Q1951" s="237"/>
    </row>
    <row r="1952" spans="1:17" s="233" customFormat="1" ht="14.25" hidden="1" customHeight="1" outlineLevel="2">
      <c r="A1952" s="681"/>
      <c r="B1952" s="299" t="s">
        <v>268</v>
      </c>
      <c r="C1952" s="304" t="s">
        <v>1250</v>
      </c>
      <c r="D1952" s="685" t="s">
        <v>1267</v>
      </c>
      <c r="E1952" s="306" t="s">
        <v>1268</v>
      </c>
      <c r="F1952" s="307"/>
      <c r="G1952" s="297" t="s">
        <v>1141</v>
      </c>
      <c r="H1952" s="308" t="str">
        <f t="shared" si="109"/>
        <v>AR-SDV-1</v>
      </c>
      <c r="I1952" s="661">
        <v>1</v>
      </c>
      <c r="J1952" s="197">
        <v>1</v>
      </c>
      <c r="L1952" s="237"/>
      <c r="Q1952" s="237"/>
    </row>
    <row r="1953" spans="1:17" s="233" customFormat="1" ht="14.25" hidden="1" customHeight="1" outlineLevel="2">
      <c r="A1953" s="681"/>
      <c r="B1953" s="299" t="s">
        <v>268</v>
      </c>
      <c r="C1953" s="304" t="s">
        <v>1250</v>
      </c>
      <c r="D1953" s="685" t="s">
        <v>1269</v>
      </c>
      <c r="E1953" s="306" t="s">
        <v>1270</v>
      </c>
      <c r="F1953" s="307"/>
      <c r="G1953" s="297" t="s">
        <v>1141</v>
      </c>
      <c r="H1953" s="308" t="str">
        <f t="shared" si="109"/>
        <v>AR-SDV-1</v>
      </c>
      <c r="I1953" s="661">
        <v>1</v>
      </c>
      <c r="J1953" s="197">
        <v>1</v>
      </c>
      <c r="L1953" s="237"/>
      <c r="Q1953" s="237"/>
    </row>
    <row r="1954" spans="1:17" s="233" customFormat="1" ht="14.25" hidden="1" customHeight="1" outlineLevel="2">
      <c r="A1954" s="681"/>
      <c r="B1954" s="299" t="s">
        <v>268</v>
      </c>
      <c r="C1954" s="304" t="s">
        <v>1271</v>
      </c>
      <c r="D1954" s="685" t="s">
        <v>1253</v>
      </c>
      <c r="E1954" s="306" t="s">
        <v>1272</v>
      </c>
      <c r="F1954" s="307"/>
      <c r="G1954" s="297" t="s">
        <v>1141</v>
      </c>
      <c r="H1954" s="308" t="str">
        <f t="shared" si="109"/>
        <v>AR-SDV-1</v>
      </c>
      <c r="I1954" s="661">
        <v>1</v>
      </c>
      <c r="J1954" s="197">
        <v>1</v>
      </c>
      <c r="L1954" s="237"/>
      <c r="Q1954" s="237"/>
    </row>
    <row r="1955" spans="1:17" s="233" customFormat="1" ht="14.25" hidden="1" customHeight="1" outlineLevel="2">
      <c r="A1955" s="681"/>
      <c r="B1955" s="299" t="s">
        <v>268</v>
      </c>
      <c r="C1955" s="304" t="s">
        <v>1271</v>
      </c>
      <c r="D1955" s="685" t="s">
        <v>1255</v>
      </c>
      <c r="E1955" s="306" t="s">
        <v>1273</v>
      </c>
      <c r="F1955" s="307"/>
      <c r="G1955" s="297" t="s">
        <v>1141</v>
      </c>
      <c r="H1955" s="308" t="str">
        <f t="shared" si="109"/>
        <v>AR-SDV-1</v>
      </c>
      <c r="I1955" s="661">
        <v>1</v>
      </c>
      <c r="J1955" s="197">
        <v>1</v>
      </c>
      <c r="L1955" s="237"/>
      <c r="Q1955" s="237"/>
    </row>
    <row r="1956" spans="1:17" s="233" customFormat="1" ht="14.25" hidden="1" customHeight="1" outlineLevel="2">
      <c r="A1956" s="681"/>
      <c r="B1956" s="299" t="s">
        <v>268</v>
      </c>
      <c r="C1956" s="304" t="s">
        <v>1271</v>
      </c>
      <c r="D1956" s="685" t="s">
        <v>1257</v>
      </c>
      <c r="E1956" s="306" t="s">
        <v>1273</v>
      </c>
      <c r="F1956" s="307"/>
      <c r="G1956" s="297" t="s">
        <v>1141</v>
      </c>
      <c r="H1956" s="308" t="str">
        <f t="shared" si="109"/>
        <v>AR-SDV-1</v>
      </c>
      <c r="I1956" s="661">
        <v>1</v>
      </c>
      <c r="J1956" s="197">
        <v>1</v>
      </c>
      <c r="L1956" s="237"/>
      <c r="Q1956" s="237"/>
    </row>
    <row r="1957" spans="1:17" s="233" customFormat="1" ht="14.25" hidden="1" customHeight="1" outlineLevel="2">
      <c r="A1957" s="681"/>
      <c r="B1957" s="299" t="s">
        <v>268</v>
      </c>
      <c r="C1957" s="304" t="s">
        <v>1271</v>
      </c>
      <c r="D1957" s="685" t="s">
        <v>1259</v>
      </c>
      <c r="E1957" s="306" t="s">
        <v>1273</v>
      </c>
      <c r="F1957" s="307"/>
      <c r="G1957" s="297" t="s">
        <v>1141</v>
      </c>
      <c r="H1957" s="308" t="str">
        <f t="shared" si="109"/>
        <v>AR-SDV-1</v>
      </c>
      <c r="I1957" s="661">
        <v>1</v>
      </c>
      <c r="J1957" s="197">
        <v>1</v>
      </c>
      <c r="L1957" s="237"/>
      <c r="Q1957" s="237"/>
    </row>
    <row r="1958" spans="1:17" s="233" customFormat="1" ht="14.25" hidden="1" customHeight="1" outlineLevel="2">
      <c r="A1958" s="681"/>
      <c r="B1958" s="299" t="s">
        <v>268</v>
      </c>
      <c r="C1958" s="304" t="s">
        <v>1271</v>
      </c>
      <c r="D1958" s="685" t="s">
        <v>1261</v>
      </c>
      <c r="E1958" s="306" t="s">
        <v>1273</v>
      </c>
      <c r="F1958" s="307"/>
      <c r="G1958" s="297" t="s">
        <v>1141</v>
      </c>
      <c r="H1958" s="308" t="str">
        <f t="shared" si="109"/>
        <v>AR-SDV-1</v>
      </c>
      <c r="I1958" s="661">
        <v>1</v>
      </c>
      <c r="J1958" s="197">
        <v>1</v>
      </c>
      <c r="L1958" s="237"/>
      <c r="Q1958" s="237"/>
    </row>
    <row r="1959" spans="1:17" s="233" customFormat="1" ht="14.25" hidden="1" customHeight="1" outlineLevel="2">
      <c r="A1959" s="681"/>
      <c r="B1959" s="299" t="s">
        <v>268</v>
      </c>
      <c r="C1959" s="304" t="s">
        <v>1271</v>
      </c>
      <c r="D1959" s="685" t="s">
        <v>1263</v>
      </c>
      <c r="E1959" s="306" t="s">
        <v>1274</v>
      </c>
      <c r="F1959" s="307"/>
      <c r="G1959" s="297" t="s">
        <v>1141</v>
      </c>
      <c r="H1959" s="308" t="str">
        <f t="shared" si="109"/>
        <v>AR-SDV-1</v>
      </c>
      <c r="I1959" s="661">
        <v>1</v>
      </c>
      <c r="J1959" s="197">
        <v>1</v>
      </c>
      <c r="L1959" s="237"/>
      <c r="Q1959" s="237"/>
    </row>
    <row r="1960" spans="1:17" s="233" customFormat="1" ht="14.25" hidden="1" customHeight="1" outlineLevel="2">
      <c r="A1960" s="681"/>
      <c r="B1960" s="299" t="s">
        <v>268</v>
      </c>
      <c r="C1960" s="304" t="s">
        <v>1271</v>
      </c>
      <c r="D1960" s="685" t="s">
        <v>1265</v>
      </c>
      <c r="E1960" s="306" t="s">
        <v>1274</v>
      </c>
      <c r="F1960" s="307"/>
      <c r="G1960" s="297" t="s">
        <v>1141</v>
      </c>
      <c r="H1960" s="308" t="str">
        <f t="shared" si="109"/>
        <v>AR-SDV-1</v>
      </c>
      <c r="I1960" s="661">
        <v>1</v>
      </c>
      <c r="J1960" s="197">
        <v>1</v>
      </c>
      <c r="L1960" s="237"/>
      <c r="Q1960" s="237"/>
    </row>
    <row r="1961" spans="1:17" s="233" customFormat="1" ht="14.25" hidden="1" customHeight="1" outlineLevel="2">
      <c r="A1961" s="681"/>
      <c r="B1961" s="299" t="s">
        <v>268</v>
      </c>
      <c r="C1961" s="304" t="s">
        <v>1271</v>
      </c>
      <c r="D1961" s="685" t="s">
        <v>1267</v>
      </c>
      <c r="E1961" s="306" t="s">
        <v>1274</v>
      </c>
      <c r="F1961" s="307"/>
      <c r="G1961" s="297" t="s">
        <v>1141</v>
      </c>
      <c r="H1961" s="308" t="str">
        <f t="shared" si="109"/>
        <v>AR-SDV-1</v>
      </c>
      <c r="I1961" s="661">
        <v>1</v>
      </c>
      <c r="J1961" s="197">
        <v>1</v>
      </c>
      <c r="L1961" s="237"/>
      <c r="Q1961" s="237"/>
    </row>
    <row r="1962" spans="1:17" s="233" customFormat="1" ht="14.25" hidden="1" customHeight="1" outlineLevel="2">
      <c r="A1962" s="681"/>
      <c r="B1962" s="299" t="s">
        <v>268</v>
      </c>
      <c r="C1962" s="304" t="s">
        <v>1271</v>
      </c>
      <c r="D1962" s="685" t="s">
        <v>1269</v>
      </c>
      <c r="E1962" s="306" t="s">
        <v>1275</v>
      </c>
      <c r="F1962" s="307"/>
      <c r="G1962" s="297" t="s">
        <v>1141</v>
      </c>
      <c r="H1962" s="308" t="str">
        <f t="shared" si="109"/>
        <v>AR-SDV-1</v>
      </c>
      <c r="I1962" s="661">
        <v>1</v>
      </c>
      <c r="J1962" s="197">
        <v>1</v>
      </c>
      <c r="L1962" s="237"/>
      <c r="Q1962" s="237"/>
    </row>
    <row r="1963" spans="1:17" s="233" customFormat="1" ht="14.25" hidden="1" customHeight="1" outlineLevel="2">
      <c r="A1963" s="681"/>
      <c r="B1963" s="299" t="s">
        <v>268</v>
      </c>
      <c r="C1963" s="304" t="s">
        <v>1271</v>
      </c>
      <c r="D1963" s="685" t="s">
        <v>1276</v>
      </c>
      <c r="E1963" s="306" t="s">
        <v>1277</v>
      </c>
      <c r="F1963" s="307"/>
      <c r="G1963" s="297" t="s">
        <v>1141</v>
      </c>
      <c r="H1963" s="308" t="str">
        <f t="shared" si="109"/>
        <v>AR-SDV-1</v>
      </c>
      <c r="I1963" s="661">
        <v>1</v>
      </c>
      <c r="J1963" s="197">
        <v>1</v>
      </c>
      <c r="L1963" s="237"/>
      <c r="Q1963" s="237"/>
    </row>
    <row r="1964" spans="1:17" s="233" customFormat="1" ht="14.25" hidden="1" customHeight="1" outlineLevel="2">
      <c r="A1964" s="681"/>
      <c r="B1964" s="299" t="s">
        <v>268</v>
      </c>
      <c r="C1964" s="304" t="s">
        <v>1271</v>
      </c>
      <c r="D1964" s="685" t="s">
        <v>1278</v>
      </c>
      <c r="E1964" s="306" t="s">
        <v>1279</v>
      </c>
      <c r="F1964" s="307"/>
      <c r="G1964" s="297" t="s">
        <v>1141</v>
      </c>
      <c r="H1964" s="308" t="str">
        <f t="shared" si="109"/>
        <v>AR-SDV-1</v>
      </c>
      <c r="I1964" s="661">
        <v>1</v>
      </c>
      <c r="J1964" s="197">
        <v>1</v>
      </c>
      <c r="K1964" s="232"/>
      <c r="L1964" s="234"/>
      <c r="M1964" s="197"/>
      <c r="Q1964" s="237"/>
    </row>
    <row r="1965" spans="1:17" s="233" customFormat="1" ht="3" hidden="1" customHeight="1" outlineLevel="1">
      <c r="A1965" s="681"/>
      <c r="B1965" s="299"/>
      <c r="C1965" s="304"/>
      <c r="D1965" s="685"/>
      <c r="E1965" s="306" t="s">
        <v>277</v>
      </c>
      <c r="F1965" s="307"/>
      <c r="G1965" s="297"/>
      <c r="H1965" s="308"/>
      <c r="I1965" s="661"/>
      <c r="J1965" s="197"/>
      <c r="K1965" s="232"/>
      <c r="L1965" s="234"/>
      <c r="M1965" s="197"/>
      <c r="Q1965" s="237"/>
    </row>
    <row r="1966" spans="1:17" s="243" customFormat="1" ht="14.25" hidden="1" customHeight="1" outlineLevel="1">
      <c r="A1966" s="687"/>
      <c r="B1966" s="299" t="s">
        <v>1280</v>
      </c>
      <c r="C1966" s="304"/>
      <c r="D1966" s="685"/>
      <c r="E1966" s="306"/>
      <c r="F1966" s="307"/>
      <c r="G1966" s="297"/>
      <c r="H1966" s="308"/>
      <c r="I1966" s="661"/>
      <c r="J1966" s="240"/>
      <c r="K1966" s="241"/>
      <c r="L1966" s="242"/>
      <c r="M1966" s="197"/>
      <c r="Q1966" s="708"/>
    </row>
    <row r="1967" spans="1:17" s="233" customFormat="1" ht="3" hidden="1" customHeight="1" outlineLevel="2">
      <c r="A1967" s="681"/>
      <c r="B1967" s="299"/>
      <c r="C1967" s="304"/>
      <c r="D1967" s="685"/>
      <c r="E1967" s="306" t="s">
        <v>277</v>
      </c>
      <c r="F1967" s="307"/>
      <c r="G1967" s="297"/>
      <c r="H1967" s="308"/>
      <c r="I1967" s="661"/>
      <c r="J1967" s="197"/>
      <c r="K1967" s="232"/>
      <c r="L1967" s="234"/>
      <c r="M1967" s="197"/>
      <c r="Q1967" s="237"/>
    </row>
    <row r="1968" spans="1:17" s="233" customFormat="1" ht="14.25" hidden="1" customHeight="1" outlineLevel="2">
      <c r="A1968" s="681"/>
      <c r="B1968" s="299" t="s">
        <v>1281</v>
      </c>
      <c r="C1968" s="304"/>
      <c r="D1968" s="685"/>
      <c r="E1968" s="306" t="s">
        <v>277</v>
      </c>
      <c r="F1968" s="307"/>
      <c r="G1968" s="297"/>
      <c r="H1968" s="308"/>
      <c r="I1968" s="661"/>
      <c r="J1968" s="197"/>
      <c r="K1968" s="232"/>
      <c r="L1968" s="234"/>
      <c r="M1968" s="197"/>
      <c r="Q1968" s="237"/>
    </row>
    <row r="1969" spans="1:17" s="233" customFormat="1" ht="13.5" hidden="1" outlineLevel="2">
      <c r="A1969" s="681"/>
      <c r="B1969" s="299" t="s">
        <v>268</v>
      </c>
      <c r="C1969" s="304" t="s">
        <v>1282</v>
      </c>
      <c r="D1969" s="685" t="s">
        <v>270</v>
      </c>
      <c r="E1969" s="306" t="s">
        <v>599</v>
      </c>
      <c r="F1969" s="307"/>
      <c r="G1969" s="297" t="s">
        <v>1141</v>
      </c>
      <c r="H1969" s="308" t="str">
        <f>CONCATENATE("AR-",G1969,"-",I1969)</f>
        <v>AR-SDV-3</v>
      </c>
      <c r="I1969" s="661">
        <v>3</v>
      </c>
      <c r="J1969" s="197"/>
      <c r="K1969" s="232"/>
      <c r="L1969" s="234">
        <v>1</v>
      </c>
      <c r="M1969" s="197">
        <v>1</v>
      </c>
      <c r="Q1969" s="237"/>
    </row>
    <row r="1970" spans="1:17" s="233" customFormat="1" ht="3" hidden="1" customHeight="1" outlineLevel="2">
      <c r="A1970" s="681"/>
      <c r="B1970" s="299"/>
      <c r="C1970" s="304"/>
      <c r="D1970" s="685"/>
      <c r="E1970" s="306" t="s">
        <v>277</v>
      </c>
      <c r="F1970" s="307"/>
      <c r="G1970" s="297"/>
      <c r="H1970" s="308"/>
      <c r="I1970" s="661"/>
      <c r="J1970" s="197"/>
      <c r="K1970" s="232"/>
      <c r="L1970" s="234"/>
      <c r="M1970" s="197"/>
      <c r="Q1970" s="237"/>
    </row>
    <row r="1971" spans="1:17" s="233" customFormat="1" ht="14.25" hidden="1" customHeight="1" outlineLevel="2">
      <c r="A1971" s="681"/>
      <c r="B1971" s="299" t="s">
        <v>1283</v>
      </c>
      <c r="C1971" s="304"/>
      <c r="D1971" s="685"/>
      <c r="E1971" s="306"/>
      <c r="F1971" s="307"/>
      <c r="G1971" s="297"/>
      <c r="H1971" s="308"/>
      <c r="I1971" s="661"/>
      <c r="J1971" s="197"/>
      <c r="K1971" s="232"/>
      <c r="L1971" s="234"/>
      <c r="M1971" s="197"/>
      <c r="Q1971" s="237"/>
    </row>
    <row r="1972" spans="1:17" s="233" customFormat="1" ht="13.5" hidden="1" outlineLevel="2">
      <c r="A1972" s="681"/>
      <c r="B1972" s="299" t="s">
        <v>268</v>
      </c>
      <c r="C1972" s="304" t="s">
        <v>1282</v>
      </c>
      <c r="D1972" s="685" t="s">
        <v>1144</v>
      </c>
      <c r="E1972" s="306" t="s">
        <v>490</v>
      </c>
      <c r="F1972" s="307"/>
      <c r="G1972" s="297" t="s">
        <v>1141</v>
      </c>
      <c r="H1972" s="308" t="str">
        <f>CONCATENATE("AR-",G1972,"-",I1972)</f>
        <v>AR-SDV-3</v>
      </c>
      <c r="I1972" s="661">
        <v>3</v>
      </c>
      <c r="J1972" s="197">
        <v>1</v>
      </c>
      <c r="K1972" s="232"/>
      <c r="L1972" s="237"/>
      <c r="M1972" s="197"/>
      <c r="Q1972" s="237"/>
    </row>
    <row r="1973" spans="1:17" s="233" customFormat="1" ht="3" hidden="1" customHeight="1" outlineLevel="2">
      <c r="A1973" s="681"/>
      <c r="B1973" s="299"/>
      <c r="C1973" s="304"/>
      <c r="D1973" s="685"/>
      <c r="E1973" s="306" t="s">
        <v>277</v>
      </c>
      <c r="F1973" s="307"/>
      <c r="G1973" s="297"/>
      <c r="H1973" s="308"/>
      <c r="I1973" s="661"/>
      <c r="J1973" s="197"/>
      <c r="K1973" s="232"/>
      <c r="L1973" s="234"/>
      <c r="M1973" s="197"/>
      <c r="Q1973" s="237"/>
    </row>
    <row r="1974" spans="1:17" s="233" customFormat="1" ht="14.25" hidden="1" customHeight="1" outlineLevel="2">
      <c r="A1974" s="681"/>
      <c r="B1974" s="299" t="s">
        <v>1284</v>
      </c>
      <c r="C1974" s="304"/>
      <c r="D1974" s="685"/>
      <c r="E1974" s="306"/>
      <c r="F1974" s="307"/>
      <c r="G1974" s="297"/>
      <c r="H1974" s="308"/>
      <c r="I1974" s="661"/>
      <c r="J1974" s="197"/>
      <c r="K1974" s="232"/>
      <c r="L1974" s="234"/>
      <c r="M1974" s="197"/>
      <c r="Q1974" s="237"/>
    </row>
    <row r="1975" spans="1:17" s="233" customFormat="1" ht="13.5" hidden="1" outlineLevel="2">
      <c r="A1975" s="681"/>
      <c r="B1975" s="299" t="s">
        <v>268</v>
      </c>
      <c r="C1975" s="304" t="s">
        <v>1282</v>
      </c>
      <c r="D1975" s="685" t="s">
        <v>279</v>
      </c>
      <c r="E1975" s="306" t="s">
        <v>491</v>
      </c>
      <c r="F1975" s="307"/>
      <c r="G1975" s="297" t="s">
        <v>1141</v>
      </c>
      <c r="H1975" s="308" t="str">
        <f>CONCATENATE("AR-",G1975,"-",I1975)</f>
        <v>AR-SDV-3</v>
      </c>
      <c r="I1975" s="661">
        <v>3</v>
      </c>
      <c r="J1975" s="197"/>
      <c r="K1975" s="232"/>
      <c r="L1975" s="234">
        <v>1</v>
      </c>
      <c r="M1975" s="197">
        <v>1</v>
      </c>
      <c r="Q1975" s="237"/>
    </row>
    <row r="1976" spans="1:17" s="233" customFormat="1" ht="13.5" hidden="1" outlineLevel="2">
      <c r="A1976" s="681"/>
      <c r="B1976" s="299" t="s">
        <v>268</v>
      </c>
      <c r="C1976" s="304" t="s">
        <v>1282</v>
      </c>
      <c r="D1976" s="685" t="s">
        <v>355</v>
      </c>
      <c r="E1976" s="306" t="s">
        <v>492</v>
      </c>
      <c r="F1976" s="307"/>
      <c r="G1976" s="297" t="s">
        <v>1141</v>
      </c>
      <c r="H1976" s="308" t="str">
        <f>CONCATENATE("AR-",G1976,"-",I1976)</f>
        <v>AR-SDV-3</v>
      </c>
      <c r="I1976" s="661">
        <v>3</v>
      </c>
      <c r="J1976" s="197"/>
      <c r="K1976" s="232"/>
      <c r="L1976" s="234">
        <v>1</v>
      </c>
      <c r="M1976" s="197">
        <v>1</v>
      </c>
      <c r="Q1976" s="237"/>
    </row>
    <row r="1977" spans="1:17" s="233" customFormat="1" ht="13.5" hidden="1" outlineLevel="2">
      <c r="A1977" s="681"/>
      <c r="B1977" s="299" t="s">
        <v>268</v>
      </c>
      <c r="C1977" s="304" t="s">
        <v>1282</v>
      </c>
      <c r="D1977" s="685" t="s">
        <v>355</v>
      </c>
      <c r="E1977" s="306" t="s">
        <v>1285</v>
      </c>
      <c r="F1977" s="307"/>
      <c r="G1977" s="297" t="s">
        <v>1141</v>
      </c>
      <c r="H1977" s="308" t="str">
        <f>CONCATENATE("AR-",G1977,"-",I1977)</f>
        <v>AR-SDV-3</v>
      </c>
      <c r="I1977" s="661">
        <v>3</v>
      </c>
      <c r="J1977" s="197"/>
      <c r="K1977" s="232"/>
      <c r="L1977" s="234">
        <v>1</v>
      </c>
      <c r="M1977" s="197">
        <v>1</v>
      </c>
      <c r="Q1977" s="237"/>
    </row>
    <row r="1978" spans="1:17" s="233" customFormat="1" ht="3" hidden="1" customHeight="1" outlineLevel="2">
      <c r="A1978" s="681"/>
      <c r="B1978" s="299"/>
      <c r="C1978" s="304"/>
      <c r="D1978" s="685"/>
      <c r="E1978" s="306" t="s">
        <v>277</v>
      </c>
      <c r="F1978" s="307"/>
      <c r="G1978" s="297"/>
      <c r="H1978" s="308"/>
      <c r="I1978" s="661"/>
      <c r="J1978" s="197"/>
      <c r="K1978" s="232"/>
      <c r="L1978" s="234"/>
      <c r="M1978" s="197"/>
      <c r="Q1978" s="237"/>
    </row>
    <row r="1979" spans="1:17" s="233" customFormat="1" ht="14.25" hidden="1" customHeight="1" outlineLevel="2">
      <c r="A1979" s="681"/>
      <c r="B1979" s="299" t="s">
        <v>1286</v>
      </c>
      <c r="C1979" s="304"/>
      <c r="D1979" s="685"/>
      <c r="E1979" s="306"/>
      <c r="F1979" s="307"/>
      <c r="G1979" s="297"/>
      <c r="H1979" s="308"/>
      <c r="I1979" s="661"/>
      <c r="J1979" s="197"/>
      <c r="K1979" s="232"/>
      <c r="L1979" s="234"/>
      <c r="M1979" s="197"/>
      <c r="Q1979" s="237"/>
    </row>
    <row r="1980" spans="1:17" s="233" customFormat="1" ht="13.5" hidden="1" outlineLevel="2">
      <c r="A1980" s="681"/>
      <c r="B1980" s="299" t="s">
        <v>268</v>
      </c>
      <c r="C1980" s="304" t="s">
        <v>1282</v>
      </c>
      <c r="D1980" s="685" t="s">
        <v>374</v>
      </c>
      <c r="E1980" s="306" t="s">
        <v>516</v>
      </c>
      <c r="F1980" s="307"/>
      <c r="G1980" s="297" t="s">
        <v>1141</v>
      </c>
      <c r="H1980" s="308" t="str">
        <f>CONCATENATE("AR-",G1980,"-",I1980)</f>
        <v>AR-SDV-3</v>
      </c>
      <c r="I1980" s="661">
        <v>3</v>
      </c>
      <c r="J1980" s="197"/>
      <c r="K1980" s="232"/>
      <c r="L1980" s="234">
        <v>1</v>
      </c>
      <c r="M1980" s="197">
        <v>1</v>
      </c>
      <c r="Q1980" s="237"/>
    </row>
    <row r="1981" spans="1:17" s="233" customFormat="1" ht="13.5" hidden="1" outlineLevel="2">
      <c r="A1981" s="681"/>
      <c r="B1981" s="299" t="s">
        <v>268</v>
      </c>
      <c r="C1981" s="304" t="s">
        <v>1282</v>
      </c>
      <c r="D1981" s="685" t="s">
        <v>376</v>
      </c>
      <c r="E1981" s="306" t="s">
        <v>1287</v>
      </c>
      <c r="F1981" s="307"/>
      <c r="G1981" s="297" t="s">
        <v>1141</v>
      </c>
      <c r="H1981" s="308" t="str">
        <f>CONCATENATE("AR-",G1981,"-",I1981)</f>
        <v>AR-SDV-3</v>
      </c>
      <c r="I1981" s="661">
        <v>3</v>
      </c>
      <c r="J1981" s="197"/>
      <c r="K1981" s="232"/>
      <c r="L1981" s="234">
        <v>1</v>
      </c>
      <c r="M1981" s="197">
        <v>1</v>
      </c>
      <c r="Q1981" s="237"/>
    </row>
    <row r="1982" spans="1:17" s="233" customFormat="1" ht="3" hidden="1" customHeight="1" outlineLevel="2">
      <c r="A1982" s="681"/>
      <c r="B1982" s="299"/>
      <c r="C1982" s="304"/>
      <c r="D1982" s="685"/>
      <c r="E1982" s="306" t="s">
        <v>277</v>
      </c>
      <c r="F1982" s="307"/>
      <c r="G1982" s="297"/>
      <c r="H1982" s="308"/>
      <c r="I1982" s="661"/>
      <c r="J1982" s="197"/>
      <c r="K1982" s="232"/>
      <c r="L1982" s="234"/>
      <c r="M1982" s="197"/>
      <c r="Q1982" s="237"/>
    </row>
    <row r="1983" spans="1:17" s="233" customFormat="1" ht="14.25" hidden="1" customHeight="1" outlineLevel="2">
      <c r="A1983" s="681"/>
      <c r="B1983" s="299" t="s">
        <v>1288</v>
      </c>
      <c r="C1983" s="304"/>
      <c r="D1983" s="685"/>
      <c r="E1983" s="306" t="s">
        <v>277</v>
      </c>
      <c r="F1983" s="307"/>
      <c r="G1983" s="297"/>
      <c r="H1983" s="308"/>
      <c r="I1983" s="661"/>
      <c r="J1983" s="197"/>
      <c r="K1983" s="232"/>
      <c r="L1983" s="234"/>
      <c r="M1983" s="197"/>
      <c r="Q1983" s="237"/>
    </row>
    <row r="1984" spans="1:17" s="233" customFormat="1" ht="13.5" hidden="1" outlineLevel="2">
      <c r="A1984" s="681"/>
      <c r="B1984" s="299" t="s">
        <v>268</v>
      </c>
      <c r="C1984" s="304" t="s">
        <v>1282</v>
      </c>
      <c r="D1984" s="685" t="s">
        <v>701</v>
      </c>
      <c r="E1984" s="306" t="s">
        <v>1289</v>
      </c>
      <c r="F1984" s="307"/>
      <c r="G1984" s="297" t="s">
        <v>1141</v>
      </c>
      <c r="H1984" s="308" t="str">
        <f>CONCATENATE("AR-",G1984,"-",I1984)</f>
        <v>AR-SDV-3</v>
      </c>
      <c r="I1984" s="661">
        <v>3</v>
      </c>
      <c r="J1984" s="197"/>
      <c r="K1984" s="232"/>
      <c r="L1984" s="234">
        <v>1</v>
      </c>
      <c r="M1984" s="197">
        <v>1</v>
      </c>
      <c r="Q1984" s="237"/>
    </row>
    <row r="1985" spans="1:17" s="233" customFormat="1" ht="13.5" hidden="1" outlineLevel="2">
      <c r="A1985" s="681"/>
      <c r="B1985" s="299" t="s">
        <v>268</v>
      </c>
      <c r="C1985" s="304" t="s">
        <v>1282</v>
      </c>
      <c r="D1985" s="685" t="s">
        <v>1062</v>
      </c>
      <c r="E1985" s="306" t="s">
        <v>1290</v>
      </c>
      <c r="F1985" s="307"/>
      <c r="G1985" s="297" t="s">
        <v>1141</v>
      </c>
      <c r="H1985" s="308" t="str">
        <f>CONCATENATE("AR-",G1985,"-",I1985)</f>
        <v>AR-SDV-3</v>
      </c>
      <c r="I1985" s="661">
        <v>3</v>
      </c>
      <c r="J1985" s="197"/>
      <c r="K1985" s="232"/>
      <c r="L1985" s="234">
        <v>1</v>
      </c>
      <c r="M1985" s="197">
        <v>1</v>
      </c>
      <c r="Q1985" s="237"/>
    </row>
    <row r="1986" spans="1:17" s="233" customFormat="1" ht="13.5" hidden="1" outlineLevel="2">
      <c r="A1986" s="681"/>
      <c r="B1986" s="299" t="s">
        <v>268</v>
      </c>
      <c r="C1986" s="304" t="s">
        <v>1282</v>
      </c>
      <c r="D1986" s="685" t="s">
        <v>1291</v>
      </c>
      <c r="E1986" s="306" t="s">
        <v>1292</v>
      </c>
      <c r="F1986" s="307"/>
      <c r="G1986" s="297" t="s">
        <v>1141</v>
      </c>
      <c r="H1986" s="308" t="str">
        <f>CONCATENATE("AR-",G1986,"-",I1986)</f>
        <v>AR-SDV-3</v>
      </c>
      <c r="I1986" s="661">
        <v>3</v>
      </c>
      <c r="J1986" s="197"/>
      <c r="K1986" s="232"/>
      <c r="L1986" s="234">
        <v>1</v>
      </c>
      <c r="M1986" s="197">
        <v>1</v>
      </c>
      <c r="Q1986" s="237"/>
    </row>
    <row r="1987" spans="1:17" s="233" customFormat="1" ht="3" hidden="1" customHeight="1" outlineLevel="2">
      <c r="A1987" s="681"/>
      <c r="B1987" s="299"/>
      <c r="C1987" s="304"/>
      <c r="D1987" s="685"/>
      <c r="E1987" s="306" t="s">
        <v>277</v>
      </c>
      <c r="F1987" s="307"/>
      <c r="G1987" s="297"/>
      <c r="H1987" s="308"/>
      <c r="I1987" s="661"/>
      <c r="J1987" s="197"/>
      <c r="K1987" s="232"/>
      <c r="L1987" s="234"/>
      <c r="M1987" s="197"/>
      <c r="Q1987" s="237"/>
    </row>
    <row r="1988" spans="1:17" s="233" customFormat="1" ht="14.25" hidden="1" customHeight="1" outlineLevel="2">
      <c r="A1988" s="681"/>
      <c r="B1988" s="299" t="s">
        <v>1293</v>
      </c>
      <c r="C1988" s="304"/>
      <c r="D1988" s="685"/>
      <c r="E1988" s="306" t="s">
        <v>277</v>
      </c>
      <c r="F1988" s="307"/>
      <c r="G1988" s="297"/>
      <c r="H1988" s="308"/>
      <c r="I1988" s="661"/>
      <c r="J1988" s="197"/>
      <c r="K1988" s="232"/>
      <c r="L1988" s="234"/>
      <c r="M1988" s="197"/>
      <c r="Q1988" s="237"/>
    </row>
    <row r="1989" spans="1:17" s="233" customFormat="1" ht="13.5" hidden="1" outlineLevel="2">
      <c r="A1989" s="681"/>
      <c r="B1989" s="299" t="s">
        <v>268</v>
      </c>
      <c r="C1989" s="304" t="s">
        <v>1282</v>
      </c>
      <c r="D1989" s="685">
        <v>1401</v>
      </c>
      <c r="E1989" s="306" t="s">
        <v>1294</v>
      </c>
      <c r="F1989" s="307"/>
      <c r="G1989" s="297" t="s">
        <v>1141</v>
      </c>
      <c r="H1989" s="308" t="str">
        <f>CONCATENATE("AR-",G1989,"-",I1989)</f>
        <v>AR-SDV-3</v>
      </c>
      <c r="I1989" s="661">
        <v>3</v>
      </c>
      <c r="J1989" s="197"/>
      <c r="K1989" s="232"/>
      <c r="L1989" s="234">
        <v>1</v>
      </c>
      <c r="M1989" s="197">
        <v>1</v>
      </c>
      <c r="Q1989" s="237"/>
    </row>
    <row r="1990" spans="1:17" s="233" customFormat="1" ht="13.5" hidden="1" outlineLevel="2">
      <c r="A1990" s="681"/>
      <c r="B1990" s="299" t="s">
        <v>268</v>
      </c>
      <c r="C1990" s="304" t="s">
        <v>1282</v>
      </c>
      <c r="D1990" s="685">
        <v>1402</v>
      </c>
      <c r="E1990" s="306" t="s">
        <v>1295</v>
      </c>
      <c r="F1990" s="307"/>
      <c r="G1990" s="297" t="s">
        <v>1141</v>
      </c>
      <c r="H1990" s="308" t="str">
        <f>CONCATENATE("AR-",G1990,"-",I1990)</f>
        <v>AR-SDV-3</v>
      </c>
      <c r="I1990" s="661">
        <v>3</v>
      </c>
      <c r="J1990" s="197"/>
      <c r="K1990" s="232"/>
      <c r="L1990" s="234">
        <v>1</v>
      </c>
      <c r="M1990" s="197">
        <v>1</v>
      </c>
      <c r="Q1990" s="237"/>
    </row>
    <row r="1991" spans="1:17" s="233" customFormat="1" ht="13.5" hidden="1" outlineLevel="2">
      <c r="A1991" s="681"/>
      <c r="B1991" s="299" t="s">
        <v>268</v>
      </c>
      <c r="C1991" s="304" t="s">
        <v>1282</v>
      </c>
      <c r="D1991" s="685">
        <v>1403</v>
      </c>
      <c r="E1991" s="306" t="s">
        <v>1296</v>
      </c>
      <c r="F1991" s="307"/>
      <c r="G1991" s="297" t="s">
        <v>1141</v>
      </c>
      <c r="H1991" s="308" t="str">
        <f>CONCATENATE("AR-",G1991,"-",I1991)</f>
        <v>AR-SDV-3</v>
      </c>
      <c r="I1991" s="661">
        <v>3</v>
      </c>
      <c r="J1991" s="197"/>
      <c r="K1991" s="232"/>
      <c r="L1991" s="234">
        <v>1</v>
      </c>
      <c r="M1991" s="197">
        <v>1</v>
      </c>
      <c r="Q1991" s="237"/>
    </row>
    <row r="1992" spans="1:17" s="233" customFormat="1" ht="13.5" hidden="1" outlineLevel="2">
      <c r="A1992" s="681"/>
      <c r="B1992" s="299" t="s">
        <v>268</v>
      </c>
      <c r="C1992" s="304" t="s">
        <v>1282</v>
      </c>
      <c r="D1992" s="685">
        <v>1404</v>
      </c>
      <c r="E1992" s="306" t="s">
        <v>1297</v>
      </c>
      <c r="F1992" s="307"/>
      <c r="G1992" s="297" t="s">
        <v>1141</v>
      </c>
      <c r="H1992" s="308" t="str">
        <f>CONCATENATE("AR-",G1992,"-",I1992)</f>
        <v>AR-SDV-3</v>
      </c>
      <c r="I1992" s="661">
        <v>3</v>
      </c>
      <c r="J1992" s="197"/>
      <c r="K1992" s="232"/>
      <c r="L1992" s="234">
        <v>1</v>
      </c>
      <c r="M1992" s="197">
        <v>1</v>
      </c>
      <c r="Q1992" s="237"/>
    </row>
    <row r="1993" spans="1:17" s="233" customFormat="1" ht="13.5" hidden="1" outlineLevel="2">
      <c r="A1993" s="681"/>
      <c r="B1993" s="299" t="s">
        <v>268</v>
      </c>
      <c r="C1993" s="304" t="s">
        <v>1282</v>
      </c>
      <c r="D1993" s="685" t="s">
        <v>396</v>
      </c>
      <c r="E1993" s="306" t="s">
        <v>1298</v>
      </c>
      <c r="F1993" s="307"/>
      <c r="G1993" s="297" t="s">
        <v>1141</v>
      </c>
      <c r="H1993" s="308" t="str">
        <f>CONCATENATE("AR-",G1993,"-",I1993)</f>
        <v>AR-SDV-3</v>
      </c>
      <c r="I1993" s="661">
        <v>3</v>
      </c>
      <c r="J1993" s="197"/>
      <c r="K1993" s="232"/>
      <c r="L1993" s="234">
        <v>1</v>
      </c>
      <c r="M1993" s="197">
        <v>1</v>
      </c>
      <c r="Q1993" s="237"/>
    </row>
    <row r="1994" spans="1:17" s="233" customFormat="1" ht="3" hidden="1" customHeight="1" outlineLevel="2">
      <c r="A1994" s="681"/>
      <c r="B1994" s="299"/>
      <c r="C1994" s="304"/>
      <c r="D1994" s="685"/>
      <c r="E1994" s="306" t="s">
        <v>277</v>
      </c>
      <c r="F1994" s="307"/>
      <c r="G1994" s="297"/>
      <c r="H1994" s="308"/>
      <c r="I1994" s="661"/>
      <c r="J1994" s="197"/>
      <c r="K1994" s="232"/>
      <c r="L1994" s="234"/>
      <c r="M1994" s="197"/>
      <c r="Q1994" s="237"/>
    </row>
    <row r="1995" spans="1:17" s="233" customFormat="1" ht="14.25" hidden="1" customHeight="1" outlineLevel="2">
      <c r="A1995" s="681"/>
      <c r="B1995" s="299" t="s">
        <v>1299</v>
      </c>
      <c r="C1995" s="304"/>
      <c r="D1995" s="685"/>
      <c r="E1995" s="306"/>
      <c r="F1995" s="307"/>
      <c r="G1995" s="297"/>
      <c r="H1995" s="308"/>
      <c r="I1995" s="661"/>
      <c r="J1995" s="197"/>
      <c r="K1995" s="232"/>
      <c r="L1995" s="234"/>
      <c r="M1995" s="197"/>
      <c r="Q1995" s="237"/>
    </row>
    <row r="1996" spans="1:17" s="233" customFormat="1" ht="13.5" hidden="1" outlineLevel="2">
      <c r="A1996" s="681"/>
      <c r="B1996" s="299" t="s">
        <v>268</v>
      </c>
      <c r="C1996" s="304" t="s">
        <v>1282</v>
      </c>
      <c r="D1996" s="685" t="s">
        <v>328</v>
      </c>
      <c r="E1996" s="306" t="s">
        <v>1300</v>
      </c>
      <c r="F1996" s="307"/>
      <c r="G1996" s="297" t="s">
        <v>1141</v>
      </c>
      <c r="H1996" s="308" t="str">
        <f>CONCATENATE("AR-",G1996,"-",I1996)</f>
        <v>AR-SDV-3</v>
      </c>
      <c r="I1996" s="661">
        <v>3</v>
      </c>
      <c r="J1996" s="197"/>
      <c r="K1996" s="232"/>
      <c r="L1996" s="234">
        <v>1</v>
      </c>
      <c r="M1996" s="197">
        <v>1</v>
      </c>
      <c r="Q1996" s="237"/>
    </row>
    <row r="1997" spans="1:17" s="233" customFormat="1" ht="13.5" hidden="1" outlineLevel="2">
      <c r="A1997" s="681"/>
      <c r="B1997" s="299" t="s">
        <v>268</v>
      </c>
      <c r="C1997" s="304" t="s">
        <v>1282</v>
      </c>
      <c r="D1997" s="685" t="s">
        <v>328</v>
      </c>
      <c r="E1997" s="306" t="s">
        <v>1300</v>
      </c>
      <c r="F1997" s="307"/>
      <c r="G1997" s="297" t="s">
        <v>1141</v>
      </c>
      <c r="H1997" s="308" t="str">
        <f>CONCATENATE("AR-",G1997,"-",I1997)</f>
        <v>AR-SDV-3</v>
      </c>
      <c r="I1997" s="661">
        <v>3</v>
      </c>
      <c r="J1997" s="197"/>
      <c r="K1997" s="232"/>
      <c r="L1997" s="234">
        <v>1</v>
      </c>
      <c r="M1997" s="197">
        <v>1</v>
      </c>
      <c r="Q1997" s="237"/>
    </row>
    <row r="1998" spans="1:17" s="233" customFormat="1" ht="3" hidden="1" customHeight="1" outlineLevel="2">
      <c r="A1998" s="681"/>
      <c r="B1998" s="299"/>
      <c r="C1998" s="304"/>
      <c r="D1998" s="685"/>
      <c r="E1998" s="306" t="s">
        <v>277</v>
      </c>
      <c r="F1998" s="307"/>
      <c r="G1998" s="297"/>
      <c r="H1998" s="308"/>
      <c r="I1998" s="661"/>
      <c r="J1998" s="197"/>
      <c r="K1998" s="232"/>
      <c r="L1998" s="234"/>
      <c r="M1998" s="197"/>
      <c r="Q1998" s="237"/>
    </row>
    <row r="1999" spans="1:17" s="233" customFormat="1" ht="14.25" hidden="1" customHeight="1" outlineLevel="2">
      <c r="A1999" s="681"/>
      <c r="B1999" s="299" t="s">
        <v>1301</v>
      </c>
      <c r="C1999" s="304"/>
      <c r="D1999" s="685"/>
      <c r="E1999" s="306"/>
      <c r="F1999" s="307"/>
      <c r="G1999" s="297"/>
      <c r="H1999" s="308"/>
      <c r="I1999" s="661"/>
      <c r="J1999" s="197"/>
      <c r="K1999" s="232"/>
      <c r="L1999" s="234"/>
      <c r="M1999" s="197"/>
      <c r="Q1999" s="237"/>
    </row>
    <row r="2000" spans="1:17" s="233" customFormat="1" ht="13.5" hidden="1" outlineLevel="2">
      <c r="A2000" s="681"/>
      <c r="B2000" s="299" t="s">
        <v>268</v>
      </c>
      <c r="C2000" s="304" t="s">
        <v>1282</v>
      </c>
      <c r="D2000" s="685" t="s">
        <v>335</v>
      </c>
      <c r="E2000" s="306" t="s">
        <v>1302</v>
      </c>
      <c r="F2000" s="307"/>
      <c r="G2000" s="297" t="s">
        <v>1141</v>
      </c>
      <c r="H2000" s="308" t="str">
        <f>CONCATENATE("AR-",G2000,"-",I2000)</f>
        <v>AR-SDV-3</v>
      </c>
      <c r="I2000" s="661">
        <v>3</v>
      </c>
      <c r="J2000" s="197"/>
      <c r="K2000" s="232"/>
      <c r="L2000" s="234">
        <v>1</v>
      </c>
      <c r="M2000" s="197">
        <v>1</v>
      </c>
      <c r="Q2000" s="237"/>
    </row>
    <row r="2001" spans="1:17" s="233" customFormat="1" ht="13.5" hidden="1" outlineLevel="2">
      <c r="A2001" s="681"/>
      <c r="B2001" s="299" t="s">
        <v>268</v>
      </c>
      <c r="C2001" s="304" t="s">
        <v>1282</v>
      </c>
      <c r="D2001" s="685" t="s">
        <v>337</v>
      </c>
      <c r="E2001" s="306" t="s">
        <v>1302</v>
      </c>
      <c r="F2001" s="307"/>
      <c r="G2001" s="297" t="s">
        <v>1141</v>
      </c>
      <c r="H2001" s="308" t="str">
        <f>CONCATENATE("AR-",G2001,"-",I2001)</f>
        <v>AR-SDV-3</v>
      </c>
      <c r="I2001" s="661">
        <v>3</v>
      </c>
      <c r="J2001" s="197"/>
      <c r="K2001" s="232"/>
      <c r="L2001" s="234">
        <v>1</v>
      </c>
      <c r="M2001" s="197">
        <v>1</v>
      </c>
      <c r="Q2001" s="237"/>
    </row>
    <row r="2002" spans="1:17" s="233" customFormat="1" ht="3" hidden="1" customHeight="1" outlineLevel="2">
      <c r="A2002" s="681"/>
      <c r="B2002" s="299"/>
      <c r="C2002" s="304"/>
      <c r="D2002" s="685"/>
      <c r="E2002" s="306" t="s">
        <v>277</v>
      </c>
      <c r="F2002" s="307"/>
      <c r="G2002" s="297"/>
      <c r="H2002" s="308"/>
      <c r="I2002" s="661"/>
      <c r="J2002" s="197"/>
      <c r="K2002" s="232"/>
      <c r="L2002" s="234"/>
      <c r="M2002" s="197"/>
      <c r="Q2002" s="237"/>
    </row>
    <row r="2003" spans="1:17" s="233" customFormat="1" ht="13.5" hidden="1" outlineLevel="2">
      <c r="A2003" s="681"/>
      <c r="B2003" s="299" t="s">
        <v>1303</v>
      </c>
      <c r="C2003" s="304"/>
      <c r="D2003" s="685"/>
      <c r="E2003" s="306"/>
      <c r="F2003" s="307"/>
      <c r="G2003" s="297"/>
      <c r="H2003" s="308"/>
      <c r="I2003" s="661"/>
      <c r="J2003" s="197"/>
      <c r="K2003" s="232"/>
      <c r="L2003" s="234"/>
      <c r="M2003" s="197"/>
      <c r="Q2003" s="237"/>
    </row>
    <row r="2004" spans="1:17" s="233" customFormat="1" ht="13.5" hidden="1" outlineLevel="2">
      <c r="A2004" s="681"/>
      <c r="B2004" s="299" t="s">
        <v>268</v>
      </c>
      <c r="C2004" s="304" t="s">
        <v>1282</v>
      </c>
      <c r="D2004" s="685">
        <v>4401</v>
      </c>
      <c r="E2004" s="306" t="s">
        <v>1304</v>
      </c>
      <c r="F2004" s="307"/>
      <c r="G2004" s="297" t="s">
        <v>1141</v>
      </c>
      <c r="H2004" s="308" t="str">
        <f>CONCATENATE("AR-",G2004,"-",I2004)</f>
        <v>AR-SDV-3</v>
      </c>
      <c r="I2004" s="661">
        <v>3</v>
      </c>
      <c r="J2004" s="197"/>
      <c r="K2004" s="232"/>
      <c r="L2004" s="234">
        <v>1</v>
      </c>
      <c r="M2004" s="197">
        <v>1</v>
      </c>
      <c r="Q2004" s="237"/>
    </row>
    <row r="2005" spans="1:17" s="233" customFormat="1" ht="13.5" hidden="1" outlineLevel="2">
      <c r="A2005" s="681"/>
      <c r="B2005" s="299" t="s">
        <v>268</v>
      </c>
      <c r="C2005" s="304" t="s">
        <v>1282</v>
      </c>
      <c r="D2005" s="685">
        <v>4402</v>
      </c>
      <c r="E2005" s="306" t="s">
        <v>1305</v>
      </c>
      <c r="F2005" s="307"/>
      <c r="G2005" s="297" t="s">
        <v>1141</v>
      </c>
      <c r="H2005" s="308" t="str">
        <f>CONCATENATE("AR-",G2005,"-",I2005)</f>
        <v>AR-SDV-3</v>
      </c>
      <c r="I2005" s="661">
        <v>3</v>
      </c>
      <c r="J2005" s="197"/>
      <c r="K2005" s="232"/>
      <c r="L2005" s="234">
        <v>1</v>
      </c>
      <c r="M2005" s="197">
        <v>1</v>
      </c>
      <c r="Q2005" s="237"/>
    </row>
    <row r="2006" spans="1:17" s="233" customFormat="1" ht="13.5" hidden="1" outlineLevel="2">
      <c r="A2006" s="681"/>
      <c r="B2006" s="299" t="s">
        <v>268</v>
      </c>
      <c r="C2006" s="304" t="s">
        <v>1282</v>
      </c>
      <c r="D2006" s="685">
        <v>4408</v>
      </c>
      <c r="E2006" s="306" t="s">
        <v>1306</v>
      </c>
      <c r="F2006" s="307"/>
      <c r="G2006" s="297" t="s">
        <v>1141</v>
      </c>
      <c r="H2006" s="308" t="str">
        <f>CONCATENATE("AR-",G2006,"-",I2006)</f>
        <v>AR-SDV-3</v>
      </c>
      <c r="I2006" s="661">
        <v>3</v>
      </c>
      <c r="J2006" s="197"/>
      <c r="K2006" s="232"/>
      <c r="L2006" s="234">
        <v>1</v>
      </c>
      <c r="M2006" s="197">
        <v>1</v>
      </c>
      <c r="Q2006" s="237"/>
    </row>
    <row r="2007" spans="1:17" s="233" customFormat="1" ht="3" hidden="1" customHeight="1" outlineLevel="2">
      <c r="A2007" s="681"/>
      <c r="B2007" s="299"/>
      <c r="C2007" s="304"/>
      <c r="D2007" s="685"/>
      <c r="E2007" s="306" t="s">
        <v>277</v>
      </c>
      <c r="F2007" s="307"/>
      <c r="G2007" s="297"/>
      <c r="H2007" s="308"/>
      <c r="I2007" s="661"/>
      <c r="J2007" s="197"/>
      <c r="K2007" s="232"/>
      <c r="L2007" s="234"/>
      <c r="M2007" s="197"/>
      <c r="Q2007" s="237"/>
    </row>
    <row r="2008" spans="1:17" s="233" customFormat="1" ht="13.5" hidden="1" outlineLevel="2">
      <c r="A2008" s="681"/>
      <c r="B2008" s="299" t="s">
        <v>417</v>
      </c>
      <c r="C2008" s="304"/>
      <c r="D2008" s="685"/>
      <c r="E2008" s="306" t="s">
        <v>277</v>
      </c>
      <c r="F2008" s="307"/>
      <c r="G2008" s="297"/>
      <c r="H2008" s="308"/>
      <c r="I2008" s="661"/>
      <c r="J2008" s="197"/>
      <c r="K2008" s="232"/>
      <c r="L2008" s="234"/>
      <c r="M2008" s="197"/>
      <c r="Q2008" s="237"/>
    </row>
    <row r="2009" spans="1:17" s="233" customFormat="1" ht="13.5" hidden="1" outlineLevel="2">
      <c r="A2009" s="681"/>
      <c r="B2009" s="299" t="s">
        <v>268</v>
      </c>
      <c r="C2009" s="304" t="s">
        <v>1282</v>
      </c>
      <c r="D2009" s="685">
        <v>4601</v>
      </c>
      <c r="E2009" s="306" t="s">
        <v>1307</v>
      </c>
      <c r="F2009" s="307"/>
      <c r="G2009" s="297" t="s">
        <v>1141</v>
      </c>
      <c r="H2009" s="308" t="str">
        <f>CONCATENATE("AR-",G2009,"-",I2009)</f>
        <v>AR-SDV-3</v>
      </c>
      <c r="I2009" s="661">
        <v>3</v>
      </c>
      <c r="J2009" s="197"/>
      <c r="K2009" s="232"/>
      <c r="L2009" s="234">
        <v>1</v>
      </c>
      <c r="M2009" s="197">
        <v>1</v>
      </c>
      <c r="Q2009" s="237"/>
    </row>
    <row r="2010" spans="1:17" s="233" customFormat="1" ht="3" hidden="1" customHeight="1" outlineLevel="2">
      <c r="A2010" s="681"/>
      <c r="B2010" s="299"/>
      <c r="C2010" s="304"/>
      <c r="D2010" s="685"/>
      <c r="E2010" s="306" t="s">
        <v>277</v>
      </c>
      <c r="F2010" s="307"/>
      <c r="G2010" s="297"/>
      <c r="H2010" s="308"/>
      <c r="I2010" s="661"/>
      <c r="J2010" s="197"/>
      <c r="K2010" s="232"/>
      <c r="L2010" s="234"/>
      <c r="M2010" s="197"/>
      <c r="Q2010" s="237"/>
    </row>
    <row r="2011" spans="1:17" s="233" customFormat="1" ht="13.5" hidden="1" outlineLevel="2">
      <c r="A2011" s="681"/>
      <c r="B2011" s="299" t="s">
        <v>1308</v>
      </c>
      <c r="C2011" s="304"/>
      <c r="D2011" s="685"/>
      <c r="E2011" s="306"/>
      <c r="F2011" s="307"/>
      <c r="G2011" s="297"/>
      <c r="H2011" s="308"/>
      <c r="I2011" s="661"/>
      <c r="J2011" s="197"/>
      <c r="K2011" s="232"/>
      <c r="L2011" s="234"/>
      <c r="M2011" s="197"/>
      <c r="Q2011" s="237"/>
    </row>
    <row r="2012" spans="1:17" s="233" customFormat="1" ht="13.5" hidden="1" outlineLevel="2">
      <c r="A2012" s="681"/>
      <c r="B2012" s="299" t="s">
        <v>268</v>
      </c>
      <c r="C2012" s="304" t="s">
        <v>1282</v>
      </c>
      <c r="D2012" s="685" t="s">
        <v>425</v>
      </c>
      <c r="E2012" s="306" t="s">
        <v>910</v>
      </c>
      <c r="F2012" s="307"/>
      <c r="G2012" s="297" t="s">
        <v>1141</v>
      </c>
      <c r="H2012" s="308" t="str">
        <f>CONCATENATE("AR-",G2012,"-",I2012)</f>
        <v>AR-SDV-3</v>
      </c>
      <c r="I2012" s="661">
        <v>3</v>
      </c>
      <c r="J2012" s="197"/>
      <c r="K2012" s="232"/>
      <c r="L2012" s="234">
        <v>1</v>
      </c>
      <c r="M2012" s="197">
        <v>1</v>
      </c>
      <c r="Q2012" s="237"/>
    </row>
    <row r="2013" spans="1:17" s="233" customFormat="1" ht="13.5" hidden="1" outlineLevel="2">
      <c r="A2013" s="681"/>
      <c r="B2013" s="299" t="s">
        <v>268</v>
      </c>
      <c r="C2013" s="304" t="s">
        <v>1282</v>
      </c>
      <c r="D2013" s="685" t="s">
        <v>427</v>
      </c>
      <c r="E2013" s="306" t="s">
        <v>911</v>
      </c>
      <c r="F2013" s="307"/>
      <c r="G2013" s="297" t="s">
        <v>1141</v>
      </c>
      <c r="H2013" s="308" t="str">
        <f>CONCATENATE("AR-",G2013,"-",I2013)</f>
        <v>AR-SDV-3</v>
      </c>
      <c r="I2013" s="661">
        <v>3</v>
      </c>
      <c r="J2013" s="197"/>
      <c r="K2013" s="232"/>
      <c r="L2013" s="234">
        <v>1</v>
      </c>
      <c r="M2013" s="197">
        <v>1</v>
      </c>
      <c r="Q2013" s="237"/>
    </row>
    <row r="2014" spans="1:17" s="233" customFormat="1" ht="13.5" hidden="1" outlineLevel="2">
      <c r="A2014" s="681"/>
      <c r="B2014" s="299" t="s">
        <v>268</v>
      </c>
      <c r="C2014" s="304" t="s">
        <v>1282</v>
      </c>
      <c r="D2014" s="685" t="s">
        <v>429</v>
      </c>
      <c r="E2014" s="306" t="s">
        <v>912</v>
      </c>
      <c r="F2014" s="307"/>
      <c r="G2014" s="297" t="s">
        <v>1141</v>
      </c>
      <c r="H2014" s="308" t="str">
        <f>CONCATENATE("AR-",G2014,"-",I2014)</f>
        <v>AR-SDV-3</v>
      </c>
      <c r="I2014" s="661">
        <v>3</v>
      </c>
      <c r="J2014" s="197"/>
      <c r="K2014" s="232"/>
      <c r="L2014" s="234">
        <v>1</v>
      </c>
      <c r="M2014" s="197">
        <v>1</v>
      </c>
      <c r="Q2014" s="237"/>
    </row>
    <row r="2015" spans="1:17" s="233" customFormat="1" ht="13.5" hidden="1" outlineLevel="2">
      <c r="A2015" s="681"/>
      <c r="B2015" s="299" t="s">
        <v>268</v>
      </c>
      <c r="C2015" s="304" t="s">
        <v>1282</v>
      </c>
      <c r="D2015" s="685" t="s">
        <v>431</v>
      </c>
      <c r="E2015" s="306" t="s">
        <v>913</v>
      </c>
      <c r="F2015" s="307"/>
      <c r="G2015" s="297" t="s">
        <v>1141</v>
      </c>
      <c r="H2015" s="308" t="str">
        <f>CONCATENATE("AR-",G2015,"-",I2015)</f>
        <v>AR-SDV-3</v>
      </c>
      <c r="I2015" s="661">
        <v>3</v>
      </c>
      <c r="J2015" s="197"/>
      <c r="K2015" s="232"/>
      <c r="L2015" s="234">
        <v>1</v>
      </c>
      <c r="M2015" s="197">
        <v>1</v>
      </c>
      <c r="Q2015" s="237"/>
    </row>
    <row r="2016" spans="1:17" s="233" customFormat="1" ht="3" hidden="1" customHeight="1" outlineLevel="2">
      <c r="A2016" s="681"/>
      <c r="B2016" s="299"/>
      <c r="C2016" s="304"/>
      <c r="D2016" s="685"/>
      <c r="E2016" s="306" t="s">
        <v>277</v>
      </c>
      <c r="F2016" s="307"/>
      <c r="G2016" s="297"/>
      <c r="H2016" s="308"/>
      <c r="I2016" s="661"/>
      <c r="J2016" s="197"/>
      <c r="K2016" s="232"/>
      <c r="L2016" s="234"/>
      <c r="M2016" s="197"/>
      <c r="Q2016" s="237"/>
    </row>
    <row r="2017" spans="1:17" s="233" customFormat="1" ht="14.25" hidden="1" customHeight="1" outlineLevel="2">
      <c r="A2017" s="681"/>
      <c r="B2017" s="299" t="s">
        <v>1309</v>
      </c>
      <c r="C2017" s="304"/>
      <c r="D2017" s="685"/>
      <c r="E2017" s="306" t="s">
        <v>277</v>
      </c>
      <c r="F2017" s="307"/>
      <c r="G2017" s="297"/>
      <c r="H2017" s="308"/>
      <c r="I2017" s="661"/>
      <c r="J2017" s="197"/>
      <c r="K2017" s="232"/>
      <c r="L2017" s="234"/>
      <c r="M2017" s="197"/>
      <c r="Q2017" s="237"/>
    </row>
    <row r="2018" spans="1:17" s="233" customFormat="1" ht="13.5" hidden="1" outlineLevel="2">
      <c r="A2018" s="681"/>
      <c r="B2018" s="299" t="s">
        <v>268</v>
      </c>
      <c r="C2018" s="304" t="s">
        <v>1282</v>
      </c>
      <c r="D2018" s="685">
        <v>6601</v>
      </c>
      <c r="E2018" s="306" t="s">
        <v>1310</v>
      </c>
      <c r="F2018" s="307"/>
      <c r="G2018" s="297" t="s">
        <v>1141</v>
      </c>
      <c r="H2018" s="308" t="str">
        <f>CONCATENATE("AR-",G2018,"-",I2018)</f>
        <v>AR-SDV-3</v>
      </c>
      <c r="I2018" s="661">
        <v>3</v>
      </c>
      <c r="J2018" s="197"/>
      <c r="K2018" s="232"/>
      <c r="L2018" s="234">
        <v>1</v>
      </c>
      <c r="M2018" s="197">
        <v>1</v>
      </c>
      <c r="Q2018" s="237"/>
    </row>
    <row r="2019" spans="1:17" s="233" customFormat="1" ht="13.5" hidden="1" outlineLevel="2">
      <c r="A2019" s="681"/>
      <c r="B2019" s="299" t="s">
        <v>268</v>
      </c>
      <c r="C2019" s="304" t="s">
        <v>1282</v>
      </c>
      <c r="D2019" s="685">
        <v>6602</v>
      </c>
      <c r="E2019" s="306" t="s">
        <v>1311</v>
      </c>
      <c r="F2019" s="307"/>
      <c r="G2019" s="297" t="s">
        <v>1141</v>
      </c>
      <c r="H2019" s="308" t="str">
        <f>CONCATENATE("AR-",G2019,"-",I2019)</f>
        <v>AR-SDV-3</v>
      </c>
      <c r="I2019" s="661">
        <v>3</v>
      </c>
      <c r="J2019" s="197"/>
      <c r="K2019" s="232"/>
      <c r="L2019" s="234">
        <v>1</v>
      </c>
      <c r="M2019" s="197">
        <v>1</v>
      </c>
      <c r="Q2019" s="237"/>
    </row>
    <row r="2020" spans="1:17" s="233" customFormat="1" ht="3" hidden="1" customHeight="1" outlineLevel="2">
      <c r="A2020" s="681"/>
      <c r="B2020" s="299"/>
      <c r="C2020" s="304"/>
      <c r="D2020" s="685"/>
      <c r="E2020" s="306" t="s">
        <v>277</v>
      </c>
      <c r="F2020" s="307"/>
      <c r="G2020" s="297"/>
      <c r="H2020" s="308"/>
      <c r="I2020" s="661"/>
      <c r="J2020" s="197"/>
      <c r="K2020" s="232"/>
      <c r="L2020" s="234"/>
      <c r="M2020" s="197"/>
      <c r="Q2020" s="237"/>
    </row>
    <row r="2021" spans="1:17" s="233" customFormat="1" ht="14.25" hidden="1" customHeight="1" outlineLevel="2">
      <c r="A2021" s="681"/>
      <c r="B2021" s="299" t="s">
        <v>1312</v>
      </c>
      <c r="C2021" s="304"/>
      <c r="D2021" s="685"/>
      <c r="E2021" s="306"/>
      <c r="F2021" s="307"/>
      <c r="G2021" s="297"/>
      <c r="H2021" s="308"/>
      <c r="I2021" s="661"/>
      <c r="J2021" s="197"/>
      <c r="K2021" s="232"/>
      <c r="L2021" s="234"/>
      <c r="M2021" s="197"/>
      <c r="Q2021" s="237"/>
    </row>
    <row r="2022" spans="1:17" s="233" customFormat="1" ht="13.5" hidden="1" outlineLevel="2">
      <c r="A2022" s="681"/>
      <c r="B2022" s="299" t="s">
        <v>268</v>
      </c>
      <c r="C2022" s="304" t="s">
        <v>1313</v>
      </c>
      <c r="D2022" s="685">
        <v>8101</v>
      </c>
      <c r="E2022" s="306" t="s">
        <v>1314</v>
      </c>
      <c r="F2022" s="307"/>
      <c r="G2022" s="297" t="s">
        <v>1141</v>
      </c>
      <c r="H2022" s="308" t="str">
        <f>CONCATENATE("AR-",G2022,"-",I2022)</f>
        <v>AR-SDV-3</v>
      </c>
      <c r="I2022" s="661">
        <v>3</v>
      </c>
      <c r="J2022" s="197"/>
      <c r="K2022" s="232"/>
      <c r="L2022" s="234">
        <v>1</v>
      </c>
      <c r="M2022" s="197">
        <v>1</v>
      </c>
      <c r="Q2022" s="237"/>
    </row>
    <row r="2023" spans="1:17" s="233" customFormat="1" ht="13.5" hidden="1" outlineLevel="2">
      <c r="A2023" s="681"/>
      <c r="B2023" s="299" t="s">
        <v>268</v>
      </c>
      <c r="C2023" s="304" t="s">
        <v>1313</v>
      </c>
      <c r="D2023" s="685">
        <v>8101</v>
      </c>
      <c r="E2023" s="306" t="s">
        <v>1315</v>
      </c>
      <c r="F2023" s="307"/>
      <c r="G2023" s="297" t="s">
        <v>1141</v>
      </c>
      <c r="H2023" s="308" t="str">
        <f>CONCATENATE("AR-",G2023,"-",I2023)</f>
        <v>AR-SDV-3</v>
      </c>
      <c r="I2023" s="661">
        <v>3</v>
      </c>
      <c r="J2023" s="197"/>
      <c r="K2023" s="232"/>
      <c r="L2023" s="234">
        <v>1</v>
      </c>
      <c r="M2023" s="197">
        <v>1</v>
      </c>
      <c r="Q2023" s="237"/>
    </row>
    <row r="2024" spans="1:17" s="233" customFormat="1" ht="3" hidden="1" customHeight="1" outlineLevel="2">
      <c r="A2024" s="681"/>
      <c r="B2024" s="299"/>
      <c r="C2024" s="304"/>
      <c r="D2024" s="685"/>
      <c r="E2024" s="306" t="s">
        <v>277</v>
      </c>
      <c r="F2024" s="307"/>
      <c r="G2024" s="297"/>
      <c r="H2024" s="308"/>
      <c r="I2024" s="661"/>
      <c r="J2024" s="197"/>
      <c r="K2024" s="232"/>
      <c r="L2024" s="234"/>
      <c r="M2024" s="197"/>
      <c r="Q2024" s="237"/>
    </row>
    <row r="2025" spans="1:17" s="233" customFormat="1" ht="14.25" hidden="1" customHeight="1" outlineLevel="2">
      <c r="A2025" s="681"/>
      <c r="B2025" s="299" t="s">
        <v>1316</v>
      </c>
      <c r="C2025" s="304"/>
      <c r="D2025" s="685"/>
      <c r="E2025" s="306" t="s">
        <v>277</v>
      </c>
      <c r="F2025" s="307"/>
      <c r="G2025" s="297"/>
      <c r="H2025" s="308"/>
      <c r="I2025" s="661"/>
      <c r="J2025" s="197"/>
      <c r="K2025" s="232"/>
      <c r="L2025" s="234"/>
      <c r="M2025" s="197"/>
      <c r="Q2025" s="237"/>
    </row>
    <row r="2026" spans="1:17" s="233" customFormat="1" ht="13.5" hidden="1" outlineLevel="2">
      <c r="A2026" s="681"/>
      <c r="B2026" s="299" t="s">
        <v>268</v>
      </c>
      <c r="C2026" s="304" t="s">
        <v>1313</v>
      </c>
      <c r="D2026" s="685">
        <v>8201</v>
      </c>
      <c r="E2026" s="306" t="s">
        <v>1317</v>
      </c>
      <c r="F2026" s="307"/>
      <c r="G2026" s="297" t="s">
        <v>1141</v>
      </c>
      <c r="H2026" s="308" t="str">
        <f>CONCATENATE("AR-",G2026,"-",I2026)</f>
        <v>AR-SDV-3</v>
      </c>
      <c r="I2026" s="661">
        <v>3</v>
      </c>
      <c r="J2026" s="197"/>
      <c r="K2026" s="232"/>
      <c r="L2026" s="234">
        <v>1</v>
      </c>
      <c r="M2026" s="197">
        <v>1</v>
      </c>
      <c r="Q2026" s="237"/>
    </row>
    <row r="2027" spans="1:17" s="233" customFormat="1" ht="3" hidden="1" customHeight="1" outlineLevel="1">
      <c r="A2027" s="681"/>
      <c r="B2027" s="299"/>
      <c r="C2027" s="304"/>
      <c r="D2027" s="685"/>
      <c r="E2027" s="306" t="s">
        <v>277</v>
      </c>
      <c r="F2027" s="307"/>
      <c r="G2027" s="297"/>
      <c r="H2027" s="308"/>
      <c r="I2027" s="661"/>
      <c r="J2027" s="197"/>
      <c r="K2027" s="232"/>
      <c r="L2027" s="234"/>
      <c r="M2027" s="197"/>
      <c r="Q2027" s="237"/>
    </row>
    <row r="2028" spans="1:17" s="243" customFormat="1" ht="14.25" hidden="1" customHeight="1" outlineLevel="1">
      <c r="A2028" s="687"/>
      <c r="B2028" s="767" t="s">
        <v>1318</v>
      </c>
      <c r="C2028" s="768"/>
      <c r="D2028" s="769"/>
      <c r="E2028" s="770"/>
      <c r="F2028" s="771"/>
      <c r="G2028" s="772"/>
      <c r="H2028" s="773"/>
      <c r="I2028" s="774"/>
      <c r="J2028" s="240"/>
      <c r="L2028" s="708"/>
      <c r="Q2028" s="708"/>
    </row>
    <row r="2029" spans="1:17" s="233" customFormat="1" ht="3" hidden="1" customHeight="1" outlineLevel="2">
      <c r="A2029" s="681"/>
      <c r="B2029" s="299"/>
      <c r="C2029" s="304"/>
      <c r="D2029" s="685"/>
      <c r="E2029" s="306" t="s">
        <v>277</v>
      </c>
      <c r="F2029" s="307"/>
      <c r="G2029" s="297"/>
      <c r="H2029" s="308"/>
      <c r="I2029" s="661"/>
      <c r="J2029" s="197"/>
      <c r="L2029" s="237"/>
      <c r="Q2029" s="237"/>
    </row>
    <row r="2030" spans="1:17" s="233" customFormat="1" ht="14.25" hidden="1" customHeight="1" outlineLevel="2">
      <c r="A2030" s="681"/>
      <c r="B2030" s="299" t="s">
        <v>1281</v>
      </c>
      <c r="C2030" s="304"/>
      <c r="D2030" s="685"/>
      <c r="E2030" s="306" t="s">
        <v>277</v>
      </c>
      <c r="F2030" s="307"/>
      <c r="G2030" s="297"/>
      <c r="H2030" s="308"/>
      <c r="I2030" s="661"/>
      <c r="J2030" s="197"/>
      <c r="L2030" s="237"/>
      <c r="Q2030" s="237"/>
    </row>
    <row r="2031" spans="1:17" s="233" customFormat="1" ht="13.5" hidden="1" outlineLevel="2">
      <c r="A2031" s="681"/>
      <c r="B2031" s="299" t="s">
        <v>268</v>
      </c>
      <c r="C2031" s="304" t="s">
        <v>1319</v>
      </c>
      <c r="D2031" s="685" t="s">
        <v>270</v>
      </c>
      <c r="E2031" s="306" t="s">
        <v>599</v>
      </c>
      <c r="F2031" s="307"/>
      <c r="G2031" s="297" t="s">
        <v>1141</v>
      </c>
      <c r="H2031" s="308" t="str">
        <f>CONCATENATE("AR-",G2031,"-",I2031)</f>
        <v>AR-SDV-2</v>
      </c>
      <c r="I2031" s="661">
        <v>2</v>
      </c>
      <c r="J2031" s="197">
        <v>1</v>
      </c>
      <c r="L2031" s="237"/>
      <c r="Q2031" s="237"/>
    </row>
    <row r="2032" spans="1:17" s="233" customFormat="1" ht="3" hidden="1" customHeight="1" outlineLevel="2">
      <c r="A2032" s="681"/>
      <c r="B2032" s="299"/>
      <c r="C2032" s="304"/>
      <c r="D2032" s="685"/>
      <c r="E2032" s="306" t="s">
        <v>277</v>
      </c>
      <c r="F2032" s="307"/>
      <c r="G2032" s="297"/>
      <c r="H2032" s="308"/>
      <c r="I2032" s="661"/>
      <c r="J2032" s="197"/>
      <c r="L2032" s="237"/>
      <c r="Q2032" s="237"/>
    </row>
    <row r="2033" spans="1:17" s="233" customFormat="1" ht="14.25" hidden="1" customHeight="1" outlineLevel="2">
      <c r="A2033" s="681"/>
      <c r="B2033" s="299" t="s">
        <v>1283</v>
      </c>
      <c r="C2033" s="304"/>
      <c r="D2033" s="685"/>
      <c r="E2033" s="306"/>
      <c r="F2033" s="307"/>
      <c r="G2033" s="297"/>
      <c r="H2033" s="308"/>
      <c r="I2033" s="661"/>
      <c r="J2033" s="197"/>
      <c r="L2033" s="237"/>
      <c r="Q2033" s="237"/>
    </row>
    <row r="2034" spans="1:17" s="233" customFormat="1" ht="13.5" hidden="1" outlineLevel="2">
      <c r="A2034" s="681"/>
      <c r="B2034" s="299" t="s">
        <v>268</v>
      </c>
      <c r="C2034" s="304" t="s">
        <v>1319</v>
      </c>
      <c r="D2034" s="685" t="s">
        <v>1144</v>
      </c>
      <c r="E2034" s="306" t="s">
        <v>490</v>
      </c>
      <c r="F2034" s="307"/>
      <c r="G2034" s="297" t="s">
        <v>1141</v>
      </c>
      <c r="H2034" s="308" t="str">
        <f>CONCATENATE("AR-",G2034,"-",I2034)</f>
        <v>AR-SDV-2</v>
      </c>
      <c r="I2034" s="661">
        <v>2</v>
      </c>
      <c r="J2034" s="234">
        <v>1</v>
      </c>
      <c r="L2034" s="237"/>
      <c r="Q2034" s="237"/>
    </row>
    <row r="2035" spans="1:17" s="233" customFormat="1" ht="3" hidden="1" customHeight="1" outlineLevel="2">
      <c r="A2035" s="681"/>
      <c r="B2035" s="299"/>
      <c r="C2035" s="304"/>
      <c r="D2035" s="685"/>
      <c r="E2035" s="306" t="s">
        <v>277</v>
      </c>
      <c r="F2035" s="307"/>
      <c r="G2035" s="297"/>
      <c r="H2035" s="308"/>
      <c r="I2035" s="661"/>
      <c r="J2035" s="197"/>
      <c r="L2035" s="237"/>
      <c r="Q2035" s="237"/>
    </row>
    <row r="2036" spans="1:17" s="233" customFormat="1" ht="14.25" hidden="1" customHeight="1" outlineLevel="2">
      <c r="A2036" s="681"/>
      <c r="B2036" s="299" t="s">
        <v>1284</v>
      </c>
      <c r="C2036" s="304"/>
      <c r="D2036" s="685"/>
      <c r="E2036" s="306"/>
      <c r="F2036" s="307"/>
      <c r="G2036" s="297"/>
      <c r="H2036" s="308"/>
      <c r="I2036" s="661"/>
      <c r="J2036" s="197"/>
      <c r="L2036" s="237"/>
      <c r="Q2036" s="237"/>
    </row>
    <row r="2037" spans="1:17" s="233" customFormat="1" ht="13.5" hidden="1" outlineLevel="2">
      <c r="A2037" s="681"/>
      <c r="B2037" s="299" t="s">
        <v>268</v>
      </c>
      <c r="C2037" s="304" t="s">
        <v>1319</v>
      </c>
      <c r="D2037" s="685" t="s">
        <v>279</v>
      </c>
      <c r="E2037" s="306" t="s">
        <v>491</v>
      </c>
      <c r="F2037" s="307"/>
      <c r="G2037" s="297" t="s">
        <v>1141</v>
      </c>
      <c r="H2037" s="308" t="str">
        <f>CONCATENATE("AR-",G2037,"-",I2037)</f>
        <v>AR-SDV-2</v>
      </c>
      <c r="I2037" s="661">
        <v>2</v>
      </c>
      <c r="J2037" s="234">
        <v>1</v>
      </c>
      <c r="L2037" s="237"/>
      <c r="Q2037" s="237"/>
    </row>
    <row r="2038" spans="1:17" s="233" customFormat="1" ht="13.5" hidden="1" outlineLevel="2">
      <c r="A2038" s="681"/>
      <c r="B2038" s="299" t="s">
        <v>268</v>
      </c>
      <c r="C2038" s="304" t="s">
        <v>1319</v>
      </c>
      <c r="D2038" s="685" t="s">
        <v>355</v>
      </c>
      <c r="E2038" s="306" t="s">
        <v>1285</v>
      </c>
      <c r="F2038" s="307"/>
      <c r="G2038" s="297" t="s">
        <v>1141</v>
      </c>
      <c r="H2038" s="308" t="str">
        <f>CONCATENATE("AR-",G2038,"-",I2038)</f>
        <v>AR-SDV-2</v>
      </c>
      <c r="I2038" s="661">
        <v>2</v>
      </c>
      <c r="J2038" s="234">
        <v>1</v>
      </c>
      <c r="L2038" s="237"/>
      <c r="Q2038" s="237"/>
    </row>
    <row r="2039" spans="1:17" s="233" customFormat="1" ht="3" hidden="1" customHeight="1" outlineLevel="2">
      <c r="A2039" s="681"/>
      <c r="B2039" s="299"/>
      <c r="C2039" s="304"/>
      <c r="D2039" s="685"/>
      <c r="E2039" s="306" t="s">
        <v>277</v>
      </c>
      <c r="F2039" s="307"/>
      <c r="G2039" s="297"/>
      <c r="H2039" s="308"/>
      <c r="I2039" s="661"/>
      <c r="J2039" s="197"/>
      <c r="L2039" s="237"/>
      <c r="Q2039" s="237"/>
    </row>
    <row r="2040" spans="1:17" s="233" customFormat="1" ht="14.25" hidden="1" customHeight="1" outlineLevel="2">
      <c r="A2040" s="681"/>
      <c r="B2040" s="299" t="s">
        <v>1286</v>
      </c>
      <c r="C2040" s="304"/>
      <c r="D2040" s="685"/>
      <c r="E2040" s="306" t="s">
        <v>277</v>
      </c>
      <c r="F2040" s="307"/>
      <c r="G2040" s="297"/>
      <c r="H2040" s="308"/>
      <c r="I2040" s="661"/>
      <c r="J2040" s="197"/>
      <c r="L2040" s="237"/>
      <c r="Q2040" s="237"/>
    </row>
    <row r="2041" spans="1:17" s="233" customFormat="1" ht="13.5" hidden="1" outlineLevel="2">
      <c r="A2041" s="681"/>
      <c r="B2041" s="299" t="s">
        <v>268</v>
      </c>
      <c r="C2041" s="304" t="s">
        <v>1319</v>
      </c>
      <c r="D2041" s="685" t="s">
        <v>374</v>
      </c>
      <c r="E2041" s="306" t="s">
        <v>516</v>
      </c>
      <c r="F2041" s="307"/>
      <c r="G2041" s="297" t="s">
        <v>1141</v>
      </c>
      <c r="H2041" s="308" t="str">
        <f>CONCATENATE("AR-",G2041,"-",I2041)</f>
        <v>AR-SDV-2</v>
      </c>
      <c r="I2041" s="661">
        <v>2</v>
      </c>
      <c r="J2041" s="234">
        <v>1</v>
      </c>
      <c r="L2041" s="237"/>
      <c r="Q2041" s="237"/>
    </row>
    <row r="2042" spans="1:17" s="233" customFormat="1" ht="3" hidden="1" customHeight="1" outlineLevel="2">
      <c r="A2042" s="681"/>
      <c r="B2042" s="299"/>
      <c r="C2042" s="304"/>
      <c r="D2042" s="685"/>
      <c r="E2042" s="306" t="s">
        <v>277</v>
      </c>
      <c r="F2042" s="307"/>
      <c r="G2042" s="297"/>
      <c r="H2042" s="308"/>
      <c r="I2042" s="661"/>
      <c r="J2042" s="197"/>
      <c r="L2042" s="237"/>
      <c r="Q2042" s="237"/>
    </row>
    <row r="2043" spans="1:17" s="233" customFormat="1" ht="14.25" hidden="1" customHeight="1" outlineLevel="2">
      <c r="A2043" s="681"/>
      <c r="B2043" s="299" t="s">
        <v>1288</v>
      </c>
      <c r="C2043" s="304"/>
      <c r="D2043" s="685"/>
      <c r="E2043" s="306"/>
      <c r="F2043" s="307"/>
      <c r="G2043" s="297"/>
      <c r="H2043" s="308"/>
      <c r="I2043" s="661"/>
      <c r="J2043" s="197"/>
      <c r="L2043" s="237"/>
      <c r="Q2043" s="237"/>
    </row>
    <row r="2044" spans="1:17" s="233" customFormat="1" ht="13.5" hidden="1" outlineLevel="2">
      <c r="A2044" s="681"/>
      <c r="B2044" s="299" t="s">
        <v>268</v>
      </c>
      <c r="C2044" s="304" t="s">
        <v>1319</v>
      </c>
      <c r="D2044" s="685" t="s">
        <v>701</v>
      </c>
      <c r="E2044" s="306" t="s">
        <v>1320</v>
      </c>
      <c r="F2044" s="307"/>
      <c r="G2044" s="297" t="s">
        <v>1141</v>
      </c>
      <c r="H2044" s="308" t="str">
        <f>CONCATENATE("AR-",G2044,"-",I2044)</f>
        <v>AR-SDV-2</v>
      </c>
      <c r="I2044" s="661">
        <v>2</v>
      </c>
      <c r="J2044" s="234">
        <v>1</v>
      </c>
      <c r="L2044" s="237"/>
      <c r="Q2044" s="237"/>
    </row>
    <row r="2045" spans="1:17" s="233" customFormat="1" ht="13.5" hidden="1" outlineLevel="2">
      <c r="A2045" s="681"/>
      <c r="B2045" s="299" t="s">
        <v>268</v>
      </c>
      <c r="C2045" s="304" t="s">
        <v>1319</v>
      </c>
      <c r="D2045" s="685" t="s">
        <v>1291</v>
      </c>
      <c r="E2045" s="306" t="s">
        <v>1292</v>
      </c>
      <c r="F2045" s="307"/>
      <c r="G2045" s="297" t="s">
        <v>1141</v>
      </c>
      <c r="H2045" s="308" t="str">
        <f>CONCATENATE("AR-",G2045,"-",I2045)</f>
        <v>AR-SDV-2</v>
      </c>
      <c r="I2045" s="661">
        <v>2</v>
      </c>
      <c r="J2045" s="234">
        <v>1</v>
      </c>
      <c r="L2045" s="237"/>
      <c r="Q2045" s="237"/>
    </row>
    <row r="2046" spans="1:17" s="233" customFormat="1" ht="3" hidden="1" customHeight="1" outlineLevel="2">
      <c r="A2046" s="681"/>
      <c r="B2046" s="299"/>
      <c r="C2046" s="304"/>
      <c r="D2046" s="685"/>
      <c r="E2046" s="306" t="s">
        <v>277</v>
      </c>
      <c r="F2046" s="307"/>
      <c r="G2046" s="297"/>
      <c r="H2046" s="308"/>
      <c r="I2046" s="661"/>
      <c r="J2046" s="197"/>
      <c r="L2046" s="237"/>
      <c r="Q2046" s="237"/>
    </row>
    <row r="2047" spans="1:17" s="233" customFormat="1" ht="14.25" hidden="1" customHeight="1" outlineLevel="2">
      <c r="A2047" s="681"/>
      <c r="B2047" s="299" t="s">
        <v>1293</v>
      </c>
      <c r="C2047" s="304"/>
      <c r="D2047" s="685"/>
      <c r="E2047" s="306"/>
      <c r="F2047" s="307"/>
      <c r="G2047" s="297"/>
      <c r="H2047" s="308"/>
      <c r="I2047" s="661"/>
      <c r="J2047" s="197"/>
      <c r="L2047" s="237"/>
      <c r="Q2047" s="237"/>
    </row>
    <row r="2048" spans="1:17" s="233" customFormat="1" ht="13.5" hidden="1" outlineLevel="2">
      <c r="A2048" s="681"/>
      <c r="B2048" s="299" t="s">
        <v>268</v>
      </c>
      <c r="C2048" s="304" t="s">
        <v>1319</v>
      </c>
      <c r="D2048" s="685">
        <v>1401</v>
      </c>
      <c r="E2048" s="306" t="s">
        <v>1294</v>
      </c>
      <c r="F2048" s="307"/>
      <c r="G2048" s="297" t="s">
        <v>1141</v>
      </c>
      <c r="H2048" s="308" t="str">
        <f>CONCATENATE("AR-",G2048,"-",I2048)</f>
        <v>AR-SDV-2</v>
      </c>
      <c r="I2048" s="661">
        <v>2</v>
      </c>
      <c r="J2048" s="234">
        <v>1</v>
      </c>
      <c r="L2048" s="237"/>
      <c r="Q2048" s="237"/>
    </row>
    <row r="2049" spans="1:18" s="233" customFormat="1" ht="13.5" hidden="1" outlineLevel="2">
      <c r="A2049" s="681"/>
      <c r="B2049" s="299" t="s">
        <v>268</v>
      </c>
      <c r="C2049" s="304" t="s">
        <v>1319</v>
      </c>
      <c r="D2049" s="685">
        <v>1402</v>
      </c>
      <c r="E2049" s="306" t="s">
        <v>1296</v>
      </c>
      <c r="F2049" s="307"/>
      <c r="G2049" s="297" t="s">
        <v>1141</v>
      </c>
      <c r="H2049" s="308" t="str">
        <f>CONCATENATE("AR-",G2049,"-",I2049)</f>
        <v>AR-SDV-2</v>
      </c>
      <c r="I2049" s="661">
        <v>2</v>
      </c>
      <c r="J2049" s="234">
        <v>1</v>
      </c>
      <c r="L2049" s="237"/>
      <c r="Q2049" s="237"/>
    </row>
    <row r="2050" spans="1:18" s="233" customFormat="1" ht="13.5" hidden="1" outlineLevel="2">
      <c r="A2050" s="681"/>
      <c r="B2050" s="299" t="s">
        <v>268</v>
      </c>
      <c r="C2050" s="304" t="s">
        <v>1319</v>
      </c>
      <c r="D2050" s="685">
        <v>1403</v>
      </c>
      <c r="E2050" s="306" t="s">
        <v>1297</v>
      </c>
      <c r="F2050" s="307"/>
      <c r="G2050" s="297" t="s">
        <v>1141</v>
      </c>
      <c r="H2050" s="308" t="str">
        <f>CONCATENATE("AR-",G2050,"-",I2050)</f>
        <v>AR-SDV-2</v>
      </c>
      <c r="I2050" s="661">
        <v>2</v>
      </c>
      <c r="J2050" s="234">
        <v>1</v>
      </c>
      <c r="L2050" s="237"/>
      <c r="Q2050" s="237"/>
    </row>
    <row r="2051" spans="1:18" s="233" customFormat="1" ht="13.5" hidden="1" outlineLevel="2">
      <c r="A2051" s="681"/>
      <c r="B2051" s="299" t="s">
        <v>268</v>
      </c>
      <c r="C2051" s="304" t="s">
        <v>1319</v>
      </c>
      <c r="D2051" s="685">
        <v>1404</v>
      </c>
      <c r="E2051" s="306" t="s">
        <v>1298</v>
      </c>
      <c r="F2051" s="307"/>
      <c r="G2051" s="297" t="s">
        <v>1141</v>
      </c>
      <c r="H2051" s="308" t="str">
        <f>CONCATENATE("AR-",G2051,"-",I2051)</f>
        <v>AR-SDV-2</v>
      </c>
      <c r="I2051" s="661">
        <v>2</v>
      </c>
      <c r="J2051" s="234">
        <v>1</v>
      </c>
      <c r="L2051" s="237"/>
      <c r="Q2051" s="237"/>
    </row>
    <row r="2052" spans="1:18" s="233" customFormat="1" ht="3" hidden="1" customHeight="1" outlineLevel="2">
      <c r="A2052" s="681"/>
      <c r="B2052" s="299"/>
      <c r="C2052" s="304"/>
      <c r="D2052" s="685"/>
      <c r="E2052" s="306" t="s">
        <v>277</v>
      </c>
      <c r="F2052" s="307"/>
      <c r="G2052" s="297"/>
      <c r="H2052" s="308"/>
      <c r="I2052" s="661"/>
      <c r="J2052" s="197"/>
      <c r="L2052" s="237"/>
      <c r="Q2052" s="237"/>
    </row>
    <row r="2053" spans="1:18" s="233" customFormat="1" ht="14.25" hidden="1" customHeight="1" outlineLevel="2">
      <c r="A2053" s="681"/>
      <c r="B2053" s="299" t="s">
        <v>1299</v>
      </c>
      <c r="C2053" s="304"/>
      <c r="D2053" s="685"/>
      <c r="E2053" s="306"/>
      <c r="F2053" s="307"/>
      <c r="G2053" s="297"/>
      <c r="H2053" s="308"/>
      <c r="I2053" s="661"/>
      <c r="J2053" s="197"/>
      <c r="L2053" s="237"/>
      <c r="Q2053" s="237"/>
    </row>
    <row r="2054" spans="1:18" s="233" customFormat="1" ht="13.5" hidden="1" outlineLevel="2">
      <c r="A2054" s="681"/>
      <c r="B2054" s="299" t="s">
        <v>268</v>
      </c>
      <c r="C2054" s="304" t="s">
        <v>1319</v>
      </c>
      <c r="D2054" s="685" t="s">
        <v>328</v>
      </c>
      <c r="E2054" s="306" t="s">
        <v>1300</v>
      </c>
      <c r="F2054" s="307"/>
      <c r="G2054" s="297" t="s">
        <v>1141</v>
      </c>
      <c r="H2054" s="308" t="str">
        <f>CONCATENATE("AR-",G2054,"-",I2054)</f>
        <v>AR-SDV-2</v>
      </c>
      <c r="I2054" s="661">
        <v>2</v>
      </c>
      <c r="J2054" s="234">
        <v>1</v>
      </c>
      <c r="L2054" s="237"/>
      <c r="Q2054" s="237"/>
    </row>
    <row r="2055" spans="1:18" s="233" customFormat="1" ht="13.5" hidden="1" outlineLevel="2">
      <c r="A2055" s="681"/>
      <c r="B2055" s="299" t="s">
        <v>268</v>
      </c>
      <c r="C2055" s="304" t="s">
        <v>1319</v>
      </c>
      <c r="D2055" s="685" t="s">
        <v>328</v>
      </c>
      <c r="E2055" s="306" t="s">
        <v>1300</v>
      </c>
      <c r="F2055" s="307"/>
      <c r="G2055" s="297" t="s">
        <v>1141</v>
      </c>
      <c r="H2055" s="308" t="str">
        <f>CONCATENATE("AR-",G2055,"-",I2055)</f>
        <v>AR-SDV-2</v>
      </c>
      <c r="I2055" s="661">
        <v>2</v>
      </c>
      <c r="J2055" s="234">
        <v>1</v>
      </c>
      <c r="L2055" s="237"/>
      <c r="Q2055" s="237"/>
    </row>
    <row r="2056" spans="1:18" s="233" customFormat="1" ht="3" hidden="1" customHeight="1" outlineLevel="2">
      <c r="A2056" s="681"/>
      <c r="B2056" s="299"/>
      <c r="C2056" s="304"/>
      <c r="D2056" s="685"/>
      <c r="E2056" s="306" t="s">
        <v>277</v>
      </c>
      <c r="F2056" s="307"/>
      <c r="G2056" s="297"/>
      <c r="H2056" s="308"/>
      <c r="I2056" s="661"/>
      <c r="J2056" s="197"/>
      <c r="L2056" s="237"/>
      <c r="Q2056" s="237"/>
    </row>
    <row r="2057" spans="1:18" s="233" customFormat="1" ht="14.25" hidden="1" customHeight="1" outlineLevel="2">
      <c r="A2057" s="681"/>
      <c r="B2057" s="299" t="s">
        <v>1301</v>
      </c>
      <c r="C2057" s="304"/>
      <c r="D2057" s="685"/>
      <c r="E2057" s="306"/>
      <c r="F2057" s="307"/>
      <c r="G2057" s="297"/>
      <c r="H2057" s="308"/>
      <c r="I2057" s="661"/>
      <c r="J2057" s="197"/>
      <c r="L2057" s="237"/>
      <c r="Q2057" s="237"/>
    </row>
    <row r="2058" spans="1:18" s="233" customFormat="1" ht="13.5" hidden="1" outlineLevel="2">
      <c r="A2058" s="681"/>
      <c r="B2058" s="299" t="s">
        <v>268</v>
      </c>
      <c r="C2058" s="304" t="s">
        <v>1319</v>
      </c>
      <c r="D2058" s="685" t="s">
        <v>335</v>
      </c>
      <c r="E2058" s="306" t="s">
        <v>1302</v>
      </c>
      <c r="F2058" s="307"/>
      <c r="G2058" s="297" t="s">
        <v>1141</v>
      </c>
      <c r="H2058" s="308" t="str">
        <f>CONCATENATE("AR-",G2058,"-",I2058)</f>
        <v>AR-SDV-2</v>
      </c>
      <c r="I2058" s="661">
        <v>2</v>
      </c>
      <c r="J2058" s="234">
        <v>1</v>
      </c>
      <c r="L2058" s="237"/>
      <c r="Q2058" s="237"/>
    </row>
    <row r="2059" spans="1:18" s="233" customFormat="1" ht="13.5" hidden="1" outlineLevel="2">
      <c r="A2059" s="681"/>
      <c r="B2059" s="299" t="s">
        <v>268</v>
      </c>
      <c r="C2059" s="304" t="s">
        <v>1319</v>
      </c>
      <c r="D2059" s="685" t="s">
        <v>337</v>
      </c>
      <c r="E2059" s="306" t="s">
        <v>1302</v>
      </c>
      <c r="F2059" s="307"/>
      <c r="G2059" s="297" t="s">
        <v>1141</v>
      </c>
      <c r="H2059" s="308" t="str">
        <f>CONCATENATE("AR-",G2059,"-",I2059)</f>
        <v>AR-SDV-2</v>
      </c>
      <c r="I2059" s="661">
        <v>2</v>
      </c>
      <c r="J2059" s="234">
        <v>1</v>
      </c>
      <c r="L2059" s="237"/>
      <c r="Q2059" s="237"/>
    </row>
    <row r="2060" spans="1:18" s="233" customFormat="1" ht="3" hidden="1" customHeight="1" outlineLevel="2">
      <c r="A2060" s="681"/>
      <c r="B2060" s="299"/>
      <c r="C2060" s="304"/>
      <c r="D2060" s="685"/>
      <c r="E2060" s="306" t="s">
        <v>277</v>
      </c>
      <c r="F2060" s="307"/>
      <c r="G2060" s="297"/>
      <c r="H2060" s="308"/>
      <c r="I2060" s="661"/>
      <c r="J2060" s="197"/>
      <c r="K2060" s="232"/>
      <c r="L2060" s="234"/>
      <c r="M2060" s="197"/>
      <c r="N2060" s="197"/>
      <c r="O2060" s="197"/>
      <c r="P2060" s="197"/>
      <c r="Q2060" s="234"/>
      <c r="R2060" s="197"/>
    </row>
    <row r="2061" spans="1:18" s="233" customFormat="1" ht="13.5" hidden="1" outlineLevel="2">
      <c r="A2061" s="681"/>
      <c r="B2061" s="299" t="s">
        <v>1303</v>
      </c>
      <c r="C2061" s="304"/>
      <c r="D2061" s="685"/>
      <c r="E2061" s="306"/>
      <c r="F2061" s="307"/>
      <c r="G2061" s="297"/>
      <c r="H2061" s="308"/>
      <c r="I2061" s="661"/>
      <c r="J2061" s="197"/>
      <c r="K2061" s="232"/>
      <c r="L2061" s="234"/>
      <c r="M2061" s="197"/>
      <c r="N2061" s="197"/>
      <c r="O2061" s="197"/>
      <c r="P2061" s="197"/>
      <c r="Q2061" s="234"/>
      <c r="R2061" s="197"/>
    </row>
    <row r="2062" spans="1:18" s="233" customFormat="1" ht="13.5" hidden="1" outlineLevel="2">
      <c r="A2062" s="681"/>
      <c r="B2062" s="299" t="s">
        <v>268</v>
      </c>
      <c r="C2062" s="304" t="s">
        <v>1319</v>
      </c>
      <c r="D2062" s="685">
        <v>4401</v>
      </c>
      <c r="E2062" s="306" t="s">
        <v>1304</v>
      </c>
      <c r="F2062" s="307"/>
      <c r="G2062" s="297" t="s">
        <v>1141</v>
      </c>
      <c r="H2062" s="308" t="str">
        <f>CONCATENATE("AR-",G2062,"-",I2062)</f>
        <v>AR-SDV-2</v>
      </c>
      <c r="I2062" s="661">
        <v>2</v>
      </c>
      <c r="J2062" s="234">
        <v>1</v>
      </c>
      <c r="K2062" s="232"/>
      <c r="L2062" s="234"/>
      <c r="M2062" s="197"/>
      <c r="N2062" s="197"/>
      <c r="O2062" s="197"/>
      <c r="P2062" s="197"/>
      <c r="Q2062" s="234"/>
      <c r="R2062" s="197"/>
    </row>
    <row r="2063" spans="1:18" s="233" customFormat="1" ht="13.5" hidden="1" outlineLevel="2">
      <c r="A2063" s="681"/>
      <c r="B2063" s="299" t="s">
        <v>268</v>
      </c>
      <c r="C2063" s="304" t="s">
        <v>1319</v>
      </c>
      <c r="D2063" s="685">
        <v>4402</v>
      </c>
      <c r="E2063" s="306" t="s">
        <v>1306</v>
      </c>
      <c r="F2063" s="307"/>
      <c r="G2063" s="297" t="s">
        <v>1141</v>
      </c>
      <c r="H2063" s="308" t="str">
        <f>CONCATENATE("AR-",G2063,"-",I2063)</f>
        <v>AR-SDV-2</v>
      </c>
      <c r="I2063" s="661">
        <v>2</v>
      </c>
      <c r="J2063" s="234">
        <v>1</v>
      </c>
      <c r="K2063" s="232"/>
      <c r="L2063" s="234"/>
      <c r="M2063" s="197"/>
      <c r="N2063" s="197"/>
      <c r="O2063" s="197"/>
      <c r="P2063" s="197"/>
      <c r="Q2063" s="234"/>
      <c r="R2063" s="197"/>
    </row>
    <row r="2064" spans="1:18" s="233" customFormat="1" ht="3" hidden="1" customHeight="1" outlineLevel="2">
      <c r="A2064" s="681"/>
      <c r="B2064" s="299"/>
      <c r="C2064" s="304"/>
      <c r="D2064" s="685"/>
      <c r="E2064" s="306" t="s">
        <v>277</v>
      </c>
      <c r="F2064" s="307"/>
      <c r="G2064" s="297"/>
      <c r="H2064" s="308"/>
      <c r="I2064" s="661"/>
      <c r="J2064" s="197"/>
      <c r="K2064" s="232"/>
      <c r="L2064" s="234"/>
      <c r="M2064" s="197"/>
      <c r="N2064" s="197"/>
      <c r="O2064" s="197"/>
      <c r="P2064" s="197"/>
      <c r="Q2064" s="234"/>
      <c r="R2064" s="197"/>
    </row>
    <row r="2065" spans="1:18" s="233" customFormat="1" ht="13.5" hidden="1" outlineLevel="2">
      <c r="A2065" s="681"/>
      <c r="B2065" s="299" t="s">
        <v>1308</v>
      </c>
      <c r="C2065" s="304"/>
      <c r="D2065" s="685"/>
      <c r="E2065" s="306"/>
      <c r="F2065" s="307"/>
      <c r="G2065" s="297"/>
      <c r="H2065" s="308"/>
      <c r="I2065" s="661"/>
      <c r="J2065" s="197"/>
      <c r="K2065" s="232"/>
      <c r="L2065" s="234"/>
      <c r="M2065" s="197"/>
      <c r="N2065" s="197"/>
      <c r="O2065" s="197"/>
      <c r="P2065" s="197"/>
      <c r="Q2065" s="234"/>
      <c r="R2065" s="197"/>
    </row>
    <row r="2066" spans="1:18" s="233" customFormat="1" ht="13.5" hidden="1" outlineLevel="2">
      <c r="A2066" s="681"/>
      <c r="B2066" s="299" t="s">
        <v>268</v>
      </c>
      <c r="C2066" s="304" t="s">
        <v>1319</v>
      </c>
      <c r="D2066" s="685" t="s">
        <v>425</v>
      </c>
      <c r="E2066" s="306" t="s">
        <v>910</v>
      </c>
      <c r="F2066" s="307"/>
      <c r="G2066" s="297" t="s">
        <v>1141</v>
      </c>
      <c r="H2066" s="308" t="str">
        <f t="shared" ref="H2066:H2069" si="110">CONCATENATE("AR-",G2066,"-",I2066)</f>
        <v>AR-SDV-2</v>
      </c>
      <c r="I2066" s="661">
        <v>2</v>
      </c>
      <c r="J2066" s="234">
        <v>1</v>
      </c>
      <c r="K2066" s="232"/>
      <c r="L2066" s="234"/>
      <c r="M2066" s="197"/>
      <c r="N2066" s="197"/>
      <c r="O2066" s="197"/>
      <c r="P2066" s="197"/>
      <c r="Q2066" s="234"/>
      <c r="R2066" s="197"/>
    </row>
    <row r="2067" spans="1:18" s="233" customFormat="1" ht="13.5" hidden="1" outlineLevel="2">
      <c r="A2067" s="681"/>
      <c r="B2067" s="299" t="s">
        <v>268</v>
      </c>
      <c r="C2067" s="304" t="s">
        <v>1319</v>
      </c>
      <c r="D2067" s="685" t="s">
        <v>427</v>
      </c>
      <c r="E2067" s="306" t="s">
        <v>911</v>
      </c>
      <c r="F2067" s="307"/>
      <c r="G2067" s="297" t="s">
        <v>1141</v>
      </c>
      <c r="H2067" s="308" t="str">
        <f t="shared" si="110"/>
        <v>AR-SDV-2</v>
      </c>
      <c r="I2067" s="661">
        <v>2</v>
      </c>
      <c r="J2067" s="234">
        <v>1</v>
      </c>
      <c r="K2067" s="232"/>
      <c r="L2067" s="234"/>
      <c r="M2067" s="197"/>
      <c r="N2067" s="197"/>
      <c r="O2067" s="197"/>
      <c r="P2067" s="197"/>
      <c r="Q2067" s="234"/>
      <c r="R2067" s="197"/>
    </row>
    <row r="2068" spans="1:18" s="233" customFormat="1" ht="13.5" hidden="1" outlineLevel="2">
      <c r="A2068" s="681"/>
      <c r="B2068" s="299" t="s">
        <v>268</v>
      </c>
      <c r="C2068" s="304" t="s">
        <v>1319</v>
      </c>
      <c r="D2068" s="685" t="s">
        <v>429</v>
      </c>
      <c r="E2068" s="306" t="s">
        <v>912</v>
      </c>
      <c r="F2068" s="307"/>
      <c r="G2068" s="297" t="s">
        <v>1141</v>
      </c>
      <c r="H2068" s="308" t="str">
        <f t="shared" si="110"/>
        <v>AR-SDV-2</v>
      </c>
      <c r="I2068" s="661">
        <v>2</v>
      </c>
      <c r="J2068" s="234">
        <v>1</v>
      </c>
      <c r="K2068" s="232"/>
      <c r="L2068" s="234"/>
      <c r="M2068" s="197"/>
      <c r="N2068" s="197"/>
      <c r="O2068" s="197"/>
      <c r="P2068" s="197"/>
      <c r="Q2068" s="234"/>
      <c r="R2068" s="197"/>
    </row>
    <row r="2069" spans="1:18" s="233" customFormat="1" ht="13.5" hidden="1" outlineLevel="2">
      <c r="A2069" s="681"/>
      <c r="B2069" s="299" t="s">
        <v>268</v>
      </c>
      <c r="C2069" s="304" t="s">
        <v>1319</v>
      </c>
      <c r="D2069" s="685" t="s">
        <v>431</v>
      </c>
      <c r="E2069" s="306" t="s">
        <v>913</v>
      </c>
      <c r="F2069" s="307"/>
      <c r="G2069" s="297" t="s">
        <v>1141</v>
      </c>
      <c r="H2069" s="308" t="str">
        <f t="shared" si="110"/>
        <v>AR-SDV-2</v>
      </c>
      <c r="I2069" s="661">
        <v>2</v>
      </c>
      <c r="J2069" s="234">
        <v>1</v>
      </c>
      <c r="K2069" s="232"/>
      <c r="L2069" s="234"/>
      <c r="M2069" s="197"/>
      <c r="N2069" s="197"/>
      <c r="O2069" s="197"/>
      <c r="P2069" s="197"/>
      <c r="Q2069" s="234"/>
      <c r="R2069" s="197"/>
    </row>
    <row r="2070" spans="1:18" s="233" customFormat="1" ht="3" hidden="1" customHeight="1" outlineLevel="2">
      <c r="A2070" s="681"/>
      <c r="B2070" s="299"/>
      <c r="C2070" s="304"/>
      <c r="D2070" s="685"/>
      <c r="E2070" s="306" t="s">
        <v>277</v>
      </c>
      <c r="F2070" s="307"/>
      <c r="G2070" s="297"/>
      <c r="H2070" s="308"/>
      <c r="I2070" s="661"/>
      <c r="J2070" s="197"/>
      <c r="K2070" s="232"/>
      <c r="L2070" s="234"/>
      <c r="M2070" s="197"/>
      <c r="N2070" s="197"/>
      <c r="O2070" s="197"/>
      <c r="P2070" s="197"/>
      <c r="Q2070" s="234"/>
      <c r="R2070" s="197"/>
    </row>
    <row r="2071" spans="1:18" s="233" customFormat="1" ht="14.25" hidden="1" customHeight="1" outlineLevel="2">
      <c r="A2071" s="681"/>
      <c r="B2071" s="299" t="s">
        <v>1309</v>
      </c>
      <c r="C2071" s="304"/>
      <c r="D2071" s="685"/>
      <c r="E2071" s="306"/>
      <c r="F2071" s="307"/>
      <c r="G2071" s="297"/>
      <c r="H2071" s="308"/>
      <c r="I2071" s="661"/>
      <c r="J2071" s="197"/>
      <c r="K2071" s="232"/>
      <c r="L2071" s="234"/>
      <c r="M2071" s="197"/>
      <c r="N2071" s="197"/>
      <c r="O2071" s="197"/>
      <c r="P2071" s="197"/>
      <c r="Q2071" s="234"/>
      <c r="R2071" s="197"/>
    </row>
    <row r="2072" spans="1:18" s="233" customFormat="1" ht="13.5" hidden="1" outlineLevel="2">
      <c r="A2072" s="681"/>
      <c r="B2072" s="299" t="s">
        <v>268</v>
      </c>
      <c r="C2072" s="304" t="s">
        <v>1319</v>
      </c>
      <c r="D2072" s="685">
        <v>6601</v>
      </c>
      <c r="E2072" s="306" t="s">
        <v>1310</v>
      </c>
      <c r="F2072" s="307"/>
      <c r="G2072" s="297" t="s">
        <v>1141</v>
      </c>
      <c r="H2072" s="308" t="str">
        <f>CONCATENATE("AR-",G2072,"-",I2072)</f>
        <v>AR-SDV-2</v>
      </c>
      <c r="I2072" s="661">
        <v>2</v>
      </c>
      <c r="J2072" s="234">
        <v>1</v>
      </c>
      <c r="K2072" s="232"/>
      <c r="L2072" s="234"/>
      <c r="M2072" s="197"/>
      <c r="N2072" s="197"/>
      <c r="O2072" s="197"/>
      <c r="P2072" s="197"/>
      <c r="Q2072" s="234"/>
      <c r="R2072" s="197"/>
    </row>
    <row r="2073" spans="1:18" s="233" customFormat="1" ht="3" hidden="1" customHeight="1" outlineLevel="2">
      <c r="A2073" s="681"/>
      <c r="B2073" s="299"/>
      <c r="C2073" s="304"/>
      <c r="D2073" s="685"/>
      <c r="E2073" s="306" t="s">
        <v>277</v>
      </c>
      <c r="F2073" s="307"/>
      <c r="G2073" s="297"/>
      <c r="H2073" s="308"/>
      <c r="I2073" s="661"/>
      <c r="J2073" s="197"/>
      <c r="K2073" s="232"/>
      <c r="L2073" s="234"/>
      <c r="M2073" s="197"/>
      <c r="N2073" s="197"/>
      <c r="O2073" s="197"/>
      <c r="P2073" s="197"/>
      <c r="Q2073" s="234"/>
      <c r="R2073" s="197"/>
    </row>
    <row r="2074" spans="1:18" s="233" customFormat="1" ht="14.25" hidden="1" customHeight="1" outlineLevel="2">
      <c r="A2074" s="681"/>
      <c r="B2074" s="299" t="s">
        <v>1312</v>
      </c>
      <c r="C2074" s="304"/>
      <c r="D2074" s="685"/>
      <c r="E2074" s="306"/>
      <c r="F2074" s="307"/>
      <c r="G2074" s="297"/>
      <c r="H2074" s="308"/>
      <c r="I2074" s="661"/>
      <c r="J2074" s="197"/>
      <c r="K2074" s="232"/>
      <c r="L2074" s="234"/>
      <c r="M2074" s="197"/>
      <c r="N2074" s="197"/>
      <c r="O2074" s="197"/>
      <c r="P2074" s="197"/>
      <c r="Q2074" s="234"/>
      <c r="R2074" s="197"/>
    </row>
    <row r="2075" spans="1:18" s="233" customFormat="1" ht="13.5" hidden="1" outlineLevel="2">
      <c r="A2075" s="681"/>
      <c r="B2075" s="299" t="s">
        <v>268</v>
      </c>
      <c r="C2075" s="304" t="s">
        <v>1319</v>
      </c>
      <c r="D2075" s="685">
        <v>8101</v>
      </c>
      <c r="E2075" s="306" t="s">
        <v>1314</v>
      </c>
      <c r="F2075" s="307"/>
      <c r="G2075" s="297" t="s">
        <v>1141</v>
      </c>
      <c r="H2075" s="308" t="str">
        <f>CONCATENATE("AR-",G2075,"-",I2075)</f>
        <v>AR-SDV-2</v>
      </c>
      <c r="I2075" s="661">
        <v>2</v>
      </c>
      <c r="J2075" s="197"/>
      <c r="K2075" s="232"/>
      <c r="L2075" s="234">
        <v>1</v>
      </c>
      <c r="M2075" s="197">
        <v>1</v>
      </c>
      <c r="N2075" s="197"/>
      <c r="O2075" s="197"/>
      <c r="P2075" s="197"/>
      <c r="Q2075" s="234">
        <v>1</v>
      </c>
      <c r="R2075" s="197">
        <v>1</v>
      </c>
    </row>
    <row r="2076" spans="1:18" s="233" customFormat="1" ht="3" hidden="1" customHeight="1" outlineLevel="2">
      <c r="A2076" s="681"/>
      <c r="B2076" s="299"/>
      <c r="C2076" s="304"/>
      <c r="D2076" s="685"/>
      <c r="E2076" s="306" t="s">
        <v>277</v>
      </c>
      <c r="F2076" s="307"/>
      <c r="G2076" s="297"/>
      <c r="H2076" s="308"/>
      <c r="I2076" s="661"/>
      <c r="J2076" s="197"/>
      <c r="K2076" s="232"/>
      <c r="L2076" s="234"/>
      <c r="M2076" s="197"/>
      <c r="N2076" s="197"/>
      <c r="O2076" s="197"/>
      <c r="P2076" s="197"/>
      <c r="Q2076" s="234"/>
      <c r="R2076" s="197"/>
    </row>
    <row r="2077" spans="1:18" s="233" customFormat="1" ht="14.25" hidden="1" customHeight="1" outlineLevel="2">
      <c r="A2077" s="681"/>
      <c r="B2077" s="299" t="s">
        <v>1316</v>
      </c>
      <c r="C2077" s="304"/>
      <c r="D2077" s="685"/>
      <c r="E2077" s="306"/>
      <c r="F2077" s="307"/>
      <c r="G2077" s="297"/>
      <c r="H2077" s="308"/>
      <c r="I2077" s="661"/>
      <c r="J2077" s="197"/>
      <c r="K2077" s="232"/>
      <c r="L2077" s="234"/>
      <c r="M2077" s="197"/>
      <c r="N2077" s="197"/>
      <c r="O2077" s="197"/>
      <c r="P2077" s="197"/>
      <c r="Q2077" s="234"/>
      <c r="R2077" s="197"/>
    </row>
    <row r="2078" spans="1:18" s="233" customFormat="1" ht="13.5" hidden="1" outlineLevel="2">
      <c r="A2078" s="681"/>
      <c r="B2078" s="299" t="s">
        <v>268</v>
      </c>
      <c r="C2078" s="304" t="s">
        <v>1319</v>
      </c>
      <c r="D2078" s="685">
        <v>8201</v>
      </c>
      <c r="E2078" s="306" t="s">
        <v>1317</v>
      </c>
      <c r="F2078" s="307"/>
      <c r="G2078" s="297" t="s">
        <v>1141</v>
      </c>
      <c r="H2078" s="308" t="str">
        <f>CONCATENATE("AR-",G2078,"-",I2078)</f>
        <v>AR-SDV-2</v>
      </c>
      <c r="I2078" s="661">
        <v>2</v>
      </c>
      <c r="J2078" s="197"/>
      <c r="K2078" s="232"/>
      <c r="L2078" s="234">
        <v>1</v>
      </c>
      <c r="M2078" s="197">
        <v>1</v>
      </c>
      <c r="N2078" s="197"/>
      <c r="O2078" s="197"/>
      <c r="P2078" s="197"/>
      <c r="Q2078" s="234">
        <v>1</v>
      </c>
      <c r="R2078" s="197">
        <v>1</v>
      </c>
    </row>
    <row r="2079" spans="1:18" s="233" customFormat="1" ht="3" hidden="1" customHeight="1" outlineLevel="1">
      <c r="A2079" s="681"/>
      <c r="B2079" s="299"/>
      <c r="C2079" s="304"/>
      <c r="D2079" s="685"/>
      <c r="E2079" s="306" t="s">
        <v>277</v>
      </c>
      <c r="F2079" s="307"/>
      <c r="G2079" s="297"/>
      <c r="H2079" s="308"/>
      <c r="I2079" s="661"/>
      <c r="J2079" s="197"/>
      <c r="K2079" s="232"/>
      <c r="L2079" s="234"/>
      <c r="M2079" s="197"/>
      <c r="N2079" s="197"/>
      <c r="O2079" s="197"/>
      <c r="P2079" s="197"/>
      <c r="Q2079" s="234"/>
      <c r="R2079" s="197"/>
    </row>
    <row r="2080" spans="1:18" s="243" customFormat="1" ht="14.25" hidden="1" customHeight="1" outlineLevel="1">
      <c r="A2080" s="687"/>
      <c r="B2080" s="767" t="s">
        <v>1321</v>
      </c>
      <c r="C2080" s="768"/>
      <c r="D2080" s="769"/>
      <c r="E2080" s="770"/>
      <c r="F2080" s="771"/>
      <c r="G2080" s="772"/>
      <c r="H2080" s="773"/>
      <c r="I2080" s="774"/>
      <c r="J2080" s="240"/>
      <c r="K2080" s="241"/>
      <c r="L2080" s="242"/>
      <c r="M2080" s="197"/>
      <c r="N2080" s="197"/>
      <c r="O2080" s="197"/>
      <c r="P2080" s="197"/>
      <c r="Q2080" s="242"/>
      <c r="R2080" s="197"/>
    </row>
    <row r="2081" spans="1:18" s="233" customFormat="1" ht="3" hidden="1" customHeight="1" outlineLevel="2">
      <c r="A2081" s="681"/>
      <c r="B2081" s="299"/>
      <c r="C2081" s="304"/>
      <c r="D2081" s="685"/>
      <c r="E2081" s="306" t="s">
        <v>277</v>
      </c>
      <c r="F2081" s="307"/>
      <c r="G2081" s="297"/>
      <c r="H2081" s="308"/>
      <c r="I2081" s="661"/>
      <c r="J2081" s="197"/>
      <c r="K2081" s="232"/>
      <c r="L2081" s="234"/>
      <c r="M2081" s="197"/>
      <c r="N2081" s="197"/>
      <c r="O2081" s="197"/>
      <c r="P2081" s="197"/>
      <c r="Q2081" s="234"/>
      <c r="R2081" s="197"/>
    </row>
    <row r="2082" spans="1:18" s="233" customFormat="1" ht="14.25" hidden="1" customHeight="1" outlineLevel="2">
      <c r="A2082" s="681"/>
      <c r="B2082" s="299" t="s">
        <v>1281</v>
      </c>
      <c r="C2082" s="304"/>
      <c r="D2082" s="685"/>
      <c r="E2082" s="306" t="s">
        <v>277</v>
      </c>
      <c r="F2082" s="307"/>
      <c r="G2082" s="297"/>
      <c r="H2082" s="308"/>
      <c r="I2082" s="661"/>
      <c r="J2082" s="197"/>
      <c r="K2082" s="232"/>
      <c r="L2082" s="234"/>
      <c r="M2082" s="197"/>
      <c r="N2082" s="197"/>
      <c r="O2082" s="197"/>
      <c r="P2082" s="197"/>
      <c r="Q2082" s="234"/>
      <c r="R2082" s="197"/>
    </row>
    <row r="2083" spans="1:18" s="233" customFormat="1" ht="13.5" hidden="1" outlineLevel="2">
      <c r="A2083" s="681"/>
      <c r="B2083" s="299" t="s">
        <v>268</v>
      </c>
      <c r="C2083" s="304" t="s">
        <v>1322</v>
      </c>
      <c r="D2083" s="685" t="s">
        <v>270</v>
      </c>
      <c r="E2083" s="306" t="s">
        <v>599</v>
      </c>
      <c r="F2083" s="307"/>
      <c r="G2083" s="297" t="s">
        <v>1141</v>
      </c>
      <c r="H2083" s="308" t="str">
        <f>CONCATENATE("AR-",G2083,"-",I2083)</f>
        <v>AR-SDV-2</v>
      </c>
      <c r="I2083" s="661">
        <v>2</v>
      </c>
      <c r="J2083" s="197">
        <v>1</v>
      </c>
      <c r="K2083" s="232"/>
      <c r="L2083" s="234"/>
      <c r="M2083" s="197"/>
      <c r="N2083" s="197"/>
      <c r="O2083" s="197"/>
      <c r="P2083" s="197"/>
      <c r="Q2083" s="234"/>
      <c r="R2083" s="197"/>
    </row>
    <row r="2084" spans="1:18" s="233" customFormat="1" ht="3" hidden="1" customHeight="1" outlineLevel="2">
      <c r="A2084" s="681"/>
      <c r="B2084" s="299"/>
      <c r="C2084" s="304"/>
      <c r="D2084" s="685"/>
      <c r="E2084" s="306" t="s">
        <v>277</v>
      </c>
      <c r="F2084" s="307"/>
      <c r="G2084" s="297"/>
      <c r="H2084" s="308"/>
      <c r="I2084" s="661"/>
      <c r="J2084" s="197"/>
      <c r="K2084" s="232"/>
      <c r="L2084" s="234"/>
      <c r="M2084" s="197"/>
      <c r="N2084" s="197"/>
      <c r="O2084" s="197"/>
      <c r="P2084" s="197"/>
      <c r="Q2084" s="234"/>
      <c r="R2084" s="197"/>
    </row>
    <row r="2085" spans="1:18" s="233" customFormat="1" ht="14.25" hidden="1" customHeight="1" outlineLevel="2">
      <c r="A2085" s="681"/>
      <c r="B2085" s="299" t="s">
        <v>1283</v>
      </c>
      <c r="C2085" s="304"/>
      <c r="D2085" s="685"/>
      <c r="E2085" s="306" t="s">
        <v>277</v>
      </c>
      <c r="F2085" s="307"/>
      <c r="G2085" s="297"/>
      <c r="H2085" s="308"/>
      <c r="I2085" s="661"/>
      <c r="J2085" s="197"/>
      <c r="K2085" s="232"/>
      <c r="L2085" s="234"/>
      <c r="M2085" s="197"/>
      <c r="N2085" s="197"/>
      <c r="O2085" s="197"/>
      <c r="P2085" s="197"/>
      <c r="Q2085" s="234"/>
      <c r="R2085" s="197"/>
    </row>
    <row r="2086" spans="1:18" s="233" customFormat="1" ht="13.5" hidden="1" outlineLevel="2">
      <c r="A2086" s="681"/>
      <c r="B2086" s="299" t="s">
        <v>268</v>
      </c>
      <c r="C2086" s="304" t="s">
        <v>1322</v>
      </c>
      <c r="D2086" s="685" t="s">
        <v>1144</v>
      </c>
      <c r="E2086" s="306" t="s">
        <v>490</v>
      </c>
      <c r="F2086" s="307"/>
      <c r="G2086" s="297" t="s">
        <v>1141</v>
      </c>
      <c r="H2086" s="308" t="str">
        <f>CONCATENATE("AR-",G2086,"-",I2086)</f>
        <v>AR-SDV-2</v>
      </c>
      <c r="I2086" s="661">
        <v>2</v>
      </c>
      <c r="J2086" s="197">
        <v>1</v>
      </c>
      <c r="K2086" s="232"/>
      <c r="L2086" s="234"/>
      <c r="M2086" s="197"/>
      <c r="N2086" s="197"/>
      <c r="O2086" s="197"/>
      <c r="P2086" s="197"/>
      <c r="Q2086" s="234"/>
      <c r="R2086" s="197"/>
    </row>
    <row r="2087" spans="1:18" s="233" customFormat="1" ht="3" hidden="1" customHeight="1" outlineLevel="2">
      <c r="A2087" s="681"/>
      <c r="B2087" s="299"/>
      <c r="C2087" s="304"/>
      <c r="D2087" s="685"/>
      <c r="E2087" s="306" t="s">
        <v>277</v>
      </c>
      <c r="F2087" s="307"/>
      <c r="G2087" s="297"/>
      <c r="H2087" s="308"/>
      <c r="I2087" s="661"/>
      <c r="J2087" s="197"/>
      <c r="K2087" s="232"/>
      <c r="L2087" s="234"/>
      <c r="M2087" s="197"/>
      <c r="N2087" s="197"/>
      <c r="O2087" s="197"/>
      <c r="P2087" s="197"/>
      <c r="Q2087" s="234"/>
      <c r="R2087" s="197"/>
    </row>
    <row r="2088" spans="1:18" s="233" customFormat="1" ht="14.25" hidden="1" customHeight="1" outlineLevel="2">
      <c r="A2088" s="681"/>
      <c r="B2088" s="299" t="s">
        <v>1284</v>
      </c>
      <c r="C2088" s="304"/>
      <c r="D2088" s="685"/>
      <c r="E2088" s="306" t="s">
        <v>277</v>
      </c>
      <c r="F2088" s="307"/>
      <c r="G2088" s="297"/>
      <c r="H2088" s="308"/>
      <c r="I2088" s="661"/>
      <c r="J2088" s="197"/>
      <c r="K2088" s="232"/>
      <c r="L2088" s="234"/>
      <c r="M2088" s="197"/>
      <c r="N2088" s="197"/>
      <c r="O2088" s="197"/>
      <c r="P2088" s="197"/>
      <c r="Q2088" s="234"/>
      <c r="R2088" s="197"/>
    </row>
    <row r="2089" spans="1:18" s="233" customFormat="1" ht="13.5" hidden="1" outlineLevel="2">
      <c r="A2089" s="681"/>
      <c r="B2089" s="299" t="s">
        <v>268</v>
      </c>
      <c r="C2089" s="304" t="s">
        <v>1322</v>
      </c>
      <c r="D2089" s="685" t="s">
        <v>279</v>
      </c>
      <c r="E2089" s="306" t="s">
        <v>491</v>
      </c>
      <c r="F2089" s="307"/>
      <c r="G2089" s="297" t="s">
        <v>1141</v>
      </c>
      <c r="H2089" s="308" t="str">
        <f>CONCATENATE("AR-",G2089,"-",I2089)</f>
        <v>AR-SDV-2</v>
      </c>
      <c r="I2089" s="661">
        <v>2</v>
      </c>
      <c r="J2089" s="197">
        <v>1</v>
      </c>
      <c r="K2089" s="232"/>
      <c r="L2089" s="234"/>
      <c r="M2089" s="197"/>
      <c r="N2089" s="197"/>
      <c r="O2089" s="197"/>
      <c r="P2089" s="197"/>
      <c r="Q2089" s="234"/>
      <c r="R2089" s="197"/>
    </row>
    <row r="2090" spans="1:18" s="233" customFormat="1" ht="13.5" hidden="1" outlineLevel="2">
      <c r="A2090" s="681"/>
      <c r="B2090" s="299" t="s">
        <v>268</v>
      </c>
      <c r="C2090" s="304" t="s">
        <v>1319</v>
      </c>
      <c r="D2090" s="685" t="s">
        <v>279</v>
      </c>
      <c r="E2090" s="306" t="s">
        <v>1323</v>
      </c>
      <c r="F2090" s="307"/>
      <c r="G2090" s="297" t="s">
        <v>1141</v>
      </c>
      <c r="H2090" s="308" t="str">
        <f>CONCATENATE("AR-",G2090,"-",I2090)</f>
        <v>AR-SDV-2</v>
      </c>
      <c r="I2090" s="661">
        <v>2</v>
      </c>
      <c r="J2090" s="234">
        <v>1</v>
      </c>
      <c r="K2090" s="232"/>
      <c r="L2090" s="234"/>
      <c r="M2090" s="197"/>
      <c r="N2090" s="197"/>
      <c r="O2090" s="197"/>
      <c r="P2090" s="197"/>
      <c r="Q2090" s="234"/>
      <c r="R2090" s="197"/>
    </row>
    <row r="2091" spans="1:18" s="233" customFormat="1" ht="13.5" hidden="1" outlineLevel="2">
      <c r="A2091" s="681"/>
      <c r="B2091" s="299" t="s">
        <v>268</v>
      </c>
      <c r="C2091" s="304" t="s">
        <v>1322</v>
      </c>
      <c r="D2091" s="685" t="s">
        <v>355</v>
      </c>
      <c r="E2091" s="306" t="s">
        <v>1285</v>
      </c>
      <c r="F2091" s="307"/>
      <c r="G2091" s="297" t="s">
        <v>1141</v>
      </c>
      <c r="H2091" s="308" t="str">
        <f>CONCATENATE("AR-",G2091,"-",I2091)</f>
        <v>AR-SDV-2</v>
      </c>
      <c r="I2091" s="661">
        <v>2</v>
      </c>
      <c r="J2091" s="197">
        <v>1</v>
      </c>
      <c r="K2091" s="232"/>
      <c r="L2091" s="234"/>
      <c r="M2091" s="197"/>
      <c r="N2091" s="197"/>
      <c r="O2091" s="197"/>
      <c r="P2091" s="197"/>
      <c r="Q2091" s="234"/>
      <c r="R2091" s="197"/>
    </row>
    <row r="2092" spans="1:18" s="233" customFormat="1" ht="3" hidden="1" customHeight="1" outlineLevel="2">
      <c r="A2092" s="681"/>
      <c r="B2092" s="299"/>
      <c r="C2092" s="304"/>
      <c r="D2092" s="685"/>
      <c r="E2092" s="306" t="s">
        <v>277</v>
      </c>
      <c r="F2092" s="307"/>
      <c r="G2092" s="297"/>
      <c r="H2092" s="308"/>
      <c r="I2092" s="661"/>
      <c r="J2092" s="197"/>
      <c r="L2092" s="237"/>
      <c r="Q2092" s="237"/>
    </row>
    <row r="2093" spans="1:18" s="233" customFormat="1" ht="14.25" hidden="1" customHeight="1" outlineLevel="2">
      <c r="A2093" s="681"/>
      <c r="B2093" s="299" t="s">
        <v>1286</v>
      </c>
      <c r="C2093" s="304"/>
      <c r="D2093" s="685"/>
      <c r="E2093" s="306" t="s">
        <v>277</v>
      </c>
      <c r="F2093" s="307"/>
      <c r="G2093" s="297"/>
      <c r="H2093" s="308"/>
      <c r="I2093" s="661"/>
      <c r="J2093" s="197"/>
      <c r="L2093" s="237"/>
      <c r="Q2093" s="237"/>
    </row>
    <row r="2094" spans="1:18" s="233" customFormat="1" ht="13.5" hidden="1" outlineLevel="2">
      <c r="A2094" s="681"/>
      <c r="B2094" s="299" t="s">
        <v>268</v>
      </c>
      <c r="C2094" s="304" t="s">
        <v>1322</v>
      </c>
      <c r="D2094" s="685" t="s">
        <v>374</v>
      </c>
      <c r="E2094" s="306" t="s">
        <v>516</v>
      </c>
      <c r="F2094" s="307"/>
      <c r="G2094" s="297" t="s">
        <v>1141</v>
      </c>
      <c r="H2094" s="308" t="str">
        <f>CONCATENATE("AR-",G2094,"-",I2094)</f>
        <v>AR-SDV-2</v>
      </c>
      <c r="I2094" s="661">
        <v>2</v>
      </c>
      <c r="J2094" s="197">
        <v>1</v>
      </c>
      <c r="L2094" s="237"/>
      <c r="Q2094" s="237"/>
    </row>
    <row r="2095" spans="1:18" s="233" customFormat="1" ht="3" hidden="1" customHeight="1" outlineLevel="2">
      <c r="A2095" s="681"/>
      <c r="B2095" s="299"/>
      <c r="C2095" s="304"/>
      <c r="D2095" s="685"/>
      <c r="E2095" s="306" t="s">
        <v>277</v>
      </c>
      <c r="F2095" s="307"/>
      <c r="G2095" s="297"/>
      <c r="H2095" s="308"/>
      <c r="I2095" s="661"/>
      <c r="J2095" s="197"/>
      <c r="L2095" s="237"/>
      <c r="Q2095" s="237"/>
    </row>
    <row r="2096" spans="1:18" s="233" customFormat="1" ht="14.25" hidden="1" customHeight="1" outlineLevel="2">
      <c r="A2096" s="681"/>
      <c r="B2096" s="299" t="s">
        <v>1288</v>
      </c>
      <c r="C2096" s="304"/>
      <c r="D2096" s="685"/>
      <c r="E2096" s="306" t="s">
        <v>277</v>
      </c>
      <c r="F2096" s="307"/>
      <c r="G2096" s="297"/>
      <c r="H2096" s="308"/>
      <c r="I2096" s="661"/>
      <c r="J2096" s="197"/>
      <c r="L2096" s="237"/>
      <c r="Q2096" s="237"/>
    </row>
    <row r="2097" spans="1:17" s="233" customFormat="1" ht="13.5" hidden="1" outlineLevel="2">
      <c r="A2097" s="681"/>
      <c r="B2097" s="299" t="s">
        <v>268</v>
      </c>
      <c r="C2097" s="304" t="s">
        <v>1322</v>
      </c>
      <c r="D2097" s="685" t="s">
        <v>701</v>
      </c>
      <c r="E2097" s="306" t="s">
        <v>1320</v>
      </c>
      <c r="F2097" s="307"/>
      <c r="G2097" s="297" t="s">
        <v>1141</v>
      </c>
      <c r="H2097" s="308" t="str">
        <f>CONCATENATE("AR-",G2097,"-",I2097)</f>
        <v>AR-SDV-2</v>
      </c>
      <c r="I2097" s="661">
        <v>2</v>
      </c>
      <c r="J2097" s="197">
        <v>1</v>
      </c>
      <c r="L2097" s="237"/>
      <c r="Q2097" s="237"/>
    </row>
    <row r="2098" spans="1:17" s="233" customFormat="1" ht="13.5" hidden="1" outlineLevel="2">
      <c r="A2098" s="681"/>
      <c r="B2098" s="299" t="s">
        <v>268</v>
      </c>
      <c r="C2098" s="304" t="s">
        <v>1322</v>
      </c>
      <c r="D2098" s="685" t="s">
        <v>1291</v>
      </c>
      <c r="E2098" s="306" t="s">
        <v>1292</v>
      </c>
      <c r="F2098" s="307"/>
      <c r="G2098" s="297" t="s">
        <v>1141</v>
      </c>
      <c r="H2098" s="308" t="str">
        <f>CONCATENATE("AR-",G2098,"-",I2098)</f>
        <v>AR-SDV-2</v>
      </c>
      <c r="I2098" s="661">
        <v>2</v>
      </c>
      <c r="J2098" s="197">
        <v>1</v>
      </c>
      <c r="L2098" s="237"/>
      <c r="Q2098" s="237"/>
    </row>
    <row r="2099" spans="1:17" s="233" customFormat="1" ht="3" hidden="1" customHeight="1" outlineLevel="2">
      <c r="A2099" s="681"/>
      <c r="B2099" s="299"/>
      <c r="C2099" s="304"/>
      <c r="D2099" s="685"/>
      <c r="E2099" s="306" t="s">
        <v>277</v>
      </c>
      <c r="F2099" s="307"/>
      <c r="G2099" s="297"/>
      <c r="H2099" s="308"/>
      <c r="I2099" s="661"/>
      <c r="J2099" s="197"/>
      <c r="L2099" s="237"/>
      <c r="Q2099" s="237"/>
    </row>
    <row r="2100" spans="1:17" s="233" customFormat="1" ht="14.25" hidden="1" customHeight="1" outlineLevel="2">
      <c r="A2100" s="681"/>
      <c r="B2100" s="299" t="s">
        <v>1293</v>
      </c>
      <c r="C2100" s="304"/>
      <c r="D2100" s="685"/>
      <c r="E2100" s="306" t="s">
        <v>277</v>
      </c>
      <c r="F2100" s="307"/>
      <c r="G2100" s="297"/>
      <c r="H2100" s="308"/>
      <c r="I2100" s="661"/>
      <c r="J2100" s="197"/>
      <c r="L2100" s="237"/>
      <c r="Q2100" s="237"/>
    </row>
    <row r="2101" spans="1:17" s="233" customFormat="1" ht="13.5" hidden="1" outlineLevel="2">
      <c r="A2101" s="681"/>
      <c r="B2101" s="299" t="s">
        <v>268</v>
      </c>
      <c r="C2101" s="304" t="s">
        <v>1322</v>
      </c>
      <c r="D2101" s="685">
        <v>1401</v>
      </c>
      <c r="E2101" s="306" t="s">
        <v>1294</v>
      </c>
      <c r="F2101" s="307"/>
      <c r="G2101" s="297" t="s">
        <v>1141</v>
      </c>
      <c r="H2101" s="308" t="str">
        <f>CONCATENATE("AR-",G2101,"-",I2101)</f>
        <v>AR-SDV-2</v>
      </c>
      <c r="I2101" s="661">
        <v>2</v>
      </c>
      <c r="J2101" s="197">
        <v>1</v>
      </c>
      <c r="L2101" s="237"/>
      <c r="Q2101" s="237"/>
    </row>
    <row r="2102" spans="1:17" s="233" customFormat="1" ht="13.5" hidden="1" outlineLevel="2">
      <c r="A2102" s="681"/>
      <c r="B2102" s="299" t="s">
        <v>268</v>
      </c>
      <c r="C2102" s="304" t="s">
        <v>1322</v>
      </c>
      <c r="D2102" s="685">
        <v>1402</v>
      </c>
      <c r="E2102" s="306" t="s">
        <v>1296</v>
      </c>
      <c r="F2102" s="307"/>
      <c r="G2102" s="297" t="s">
        <v>1141</v>
      </c>
      <c r="H2102" s="308" t="str">
        <f>CONCATENATE("AR-",G2102,"-",I2102)</f>
        <v>AR-SDV-2</v>
      </c>
      <c r="I2102" s="661">
        <v>2</v>
      </c>
      <c r="J2102" s="197">
        <v>1</v>
      </c>
      <c r="L2102" s="237"/>
      <c r="Q2102" s="237"/>
    </row>
    <row r="2103" spans="1:17" s="233" customFormat="1" ht="13.5" hidden="1" outlineLevel="2">
      <c r="A2103" s="681"/>
      <c r="B2103" s="299" t="s">
        <v>268</v>
      </c>
      <c r="C2103" s="304" t="s">
        <v>1322</v>
      </c>
      <c r="D2103" s="685">
        <v>1403</v>
      </c>
      <c r="E2103" s="306" t="s">
        <v>1297</v>
      </c>
      <c r="F2103" s="307"/>
      <c r="G2103" s="297" t="s">
        <v>1141</v>
      </c>
      <c r="H2103" s="308" t="str">
        <f>CONCATENATE("AR-",G2103,"-",I2103)</f>
        <v>AR-SDV-2</v>
      </c>
      <c r="I2103" s="661">
        <v>2</v>
      </c>
      <c r="J2103" s="197">
        <v>1</v>
      </c>
      <c r="L2103" s="237"/>
      <c r="Q2103" s="237"/>
    </row>
    <row r="2104" spans="1:17" s="233" customFormat="1" ht="13.5" hidden="1" outlineLevel="2">
      <c r="A2104" s="681"/>
      <c r="B2104" s="299" t="s">
        <v>268</v>
      </c>
      <c r="C2104" s="304" t="s">
        <v>1322</v>
      </c>
      <c r="D2104" s="685">
        <v>1404</v>
      </c>
      <c r="E2104" s="306" t="s">
        <v>1298</v>
      </c>
      <c r="F2104" s="307"/>
      <c r="G2104" s="297" t="s">
        <v>1141</v>
      </c>
      <c r="H2104" s="308" t="str">
        <f>CONCATENATE("AR-",G2104,"-",I2104)</f>
        <v>AR-SDV-2</v>
      </c>
      <c r="I2104" s="661">
        <v>2</v>
      </c>
      <c r="J2104" s="197">
        <v>1</v>
      </c>
      <c r="L2104" s="237"/>
      <c r="Q2104" s="237"/>
    </row>
    <row r="2105" spans="1:17" s="233" customFormat="1" ht="3" hidden="1" customHeight="1" outlineLevel="2">
      <c r="A2105" s="681"/>
      <c r="B2105" s="299"/>
      <c r="C2105" s="304"/>
      <c r="D2105" s="685"/>
      <c r="E2105" s="306" t="s">
        <v>277</v>
      </c>
      <c r="F2105" s="307"/>
      <c r="G2105" s="297"/>
      <c r="H2105" s="308"/>
      <c r="I2105" s="661"/>
      <c r="J2105" s="197"/>
      <c r="L2105" s="237"/>
      <c r="Q2105" s="237"/>
    </row>
    <row r="2106" spans="1:17" s="233" customFormat="1" ht="14.25" hidden="1" customHeight="1" outlineLevel="2">
      <c r="A2106" s="681"/>
      <c r="B2106" s="299" t="s">
        <v>1299</v>
      </c>
      <c r="C2106" s="304"/>
      <c r="D2106" s="685"/>
      <c r="E2106" s="306" t="s">
        <v>277</v>
      </c>
      <c r="F2106" s="307"/>
      <c r="G2106" s="297"/>
      <c r="H2106" s="308"/>
      <c r="I2106" s="661"/>
      <c r="J2106" s="197"/>
      <c r="L2106" s="237"/>
      <c r="Q2106" s="237"/>
    </row>
    <row r="2107" spans="1:17" s="233" customFormat="1" ht="13.5" hidden="1" outlineLevel="2">
      <c r="A2107" s="681"/>
      <c r="B2107" s="299" t="s">
        <v>268</v>
      </c>
      <c r="C2107" s="304" t="s">
        <v>1322</v>
      </c>
      <c r="D2107" s="685" t="s">
        <v>328</v>
      </c>
      <c r="E2107" s="306" t="s">
        <v>1300</v>
      </c>
      <c r="F2107" s="307"/>
      <c r="G2107" s="297" t="s">
        <v>1141</v>
      </c>
      <c r="H2107" s="308" t="str">
        <f>CONCATENATE("AR-",G2107,"-",I2107)</f>
        <v>AR-SDV-2</v>
      </c>
      <c r="I2107" s="661">
        <v>2</v>
      </c>
      <c r="J2107" s="197">
        <v>1</v>
      </c>
      <c r="L2107" s="237"/>
      <c r="Q2107" s="237"/>
    </row>
    <row r="2108" spans="1:17" s="233" customFormat="1" ht="13.5" hidden="1" outlineLevel="2">
      <c r="A2108" s="681"/>
      <c r="B2108" s="299" t="s">
        <v>268</v>
      </c>
      <c r="C2108" s="304" t="s">
        <v>1322</v>
      </c>
      <c r="D2108" s="685" t="s">
        <v>328</v>
      </c>
      <c r="E2108" s="306" t="s">
        <v>1300</v>
      </c>
      <c r="F2108" s="307"/>
      <c r="G2108" s="297" t="s">
        <v>1141</v>
      </c>
      <c r="H2108" s="308" t="str">
        <f>CONCATENATE("AR-",G2108,"-",I2108)</f>
        <v>AR-SDV-2</v>
      </c>
      <c r="I2108" s="661">
        <v>2</v>
      </c>
      <c r="J2108" s="197">
        <v>1</v>
      </c>
      <c r="L2108" s="237"/>
      <c r="Q2108" s="237"/>
    </row>
    <row r="2109" spans="1:17" s="233" customFormat="1" ht="3" hidden="1" customHeight="1" outlineLevel="2">
      <c r="A2109" s="681"/>
      <c r="B2109" s="299"/>
      <c r="C2109" s="304"/>
      <c r="D2109" s="685"/>
      <c r="E2109" s="306" t="s">
        <v>277</v>
      </c>
      <c r="F2109" s="307"/>
      <c r="G2109" s="297"/>
      <c r="H2109" s="308"/>
      <c r="I2109" s="661"/>
      <c r="J2109" s="197"/>
      <c r="L2109" s="237"/>
      <c r="Q2109" s="237"/>
    </row>
    <row r="2110" spans="1:17" s="233" customFormat="1" ht="14.25" hidden="1" customHeight="1" outlineLevel="2">
      <c r="A2110" s="681"/>
      <c r="B2110" s="299" t="s">
        <v>1301</v>
      </c>
      <c r="C2110" s="304"/>
      <c r="D2110" s="685"/>
      <c r="E2110" s="306" t="s">
        <v>277</v>
      </c>
      <c r="F2110" s="307"/>
      <c r="G2110" s="297"/>
      <c r="H2110" s="308"/>
      <c r="I2110" s="661"/>
      <c r="J2110" s="197"/>
      <c r="L2110" s="237"/>
      <c r="Q2110" s="237"/>
    </row>
    <row r="2111" spans="1:17" s="233" customFormat="1" ht="13.5" hidden="1" outlineLevel="2">
      <c r="A2111" s="681"/>
      <c r="B2111" s="299" t="s">
        <v>268</v>
      </c>
      <c r="C2111" s="304" t="s">
        <v>1322</v>
      </c>
      <c r="D2111" s="685" t="s">
        <v>335</v>
      </c>
      <c r="E2111" s="306" t="s">
        <v>1302</v>
      </c>
      <c r="F2111" s="307"/>
      <c r="G2111" s="297" t="s">
        <v>1141</v>
      </c>
      <c r="H2111" s="308" t="str">
        <f>CONCATENATE("AR-",G2111,"-",I2111)</f>
        <v>AR-SDV-2</v>
      </c>
      <c r="I2111" s="661">
        <v>2</v>
      </c>
      <c r="J2111" s="197">
        <v>1</v>
      </c>
      <c r="L2111" s="237"/>
      <c r="Q2111" s="237"/>
    </row>
    <row r="2112" spans="1:17" s="233" customFormat="1" ht="13.5" hidden="1" outlineLevel="2">
      <c r="A2112" s="681"/>
      <c r="B2112" s="299" t="s">
        <v>268</v>
      </c>
      <c r="C2112" s="304" t="s">
        <v>1322</v>
      </c>
      <c r="D2112" s="685" t="s">
        <v>337</v>
      </c>
      <c r="E2112" s="306" t="s">
        <v>1302</v>
      </c>
      <c r="F2112" s="307"/>
      <c r="G2112" s="297" t="s">
        <v>1141</v>
      </c>
      <c r="H2112" s="308" t="str">
        <f>CONCATENATE("AR-",G2112,"-",I2112)</f>
        <v>AR-SDV-2</v>
      </c>
      <c r="I2112" s="661">
        <v>2</v>
      </c>
      <c r="J2112" s="197">
        <v>1</v>
      </c>
      <c r="L2112" s="237"/>
      <c r="Q2112" s="237"/>
    </row>
    <row r="2113" spans="1:17" s="233" customFormat="1" ht="3" hidden="1" customHeight="1" outlineLevel="2">
      <c r="A2113" s="681"/>
      <c r="B2113" s="299"/>
      <c r="C2113" s="304"/>
      <c r="D2113" s="685"/>
      <c r="E2113" s="306" t="s">
        <v>277</v>
      </c>
      <c r="F2113" s="307"/>
      <c r="G2113" s="297"/>
      <c r="H2113" s="308"/>
      <c r="I2113" s="661"/>
      <c r="J2113" s="197"/>
      <c r="L2113" s="237"/>
      <c r="Q2113" s="237"/>
    </row>
    <row r="2114" spans="1:17" s="233" customFormat="1" ht="13.5" hidden="1" outlineLevel="2">
      <c r="A2114" s="681"/>
      <c r="B2114" s="299" t="s">
        <v>1303</v>
      </c>
      <c r="C2114" s="304"/>
      <c r="D2114" s="685"/>
      <c r="E2114" s="306" t="s">
        <v>277</v>
      </c>
      <c r="F2114" s="307"/>
      <c r="G2114" s="297"/>
      <c r="H2114" s="308"/>
      <c r="I2114" s="661"/>
      <c r="J2114" s="197"/>
      <c r="L2114" s="237"/>
      <c r="Q2114" s="237"/>
    </row>
    <row r="2115" spans="1:17" s="233" customFormat="1" ht="13.5" hidden="1" outlineLevel="2">
      <c r="A2115" s="681"/>
      <c r="B2115" s="299" t="s">
        <v>268</v>
      </c>
      <c r="C2115" s="304" t="s">
        <v>1322</v>
      </c>
      <c r="D2115" s="685">
        <v>4401</v>
      </c>
      <c r="E2115" s="306" t="s">
        <v>1304</v>
      </c>
      <c r="F2115" s="307"/>
      <c r="G2115" s="297" t="s">
        <v>1141</v>
      </c>
      <c r="H2115" s="308" t="str">
        <f>CONCATENATE("AR-",G2115,"-",I2115)</f>
        <v>AR-SDV-2</v>
      </c>
      <c r="I2115" s="661">
        <v>2</v>
      </c>
      <c r="J2115" s="197">
        <v>1</v>
      </c>
      <c r="L2115" s="237"/>
      <c r="Q2115" s="237"/>
    </row>
    <row r="2116" spans="1:17" s="233" customFormat="1" ht="13.5" hidden="1" outlineLevel="2">
      <c r="A2116" s="681"/>
      <c r="B2116" s="299" t="s">
        <v>268</v>
      </c>
      <c r="C2116" s="304" t="s">
        <v>1322</v>
      </c>
      <c r="D2116" s="685">
        <v>4402</v>
      </c>
      <c r="E2116" s="306" t="s">
        <v>1306</v>
      </c>
      <c r="F2116" s="307"/>
      <c r="G2116" s="297" t="s">
        <v>1141</v>
      </c>
      <c r="H2116" s="308" t="str">
        <f>CONCATENATE("AR-",G2116,"-",I2116)</f>
        <v>AR-SDV-2</v>
      </c>
      <c r="I2116" s="661">
        <v>2</v>
      </c>
      <c r="J2116" s="197">
        <v>1</v>
      </c>
      <c r="L2116" s="237"/>
      <c r="Q2116" s="237"/>
    </row>
    <row r="2117" spans="1:17" s="233" customFormat="1" ht="3" hidden="1" customHeight="1" outlineLevel="2">
      <c r="A2117" s="681"/>
      <c r="B2117" s="299"/>
      <c r="C2117" s="304"/>
      <c r="D2117" s="685"/>
      <c r="E2117" s="306" t="s">
        <v>277</v>
      </c>
      <c r="F2117" s="307"/>
      <c r="G2117" s="297"/>
      <c r="H2117" s="308"/>
      <c r="I2117" s="661"/>
      <c r="J2117" s="197"/>
      <c r="L2117" s="237"/>
      <c r="Q2117" s="237"/>
    </row>
    <row r="2118" spans="1:17" s="233" customFormat="1" ht="13.5" hidden="1" outlineLevel="2">
      <c r="A2118" s="681"/>
      <c r="B2118" s="299" t="s">
        <v>1308</v>
      </c>
      <c r="C2118" s="304"/>
      <c r="D2118" s="685"/>
      <c r="E2118" s="306" t="s">
        <v>277</v>
      </c>
      <c r="F2118" s="307"/>
      <c r="G2118" s="297"/>
      <c r="H2118" s="308"/>
      <c r="I2118" s="661"/>
      <c r="J2118" s="197"/>
      <c r="L2118" s="237"/>
      <c r="Q2118" s="237"/>
    </row>
    <row r="2119" spans="1:17" s="233" customFormat="1" ht="13.5" hidden="1" outlineLevel="2">
      <c r="A2119" s="681"/>
      <c r="B2119" s="299" t="s">
        <v>268</v>
      </c>
      <c r="C2119" s="304" t="s">
        <v>1322</v>
      </c>
      <c r="D2119" s="685" t="s">
        <v>425</v>
      </c>
      <c r="E2119" s="306" t="s">
        <v>910</v>
      </c>
      <c r="F2119" s="307"/>
      <c r="G2119" s="297" t="s">
        <v>1141</v>
      </c>
      <c r="H2119" s="308" t="str">
        <f t="shared" ref="H2119:H2124" si="111">CONCATENATE("AR-",G2119,"-",I2119)</f>
        <v>AR-SDV-2</v>
      </c>
      <c r="I2119" s="661">
        <v>2</v>
      </c>
      <c r="J2119" s="197">
        <v>1</v>
      </c>
      <c r="L2119" s="237"/>
      <c r="Q2119" s="237"/>
    </row>
    <row r="2120" spans="1:17" s="233" customFormat="1" ht="13.5" hidden="1" outlineLevel="2">
      <c r="A2120" s="681"/>
      <c r="B2120" s="299" t="s">
        <v>268</v>
      </c>
      <c r="C2120" s="304" t="s">
        <v>1322</v>
      </c>
      <c r="D2120" s="685" t="s">
        <v>427</v>
      </c>
      <c r="E2120" s="306" t="s">
        <v>911</v>
      </c>
      <c r="F2120" s="307"/>
      <c r="G2120" s="297" t="s">
        <v>1141</v>
      </c>
      <c r="H2120" s="308" t="str">
        <f t="shared" si="111"/>
        <v>AR-SDV-2</v>
      </c>
      <c r="I2120" s="661">
        <v>2</v>
      </c>
      <c r="J2120" s="197">
        <v>1</v>
      </c>
      <c r="L2120" s="237"/>
      <c r="Q2120" s="237"/>
    </row>
    <row r="2121" spans="1:17" s="233" customFormat="1" ht="13.5" hidden="1" outlineLevel="2">
      <c r="A2121" s="681"/>
      <c r="B2121" s="299" t="s">
        <v>268</v>
      </c>
      <c r="C2121" s="304" t="s">
        <v>1319</v>
      </c>
      <c r="D2121" s="685" t="s">
        <v>427</v>
      </c>
      <c r="E2121" s="306" t="s">
        <v>1324</v>
      </c>
      <c r="F2121" s="307"/>
      <c r="G2121" s="297" t="s">
        <v>1141</v>
      </c>
      <c r="H2121" s="308" t="str">
        <f t="shared" si="111"/>
        <v>AR-SDV-2</v>
      </c>
      <c r="I2121" s="661">
        <v>2</v>
      </c>
      <c r="J2121" s="234">
        <v>1</v>
      </c>
      <c r="L2121" s="237"/>
      <c r="Q2121" s="237"/>
    </row>
    <row r="2122" spans="1:17" s="233" customFormat="1" ht="13.5" hidden="1" outlineLevel="2">
      <c r="A2122" s="681"/>
      <c r="B2122" s="299" t="s">
        <v>268</v>
      </c>
      <c r="C2122" s="304" t="s">
        <v>1322</v>
      </c>
      <c r="D2122" s="685" t="s">
        <v>429</v>
      </c>
      <c r="E2122" s="306" t="s">
        <v>912</v>
      </c>
      <c r="F2122" s="307"/>
      <c r="G2122" s="297" t="s">
        <v>1141</v>
      </c>
      <c r="H2122" s="308" t="str">
        <f t="shared" si="111"/>
        <v>AR-SDV-2</v>
      </c>
      <c r="I2122" s="661">
        <v>2</v>
      </c>
      <c r="J2122" s="197">
        <v>1</v>
      </c>
      <c r="L2122" s="237"/>
      <c r="Q2122" s="237"/>
    </row>
    <row r="2123" spans="1:17" s="233" customFormat="1" ht="13.5" hidden="1" outlineLevel="2">
      <c r="A2123" s="681"/>
      <c r="B2123" s="299" t="s">
        <v>268</v>
      </c>
      <c r="C2123" s="304" t="s">
        <v>1322</v>
      </c>
      <c r="D2123" s="685" t="s">
        <v>431</v>
      </c>
      <c r="E2123" s="306" t="s">
        <v>913</v>
      </c>
      <c r="F2123" s="307"/>
      <c r="G2123" s="297" t="s">
        <v>1141</v>
      </c>
      <c r="H2123" s="308" t="str">
        <f t="shared" si="111"/>
        <v>AR-SDV-2</v>
      </c>
      <c r="I2123" s="661">
        <v>2</v>
      </c>
      <c r="J2123" s="197">
        <v>1</v>
      </c>
      <c r="L2123" s="237"/>
      <c r="Q2123" s="237"/>
    </row>
    <row r="2124" spans="1:17" s="233" customFormat="1" ht="13.5" hidden="1" outlineLevel="2">
      <c r="A2124" s="681"/>
      <c r="B2124" s="299" t="s">
        <v>268</v>
      </c>
      <c r="C2124" s="304" t="s">
        <v>1319</v>
      </c>
      <c r="D2124" s="685">
        <v>4705</v>
      </c>
      <c r="E2124" s="306" t="s">
        <v>1325</v>
      </c>
      <c r="F2124" s="307"/>
      <c r="G2124" s="297" t="s">
        <v>1141</v>
      </c>
      <c r="H2124" s="308" t="str">
        <f t="shared" si="111"/>
        <v>AR-SDV-2</v>
      </c>
      <c r="I2124" s="661">
        <v>2</v>
      </c>
      <c r="J2124" s="234">
        <v>1</v>
      </c>
      <c r="L2124" s="237"/>
      <c r="Q2124" s="237"/>
    </row>
    <row r="2125" spans="1:17" s="233" customFormat="1" ht="3" hidden="1" customHeight="1" outlineLevel="2">
      <c r="A2125" s="681"/>
      <c r="B2125" s="299"/>
      <c r="C2125" s="304"/>
      <c r="D2125" s="685"/>
      <c r="E2125" s="306" t="s">
        <v>277</v>
      </c>
      <c r="F2125" s="307"/>
      <c r="G2125" s="297"/>
      <c r="H2125" s="308"/>
      <c r="I2125" s="661"/>
      <c r="J2125" s="197"/>
      <c r="L2125" s="237"/>
      <c r="Q2125" s="237"/>
    </row>
    <row r="2126" spans="1:17" s="233" customFormat="1" ht="14.25" hidden="1" customHeight="1" outlineLevel="2">
      <c r="A2126" s="681"/>
      <c r="B2126" s="299" t="s">
        <v>1309</v>
      </c>
      <c r="C2126" s="304"/>
      <c r="D2126" s="685"/>
      <c r="E2126" s="306" t="s">
        <v>277</v>
      </c>
      <c r="F2126" s="307"/>
      <c r="G2126" s="297"/>
      <c r="H2126" s="308"/>
      <c r="I2126" s="661"/>
      <c r="J2126" s="197"/>
      <c r="L2126" s="237"/>
      <c r="Q2126" s="237"/>
    </row>
    <row r="2127" spans="1:17" s="233" customFormat="1" ht="13.5" hidden="1" outlineLevel="2">
      <c r="A2127" s="681"/>
      <c r="B2127" s="299" t="s">
        <v>268</v>
      </c>
      <c r="C2127" s="304" t="s">
        <v>1322</v>
      </c>
      <c r="D2127" s="685">
        <v>6601</v>
      </c>
      <c r="E2127" s="306" t="s">
        <v>1310</v>
      </c>
      <c r="F2127" s="307"/>
      <c r="G2127" s="297" t="s">
        <v>1141</v>
      </c>
      <c r="H2127" s="308" t="str">
        <f>CONCATENATE("AR-",G2127,"-",I2127)</f>
        <v>AR-SDV-2</v>
      </c>
      <c r="I2127" s="661">
        <v>2</v>
      </c>
      <c r="J2127" s="197">
        <v>1</v>
      </c>
      <c r="L2127" s="237"/>
      <c r="Q2127" s="237"/>
    </row>
    <row r="2128" spans="1:17" s="233" customFormat="1" ht="3" hidden="1" customHeight="1" outlineLevel="2">
      <c r="A2128" s="681"/>
      <c r="B2128" s="299"/>
      <c r="C2128" s="304"/>
      <c r="D2128" s="685"/>
      <c r="E2128" s="306" t="s">
        <v>277</v>
      </c>
      <c r="F2128" s="307"/>
      <c r="G2128" s="297"/>
      <c r="H2128" s="308"/>
      <c r="I2128" s="661"/>
      <c r="J2128" s="197"/>
      <c r="L2128" s="237"/>
      <c r="Q2128" s="237"/>
    </row>
    <row r="2129" spans="1:17" s="233" customFormat="1" ht="14.25" hidden="1" customHeight="1" outlineLevel="2">
      <c r="A2129" s="681"/>
      <c r="B2129" s="299" t="s">
        <v>1312</v>
      </c>
      <c r="C2129" s="304"/>
      <c r="D2129" s="685"/>
      <c r="E2129" s="306" t="s">
        <v>277</v>
      </c>
      <c r="F2129" s="307"/>
      <c r="G2129" s="297"/>
      <c r="H2129" s="308"/>
      <c r="I2129" s="661"/>
      <c r="J2129" s="197"/>
      <c r="L2129" s="237"/>
      <c r="Q2129" s="237"/>
    </row>
    <row r="2130" spans="1:17" s="233" customFormat="1" ht="13.5" hidden="1" outlineLevel="2">
      <c r="A2130" s="681"/>
      <c r="B2130" s="299" t="s">
        <v>268</v>
      </c>
      <c r="C2130" s="304" t="s">
        <v>1322</v>
      </c>
      <c r="D2130" s="685">
        <v>8101</v>
      </c>
      <c r="E2130" s="306" t="s">
        <v>1314</v>
      </c>
      <c r="F2130" s="307"/>
      <c r="G2130" s="297" t="s">
        <v>1141</v>
      </c>
      <c r="H2130" s="308" t="str">
        <f>CONCATENATE("AR-",G2130,"-",I2130)</f>
        <v>AR-SDV-2</v>
      </c>
      <c r="I2130" s="661">
        <v>2</v>
      </c>
      <c r="J2130" s="197">
        <v>1</v>
      </c>
      <c r="L2130" s="237"/>
      <c r="Q2130" s="237"/>
    </row>
    <row r="2131" spans="1:17" s="233" customFormat="1" ht="3" hidden="1" customHeight="1" outlineLevel="2">
      <c r="A2131" s="681"/>
      <c r="B2131" s="299"/>
      <c r="C2131" s="304"/>
      <c r="D2131" s="685"/>
      <c r="E2131" s="306" t="s">
        <v>277</v>
      </c>
      <c r="F2131" s="307"/>
      <c r="G2131" s="297"/>
      <c r="H2131" s="308"/>
      <c r="I2131" s="661"/>
      <c r="J2131" s="197"/>
      <c r="L2131" s="237"/>
      <c r="Q2131" s="237"/>
    </row>
    <row r="2132" spans="1:17" s="233" customFormat="1" ht="14.25" hidden="1" customHeight="1" outlineLevel="2">
      <c r="A2132" s="681"/>
      <c r="B2132" s="299" t="s">
        <v>1316</v>
      </c>
      <c r="C2132" s="304"/>
      <c r="D2132" s="685"/>
      <c r="E2132" s="306" t="s">
        <v>277</v>
      </c>
      <c r="F2132" s="307"/>
      <c r="G2132" s="297"/>
      <c r="H2132" s="308"/>
      <c r="I2132" s="661"/>
      <c r="J2132" s="197"/>
      <c r="L2132" s="237"/>
      <c r="Q2132" s="237"/>
    </row>
    <row r="2133" spans="1:17" s="233" customFormat="1" ht="13.5" hidden="1" outlineLevel="2">
      <c r="A2133" s="678"/>
      <c r="B2133" s="299" t="s">
        <v>268</v>
      </c>
      <c r="C2133" s="304" t="s">
        <v>1322</v>
      </c>
      <c r="D2133" s="685">
        <v>8201</v>
      </c>
      <c r="E2133" s="306" t="s">
        <v>1317</v>
      </c>
      <c r="F2133" s="307"/>
      <c r="G2133" s="297" t="s">
        <v>1141</v>
      </c>
      <c r="H2133" s="308" t="str">
        <f>CONCATENATE("AR-",G2133,"-",I2133)</f>
        <v>AR-SDV-2</v>
      </c>
      <c r="I2133" s="661">
        <v>2</v>
      </c>
      <c r="J2133" s="197">
        <v>1</v>
      </c>
      <c r="L2133" s="237"/>
      <c r="Q2133" s="237"/>
    </row>
    <row r="2134" spans="1:17" s="233" customFormat="1" ht="3" hidden="1" customHeight="1" outlineLevel="1">
      <c r="A2134" s="682"/>
      <c r="B2134" s="299"/>
      <c r="C2134" s="304"/>
      <c r="D2134" s="685"/>
      <c r="E2134" s="306" t="s">
        <v>277</v>
      </c>
      <c r="F2134" s="307"/>
      <c r="G2134" s="297"/>
      <c r="H2134" s="308"/>
      <c r="I2134" s="661"/>
      <c r="J2134" s="197"/>
      <c r="L2134" s="237"/>
      <c r="Q2134" s="237"/>
    </row>
    <row r="2135" spans="1:17" s="233" customFormat="1" ht="14.25" hidden="1" customHeight="1" outlineLevel="1">
      <c r="A2135" s="678"/>
      <c r="B2135" s="767" t="s">
        <v>1326</v>
      </c>
      <c r="C2135" s="768"/>
      <c r="D2135" s="769"/>
      <c r="E2135" s="770"/>
      <c r="F2135" s="771"/>
      <c r="G2135" s="772"/>
      <c r="H2135" s="773"/>
      <c r="I2135" s="774"/>
      <c r="J2135" s="197"/>
      <c r="L2135" s="237"/>
      <c r="Q2135" s="237"/>
    </row>
    <row r="2136" spans="1:17" s="233" customFormat="1" ht="3" hidden="1" customHeight="1" outlineLevel="2">
      <c r="A2136" s="678"/>
      <c r="B2136" s="299"/>
      <c r="C2136" s="304"/>
      <c r="D2136" s="685"/>
      <c r="E2136" s="306" t="s">
        <v>277</v>
      </c>
      <c r="F2136" s="307"/>
      <c r="G2136" s="297"/>
      <c r="H2136" s="308"/>
      <c r="I2136" s="661"/>
      <c r="J2136" s="197"/>
      <c r="L2136" s="237"/>
      <c r="Q2136" s="237"/>
    </row>
    <row r="2137" spans="1:17" s="233" customFormat="1" ht="13.5" hidden="1" customHeight="1" outlineLevel="2">
      <c r="A2137" s="678"/>
      <c r="B2137" s="299" t="s">
        <v>268</v>
      </c>
      <c r="C2137" s="304" t="s">
        <v>1327</v>
      </c>
      <c r="D2137" s="685" t="s">
        <v>270</v>
      </c>
      <c r="E2137" s="306" t="s">
        <v>1328</v>
      </c>
      <c r="F2137" s="307"/>
      <c r="G2137" s="297" t="s">
        <v>1141</v>
      </c>
      <c r="H2137" s="308" t="str">
        <f t="shared" ref="H2137:H2157" si="112">CONCATENATE("AR-",G2137,"-",I2137)</f>
        <v>AR-SDV-2</v>
      </c>
      <c r="I2137" s="661">
        <v>2</v>
      </c>
      <c r="J2137" s="197">
        <v>1</v>
      </c>
      <c r="L2137" s="237"/>
      <c r="Q2137" s="237"/>
    </row>
    <row r="2138" spans="1:17" s="233" customFormat="1" ht="13.5" hidden="1" customHeight="1" outlineLevel="2">
      <c r="A2138" s="678"/>
      <c r="B2138" s="299" t="s">
        <v>268</v>
      </c>
      <c r="C2138" s="304" t="s">
        <v>1327</v>
      </c>
      <c r="D2138" s="685" t="s">
        <v>273</v>
      </c>
      <c r="E2138" s="306" t="s">
        <v>1329</v>
      </c>
      <c r="F2138" s="307"/>
      <c r="G2138" s="297" t="s">
        <v>1141</v>
      </c>
      <c r="H2138" s="308" t="str">
        <f t="shared" si="112"/>
        <v>AR-SDV-2</v>
      </c>
      <c r="I2138" s="661">
        <v>2</v>
      </c>
      <c r="J2138" s="197">
        <v>1</v>
      </c>
      <c r="L2138" s="237"/>
      <c r="Q2138" s="237"/>
    </row>
    <row r="2139" spans="1:17" s="233" customFormat="1" ht="13.5" hidden="1" customHeight="1" outlineLevel="2">
      <c r="A2139" s="678"/>
      <c r="B2139" s="299" t="s">
        <v>268</v>
      </c>
      <c r="C2139" s="304" t="s">
        <v>1327</v>
      </c>
      <c r="D2139" s="685" t="s">
        <v>1330</v>
      </c>
      <c r="E2139" s="306" t="s">
        <v>1331</v>
      </c>
      <c r="F2139" s="307"/>
      <c r="G2139" s="297" t="s">
        <v>1141</v>
      </c>
      <c r="H2139" s="308" t="str">
        <f t="shared" si="112"/>
        <v>AR-SDV-2</v>
      </c>
      <c r="I2139" s="661">
        <v>2</v>
      </c>
      <c r="J2139" s="197">
        <v>1</v>
      </c>
      <c r="L2139" s="237"/>
      <c r="Q2139" s="237"/>
    </row>
    <row r="2140" spans="1:17" s="233" customFormat="1" ht="13.5" hidden="1" customHeight="1" outlineLevel="2">
      <c r="A2140" s="678"/>
      <c r="B2140" s="299" t="s">
        <v>268</v>
      </c>
      <c r="C2140" s="304" t="s">
        <v>1327</v>
      </c>
      <c r="D2140" s="685" t="s">
        <v>279</v>
      </c>
      <c r="E2140" s="306" t="s">
        <v>1332</v>
      </c>
      <c r="F2140" s="307"/>
      <c r="G2140" s="297" t="s">
        <v>1141</v>
      </c>
      <c r="H2140" s="308" t="str">
        <f t="shared" si="112"/>
        <v>AR-SDV-2</v>
      </c>
      <c r="I2140" s="661">
        <v>2</v>
      </c>
      <c r="J2140" s="197">
        <v>1</v>
      </c>
      <c r="L2140" s="237"/>
      <c r="Q2140" s="237"/>
    </row>
    <row r="2141" spans="1:17" s="233" customFormat="1" ht="13.5" hidden="1" customHeight="1" outlineLevel="2">
      <c r="A2141" s="678"/>
      <c r="B2141" s="299" t="s">
        <v>268</v>
      </c>
      <c r="C2141" s="304" t="s">
        <v>1327</v>
      </c>
      <c r="D2141" s="685" t="s">
        <v>355</v>
      </c>
      <c r="E2141" s="306" t="s">
        <v>1333</v>
      </c>
      <c r="F2141" s="307"/>
      <c r="G2141" s="297" t="s">
        <v>1141</v>
      </c>
      <c r="H2141" s="308" t="str">
        <f t="shared" si="112"/>
        <v>AR-SDV-2</v>
      </c>
      <c r="I2141" s="661">
        <v>2</v>
      </c>
      <c r="J2141" s="197">
        <v>1</v>
      </c>
      <c r="L2141" s="237"/>
      <c r="Q2141" s="237"/>
    </row>
    <row r="2142" spans="1:17" s="233" customFormat="1" ht="13.5" hidden="1" customHeight="1" outlineLevel="2">
      <c r="A2142" s="678"/>
      <c r="B2142" s="299" t="s">
        <v>268</v>
      </c>
      <c r="C2142" s="304" t="s">
        <v>1327</v>
      </c>
      <c r="D2142" s="685" t="s">
        <v>357</v>
      </c>
      <c r="E2142" s="306" t="s">
        <v>1334</v>
      </c>
      <c r="F2142" s="307"/>
      <c r="G2142" s="297" t="s">
        <v>1141</v>
      </c>
      <c r="H2142" s="308" t="str">
        <f t="shared" si="112"/>
        <v>AR-SDV-2</v>
      </c>
      <c r="I2142" s="661">
        <v>2</v>
      </c>
      <c r="J2142" s="197">
        <v>1</v>
      </c>
      <c r="L2142" s="237"/>
      <c r="Q2142" s="237"/>
    </row>
    <row r="2143" spans="1:17" s="233" customFormat="1" ht="13.5" hidden="1" customHeight="1" outlineLevel="2">
      <c r="A2143" s="678"/>
      <c r="B2143" s="299" t="s">
        <v>268</v>
      </c>
      <c r="C2143" s="304" t="s">
        <v>1327</v>
      </c>
      <c r="D2143" s="685" t="s">
        <v>359</v>
      </c>
      <c r="E2143" s="306" t="s">
        <v>1335</v>
      </c>
      <c r="F2143" s="307"/>
      <c r="G2143" s="297" t="s">
        <v>1141</v>
      </c>
      <c r="H2143" s="308" t="str">
        <f t="shared" si="112"/>
        <v>AR-SDV-2</v>
      </c>
      <c r="I2143" s="661">
        <v>2</v>
      </c>
      <c r="J2143" s="197">
        <v>1</v>
      </c>
      <c r="L2143" s="237"/>
      <c r="Q2143" s="237"/>
    </row>
    <row r="2144" spans="1:17" s="233" customFormat="1" ht="13.5" hidden="1" customHeight="1" outlineLevel="2">
      <c r="A2144" s="678"/>
      <c r="B2144" s="299" t="s">
        <v>268</v>
      </c>
      <c r="C2144" s="304" t="s">
        <v>1327</v>
      </c>
      <c r="D2144" s="685" t="s">
        <v>1174</v>
      </c>
      <c r="E2144" s="306" t="s">
        <v>1336</v>
      </c>
      <c r="F2144" s="307"/>
      <c r="G2144" s="297" t="s">
        <v>1141</v>
      </c>
      <c r="H2144" s="308" t="str">
        <f t="shared" si="112"/>
        <v>AR-SDV-2</v>
      </c>
      <c r="I2144" s="661">
        <v>2</v>
      </c>
      <c r="J2144" s="197">
        <v>1</v>
      </c>
      <c r="L2144" s="237"/>
      <c r="Q2144" s="237"/>
    </row>
    <row r="2145" spans="1:21" s="233" customFormat="1" ht="13.5" hidden="1" customHeight="1" outlineLevel="2">
      <c r="A2145" s="678"/>
      <c r="B2145" s="299" t="s">
        <v>268</v>
      </c>
      <c r="C2145" s="304" t="s">
        <v>1327</v>
      </c>
      <c r="D2145" s="685" t="s">
        <v>328</v>
      </c>
      <c r="E2145" s="306" t="s">
        <v>1337</v>
      </c>
      <c r="F2145" s="307"/>
      <c r="G2145" s="297" t="s">
        <v>1141</v>
      </c>
      <c r="H2145" s="308" t="str">
        <f t="shared" si="112"/>
        <v>AR-SDV-2</v>
      </c>
      <c r="I2145" s="661">
        <v>2</v>
      </c>
      <c r="J2145" s="197">
        <v>1</v>
      </c>
      <c r="L2145" s="237"/>
      <c r="Q2145" s="237"/>
    </row>
    <row r="2146" spans="1:21" s="233" customFormat="1" ht="13.5" hidden="1" customHeight="1" outlineLevel="2">
      <c r="A2146" s="678"/>
      <c r="B2146" s="299" t="s">
        <v>268</v>
      </c>
      <c r="C2146" s="304" t="s">
        <v>1327</v>
      </c>
      <c r="D2146" s="685" t="s">
        <v>1338</v>
      </c>
      <c r="E2146" s="306" t="s">
        <v>1339</v>
      </c>
      <c r="F2146" s="307"/>
      <c r="G2146" s="297" t="s">
        <v>1141</v>
      </c>
      <c r="H2146" s="308" t="str">
        <f t="shared" si="112"/>
        <v>AR-SDV-2</v>
      </c>
      <c r="I2146" s="661">
        <v>2</v>
      </c>
      <c r="J2146" s="197">
        <v>1</v>
      </c>
      <c r="L2146" s="237"/>
      <c r="Q2146" s="237"/>
    </row>
    <row r="2147" spans="1:21" s="233" customFormat="1" ht="13.5" hidden="1" customHeight="1" outlineLevel="2">
      <c r="A2147" s="678"/>
      <c r="B2147" s="299" t="s">
        <v>268</v>
      </c>
      <c r="C2147" s="304" t="s">
        <v>1327</v>
      </c>
      <c r="D2147" s="685" t="s">
        <v>1340</v>
      </c>
      <c r="E2147" s="306" t="s">
        <v>1341</v>
      </c>
      <c r="F2147" s="307"/>
      <c r="G2147" s="297" t="s">
        <v>1141</v>
      </c>
      <c r="H2147" s="308" t="str">
        <f t="shared" si="112"/>
        <v>AR-SDV-2</v>
      </c>
      <c r="I2147" s="661">
        <v>2</v>
      </c>
      <c r="J2147" s="197">
        <v>1</v>
      </c>
      <c r="L2147" s="237"/>
      <c r="Q2147" s="237"/>
    </row>
    <row r="2148" spans="1:21" s="233" customFormat="1" ht="13.5" hidden="1" customHeight="1" outlineLevel="2">
      <c r="A2148" s="678"/>
      <c r="B2148" s="299" t="s">
        <v>268</v>
      </c>
      <c r="C2148" s="304" t="s">
        <v>1327</v>
      </c>
      <c r="D2148" s="685" t="s">
        <v>1342</v>
      </c>
      <c r="E2148" s="306" t="s">
        <v>1343</v>
      </c>
      <c r="F2148" s="307"/>
      <c r="G2148" s="297" t="s">
        <v>1141</v>
      </c>
      <c r="H2148" s="308" t="str">
        <f t="shared" si="112"/>
        <v>AR-SDV-2</v>
      </c>
      <c r="I2148" s="661">
        <v>2</v>
      </c>
      <c r="J2148" s="197">
        <v>1</v>
      </c>
      <c r="L2148" s="237"/>
      <c r="Q2148" s="237"/>
    </row>
    <row r="2149" spans="1:21" s="233" customFormat="1" ht="13.5" hidden="1" customHeight="1" outlineLevel="2">
      <c r="A2149" s="678"/>
      <c r="B2149" s="299" t="s">
        <v>268</v>
      </c>
      <c r="C2149" s="304" t="s">
        <v>1327</v>
      </c>
      <c r="D2149" s="685" t="s">
        <v>573</v>
      </c>
      <c r="E2149" s="306" t="s">
        <v>1344</v>
      </c>
      <c r="F2149" s="307"/>
      <c r="G2149" s="297" t="s">
        <v>1141</v>
      </c>
      <c r="H2149" s="308" t="str">
        <f t="shared" si="112"/>
        <v>AR-SDV-2</v>
      </c>
      <c r="I2149" s="661">
        <v>2</v>
      </c>
      <c r="J2149" s="197">
        <v>1</v>
      </c>
      <c r="L2149" s="237"/>
      <c r="Q2149" s="237"/>
    </row>
    <row r="2150" spans="1:21" s="233" customFormat="1" ht="13.5" hidden="1" customHeight="1" outlineLevel="2">
      <c r="A2150" s="678"/>
      <c r="B2150" s="299" t="s">
        <v>268</v>
      </c>
      <c r="C2150" s="304" t="s">
        <v>1327</v>
      </c>
      <c r="D2150" s="685" t="s">
        <v>569</v>
      </c>
      <c r="E2150" s="306" t="s">
        <v>1344</v>
      </c>
      <c r="F2150" s="307"/>
      <c r="G2150" s="297" t="s">
        <v>1141</v>
      </c>
      <c r="H2150" s="308" t="str">
        <f t="shared" si="112"/>
        <v>AR-SDV-2</v>
      </c>
      <c r="I2150" s="661">
        <v>2</v>
      </c>
      <c r="J2150" s="197">
        <v>1</v>
      </c>
      <c r="L2150" s="237"/>
      <c r="Q2150" s="237"/>
    </row>
    <row r="2151" spans="1:21" s="233" customFormat="1" ht="13.5" hidden="1" customHeight="1" outlineLevel="2">
      <c r="A2151" s="678"/>
      <c r="B2151" s="299" t="s">
        <v>268</v>
      </c>
      <c r="C2151" s="304" t="s">
        <v>1327</v>
      </c>
      <c r="D2151" s="685" t="s">
        <v>571</v>
      </c>
      <c r="E2151" s="306" t="s">
        <v>1345</v>
      </c>
      <c r="F2151" s="307"/>
      <c r="G2151" s="297" t="s">
        <v>1141</v>
      </c>
      <c r="H2151" s="308" t="str">
        <f t="shared" si="112"/>
        <v>AR-SDV-2</v>
      </c>
      <c r="I2151" s="661">
        <v>2</v>
      </c>
      <c r="J2151" s="197">
        <v>1</v>
      </c>
      <c r="L2151" s="237"/>
      <c r="Q2151" s="237"/>
    </row>
    <row r="2152" spans="1:21" s="233" customFormat="1" ht="13.5" hidden="1" customHeight="1" outlineLevel="2">
      <c r="A2152" s="678"/>
      <c r="B2152" s="299" t="s">
        <v>268</v>
      </c>
      <c r="C2152" s="304" t="s">
        <v>1327</v>
      </c>
      <c r="D2152" s="685" t="s">
        <v>573</v>
      </c>
      <c r="E2152" s="306" t="s">
        <v>1345</v>
      </c>
      <c r="F2152" s="307"/>
      <c r="G2152" s="297" t="s">
        <v>1141</v>
      </c>
      <c r="H2152" s="308" t="str">
        <f t="shared" si="112"/>
        <v>AR-SDV-2</v>
      </c>
      <c r="I2152" s="661">
        <v>2</v>
      </c>
      <c r="J2152" s="197">
        <v>1</v>
      </c>
      <c r="L2152" s="237"/>
      <c r="Q2152" s="237"/>
    </row>
    <row r="2153" spans="1:21" s="233" customFormat="1" ht="13.5" hidden="1" customHeight="1" outlineLevel="2">
      <c r="A2153" s="678"/>
      <c r="B2153" s="299" t="s">
        <v>268</v>
      </c>
      <c r="C2153" s="304" t="s">
        <v>1327</v>
      </c>
      <c r="D2153" s="685" t="s">
        <v>1346</v>
      </c>
      <c r="E2153" s="306" t="s">
        <v>1347</v>
      </c>
      <c r="F2153" s="307"/>
      <c r="G2153" s="297" t="s">
        <v>1141</v>
      </c>
      <c r="H2153" s="308" t="str">
        <f t="shared" si="112"/>
        <v>AR-SDV-2</v>
      </c>
      <c r="I2153" s="661">
        <v>2</v>
      </c>
      <c r="J2153" s="197">
        <v>1</v>
      </c>
      <c r="L2153" s="237"/>
      <c r="Q2153" s="237"/>
    </row>
    <row r="2154" spans="1:21" s="233" customFormat="1" ht="13.5" hidden="1" customHeight="1" outlineLevel="2">
      <c r="A2154" s="678"/>
      <c r="B2154" s="299" t="s">
        <v>268</v>
      </c>
      <c r="C2154" s="304" t="s">
        <v>1327</v>
      </c>
      <c r="D2154" s="685" t="s">
        <v>1348</v>
      </c>
      <c r="E2154" s="306" t="s">
        <v>1349</v>
      </c>
      <c r="F2154" s="307"/>
      <c r="G2154" s="297" t="s">
        <v>1141</v>
      </c>
      <c r="H2154" s="308" t="str">
        <f t="shared" si="112"/>
        <v>AR-SDV-2</v>
      </c>
      <c r="I2154" s="661">
        <v>2</v>
      </c>
      <c r="J2154" s="197">
        <v>1</v>
      </c>
      <c r="L2154" s="237"/>
      <c r="Q2154" s="237"/>
    </row>
    <row r="2155" spans="1:21" s="233" customFormat="1" ht="13.5" hidden="1" customHeight="1" outlineLevel="2">
      <c r="A2155" s="678"/>
      <c r="B2155" s="299" t="s">
        <v>268</v>
      </c>
      <c r="C2155" s="304" t="s">
        <v>1327</v>
      </c>
      <c r="D2155" s="685" t="s">
        <v>683</v>
      </c>
      <c r="E2155" s="306" t="s">
        <v>1350</v>
      </c>
      <c r="F2155" s="307"/>
      <c r="G2155" s="297" t="s">
        <v>1141</v>
      </c>
      <c r="H2155" s="308" t="str">
        <f t="shared" si="112"/>
        <v>AR-SDV-2</v>
      </c>
      <c r="I2155" s="661">
        <v>2</v>
      </c>
      <c r="J2155" s="197">
        <v>1</v>
      </c>
      <c r="L2155" s="237"/>
      <c r="Q2155" s="237"/>
    </row>
    <row r="2156" spans="1:21" s="233" customFormat="1" ht="13.5" hidden="1" customHeight="1" outlineLevel="2">
      <c r="A2156" s="678"/>
      <c r="B2156" s="299" t="s">
        <v>268</v>
      </c>
      <c r="C2156" s="304" t="s">
        <v>1327</v>
      </c>
      <c r="D2156" s="685" t="s">
        <v>1107</v>
      </c>
      <c r="E2156" s="306" t="s">
        <v>1351</v>
      </c>
      <c r="F2156" s="307"/>
      <c r="G2156" s="297" t="s">
        <v>1141</v>
      </c>
      <c r="H2156" s="308" t="str">
        <f t="shared" si="112"/>
        <v>AR-SDV-2</v>
      </c>
      <c r="I2156" s="661">
        <v>2</v>
      </c>
      <c r="J2156" s="197">
        <v>1</v>
      </c>
      <c r="K2156" s="232"/>
      <c r="L2156" s="234"/>
      <c r="M2156" s="197"/>
      <c r="N2156" s="197"/>
      <c r="O2156" s="197"/>
      <c r="P2156" s="197"/>
      <c r="Q2156" s="234"/>
      <c r="R2156" s="197"/>
      <c r="S2156" s="197"/>
      <c r="T2156" s="197"/>
      <c r="U2156" s="197"/>
    </row>
    <row r="2157" spans="1:21" s="233" customFormat="1" ht="13.5" hidden="1" customHeight="1" outlineLevel="2">
      <c r="A2157" s="678"/>
      <c r="B2157" s="299" t="s">
        <v>268</v>
      </c>
      <c r="C2157" s="304" t="s">
        <v>1327</v>
      </c>
      <c r="D2157" s="685" t="s">
        <v>1109</v>
      </c>
      <c r="E2157" s="306" t="s">
        <v>825</v>
      </c>
      <c r="F2157" s="307"/>
      <c r="G2157" s="297" t="s">
        <v>1141</v>
      </c>
      <c r="H2157" s="308" t="str">
        <f t="shared" si="112"/>
        <v>AR-SDV-2</v>
      </c>
      <c r="I2157" s="661">
        <v>2</v>
      </c>
      <c r="J2157" s="197">
        <v>1</v>
      </c>
      <c r="K2157" s="232"/>
      <c r="L2157" s="234"/>
      <c r="M2157" s="197"/>
      <c r="N2157" s="197"/>
      <c r="O2157" s="197"/>
      <c r="P2157" s="197"/>
      <c r="Q2157" s="234"/>
      <c r="R2157" s="197"/>
      <c r="S2157" s="197"/>
      <c r="T2157" s="197"/>
      <c r="U2157" s="197"/>
    </row>
    <row r="2158" spans="1:21" s="233" customFormat="1" ht="3" customHeight="1">
      <c r="A2158" s="682"/>
      <c r="B2158" s="299"/>
      <c r="C2158" s="304"/>
      <c r="D2158" s="685"/>
      <c r="E2158" s="306" t="s">
        <v>277</v>
      </c>
      <c r="F2158" s="307"/>
      <c r="G2158" s="297"/>
      <c r="H2158" s="308"/>
      <c r="I2158" s="661"/>
      <c r="J2158" s="197"/>
      <c r="K2158" s="232"/>
      <c r="L2158" s="234"/>
      <c r="M2158" s="197"/>
      <c r="N2158" s="197"/>
      <c r="O2158" s="197"/>
      <c r="P2158" s="197"/>
      <c r="Q2158" s="234"/>
      <c r="R2158" s="197"/>
      <c r="S2158" s="197"/>
      <c r="T2158" s="197"/>
      <c r="U2158" s="197"/>
    </row>
    <row r="2159" spans="1:21" s="233" customFormat="1" ht="13.5" collapsed="1">
      <c r="A2159" s="382" t="s">
        <v>29</v>
      </c>
      <c r="B2159" s="675"/>
      <c r="C2159" s="676"/>
      <c r="D2159" s="677"/>
      <c r="E2159" s="676"/>
      <c r="F2159" s="307"/>
      <c r="G2159" s="297"/>
      <c r="H2159" s="308"/>
      <c r="I2159" s="665"/>
      <c r="J2159" s="197"/>
      <c r="K2159" s="232"/>
      <c r="L2159" s="230">
        <f>SUM(L2160:L2502)</f>
        <v>41</v>
      </c>
      <c r="M2159" s="188">
        <v>86</v>
      </c>
      <c r="N2159" s="188"/>
      <c r="O2159" s="188">
        <f t="shared" ref="O2159:U2159" si="113">SUM(O2160:O2502)</f>
        <v>0</v>
      </c>
      <c r="P2159" s="188">
        <f t="shared" si="113"/>
        <v>0</v>
      </c>
      <c r="Q2159" s="230">
        <f t="shared" si="113"/>
        <v>4</v>
      </c>
      <c r="R2159" s="188">
        <f t="shared" si="113"/>
        <v>3</v>
      </c>
      <c r="S2159" s="188">
        <f t="shared" si="113"/>
        <v>1</v>
      </c>
      <c r="T2159" s="188">
        <f t="shared" si="113"/>
        <v>0</v>
      </c>
      <c r="U2159" s="188">
        <f t="shared" si="113"/>
        <v>0</v>
      </c>
    </row>
    <row r="2160" spans="1:21" s="233" customFormat="1" ht="13.5" hidden="1" outlineLevel="1">
      <c r="A2160" s="678"/>
      <c r="B2160" s="299" t="s">
        <v>1352</v>
      </c>
      <c r="C2160" s="304"/>
      <c r="D2160" s="685"/>
      <c r="E2160" s="306" t="s">
        <v>277</v>
      </c>
      <c r="F2160" s="307"/>
      <c r="G2160" s="297"/>
      <c r="H2160" s="308"/>
      <c r="I2160" s="661"/>
      <c r="J2160" s="197"/>
      <c r="K2160" s="232"/>
      <c r="L2160" s="234"/>
      <c r="M2160" s="197"/>
      <c r="N2160" s="197"/>
      <c r="O2160" s="197"/>
      <c r="P2160" s="197"/>
      <c r="Q2160" s="234"/>
      <c r="R2160" s="197"/>
      <c r="S2160" s="197"/>
      <c r="T2160" s="197"/>
      <c r="U2160" s="197"/>
    </row>
    <row r="2161" spans="1:21" s="233" customFormat="1" ht="3" hidden="1" customHeight="1" outlineLevel="2">
      <c r="A2161" s="682"/>
      <c r="B2161" s="299"/>
      <c r="C2161" s="304"/>
      <c r="D2161" s="685"/>
      <c r="E2161" s="306" t="s">
        <v>277</v>
      </c>
      <c r="F2161" s="307"/>
      <c r="G2161" s="297"/>
      <c r="H2161" s="308"/>
      <c r="I2161" s="661"/>
      <c r="J2161" s="197"/>
      <c r="K2161" s="232"/>
      <c r="L2161" s="234"/>
      <c r="M2161" s="197"/>
      <c r="N2161" s="197"/>
      <c r="O2161" s="197"/>
      <c r="P2161" s="197"/>
      <c r="Q2161" s="234"/>
      <c r="R2161" s="197"/>
      <c r="S2161" s="197"/>
      <c r="T2161" s="197"/>
      <c r="U2161" s="197"/>
    </row>
    <row r="2162" spans="1:21" s="233" customFormat="1" ht="14.25" hidden="1" customHeight="1" outlineLevel="2">
      <c r="A2162" s="681"/>
      <c r="B2162" s="299" t="s">
        <v>1281</v>
      </c>
      <c r="C2162" s="304"/>
      <c r="D2162" s="685"/>
      <c r="E2162" s="306" t="s">
        <v>277</v>
      </c>
      <c r="F2162" s="307"/>
      <c r="G2162" s="297"/>
      <c r="H2162" s="308"/>
      <c r="I2162" s="661"/>
      <c r="J2162" s="197"/>
      <c r="K2162" s="232"/>
      <c r="L2162" s="234"/>
      <c r="M2162" s="197"/>
      <c r="N2162" s="197"/>
      <c r="O2162" s="197"/>
      <c r="P2162" s="197"/>
      <c r="Q2162" s="234"/>
      <c r="R2162" s="197"/>
      <c r="S2162" s="197"/>
      <c r="T2162" s="197"/>
      <c r="U2162" s="197"/>
    </row>
    <row r="2163" spans="1:21" s="233" customFormat="1" ht="13.5" hidden="1" outlineLevel="2">
      <c r="A2163" s="681"/>
      <c r="B2163" s="299" t="s">
        <v>268</v>
      </c>
      <c r="C2163" s="304" t="s">
        <v>1313</v>
      </c>
      <c r="D2163" s="685" t="s">
        <v>270</v>
      </c>
      <c r="E2163" s="306" t="s">
        <v>599</v>
      </c>
      <c r="F2163" s="307"/>
      <c r="G2163" s="297" t="s">
        <v>1353</v>
      </c>
      <c r="H2163" s="308" t="str">
        <f>CONCATENATE("AR-",G2163,"-",I2163)</f>
        <v>AR-AMN-1</v>
      </c>
      <c r="I2163" s="661">
        <v>1</v>
      </c>
      <c r="J2163" s="197">
        <v>1</v>
      </c>
      <c r="K2163" s="232"/>
      <c r="L2163" s="234"/>
      <c r="M2163" s="197"/>
      <c r="N2163" s="197"/>
      <c r="O2163" s="197"/>
      <c r="P2163" s="197"/>
      <c r="Q2163" s="234"/>
      <c r="R2163" s="197"/>
      <c r="S2163" s="197"/>
      <c r="T2163" s="197"/>
      <c r="U2163" s="197"/>
    </row>
    <row r="2164" spans="1:21" s="233" customFormat="1" ht="3" hidden="1" customHeight="1" outlineLevel="2">
      <c r="A2164" s="681"/>
      <c r="B2164" s="299"/>
      <c r="C2164" s="304"/>
      <c r="D2164" s="685"/>
      <c r="E2164" s="306" t="s">
        <v>277</v>
      </c>
      <c r="F2164" s="307"/>
      <c r="G2164" s="297"/>
      <c r="H2164" s="308"/>
      <c r="I2164" s="661"/>
      <c r="J2164" s="197"/>
      <c r="K2164" s="232"/>
      <c r="L2164" s="234"/>
      <c r="M2164" s="197"/>
      <c r="N2164" s="197"/>
      <c r="O2164" s="197"/>
      <c r="P2164" s="197"/>
      <c r="Q2164" s="234"/>
      <c r="R2164" s="197"/>
      <c r="S2164" s="197"/>
      <c r="T2164" s="197"/>
      <c r="U2164" s="197"/>
    </row>
    <row r="2165" spans="1:21" s="233" customFormat="1" ht="14.25" hidden="1" customHeight="1" outlineLevel="2">
      <c r="A2165" s="681"/>
      <c r="B2165" s="299" t="s">
        <v>1283</v>
      </c>
      <c r="C2165" s="304"/>
      <c r="D2165" s="685"/>
      <c r="E2165" s="306" t="s">
        <v>277</v>
      </c>
      <c r="F2165" s="307"/>
      <c r="G2165" s="297"/>
      <c r="H2165" s="308"/>
      <c r="I2165" s="661"/>
      <c r="J2165" s="197"/>
      <c r="K2165" s="232"/>
      <c r="L2165" s="234"/>
      <c r="M2165" s="197"/>
      <c r="N2165" s="197"/>
      <c r="O2165" s="197"/>
      <c r="P2165" s="197"/>
      <c r="Q2165" s="234"/>
      <c r="R2165" s="197"/>
      <c r="S2165" s="197"/>
      <c r="T2165" s="197"/>
      <c r="U2165" s="197"/>
    </row>
    <row r="2166" spans="1:21" s="233" customFormat="1" ht="13.5" hidden="1" outlineLevel="2">
      <c r="A2166" s="681"/>
      <c r="B2166" s="299" t="s">
        <v>268</v>
      </c>
      <c r="C2166" s="304" t="s">
        <v>1313</v>
      </c>
      <c r="D2166" s="685" t="s">
        <v>1144</v>
      </c>
      <c r="E2166" s="306" t="s">
        <v>490</v>
      </c>
      <c r="F2166" s="307"/>
      <c r="G2166" s="297" t="s">
        <v>1353</v>
      </c>
      <c r="H2166" s="308" t="str">
        <f>CONCATENATE("AR-",G2166,"-",I2166)</f>
        <v>AR-AMN-1</v>
      </c>
      <c r="I2166" s="661">
        <v>1</v>
      </c>
      <c r="J2166" s="197">
        <v>1</v>
      </c>
      <c r="K2166" s="232"/>
      <c r="L2166" s="234"/>
      <c r="M2166" s="197"/>
      <c r="N2166" s="197"/>
      <c r="O2166" s="197"/>
      <c r="P2166" s="197"/>
      <c r="Q2166" s="234"/>
      <c r="R2166" s="197"/>
      <c r="S2166" s="197"/>
      <c r="T2166" s="197"/>
      <c r="U2166" s="197"/>
    </row>
    <row r="2167" spans="1:21" s="233" customFormat="1" ht="3" hidden="1" customHeight="1" outlineLevel="2">
      <c r="A2167" s="681"/>
      <c r="B2167" s="299"/>
      <c r="C2167" s="304"/>
      <c r="D2167" s="685"/>
      <c r="E2167" s="306" t="s">
        <v>277</v>
      </c>
      <c r="F2167" s="307"/>
      <c r="G2167" s="297"/>
      <c r="H2167" s="308"/>
      <c r="I2167" s="661"/>
      <c r="J2167" s="197"/>
      <c r="K2167" s="232"/>
      <c r="L2167" s="234"/>
      <c r="M2167" s="197"/>
      <c r="N2167" s="197"/>
      <c r="O2167" s="197"/>
      <c r="P2167" s="197"/>
      <c r="Q2167" s="234"/>
      <c r="R2167" s="197"/>
      <c r="S2167" s="197"/>
      <c r="T2167" s="197"/>
      <c r="U2167" s="197"/>
    </row>
    <row r="2168" spans="1:21" s="233" customFormat="1" ht="14.25" hidden="1" customHeight="1" outlineLevel="2">
      <c r="A2168" s="681"/>
      <c r="B2168" s="299" t="s">
        <v>1284</v>
      </c>
      <c r="C2168" s="304"/>
      <c r="D2168" s="685"/>
      <c r="E2168" s="306" t="s">
        <v>277</v>
      </c>
      <c r="F2168" s="307"/>
      <c r="G2168" s="297"/>
      <c r="H2168" s="308"/>
      <c r="I2168" s="661"/>
      <c r="J2168" s="197"/>
      <c r="K2168" s="232"/>
      <c r="L2168" s="234"/>
      <c r="M2168" s="197"/>
      <c r="N2168" s="197"/>
      <c r="O2168" s="197"/>
      <c r="P2168" s="197"/>
      <c r="Q2168" s="234"/>
      <c r="R2168" s="197"/>
      <c r="S2168" s="197"/>
      <c r="T2168" s="197"/>
      <c r="U2168" s="197"/>
    </row>
    <row r="2169" spans="1:21" s="233" customFormat="1" ht="13.5" hidden="1" outlineLevel="2">
      <c r="A2169" s="681"/>
      <c r="B2169" s="299" t="s">
        <v>268</v>
      </c>
      <c r="C2169" s="304" t="s">
        <v>1313</v>
      </c>
      <c r="D2169" s="685" t="s">
        <v>279</v>
      </c>
      <c r="E2169" s="306" t="s">
        <v>491</v>
      </c>
      <c r="F2169" s="307"/>
      <c r="G2169" s="297" t="s">
        <v>1353</v>
      </c>
      <c r="H2169" s="308" t="str">
        <f t="shared" ref="H2169:H2175" si="114">CONCATENATE("AR-",G2169,"-",I2169)</f>
        <v>AR-AMN-1</v>
      </c>
      <c r="I2169" s="661">
        <v>1</v>
      </c>
      <c r="J2169" s="197">
        <v>1</v>
      </c>
      <c r="K2169" s="232"/>
      <c r="L2169" s="234"/>
      <c r="M2169" s="197"/>
      <c r="N2169" s="197"/>
      <c r="O2169" s="197"/>
      <c r="P2169" s="197"/>
      <c r="Q2169" s="234"/>
      <c r="R2169" s="197"/>
      <c r="S2169" s="197"/>
      <c r="T2169" s="197"/>
      <c r="U2169" s="197"/>
    </row>
    <row r="2170" spans="1:21" s="233" customFormat="1" ht="13.5" hidden="1" outlineLevel="2">
      <c r="A2170" s="681"/>
      <c r="B2170" s="299" t="s">
        <v>268</v>
      </c>
      <c r="C2170" s="304" t="s">
        <v>1313</v>
      </c>
      <c r="D2170" s="685" t="s">
        <v>355</v>
      </c>
      <c r="E2170" s="306" t="s">
        <v>492</v>
      </c>
      <c r="F2170" s="307"/>
      <c r="G2170" s="297" t="s">
        <v>1353</v>
      </c>
      <c r="H2170" s="308" t="str">
        <f t="shared" si="114"/>
        <v>AR-AMN-1</v>
      </c>
      <c r="I2170" s="661">
        <v>1</v>
      </c>
      <c r="J2170" s="197">
        <v>1</v>
      </c>
      <c r="K2170" s="232"/>
      <c r="L2170" s="234"/>
      <c r="M2170" s="197"/>
      <c r="N2170" s="197"/>
      <c r="O2170" s="197"/>
      <c r="P2170" s="197"/>
      <c r="Q2170" s="234"/>
      <c r="R2170" s="197"/>
      <c r="S2170" s="197"/>
      <c r="T2170" s="197"/>
      <c r="U2170" s="197"/>
    </row>
    <row r="2171" spans="1:21" s="233" customFormat="1" ht="13.5" hidden="1" outlineLevel="2">
      <c r="A2171" s="681"/>
      <c r="B2171" s="299" t="s">
        <v>268</v>
      </c>
      <c r="C2171" s="304" t="s">
        <v>1313</v>
      </c>
      <c r="D2171" s="685" t="s">
        <v>355</v>
      </c>
      <c r="E2171" s="306" t="s">
        <v>1285</v>
      </c>
      <c r="F2171" s="307"/>
      <c r="G2171" s="297" t="s">
        <v>1353</v>
      </c>
      <c r="H2171" s="308" t="str">
        <f t="shared" si="114"/>
        <v>AR-AMN-1</v>
      </c>
      <c r="I2171" s="661">
        <v>1</v>
      </c>
      <c r="J2171" s="197">
        <v>1</v>
      </c>
      <c r="K2171" s="232"/>
      <c r="L2171" s="234"/>
      <c r="M2171" s="197"/>
      <c r="N2171" s="197"/>
      <c r="O2171" s="197"/>
      <c r="P2171" s="197"/>
      <c r="Q2171" s="234"/>
      <c r="R2171" s="197"/>
      <c r="S2171" s="197"/>
      <c r="T2171" s="197"/>
      <c r="U2171" s="197"/>
    </row>
    <row r="2172" spans="1:21" s="233" customFormat="1" ht="13.5" hidden="1" outlineLevel="2">
      <c r="A2172" s="681"/>
      <c r="B2172" s="299" t="s">
        <v>268</v>
      </c>
      <c r="C2172" s="304" t="s">
        <v>1313</v>
      </c>
      <c r="D2172" s="685" t="s">
        <v>355</v>
      </c>
      <c r="E2172" s="306" t="s">
        <v>1354</v>
      </c>
      <c r="F2172" s="307"/>
      <c r="G2172" s="297" t="s">
        <v>1353</v>
      </c>
      <c r="H2172" s="308" t="str">
        <f t="shared" si="114"/>
        <v>AR-AMN-1</v>
      </c>
      <c r="I2172" s="661">
        <v>1</v>
      </c>
      <c r="J2172" s="197">
        <v>1</v>
      </c>
      <c r="K2172" s="232"/>
      <c r="L2172" s="237"/>
      <c r="Q2172" s="237"/>
    </row>
    <row r="2173" spans="1:21" s="233" customFormat="1" ht="13.5" hidden="1" outlineLevel="2">
      <c r="A2173" s="681"/>
      <c r="B2173" s="299" t="s">
        <v>268</v>
      </c>
      <c r="C2173" s="304" t="s">
        <v>1313</v>
      </c>
      <c r="D2173" s="685" t="s">
        <v>357</v>
      </c>
      <c r="E2173" s="306" t="s">
        <v>1355</v>
      </c>
      <c r="F2173" s="307"/>
      <c r="G2173" s="297" t="s">
        <v>1353</v>
      </c>
      <c r="H2173" s="308" t="str">
        <f t="shared" si="114"/>
        <v>AR-AMN-1</v>
      </c>
      <c r="I2173" s="661">
        <v>1</v>
      </c>
      <c r="J2173" s="197">
        <v>1</v>
      </c>
      <c r="K2173" s="232"/>
      <c r="L2173" s="237"/>
      <c r="Q2173" s="237"/>
    </row>
    <row r="2174" spans="1:21" s="233" customFormat="1" ht="13.5" hidden="1" outlineLevel="2">
      <c r="A2174" s="681"/>
      <c r="B2174" s="299" t="s">
        <v>268</v>
      </c>
      <c r="C2174" s="304" t="s">
        <v>1313</v>
      </c>
      <c r="D2174" s="685" t="s">
        <v>361</v>
      </c>
      <c r="E2174" s="306" t="s">
        <v>1356</v>
      </c>
      <c r="F2174" s="307"/>
      <c r="G2174" s="297" t="s">
        <v>1353</v>
      </c>
      <c r="H2174" s="308" t="str">
        <f t="shared" si="114"/>
        <v>AR-AMN-1</v>
      </c>
      <c r="I2174" s="661">
        <v>1</v>
      </c>
      <c r="J2174" s="197">
        <v>1</v>
      </c>
      <c r="K2174" s="232"/>
      <c r="L2174" s="237"/>
      <c r="Q2174" s="237"/>
    </row>
    <row r="2175" spans="1:21" s="233" customFormat="1" ht="13.5" hidden="1" outlineLevel="2">
      <c r="A2175" s="681"/>
      <c r="B2175" s="299" t="s">
        <v>268</v>
      </c>
      <c r="C2175" s="304" t="s">
        <v>1313</v>
      </c>
      <c r="D2175" s="685" t="s">
        <v>496</v>
      </c>
      <c r="E2175" s="306" t="s">
        <v>1357</v>
      </c>
      <c r="F2175" s="307"/>
      <c r="G2175" s="297" t="s">
        <v>1353</v>
      </c>
      <c r="H2175" s="308" t="str">
        <f t="shared" si="114"/>
        <v>AR-AMN-1</v>
      </c>
      <c r="I2175" s="661">
        <v>1</v>
      </c>
      <c r="J2175" s="197">
        <v>1</v>
      </c>
      <c r="K2175" s="232"/>
      <c r="L2175" s="237"/>
      <c r="Q2175" s="237"/>
    </row>
    <row r="2176" spans="1:21" s="233" customFormat="1" ht="3" hidden="1" customHeight="1" outlineLevel="2">
      <c r="A2176" s="681"/>
      <c r="B2176" s="299"/>
      <c r="C2176" s="304"/>
      <c r="D2176" s="685"/>
      <c r="E2176" s="306" t="s">
        <v>277</v>
      </c>
      <c r="F2176" s="307"/>
      <c r="G2176" s="297"/>
      <c r="H2176" s="308"/>
      <c r="I2176" s="661"/>
      <c r="J2176" s="197"/>
      <c r="K2176" s="232"/>
      <c r="L2176" s="237"/>
      <c r="Q2176" s="237"/>
    </row>
    <row r="2177" spans="1:17" s="233" customFormat="1" ht="14.25" hidden="1" customHeight="1" outlineLevel="2">
      <c r="A2177" s="681"/>
      <c r="B2177" s="299" t="s">
        <v>1286</v>
      </c>
      <c r="C2177" s="304"/>
      <c r="D2177" s="685"/>
      <c r="E2177" s="306" t="s">
        <v>277</v>
      </c>
      <c r="F2177" s="307"/>
      <c r="G2177" s="297"/>
      <c r="H2177" s="308"/>
      <c r="I2177" s="661"/>
      <c r="J2177" s="197"/>
      <c r="K2177" s="232"/>
      <c r="L2177" s="237"/>
      <c r="Q2177" s="237"/>
    </row>
    <row r="2178" spans="1:17" s="233" customFormat="1" ht="13.5" hidden="1" outlineLevel="2">
      <c r="A2178" s="681"/>
      <c r="B2178" s="299" t="s">
        <v>268</v>
      </c>
      <c r="C2178" s="304" t="s">
        <v>1313</v>
      </c>
      <c r="D2178" s="685" t="s">
        <v>374</v>
      </c>
      <c r="E2178" s="306" t="s">
        <v>1358</v>
      </c>
      <c r="F2178" s="307"/>
      <c r="G2178" s="297" t="s">
        <v>1353</v>
      </c>
      <c r="H2178" s="308" t="str">
        <f>CONCATENATE("AR-",G2178,"-",I2178)</f>
        <v>AR-AMN-1</v>
      </c>
      <c r="I2178" s="661">
        <v>1</v>
      </c>
      <c r="J2178" s="197">
        <v>1</v>
      </c>
      <c r="K2178" s="232"/>
      <c r="L2178" s="237"/>
      <c r="Q2178" s="237"/>
    </row>
    <row r="2179" spans="1:17" s="233" customFormat="1" ht="13.5" hidden="1" outlineLevel="2">
      <c r="A2179" s="681"/>
      <c r="B2179" s="299" t="s">
        <v>268</v>
      </c>
      <c r="C2179" s="304" t="s">
        <v>1313</v>
      </c>
      <c r="D2179" s="685" t="s">
        <v>376</v>
      </c>
      <c r="E2179" s="306" t="s">
        <v>1359</v>
      </c>
      <c r="F2179" s="307"/>
      <c r="G2179" s="297" t="s">
        <v>1353</v>
      </c>
      <c r="H2179" s="308" t="str">
        <f>CONCATENATE("AR-",G2179,"-",I2179)</f>
        <v>AR-AMN-1</v>
      </c>
      <c r="I2179" s="661">
        <v>1</v>
      </c>
      <c r="J2179" s="197">
        <v>1</v>
      </c>
      <c r="K2179" s="232"/>
      <c r="L2179" s="237"/>
      <c r="Q2179" s="237"/>
    </row>
    <row r="2180" spans="1:17" s="233" customFormat="1" ht="13.5" hidden="1" outlineLevel="2">
      <c r="A2180" s="681"/>
      <c r="B2180" s="299" t="s">
        <v>268</v>
      </c>
      <c r="C2180" s="304" t="s">
        <v>1313</v>
      </c>
      <c r="D2180" s="685" t="s">
        <v>380</v>
      </c>
      <c r="E2180" s="306" t="s">
        <v>1360</v>
      </c>
      <c r="F2180" s="307"/>
      <c r="G2180" s="297" t="s">
        <v>1353</v>
      </c>
      <c r="H2180" s="308" t="str">
        <f>CONCATENATE("AR-",G2180,"-",I2180)</f>
        <v>AR-AMN-1</v>
      </c>
      <c r="I2180" s="661">
        <v>1</v>
      </c>
      <c r="J2180" s="197">
        <v>1</v>
      </c>
      <c r="K2180" s="232"/>
      <c r="L2180" s="237"/>
      <c r="Q2180" s="237"/>
    </row>
    <row r="2181" spans="1:17" s="233" customFormat="1" ht="13.5" hidden="1" outlineLevel="2">
      <c r="A2181" s="681"/>
      <c r="B2181" s="299" t="s">
        <v>268</v>
      </c>
      <c r="C2181" s="304" t="s">
        <v>1313</v>
      </c>
      <c r="D2181" s="685" t="s">
        <v>382</v>
      </c>
      <c r="E2181" s="306" t="s">
        <v>1361</v>
      </c>
      <c r="F2181" s="307"/>
      <c r="G2181" s="297" t="s">
        <v>1353</v>
      </c>
      <c r="H2181" s="308" t="str">
        <f>CONCATENATE("AR-",G2181,"-",I2181)</f>
        <v>AR-AMN-1</v>
      </c>
      <c r="I2181" s="661">
        <v>1</v>
      </c>
      <c r="J2181" s="197">
        <v>1</v>
      </c>
      <c r="K2181" s="232"/>
      <c r="L2181" s="237"/>
      <c r="Q2181" s="237"/>
    </row>
    <row r="2182" spans="1:17" s="233" customFormat="1" ht="3" hidden="1" customHeight="1" outlineLevel="2">
      <c r="A2182" s="681"/>
      <c r="B2182" s="299"/>
      <c r="C2182" s="304"/>
      <c r="D2182" s="685"/>
      <c r="E2182" s="306" t="s">
        <v>277</v>
      </c>
      <c r="F2182" s="307"/>
      <c r="G2182" s="297"/>
      <c r="H2182" s="308"/>
      <c r="I2182" s="661"/>
      <c r="J2182" s="197"/>
      <c r="K2182" s="232"/>
      <c r="L2182" s="237"/>
      <c r="Q2182" s="237"/>
    </row>
    <row r="2183" spans="1:17" s="233" customFormat="1" ht="14.25" hidden="1" customHeight="1" outlineLevel="2">
      <c r="A2183" s="681"/>
      <c r="B2183" s="299" t="s">
        <v>1288</v>
      </c>
      <c r="C2183" s="304"/>
      <c r="D2183" s="685"/>
      <c r="E2183" s="306" t="s">
        <v>277</v>
      </c>
      <c r="F2183" s="307"/>
      <c r="G2183" s="297"/>
      <c r="H2183" s="308"/>
      <c r="I2183" s="661"/>
      <c r="J2183" s="197"/>
      <c r="K2183" s="232"/>
      <c r="L2183" s="237"/>
      <c r="Q2183" s="237"/>
    </row>
    <row r="2184" spans="1:17" s="233" customFormat="1" ht="13.5" hidden="1" outlineLevel="2">
      <c r="A2184" s="681"/>
      <c r="B2184" s="299" t="s">
        <v>268</v>
      </c>
      <c r="C2184" s="304" t="s">
        <v>1313</v>
      </c>
      <c r="D2184" s="685" t="s">
        <v>701</v>
      </c>
      <c r="E2184" s="306" t="s">
        <v>1289</v>
      </c>
      <c r="F2184" s="307"/>
      <c r="G2184" s="297" t="s">
        <v>1353</v>
      </c>
      <c r="H2184" s="308" t="str">
        <f>CONCATENATE("AR-",G2184,"-",I2184)</f>
        <v>AR-AMN-1</v>
      </c>
      <c r="I2184" s="661">
        <v>1</v>
      </c>
      <c r="J2184" s="197">
        <v>1</v>
      </c>
      <c r="K2184" s="232"/>
      <c r="L2184" s="237"/>
      <c r="Q2184" s="237"/>
    </row>
    <row r="2185" spans="1:17" s="233" customFormat="1" ht="13.5" hidden="1" outlineLevel="2">
      <c r="A2185" s="681"/>
      <c r="B2185" s="299" t="s">
        <v>268</v>
      </c>
      <c r="C2185" s="304" t="s">
        <v>1313</v>
      </c>
      <c r="D2185" s="685" t="s">
        <v>1062</v>
      </c>
      <c r="E2185" s="306" t="s">
        <v>1290</v>
      </c>
      <c r="F2185" s="307"/>
      <c r="G2185" s="297" t="s">
        <v>1353</v>
      </c>
      <c r="H2185" s="308" t="str">
        <f>CONCATENATE("AR-",G2185,"-",I2185)</f>
        <v>AR-AMN-1</v>
      </c>
      <c r="I2185" s="661">
        <v>1</v>
      </c>
      <c r="J2185" s="197">
        <v>1</v>
      </c>
      <c r="K2185" s="232"/>
      <c r="L2185" s="237"/>
      <c r="Q2185" s="237"/>
    </row>
    <row r="2186" spans="1:17" s="233" customFormat="1" ht="13.5" hidden="1" outlineLevel="2">
      <c r="A2186" s="681"/>
      <c r="B2186" s="299" t="s">
        <v>268</v>
      </c>
      <c r="C2186" s="304" t="s">
        <v>1313</v>
      </c>
      <c r="D2186" s="685" t="s">
        <v>1291</v>
      </c>
      <c r="E2186" s="306" t="s">
        <v>1362</v>
      </c>
      <c r="F2186" s="307"/>
      <c r="G2186" s="297" t="s">
        <v>1353</v>
      </c>
      <c r="H2186" s="308" t="str">
        <f>CONCATENATE("AR-",G2186,"-",I2186)</f>
        <v>AR-AMN-1</v>
      </c>
      <c r="I2186" s="661">
        <v>1</v>
      </c>
      <c r="J2186" s="197">
        <v>1</v>
      </c>
      <c r="K2186" s="232" t="s">
        <v>776</v>
      </c>
      <c r="L2186" s="237"/>
      <c r="Q2186" s="237"/>
    </row>
    <row r="2187" spans="1:17" s="233" customFormat="1" ht="3" hidden="1" customHeight="1" outlineLevel="2">
      <c r="A2187" s="681"/>
      <c r="B2187" s="299"/>
      <c r="C2187" s="304"/>
      <c r="D2187" s="685"/>
      <c r="E2187" s="306" t="s">
        <v>277</v>
      </c>
      <c r="F2187" s="307"/>
      <c r="G2187" s="297"/>
      <c r="H2187" s="308"/>
      <c r="I2187" s="661"/>
      <c r="J2187" s="197"/>
      <c r="K2187" s="232"/>
      <c r="L2187" s="237"/>
      <c r="Q2187" s="237"/>
    </row>
    <row r="2188" spans="1:17" s="233" customFormat="1" ht="14.25" hidden="1" customHeight="1" outlineLevel="2">
      <c r="A2188" s="681"/>
      <c r="B2188" s="299" t="s">
        <v>1293</v>
      </c>
      <c r="C2188" s="304"/>
      <c r="D2188" s="685"/>
      <c r="E2188" s="306" t="s">
        <v>277</v>
      </c>
      <c r="F2188" s="307"/>
      <c r="G2188" s="297"/>
      <c r="H2188" s="308"/>
      <c r="I2188" s="661"/>
      <c r="J2188" s="197"/>
      <c r="L2188" s="237"/>
      <c r="Q2188" s="237"/>
    </row>
    <row r="2189" spans="1:17" s="233" customFormat="1" ht="13.5" hidden="1" outlineLevel="2">
      <c r="A2189" s="681"/>
      <c r="B2189" s="299" t="s">
        <v>268</v>
      </c>
      <c r="C2189" s="304" t="s">
        <v>1313</v>
      </c>
      <c r="D2189" s="685">
        <v>1401</v>
      </c>
      <c r="E2189" s="306" t="s">
        <v>1295</v>
      </c>
      <c r="F2189" s="307"/>
      <c r="G2189" s="297" t="s">
        <v>1353</v>
      </c>
      <c r="H2189" s="308" t="str">
        <f t="shared" ref="H2189:H2198" si="115">CONCATENATE("AR-",G2189,"-",I2189)</f>
        <v>AR-AMN-1</v>
      </c>
      <c r="I2189" s="661">
        <v>1</v>
      </c>
      <c r="J2189" s="197">
        <v>1</v>
      </c>
      <c r="L2189" s="237"/>
      <c r="Q2189" s="237"/>
    </row>
    <row r="2190" spans="1:17" s="233" customFormat="1" ht="13.5" hidden="1" outlineLevel="2">
      <c r="A2190" s="681"/>
      <c r="B2190" s="299" t="s">
        <v>268</v>
      </c>
      <c r="C2190" s="304" t="s">
        <v>1313</v>
      </c>
      <c r="D2190" s="685" t="s">
        <v>1363</v>
      </c>
      <c r="E2190" s="306" t="s">
        <v>1364</v>
      </c>
      <c r="F2190" s="307"/>
      <c r="G2190" s="297" t="s">
        <v>1353</v>
      </c>
      <c r="H2190" s="308" t="str">
        <f t="shared" si="115"/>
        <v>AR-AMN-2</v>
      </c>
      <c r="I2190" s="661">
        <v>2</v>
      </c>
      <c r="J2190" s="197">
        <v>1</v>
      </c>
      <c r="L2190" s="237"/>
      <c r="Q2190" s="237"/>
    </row>
    <row r="2191" spans="1:17" s="233" customFormat="1" ht="13.5" hidden="1" outlineLevel="2">
      <c r="A2191" s="681"/>
      <c r="B2191" s="299" t="s">
        <v>268</v>
      </c>
      <c r="C2191" s="304" t="s">
        <v>1313</v>
      </c>
      <c r="D2191" s="685">
        <v>1402</v>
      </c>
      <c r="E2191" s="306" t="s">
        <v>1294</v>
      </c>
      <c r="F2191" s="307"/>
      <c r="G2191" s="297" t="s">
        <v>1353</v>
      </c>
      <c r="H2191" s="308" t="str">
        <f t="shared" si="115"/>
        <v>AR-AMN-1</v>
      </c>
      <c r="I2191" s="661">
        <v>1</v>
      </c>
      <c r="J2191" s="197">
        <v>1</v>
      </c>
      <c r="L2191" s="237"/>
      <c r="Q2191" s="237"/>
    </row>
    <row r="2192" spans="1:17" s="233" customFormat="1" ht="13.5" hidden="1" outlineLevel="2">
      <c r="A2192" s="681"/>
      <c r="B2192" s="299" t="s">
        <v>268</v>
      </c>
      <c r="C2192" s="304" t="s">
        <v>1313</v>
      </c>
      <c r="D2192" s="685" t="s">
        <v>1365</v>
      </c>
      <c r="E2192" s="306" t="s">
        <v>1366</v>
      </c>
      <c r="F2192" s="307"/>
      <c r="G2192" s="297" t="s">
        <v>1353</v>
      </c>
      <c r="H2192" s="308" t="str">
        <f t="shared" si="115"/>
        <v>AR-AMN-2</v>
      </c>
      <c r="I2192" s="661">
        <v>2</v>
      </c>
      <c r="J2192" s="197">
        <v>1</v>
      </c>
      <c r="L2192" s="237"/>
      <c r="Q2192" s="237"/>
    </row>
    <row r="2193" spans="1:17" s="233" customFormat="1" ht="13.5" hidden="1" outlineLevel="2">
      <c r="A2193" s="681"/>
      <c r="B2193" s="299" t="s">
        <v>268</v>
      </c>
      <c r="C2193" s="304" t="s">
        <v>1313</v>
      </c>
      <c r="D2193" s="685" t="s">
        <v>1367</v>
      </c>
      <c r="E2193" s="306" t="s">
        <v>1368</v>
      </c>
      <c r="F2193" s="307"/>
      <c r="G2193" s="297" t="s">
        <v>1353</v>
      </c>
      <c r="H2193" s="308" t="str">
        <f t="shared" si="115"/>
        <v>AR-AMN-2</v>
      </c>
      <c r="I2193" s="661">
        <v>2</v>
      </c>
      <c r="J2193" s="197">
        <v>1</v>
      </c>
      <c r="L2193" s="237"/>
      <c r="Q2193" s="237"/>
    </row>
    <row r="2194" spans="1:17" s="233" customFormat="1" ht="13.5" hidden="1" outlineLevel="2">
      <c r="A2194" s="681"/>
      <c r="B2194" s="299" t="s">
        <v>268</v>
      </c>
      <c r="C2194" s="304" t="s">
        <v>1313</v>
      </c>
      <c r="D2194" s="685">
        <v>1403</v>
      </c>
      <c r="E2194" s="306" t="s">
        <v>1369</v>
      </c>
      <c r="F2194" s="307"/>
      <c r="G2194" s="297" t="s">
        <v>1353</v>
      </c>
      <c r="H2194" s="308" t="str">
        <f t="shared" si="115"/>
        <v>AR-AMN-3</v>
      </c>
      <c r="I2194" s="661">
        <v>3</v>
      </c>
      <c r="J2194" s="197">
        <v>1</v>
      </c>
      <c r="L2194" s="237"/>
      <c r="Q2194" s="237"/>
    </row>
    <row r="2195" spans="1:17" s="233" customFormat="1" ht="13.5" hidden="1" outlineLevel="2">
      <c r="A2195" s="681"/>
      <c r="B2195" s="299" t="s">
        <v>268</v>
      </c>
      <c r="C2195" s="304" t="s">
        <v>1313</v>
      </c>
      <c r="D2195" s="685" t="s">
        <v>1370</v>
      </c>
      <c r="E2195" s="306" t="s">
        <v>1371</v>
      </c>
      <c r="F2195" s="307"/>
      <c r="G2195" s="297" t="s">
        <v>1353</v>
      </c>
      <c r="H2195" s="308" t="str">
        <f t="shared" si="115"/>
        <v>AR-AMN-3</v>
      </c>
      <c r="I2195" s="661">
        <v>3</v>
      </c>
      <c r="J2195" s="197">
        <v>1</v>
      </c>
      <c r="L2195" s="237"/>
      <c r="Q2195" s="237"/>
    </row>
    <row r="2196" spans="1:17" s="233" customFormat="1" ht="13.5" hidden="1" outlineLevel="2">
      <c r="A2196" s="681"/>
      <c r="B2196" s="299" t="s">
        <v>268</v>
      </c>
      <c r="C2196" s="304" t="s">
        <v>1313</v>
      </c>
      <c r="D2196" s="685" t="s">
        <v>1372</v>
      </c>
      <c r="E2196" s="306" t="s">
        <v>1373</v>
      </c>
      <c r="F2196" s="307"/>
      <c r="G2196" s="297" t="s">
        <v>1353</v>
      </c>
      <c r="H2196" s="308" t="str">
        <f t="shared" si="115"/>
        <v>AR-AMN-3</v>
      </c>
      <c r="I2196" s="661">
        <v>3</v>
      </c>
      <c r="J2196" s="197">
        <v>1</v>
      </c>
      <c r="L2196" s="237"/>
      <c r="Q2196" s="237"/>
    </row>
    <row r="2197" spans="1:17" s="233" customFormat="1" ht="13.5" hidden="1" outlineLevel="2">
      <c r="A2197" s="681"/>
      <c r="B2197" s="299" t="s">
        <v>268</v>
      </c>
      <c r="C2197" s="304" t="s">
        <v>1313</v>
      </c>
      <c r="D2197" s="685">
        <v>1404</v>
      </c>
      <c r="E2197" s="306" t="s">
        <v>1297</v>
      </c>
      <c r="F2197" s="307"/>
      <c r="G2197" s="297" t="s">
        <v>1353</v>
      </c>
      <c r="H2197" s="308" t="str">
        <f t="shared" si="115"/>
        <v>AR-AMN-2</v>
      </c>
      <c r="I2197" s="661">
        <v>2</v>
      </c>
      <c r="J2197" s="197">
        <v>1</v>
      </c>
      <c r="L2197" s="237"/>
      <c r="Q2197" s="237"/>
    </row>
    <row r="2198" spans="1:17" s="233" customFormat="1" ht="13.5" hidden="1" outlineLevel="2">
      <c r="A2198" s="681"/>
      <c r="B2198" s="299" t="s">
        <v>268</v>
      </c>
      <c r="C2198" s="304" t="s">
        <v>1313</v>
      </c>
      <c r="D2198" s="685" t="s">
        <v>396</v>
      </c>
      <c r="E2198" s="306" t="s">
        <v>1298</v>
      </c>
      <c r="F2198" s="307"/>
      <c r="G2198" s="297" t="s">
        <v>1353</v>
      </c>
      <c r="H2198" s="308" t="str">
        <f t="shared" si="115"/>
        <v>AR-AMN-2</v>
      </c>
      <c r="I2198" s="661">
        <v>2</v>
      </c>
      <c r="J2198" s="197">
        <v>1</v>
      </c>
      <c r="L2198" s="237"/>
      <c r="Q2198" s="237"/>
    </row>
    <row r="2199" spans="1:17" s="233" customFormat="1" ht="3" hidden="1" customHeight="1" outlineLevel="2">
      <c r="A2199" s="681"/>
      <c r="B2199" s="299"/>
      <c r="C2199" s="304"/>
      <c r="D2199" s="685"/>
      <c r="E2199" s="306" t="s">
        <v>277</v>
      </c>
      <c r="F2199" s="307"/>
      <c r="G2199" s="297"/>
      <c r="H2199" s="308"/>
      <c r="I2199" s="661"/>
      <c r="J2199" s="197"/>
      <c r="L2199" s="237"/>
      <c r="Q2199" s="237"/>
    </row>
    <row r="2200" spans="1:17" s="233" customFormat="1" ht="14.25" hidden="1" customHeight="1" outlineLevel="2">
      <c r="A2200" s="681"/>
      <c r="B2200" s="299" t="s">
        <v>1374</v>
      </c>
      <c r="C2200" s="304"/>
      <c r="D2200" s="685"/>
      <c r="E2200" s="306" t="s">
        <v>277</v>
      </c>
      <c r="F2200" s="307"/>
      <c r="G2200" s="297"/>
      <c r="H2200" s="308"/>
      <c r="I2200" s="661"/>
      <c r="J2200" s="197"/>
      <c r="L2200" s="237"/>
      <c r="Q2200" s="237"/>
    </row>
    <row r="2201" spans="1:17" s="233" customFormat="1" ht="13.5" hidden="1" outlineLevel="2">
      <c r="A2201" s="681"/>
      <c r="B2201" s="299" t="s">
        <v>268</v>
      </c>
      <c r="C2201" s="304" t="s">
        <v>1313</v>
      </c>
      <c r="D2201" s="685" t="s">
        <v>291</v>
      </c>
      <c r="E2201" s="306" t="s">
        <v>1375</v>
      </c>
      <c r="F2201" s="307"/>
      <c r="G2201" s="297" t="s">
        <v>1353</v>
      </c>
      <c r="H2201" s="308" t="str">
        <f t="shared" ref="H2201:H2206" si="116">CONCATENATE("AR-",G2201,"-",I2201)</f>
        <v>AR-AMN-2</v>
      </c>
      <c r="I2201" s="661">
        <v>2</v>
      </c>
      <c r="J2201" s="197">
        <v>1</v>
      </c>
      <c r="L2201" s="237"/>
      <c r="Q2201" s="237"/>
    </row>
    <row r="2202" spans="1:17" s="233" customFormat="1" ht="13.5" hidden="1" outlineLevel="2">
      <c r="A2202" s="681"/>
      <c r="B2202" s="299" t="s">
        <v>268</v>
      </c>
      <c r="C2202" s="304" t="s">
        <v>1313</v>
      </c>
      <c r="D2202" s="685" t="s">
        <v>950</v>
      </c>
      <c r="E2202" s="306" t="s">
        <v>1376</v>
      </c>
      <c r="F2202" s="307"/>
      <c r="G2202" s="297" t="s">
        <v>1353</v>
      </c>
      <c r="H2202" s="308" t="str">
        <f t="shared" si="116"/>
        <v>AR-AMN-2</v>
      </c>
      <c r="I2202" s="661">
        <v>2</v>
      </c>
      <c r="J2202" s="197">
        <v>1</v>
      </c>
      <c r="L2202" s="237"/>
      <c r="Q2202" s="237"/>
    </row>
    <row r="2203" spans="1:17" s="233" customFormat="1" ht="13.5" hidden="1" outlineLevel="2">
      <c r="A2203" s="681"/>
      <c r="B2203" s="299" t="s">
        <v>268</v>
      </c>
      <c r="C2203" s="304" t="s">
        <v>1313</v>
      </c>
      <c r="D2203" s="685" t="s">
        <v>1377</v>
      </c>
      <c r="E2203" s="306" t="s">
        <v>1378</v>
      </c>
      <c r="F2203" s="307"/>
      <c r="G2203" s="297" t="s">
        <v>1353</v>
      </c>
      <c r="H2203" s="308" t="str">
        <f t="shared" si="116"/>
        <v>AR-AMN-2</v>
      </c>
      <c r="I2203" s="661">
        <v>2</v>
      </c>
      <c r="J2203" s="197">
        <v>1</v>
      </c>
      <c r="L2203" s="237"/>
      <c r="Q2203" s="237"/>
    </row>
    <row r="2204" spans="1:17" s="233" customFormat="1" ht="13.5" hidden="1" outlineLevel="2">
      <c r="A2204" s="681"/>
      <c r="B2204" s="299" t="s">
        <v>268</v>
      </c>
      <c r="C2204" s="304" t="s">
        <v>1313</v>
      </c>
      <c r="D2204" s="685" t="s">
        <v>1379</v>
      </c>
      <c r="E2204" s="306" t="s">
        <v>1380</v>
      </c>
      <c r="F2204" s="307"/>
      <c r="G2204" s="297" t="s">
        <v>1353</v>
      </c>
      <c r="H2204" s="308" t="str">
        <f t="shared" si="116"/>
        <v>AR-AMN-2</v>
      </c>
      <c r="I2204" s="661">
        <v>2</v>
      </c>
      <c r="J2204" s="197">
        <v>1</v>
      </c>
      <c r="K2204" s="232"/>
      <c r="L2204" s="237"/>
      <c r="Q2204" s="237"/>
    </row>
    <row r="2205" spans="1:17" s="233" customFormat="1" ht="13.5" hidden="1" outlineLevel="2">
      <c r="A2205" s="681"/>
      <c r="B2205" s="299" t="s">
        <v>268</v>
      </c>
      <c r="C2205" s="304" t="s">
        <v>1313</v>
      </c>
      <c r="D2205" s="685" t="s">
        <v>1381</v>
      </c>
      <c r="E2205" s="306" t="s">
        <v>1376</v>
      </c>
      <c r="F2205" s="307"/>
      <c r="G2205" s="297" t="s">
        <v>1353</v>
      </c>
      <c r="H2205" s="308" t="str">
        <f t="shared" si="116"/>
        <v>AR-AMN-2</v>
      </c>
      <c r="I2205" s="661">
        <v>2</v>
      </c>
      <c r="J2205" s="197">
        <v>1</v>
      </c>
      <c r="K2205" s="232"/>
      <c r="L2205" s="237"/>
      <c r="Q2205" s="237"/>
    </row>
    <row r="2206" spans="1:17" s="233" customFormat="1" ht="13.5" hidden="1" outlineLevel="2">
      <c r="A2206" s="681"/>
      <c r="B2206" s="299" t="s">
        <v>268</v>
      </c>
      <c r="C2206" s="304" t="s">
        <v>1313</v>
      </c>
      <c r="D2206" s="685" t="s">
        <v>1382</v>
      </c>
      <c r="E2206" s="306" t="s">
        <v>1378</v>
      </c>
      <c r="F2206" s="307"/>
      <c r="G2206" s="297" t="s">
        <v>1353</v>
      </c>
      <c r="H2206" s="308" t="str">
        <f t="shared" si="116"/>
        <v>AR-AMN-2</v>
      </c>
      <c r="I2206" s="661">
        <v>2</v>
      </c>
      <c r="J2206" s="197">
        <v>1</v>
      </c>
      <c r="K2206" s="232"/>
      <c r="L2206" s="237"/>
      <c r="Q2206" s="237"/>
    </row>
    <row r="2207" spans="1:17" s="233" customFormat="1" ht="3" hidden="1" customHeight="1" outlineLevel="2">
      <c r="A2207" s="681"/>
      <c r="B2207" s="299"/>
      <c r="C2207" s="304"/>
      <c r="D2207" s="685"/>
      <c r="E2207" s="306" t="s">
        <v>277</v>
      </c>
      <c r="F2207" s="307"/>
      <c r="G2207" s="297"/>
      <c r="H2207" s="308"/>
      <c r="I2207" s="661"/>
      <c r="J2207" s="197"/>
      <c r="K2207" s="232"/>
      <c r="L2207" s="237"/>
      <c r="Q2207" s="237"/>
    </row>
    <row r="2208" spans="1:17" s="233" customFormat="1" ht="14.25" hidden="1" customHeight="1" outlineLevel="2">
      <c r="A2208" s="681"/>
      <c r="B2208" s="299" t="s">
        <v>1299</v>
      </c>
      <c r="C2208" s="304"/>
      <c r="D2208" s="685"/>
      <c r="E2208" s="306"/>
      <c r="F2208" s="307"/>
      <c r="G2208" s="297"/>
      <c r="H2208" s="308"/>
      <c r="I2208" s="661"/>
      <c r="J2208" s="197"/>
      <c r="K2208" s="232"/>
      <c r="L2208" s="237"/>
      <c r="Q2208" s="237"/>
    </row>
    <row r="2209" spans="1:17" s="233" customFormat="1" ht="13.5" hidden="1" outlineLevel="2">
      <c r="A2209" s="681"/>
      <c r="B2209" s="299" t="s">
        <v>268</v>
      </c>
      <c r="C2209" s="304" t="s">
        <v>1313</v>
      </c>
      <c r="D2209" s="685" t="s">
        <v>328</v>
      </c>
      <c r="E2209" s="306" t="s">
        <v>1300</v>
      </c>
      <c r="F2209" s="307"/>
      <c r="G2209" s="297" t="s">
        <v>1353</v>
      </c>
      <c r="H2209" s="308" t="str">
        <f>CONCATENATE("AR-",G2209,"-",I2209)</f>
        <v>AR-AMN-1</v>
      </c>
      <c r="I2209" s="661">
        <v>1</v>
      </c>
      <c r="J2209" s="197">
        <v>1</v>
      </c>
      <c r="K2209" s="232"/>
      <c r="L2209" s="237"/>
      <c r="Q2209" s="237"/>
    </row>
    <row r="2210" spans="1:17" s="233" customFormat="1" ht="3" hidden="1" customHeight="1" outlineLevel="2">
      <c r="A2210" s="681"/>
      <c r="B2210" s="299"/>
      <c r="C2210" s="304"/>
      <c r="D2210" s="685"/>
      <c r="E2210" s="306" t="s">
        <v>277</v>
      </c>
      <c r="F2210" s="307"/>
      <c r="G2210" s="297"/>
      <c r="H2210" s="308"/>
      <c r="I2210" s="661"/>
      <c r="J2210" s="197"/>
      <c r="K2210" s="232"/>
      <c r="L2210" s="237"/>
      <c r="Q2210" s="237"/>
    </row>
    <row r="2211" spans="1:17" s="233" customFormat="1" ht="14.25" hidden="1" customHeight="1" outlineLevel="2">
      <c r="A2211" s="681"/>
      <c r="B2211" s="299" t="s">
        <v>1301</v>
      </c>
      <c r="C2211" s="304"/>
      <c r="D2211" s="685"/>
      <c r="E2211" s="306" t="s">
        <v>277</v>
      </c>
      <c r="F2211" s="307"/>
      <c r="G2211" s="297"/>
      <c r="H2211" s="308"/>
      <c r="I2211" s="661"/>
      <c r="J2211" s="197"/>
      <c r="K2211" s="232"/>
      <c r="L2211" s="237"/>
      <c r="Q2211" s="237"/>
    </row>
    <row r="2212" spans="1:17" s="233" customFormat="1" ht="13.5" hidden="1" outlineLevel="2">
      <c r="A2212" s="681"/>
      <c r="B2212" s="299" t="s">
        <v>268</v>
      </c>
      <c r="C2212" s="304" t="s">
        <v>1313</v>
      </c>
      <c r="D2212" s="685" t="s">
        <v>335</v>
      </c>
      <c r="E2212" s="306" t="s">
        <v>1302</v>
      </c>
      <c r="F2212" s="307"/>
      <c r="G2212" s="297" t="s">
        <v>1353</v>
      </c>
      <c r="H2212" s="308" t="str">
        <f>CONCATENATE("AR-",G2212,"-",I2212)</f>
        <v>AR-AMN-1</v>
      </c>
      <c r="I2212" s="661">
        <v>1</v>
      </c>
      <c r="J2212" s="197">
        <v>1</v>
      </c>
      <c r="K2212" s="232"/>
      <c r="L2212" s="237"/>
      <c r="Q2212" s="237"/>
    </row>
    <row r="2213" spans="1:17" s="233" customFormat="1" ht="13.5" hidden="1" outlineLevel="2">
      <c r="A2213" s="681"/>
      <c r="B2213" s="299" t="s">
        <v>268</v>
      </c>
      <c r="C2213" s="304" t="s">
        <v>1313</v>
      </c>
      <c r="D2213" s="685" t="s">
        <v>337</v>
      </c>
      <c r="E2213" s="306" t="s">
        <v>1302</v>
      </c>
      <c r="F2213" s="307"/>
      <c r="G2213" s="297" t="s">
        <v>1353</v>
      </c>
      <c r="H2213" s="308" t="str">
        <f>CONCATENATE("AR-",G2213,"-",I2213)</f>
        <v>AR-AMN-1</v>
      </c>
      <c r="I2213" s="661">
        <v>1</v>
      </c>
      <c r="J2213" s="197">
        <v>1</v>
      </c>
      <c r="K2213" s="232"/>
      <c r="L2213" s="237"/>
      <c r="Q2213" s="237"/>
    </row>
    <row r="2214" spans="1:17" s="233" customFormat="1" ht="13.5" hidden="1" outlineLevel="2">
      <c r="A2214" s="681"/>
      <c r="B2214" s="299" t="s">
        <v>268</v>
      </c>
      <c r="C2214" s="304" t="s">
        <v>1313</v>
      </c>
      <c r="D2214" s="685" t="s">
        <v>1383</v>
      </c>
      <c r="E2214" s="306" t="s">
        <v>1302</v>
      </c>
      <c r="F2214" s="307"/>
      <c r="G2214" s="297" t="s">
        <v>1353</v>
      </c>
      <c r="H2214" s="308" t="str">
        <f>CONCATENATE("AR-",G2214,"-",I2214)</f>
        <v>AR-AMN-1</v>
      </c>
      <c r="I2214" s="661">
        <v>1</v>
      </c>
      <c r="J2214" s="197">
        <v>1</v>
      </c>
      <c r="K2214" s="232"/>
      <c r="L2214" s="237"/>
      <c r="Q2214" s="237"/>
    </row>
    <row r="2215" spans="1:17" s="233" customFormat="1" ht="3" hidden="1" customHeight="1" outlineLevel="2">
      <c r="A2215" s="681"/>
      <c r="B2215" s="299"/>
      <c r="C2215" s="304"/>
      <c r="D2215" s="685"/>
      <c r="E2215" s="306" t="s">
        <v>277</v>
      </c>
      <c r="F2215" s="307"/>
      <c r="G2215" s="297"/>
      <c r="H2215" s="308"/>
      <c r="I2215" s="661"/>
      <c r="J2215" s="197"/>
      <c r="K2215" s="232"/>
      <c r="L2215" s="237"/>
      <c r="Q2215" s="237"/>
    </row>
    <row r="2216" spans="1:17" s="233" customFormat="1" ht="13.5" hidden="1" outlineLevel="2">
      <c r="A2216" s="681"/>
      <c r="B2216" s="299" t="s">
        <v>1384</v>
      </c>
      <c r="C2216" s="304"/>
      <c r="D2216" s="685"/>
      <c r="E2216" s="306"/>
      <c r="F2216" s="307"/>
      <c r="G2216" s="297"/>
      <c r="H2216" s="308"/>
      <c r="I2216" s="661"/>
      <c r="J2216" s="197"/>
      <c r="K2216" s="232"/>
      <c r="L2216" s="237"/>
      <c r="Q2216" s="237"/>
    </row>
    <row r="2217" spans="1:17" s="233" customFormat="1" ht="13.5" hidden="1" outlineLevel="2">
      <c r="A2217" s="681"/>
      <c r="B2217" s="299" t="s">
        <v>268</v>
      </c>
      <c r="C2217" s="304" t="s">
        <v>1313</v>
      </c>
      <c r="D2217" s="685">
        <v>4003</v>
      </c>
      <c r="E2217" s="306" t="s">
        <v>1385</v>
      </c>
      <c r="F2217" s="307"/>
      <c r="G2217" s="297" t="s">
        <v>1353</v>
      </c>
      <c r="H2217" s="308" t="str">
        <f t="shared" ref="H2217:H2228" si="117">CONCATENATE("AR-",G2217,"-",I2217)</f>
        <v>AR-AMN-2</v>
      </c>
      <c r="I2217" s="661">
        <v>2</v>
      </c>
      <c r="J2217" s="197">
        <v>1</v>
      </c>
      <c r="K2217" s="232"/>
      <c r="L2217" s="237"/>
      <c r="Q2217" s="237"/>
    </row>
    <row r="2218" spans="1:17" s="233" customFormat="1" ht="13.5" hidden="1" outlineLevel="2">
      <c r="A2218" s="681"/>
      <c r="B2218" s="299" t="s">
        <v>268</v>
      </c>
      <c r="C2218" s="304" t="s">
        <v>1313</v>
      </c>
      <c r="D2218" s="685">
        <v>4004</v>
      </c>
      <c r="E2218" s="306" t="s">
        <v>1386</v>
      </c>
      <c r="F2218" s="307"/>
      <c r="G2218" s="297" t="s">
        <v>1353</v>
      </c>
      <c r="H2218" s="308" t="str">
        <f t="shared" si="117"/>
        <v>AR-AMN-2</v>
      </c>
      <c r="I2218" s="661">
        <v>2</v>
      </c>
      <c r="J2218" s="197">
        <v>1</v>
      </c>
      <c r="K2218" s="232"/>
      <c r="L2218" s="237"/>
      <c r="Q2218" s="237"/>
    </row>
    <row r="2219" spans="1:17" s="233" customFormat="1" ht="13.5" hidden="1" outlineLevel="2">
      <c r="A2219" s="681"/>
      <c r="B2219" s="299" t="s">
        <v>268</v>
      </c>
      <c r="C2219" s="304" t="s">
        <v>1313</v>
      </c>
      <c r="D2219" s="685">
        <v>4005</v>
      </c>
      <c r="E2219" s="306" t="s">
        <v>1387</v>
      </c>
      <c r="F2219" s="307"/>
      <c r="G2219" s="297" t="s">
        <v>1353</v>
      </c>
      <c r="H2219" s="308" t="str">
        <f t="shared" si="117"/>
        <v>AR-AMN-2</v>
      </c>
      <c r="I2219" s="661">
        <v>2</v>
      </c>
      <c r="J2219" s="197">
        <v>1</v>
      </c>
      <c r="K2219" s="232" t="s">
        <v>776</v>
      </c>
      <c r="L2219" s="237"/>
      <c r="Q2219" s="237"/>
    </row>
    <row r="2220" spans="1:17" s="233" customFormat="1" ht="13.5" hidden="1" outlineLevel="2">
      <c r="A2220" s="681"/>
      <c r="B2220" s="299" t="s">
        <v>268</v>
      </c>
      <c r="C2220" s="304" t="s">
        <v>1313</v>
      </c>
      <c r="D2220" s="685">
        <v>4006</v>
      </c>
      <c r="E2220" s="306" t="s">
        <v>1388</v>
      </c>
      <c r="F2220" s="307"/>
      <c r="G2220" s="297" t="s">
        <v>1353</v>
      </c>
      <c r="H2220" s="308" t="str">
        <f t="shared" si="117"/>
        <v>AR-AMN-2</v>
      </c>
      <c r="I2220" s="661">
        <v>2</v>
      </c>
      <c r="J2220" s="197">
        <v>1</v>
      </c>
      <c r="K2220" s="232"/>
      <c r="L2220" s="237"/>
      <c r="Q2220" s="237"/>
    </row>
    <row r="2221" spans="1:17" s="233" customFormat="1" ht="13.5" hidden="1" outlineLevel="2">
      <c r="A2221" s="681"/>
      <c r="B2221" s="299" t="s">
        <v>268</v>
      </c>
      <c r="C2221" s="304" t="s">
        <v>1313</v>
      </c>
      <c r="D2221" s="685">
        <v>4007</v>
      </c>
      <c r="E2221" s="306" t="s">
        <v>1388</v>
      </c>
      <c r="F2221" s="307"/>
      <c r="G2221" s="297" t="s">
        <v>1353</v>
      </c>
      <c r="H2221" s="308" t="str">
        <f t="shared" si="117"/>
        <v>AR-AMN-2</v>
      </c>
      <c r="I2221" s="661">
        <v>2</v>
      </c>
      <c r="J2221" s="197">
        <v>1</v>
      </c>
      <c r="K2221" s="232"/>
      <c r="L2221" s="237"/>
      <c r="Q2221" s="237"/>
    </row>
    <row r="2222" spans="1:17" s="233" customFormat="1" ht="13.5" hidden="1" outlineLevel="2">
      <c r="A2222" s="681"/>
      <c r="B2222" s="299" t="s">
        <v>268</v>
      </c>
      <c r="C2222" s="304" t="s">
        <v>1313</v>
      </c>
      <c r="D2222" s="685">
        <v>4008</v>
      </c>
      <c r="E2222" s="306" t="s">
        <v>1389</v>
      </c>
      <c r="F2222" s="307"/>
      <c r="G2222" s="297" t="s">
        <v>1353</v>
      </c>
      <c r="H2222" s="308" t="str">
        <f t="shared" si="117"/>
        <v>AR-AMN-2</v>
      </c>
      <c r="I2222" s="661">
        <v>2</v>
      </c>
      <c r="J2222" s="197">
        <v>1</v>
      </c>
      <c r="K2222" s="232"/>
      <c r="L2222" s="237"/>
      <c r="Q2222" s="237"/>
    </row>
    <row r="2223" spans="1:17" s="233" customFormat="1" ht="13.5" hidden="1" outlineLevel="2">
      <c r="A2223" s="681"/>
      <c r="B2223" s="299" t="s">
        <v>268</v>
      </c>
      <c r="C2223" s="304" t="s">
        <v>1313</v>
      </c>
      <c r="D2223" s="685">
        <v>4009</v>
      </c>
      <c r="E2223" s="306" t="s">
        <v>1390</v>
      </c>
      <c r="F2223" s="307"/>
      <c r="G2223" s="297" t="s">
        <v>1353</v>
      </c>
      <c r="H2223" s="308" t="str">
        <f t="shared" si="117"/>
        <v>AR-AMN-2</v>
      </c>
      <c r="I2223" s="661">
        <v>2</v>
      </c>
      <c r="J2223" s="197">
        <v>1</v>
      </c>
      <c r="K2223" s="232"/>
      <c r="L2223" s="237"/>
      <c r="Q2223" s="237"/>
    </row>
    <row r="2224" spans="1:17" s="233" customFormat="1" ht="13.5" hidden="1" outlineLevel="2">
      <c r="A2224" s="681"/>
      <c r="B2224" s="299" t="s">
        <v>268</v>
      </c>
      <c r="C2224" s="304" t="s">
        <v>1313</v>
      </c>
      <c r="D2224" s="685">
        <v>4010</v>
      </c>
      <c r="E2224" s="306" t="s">
        <v>1391</v>
      </c>
      <c r="F2224" s="307"/>
      <c r="G2224" s="297" t="s">
        <v>1353</v>
      </c>
      <c r="H2224" s="308" t="str">
        <f t="shared" si="117"/>
        <v>AR-AMN-2</v>
      </c>
      <c r="I2224" s="661">
        <v>2</v>
      </c>
      <c r="J2224" s="197">
        <v>1</v>
      </c>
      <c r="K2224" s="232"/>
      <c r="L2224" s="237"/>
      <c r="Q2224" s="237"/>
    </row>
    <row r="2225" spans="1:17" s="233" customFormat="1" ht="13.5" hidden="1" outlineLevel="2">
      <c r="A2225" s="681"/>
      <c r="B2225" s="299" t="s">
        <v>268</v>
      </c>
      <c r="C2225" s="304" t="s">
        <v>1313</v>
      </c>
      <c r="D2225" s="685">
        <v>4011</v>
      </c>
      <c r="E2225" s="306" t="s">
        <v>1392</v>
      </c>
      <c r="F2225" s="307"/>
      <c r="G2225" s="297" t="s">
        <v>1353</v>
      </c>
      <c r="H2225" s="308" t="str">
        <f t="shared" si="117"/>
        <v>AR-AMN-2</v>
      </c>
      <c r="I2225" s="661">
        <v>2</v>
      </c>
      <c r="J2225" s="197">
        <v>1</v>
      </c>
      <c r="K2225" s="232"/>
      <c r="L2225" s="237"/>
      <c r="Q2225" s="237"/>
    </row>
    <row r="2226" spans="1:17" s="233" customFormat="1" ht="13.5" hidden="1" outlineLevel="2">
      <c r="A2226" s="681"/>
      <c r="B2226" s="299" t="s">
        <v>268</v>
      </c>
      <c r="C2226" s="304" t="s">
        <v>1313</v>
      </c>
      <c r="D2226" s="685">
        <v>4012</v>
      </c>
      <c r="E2226" s="306" t="s">
        <v>1393</v>
      </c>
      <c r="F2226" s="307"/>
      <c r="G2226" s="297" t="s">
        <v>1353</v>
      </c>
      <c r="H2226" s="308" t="str">
        <f t="shared" si="117"/>
        <v>AR-AMN-2</v>
      </c>
      <c r="I2226" s="661">
        <v>2</v>
      </c>
      <c r="J2226" s="197">
        <v>1</v>
      </c>
      <c r="K2226" s="232"/>
      <c r="L2226" s="237"/>
      <c r="Q2226" s="237"/>
    </row>
    <row r="2227" spans="1:17" s="233" customFormat="1" ht="13.5" hidden="1" outlineLevel="2">
      <c r="A2227" s="681"/>
      <c r="B2227" s="299" t="s">
        <v>268</v>
      </c>
      <c r="C2227" s="304" t="s">
        <v>1313</v>
      </c>
      <c r="D2227" s="685">
        <v>4013</v>
      </c>
      <c r="E2227" s="306" t="s">
        <v>1393</v>
      </c>
      <c r="F2227" s="307"/>
      <c r="G2227" s="297" t="s">
        <v>1353</v>
      </c>
      <c r="H2227" s="308" t="str">
        <f t="shared" si="117"/>
        <v>AR-AMN-2</v>
      </c>
      <c r="I2227" s="661">
        <v>2</v>
      </c>
      <c r="J2227" s="197">
        <v>1</v>
      </c>
      <c r="K2227" s="232"/>
      <c r="L2227" s="237"/>
      <c r="Q2227" s="237"/>
    </row>
    <row r="2228" spans="1:17" s="233" customFormat="1" ht="13.5" hidden="1" outlineLevel="2">
      <c r="A2228" s="681"/>
      <c r="B2228" s="299" t="s">
        <v>268</v>
      </c>
      <c r="C2228" s="304" t="s">
        <v>1313</v>
      </c>
      <c r="D2228" s="685">
        <v>4014</v>
      </c>
      <c r="E2228" s="306" t="s">
        <v>1394</v>
      </c>
      <c r="F2228" s="307"/>
      <c r="G2228" s="297" t="s">
        <v>1353</v>
      </c>
      <c r="H2228" s="308" t="str">
        <f t="shared" si="117"/>
        <v>AR-AMN-2</v>
      </c>
      <c r="I2228" s="661">
        <v>2</v>
      </c>
      <c r="J2228" s="197">
        <v>1</v>
      </c>
      <c r="K2228" s="232"/>
      <c r="L2228" s="237"/>
      <c r="Q2228" s="237"/>
    </row>
    <row r="2229" spans="1:17" s="233" customFormat="1" ht="3" hidden="1" customHeight="1" outlineLevel="2">
      <c r="A2229" s="681"/>
      <c r="B2229" s="299"/>
      <c r="C2229" s="304"/>
      <c r="D2229" s="685"/>
      <c r="E2229" s="306" t="s">
        <v>277</v>
      </c>
      <c r="F2229" s="307"/>
      <c r="G2229" s="297"/>
      <c r="H2229" s="308"/>
      <c r="I2229" s="661"/>
      <c r="J2229" s="197"/>
      <c r="K2229" s="232"/>
      <c r="L2229" s="237"/>
      <c r="Q2229" s="237"/>
    </row>
    <row r="2230" spans="1:17" s="233" customFormat="1" ht="13.5" hidden="1" outlineLevel="2">
      <c r="A2230" s="681"/>
      <c r="B2230" s="299" t="s">
        <v>1303</v>
      </c>
      <c r="C2230" s="304"/>
      <c r="D2230" s="685"/>
      <c r="E2230" s="306"/>
      <c r="F2230" s="307"/>
      <c r="G2230" s="297"/>
      <c r="H2230" s="308"/>
      <c r="I2230" s="661"/>
      <c r="J2230" s="197"/>
      <c r="K2230" s="232"/>
      <c r="L2230" s="237"/>
      <c r="Q2230" s="237"/>
    </row>
    <row r="2231" spans="1:17" s="233" customFormat="1" ht="13.5" hidden="1" outlineLevel="2">
      <c r="A2231" s="681"/>
      <c r="B2231" s="299"/>
      <c r="C2231" s="304"/>
      <c r="D2231" s="685"/>
      <c r="E2231" s="306"/>
      <c r="F2231" s="307"/>
      <c r="G2231" s="297"/>
      <c r="H2231" s="308"/>
      <c r="I2231" s="661"/>
      <c r="J2231" s="197"/>
      <c r="K2231" s="232"/>
      <c r="L2231" s="237"/>
      <c r="Q2231" s="237"/>
    </row>
    <row r="2232" spans="1:17" s="233" customFormat="1" ht="13.5" hidden="1" outlineLevel="2">
      <c r="A2232" s="681"/>
      <c r="B2232" s="299" t="s">
        <v>268</v>
      </c>
      <c r="C2232" s="304" t="s">
        <v>1313</v>
      </c>
      <c r="D2232" s="685" t="s">
        <v>1395</v>
      </c>
      <c r="E2232" s="306" t="s">
        <v>1396</v>
      </c>
      <c r="F2232" s="307"/>
      <c r="G2232" s="297" t="s">
        <v>1353</v>
      </c>
      <c r="H2232" s="308" t="str">
        <f>CONCATENATE("AR-",G2232,"-",I2232)</f>
        <v>AR-AMN-1</v>
      </c>
      <c r="I2232" s="661">
        <v>1</v>
      </c>
      <c r="J2232" s="197">
        <v>1</v>
      </c>
      <c r="K2232" s="232"/>
      <c r="L2232" s="237"/>
      <c r="Q2232" s="237"/>
    </row>
    <row r="2233" spans="1:17" s="233" customFormat="1" ht="13.5" hidden="1" outlineLevel="2">
      <c r="A2233" s="681"/>
      <c r="B2233" s="299" t="s">
        <v>268</v>
      </c>
      <c r="C2233" s="304" t="s">
        <v>1313</v>
      </c>
      <c r="D2233" s="685" t="s">
        <v>1089</v>
      </c>
      <c r="E2233" s="306" t="s">
        <v>1396</v>
      </c>
      <c r="F2233" s="307"/>
      <c r="G2233" s="297" t="s">
        <v>1353</v>
      </c>
      <c r="H2233" s="308" t="str">
        <f>CONCATENATE("AR-",G2233,"-",I2233)</f>
        <v>AR-AMN-1</v>
      </c>
      <c r="I2233" s="661">
        <v>1</v>
      </c>
      <c r="J2233" s="197">
        <v>1</v>
      </c>
      <c r="K2233" s="232"/>
      <c r="L2233" s="237"/>
      <c r="Q2233" s="237"/>
    </row>
    <row r="2234" spans="1:17" s="233" customFormat="1" ht="13.5" hidden="1" outlineLevel="2">
      <c r="A2234" s="681"/>
      <c r="B2234" s="299" t="s">
        <v>268</v>
      </c>
      <c r="C2234" s="304" t="s">
        <v>1313</v>
      </c>
      <c r="D2234" s="685">
        <v>4405</v>
      </c>
      <c r="E2234" s="306" t="s">
        <v>1397</v>
      </c>
      <c r="F2234" s="307"/>
      <c r="G2234" s="297" t="s">
        <v>1353</v>
      </c>
      <c r="H2234" s="308" t="str">
        <f>CONCATENATE("AR-",G2234,"-",I2234)</f>
        <v>AR-AMN-1</v>
      </c>
      <c r="I2234" s="661">
        <v>1</v>
      </c>
      <c r="J2234" s="197">
        <v>1</v>
      </c>
      <c r="K2234" s="232"/>
      <c r="L2234" s="237"/>
      <c r="Q2234" s="237"/>
    </row>
    <row r="2235" spans="1:17" s="233" customFormat="1" ht="3" hidden="1" customHeight="1" outlineLevel="2">
      <c r="A2235" s="681"/>
      <c r="B2235" s="299"/>
      <c r="C2235" s="304"/>
      <c r="D2235" s="685"/>
      <c r="E2235" s="306" t="s">
        <v>277</v>
      </c>
      <c r="F2235" s="307"/>
      <c r="G2235" s="297"/>
      <c r="H2235" s="308"/>
      <c r="I2235" s="661"/>
      <c r="J2235" s="197"/>
      <c r="K2235" s="232"/>
      <c r="L2235" s="237"/>
      <c r="Q2235" s="237"/>
    </row>
    <row r="2236" spans="1:17" s="233" customFormat="1" ht="13.5" hidden="1" outlineLevel="2">
      <c r="B2236" s="299" t="s">
        <v>417</v>
      </c>
      <c r="C2236" s="304"/>
      <c r="D2236" s="685"/>
      <c r="E2236" s="306"/>
      <c r="F2236" s="307"/>
      <c r="G2236" s="297"/>
      <c r="H2236" s="308"/>
      <c r="I2236" s="661"/>
      <c r="J2236" s="197"/>
      <c r="L2236" s="237"/>
      <c r="Q2236" s="237"/>
    </row>
    <row r="2237" spans="1:17" s="233" customFormat="1" ht="13.5" hidden="1" outlineLevel="2">
      <c r="B2237" s="299" t="s">
        <v>268</v>
      </c>
      <c r="C2237" s="304" t="s">
        <v>1313</v>
      </c>
      <c r="D2237" s="685">
        <v>4601</v>
      </c>
      <c r="E2237" s="306" t="s">
        <v>1398</v>
      </c>
      <c r="F2237" s="307"/>
      <c r="G2237" s="297" t="s">
        <v>1353</v>
      </c>
      <c r="H2237" s="308" t="str">
        <f>CONCATENATE("AR-",G2237,"-",I2237)</f>
        <v>AR-AMN-1</v>
      </c>
      <c r="I2237" s="661">
        <v>1</v>
      </c>
      <c r="J2237" s="197">
        <v>1</v>
      </c>
      <c r="L2237" s="237"/>
      <c r="Q2237" s="237"/>
    </row>
    <row r="2238" spans="1:17" s="233" customFormat="1" ht="13.5" hidden="1" outlineLevel="2">
      <c r="B2238" s="299" t="s">
        <v>268</v>
      </c>
      <c r="C2238" s="304" t="s">
        <v>1313</v>
      </c>
      <c r="D2238" s="685">
        <v>4601</v>
      </c>
      <c r="E2238" s="306" t="s">
        <v>1398</v>
      </c>
      <c r="F2238" s="307"/>
      <c r="G2238" s="297" t="s">
        <v>1353</v>
      </c>
      <c r="H2238" s="308" t="str">
        <f>CONCATENATE("AR-",G2238,"-",I2238)</f>
        <v>AR-AMN-1</v>
      </c>
      <c r="I2238" s="661">
        <v>1</v>
      </c>
      <c r="J2238" s="197">
        <v>1</v>
      </c>
      <c r="L2238" s="237"/>
      <c r="Q2238" s="237"/>
    </row>
    <row r="2239" spans="1:17" s="233" customFormat="1" ht="3" hidden="1" customHeight="1" outlineLevel="2">
      <c r="B2239" s="299"/>
      <c r="C2239" s="304"/>
      <c r="D2239" s="685"/>
      <c r="E2239" s="306" t="s">
        <v>277</v>
      </c>
      <c r="F2239" s="307"/>
      <c r="G2239" s="297"/>
      <c r="H2239" s="308"/>
      <c r="I2239" s="661"/>
      <c r="J2239" s="197"/>
      <c r="L2239" s="237"/>
      <c r="Q2239" s="237"/>
    </row>
    <row r="2240" spans="1:17" s="233" customFormat="1" ht="13.5" hidden="1" outlineLevel="2">
      <c r="B2240" s="299" t="s">
        <v>1399</v>
      </c>
      <c r="C2240" s="304"/>
      <c r="D2240" s="685"/>
      <c r="E2240" s="306"/>
      <c r="F2240" s="307"/>
      <c r="G2240" s="297"/>
      <c r="H2240" s="308"/>
      <c r="I2240" s="661"/>
      <c r="J2240" s="197"/>
      <c r="L2240" s="237"/>
      <c r="Q2240" s="237"/>
    </row>
    <row r="2241" spans="2:18" s="233" customFormat="1" ht="13.5" hidden="1" outlineLevel="2">
      <c r="B2241" s="299" t="s">
        <v>268</v>
      </c>
      <c r="C2241" s="304" t="s">
        <v>1313</v>
      </c>
      <c r="D2241" s="685">
        <v>5201</v>
      </c>
      <c r="E2241" s="306" t="s">
        <v>1400</v>
      </c>
      <c r="F2241" s="307"/>
      <c r="G2241" s="297" t="s">
        <v>1353</v>
      </c>
      <c r="H2241" s="308" t="str">
        <f>CONCATENATE("AR-",G2241,"-",I2241)</f>
        <v>AR-AMN-3</v>
      </c>
      <c r="I2241" s="661">
        <v>3</v>
      </c>
      <c r="J2241" s="234">
        <v>1</v>
      </c>
      <c r="L2241" s="237"/>
      <c r="Q2241" s="237"/>
    </row>
    <row r="2242" spans="2:18" s="233" customFormat="1" ht="13.5" hidden="1" outlineLevel="2">
      <c r="B2242" s="299" t="s">
        <v>268</v>
      </c>
      <c r="C2242" s="304" t="s">
        <v>1313</v>
      </c>
      <c r="D2242" s="685">
        <v>5202</v>
      </c>
      <c r="E2242" s="306" t="s">
        <v>1401</v>
      </c>
      <c r="F2242" s="307"/>
      <c r="G2242" s="297" t="s">
        <v>1353</v>
      </c>
      <c r="H2242" s="308" t="str">
        <f>CONCATENATE("AR-",G2242,"-",I2242)</f>
        <v>AR-AMN-3</v>
      </c>
      <c r="I2242" s="661">
        <v>3</v>
      </c>
      <c r="J2242" s="234">
        <v>1</v>
      </c>
      <c r="L2242" s="237"/>
      <c r="Q2242" s="237"/>
    </row>
    <row r="2243" spans="2:18" s="233" customFormat="1" ht="13.5" hidden="1" outlineLevel="2">
      <c r="B2243" s="299" t="s">
        <v>268</v>
      </c>
      <c r="C2243" s="304" t="s">
        <v>1313</v>
      </c>
      <c r="D2243" s="685">
        <v>5203</v>
      </c>
      <c r="E2243" s="306" t="s">
        <v>1402</v>
      </c>
      <c r="F2243" s="307"/>
      <c r="G2243" s="297" t="s">
        <v>1353</v>
      </c>
      <c r="H2243" s="308" t="str">
        <f t="shared" ref="H2243:H2246" si="118">CONCATENATE("AR-",G2243,"-",I2243)</f>
        <v>AR-AMN-NA</v>
      </c>
      <c r="I2243" s="661" t="s">
        <v>293</v>
      </c>
      <c r="J2243" s="234"/>
      <c r="L2243" s="237"/>
      <c r="Q2243" s="237"/>
    </row>
    <row r="2244" spans="2:18" s="233" customFormat="1" ht="13.5" hidden="1" outlineLevel="2">
      <c r="B2244" s="299" t="s">
        <v>268</v>
      </c>
      <c r="C2244" s="304" t="s">
        <v>1313</v>
      </c>
      <c r="D2244" s="685">
        <v>5204</v>
      </c>
      <c r="E2244" s="306" t="s">
        <v>1403</v>
      </c>
      <c r="F2244" s="307"/>
      <c r="G2244" s="297" t="s">
        <v>1353</v>
      </c>
      <c r="H2244" s="308" t="str">
        <f t="shared" si="118"/>
        <v>AR-AMN-5</v>
      </c>
      <c r="I2244" s="661">
        <v>5</v>
      </c>
      <c r="J2244" s="234">
        <v>1</v>
      </c>
      <c r="L2244" s="237"/>
      <c r="Q2244" s="237"/>
    </row>
    <row r="2245" spans="2:18" s="233" customFormat="1" ht="13.5" hidden="1" outlineLevel="2">
      <c r="B2245" s="299" t="s">
        <v>268</v>
      </c>
      <c r="C2245" s="304" t="s">
        <v>1313</v>
      </c>
      <c r="D2245" s="685">
        <v>5205</v>
      </c>
      <c r="E2245" s="306" t="s">
        <v>1404</v>
      </c>
      <c r="F2245" s="307"/>
      <c r="G2245" s="297" t="s">
        <v>1353</v>
      </c>
      <c r="H2245" s="308" t="str">
        <f t="shared" si="118"/>
        <v>AR-AMN-6</v>
      </c>
      <c r="I2245" s="661">
        <v>6</v>
      </c>
      <c r="J2245" s="234">
        <v>1</v>
      </c>
      <c r="L2245" s="237"/>
      <c r="Q2245" s="237"/>
    </row>
    <row r="2246" spans="2:18" s="233" customFormat="1" ht="13.5" hidden="1" outlineLevel="2">
      <c r="B2246" s="299" t="s">
        <v>268</v>
      </c>
      <c r="C2246" s="304" t="s">
        <v>1313</v>
      </c>
      <c r="D2246" s="685">
        <v>5206</v>
      </c>
      <c r="E2246" s="306" t="s">
        <v>1405</v>
      </c>
      <c r="F2246" s="307"/>
      <c r="G2246" s="297" t="s">
        <v>1353</v>
      </c>
      <c r="H2246" s="308" t="str">
        <f t="shared" si="118"/>
        <v>AR-AMN-7</v>
      </c>
      <c r="I2246" s="661">
        <v>7</v>
      </c>
      <c r="J2246" s="234">
        <v>1</v>
      </c>
      <c r="L2246" s="237"/>
      <c r="Q2246" s="237"/>
    </row>
    <row r="2247" spans="2:18" s="233" customFormat="1" ht="13.5" hidden="1" outlineLevel="2">
      <c r="B2247" s="299"/>
      <c r="C2247" s="304"/>
      <c r="D2247" s="685"/>
      <c r="E2247" s="306"/>
      <c r="F2247" s="307"/>
      <c r="G2247" s="297"/>
      <c r="H2247" s="308"/>
      <c r="I2247" s="661"/>
      <c r="J2247" s="197"/>
      <c r="L2247" s="237"/>
      <c r="Q2247" s="237"/>
    </row>
    <row r="2248" spans="2:18" s="233" customFormat="1" ht="3" hidden="1" customHeight="1" outlineLevel="2">
      <c r="B2248" s="299"/>
      <c r="C2248" s="304"/>
      <c r="D2248" s="685"/>
      <c r="E2248" s="306" t="s">
        <v>277</v>
      </c>
      <c r="F2248" s="307"/>
      <c r="G2248" s="297"/>
      <c r="H2248" s="308"/>
      <c r="I2248" s="661"/>
      <c r="J2248" s="197"/>
      <c r="L2248" s="237"/>
      <c r="Q2248" s="237"/>
    </row>
    <row r="2249" spans="2:18" s="233" customFormat="1" ht="13.5" hidden="1" outlineLevel="2">
      <c r="B2249" s="299" t="s">
        <v>1406</v>
      </c>
      <c r="C2249" s="304"/>
      <c r="D2249" s="685"/>
      <c r="E2249" s="306"/>
      <c r="F2249" s="307"/>
      <c r="G2249" s="297"/>
      <c r="H2249" s="308"/>
      <c r="I2249" s="661"/>
      <c r="J2249" s="197"/>
      <c r="L2249" s="237"/>
      <c r="Q2249" s="237"/>
    </row>
    <row r="2250" spans="2:18" s="233" customFormat="1" ht="13.5" hidden="1" outlineLevel="2">
      <c r="B2250" s="299" t="s">
        <v>268</v>
      </c>
      <c r="C2250" s="304" t="s">
        <v>1313</v>
      </c>
      <c r="D2250" s="685" t="s">
        <v>463</v>
      </c>
      <c r="E2250" s="306" t="s">
        <v>1407</v>
      </c>
      <c r="F2250" s="307"/>
      <c r="G2250" s="297" t="s">
        <v>1353</v>
      </c>
      <c r="H2250" s="308" t="str">
        <f>CONCATENATE("AR-",G2250,"-",I2250)</f>
        <v>AR-AMN-NA</v>
      </c>
      <c r="I2250" s="665" t="s">
        <v>293</v>
      </c>
      <c r="J2250" s="197"/>
      <c r="L2250" s="237"/>
      <c r="Q2250" s="237"/>
    </row>
    <row r="2251" spans="2:18" s="233" customFormat="1" ht="13.5" hidden="1" outlineLevel="2">
      <c r="B2251" s="299" t="s">
        <v>268</v>
      </c>
      <c r="C2251" s="304" t="s">
        <v>1313</v>
      </c>
      <c r="D2251" s="685" t="s">
        <v>465</v>
      </c>
      <c r="E2251" s="306" t="s">
        <v>1408</v>
      </c>
      <c r="F2251" s="307"/>
      <c r="G2251" s="297" t="s">
        <v>1353</v>
      </c>
      <c r="H2251" s="308" t="str">
        <f>CONCATENATE("AR-",G2251,"-",I2251)</f>
        <v>AR-AMN-NA</v>
      </c>
      <c r="I2251" s="665" t="s">
        <v>293</v>
      </c>
      <c r="J2251" s="197"/>
      <c r="L2251" s="237"/>
      <c r="Q2251" s="237"/>
    </row>
    <row r="2252" spans="2:18" s="233" customFormat="1" ht="3" hidden="1" customHeight="1" outlineLevel="2">
      <c r="B2252" s="299"/>
      <c r="C2252" s="304"/>
      <c r="D2252" s="685"/>
      <c r="E2252" s="306" t="s">
        <v>277</v>
      </c>
      <c r="F2252" s="307"/>
      <c r="G2252" s="297"/>
      <c r="H2252" s="308"/>
      <c r="I2252" s="661"/>
      <c r="J2252" s="197"/>
      <c r="K2252" s="232"/>
      <c r="L2252" s="234"/>
      <c r="M2252" s="197"/>
      <c r="N2252" s="197"/>
      <c r="O2252" s="197"/>
      <c r="P2252" s="197"/>
      <c r="Q2252" s="234"/>
      <c r="R2252" s="197"/>
    </row>
    <row r="2253" spans="2:18" s="233" customFormat="1" ht="13.5" hidden="1" outlineLevel="2">
      <c r="B2253" s="299" t="s">
        <v>1308</v>
      </c>
      <c r="C2253" s="304"/>
      <c r="D2253" s="685"/>
      <c r="E2253" s="306" t="s">
        <v>277</v>
      </c>
      <c r="F2253" s="307"/>
      <c r="G2253" s="297"/>
      <c r="H2253" s="308"/>
      <c r="I2253" s="661"/>
      <c r="J2253" s="197"/>
      <c r="K2253" s="232"/>
      <c r="L2253" s="234"/>
      <c r="M2253" s="197"/>
      <c r="N2253" s="197"/>
      <c r="O2253" s="197"/>
      <c r="P2253" s="197"/>
      <c r="Q2253" s="234"/>
      <c r="R2253" s="197"/>
    </row>
    <row r="2254" spans="2:18" s="233" customFormat="1" ht="13.5" hidden="1" outlineLevel="2">
      <c r="B2254" s="299" t="s">
        <v>268</v>
      </c>
      <c r="C2254" s="304" t="s">
        <v>1313</v>
      </c>
      <c r="D2254" s="685" t="s">
        <v>425</v>
      </c>
      <c r="E2254" s="306" t="s">
        <v>1409</v>
      </c>
      <c r="F2254" s="307"/>
      <c r="G2254" s="297" t="s">
        <v>1353</v>
      </c>
      <c r="H2254" s="308" t="str">
        <f t="shared" ref="H2254:H2264" si="119">CONCATENATE("AR-",G2254,"-",I2254)</f>
        <v>AR-AMN-2</v>
      </c>
      <c r="I2254" s="661">
        <v>2</v>
      </c>
      <c r="J2254" s="197">
        <v>1</v>
      </c>
      <c r="K2254" s="232"/>
      <c r="L2254" s="234"/>
      <c r="M2254" s="197"/>
      <c r="N2254" s="197"/>
      <c r="O2254" s="197"/>
      <c r="P2254" s="197"/>
      <c r="Q2254" s="234"/>
      <c r="R2254" s="197"/>
    </row>
    <row r="2255" spans="2:18" s="233" customFormat="1" ht="13.5" hidden="1" outlineLevel="2">
      <c r="B2255" s="299" t="s">
        <v>268</v>
      </c>
      <c r="C2255" s="304" t="s">
        <v>1313</v>
      </c>
      <c r="D2255" s="685" t="s">
        <v>427</v>
      </c>
      <c r="E2255" s="306" t="s">
        <v>1410</v>
      </c>
      <c r="F2255" s="307"/>
      <c r="G2255" s="297" t="s">
        <v>1353</v>
      </c>
      <c r="H2255" s="308" t="str">
        <f t="shared" si="119"/>
        <v>AR-AMN-2</v>
      </c>
      <c r="I2255" s="661">
        <v>2</v>
      </c>
      <c r="J2255" s="197">
        <v>1</v>
      </c>
      <c r="K2255" s="232"/>
      <c r="L2255" s="234"/>
      <c r="M2255" s="197"/>
      <c r="N2255" s="197"/>
      <c r="O2255" s="197"/>
      <c r="P2255" s="197"/>
      <c r="Q2255" s="234"/>
      <c r="R2255" s="197"/>
    </row>
    <row r="2256" spans="2:18" s="233" customFormat="1" ht="13.5" hidden="1" outlineLevel="2">
      <c r="B2256" s="299" t="s">
        <v>268</v>
      </c>
      <c r="C2256" s="304" t="s">
        <v>1313</v>
      </c>
      <c r="D2256" s="685" t="s">
        <v>431</v>
      </c>
      <c r="E2256" s="306" t="s">
        <v>1411</v>
      </c>
      <c r="F2256" s="307"/>
      <c r="G2256" s="297" t="s">
        <v>1353</v>
      </c>
      <c r="H2256" s="308" t="str">
        <f t="shared" si="119"/>
        <v>AR-AMN-2</v>
      </c>
      <c r="I2256" s="661">
        <v>2</v>
      </c>
      <c r="J2256" s="197">
        <v>1</v>
      </c>
      <c r="K2256" s="232"/>
      <c r="L2256" s="234"/>
      <c r="M2256" s="197"/>
      <c r="N2256" s="197"/>
      <c r="O2256" s="197"/>
      <c r="P2256" s="197"/>
      <c r="Q2256" s="234"/>
      <c r="R2256" s="197"/>
    </row>
    <row r="2257" spans="2:18" s="233" customFormat="1" ht="13.5" hidden="1" outlineLevel="2">
      <c r="B2257" s="299" t="s">
        <v>268</v>
      </c>
      <c r="C2257" s="304" t="s">
        <v>1313</v>
      </c>
      <c r="D2257" s="685" t="s">
        <v>433</v>
      </c>
      <c r="E2257" s="306" t="s">
        <v>1412</v>
      </c>
      <c r="F2257" s="307"/>
      <c r="G2257" s="297" t="s">
        <v>1353</v>
      </c>
      <c r="H2257" s="308" t="str">
        <f t="shared" si="119"/>
        <v>AR-AMN-2</v>
      </c>
      <c r="I2257" s="661">
        <v>2</v>
      </c>
      <c r="J2257" s="197">
        <v>1</v>
      </c>
      <c r="K2257" s="232"/>
      <c r="L2257" s="234"/>
      <c r="M2257" s="197"/>
      <c r="N2257" s="197"/>
      <c r="O2257" s="197"/>
      <c r="P2257" s="197"/>
      <c r="Q2257" s="234"/>
      <c r="R2257" s="197"/>
    </row>
    <row r="2258" spans="2:18" s="233" customFormat="1" ht="13.5" hidden="1" outlineLevel="2">
      <c r="B2258" s="299" t="s">
        <v>268</v>
      </c>
      <c r="C2258" s="304" t="s">
        <v>1313</v>
      </c>
      <c r="D2258" s="685" t="s">
        <v>435</v>
      </c>
      <c r="E2258" s="306" t="s">
        <v>1413</v>
      </c>
      <c r="F2258" s="307"/>
      <c r="G2258" s="297" t="s">
        <v>1353</v>
      </c>
      <c r="H2258" s="308" t="str">
        <f t="shared" si="119"/>
        <v>AR-AMN-2</v>
      </c>
      <c r="I2258" s="661">
        <v>2</v>
      </c>
      <c r="J2258" s="197">
        <v>1</v>
      </c>
      <c r="K2258" s="232"/>
      <c r="L2258" s="234"/>
      <c r="M2258" s="197"/>
      <c r="N2258" s="197"/>
      <c r="O2258" s="197"/>
      <c r="P2258" s="197"/>
      <c r="Q2258" s="234"/>
      <c r="R2258" s="197"/>
    </row>
    <row r="2259" spans="2:18" s="233" customFormat="1" ht="13.5" hidden="1" outlineLevel="2">
      <c r="B2259" s="299" t="s">
        <v>268</v>
      </c>
      <c r="C2259" s="304" t="s">
        <v>1313</v>
      </c>
      <c r="D2259" s="685" t="s">
        <v>437</v>
      </c>
      <c r="E2259" s="306" t="s">
        <v>1414</v>
      </c>
      <c r="F2259" s="307"/>
      <c r="G2259" s="297" t="s">
        <v>1353</v>
      </c>
      <c r="H2259" s="308" t="str">
        <f t="shared" si="119"/>
        <v>AR-AMN-2</v>
      </c>
      <c r="I2259" s="661">
        <v>2</v>
      </c>
      <c r="J2259" s="197">
        <v>1</v>
      </c>
      <c r="K2259" s="232"/>
      <c r="L2259" s="234"/>
      <c r="M2259" s="197"/>
      <c r="N2259" s="197"/>
      <c r="O2259" s="197"/>
      <c r="P2259" s="197"/>
      <c r="Q2259" s="234"/>
      <c r="R2259" s="197"/>
    </row>
    <row r="2260" spans="2:18" s="233" customFormat="1" ht="13.5" hidden="1" outlineLevel="2">
      <c r="B2260" s="299" t="s">
        <v>268</v>
      </c>
      <c r="C2260" s="304" t="s">
        <v>1313</v>
      </c>
      <c r="D2260" s="685" t="s">
        <v>439</v>
      </c>
      <c r="E2260" s="306" t="s">
        <v>1415</v>
      </c>
      <c r="F2260" s="307"/>
      <c r="G2260" s="297" t="s">
        <v>1353</v>
      </c>
      <c r="H2260" s="308" t="str">
        <f t="shared" si="119"/>
        <v>AR-AMN-2</v>
      </c>
      <c r="I2260" s="661">
        <v>2</v>
      </c>
      <c r="J2260" s="197">
        <v>1</v>
      </c>
      <c r="K2260" s="232"/>
      <c r="L2260" s="234"/>
      <c r="M2260" s="197"/>
      <c r="N2260" s="197"/>
      <c r="O2260" s="197"/>
      <c r="P2260" s="197"/>
      <c r="Q2260" s="234"/>
      <c r="R2260" s="197"/>
    </row>
    <row r="2261" spans="2:18" s="233" customFormat="1" ht="13.5" hidden="1" outlineLevel="2">
      <c r="B2261" s="299" t="s">
        <v>268</v>
      </c>
      <c r="C2261" s="304" t="s">
        <v>1313</v>
      </c>
      <c r="D2261" s="685" t="s">
        <v>441</v>
      </c>
      <c r="E2261" s="306" t="s">
        <v>1416</v>
      </c>
      <c r="F2261" s="307"/>
      <c r="G2261" s="297" t="s">
        <v>1353</v>
      </c>
      <c r="H2261" s="308" t="str">
        <f t="shared" si="119"/>
        <v>AR-AMN-2</v>
      </c>
      <c r="I2261" s="661">
        <v>2</v>
      </c>
      <c r="J2261" s="197">
        <v>1</v>
      </c>
      <c r="K2261" s="232"/>
      <c r="L2261" s="234"/>
      <c r="M2261" s="197"/>
      <c r="N2261" s="197"/>
      <c r="O2261" s="197"/>
      <c r="P2261" s="197"/>
      <c r="Q2261" s="234"/>
      <c r="R2261" s="197"/>
    </row>
    <row r="2262" spans="2:18" s="233" customFormat="1" ht="13.5" hidden="1" outlineLevel="2">
      <c r="B2262" s="299" t="s">
        <v>268</v>
      </c>
      <c r="C2262" s="304" t="s">
        <v>1313</v>
      </c>
      <c r="D2262" s="685" t="s">
        <v>443</v>
      </c>
      <c r="E2262" s="306" t="s">
        <v>1417</v>
      </c>
      <c r="F2262" s="307"/>
      <c r="G2262" s="297" t="s">
        <v>1353</v>
      </c>
      <c r="H2262" s="308" t="str">
        <f t="shared" si="119"/>
        <v>AR-AMN-2</v>
      </c>
      <c r="I2262" s="661">
        <v>2</v>
      </c>
      <c r="J2262" s="197">
        <v>1</v>
      </c>
      <c r="K2262" s="232"/>
      <c r="L2262" s="234"/>
      <c r="M2262" s="197"/>
      <c r="N2262" s="197"/>
      <c r="O2262" s="197"/>
      <c r="P2262" s="197"/>
      <c r="Q2262" s="234"/>
      <c r="R2262" s="197"/>
    </row>
    <row r="2263" spans="2:18" s="233" customFormat="1" ht="13.5" hidden="1" outlineLevel="2">
      <c r="B2263" s="299" t="s">
        <v>268</v>
      </c>
      <c r="C2263" s="304" t="s">
        <v>1313</v>
      </c>
      <c r="D2263" s="685" t="s">
        <v>445</v>
      </c>
      <c r="E2263" s="306" t="s">
        <v>1418</v>
      </c>
      <c r="F2263" s="307"/>
      <c r="G2263" s="297" t="s">
        <v>1353</v>
      </c>
      <c r="H2263" s="308" t="str">
        <f t="shared" si="119"/>
        <v>AR-AMN-2</v>
      </c>
      <c r="I2263" s="661">
        <v>2</v>
      </c>
      <c r="J2263" s="197">
        <v>1</v>
      </c>
      <c r="K2263" s="232"/>
      <c r="L2263" s="234"/>
      <c r="M2263" s="197"/>
      <c r="N2263" s="197"/>
      <c r="O2263" s="197"/>
      <c r="P2263" s="197"/>
      <c r="Q2263" s="234"/>
      <c r="R2263" s="197"/>
    </row>
    <row r="2264" spans="2:18" s="233" customFormat="1" ht="13.5" hidden="1" outlineLevel="2">
      <c r="B2264" s="299" t="s">
        <v>268</v>
      </c>
      <c r="C2264" s="304" t="s">
        <v>1313</v>
      </c>
      <c r="D2264" s="685" t="s">
        <v>447</v>
      </c>
      <c r="E2264" s="306" t="s">
        <v>1419</v>
      </c>
      <c r="F2264" s="307"/>
      <c r="G2264" s="297" t="s">
        <v>1353</v>
      </c>
      <c r="H2264" s="308" t="str">
        <f t="shared" si="119"/>
        <v>AR-AMN-2</v>
      </c>
      <c r="I2264" s="661">
        <v>2</v>
      </c>
      <c r="J2264" s="197">
        <v>1</v>
      </c>
      <c r="K2264" s="232"/>
      <c r="L2264" s="234"/>
      <c r="M2264" s="197"/>
      <c r="N2264" s="197"/>
      <c r="O2264" s="197"/>
      <c r="P2264" s="197"/>
      <c r="Q2264" s="234"/>
      <c r="R2264" s="197"/>
    </row>
    <row r="2265" spans="2:18" s="233" customFormat="1" ht="3" hidden="1" customHeight="1" outlineLevel="2">
      <c r="B2265" s="299"/>
      <c r="C2265" s="304"/>
      <c r="D2265" s="685"/>
      <c r="E2265" s="306" t="s">
        <v>277</v>
      </c>
      <c r="F2265" s="307"/>
      <c r="G2265" s="297"/>
      <c r="H2265" s="308"/>
      <c r="I2265" s="661"/>
      <c r="J2265" s="197"/>
      <c r="K2265" s="232"/>
      <c r="L2265" s="234"/>
      <c r="M2265" s="197"/>
      <c r="N2265" s="197"/>
      <c r="O2265" s="197"/>
      <c r="P2265" s="197"/>
      <c r="Q2265" s="234"/>
      <c r="R2265" s="197"/>
    </row>
    <row r="2266" spans="2:18" s="233" customFormat="1" ht="13.5" hidden="1" outlineLevel="2">
      <c r="B2266" s="299" t="s">
        <v>967</v>
      </c>
      <c r="C2266" s="304"/>
      <c r="D2266" s="685"/>
      <c r="E2266" s="306" t="s">
        <v>277</v>
      </c>
      <c r="F2266" s="307"/>
      <c r="G2266" s="297"/>
      <c r="H2266" s="308"/>
      <c r="I2266" s="661"/>
      <c r="J2266" s="197"/>
      <c r="K2266" s="232"/>
      <c r="L2266" s="234"/>
      <c r="M2266" s="197"/>
      <c r="N2266" s="197"/>
      <c r="O2266" s="197"/>
      <c r="P2266" s="197"/>
      <c r="Q2266" s="234"/>
      <c r="R2266" s="197"/>
    </row>
    <row r="2267" spans="2:18" s="233" customFormat="1" ht="13.5" hidden="1" outlineLevel="2">
      <c r="B2267" s="299" t="s">
        <v>268</v>
      </c>
      <c r="C2267" s="304" t="s">
        <v>1313</v>
      </c>
      <c r="D2267" s="685">
        <v>4015</v>
      </c>
      <c r="E2267" s="306" t="s">
        <v>1420</v>
      </c>
      <c r="F2267" s="307"/>
      <c r="G2267" s="297" t="s">
        <v>1353</v>
      </c>
      <c r="H2267" s="308" t="str">
        <f t="shared" ref="H2267:H2268" si="120">CONCATENATE("AR-",G2267,"-",I2267)</f>
        <v>AR-AMN-2</v>
      </c>
      <c r="I2267" s="661">
        <v>2</v>
      </c>
      <c r="J2267" s="197"/>
      <c r="K2267" s="232"/>
      <c r="L2267" s="234">
        <v>1</v>
      </c>
      <c r="M2267" s="197">
        <v>1</v>
      </c>
      <c r="N2267" s="197"/>
      <c r="O2267" s="197"/>
      <c r="P2267" s="197"/>
      <c r="Q2267" s="234">
        <v>1</v>
      </c>
      <c r="R2267" s="197">
        <v>1</v>
      </c>
    </row>
    <row r="2268" spans="2:18" s="233" customFormat="1" ht="13.5" hidden="1" outlineLevel="2">
      <c r="B2268" s="299" t="s">
        <v>268</v>
      </c>
      <c r="C2268" s="304" t="s">
        <v>1313</v>
      </c>
      <c r="D2268" s="685">
        <v>4016</v>
      </c>
      <c r="E2268" s="306" t="s">
        <v>1421</v>
      </c>
      <c r="F2268" s="307"/>
      <c r="G2268" s="297" t="s">
        <v>1353</v>
      </c>
      <c r="H2268" s="308" t="str">
        <f t="shared" si="120"/>
        <v>AR-AMN-2</v>
      </c>
      <c r="I2268" s="661">
        <v>2</v>
      </c>
      <c r="J2268" s="197"/>
      <c r="K2268" s="232"/>
      <c r="L2268" s="234">
        <v>1</v>
      </c>
      <c r="M2268" s="197">
        <v>1</v>
      </c>
      <c r="N2268" s="197"/>
      <c r="O2268" s="197"/>
      <c r="P2268" s="197"/>
      <c r="Q2268" s="234">
        <v>1</v>
      </c>
      <c r="R2268" s="197">
        <v>1</v>
      </c>
    </row>
    <row r="2269" spans="2:18" s="233" customFormat="1" ht="13.5" hidden="1" outlineLevel="2">
      <c r="B2269" s="299" t="s">
        <v>268</v>
      </c>
      <c r="C2269" s="304" t="s">
        <v>1313</v>
      </c>
      <c r="D2269" s="685">
        <v>4021</v>
      </c>
      <c r="E2269" s="306" t="s">
        <v>1422</v>
      </c>
      <c r="F2269" s="307"/>
      <c r="G2269" s="297" t="s">
        <v>1353</v>
      </c>
      <c r="H2269" s="308" t="str">
        <f t="shared" ref="H2269" si="121">CONCATENATE("AR-",G2269,"-",I2269)</f>
        <v>AR-AMN-3</v>
      </c>
      <c r="I2269" s="661">
        <v>3</v>
      </c>
      <c r="J2269" s="197"/>
      <c r="K2269" s="232"/>
      <c r="L2269" s="234">
        <v>1</v>
      </c>
      <c r="M2269" s="197">
        <v>1</v>
      </c>
      <c r="N2269" s="197"/>
      <c r="O2269" s="197"/>
      <c r="P2269" s="197"/>
      <c r="Q2269" s="234">
        <v>1</v>
      </c>
      <c r="R2269" s="197">
        <v>1</v>
      </c>
    </row>
    <row r="2270" spans="2:18" s="233" customFormat="1" ht="13.5" hidden="1" outlineLevel="2">
      <c r="B2270" s="299" t="s">
        <v>268</v>
      </c>
      <c r="C2270" s="304" t="s">
        <v>1313</v>
      </c>
      <c r="D2270" s="685">
        <v>5401</v>
      </c>
      <c r="E2270" s="306" t="s">
        <v>1423</v>
      </c>
      <c r="F2270" s="307"/>
      <c r="G2270" s="297" t="s">
        <v>1353</v>
      </c>
      <c r="H2270" s="308" t="str">
        <f t="shared" ref="H2270:H2273" si="122">CONCATENATE("AR-",G2270,"-",I2270)</f>
        <v>AR-AMN-2</v>
      </c>
      <c r="I2270" s="661">
        <v>2</v>
      </c>
      <c r="J2270" s="234">
        <v>1</v>
      </c>
      <c r="K2270" s="232"/>
      <c r="L2270" s="234"/>
      <c r="M2270" s="197"/>
      <c r="N2270" s="197"/>
      <c r="O2270" s="197"/>
      <c r="P2270" s="197"/>
      <c r="Q2270" s="234"/>
      <c r="R2270" s="197"/>
    </row>
    <row r="2271" spans="2:18" s="233" customFormat="1" ht="13.5" hidden="1" outlineLevel="2">
      <c r="B2271" s="299" t="s">
        <v>268</v>
      </c>
      <c r="C2271" s="304" t="s">
        <v>1313</v>
      </c>
      <c r="D2271" s="685">
        <v>5401</v>
      </c>
      <c r="E2271" s="306" t="s">
        <v>1424</v>
      </c>
      <c r="F2271" s="307"/>
      <c r="G2271" s="297" t="s">
        <v>1353</v>
      </c>
      <c r="H2271" s="308" t="str">
        <f t="shared" ref="H2271:H2272" si="123">CONCATENATE("AR-",G2271,"-",I2271)</f>
        <v>AR-AMN-2</v>
      </c>
      <c r="I2271" s="661">
        <v>2</v>
      </c>
      <c r="J2271" s="234">
        <v>1</v>
      </c>
      <c r="K2271" s="232"/>
      <c r="L2271" s="234"/>
      <c r="M2271" s="197"/>
      <c r="N2271" s="197"/>
      <c r="O2271" s="197"/>
      <c r="P2271" s="197"/>
      <c r="Q2271" s="234"/>
      <c r="R2271" s="197"/>
    </row>
    <row r="2272" spans="2:18" s="233" customFormat="1" ht="13.5" hidden="1" outlineLevel="2">
      <c r="B2272" s="299" t="s">
        <v>268</v>
      </c>
      <c r="C2272" s="304" t="s">
        <v>1313</v>
      </c>
      <c r="D2272" s="685">
        <v>5402</v>
      </c>
      <c r="E2272" s="306" t="s">
        <v>1425</v>
      </c>
      <c r="F2272" s="307"/>
      <c r="G2272" s="297" t="s">
        <v>1353</v>
      </c>
      <c r="H2272" s="308" t="str">
        <f t="shared" si="123"/>
        <v>AR-AMN-2</v>
      </c>
      <c r="I2272" s="661">
        <v>2</v>
      </c>
      <c r="J2272" s="234">
        <v>1</v>
      </c>
      <c r="K2272" s="232"/>
      <c r="L2272" s="234"/>
      <c r="M2272" s="197"/>
      <c r="N2272" s="197"/>
      <c r="O2272" s="197"/>
      <c r="P2272" s="197"/>
      <c r="Q2272" s="234"/>
      <c r="R2272" s="197"/>
    </row>
    <row r="2273" spans="2:18" s="233" customFormat="1" ht="13.5" hidden="1" outlineLevel="2">
      <c r="B2273" s="299" t="s">
        <v>268</v>
      </c>
      <c r="C2273" s="304" t="s">
        <v>1313</v>
      </c>
      <c r="D2273" s="685">
        <v>5402</v>
      </c>
      <c r="E2273" s="306" t="s">
        <v>1426</v>
      </c>
      <c r="F2273" s="307"/>
      <c r="G2273" s="297" t="s">
        <v>1353</v>
      </c>
      <c r="H2273" s="308" t="str">
        <f t="shared" si="122"/>
        <v>AR-AMN-2</v>
      </c>
      <c r="I2273" s="661">
        <v>2</v>
      </c>
      <c r="J2273" s="234">
        <v>1</v>
      </c>
      <c r="K2273" s="232"/>
      <c r="L2273" s="234"/>
      <c r="M2273" s="197"/>
      <c r="N2273" s="197"/>
      <c r="O2273" s="197"/>
      <c r="P2273" s="197"/>
      <c r="Q2273" s="234"/>
      <c r="R2273" s="197"/>
    </row>
    <row r="2274" spans="2:18" s="233" customFormat="1" ht="3" hidden="1" customHeight="1" outlineLevel="2">
      <c r="B2274" s="299"/>
      <c r="C2274" s="304"/>
      <c r="D2274" s="685"/>
      <c r="E2274" s="306" t="s">
        <v>277</v>
      </c>
      <c r="F2274" s="307"/>
      <c r="G2274" s="297"/>
      <c r="H2274" s="308"/>
      <c r="I2274" s="661"/>
      <c r="J2274" s="197"/>
      <c r="K2274" s="232"/>
      <c r="L2274" s="234"/>
      <c r="M2274" s="197"/>
      <c r="N2274" s="197"/>
      <c r="O2274" s="197"/>
      <c r="P2274" s="197"/>
      <c r="Q2274" s="234"/>
      <c r="R2274" s="197"/>
    </row>
    <row r="2275" spans="2:18" s="233" customFormat="1" ht="14.25" hidden="1" customHeight="1" outlineLevel="2">
      <c r="B2275" s="299" t="s">
        <v>1427</v>
      </c>
      <c r="C2275" s="304"/>
      <c r="D2275" s="685"/>
      <c r="E2275" s="306" t="s">
        <v>277</v>
      </c>
      <c r="F2275" s="307"/>
      <c r="G2275" s="297"/>
      <c r="H2275" s="308"/>
      <c r="I2275" s="661"/>
      <c r="J2275" s="197"/>
      <c r="K2275" s="232"/>
      <c r="L2275" s="234"/>
      <c r="M2275" s="197"/>
      <c r="N2275" s="197"/>
      <c r="O2275" s="197"/>
      <c r="P2275" s="197"/>
      <c r="Q2275" s="234"/>
      <c r="R2275" s="197"/>
    </row>
    <row r="2276" spans="2:18" s="233" customFormat="1" ht="13.5" hidden="1" outlineLevel="2">
      <c r="B2276" s="299" t="s">
        <v>268</v>
      </c>
      <c r="C2276" s="304" t="s">
        <v>1313</v>
      </c>
      <c r="D2276" s="685">
        <v>5501</v>
      </c>
      <c r="E2276" s="306" t="s">
        <v>1428</v>
      </c>
      <c r="F2276" s="307"/>
      <c r="G2276" s="297" t="s">
        <v>1353</v>
      </c>
      <c r="H2276" s="308" t="str">
        <f t="shared" ref="H2276:H2282" si="124">CONCATENATE("AR-",G2276,"-",I2276)</f>
        <v>AR-AMN-2</v>
      </c>
      <c r="I2276" s="661">
        <v>2</v>
      </c>
      <c r="J2276" s="197">
        <v>1</v>
      </c>
      <c r="K2276" s="232"/>
      <c r="L2276" s="234"/>
      <c r="M2276" s="197"/>
      <c r="N2276" s="197"/>
      <c r="O2276" s="197"/>
      <c r="P2276" s="197"/>
      <c r="Q2276" s="234"/>
      <c r="R2276" s="197"/>
    </row>
    <row r="2277" spans="2:18" s="233" customFormat="1" ht="13.5" hidden="1" outlineLevel="2">
      <c r="B2277" s="299" t="s">
        <v>268</v>
      </c>
      <c r="C2277" s="304" t="s">
        <v>1313</v>
      </c>
      <c r="D2277" s="685">
        <v>5502</v>
      </c>
      <c r="E2277" s="306" t="s">
        <v>1429</v>
      </c>
      <c r="F2277" s="307"/>
      <c r="G2277" s="297" t="s">
        <v>1353</v>
      </c>
      <c r="H2277" s="308" t="str">
        <f t="shared" si="124"/>
        <v>AR-AMN-2</v>
      </c>
      <c r="I2277" s="661">
        <v>2</v>
      </c>
      <c r="J2277" s="197">
        <v>1</v>
      </c>
      <c r="K2277" s="232"/>
      <c r="L2277" s="234"/>
      <c r="M2277" s="197"/>
      <c r="N2277" s="197"/>
      <c r="O2277" s="197"/>
      <c r="P2277" s="197"/>
      <c r="Q2277" s="234"/>
      <c r="R2277" s="197"/>
    </row>
    <row r="2278" spans="2:18" s="233" customFormat="1" ht="13.5" hidden="1" outlineLevel="2">
      <c r="B2278" s="299" t="s">
        <v>268</v>
      </c>
      <c r="C2278" s="304" t="s">
        <v>1313</v>
      </c>
      <c r="D2278" s="685">
        <v>5503</v>
      </c>
      <c r="E2278" s="306" t="s">
        <v>1430</v>
      </c>
      <c r="F2278" s="307"/>
      <c r="G2278" s="297" t="s">
        <v>1353</v>
      </c>
      <c r="H2278" s="308" t="str">
        <f t="shared" si="124"/>
        <v>AR-AMN-2</v>
      </c>
      <c r="I2278" s="661">
        <v>2</v>
      </c>
      <c r="J2278" s="197">
        <v>1</v>
      </c>
      <c r="K2278" s="232"/>
      <c r="L2278" s="234"/>
      <c r="M2278" s="197"/>
      <c r="N2278" s="197"/>
      <c r="O2278" s="197"/>
      <c r="P2278" s="197"/>
      <c r="Q2278" s="234"/>
      <c r="R2278" s="197"/>
    </row>
    <row r="2279" spans="2:18" s="233" customFormat="1" ht="13.5" hidden="1" outlineLevel="2">
      <c r="B2279" s="299" t="s">
        <v>268</v>
      </c>
      <c r="C2279" s="304" t="s">
        <v>1313</v>
      </c>
      <c r="D2279" s="685">
        <v>5504</v>
      </c>
      <c r="E2279" s="306" t="s">
        <v>1430</v>
      </c>
      <c r="F2279" s="307"/>
      <c r="G2279" s="297" t="s">
        <v>1353</v>
      </c>
      <c r="H2279" s="308" t="str">
        <f t="shared" si="124"/>
        <v>AR-AMN-2</v>
      </c>
      <c r="I2279" s="661">
        <v>2</v>
      </c>
      <c r="J2279" s="197">
        <v>1</v>
      </c>
      <c r="K2279" s="232"/>
      <c r="L2279" s="234"/>
      <c r="M2279" s="197"/>
      <c r="N2279" s="197"/>
      <c r="O2279" s="197"/>
      <c r="P2279" s="197"/>
      <c r="Q2279" s="234"/>
      <c r="R2279" s="197"/>
    </row>
    <row r="2280" spans="2:18" s="233" customFormat="1" ht="13.5" hidden="1" outlineLevel="2">
      <c r="B2280" s="299" t="s">
        <v>268</v>
      </c>
      <c r="C2280" s="304" t="s">
        <v>1313</v>
      </c>
      <c r="D2280" s="685">
        <v>5506</v>
      </c>
      <c r="E2280" s="306" t="s">
        <v>1431</v>
      </c>
      <c r="F2280" s="307"/>
      <c r="G2280" s="297" t="s">
        <v>1353</v>
      </c>
      <c r="H2280" s="308" t="str">
        <f t="shared" si="124"/>
        <v>AR-AMN-2</v>
      </c>
      <c r="I2280" s="661">
        <v>2</v>
      </c>
      <c r="J2280" s="197">
        <v>1</v>
      </c>
      <c r="K2280" s="232"/>
      <c r="L2280" s="234"/>
      <c r="M2280" s="197"/>
      <c r="N2280" s="197"/>
      <c r="O2280" s="197"/>
      <c r="P2280" s="197"/>
      <c r="Q2280" s="234"/>
      <c r="R2280" s="197"/>
    </row>
    <row r="2281" spans="2:18" s="233" customFormat="1" ht="13.5" hidden="1" outlineLevel="2">
      <c r="B2281" s="299" t="s">
        <v>268</v>
      </c>
      <c r="C2281" s="304" t="s">
        <v>1313</v>
      </c>
      <c r="D2281" s="685">
        <v>5507</v>
      </c>
      <c r="E2281" s="306" t="s">
        <v>1432</v>
      </c>
      <c r="F2281" s="307"/>
      <c r="G2281" s="297" t="s">
        <v>1353</v>
      </c>
      <c r="H2281" s="308" t="str">
        <f t="shared" si="124"/>
        <v>AR-AMN-2</v>
      </c>
      <c r="I2281" s="661">
        <v>2</v>
      </c>
      <c r="J2281" s="197">
        <v>1</v>
      </c>
      <c r="K2281" s="232"/>
      <c r="L2281" s="234"/>
      <c r="M2281" s="197"/>
      <c r="N2281" s="197"/>
      <c r="O2281" s="197"/>
      <c r="P2281" s="197"/>
      <c r="Q2281" s="234"/>
      <c r="R2281" s="197"/>
    </row>
    <row r="2282" spans="2:18" s="233" customFormat="1" ht="13.5" hidden="1" outlineLevel="2">
      <c r="B2282" s="299" t="s">
        <v>268</v>
      </c>
      <c r="C2282" s="304" t="s">
        <v>1313</v>
      </c>
      <c r="D2282" s="685">
        <v>5514</v>
      </c>
      <c r="E2282" s="306" t="s">
        <v>1432</v>
      </c>
      <c r="F2282" s="307"/>
      <c r="G2282" s="297" t="s">
        <v>1353</v>
      </c>
      <c r="H2282" s="308" t="str">
        <f t="shared" si="124"/>
        <v>AR-AMN-2</v>
      </c>
      <c r="I2282" s="661">
        <v>2</v>
      </c>
      <c r="J2282" s="197">
        <v>1</v>
      </c>
      <c r="K2282" s="232"/>
      <c r="L2282" s="234"/>
      <c r="M2282" s="197"/>
      <c r="N2282" s="197"/>
      <c r="O2282" s="197"/>
      <c r="P2282" s="197"/>
      <c r="Q2282" s="234"/>
      <c r="R2282" s="197"/>
    </row>
    <row r="2283" spans="2:18" s="233" customFormat="1" ht="3" hidden="1" customHeight="1" outlineLevel="2">
      <c r="B2283" s="299"/>
      <c r="C2283" s="304"/>
      <c r="D2283" s="685"/>
      <c r="E2283" s="306" t="s">
        <v>277</v>
      </c>
      <c r="F2283" s="307"/>
      <c r="G2283" s="297"/>
      <c r="H2283" s="308"/>
      <c r="I2283" s="661"/>
      <c r="J2283" s="197"/>
      <c r="K2283" s="232"/>
      <c r="L2283" s="234"/>
      <c r="M2283" s="197"/>
      <c r="N2283" s="197"/>
      <c r="O2283" s="197"/>
      <c r="P2283" s="197"/>
      <c r="Q2283" s="234"/>
      <c r="R2283" s="197"/>
    </row>
    <row r="2284" spans="2:18" s="233" customFormat="1" ht="14.25" hidden="1" customHeight="1" outlineLevel="2">
      <c r="B2284" s="299" t="s">
        <v>1309</v>
      </c>
      <c r="C2284" s="304"/>
      <c r="D2284" s="685"/>
      <c r="E2284" s="306" t="s">
        <v>277</v>
      </c>
      <c r="F2284" s="307"/>
      <c r="G2284" s="297"/>
      <c r="H2284" s="308"/>
      <c r="I2284" s="661"/>
      <c r="J2284" s="197"/>
      <c r="K2284" s="232"/>
      <c r="L2284" s="234"/>
      <c r="M2284" s="197"/>
      <c r="Q2284" s="237"/>
    </row>
    <row r="2285" spans="2:18" s="233" customFormat="1" ht="13.5" hidden="1" outlineLevel="2">
      <c r="B2285" s="299" t="s">
        <v>268</v>
      </c>
      <c r="C2285" s="304" t="s">
        <v>1313</v>
      </c>
      <c r="D2285" s="685">
        <v>6601</v>
      </c>
      <c r="E2285" s="306" t="s">
        <v>1310</v>
      </c>
      <c r="F2285" s="307"/>
      <c r="G2285" s="297" t="s">
        <v>1353</v>
      </c>
      <c r="H2285" s="308" t="str">
        <f>CONCATENATE("AR-",G2285,"-",I2285)</f>
        <v>AR-AMN-2</v>
      </c>
      <c r="I2285" s="661">
        <v>2</v>
      </c>
      <c r="J2285" s="197">
        <v>1</v>
      </c>
      <c r="K2285" s="232"/>
      <c r="L2285" s="234"/>
      <c r="M2285" s="197"/>
      <c r="Q2285" s="237"/>
    </row>
    <row r="2286" spans="2:18" s="233" customFormat="1" ht="13.5" hidden="1" outlineLevel="2">
      <c r="B2286" s="299" t="s">
        <v>268</v>
      </c>
      <c r="C2286" s="304" t="s">
        <v>1313</v>
      </c>
      <c r="D2286" s="685">
        <v>6602</v>
      </c>
      <c r="E2286" s="306" t="s">
        <v>1311</v>
      </c>
      <c r="F2286" s="307"/>
      <c r="G2286" s="297" t="s">
        <v>1353</v>
      </c>
      <c r="H2286" s="308" t="str">
        <f>CONCATENATE("AR-",G2286,"-",I2286)</f>
        <v>AR-AMN-2</v>
      </c>
      <c r="I2286" s="661">
        <v>2</v>
      </c>
      <c r="J2286" s="197">
        <v>1</v>
      </c>
      <c r="K2286" s="232"/>
      <c r="L2286" s="234"/>
      <c r="M2286" s="197"/>
      <c r="Q2286" s="237"/>
    </row>
    <row r="2287" spans="2:18" s="233" customFormat="1" ht="3" hidden="1" customHeight="1" outlineLevel="2">
      <c r="B2287" s="299"/>
      <c r="C2287" s="304"/>
      <c r="D2287" s="685"/>
      <c r="E2287" s="306"/>
      <c r="F2287" s="307"/>
      <c r="G2287" s="297"/>
      <c r="H2287" s="308"/>
      <c r="I2287" s="661"/>
      <c r="J2287" s="197"/>
      <c r="K2287" s="232"/>
      <c r="L2287" s="234"/>
      <c r="M2287" s="197"/>
      <c r="Q2287" s="237"/>
    </row>
    <row r="2288" spans="2:18" s="233" customFormat="1" ht="14.25" hidden="1" customHeight="1" outlineLevel="2">
      <c r="B2288" s="299" t="s">
        <v>1433</v>
      </c>
      <c r="C2288" s="304"/>
      <c r="D2288" s="685"/>
      <c r="E2288" s="306" t="s">
        <v>277</v>
      </c>
      <c r="F2288" s="307"/>
      <c r="G2288" s="297"/>
      <c r="H2288" s="308"/>
      <c r="I2288" s="661"/>
      <c r="J2288" s="197"/>
      <c r="K2288" s="232"/>
      <c r="L2288" s="234"/>
      <c r="M2288" s="197"/>
      <c r="Q2288" s="237"/>
    </row>
    <row r="2289" spans="2:19" s="233" customFormat="1" ht="13.5" hidden="1" outlineLevel="2">
      <c r="B2289" s="299" t="s">
        <v>268</v>
      </c>
      <c r="C2289" s="304" t="s">
        <v>1313</v>
      </c>
      <c r="D2289" s="685"/>
      <c r="E2289" s="306" t="s">
        <v>1434</v>
      </c>
      <c r="F2289" s="307"/>
      <c r="G2289" s="297" t="s">
        <v>1353</v>
      </c>
      <c r="H2289" s="308" t="str">
        <f t="shared" ref="H2289:H2298" si="125">CONCATENATE("AR-",G2289,"-",I2289)</f>
        <v>AR-AMN-2</v>
      </c>
      <c r="I2289" s="661">
        <v>2</v>
      </c>
      <c r="J2289" s="197">
        <v>1</v>
      </c>
      <c r="K2289" s="232"/>
      <c r="L2289" s="234"/>
      <c r="M2289" s="197"/>
      <c r="Q2289" s="237"/>
    </row>
    <row r="2290" spans="2:19" s="233" customFormat="1" ht="13.5" hidden="1" outlineLevel="2">
      <c r="B2290" s="299" t="s">
        <v>268</v>
      </c>
      <c r="C2290" s="304" t="s">
        <v>1313</v>
      </c>
      <c r="D2290" s="685"/>
      <c r="E2290" s="306" t="s">
        <v>1435</v>
      </c>
      <c r="F2290" s="307"/>
      <c r="G2290" s="297" t="s">
        <v>1353</v>
      </c>
      <c r="H2290" s="308" t="str">
        <f t="shared" si="125"/>
        <v>AR-AMN-2</v>
      </c>
      <c r="I2290" s="661">
        <v>2</v>
      </c>
      <c r="J2290" s="197">
        <v>1</v>
      </c>
      <c r="K2290" s="232"/>
      <c r="L2290" s="234"/>
      <c r="M2290" s="197"/>
      <c r="Q2290" s="237"/>
    </row>
    <row r="2291" spans="2:19" s="233" customFormat="1" ht="13.5" hidden="1" outlineLevel="2">
      <c r="B2291" s="299" t="s">
        <v>268</v>
      </c>
      <c r="C2291" s="304" t="s">
        <v>1313</v>
      </c>
      <c r="D2291" s="685"/>
      <c r="E2291" s="306" t="s">
        <v>1436</v>
      </c>
      <c r="F2291" s="307"/>
      <c r="G2291" s="297" t="s">
        <v>1353</v>
      </c>
      <c r="H2291" s="308" t="str">
        <f t="shared" si="125"/>
        <v>AR-AMN-2</v>
      </c>
      <c r="I2291" s="661">
        <v>2</v>
      </c>
      <c r="J2291" s="197">
        <v>1</v>
      </c>
      <c r="K2291" s="232"/>
      <c r="L2291" s="234"/>
      <c r="M2291" s="197"/>
      <c r="Q2291" s="237"/>
    </row>
    <row r="2292" spans="2:19" s="233" customFormat="1" ht="13.5" hidden="1" outlineLevel="2">
      <c r="B2292" s="299" t="s">
        <v>268</v>
      </c>
      <c r="C2292" s="304" t="s">
        <v>1313</v>
      </c>
      <c r="D2292" s="685"/>
      <c r="E2292" s="306" t="s">
        <v>1437</v>
      </c>
      <c r="F2292" s="307"/>
      <c r="G2292" s="297" t="s">
        <v>1353</v>
      </c>
      <c r="H2292" s="308" t="str">
        <f t="shared" si="125"/>
        <v>AR-AMN-2</v>
      </c>
      <c r="I2292" s="661">
        <v>2</v>
      </c>
      <c r="J2292" s="197">
        <v>1</v>
      </c>
      <c r="K2292" s="232"/>
      <c r="L2292" s="234"/>
      <c r="M2292" s="197"/>
      <c r="Q2292" s="237"/>
    </row>
    <row r="2293" spans="2:19" s="233" customFormat="1" ht="13.5" hidden="1" outlineLevel="2">
      <c r="B2293" s="299" t="s">
        <v>268</v>
      </c>
      <c r="C2293" s="304" t="s">
        <v>1313</v>
      </c>
      <c r="D2293" s="685"/>
      <c r="E2293" s="306" t="s">
        <v>1438</v>
      </c>
      <c r="F2293" s="307"/>
      <c r="G2293" s="297" t="s">
        <v>1353</v>
      </c>
      <c r="H2293" s="308" t="str">
        <f t="shared" si="125"/>
        <v>AR-AMN-2</v>
      </c>
      <c r="I2293" s="661">
        <v>2</v>
      </c>
      <c r="J2293" s="234">
        <v>1</v>
      </c>
      <c r="K2293" s="232"/>
      <c r="L2293" s="234"/>
      <c r="M2293" s="197"/>
      <c r="Q2293" s="237"/>
    </row>
    <row r="2294" spans="2:19" s="233" customFormat="1" ht="13.5" hidden="1" outlineLevel="2">
      <c r="B2294" s="299" t="s">
        <v>268</v>
      </c>
      <c r="C2294" s="304" t="s">
        <v>1313</v>
      </c>
      <c r="D2294" s="685"/>
      <c r="E2294" s="306" t="s">
        <v>1439</v>
      </c>
      <c r="F2294" s="307"/>
      <c r="G2294" s="297" t="s">
        <v>1353</v>
      </c>
      <c r="H2294" s="308" t="str">
        <f t="shared" si="125"/>
        <v>AR-AMN-2</v>
      </c>
      <c r="I2294" s="661">
        <v>2</v>
      </c>
      <c r="J2294" s="234">
        <v>1</v>
      </c>
      <c r="K2294" s="232"/>
      <c r="L2294" s="234"/>
      <c r="M2294" s="197"/>
      <c r="Q2294" s="237"/>
    </row>
    <row r="2295" spans="2:19" s="233" customFormat="1" ht="13.5" hidden="1" outlineLevel="2">
      <c r="B2295" s="299" t="s">
        <v>268</v>
      </c>
      <c r="C2295" s="304" t="s">
        <v>1313</v>
      </c>
      <c r="D2295" s="685"/>
      <c r="E2295" s="306" t="s">
        <v>1440</v>
      </c>
      <c r="F2295" s="307"/>
      <c r="G2295" s="297" t="s">
        <v>1353</v>
      </c>
      <c r="H2295" s="308" t="str">
        <f t="shared" si="125"/>
        <v>AR-AMN-2</v>
      </c>
      <c r="I2295" s="661">
        <v>2</v>
      </c>
      <c r="J2295" s="197"/>
      <c r="K2295" s="232"/>
      <c r="L2295" s="234">
        <v>1</v>
      </c>
      <c r="M2295" s="197">
        <v>1</v>
      </c>
      <c r="Q2295" s="237">
        <v>1</v>
      </c>
      <c r="S2295" s="233">
        <v>1</v>
      </c>
    </row>
    <row r="2296" spans="2:19" s="233" customFormat="1" ht="13.5" hidden="1" outlineLevel="2">
      <c r="B2296" s="299" t="s">
        <v>268</v>
      </c>
      <c r="C2296" s="304" t="s">
        <v>1313</v>
      </c>
      <c r="D2296" s="685"/>
      <c r="E2296" s="306" t="s">
        <v>1441</v>
      </c>
      <c r="F2296" s="307"/>
      <c r="G2296" s="297" t="s">
        <v>1353</v>
      </c>
      <c r="H2296" s="308" t="str">
        <f t="shared" si="125"/>
        <v>AR-AMN-2</v>
      </c>
      <c r="I2296" s="661">
        <v>2</v>
      </c>
      <c r="J2296" s="234">
        <v>1</v>
      </c>
      <c r="K2296" s="232"/>
      <c r="L2296" s="234"/>
      <c r="M2296" s="197"/>
      <c r="Q2296" s="237"/>
    </row>
    <row r="2297" spans="2:19" s="233" customFormat="1" ht="13.5" hidden="1" outlineLevel="2">
      <c r="B2297" s="299" t="s">
        <v>268</v>
      </c>
      <c r="C2297" s="304" t="s">
        <v>1313</v>
      </c>
      <c r="D2297" s="685" t="s">
        <v>1442</v>
      </c>
      <c r="E2297" s="306" t="s">
        <v>1443</v>
      </c>
      <c r="F2297" s="307"/>
      <c r="G2297" s="297" t="s">
        <v>1353</v>
      </c>
      <c r="H2297" s="308" t="str">
        <f t="shared" si="125"/>
        <v>AR-AMN-NA</v>
      </c>
      <c r="I2297" s="665" t="s">
        <v>293</v>
      </c>
      <c r="J2297" s="197"/>
      <c r="K2297" s="232"/>
      <c r="L2297" s="234"/>
      <c r="M2297" s="197"/>
      <c r="Q2297" s="237"/>
    </row>
    <row r="2298" spans="2:19" s="233" customFormat="1" ht="13.5" hidden="1" outlineLevel="2">
      <c r="B2298" s="299" t="s">
        <v>268</v>
      </c>
      <c r="C2298" s="304" t="s">
        <v>1313</v>
      </c>
      <c r="D2298" s="685"/>
      <c r="E2298" s="306" t="s">
        <v>1444</v>
      </c>
      <c r="F2298" s="307"/>
      <c r="G2298" s="297" t="s">
        <v>1353</v>
      </c>
      <c r="H2298" s="308" t="str">
        <f t="shared" si="125"/>
        <v>AR-AMN-2</v>
      </c>
      <c r="I2298" s="661">
        <v>2</v>
      </c>
      <c r="J2298" s="234">
        <v>1</v>
      </c>
      <c r="K2298" s="232"/>
      <c r="L2298" s="234"/>
      <c r="M2298" s="197"/>
      <c r="Q2298" s="237"/>
    </row>
    <row r="2299" spans="2:19" s="233" customFormat="1" ht="13.5" hidden="1" outlineLevel="2">
      <c r="L2299" s="237"/>
      <c r="Q2299" s="237"/>
    </row>
    <row r="2300" spans="2:19" s="233" customFormat="1" ht="3" hidden="1" customHeight="1" outlineLevel="2">
      <c r="B2300" s="299"/>
      <c r="C2300" s="304"/>
      <c r="D2300" s="685"/>
      <c r="E2300" s="306" t="s">
        <v>277</v>
      </c>
      <c r="F2300" s="307"/>
      <c r="G2300" s="297"/>
      <c r="H2300" s="308"/>
      <c r="I2300" s="661"/>
      <c r="L2300" s="237"/>
      <c r="Q2300" s="237"/>
    </row>
    <row r="2301" spans="2:19" s="233" customFormat="1" ht="13.5" hidden="1" outlineLevel="1">
      <c r="B2301" s="299" t="s">
        <v>1445</v>
      </c>
      <c r="C2301" s="304"/>
      <c r="D2301" s="685"/>
      <c r="E2301" s="306" t="s">
        <v>277</v>
      </c>
      <c r="F2301" s="307"/>
      <c r="G2301" s="297"/>
      <c r="H2301" s="308"/>
      <c r="I2301" s="665" t="s">
        <v>293</v>
      </c>
      <c r="L2301" s="237"/>
      <c r="Q2301" s="237"/>
    </row>
    <row r="2302" spans="2:19" s="233" customFormat="1" ht="3" hidden="1" customHeight="1" outlineLevel="2">
      <c r="B2302" s="299"/>
      <c r="C2302" s="304"/>
      <c r="D2302" s="685"/>
      <c r="E2302" s="306" t="s">
        <v>277</v>
      </c>
      <c r="F2302" s="307"/>
      <c r="G2302" s="297"/>
      <c r="H2302" s="308"/>
      <c r="I2302" s="661"/>
      <c r="L2302" s="237"/>
      <c r="Q2302" s="237"/>
    </row>
    <row r="2303" spans="2:19" s="233" customFormat="1" ht="14.25" hidden="1" customHeight="1" outlineLevel="2">
      <c r="B2303" s="299" t="s">
        <v>1281</v>
      </c>
      <c r="C2303" s="304"/>
      <c r="D2303" s="685"/>
      <c r="E2303" s="306" t="s">
        <v>277</v>
      </c>
      <c r="F2303" s="307"/>
      <c r="G2303" s="297"/>
      <c r="H2303" s="308"/>
      <c r="I2303" s="661"/>
      <c r="L2303" s="237"/>
      <c r="Q2303" s="237"/>
    </row>
    <row r="2304" spans="2:19" s="233" customFormat="1" ht="13.5" hidden="1" outlineLevel="2">
      <c r="B2304" s="299" t="s">
        <v>268</v>
      </c>
      <c r="C2304" s="304" t="s">
        <v>1446</v>
      </c>
      <c r="D2304" s="685" t="s">
        <v>270</v>
      </c>
      <c r="E2304" s="306" t="s">
        <v>599</v>
      </c>
      <c r="F2304" s="307"/>
      <c r="G2304" s="297" t="s">
        <v>1353</v>
      </c>
      <c r="H2304" s="308" t="str">
        <f>CONCATENATE("AR-",G2304,"-",I2304)</f>
        <v>AR-AMN-NA</v>
      </c>
      <c r="I2304" s="665" t="s">
        <v>293</v>
      </c>
      <c r="L2304" s="237"/>
      <c r="Q2304" s="237"/>
    </row>
    <row r="2305" spans="2:17" s="233" customFormat="1" ht="3" hidden="1" customHeight="1" outlineLevel="2">
      <c r="B2305" s="299"/>
      <c r="C2305" s="304"/>
      <c r="D2305" s="685"/>
      <c r="E2305" s="306" t="s">
        <v>277</v>
      </c>
      <c r="F2305" s="307"/>
      <c r="G2305" s="297"/>
      <c r="H2305" s="308"/>
      <c r="I2305" s="661"/>
      <c r="L2305" s="237"/>
      <c r="Q2305" s="237"/>
    </row>
    <row r="2306" spans="2:17" s="233" customFormat="1" ht="14.25" hidden="1" customHeight="1" outlineLevel="2">
      <c r="B2306" s="299" t="s">
        <v>1283</v>
      </c>
      <c r="C2306" s="304"/>
      <c r="D2306" s="685"/>
      <c r="E2306" s="306" t="s">
        <v>277</v>
      </c>
      <c r="F2306" s="307"/>
      <c r="G2306" s="297"/>
      <c r="H2306" s="308"/>
      <c r="I2306" s="661"/>
      <c r="L2306" s="237"/>
      <c r="Q2306" s="237"/>
    </row>
    <row r="2307" spans="2:17" s="233" customFormat="1" ht="13.5" hidden="1" outlineLevel="2">
      <c r="B2307" s="299" t="s">
        <v>268</v>
      </c>
      <c r="C2307" s="304" t="s">
        <v>1446</v>
      </c>
      <c r="D2307" s="685" t="s">
        <v>1144</v>
      </c>
      <c r="E2307" s="306" t="s">
        <v>1447</v>
      </c>
      <c r="F2307" s="307"/>
      <c r="G2307" s="297" t="s">
        <v>1353</v>
      </c>
      <c r="H2307" s="308" t="str">
        <f>CONCATENATE("AR-",G2307,"-",I2307)</f>
        <v>AR-AMN-NA</v>
      </c>
      <c r="I2307" s="665" t="s">
        <v>293</v>
      </c>
      <c r="L2307" s="237"/>
      <c r="Q2307" s="237"/>
    </row>
    <row r="2308" spans="2:17" s="233" customFormat="1" ht="3" hidden="1" customHeight="1" outlineLevel="2">
      <c r="B2308" s="299"/>
      <c r="C2308" s="304"/>
      <c r="D2308" s="685"/>
      <c r="E2308" s="306" t="s">
        <v>277</v>
      </c>
      <c r="F2308" s="307"/>
      <c r="G2308" s="297"/>
      <c r="H2308" s="308"/>
      <c r="I2308" s="661"/>
      <c r="L2308" s="237"/>
      <c r="Q2308" s="237"/>
    </row>
    <row r="2309" spans="2:17" s="233" customFormat="1" ht="14.25" hidden="1" customHeight="1" outlineLevel="2">
      <c r="B2309" s="299" t="s">
        <v>1284</v>
      </c>
      <c r="C2309" s="304"/>
      <c r="D2309" s="685"/>
      <c r="E2309" s="306" t="s">
        <v>277</v>
      </c>
      <c r="F2309" s="307"/>
      <c r="G2309" s="297"/>
      <c r="H2309" s="308"/>
      <c r="I2309" s="661"/>
      <c r="L2309" s="237"/>
      <c r="Q2309" s="237"/>
    </row>
    <row r="2310" spans="2:17" s="233" customFormat="1" ht="13.5" hidden="1" outlineLevel="2">
      <c r="B2310" s="299" t="s">
        <v>268</v>
      </c>
      <c r="C2310" s="304" t="s">
        <v>1446</v>
      </c>
      <c r="D2310" s="685" t="s">
        <v>279</v>
      </c>
      <c r="E2310" s="306" t="s">
        <v>1448</v>
      </c>
      <c r="F2310" s="307"/>
      <c r="G2310" s="297" t="s">
        <v>1353</v>
      </c>
      <c r="H2310" s="308" t="str">
        <f>CONCATENATE("AR-",G2310,"-",I2310)</f>
        <v>AR-AMN-NA</v>
      </c>
      <c r="I2310" s="665" t="s">
        <v>293</v>
      </c>
      <c r="L2310" s="237"/>
      <c r="Q2310" s="237"/>
    </row>
    <row r="2311" spans="2:17" s="233" customFormat="1" ht="3" hidden="1" customHeight="1" outlineLevel="2">
      <c r="B2311" s="299"/>
      <c r="C2311" s="304"/>
      <c r="D2311" s="685"/>
      <c r="E2311" s="306" t="s">
        <v>277</v>
      </c>
      <c r="F2311" s="307"/>
      <c r="G2311" s="297"/>
      <c r="H2311" s="308"/>
      <c r="I2311" s="661"/>
      <c r="L2311" s="237"/>
      <c r="Q2311" s="237"/>
    </row>
    <row r="2312" spans="2:17" s="233" customFormat="1" ht="14.25" hidden="1" customHeight="1" outlineLevel="2">
      <c r="B2312" s="299" t="s">
        <v>1286</v>
      </c>
      <c r="C2312" s="304"/>
      <c r="D2312" s="685"/>
      <c r="E2312" s="306"/>
      <c r="F2312" s="307"/>
      <c r="G2312" s="297"/>
      <c r="H2312" s="308"/>
      <c r="I2312" s="661"/>
      <c r="L2312" s="237"/>
      <c r="Q2312" s="237"/>
    </row>
    <row r="2313" spans="2:17" s="233" customFormat="1" ht="13.5" hidden="1" outlineLevel="2">
      <c r="B2313" s="299" t="s">
        <v>268</v>
      </c>
      <c r="C2313" s="304" t="s">
        <v>1446</v>
      </c>
      <c r="D2313" s="685" t="s">
        <v>374</v>
      </c>
      <c r="E2313" s="306" t="s">
        <v>1449</v>
      </c>
      <c r="F2313" s="307"/>
      <c r="G2313" s="297" t="s">
        <v>1353</v>
      </c>
      <c r="H2313" s="308" t="str">
        <f>CONCATENATE("AR-",G2313,"-",I2313)</f>
        <v>AR-AMN-NA</v>
      </c>
      <c r="I2313" s="665" t="s">
        <v>293</v>
      </c>
      <c r="L2313" s="237"/>
      <c r="Q2313" s="237"/>
    </row>
    <row r="2314" spans="2:17" s="233" customFormat="1" ht="3" hidden="1" customHeight="1" outlineLevel="2">
      <c r="B2314" s="299"/>
      <c r="C2314" s="304"/>
      <c r="D2314" s="685"/>
      <c r="E2314" s="306" t="s">
        <v>277</v>
      </c>
      <c r="F2314" s="307"/>
      <c r="G2314" s="297"/>
      <c r="H2314" s="308"/>
      <c r="I2314" s="661"/>
      <c r="L2314" s="237"/>
      <c r="Q2314" s="237"/>
    </row>
    <row r="2315" spans="2:17" s="233" customFormat="1" ht="14.25" hidden="1" customHeight="1" outlineLevel="2">
      <c r="B2315" s="299" t="s">
        <v>1288</v>
      </c>
      <c r="C2315" s="304"/>
      <c r="D2315" s="685"/>
      <c r="E2315" s="306" t="s">
        <v>277</v>
      </c>
      <c r="F2315" s="307"/>
      <c r="G2315" s="297"/>
      <c r="H2315" s="308"/>
      <c r="I2315" s="661"/>
      <c r="L2315" s="237"/>
      <c r="Q2315" s="237"/>
    </row>
    <row r="2316" spans="2:17" s="233" customFormat="1" ht="13.5" hidden="1" outlineLevel="2">
      <c r="B2316" s="299" t="s">
        <v>268</v>
      </c>
      <c r="C2316" s="304" t="s">
        <v>1446</v>
      </c>
      <c r="D2316" s="685" t="s">
        <v>701</v>
      </c>
      <c r="E2316" s="306" t="s">
        <v>1450</v>
      </c>
      <c r="F2316" s="307"/>
      <c r="G2316" s="297" t="s">
        <v>1353</v>
      </c>
      <c r="H2316" s="308" t="str">
        <f>CONCATENATE("AR-",G2316,"-",I2316)</f>
        <v>AR-AMN-NA</v>
      </c>
      <c r="I2316" s="665" t="s">
        <v>293</v>
      </c>
      <c r="L2316" s="237"/>
      <c r="Q2316" s="237"/>
    </row>
    <row r="2317" spans="2:17" s="233" customFormat="1" ht="3" hidden="1" customHeight="1" outlineLevel="2">
      <c r="B2317" s="299"/>
      <c r="C2317" s="304"/>
      <c r="D2317" s="685"/>
      <c r="E2317" s="306" t="s">
        <v>277</v>
      </c>
      <c r="F2317" s="307"/>
      <c r="G2317" s="297"/>
      <c r="H2317" s="308"/>
      <c r="I2317" s="661"/>
      <c r="L2317" s="237"/>
      <c r="Q2317" s="237"/>
    </row>
    <row r="2318" spans="2:17" s="233" customFormat="1" ht="14.25" hidden="1" customHeight="1" outlineLevel="2">
      <c r="B2318" s="299" t="s">
        <v>1293</v>
      </c>
      <c r="C2318" s="304"/>
      <c r="D2318" s="685"/>
      <c r="E2318" s="306" t="s">
        <v>277</v>
      </c>
      <c r="F2318" s="307"/>
      <c r="G2318" s="297"/>
      <c r="H2318" s="308"/>
      <c r="I2318" s="661"/>
      <c r="L2318" s="237"/>
      <c r="Q2318" s="237"/>
    </row>
    <row r="2319" spans="2:17" s="233" customFormat="1" ht="13.5" hidden="1" outlineLevel="2">
      <c r="B2319" s="299" t="s">
        <v>268</v>
      </c>
      <c r="C2319" s="304" t="s">
        <v>1446</v>
      </c>
      <c r="D2319" s="685">
        <v>1401</v>
      </c>
      <c r="E2319" s="306" t="s">
        <v>1294</v>
      </c>
      <c r="F2319" s="307"/>
      <c r="G2319" s="297" t="s">
        <v>1353</v>
      </c>
      <c r="H2319" s="308" t="str">
        <f>CONCATENATE("AR-",G2319,"-",I2319)</f>
        <v>AR-AMN-NA</v>
      </c>
      <c r="I2319" s="665" t="s">
        <v>293</v>
      </c>
      <c r="L2319" s="237"/>
      <c r="Q2319" s="237"/>
    </row>
    <row r="2320" spans="2:17" s="233" customFormat="1" ht="13.5" hidden="1" outlineLevel="2">
      <c r="B2320" s="299" t="s">
        <v>268</v>
      </c>
      <c r="C2320" s="304" t="s">
        <v>1446</v>
      </c>
      <c r="D2320" s="685">
        <v>1404</v>
      </c>
      <c r="E2320" s="306" t="s">
        <v>1297</v>
      </c>
      <c r="F2320" s="307"/>
      <c r="G2320" s="297" t="s">
        <v>1353</v>
      </c>
      <c r="H2320" s="308" t="str">
        <f>CONCATENATE("AR-",G2320,"-",I2320)</f>
        <v>AR-AMN-NA</v>
      </c>
      <c r="I2320" s="665" t="s">
        <v>293</v>
      </c>
      <c r="L2320" s="237"/>
      <c r="Q2320" s="237"/>
    </row>
    <row r="2321" spans="2:17" s="233" customFormat="1" ht="13.5" hidden="1" outlineLevel="2">
      <c r="B2321" s="299" t="s">
        <v>268</v>
      </c>
      <c r="C2321" s="304" t="s">
        <v>1446</v>
      </c>
      <c r="D2321" s="685" t="s">
        <v>396</v>
      </c>
      <c r="E2321" s="306" t="s">
        <v>1298</v>
      </c>
      <c r="F2321" s="307"/>
      <c r="G2321" s="297" t="s">
        <v>1353</v>
      </c>
      <c r="H2321" s="308" t="str">
        <f>CONCATENATE("AR-",G2321,"-",I2321)</f>
        <v>AR-AMN-NA</v>
      </c>
      <c r="I2321" s="665" t="s">
        <v>293</v>
      </c>
      <c r="L2321" s="237"/>
      <c r="Q2321" s="237"/>
    </row>
    <row r="2322" spans="2:17" s="233" customFormat="1" ht="3" hidden="1" customHeight="1" outlineLevel="2">
      <c r="B2322" s="299"/>
      <c r="C2322" s="304"/>
      <c r="D2322" s="685"/>
      <c r="E2322" s="306" t="s">
        <v>277</v>
      </c>
      <c r="F2322" s="307"/>
      <c r="G2322" s="297"/>
      <c r="H2322" s="308"/>
      <c r="I2322" s="661"/>
      <c r="L2322" s="237"/>
      <c r="Q2322" s="237"/>
    </row>
    <row r="2323" spans="2:17" s="233" customFormat="1" ht="14.25" hidden="1" customHeight="1" outlineLevel="2">
      <c r="B2323" s="299" t="s">
        <v>1299</v>
      </c>
      <c r="C2323" s="304"/>
      <c r="D2323" s="685"/>
      <c r="E2323" s="306" t="s">
        <v>277</v>
      </c>
      <c r="F2323" s="307"/>
      <c r="G2323" s="297"/>
      <c r="H2323" s="308"/>
      <c r="I2323" s="661"/>
      <c r="L2323" s="237"/>
      <c r="Q2323" s="237"/>
    </row>
    <row r="2324" spans="2:17" s="233" customFormat="1" ht="13.5" hidden="1" outlineLevel="2">
      <c r="B2324" s="299" t="s">
        <v>268</v>
      </c>
      <c r="C2324" s="304" t="s">
        <v>1446</v>
      </c>
      <c r="D2324" s="685" t="s">
        <v>328</v>
      </c>
      <c r="E2324" s="306" t="s">
        <v>1300</v>
      </c>
      <c r="F2324" s="307"/>
      <c r="G2324" s="297" t="s">
        <v>1353</v>
      </c>
      <c r="H2324" s="308" t="str">
        <f>CONCATENATE("AR-",G2324,"-",I2324)</f>
        <v>AR-AMN-NA</v>
      </c>
      <c r="I2324" s="665" t="s">
        <v>293</v>
      </c>
      <c r="L2324" s="237"/>
      <c r="Q2324" s="237"/>
    </row>
    <row r="2325" spans="2:17" s="233" customFormat="1" ht="3" hidden="1" customHeight="1" outlineLevel="2">
      <c r="B2325" s="299"/>
      <c r="C2325" s="304"/>
      <c r="D2325" s="685"/>
      <c r="E2325" s="306" t="s">
        <v>277</v>
      </c>
      <c r="F2325" s="307"/>
      <c r="G2325" s="297"/>
      <c r="H2325" s="308"/>
      <c r="I2325" s="661"/>
      <c r="L2325" s="237"/>
      <c r="Q2325" s="237"/>
    </row>
    <row r="2326" spans="2:17" s="233" customFormat="1" ht="14.25" hidden="1" customHeight="1" outlineLevel="2">
      <c r="B2326" s="299" t="s">
        <v>1301</v>
      </c>
      <c r="C2326" s="304"/>
      <c r="D2326" s="685"/>
      <c r="E2326" s="306" t="s">
        <v>277</v>
      </c>
      <c r="F2326" s="307"/>
      <c r="G2326" s="297"/>
      <c r="H2326" s="308"/>
      <c r="I2326" s="661"/>
      <c r="L2326" s="237"/>
      <c r="Q2326" s="237"/>
    </row>
    <row r="2327" spans="2:17" s="233" customFormat="1" ht="13.5" hidden="1" outlineLevel="2">
      <c r="B2327" s="299" t="s">
        <v>268</v>
      </c>
      <c r="C2327" s="304" t="s">
        <v>1446</v>
      </c>
      <c r="D2327" s="685" t="s">
        <v>335</v>
      </c>
      <c r="E2327" s="306" t="s">
        <v>1302</v>
      </c>
      <c r="F2327" s="307"/>
      <c r="G2327" s="297" t="s">
        <v>1353</v>
      </c>
      <c r="H2327" s="308" t="str">
        <f>CONCATENATE("AR-",G2327,"-",I2327)</f>
        <v>AR-AMN-NA</v>
      </c>
      <c r="I2327" s="665" t="s">
        <v>293</v>
      </c>
      <c r="L2327" s="237"/>
      <c r="Q2327" s="237"/>
    </row>
    <row r="2328" spans="2:17" s="233" customFormat="1" ht="13.5" hidden="1" outlineLevel="2">
      <c r="B2328" s="299" t="s">
        <v>268</v>
      </c>
      <c r="C2328" s="304" t="s">
        <v>1446</v>
      </c>
      <c r="D2328" s="685" t="s">
        <v>337</v>
      </c>
      <c r="E2328" s="306" t="s">
        <v>1302</v>
      </c>
      <c r="F2328" s="307"/>
      <c r="G2328" s="297" t="s">
        <v>1353</v>
      </c>
      <c r="H2328" s="308" t="str">
        <f>CONCATENATE("AR-",G2328,"-",I2328)</f>
        <v>AR-AMN-NA</v>
      </c>
      <c r="I2328" s="665" t="s">
        <v>293</v>
      </c>
      <c r="L2328" s="237"/>
      <c r="Q2328" s="237"/>
    </row>
    <row r="2329" spans="2:17" s="233" customFormat="1" ht="3" hidden="1" customHeight="1" outlineLevel="2">
      <c r="B2329" s="299"/>
      <c r="C2329" s="304"/>
      <c r="D2329" s="685"/>
      <c r="E2329" s="306" t="s">
        <v>277</v>
      </c>
      <c r="F2329" s="307"/>
      <c r="G2329" s="297"/>
      <c r="H2329" s="308"/>
      <c r="I2329" s="661"/>
      <c r="L2329" s="237"/>
      <c r="Q2329" s="237"/>
    </row>
    <row r="2330" spans="2:17" s="233" customFormat="1" ht="13.5" hidden="1" outlineLevel="2">
      <c r="B2330" s="299" t="s">
        <v>1451</v>
      </c>
      <c r="C2330" s="304"/>
      <c r="D2330" s="685"/>
      <c r="E2330" s="306" t="s">
        <v>277</v>
      </c>
      <c r="F2330" s="307"/>
      <c r="G2330" s="297"/>
      <c r="H2330" s="308"/>
      <c r="I2330" s="661"/>
      <c r="L2330" s="237"/>
      <c r="Q2330" s="237"/>
    </row>
    <row r="2331" spans="2:17" s="233" customFormat="1" ht="13.5" hidden="1" outlineLevel="2">
      <c r="B2331" s="299" t="s">
        <v>268</v>
      </c>
      <c r="C2331" s="304" t="s">
        <v>1446</v>
      </c>
      <c r="D2331" s="685">
        <v>4001</v>
      </c>
      <c r="E2331" s="306" t="s">
        <v>1452</v>
      </c>
      <c r="F2331" s="307"/>
      <c r="G2331" s="297" t="s">
        <v>1353</v>
      </c>
      <c r="H2331" s="308" t="str">
        <f>CONCATENATE("AR-",G2331,"-",I2331)</f>
        <v>AR-AMN-NA</v>
      </c>
      <c r="I2331" s="665" t="s">
        <v>293</v>
      </c>
      <c r="L2331" s="237"/>
      <c r="Q2331" s="237"/>
    </row>
    <row r="2332" spans="2:17" s="233" customFormat="1" ht="13.5" hidden="1" outlineLevel="2">
      <c r="B2332" s="299" t="s">
        <v>268</v>
      </c>
      <c r="C2332" s="304" t="s">
        <v>1446</v>
      </c>
      <c r="D2332" s="685">
        <v>4002</v>
      </c>
      <c r="E2332" s="306" t="s">
        <v>1453</v>
      </c>
      <c r="F2332" s="307"/>
      <c r="G2332" s="297" t="s">
        <v>1353</v>
      </c>
      <c r="H2332" s="308" t="str">
        <f>CONCATENATE("AR-",G2332,"-",I2332)</f>
        <v>AR-AMN-NA</v>
      </c>
      <c r="I2332" s="665" t="s">
        <v>293</v>
      </c>
      <c r="L2332" s="237"/>
      <c r="Q2332" s="237"/>
    </row>
    <row r="2333" spans="2:17" s="233" customFormat="1" ht="13.5" hidden="1" outlineLevel="2">
      <c r="B2333" s="299" t="s">
        <v>268</v>
      </c>
      <c r="C2333" s="304" t="s">
        <v>1446</v>
      </c>
      <c r="D2333" s="685">
        <v>4003</v>
      </c>
      <c r="E2333" s="306" t="s">
        <v>1454</v>
      </c>
      <c r="F2333" s="307"/>
      <c r="G2333" s="297" t="s">
        <v>1353</v>
      </c>
      <c r="H2333" s="308" t="str">
        <f>CONCATENATE("AR-",G2333,"-",I2333)</f>
        <v>AR-AMN-NA</v>
      </c>
      <c r="I2333" s="665" t="s">
        <v>293</v>
      </c>
      <c r="L2333" s="237"/>
      <c r="Q2333" s="237"/>
    </row>
    <row r="2334" spans="2:17" s="233" customFormat="1" ht="3" hidden="1" customHeight="1" outlineLevel="2">
      <c r="B2334" s="299"/>
      <c r="C2334" s="304"/>
      <c r="D2334" s="685"/>
      <c r="E2334" s="306" t="s">
        <v>277</v>
      </c>
      <c r="F2334" s="307"/>
      <c r="G2334" s="297"/>
      <c r="H2334" s="308"/>
      <c r="I2334" s="661"/>
      <c r="L2334" s="237"/>
      <c r="Q2334" s="237"/>
    </row>
    <row r="2335" spans="2:17" s="233" customFormat="1" ht="14.25" hidden="1" customHeight="1" outlineLevel="2">
      <c r="B2335" s="299" t="s">
        <v>1309</v>
      </c>
      <c r="C2335" s="304"/>
      <c r="D2335" s="685"/>
      <c r="E2335" s="306" t="s">
        <v>277</v>
      </c>
      <c r="F2335" s="307"/>
      <c r="G2335" s="297"/>
      <c r="H2335" s="308"/>
      <c r="I2335" s="661"/>
      <c r="L2335" s="237"/>
      <c r="Q2335" s="237"/>
    </row>
    <row r="2336" spans="2:17" s="233" customFormat="1" ht="13.5" hidden="1" outlineLevel="2">
      <c r="B2336" s="299" t="s">
        <v>268</v>
      </c>
      <c r="C2336" s="304" t="s">
        <v>1313</v>
      </c>
      <c r="D2336" s="685">
        <v>6601</v>
      </c>
      <c r="E2336" s="306" t="s">
        <v>1310</v>
      </c>
      <c r="F2336" s="307"/>
      <c r="G2336" s="297" t="s">
        <v>1353</v>
      </c>
      <c r="H2336" s="308" t="str">
        <f>CONCATENATE("AR-",G2336,"-",I2336)</f>
        <v>AR-AMN-NA</v>
      </c>
      <c r="I2336" s="665" t="s">
        <v>293</v>
      </c>
      <c r="L2336" s="237"/>
      <c r="Q2336" s="237"/>
    </row>
    <row r="2337" spans="2:17" s="233" customFormat="1" ht="3" hidden="1" customHeight="1" outlineLevel="2">
      <c r="B2337" s="299"/>
      <c r="C2337" s="304"/>
      <c r="D2337" s="685"/>
      <c r="E2337" s="306" t="s">
        <v>277</v>
      </c>
      <c r="F2337" s="307"/>
      <c r="G2337" s="297"/>
      <c r="H2337" s="308"/>
      <c r="I2337" s="661"/>
      <c r="L2337" s="237"/>
      <c r="Q2337" s="237"/>
    </row>
    <row r="2338" spans="2:17" s="233" customFormat="1" ht="14.25" hidden="1" customHeight="1" outlineLevel="2">
      <c r="B2338" s="299" t="s">
        <v>1455</v>
      </c>
      <c r="C2338" s="304"/>
      <c r="D2338" s="685"/>
      <c r="E2338" s="306" t="s">
        <v>277</v>
      </c>
      <c r="F2338" s="307"/>
      <c r="G2338" s="297"/>
      <c r="H2338" s="308"/>
      <c r="I2338" s="661"/>
      <c r="L2338" s="237"/>
      <c r="Q2338" s="237"/>
    </row>
    <row r="2339" spans="2:17" s="233" customFormat="1" ht="13.5" hidden="1" outlineLevel="2">
      <c r="B2339" s="299" t="s">
        <v>268</v>
      </c>
      <c r="C2339" s="304" t="s">
        <v>1313</v>
      </c>
      <c r="D2339" s="685">
        <v>8001</v>
      </c>
      <c r="E2339" s="306" t="s">
        <v>1456</v>
      </c>
      <c r="F2339" s="307"/>
      <c r="G2339" s="297" t="s">
        <v>1353</v>
      </c>
      <c r="H2339" s="308" t="str">
        <f>CONCATENATE("AR-",G2339,"-",I2339)</f>
        <v>AR-AMN-NA</v>
      </c>
      <c r="I2339" s="665" t="s">
        <v>293</v>
      </c>
      <c r="L2339" s="237"/>
      <c r="Q2339" s="237"/>
    </row>
    <row r="2340" spans="2:17" s="233" customFormat="1" ht="3" hidden="1" customHeight="1" outlineLevel="2">
      <c r="B2340" s="299"/>
      <c r="C2340" s="304"/>
      <c r="D2340" s="685"/>
      <c r="E2340" s="306" t="s">
        <v>277</v>
      </c>
      <c r="F2340" s="307"/>
      <c r="G2340" s="297"/>
      <c r="H2340" s="308"/>
      <c r="I2340" s="661"/>
      <c r="L2340" s="237"/>
      <c r="Q2340" s="237"/>
    </row>
    <row r="2341" spans="2:17" s="233" customFormat="1" ht="14.25" hidden="1" customHeight="1" outlineLevel="2">
      <c r="B2341" s="299" t="s">
        <v>1457</v>
      </c>
      <c r="C2341" s="304"/>
      <c r="D2341" s="685"/>
      <c r="E2341" s="306" t="s">
        <v>277</v>
      </c>
      <c r="F2341" s="307"/>
      <c r="G2341" s="297"/>
      <c r="H2341" s="308"/>
      <c r="I2341" s="661"/>
      <c r="L2341" s="237"/>
      <c r="Q2341" s="237"/>
    </row>
    <row r="2342" spans="2:17" s="233" customFormat="1" ht="13.5" hidden="1" outlineLevel="2">
      <c r="B2342" s="299" t="s">
        <v>268</v>
      </c>
      <c r="C2342" s="304" t="s">
        <v>1313</v>
      </c>
      <c r="D2342" s="685">
        <v>8005</v>
      </c>
      <c r="E2342" s="306" t="s">
        <v>1458</v>
      </c>
      <c r="F2342" s="307"/>
      <c r="G2342" s="297" t="s">
        <v>1353</v>
      </c>
      <c r="H2342" s="308" t="str">
        <f>CONCATENATE("AR-",G2342,"-",I2342)</f>
        <v>AR-AMN-NA</v>
      </c>
      <c r="I2342" s="665" t="s">
        <v>293</v>
      </c>
      <c r="L2342" s="237"/>
      <c r="Q2342" s="237"/>
    </row>
    <row r="2343" spans="2:17" s="233" customFormat="1" ht="13.5" hidden="1" outlineLevel="2">
      <c r="B2343" s="299" t="s">
        <v>268</v>
      </c>
      <c r="C2343" s="304" t="s">
        <v>1313</v>
      </c>
      <c r="D2343" s="685">
        <v>8006</v>
      </c>
      <c r="E2343" s="306" t="s">
        <v>1459</v>
      </c>
      <c r="F2343" s="307"/>
      <c r="G2343" s="297" t="s">
        <v>1353</v>
      </c>
      <c r="H2343" s="308" t="str">
        <f>CONCATENATE("AR-",G2343,"-",I2343)</f>
        <v>AR-AMN-NA</v>
      </c>
      <c r="I2343" s="665" t="s">
        <v>293</v>
      </c>
      <c r="L2343" s="237"/>
      <c r="Q2343" s="237"/>
    </row>
    <row r="2344" spans="2:17" s="233" customFormat="1" ht="3" hidden="1" customHeight="1" outlineLevel="1">
      <c r="B2344" s="299"/>
      <c r="C2344" s="304"/>
      <c r="D2344" s="685"/>
      <c r="E2344" s="306"/>
      <c r="F2344" s="307"/>
      <c r="G2344" s="297"/>
      <c r="H2344" s="308"/>
      <c r="I2344" s="661"/>
      <c r="L2344" s="237"/>
      <c r="Q2344" s="237"/>
    </row>
    <row r="2345" spans="2:17" s="233" customFormat="1" ht="13.5" hidden="1" outlineLevel="1">
      <c r="B2345" s="299" t="s">
        <v>1460</v>
      </c>
      <c r="C2345" s="304"/>
      <c r="D2345" s="685"/>
      <c r="E2345" s="306" t="s">
        <v>277</v>
      </c>
      <c r="F2345" s="307"/>
      <c r="G2345" s="297"/>
      <c r="H2345" s="308"/>
      <c r="I2345" s="665" t="s">
        <v>293</v>
      </c>
      <c r="L2345" s="237"/>
      <c r="Q2345" s="237"/>
    </row>
    <row r="2346" spans="2:17" s="233" customFormat="1" ht="3" hidden="1" customHeight="1" outlineLevel="2">
      <c r="B2346" s="299"/>
      <c r="C2346" s="304"/>
      <c r="D2346" s="685"/>
      <c r="E2346" s="306" t="s">
        <v>277</v>
      </c>
      <c r="F2346" s="307"/>
      <c r="G2346" s="297"/>
      <c r="H2346" s="308"/>
      <c r="I2346" s="661"/>
      <c r="L2346" s="237"/>
      <c r="Q2346" s="237"/>
    </row>
    <row r="2347" spans="2:17" s="233" customFormat="1" ht="14.25" hidden="1" customHeight="1" outlineLevel="2">
      <c r="B2347" s="299" t="s">
        <v>1281</v>
      </c>
      <c r="C2347" s="304"/>
      <c r="D2347" s="685"/>
      <c r="E2347" s="306" t="s">
        <v>277</v>
      </c>
      <c r="F2347" s="307"/>
      <c r="G2347" s="297"/>
      <c r="H2347" s="308"/>
      <c r="I2347" s="661"/>
      <c r="L2347" s="237"/>
      <c r="Q2347" s="237"/>
    </row>
    <row r="2348" spans="2:17" s="233" customFormat="1" ht="13.5" hidden="1" outlineLevel="2">
      <c r="B2348" s="299" t="s">
        <v>268</v>
      </c>
      <c r="C2348" s="304" t="s">
        <v>1461</v>
      </c>
      <c r="D2348" s="685" t="s">
        <v>270</v>
      </c>
      <c r="E2348" s="306" t="s">
        <v>599</v>
      </c>
      <c r="F2348" s="307"/>
      <c r="G2348" s="297" t="s">
        <v>1353</v>
      </c>
      <c r="H2348" s="308" t="str">
        <f>CONCATENATE("AR-",G2348,"-",I2348)</f>
        <v>AR-AMN-NA</v>
      </c>
      <c r="I2348" s="665" t="s">
        <v>293</v>
      </c>
      <c r="L2348" s="237"/>
      <c r="Q2348" s="237"/>
    </row>
    <row r="2349" spans="2:17" s="233" customFormat="1" ht="3" hidden="1" customHeight="1" outlineLevel="2">
      <c r="B2349" s="299"/>
      <c r="C2349" s="304"/>
      <c r="D2349" s="685"/>
      <c r="E2349" s="306" t="s">
        <v>277</v>
      </c>
      <c r="F2349" s="307"/>
      <c r="G2349" s="297"/>
      <c r="H2349" s="308"/>
      <c r="I2349" s="661"/>
      <c r="L2349" s="237"/>
      <c r="Q2349" s="237"/>
    </row>
    <row r="2350" spans="2:17" s="233" customFormat="1" ht="14.25" hidden="1" customHeight="1" outlineLevel="2">
      <c r="B2350" s="299" t="s">
        <v>1283</v>
      </c>
      <c r="C2350" s="304"/>
      <c r="D2350" s="685"/>
      <c r="E2350" s="306" t="s">
        <v>277</v>
      </c>
      <c r="F2350" s="307"/>
      <c r="G2350" s="297"/>
      <c r="H2350" s="308"/>
      <c r="I2350" s="661"/>
      <c r="L2350" s="237"/>
      <c r="Q2350" s="237"/>
    </row>
    <row r="2351" spans="2:17" s="233" customFormat="1" ht="13.5" hidden="1" outlineLevel="2">
      <c r="B2351" s="299" t="s">
        <v>268</v>
      </c>
      <c r="C2351" s="304" t="s">
        <v>1461</v>
      </c>
      <c r="D2351" s="685" t="s">
        <v>1144</v>
      </c>
      <c r="E2351" s="306" t="s">
        <v>1447</v>
      </c>
      <c r="F2351" s="307"/>
      <c r="G2351" s="297" t="s">
        <v>1353</v>
      </c>
      <c r="H2351" s="308" t="str">
        <f>CONCATENATE("AR-",G2351,"-",I2351)</f>
        <v>AR-AMN-NA</v>
      </c>
      <c r="I2351" s="665" t="s">
        <v>293</v>
      </c>
      <c r="L2351" s="237"/>
      <c r="Q2351" s="237"/>
    </row>
    <row r="2352" spans="2:17" s="233" customFormat="1" ht="3" hidden="1" customHeight="1" outlineLevel="2">
      <c r="B2352" s="299"/>
      <c r="C2352" s="304"/>
      <c r="D2352" s="685"/>
      <c r="E2352" s="306" t="s">
        <v>277</v>
      </c>
      <c r="F2352" s="307"/>
      <c r="G2352" s="297"/>
      <c r="H2352" s="308"/>
      <c r="I2352" s="661"/>
      <c r="L2352" s="237"/>
      <c r="Q2352" s="237"/>
    </row>
    <row r="2353" spans="2:17" s="233" customFormat="1" ht="14.25" hidden="1" customHeight="1" outlineLevel="2">
      <c r="B2353" s="299" t="s">
        <v>1284</v>
      </c>
      <c r="C2353" s="304"/>
      <c r="D2353" s="685"/>
      <c r="E2353" s="306" t="s">
        <v>277</v>
      </c>
      <c r="F2353" s="307"/>
      <c r="G2353" s="297"/>
      <c r="H2353" s="308"/>
      <c r="I2353" s="661"/>
      <c r="L2353" s="237"/>
      <c r="Q2353" s="237"/>
    </row>
    <row r="2354" spans="2:17" s="233" customFormat="1" ht="13.5" hidden="1" outlineLevel="2">
      <c r="B2354" s="299" t="s">
        <v>268</v>
      </c>
      <c r="C2354" s="304" t="s">
        <v>1461</v>
      </c>
      <c r="D2354" s="685" t="s">
        <v>279</v>
      </c>
      <c r="E2354" s="306" t="s">
        <v>1448</v>
      </c>
      <c r="F2354" s="307"/>
      <c r="G2354" s="297" t="s">
        <v>1353</v>
      </c>
      <c r="H2354" s="308" t="str">
        <f>CONCATENATE("AR-",G2354,"-",I2354)</f>
        <v>AR-AMN-NA</v>
      </c>
      <c r="I2354" s="665" t="s">
        <v>293</v>
      </c>
      <c r="L2354" s="237"/>
      <c r="Q2354" s="237"/>
    </row>
    <row r="2355" spans="2:17" s="233" customFormat="1" ht="3" hidden="1" customHeight="1" outlineLevel="2">
      <c r="B2355" s="299"/>
      <c r="C2355" s="304"/>
      <c r="D2355" s="685"/>
      <c r="E2355" s="306" t="s">
        <v>277</v>
      </c>
      <c r="F2355" s="307"/>
      <c r="G2355" s="297"/>
      <c r="H2355" s="308"/>
      <c r="I2355" s="661"/>
      <c r="L2355" s="237"/>
      <c r="Q2355" s="237"/>
    </row>
    <row r="2356" spans="2:17" s="233" customFormat="1" ht="14.25" hidden="1" customHeight="1" outlineLevel="2">
      <c r="B2356" s="299" t="s">
        <v>1286</v>
      </c>
      <c r="C2356" s="304"/>
      <c r="D2356" s="685"/>
      <c r="E2356" s="306" t="s">
        <v>277</v>
      </c>
      <c r="F2356" s="307"/>
      <c r="G2356" s="297"/>
      <c r="H2356" s="308"/>
      <c r="I2356" s="661"/>
      <c r="L2356" s="237"/>
      <c r="Q2356" s="237"/>
    </row>
    <row r="2357" spans="2:17" s="233" customFormat="1" ht="13.5" hidden="1" outlineLevel="2">
      <c r="B2357" s="299" t="s">
        <v>268</v>
      </c>
      <c r="C2357" s="304" t="s">
        <v>1461</v>
      </c>
      <c r="D2357" s="685" t="s">
        <v>374</v>
      </c>
      <c r="E2357" s="306" t="s">
        <v>1449</v>
      </c>
      <c r="F2357" s="307"/>
      <c r="G2357" s="297" t="s">
        <v>1353</v>
      </c>
      <c r="H2357" s="308" t="str">
        <f>CONCATENATE("AR-",G2357,"-",I2357)</f>
        <v>AR-AMN-NA</v>
      </c>
      <c r="I2357" s="665" t="s">
        <v>293</v>
      </c>
      <c r="L2357" s="237"/>
      <c r="Q2357" s="237"/>
    </row>
    <row r="2358" spans="2:17" s="233" customFormat="1" ht="3" hidden="1" customHeight="1" outlineLevel="2">
      <c r="B2358" s="299"/>
      <c r="C2358" s="304"/>
      <c r="D2358" s="685"/>
      <c r="E2358" s="306" t="s">
        <v>277</v>
      </c>
      <c r="F2358" s="307"/>
      <c r="G2358" s="297"/>
      <c r="H2358" s="308"/>
      <c r="I2358" s="661"/>
      <c r="L2358" s="237"/>
      <c r="Q2358" s="237"/>
    </row>
    <row r="2359" spans="2:17" s="233" customFormat="1" ht="14.25" hidden="1" customHeight="1" outlineLevel="2">
      <c r="B2359" s="299" t="s">
        <v>1288</v>
      </c>
      <c r="C2359" s="304"/>
      <c r="D2359" s="685"/>
      <c r="E2359" s="306" t="s">
        <v>277</v>
      </c>
      <c r="F2359" s="307"/>
      <c r="G2359" s="297"/>
      <c r="H2359" s="308"/>
      <c r="I2359" s="661"/>
      <c r="L2359" s="237"/>
      <c r="Q2359" s="237"/>
    </row>
    <row r="2360" spans="2:17" s="233" customFormat="1" ht="13.5" hidden="1" outlineLevel="2">
      <c r="B2360" s="299" t="s">
        <v>268</v>
      </c>
      <c r="C2360" s="304" t="s">
        <v>1461</v>
      </c>
      <c r="D2360" s="685" t="s">
        <v>701</v>
      </c>
      <c r="E2360" s="306" t="s">
        <v>1450</v>
      </c>
      <c r="F2360" s="307"/>
      <c r="G2360" s="297" t="s">
        <v>1353</v>
      </c>
      <c r="H2360" s="308" t="str">
        <f>CONCATENATE("AR-",G2360,"-",I2360)</f>
        <v>AR-AMN-NA</v>
      </c>
      <c r="I2360" s="665" t="s">
        <v>293</v>
      </c>
      <c r="L2360" s="237"/>
      <c r="Q2360" s="237"/>
    </row>
    <row r="2361" spans="2:17" s="233" customFormat="1" ht="3" hidden="1" customHeight="1" outlineLevel="2">
      <c r="B2361" s="299"/>
      <c r="C2361" s="304"/>
      <c r="D2361" s="685"/>
      <c r="E2361" s="306" t="s">
        <v>277</v>
      </c>
      <c r="F2361" s="307"/>
      <c r="G2361" s="297"/>
      <c r="H2361" s="308"/>
      <c r="I2361" s="661"/>
      <c r="L2361" s="237"/>
      <c r="Q2361" s="237"/>
    </row>
    <row r="2362" spans="2:17" s="233" customFormat="1" ht="14.25" hidden="1" customHeight="1" outlineLevel="2">
      <c r="B2362" s="299" t="s">
        <v>1293</v>
      </c>
      <c r="C2362" s="304"/>
      <c r="D2362" s="685"/>
      <c r="E2362" s="306" t="s">
        <v>277</v>
      </c>
      <c r="F2362" s="307"/>
      <c r="G2362" s="297"/>
      <c r="H2362" s="308"/>
      <c r="I2362" s="661"/>
      <c r="L2362" s="237"/>
      <c r="Q2362" s="237"/>
    </row>
    <row r="2363" spans="2:17" s="233" customFormat="1" ht="13.5" hidden="1" outlineLevel="2">
      <c r="B2363" s="299" t="s">
        <v>268</v>
      </c>
      <c r="C2363" s="304" t="s">
        <v>1461</v>
      </c>
      <c r="D2363" s="685">
        <v>1401</v>
      </c>
      <c r="E2363" s="306" t="s">
        <v>1294</v>
      </c>
      <c r="F2363" s="307"/>
      <c r="G2363" s="297" t="s">
        <v>1353</v>
      </c>
      <c r="H2363" s="308" t="str">
        <f>CONCATENATE("AR-",G2363,"-",I2363)</f>
        <v>AR-AMN-NA</v>
      </c>
      <c r="I2363" s="665" t="s">
        <v>293</v>
      </c>
      <c r="L2363" s="237"/>
      <c r="Q2363" s="237"/>
    </row>
    <row r="2364" spans="2:17" s="233" customFormat="1" ht="13.5" hidden="1" outlineLevel="2">
      <c r="B2364" s="299" t="s">
        <v>268</v>
      </c>
      <c r="C2364" s="304" t="s">
        <v>1461</v>
      </c>
      <c r="D2364" s="685">
        <v>1404</v>
      </c>
      <c r="E2364" s="306" t="s">
        <v>1297</v>
      </c>
      <c r="F2364" s="307"/>
      <c r="G2364" s="297" t="s">
        <v>1353</v>
      </c>
      <c r="H2364" s="308" t="str">
        <f>CONCATENATE("AR-",G2364,"-",I2364)</f>
        <v>AR-AMN-NA</v>
      </c>
      <c r="I2364" s="665" t="s">
        <v>293</v>
      </c>
      <c r="L2364" s="237"/>
      <c r="Q2364" s="237"/>
    </row>
    <row r="2365" spans="2:17" s="233" customFormat="1" ht="13.5" hidden="1" outlineLevel="2">
      <c r="B2365" s="299" t="s">
        <v>268</v>
      </c>
      <c r="C2365" s="304" t="s">
        <v>1461</v>
      </c>
      <c r="D2365" s="685" t="s">
        <v>396</v>
      </c>
      <c r="E2365" s="306" t="s">
        <v>1298</v>
      </c>
      <c r="F2365" s="307"/>
      <c r="G2365" s="297" t="s">
        <v>1353</v>
      </c>
      <c r="H2365" s="308" t="str">
        <f>CONCATENATE("AR-",G2365,"-",I2365)</f>
        <v>AR-AMN-NA</v>
      </c>
      <c r="I2365" s="665" t="s">
        <v>293</v>
      </c>
      <c r="L2365" s="237"/>
      <c r="Q2365" s="237"/>
    </row>
    <row r="2366" spans="2:17" s="233" customFormat="1" ht="3" hidden="1" customHeight="1" outlineLevel="2">
      <c r="B2366" s="299"/>
      <c r="C2366" s="304"/>
      <c r="D2366" s="685"/>
      <c r="E2366" s="306" t="s">
        <v>277</v>
      </c>
      <c r="F2366" s="307"/>
      <c r="G2366" s="297"/>
      <c r="H2366" s="308"/>
      <c r="I2366" s="661"/>
      <c r="L2366" s="237"/>
      <c r="Q2366" s="237"/>
    </row>
    <row r="2367" spans="2:17" s="233" customFormat="1" ht="14.25" hidden="1" customHeight="1" outlineLevel="2">
      <c r="B2367" s="299" t="s">
        <v>1299</v>
      </c>
      <c r="C2367" s="304"/>
      <c r="D2367" s="685"/>
      <c r="E2367" s="306" t="s">
        <v>277</v>
      </c>
      <c r="F2367" s="307"/>
      <c r="G2367" s="297"/>
      <c r="H2367" s="308"/>
      <c r="I2367" s="661"/>
      <c r="L2367" s="237"/>
      <c r="Q2367" s="237"/>
    </row>
    <row r="2368" spans="2:17" s="233" customFormat="1" ht="13.5" hidden="1" outlineLevel="2">
      <c r="B2368" s="299" t="s">
        <v>268</v>
      </c>
      <c r="C2368" s="304" t="s">
        <v>1461</v>
      </c>
      <c r="D2368" s="685" t="s">
        <v>328</v>
      </c>
      <c r="E2368" s="306" t="s">
        <v>1300</v>
      </c>
      <c r="F2368" s="307"/>
      <c r="G2368" s="297" t="s">
        <v>1353</v>
      </c>
      <c r="H2368" s="308" t="str">
        <f>CONCATENATE("AR-",G2368,"-",I2368)</f>
        <v>AR-AMN-NA</v>
      </c>
      <c r="I2368" s="665" t="s">
        <v>293</v>
      </c>
      <c r="L2368" s="237"/>
      <c r="Q2368" s="237"/>
    </row>
    <row r="2369" spans="2:17" s="233" customFormat="1" ht="3" hidden="1" customHeight="1" outlineLevel="2">
      <c r="B2369" s="299"/>
      <c r="C2369" s="304"/>
      <c r="D2369" s="685"/>
      <c r="E2369" s="306" t="s">
        <v>277</v>
      </c>
      <c r="F2369" s="307"/>
      <c r="G2369" s="297"/>
      <c r="H2369" s="308"/>
      <c r="I2369" s="661"/>
      <c r="L2369" s="237"/>
      <c r="Q2369" s="237"/>
    </row>
    <row r="2370" spans="2:17" s="233" customFormat="1" ht="14.25" hidden="1" customHeight="1" outlineLevel="2">
      <c r="B2370" s="299" t="s">
        <v>1301</v>
      </c>
      <c r="C2370" s="304"/>
      <c r="D2370" s="685"/>
      <c r="E2370" s="306" t="s">
        <v>277</v>
      </c>
      <c r="F2370" s="307"/>
      <c r="G2370" s="297"/>
      <c r="H2370" s="308"/>
      <c r="I2370" s="661"/>
      <c r="L2370" s="237"/>
      <c r="Q2370" s="237"/>
    </row>
    <row r="2371" spans="2:17" s="233" customFormat="1" ht="13.5" hidden="1" outlineLevel="2">
      <c r="B2371" s="299" t="s">
        <v>268</v>
      </c>
      <c r="C2371" s="304" t="s">
        <v>1461</v>
      </c>
      <c r="D2371" s="685" t="s">
        <v>335</v>
      </c>
      <c r="E2371" s="306" t="s">
        <v>1302</v>
      </c>
      <c r="F2371" s="307"/>
      <c r="G2371" s="297" t="s">
        <v>1353</v>
      </c>
      <c r="H2371" s="308" t="str">
        <f>CONCATENATE("AR-",G2371,"-",I2371)</f>
        <v>AR-AMN-NA</v>
      </c>
      <c r="I2371" s="665" t="s">
        <v>293</v>
      </c>
      <c r="L2371" s="237"/>
      <c r="Q2371" s="237"/>
    </row>
    <row r="2372" spans="2:17" s="233" customFormat="1" ht="13.5" hidden="1" outlineLevel="2">
      <c r="B2372" s="299" t="s">
        <v>268</v>
      </c>
      <c r="C2372" s="304" t="s">
        <v>1461</v>
      </c>
      <c r="D2372" s="685" t="s">
        <v>337</v>
      </c>
      <c r="E2372" s="306" t="s">
        <v>1302</v>
      </c>
      <c r="F2372" s="307"/>
      <c r="G2372" s="297" t="s">
        <v>1353</v>
      </c>
      <c r="H2372" s="308" t="str">
        <f>CONCATENATE("AR-",G2372,"-",I2372)</f>
        <v>AR-AMN-NA</v>
      </c>
      <c r="I2372" s="665" t="s">
        <v>293</v>
      </c>
      <c r="L2372" s="237"/>
      <c r="Q2372" s="237"/>
    </row>
    <row r="2373" spans="2:17" s="233" customFormat="1" ht="3" hidden="1" customHeight="1" outlineLevel="2">
      <c r="B2373" s="299"/>
      <c r="C2373" s="304"/>
      <c r="D2373" s="685"/>
      <c r="E2373" s="306" t="s">
        <v>277</v>
      </c>
      <c r="F2373" s="307"/>
      <c r="G2373" s="297"/>
      <c r="H2373" s="308"/>
      <c r="I2373" s="661"/>
      <c r="L2373" s="237"/>
      <c r="Q2373" s="237"/>
    </row>
    <row r="2374" spans="2:17" s="233" customFormat="1" ht="13.5" hidden="1" outlineLevel="2">
      <c r="B2374" s="299" t="s">
        <v>1451</v>
      </c>
      <c r="C2374" s="304"/>
      <c r="D2374" s="685"/>
      <c r="E2374" s="306" t="s">
        <v>277</v>
      </c>
      <c r="F2374" s="307"/>
      <c r="G2374" s="297"/>
      <c r="H2374" s="308"/>
      <c r="I2374" s="661"/>
      <c r="L2374" s="237"/>
      <c r="Q2374" s="237"/>
    </row>
    <row r="2375" spans="2:17" s="233" customFormat="1" ht="13.5" hidden="1" outlineLevel="2">
      <c r="B2375" s="299" t="s">
        <v>268</v>
      </c>
      <c r="C2375" s="304" t="s">
        <v>1461</v>
      </c>
      <c r="D2375" s="685">
        <v>4001</v>
      </c>
      <c r="E2375" s="306" t="s">
        <v>1452</v>
      </c>
      <c r="F2375" s="307"/>
      <c r="G2375" s="297" t="s">
        <v>1353</v>
      </c>
      <c r="H2375" s="308" t="str">
        <f>CONCATENATE("AR-",G2375,"-",I2375)</f>
        <v>AR-AMN-NA</v>
      </c>
      <c r="I2375" s="665" t="s">
        <v>293</v>
      </c>
      <c r="L2375" s="237"/>
      <c r="Q2375" s="237"/>
    </row>
    <row r="2376" spans="2:17" s="233" customFormat="1" ht="13.5" hidden="1" outlineLevel="2">
      <c r="B2376" s="299" t="s">
        <v>268</v>
      </c>
      <c r="C2376" s="304" t="s">
        <v>1461</v>
      </c>
      <c r="D2376" s="685">
        <v>4002</v>
      </c>
      <c r="E2376" s="306" t="s">
        <v>1453</v>
      </c>
      <c r="F2376" s="307"/>
      <c r="G2376" s="297" t="s">
        <v>1353</v>
      </c>
      <c r="H2376" s="308" t="str">
        <f>CONCATENATE("AR-",G2376,"-",I2376)</f>
        <v>AR-AMN-NA</v>
      </c>
      <c r="I2376" s="665" t="s">
        <v>293</v>
      </c>
      <c r="L2376" s="237"/>
      <c r="Q2376" s="237"/>
    </row>
    <row r="2377" spans="2:17" s="233" customFormat="1" ht="3" hidden="1" customHeight="1" outlineLevel="2">
      <c r="B2377" s="299"/>
      <c r="C2377" s="304"/>
      <c r="D2377" s="685"/>
      <c r="E2377" s="306" t="s">
        <v>277</v>
      </c>
      <c r="F2377" s="307"/>
      <c r="G2377" s="297"/>
      <c r="H2377" s="308"/>
      <c r="I2377" s="661"/>
      <c r="L2377" s="237"/>
      <c r="Q2377" s="237"/>
    </row>
    <row r="2378" spans="2:17" s="233" customFormat="1" ht="14.25" hidden="1" customHeight="1" outlineLevel="2">
      <c r="B2378" s="299" t="s">
        <v>1309</v>
      </c>
      <c r="C2378" s="304"/>
      <c r="D2378" s="685"/>
      <c r="E2378" s="306" t="s">
        <v>277</v>
      </c>
      <c r="F2378" s="307"/>
      <c r="G2378" s="297"/>
      <c r="H2378" s="308"/>
      <c r="I2378" s="661"/>
      <c r="L2378" s="237"/>
      <c r="Q2378" s="237"/>
    </row>
    <row r="2379" spans="2:17" s="233" customFormat="1" ht="13.5" hidden="1" outlineLevel="2">
      <c r="B2379" s="299" t="s">
        <v>268</v>
      </c>
      <c r="C2379" s="304" t="s">
        <v>1461</v>
      </c>
      <c r="D2379" s="685">
        <v>6601</v>
      </c>
      <c r="E2379" s="306" t="s">
        <v>1310</v>
      </c>
      <c r="F2379" s="307"/>
      <c r="G2379" s="297" t="s">
        <v>1353</v>
      </c>
      <c r="H2379" s="308" t="str">
        <f>CONCATENATE("AR-",G2379,"-",I2379)</f>
        <v>AR-AMN-NA</v>
      </c>
      <c r="I2379" s="665" t="s">
        <v>293</v>
      </c>
      <c r="L2379" s="237"/>
      <c r="Q2379" s="237"/>
    </row>
    <row r="2380" spans="2:17" s="233" customFormat="1" ht="3" hidden="1" customHeight="1" outlineLevel="2">
      <c r="B2380" s="299"/>
      <c r="C2380" s="304"/>
      <c r="D2380" s="685"/>
      <c r="E2380" s="306" t="s">
        <v>277</v>
      </c>
      <c r="F2380" s="307"/>
      <c r="G2380" s="297"/>
      <c r="H2380" s="308"/>
      <c r="I2380" s="661"/>
      <c r="J2380" s="197"/>
      <c r="L2380" s="237"/>
      <c r="Q2380" s="237"/>
    </row>
    <row r="2381" spans="2:17" s="233" customFormat="1" ht="14.25" hidden="1" customHeight="1" outlineLevel="2">
      <c r="B2381" s="299" t="s">
        <v>1455</v>
      </c>
      <c r="C2381" s="304"/>
      <c r="D2381" s="685"/>
      <c r="E2381" s="306" t="s">
        <v>277</v>
      </c>
      <c r="F2381" s="307"/>
      <c r="G2381" s="297"/>
      <c r="H2381" s="308"/>
      <c r="I2381" s="661"/>
      <c r="J2381" s="197"/>
      <c r="L2381" s="237"/>
      <c r="Q2381" s="237"/>
    </row>
    <row r="2382" spans="2:17" s="233" customFormat="1" ht="13.5" hidden="1" outlineLevel="2">
      <c r="B2382" s="299" t="s">
        <v>268</v>
      </c>
      <c r="C2382" s="304" t="s">
        <v>1461</v>
      </c>
      <c r="D2382" s="685">
        <v>8001</v>
      </c>
      <c r="E2382" s="306" t="s">
        <v>1456</v>
      </c>
      <c r="F2382" s="307"/>
      <c r="G2382" s="297" t="s">
        <v>1353</v>
      </c>
      <c r="H2382" s="308" t="str">
        <f>CONCATENATE("AR-",G2382,"-",I2382)</f>
        <v>AR-AMN-NA</v>
      </c>
      <c r="I2382" s="665" t="s">
        <v>293</v>
      </c>
      <c r="J2382" s="197"/>
      <c r="L2382" s="237"/>
      <c r="Q2382" s="237"/>
    </row>
    <row r="2383" spans="2:17" s="233" customFormat="1" ht="3" hidden="1" customHeight="1" outlineLevel="2">
      <c r="B2383" s="299"/>
      <c r="C2383" s="304"/>
      <c r="D2383" s="685"/>
      <c r="E2383" s="306" t="s">
        <v>277</v>
      </c>
      <c r="F2383" s="307"/>
      <c r="G2383" s="297"/>
      <c r="H2383" s="308"/>
      <c r="I2383" s="661"/>
      <c r="J2383" s="197"/>
      <c r="L2383" s="237"/>
      <c r="Q2383" s="237"/>
    </row>
    <row r="2384" spans="2:17" s="233" customFormat="1" ht="14.25" hidden="1" customHeight="1" outlineLevel="2">
      <c r="B2384" s="299" t="s">
        <v>1457</v>
      </c>
      <c r="C2384" s="304"/>
      <c r="D2384" s="685"/>
      <c r="E2384" s="306" t="s">
        <v>277</v>
      </c>
      <c r="F2384" s="307"/>
      <c r="G2384" s="297"/>
      <c r="H2384" s="308"/>
      <c r="I2384" s="661"/>
      <c r="J2384" s="197"/>
      <c r="L2384" s="237"/>
      <c r="Q2384" s="237"/>
    </row>
    <row r="2385" spans="2:17" s="233" customFormat="1" ht="13.5" hidden="1" outlineLevel="2">
      <c r="B2385" s="299" t="s">
        <v>268</v>
      </c>
      <c r="C2385" s="304" t="s">
        <v>1461</v>
      </c>
      <c r="D2385" s="685">
        <v>8005</v>
      </c>
      <c r="E2385" s="306" t="s">
        <v>1458</v>
      </c>
      <c r="F2385" s="307"/>
      <c r="G2385" s="297" t="s">
        <v>1353</v>
      </c>
      <c r="H2385" s="308" t="str">
        <f>CONCATENATE("AR-",G2385,"-",I2385)</f>
        <v>AR-AMN-NA</v>
      </c>
      <c r="I2385" s="665" t="s">
        <v>293</v>
      </c>
      <c r="J2385" s="197"/>
      <c r="L2385" s="237"/>
      <c r="Q2385" s="237"/>
    </row>
    <row r="2386" spans="2:17" s="233" customFormat="1" ht="13.5" hidden="1" outlineLevel="2">
      <c r="B2386" s="299" t="s">
        <v>268</v>
      </c>
      <c r="C2386" s="304" t="s">
        <v>1461</v>
      </c>
      <c r="D2386" s="685">
        <v>8006</v>
      </c>
      <c r="E2386" s="306" t="s">
        <v>1459</v>
      </c>
      <c r="F2386" s="307"/>
      <c r="G2386" s="297" t="s">
        <v>1353</v>
      </c>
      <c r="H2386" s="308" t="str">
        <f>CONCATENATE("AR-",G2386,"-",I2386)</f>
        <v>AR-AMN-NA</v>
      </c>
      <c r="I2386" s="665" t="s">
        <v>293</v>
      </c>
      <c r="J2386" s="197"/>
      <c r="L2386" s="237"/>
      <c r="Q2386" s="237"/>
    </row>
    <row r="2387" spans="2:17" s="233" customFormat="1" ht="3" hidden="1" customHeight="1" outlineLevel="1">
      <c r="B2387" s="299"/>
      <c r="C2387" s="304"/>
      <c r="D2387" s="685"/>
      <c r="E2387" s="306" t="s">
        <v>277</v>
      </c>
      <c r="F2387" s="307"/>
      <c r="G2387" s="297"/>
      <c r="H2387" s="308"/>
      <c r="I2387" s="661"/>
      <c r="J2387" s="197"/>
      <c r="L2387" s="237"/>
      <c r="Q2387" s="237"/>
    </row>
    <row r="2388" spans="2:17" s="233" customFormat="1" ht="13.5" hidden="1" outlineLevel="1">
      <c r="B2388" s="299" t="s">
        <v>1462</v>
      </c>
      <c r="C2388" s="304"/>
      <c r="D2388" s="685"/>
      <c r="E2388" s="306" t="s">
        <v>277</v>
      </c>
      <c r="F2388" s="307"/>
      <c r="G2388" s="297"/>
      <c r="H2388" s="308"/>
      <c r="I2388" s="661"/>
      <c r="J2388" s="197"/>
      <c r="L2388" s="237"/>
      <c r="Q2388" s="237"/>
    </row>
    <row r="2389" spans="2:17" s="233" customFormat="1" ht="3" hidden="1" customHeight="1" outlineLevel="2">
      <c r="B2389" s="299"/>
      <c r="C2389" s="304"/>
      <c r="D2389" s="685"/>
      <c r="E2389" s="306" t="s">
        <v>277</v>
      </c>
      <c r="F2389" s="307"/>
      <c r="G2389" s="297"/>
      <c r="H2389" s="308"/>
      <c r="I2389" s="661"/>
      <c r="J2389" s="197"/>
      <c r="L2389" s="237"/>
      <c r="Q2389" s="237"/>
    </row>
    <row r="2390" spans="2:17" s="233" customFormat="1" ht="14.25" hidden="1" customHeight="1" outlineLevel="2">
      <c r="B2390" s="299" t="s">
        <v>1281</v>
      </c>
      <c r="C2390" s="304"/>
      <c r="D2390" s="685"/>
      <c r="E2390" s="306" t="s">
        <v>277</v>
      </c>
      <c r="F2390" s="307"/>
      <c r="G2390" s="297"/>
      <c r="H2390" s="308"/>
      <c r="I2390" s="661"/>
      <c r="J2390" s="197"/>
      <c r="L2390" s="237"/>
      <c r="Q2390" s="237"/>
    </row>
    <row r="2391" spans="2:17" s="233" customFormat="1" ht="13.5" hidden="1" outlineLevel="2">
      <c r="B2391" s="299" t="s">
        <v>268</v>
      </c>
      <c r="C2391" s="304" t="s">
        <v>1463</v>
      </c>
      <c r="D2391" s="685" t="s">
        <v>270</v>
      </c>
      <c r="E2391" s="306" t="s">
        <v>599</v>
      </c>
      <c r="F2391" s="307"/>
      <c r="G2391" s="297" t="s">
        <v>1353</v>
      </c>
      <c r="H2391" s="308" t="str">
        <f>CONCATENATE("AR-",G2391,"-",I2391)</f>
        <v>AR-AMN-NA</v>
      </c>
      <c r="I2391" s="661" t="s">
        <v>293</v>
      </c>
      <c r="J2391" s="197"/>
      <c r="L2391" s="237"/>
      <c r="Q2391" s="237"/>
    </row>
    <row r="2392" spans="2:17" s="233" customFormat="1" ht="3" hidden="1" customHeight="1" outlineLevel="2">
      <c r="B2392" s="299"/>
      <c r="C2392" s="304"/>
      <c r="D2392" s="685"/>
      <c r="E2392" s="306" t="s">
        <v>277</v>
      </c>
      <c r="F2392" s="307"/>
      <c r="G2392" s="297"/>
      <c r="H2392" s="308"/>
      <c r="I2392" s="661"/>
      <c r="J2392" s="197"/>
      <c r="L2392" s="237"/>
      <c r="Q2392" s="237"/>
    </row>
    <row r="2393" spans="2:17" s="233" customFormat="1" ht="14.25" hidden="1" customHeight="1" outlineLevel="2">
      <c r="B2393" s="299" t="s">
        <v>1283</v>
      </c>
      <c r="C2393" s="304"/>
      <c r="D2393" s="685"/>
      <c r="E2393" s="306" t="s">
        <v>277</v>
      </c>
      <c r="F2393" s="307"/>
      <c r="G2393" s="297"/>
      <c r="H2393" s="308"/>
      <c r="I2393" s="661"/>
      <c r="J2393" s="197"/>
      <c r="L2393" s="237"/>
      <c r="Q2393" s="237"/>
    </row>
    <row r="2394" spans="2:17" s="233" customFormat="1" ht="13.5" hidden="1" outlineLevel="2">
      <c r="B2394" s="299" t="s">
        <v>268</v>
      </c>
      <c r="C2394" s="304" t="s">
        <v>1463</v>
      </c>
      <c r="D2394" s="685" t="s">
        <v>1144</v>
      </c>
      <c r="E2394" s="306" t="s">
        <v>1447</v>
      </c>
      <c r="F2394" s="307"/>
      <c r="G2394" s="297" t="s">
        <v>1353</v>
      </c>
      <c r="H2394" s="308" t="str">
        <f>CONCATENATE("AR-",G2394,"-",I2394)</f>
        <v>AR-AMN-NA</v>
      </c>
      <c r="I2394" s="661" t="s">
        <v>293</v>
      </c>
      <c r="J2394" s="197"/>
      <c r="L2394" s="237"/>
      <c r="Q2394" s="237"/>
    </row>
    <row r="2395" spans="2:17" s="233" customFormat="1" ht="3" hidden="1" customHeight="1" outlineLevel="2">
      <c r="B2395" s="299"/>
      <c r="C2395" s="304"/>
      <c r="D2395" s="685"/>
      <c r="E2395" s="306" t="s">
        <v>277</v>
      </c>
      <c r="F2395" s="307"/>
      <c r="G2395" s="297"/>
      <c r="H2395" s="308"/>
      <c r="I2395" s="661"/>
      <c r="J2395" s="197"/>
      <c r="L2395" s="237"/>
      <c r="Q2395" s="237"/>
    </row>
    <row r="2396" spans="2:17" s="233" customFormat="1" ht="14.25" hidden="1" customHeight="1" outlineLevel="2">
      <c r="B2396" s="299" t="s">
        <v>1284</v>
      </c>
      <c r="C2396" s="304"/>
      <c r="D2396" s="685"/>
      <c r="E2396" s="306" t="s">
        <v>277</v>
      </c>
      <c r="F2396" s="307"/>
      <c r="G2396" s="297"/>
      <c r="H2396" s="308"/>
      <c r="I2396" s="661"/>
      <c r="J2396" s="197"/>
      <c r="K2396" s="232"/>
      <c r="L2396" s="234"/>
      <c r="M2396" s="197"/>
      <c r="Q2396" s="237"/>
    </row>
    <row r="2397" spans="2:17" s="233" customFormat="1" ht="13.5" hidden="1" outlineLevel="2">
      <c r="B2397" s="299" t="s">
        <v>268</v>
      </c>
      <c r="C2397" s="304" t="s">
        <v>1463</v>
      </c>
      <c r="D2397" s="685" t="s">
        <v>279</v>
      </c>
      <c r="E2397" s="306" t="s">
        <v>1448</v>
      </c>
      <c r="F2397" s="307"/>
      <c r="G2397" s="297" t="s">
        <v>1353</v>
      </c>
      <c r="H2397" s="308" t="str">
        <f>CONCATENATE("AR-",G2397,"-",I2397)</f>
        <v>AR-AMN-NA</v>
      </c>
      <c r="I2397" s="661" t="s">
        <v>293</v>
      </c>
      <c r="J2397" s="197"/>
      <c r="K2397" s="232"/>
      <c r="L2397" s="234"/>
      <c r="M2397" s="197"/>
      <c r="Q2397" s="237"/>
    </row>
    <row r="2398" spans="2:17" s="233" customFormat="1" ht="3" hidden="1" customHeight="1" outlineLevel="2">
      <c r="B2398" s="299"/>
      <c r="C2398" s="304"/>
      <c r="D2398" s="685"/>
      <c r="E2398" s="306" t="s">
        <v>277</v>
      </c>
      <c r="F2398" s="307"/>
      <c r="G2398" s="297"/>
      <c r="H2398" s="308"/>
      <c r="I2398" s="661"/>
      <c r="J2398" s="197"/>
      <c r="K2398" s="232"/>
      <c r="L2398" s="234"/>
      <c r="M2398" s="197"/>
      <c r="Q2398" s="237"/>
    </row>
    <row r="2399" spans="2:17" s="233" customFormat="1" ht="14.25" hidden="1" customHeight="1" outlineLevel="2">
      <c r="B2399" s="299" t="s">
        <v>1286</v>
      </c>
      <c r="C2399" s="304"/>
      <c r="D2399" s="685"/>
      <c r="E2399" s="306" t="s">
        <v>277</v>
      </c>
      <c r="F2399" s="307"/>
      <c r="G2399" s="297"/>
      <c r="H2399" s="308"/>
      <c r="I2399" s="661"/>
      <c r="J2399" s="197"/>
      <c r="K2399" s="232"/>
      <c r="L2399" s="234"/>
      <c r="M2399" s="197"/>
      <c r="Q2399" s="237"/>
    </row>
    <row r="2400" spans="2:17" s="233" customFormat="1" ht="13.5" hidden="1" outlineLevel="2">
      <c r="B2400" s="299" t="s">
        <v>268</v>
      </c>
      <c r="C2400" s="304" t="s">
        <v>1463</v>
      </c>
      <c r="D2400" s="685" t="s">
        <v>374</v>
      </c>
      <c r="E2400" s="306" t="s">
        <v>1449</v>
      </c>
      <c r="F2400" s="307"/>
      <c r="G2400" s="297" t="s">
        <v>1353</v>
      </c>
      <c r="H2400" s="308" t="str">
        <f>CONCATENATE("AR-",G2400,"-",I2400)</f>
        <v>AR-AMN-NA</v>
      </c>
      <c r="I2400" s="661" t="s">
        <v>293</v>
      </c>
      <c r="J2400" s="197"/>
      <c r="K2400" s="232"/>
      <c r="L2400" s="234"/>
      <c r="M2400" s="197"/>
      <c r="Q2400" s="237"/>
    </row>
    <row r="2401" spans="2:17" s="233" customFormat="1" ht="3" hidden="1" customHeight="1" outlineLevel="2">
      <c r="B2401" s="299"/>
      <c r="C2401" s="304"/>
      <c r="D2401" s="685"/>
      <c r="E2401" s="306" t="s">
        <v>277</v>
      </c>
      <c r="F2401" s="307"/>
      <c r="G2401" s="297"/>
      <c r="H2401" s="308"/>
      <c r="I2401" s="661"/>
      <c r="J2401" s="197"/>
      <c r="K2401" s="232"/>
      <c r="L2401" s="234"/>
      <c r="M2401" s="197"/>
      <c r="Q2401" s="237"/>
    </row>
    <row r="2402" spans="2:17" s="233" customFormat="1" ht="14.25" hidden="1" customHeight="1" outlineLevel="2">
      <c r="B2402" s="299" t="s">
        <v>1288</v>
      </c>
      <c r="C2402" s="304"/>
      <c r="D2402" s="685"/>
      <c r="E2402" s="306" t="s">
        <v>277</v>
      </c>
      <c r="F2402" s="307"/>
      <c r="G2402" s="297"/>
      <c r="H2402" s="308"/>
      <c r="I2402" s="661"/>
      <c r="J2402" s="197"/>
      <c r="K2402" s="232"/>
      <c r="L2402" s="234"/>
      <c r="M2402" s="197"/>
      <c r="Q2402" s="237"/>
    </row>
    <row r="2403" spans="2:17" s="233" customFormat="1" ht="13.5" hidden="1" outlineLevel="2">
      <c r="B2403" s="299" t="s">
        <v>268</v>
      </c>
      <c r="C2403" s="304" t="s">
        <v>1463</v>
      </c>
      <c r="D2403" s="685" t="s">
        <v>701</v>
      </c>
      <c r="E2403" s="306" t="s">
        <v>1450</v>
      </c>
      <c r="F2403" s="307"/>
      <c r="G2403" s="297" t="s">
        <v>1353</v>
      </c>
      <c r="H2403" s="308" t="str">
        <f>CONCATENATE("AR-",G2403,"-",I2403)</f>
        <v>AR-AMN-NA</v>
      </c>
      <c r="I2403" s="661" t="s">
        <v>293</v>
      </c>
      <c r="J2403" s="197"/>
      <c r="K2403" s="232"/>
      <c r="L2403" s="234"/>
      <c r="M2403" s="197"/>
      <c r="Q2403" s="237"/>
    </row>
    <row r="2404" spans="2:17" s="233" customFormat="1" ht="3" hidden="1" customHeight="1" outlineLevel="2">
      <c r="B2404" s="299"/>
      <c r="C2404" s="304"/>
      <c r="D2404" s="685"/>
      <c r="E2404" s="306" t="s">
        <v>277</v>
      </c>
      <c r="F2404" s="307"/>
      <c r="G2404" s="297"/>
      <c r="H2404" s="308"/>
      <c r="I2404" s="661"/>
      <c r="J2404" s="197"/>
      <c r="K2404" s="232"/>
      <c r="L2404" s="234"/>
      <c r="M2404" s="197"/>
      <c r="Q2404" s="237"/>
    </row>
    <row r="2405" spans="2:17" s="233" customFormat="1" ht="14.25" hidden="1" customHeight="1" outlineLevel="2">
      <c r="B2405" s="299" t="s">
        <v>1293</v>
      </c>
      <c r="C2405" s="304"/>
      <c r="D2405" s="685"/>
      <c r="E2405" s="306" t="s">
        <v>277</v>
      </c>
      <c r="F2405" s="307"/>
      <c r="G2405" s="297"/>
      <c r="H2405" s="308"/>
      <c r="I2405" s="661"/>
      <c r="J2405" s="197"/>
      <c r="K2405" s="232"/>
      <c r="L2405" s="234"/>
      <c r="M2405" s="197"/>
      <c r="Q2405" s="237"/>
    </row>
    <row r="2406" spans="2:17" s="233" customFormat="1" ht="13.5" hidden="1" outlineLevel="2">
      <c r="B2406" s="299" t="s">
        <v>268</v>
      </c>
      <c r="C2406" s="304" t="s">
        <v>1463</v>
      </c>
      <c r="D2406" s="685">
        <v>1401</v>
      </c>
      <c r="E2406" s="306" t="s">
        <v>1294</v>
      </c>
      <c r="F2406" s="307"/>
      <c r="G2406" s="297" t="s">
        <v>1353</v>
      </c>
      <c r="H2406" s="308" t="str">
        <f>CONCATENATE("AR-",G2406,"-",I2406)</f>
        <v>AR-AMN-NA</v>
      </c>
      <c r="I2406" s="661" t="s">
        <v>293</v>
      </c>
      <c r="J2406" s="197"/>
      <c r="K2406" s="232"/>
      <c r="L2406" s="234"/>
      <c r="M2406" s="197"/>
      <c r="Q2406" s="237"/>
    </row>
    <row r="2407" spans="2:17" s="233" customFormat="1" ht="13.5" hidden="1" outlineLevel="2">
      <c r="B2407" s="299" t="s">
        <v>268</v>
      </c>
      <c r="C2407" s="304" t="s">
        <v>1463</v>
      </c>
      <c r="D2407" s="685">
        <v>1404</v>
      </c>
      <c r="E2407" s="306" t="s">
        <v>1297</v>
      </c>
      <c r="F2407" s="307"/>
      <c r="G2407" s="297" t="s">
        <v>1353</v>
      </c>
      <c r="H2407" s="308" t="str">
        <f>CONCATENATE("AR-",G2407,"-",I2407)</f>
        <v>AR-AMN-NA</v>
      </c>
      <c r="I2407" s="661" t="s">
        <v>293</v>
      </c>
      <c r="J2407" s="197"/>
      <c r="K2407" s="232"/>
      <c r="L2407" s="234"/>
      <c r="M2407" s="197"/>
      <c r="Q2407" s="237"/>
    </row>
    <row r="2408" spans="2:17" s="233" customFormat="1" ht="13.5" hidden="1" outlineLevel="2">
      <c r="B2408" s="299" t="s">
        <v>268</v>
      </c>
      <c r="C2408" s="304" t="s">
        <v>1463</v>
      </c>
      <c r="D2408" s="685" t="s">
        <v>396</v>
      </c>
      <c r="E2408" s="306" t="s">
        <v>1298</v>
      </c>
      <c r="F2408" s="307"/>
      <c r="G2408" s="297" t="s">
        <v>1353</v>
      </c>
      <c r="H2408" s="308" t="str">
        <f>CONCATENATE("AR-",G2408,"-",I2408)</f>
        <v>AR-AMN-NA</v>
      </c>
      <c r="I2408" s="661" t="s">
        <v>293</v>
      </c>
      <c r="J2408" s="197"/>
      <c r="K2408" s="232"/>
      <c r="L2408" s="234"/>
      <c r="M2408" s="197"/>
      <c r="Q2408" s="237"/>
    </row>
    <row r="2409" spans="2:17" s="233" customFormat="1" ht="3" hidden="1" customHeight="1" outlineLevel="2">
      <c r="B2409" s="299"/>
      <c r="C2409" s="304"/>
      <c r="D2409" s="685"/>
      <c r="E2409" s="306" t="s">
        <v>277</v>
      </c>
      <c r="F2409" s="307"/>
      <c r="G2409" s="297"/>
      <c r="H2409" s="308"/>
      <c r="I2409" s="661"/>
      <c r="J2409" s="197"/>
      <c r="K2409" s="232"/>
      <c r="L2409" s="234"/>
      <c r="M2409" s="197"/>
      <c r="Q2409" s="237"/>
    </row>
    <row r="2410" spans="2:17" s="233" customFormat="1" ht="14.25" hidden="1" customHeight="1" outlineLevel="2">
      <c r="B2410" s="299" t="s">
        <v>1299</v>
      </c>
      <c r="C2410" s="304"/>
      <c r="D2410" s="685"/>
      <c r="E2410" s="306" t="s">
        <v>277</v>
      </c>
      <c r="F2410" s="307"/>
      <c r="G2410" s="297"/>
      <c r="H2410" s="308"/>
      <c r="I2410" s="661"/>
      <c r="J2410" s="197"/>
      <c r="K2410" s="232"/>
      <c r="L2410" s="234"/>
      <c r="M2410" s="197"/>
      <c r="Q2410" s="237"/>
    </row>
    <row r="2411" spans="2:17" s="233" customFormat="1" ht="13.5" hidden="1" outlineLevel="2">
      <c r="B2411" s="299" t="s">
        <v>268</v>
      </c>
      <c r="C2411" s="304" t="s">
        <v>1463</v>
      </c>
      <c r="D2411" s="685" t="s">
        <v>328</v>
      </c>
      <c r="E2411" s="306" t="s">
        <v>1300</v>
      </c>
      <c r="F2411" s="307"/>
      <c r="G2411" s="297" t="s">
        <v>1353</v>
      </c>
      <c r="H2411" s="308" t="str">
        <f>CONCATENATE("AR-",G2411,"-",I2411)</f>
        <v>AR-AMN-NA</v>
      </c>
      <c r="I2411" s="661" t="s">
        <v>293</v>
      </c>
      <c r="J2411" s="197"/>
      <c r="K2411" s="232"/>
      <c r="L2411" s="234"/>
      <c r="M2411" s="197"/>
      <c r="Q2411" s="237"/>
    </row>
    <row r="2412" spans="2:17" s="233" customFormat="1" ht="3" hidden="1" customHeight="1" outlineLevel="2">
      <c r="B2412" s="299"/>
      <c r="C2412" s="304"/>
      <c r="D2412" s="685"/>
      <c r="E2412" s="306" t="s">
        <v>277</v>
      </c>
      <c r="F2412" s="307"/>
      <c r="G2412" s="297"/>
      <c r="H2412" s="308"/>
      <c r="I2412" s="661"/>
      <c r="J2412" s="197"/>
      <c r="K2412" s="232"/>
      <c r="L2412" s="234"/>
      <c r="M2412" s="197"/>
      <c r="Q2412" s="237"/>
    </row>
    <row r="2413" spans="2:17" s="233" customFormat="1" ht="14.25" hidden="1" customHeight="1" outlineLevel="2">
      <c r="B2413" s="299" t="s">
        <v>1301</v>
      </c>
      <c r="C2413" s="304"/>
      <c r="D2413" s="685"/>
      <c r="E2413" s="306" t="s">
        <v>277</v>
      </c>
      <c r="F2413" s="307"/>
      <c r="G2413" s="297"/>
      <c r="H2413" s="308"/>
      <c r="I2413" s="661"/>
      <c r="J2413" s="197"/>
      <c r="K2413" s="232"/>
      <c r="L2413" s="234"/>
      <c r="M2413" s="197"/>
      <c r="Q2413" s="237"/>
    </row>
    <row r="2414" spans="2:17" s="233" customFormat="1" ht="13.5" hidden="1" outlineLevel="2">
      <c r="B2414" s="299" t="s">
        <v>268</v>
      </c>
      <c r="C2414" s="304" t="s">
        <v>1463</v>
      </c>
      <c r="D2414" s="685" t="s">
        <v>335</v>
      </c>
      <c r="E2414" s="306" t="s">
        <v>1302</v>
      </c>
      <c r="F2414" s="307"/>
      <c r="G2414" s="297" t="s">
        <v>1353</v>
      </c>
      <c r="H2414" s="308" t="str">
        <f>CONCATENATE("AR-",G2414,"-",I2414)</f>
        <v>AR-AMN-NA</v>
      </c>
      <c r="I2414" s="661" t="s">
        <v>293</v>
      </c>
      <c r="J2414" s="197"/>
      <c r="K2414" s="232"/>
      <c r="L2414" s="234"/>
      <c r="M2414" s="197"/>
      <c r="Q2414" s="237"/>
    </row>
    <row r="2415" spans="2:17" s="233" customFormat="1" ht="13.5" hidden="1" outlineLevel="2">
      <c r="B2415" s="299" t="s">
        <v>268</v>
      </c>
      <c r="C2415" s="304" t="s">
        <v>1463</v>
      </c>
      <c r="D2415" s="685" t="s">
        <v>337</v>
      </c>
      <c r="E2415" s="306" t="s">
        <v>1302</v>
      </c>
      <c r="F2415" s="307"/>
      <c r="G2415" s="297" t="s">
        <v>1353</v>
      </c>
      <c r="H2415" s="308" t="str">
        <f>CONCATENATE("AR-",G2415,"-",I2415)</f>
        <v>AR-AMN-NA</v>
      </c>
      <c r="I2415" s="661" t="s">
        <v>293</v>
      </c>
      <c r="J2415" s="197"/>
      <c r="K2415" s="232"/>
      <c r="L2415" s="234"/>
      <c r="M2415" s="197"/>
      <c r="Q2415" s="237"/>
    </row>
    <row r="2416" spans="2:17" s="233" customFormat="1" ht="3" hidden="1" customHeight="1" outlineLevel="2">
      <c r="B2416" s="299"/>
      <c r="C2416" s="304"/>
      <c r="D2416" s="685"/>
      <c r="E2416" s="306" t="s">
        <v>277</v>
      </c>
      <c r="F2416" s="307"/>
      <c r="G2416" s="297"/>
      <c r="H2416" s="308"/>
      <c r="I2416" s="661"/>
      <c r="J2416" s="197"/>
      <c r="K2416" s="232"/>
      <c r="L2416" s="234"/>
      <c r="M2416" s="197"/>
      <c r="Q2416" s="237"/>
    </row>
    <row r="2417" spans="2:17" s="233" customFormat="1" ht="13.5" hidden="1" outlineLevel="2">
      <c r="B2417" s="299" t="s">
        <v>1451</v>
      </c>
      <c r="C2417" s="304"/>
      <c r="D2417" s="685"/>
      <c r="E2417" s="306" t="s">
        <v>277</v>
      </c>
      <c r="F2417" s="307"/>
      <c r="G2417" s="297"/>
      <c r="H2417" s="308"/>
      <c r="I2417" s="661"/>
      <c r="J2417" s="197"/>
      <c r="K2417" s="232"/>
      <c r="L2417" s="234"/>
      <c r="M2417" s="197"/>
      <c r="Q2417" s="237"/>
    </row>
    <row r="2418" spans="2:17" s="233" customFormat="1" ht="13.5" hidden="1" outlineLevel="2">
      <c r="B2418" s="299" t="s">
        <v>268</v>
      </c>
      <c r="C2418" s="304" t="s">
        <v>1463</v>
      </c>
      <c r="D2418" s="685">
        <v>4001</v>
      </c>
      <c r="E2418" s="306" t="s">
        <v>1452</v>
      </c>
      <c r="F2418" s="307"/>
      <c r="G2418" s="297" t="s">
        <v>1353</v>
      </c>
      <c r="H2418" s="308" t="str">
        <f>CONCATENATE("AR-",G2418,"-",I2418)</f>
        <v>AR-AMN-NA</v>
      </c>
      <c r="I2418" s="661" t="s">
        <v>293</v>
      </c>
      <c r="J2418" s="197"/>
      <c r="K2418" s="232"/>
      <c r="L2418" s="234"/>
      <c r="M2418" s="197"/>
      <c r="Q2418" s="237"/>
    </row>
    <row r="2419" spans="2:17" s="233" customFormat="1" ht="13.5" hidden="1" outlineLevel="2">
      <c r="B2419" s="299" t="s">
        <v>268</v>
      </c>
      <c r="C2419" s="304" t="s">
        <v>1463</v>
      </c>
      <c r="D2419" s="685">
        <v>4002</v>
      </c>
      <c r="E2419" s="306" t="s">
        <v>1453</v>
      </c>
      <c r="F2419" s="307"/>
      <c r="G2419" s="297" t="s">
        <v>1353</v>
      </c>
      <c r="H2419" s="308" t="str">
        <f>CONCATENATE("AR-",G2419,"-",I2419)</f>
        <v>AR-AMN-NA</v>
      </c>
      <c r="I2419" s="661" t="s">
        <v>293</v>
      </c>
      <c r="J2419" s="197"/>
      <c r="K2419" s="232"/>
      <c r="L2419" s="234"/>
      <c r="M2419" s="197"/>
      <c r="Q2419" s="237"/>
    </row>
    <row r="2420" spans="2:17" s="233" customFormat="1" ht="3" hidden="1" customHeight="1" outlineLevel="2">
      <c r="B2420" s="299"/>
      <c r="C2420" s="304"/>
      <c r="D2420" s="685"/>
      <c r="E2420" s="306" t="s">
        <v>277</v>
      </c>
      <c r="F2420" s="307"/>
      <c r="G2420" s="297"/>
      <c r="H2420" s="308"/>
      <c r="I2420" s="661"/>
      <c r="J2420" s="197"/>
      <c r="K2420" s="232"/>
      <c r="L2420" s="234"/>
      <c r="M2420" s="197"/>
      <c r="Q2420" s="237"/>
    </row>
    <row r="2421" spans="2:17" s="233" customFormat="1" ht="14.25" hidden="1" customHeight="1" outlineLevel="2">
      <c r="B2421" s="299" t="s">
        <v>1309</v>
      </c>
      <c r="C2421" s="304"/>
      <c r="D2421" s="685"/>
      <c r="E2421" s="306" t="s">
        <v>277</v>
      </c>
      <c r="F2421" s="307"/>
      <c r="G2421" s="297"/>
      <c r="H2421" s="308"/>
      <c r="I2421" s="661"/>
      <c r="J2421" s="197"/>
      <c r="K2421" s="232"/>
      <c r="L2421" s="234"/>
      <c r="M2421" s="197"/>
      <c r="Q2421" s="237"/>
    </row>
    <row r="2422" spans="2:17" s="233" customFormat="1" ht="13.5" hidden="1" outlineLevel="2">
      <c r="B2422" s="299" t="s">
        <v>268</v>
      </c>
      <c r="C2422" s="304" t="s">
        <v>1463</v>
      </c>
      <c r="D2422" s="685">
        <v>6601</v>
      </c>
      <c r="E2422" s="306" t="s">
        <v>1310</v>
      </c>
      <c r="F2422" s="307"/>
      <c r="G2422" s="297" t="s">
        <v>1353</v>
      </c>
      <c r="H2422" s="308" t="str">
        <f>CONCATENATE("AR-",G2422,"-",I2422)</f>
        <v>AR-AMN-NA</v>
      </c>
      <c r="I2422" s="661" t="s">
        <v>293</v>
      </c>
      <c r="K2422" s="232"/>
      <c r="L2422" s="234"/>
      <c r="M2422" s="197"/>
      <c r="Q2422" s="237"/>
    </row>
    <row r="2423" spans="2:17" s="233" customFormat="1" ht="3" hidden="1" customHeight="1" outlineLevel="2">
      <c r="B2423" s="299"/>
      <c r="C2423" s="304"/>
      <c r="D2423" s="685"/>
      <c r="E2423" s="306" t="s">
        <v>277</v>
      </c>
      <c r="F2423" s="307"/>
      <c r="G2423" s="297"/>
      <c r="H2423" s="308"/>
      <c r="I2423" s="661"/>
      <c r="J2423" s="197"/>
      <c r="K2423" s="232"/>
      <c r="L2423" s="234"/>
      <c r="M2423" s="197"/>
      <c r="Q2423" s="237"/>
    </row>
    <row r="2424" spans="2:17" s="233" customFormat="1" ht="14.25" hidden="1" customHeight="1" outlineLevel="2">
      <c r="B2424" s="299" t="s">
        <v>1455</v>
      </c>
      <c r="C2424" s="304"/>
      <c r="D2424" s="685"/>
      <c r="E2424" s="306" t="s">
        <v>277</v>
      </c>
      <c r="F2424" s="307"/>
      <c r="G2424" s="297"/>
      <c r="H2424" s="308"/>
      <c r="I2424" s="661"/>
      <c r="J2424" s="197"/>
      <c r="K2424" s="232"/>
      <c r="L2424" s="234"/>
      <c r="M2424" s="197"/>
      <c r="Q2424" s="237"/>
    </row>
    <row r="2425" spans="2:17" s="233" customFormat="1" ht="13.5" hidden="1" outlineLevel="2">
      <c r="B2425" s="299" t="s">
        <v>268</v>
      </c>
      <c r="C2425" s="304" t="s">
        <v>1463</v>
      </c>
      <c r="D2425" s="685">
        <v>8001</v>
      </c>
      <c r="E2425" s="306" t="s">
        <v>1456</v>
      </c>
      <c r="F2425" s="307"/>
      <c r="G2425" s="297" t="s">
        <v>1353</v>
      </c>
      <c r="H2425" s="308" t="str">
        <f>CONCATENATE("AR-",G2425,"-",I2425)</f>
        <v>AR-AMN-NA</v>
      </c>
      <c r="I2425" s="661" t="s">
        <v>293</v>
      </c>
      <c r="J2425" s="197"/>
      <c r="K2425" s="232"/>
      <c r="L2425" s="234"/>
      <c r="M2425" s="197"/>
      <c r="Q2425" s="237"/>
    </row>
    <row r="2426" spans="2:17" s="233" customFormat="1" ht="3" hidden="1" customHeight="1" outlineLevel="2">
      <c r="B2426" s="299"/>
      <c r="C2426" s="304"/>
      <c r="D2426" s="685"/>
      <c r="E2426" s="306" t="s">
        <v>277</v>
      </c>
      <c r="F2426" s="307"/>
      <c r="G2426" s="297"/>
      <c r="H2426" s="308"/>
      <c r="I2426" s="661"/>
      <c r="J2426" s="197"/>
      <c r="K2426" s="232"/>
      <c r="L2426" s="234"/>
      <c r="M2426" s="197"/>
      <c r="Q2426" s="237"/>
    </row>
    <row r="2427" spans="2:17" s="233" customFormat="1" ht="14.25" hidden="1" customHeight="1" outlineLevel="2">
      <c r="B2427" s="299" t="s">
        <v>1457</v>
      </c>
      <c r="C2427" s="304"/>
      <c r="D2427" s="685"/>
      <c r="E2427" s="306" t="s">
        <v>277</v>
      </c>
      <c r="F2427" s="307"/>
      <c r="G2427" s="297"/>
      <c r="H2427" s="308"/>
      <c r="I2427" s="661"/>
      <c r="J2427" s="197"/>
      <c r="K2427" s="232"/>
      <c r="L2427" s="234"/>
      <c r="M2427" s="197"/>
      <c r="Q2427" s="237"/>
    </row>
    <row r="2428" spans="2:17" s="233" customFormat="1" ht="13.5" hidden="1" outlineLevel="2">
      <c r="B2428" s="299" t="s">
        <v>268</v>
      </c>
      <c r="C2428" s="304" t="s">
        <v>1463</v>
      </c>
      <c r="D2428" s="685">
        <v>8005</v>
      </c>
      <c r="E2428" s="306" t="s">
        <v>1458</v>
      </c>
      <c r="F2428" s="307"/>
      <c r="G2428" s="297" t="s">
        <v>1353</v>
      </c>
      <c r="H2428" s="308" t="str">
        <f>CONCATENATE("AR-",G2428,"-",I2428)</f>
        <v>AR-AMN-NA</v>
      </c>
      <c r="I2428" s="661" t="s">
        <v>293</v>
      </c>
      <c r="K2428" s="232"/>
      <c r="L2428" s="234"/>
      <c r="M2428" s="197"/>
      <c r="Q2428" s="237"/>
    </row>
    <row r="2429" spans="2:17" s="233" customFormat="1" ht="13.5" hidden="1" outlineLevel="2">
      <c r="B2429" s="299" t="s">
        <v>268</v>
      </c>
      <c r="C2429" s="304" t="s">
        <v>1463</v>
      </c>
      <c r="D2429" s="685">
        <v>8006</v>
      </c>
      <c r="E2429" s="306" t="s">
        <v>1459</v>
      </c>
      <c r="F2429" s="307"/>
      <c r="G2429" s="297" t="s">
        <v>1353</v>
      </c>
      <c r="H2429" s="308" t="str">
        <f>CONCATENATE("AR-",G2429,"-",I2429)</f>
        <v>AR-AMN-NA</v>
      </c>
      <c r="I2429" s="661" t="s">
        <v>293</v>
      </c>
      <c r="K2429" s="232"/>
      <c r="L2429" s="234"/>
      <c r="M2429" s="197"/>
      <c r="Q2429" s="237"/>
    </row>
    <row r="2430" spans="2:17" s="233" customFormat="1" ht="3" hidden="1" customHeight="1" outlineLevel="1">
      <c r="B2430" s="299"/>
      <c r="C2430" s="304"/>
      <c r="D2430" s="685"/>
      <c r="E2430" s="306" t="s">
        <v>277</v>
      </c>
      <c r="F2430" s="307"/>
      <c r="G2430" s="297"/>
      <c r="H2430" s="308"/>
      <c r="I2430" s="661"/>
      <c r="J2430" s="197"/>
      <c r="K2430" s="232"/>
      <c r="L2430" s="234"/>
      <c r="M2430" s="197"/>
      <c r="Q2430" s="237"/>
    </row>
    <row r="2431" spans="2:17" s="233" customFormat="1" ht="13.5" hidden="1" outlineLevel="1">
      <c r="B2431" s="299" t="s">
        <v>1464</v>
      </c>
      <c r="C2431" s="304"/>
      <c r="D2431" s="685"/>
      <c r="E2431" s="306" t="s">
        <v>277</v>
      </c>
      <c r="F2431" s="307"/>
      <c r="G2431" s="297"/>
      <c r="H2431" s="308"/>
      <c r="I2431" s="661"/>
      <c r="J2431" s="197"/>
      <c r="K2431" s="232"/>
      <c r="L2431" s="234"/>
      <c r="M2431" s="197"/>
      <c r="Q2431" s="237"/>
    </row>
    <row r="2432" spans="2:17" s="233" customFormat="1" ht="3" hidden="1" customHeight="1" outlineLevel="2">
      <c r="B2432" s="299"/>
      <c r="C2432" s="304"/>
      <c r="D2432" s="685"/>
      <c r="E2432" s="306" t="s">
        <v>277</v>
      </c>
      <c r="F2432" s="307"/>
      <c r="G2432" s="297"/>
      <c r="H2432" s="308"/>
      <c r="I2432" s="661"/>
      <c r="J2432" s="197"/>
      <c r="K2432" s="232"/>
      <c r="L2432" s="234"/>
      <c r="M2432" s="197"/>
      <c r="Q2432" s="237"/>
    </row>
    <row r="2433" spans="2:17" s="233" customFormat="1" ht="14.25" hidden="1" customHeight="1" outlineLevel="2">
      <c r="B2433" s="299" t="s">
        <v>1281</v>
      </c>
      <c r="C2433" s="304"/>
      <c r="D2433" s="685"/>
      <c r="E2433" s="306" t="s">
        <v>277</v>
      </c>
      <c r="F2433" s="307"/>
      <c r="G2433" s="297"/>
      <c r="H2433" s="308"/>
      <c r="I2433" s="661"/>
      <c r="J2433" s="197"/>
      <c r="K2433" s="232"/>
      <c r="L2433" s="234"/>
      <c r="M2433" s="197"/>
      <c r="Q2433" s="237"/>
    </row>
    <row r="2434" spans="2:17" s="233" customFormat="1" ht="13.5" hidden="1" outlineLevel="2">
      <c r="B2434" s="299" t="s">
        <v>268</v>
      </c>
      <c r="C2434" s="304" t="s">
        <v>1465</v>
      </c>
      <c r="D2434" s="685" t="s">
        <v>270</v>
      </c>
      <c r="E2434" s="306" t="s">
        <v>599</v>
      </c>
      <c r="F2434" s="307"/>
      <c r="G2434" s="297" t="s">
        <v>1353</v>
      </c>
      <c r="H2434" s="308" t="str">
        <f>CONCATENATE("AR-",G2434,"-",I2434)</f>
        <v>AR-AMN-5</v>
      </c>
      <c r="I2434" s="661">
        <v>5</v>
      </c>
      <c r="J2434" s="197"/>
      <c r="K2434" s="232"/>
      <c r="L2434" s="234">
        <v>1</v>
      </c>
      <c r="M2434" s="197">
        <v>1</v>
      </c>
      <c r="Q2434" s="237"/>
    </row>
    <row r="2435" spans="2:17" s="233" customFormat="1" ht="3" hidden="1" customHeight="1" outlineLevel="2">
      <c r="B2435" s="299"/>
      <c r="C2435" s="304"/>
      <c r="D2435" s="685"/>
      <c r="E2435" s="306" t="s">
        <v>277</v>
      </c>
      <c r="F2435" s="307"/>
      <c r="G2435" s="297"/>
      <c r="H2435" s="308"/>
      <c r="I2435" s="661"/>
      <c r="J2435" s="197"/>
      <c r="K2435" s="232"/>
      <c r="L2435" s="234"/>
      <c r="M2435" s="197"/>
      <c r="Q2435" s="237"/>
    </row>
    <row r="2436" spans="2:17" s="233" customFormat="1" ht="14.25" hidden="1" customHeight="1" outlineLevel="2">
      <c r="B2436" s="299" t="s">
        <v>1283</v>
      </c>
      <c r="C2436" s="304"/>
      <c r="D2436" s="685"/>
      <c r="E2436" s="306" t="s">
        <v>277</v>
      </c>
      <c r="F2436" s="307"/>
      <c r="G2436" s="297"/>
      <c r="H2436" s="308"/>
      <c r="I2436" s="661"/>
      <c r="J2436" s="197"/>
      <c r="K2436" s="232"/>
      <c r="L2436" s="234"/>
      <c r="M2436" s="197"/>
      <c r="Q2436" s="237"/>
    </row>
    <row r="2437" spans="2:17" s="233" customFormat="1" ht="13.5" hidden="1" outlineLevel="2">
      <c r="B2437" s="299" t="s">
        <v>268</v>
      </c>
      <c r="C2437" s="304" t="s">
        <v>1465</v>
      </c>
      <c r="D2437" s="685" t="s">
        <v>1144</v>
      </c>
      <c r="E2437" s="306" t="s">
        <v>490</v>
      </c>
      <c r="F2437" s="307"/>
      <c r="G2437" s="297" t="s">
        <v>1353</v>
      </c>
      <c r="H2437" s="308" t="str">
        <f>CONCATENATE("AR-",G2437,"-",I2437)</f>
        <v>AR-AMN-5</v>
      </c>
      <c r="I2437" s="661">
        <v>5</v>
      </c>
      <c r="J2437" s="197"/>
      <c r="K2437" s="232"/>
      <c r="L2437" s="234">
        <v>1</v>
      </c>
      <c r="M2437" s="197">
        <v>1</v>
      </c>
      <c r="Q2437" s="237"/>
    </row>
    <row r="2438" spans="2:17" s="233" customFormat="1" ht="3" hidden="1" customHeight="1" outlineLevel="2">
      <c r="B2438" s="299"/>
      <c r="C2438" s="304"/>
      <c r="D2438" s="685"/>
      <c r="E2438" s="306" t="s">
        <v>277</v>
      </c>
      <c r="F2438" s="307"/>
      <c r="G2438" s="297"/>
      <c r="H2438" s="308"/>
      <c r="I2438" s="661"/>
      <c r="J2438" s="197"/>
      <c r="K2438" s="232"/>
      <c r="L2438" s="234"/>
      <c r="M2438" s="197"/>
      <c r="Q2438" s="237"/>
    </row>
    <row r="2439" spans="2:17" s="233" customFormat="1" ht="14.25" hidden="1" customHeight="1" outlineLevel="2">
      <c r="B2439" s="299" t="s">
        <v>1284</v>
      </c>
      <c r="C2439" s="304"/>
      <c r="D2439" s="685"/>
      <c r="E2439" s="306" t="s">
        <v>277</v>
      </c>
      <c r="F2439" s="307"/>
      <c r="G2439" s="297"/>
      <c r="H2439" s="308"/>
      <c r="I2439" s="661"/>
      <c r="J2439" s="197"/>
      <c r="K2439" s="232"/>
      <c r="L2439" s="234"/>
      <c r="M2439" s="197"/>
      <c r="Q2439" s="237"/>
    </row>
    <row r="2440" spans="2:17" s="233" customFormat="1" ht="13.5" hidden="1" outlineLevel="2">
      <c r="B2440" s="299" t="s">
        <v>268</v>
      </c>
      <c r="C2440" s="304" t="s">
        <v>1465</v>
      </c>
      <c r="D2440" s="685" t="s">
        <v>279</v>
      </c>
      <c r="E2440" s="306" t="s">
        <v>491</v>
      </c>
      <c r="F2440" s="307"/>
      <c r="G2440" s="297" t="s">
        <v>1353</v>
      </c>
      <c r="H2440" s="308" t="str">
        <f>CONCATENATE("AR-",G2440,"-",I2440)</f>
        <v>AR-AMN-5</v>
      </c>
      <c r="I2440" s="661">
        <v>5</v>
      </c>
      <c r="J2440" s="197"/>
      <c r="K2440" s="232"/>
      <c r="L2440" s="234">
        <v>1</v>
      </c>
      <c r="M2440" s="197">
        <v>1</v>
      </c>
      <c r="Q2440" s="237"/>
    </row>
    <row r="2441" spans="2:17" s="233" customFormat="1" ht="13.5" hidden="1" outlineLevel="2">
      <c r="B2441" s="299" t="s">
        <v>268</v>
      </c>
      <c r="C2441" s="304" t="s">
        <v>1465</v>
      </c>
      <c r="D2441" s="685" t="s">
        <v>355</v>
      </c>
      <c r="E2441" s="306" t="s">
        <v>1466</v>
      </c>
      <c r="F2441" s="307"/>
      <c r="G2441" s="297" t="s">
        <v>1353</v>
      </c>
      <c r="H2441" s="308" t="str">
        <f>CONCATENATE("AR-",G2441,"-",I2441)</f>
        <v>AR-AMN-5</v>
      </c>
      <c r="I2441" s="661">
        <v>5</v>
      </c>
      <c r="J2441" s="197"/>
      <c r="K2441" s="232"/>
      <c r="L2441" s="234">
        <v>1</v>
      </c>
      <c r="M2441" s="197">
        <v>1</v>
      </c>
      <c r="Q2441" s="237"/>
    </row>
    <row r="2442" spans="2:17" s="233" customFormat="1" ht="3" hidden="1" customHeight="1" outlineLevel="2">
      <c r="B2442" s="299"/>
      <c r="C2442" s="304"/>
      <c r="D2442" s="685"/>
      <c r="E2442" s="306" t="s">
        <v>277</v>
      </c>
      <c r="F2442" s="307"/>
      <c r="G2442" s="297"/>
      <c r="H2442" s="308"/>
      <c r="I2442" s="661"/>
      <c r="J2442" s="197"/>
      <c r="K2442" s="232"/>
      <c r="L2442" s="234"/>
      <c r="M2442" s="197"/>
      <c r="Q2442" s="237"/>
    </row>
    <row r="2443" spans="2:17" s="233" customFormat="1" ht="14.25" hidden="1" customHeight="1" outlineLevel="2">
      <c r="B2443" s="299" t="s">
        <v>1286</v>
      </c>
      <c r="C2443" s="304"/>
      <c r="D2443" s="685"/>
      <c r="E2443" s="306" t="s">
        <v>277</v>
      </c>
      <c r="F2443" s="307"/>
      <c r="G2443" s="297"/>
      <c r="H2443" s="308"/>
      <c r="I2443" s="661"/>
      <c r="J2443" s="197"/>
      <c r="K2443" s="232"/>
      <c r="L2443" s="234"/>
      <c r="M2443" s="197"/>
      <c r="Q2443" s="237"/>
    </row>
    <row r="2444" spans="2:17" s="233" customFormat="1" ht="13.5" hidden="1" outlineLevel="2">
      <c r="B2444" s="299" t="s">
        <v>268</v>
      </c>
      <c r="C2444" s="304" t="s">
        <v>1465</v>
      </c>
      <c r="D2444" s="685" t="s">
        <v>374</v>
      </c>
      <c r="E2444" s="306" t="s">
        <v>1449</v>
      </c>
      <c r="F2444" s="307"/>
      <c r="G2444" s="297" t="s">
        <v>1353</v>
      </c>
      <c r="H2444" s="308" t="str">
        <f>CONCATENATE("AR-",G2444,"-",I2444)</f>
        <v>AR-AMN-5</v>
      </c>
      <c r="I2444" s="661">
        <v>5</v>
      </c>
      <c r="J2444" s="197"/>
      <c r="K2444" s="232"/>
      <c r="L2444" s="234">
        <v>1</v>
      </c>
      <c r="M2444" s="197">
        <v>1</v>
      </c>
      <c r="Q2444" s="237"/>
    </row>
    <row r="2445" spans="2:17" s="233" customFormat="1" ht="13.5" hidden="1" outlineLevel="2">
      <c r="B2445" s="299" t="s">
        <v>268</v>
      </c>
      <c r="C2445" s="304" t="s">
        <v>1465</v>
      </c>
      <c r="D2445" s="685" t="s">
        <v>376</v>
      </c>
      <c r="E2445" s="306" t="s">
        <v>1467</v>
      </c>
      <c r="F2445" s="307"/>
      <c r="G2445" s="297" t="s">
        <v>1353</v>
      </c>
      <c r="H2445" s="308" t="str">
        <f>CONCATENATE("AR-",G2445,"-",I2445)</f>
        <v>AR-AMN-5</v>
      </c>
      <c r="I2445" s="661">
        <v>5</v>
      </c>
      <c r="J2445" s="197"/>
      <c r="K2445" s="232"/>
      <c r="L2445" s="234">
        <v>1</v>
      </c>
      <c r="M2445" s="197">
        <v>1</v>
      </c>
      <c r="Q2445" s="237"/>
    </row>
    <row r="2446" spans="2:17" s="233" customFormat="1" ht="3" hidden="1" customHeight="1" outlineLevel="2">
      <c r="B2446" s="299"/>
      <c r="C2446" s="304"/>
      <c r="D2446" s="685"/>
      <c r="E2446" s="306" t="s">
        <v>277</v>
      </c>
      <c r="F2446" s="307"/>
      <c r="G2446" s="297"/>
      <c r="H2446" s="308"/>
      <c r="I2446" s="661"/>
      <c r="J2446" s="197"/>
      <c r="K2446" s="232"/>
      <c r="L2446" s="234"/>
      <c r="M2446" s="197"/>
      <c r="Q2446" s="237"/>
    </row>
    <row r="2447" spans="2:17" s="233" customFormat="1" ht="14.25" hidden="1" customHeight="1" outlineLevel="2">
      <c r="B2447" s="299" t="s">
        <v>1288</v>
      </c>
      <c r="C2447" s="304"/>
      <c r="D2447" s="685"/>
      <c r="E2447" s="306" t="s">
        <v>277</v>
      </c>
      <c r="F2447" s="307"/>
      <c r="G2447" s="297"/>
      <c r="H2447" s="308"/>
      <c r="I2447" s="661"/>
      <c r="J2447" s="197"/>
      <c r="K2447" s="232"/>
      <c r="L2447" s="234"/>
      <c r="M2447" s="197"/>
      <c r="Q2447" s="237"/>
    </row>
    <row r="2448" spans="2:17" s="233" customFormat="1" ht="13.5" hidden="1" outlineLevel="2">
      <c r="B2448" s="299" t="s">
        <v>268</v>
      </c>
      <c r="C2448" s="304" t="s">
        <v>1465</v>
      </c>
      <c r="D2448" s="685" t="s">
        <v>701</v>
      </c>
      <c r="E2448" s="306" t="s">
        <v>1450</v>
      </c>
      <c r="F2448" s="307"/>
      <c r="G2448" s="297" t="s">
        <v>1353</v>
      </c>
      <c r="H2448" s="308" t="str">
        <f>CONCATENATE("AR-",G2448,"-",I2448)</f>
        <v>AR-AMN-5</v>
      </c>
      <c r="I2448" s="661">
        <v>5</v>
      </c>
      <c r="J2448" s="197"/>
      <c r="K2448" s="232"/>
      <c r="L2448" s="234">
        <v>1</v>
      </c>
      <c r="M2448" s="197">
        <v>1</v>
      </c>
      <c r="Q2448" s="237"/>
    </row>
    <row r="2449" spans="2:17" s="233" customFormat="1" ht="13.5" hidden="1" outlineLevel="2">
      <c r="B2449" s="299" t="s">
        <v>268</v>
      </c>
      <c r="C2449" s="304" t="s">
        <v>1465</v>
      </c>
      <c r="D2449" s="685" t="s">
        <v>1062</v>
      </c>
      <c r="E2449" s="306" t="s">
        <v>1468</v>
      </c>
      <c r="F2449" s="307"/>
      <c r="G2449" s="297" t="s">
        <v>1353</v>
      </c>
      <c r="H2449" s="308" t="str">
        <f>CONCATENATE("AR-",G2449,"-",I2449)</f>
        <v>AR-AMN-5</v>
      </c>
      <c r="I2449" s="661">
        <v>5</v>
      </c>
      <c r="J2449" s="197"/>
      <c r="K2449" s="232"/>
      <c r="L2449" s="234">
        <v>1</v>
      </c>
      <c r="M2449" s="197">
        <v>1</v>
      </c>
      <c r="Q2449" s="237"/>
    </row>
    <row r="2450" spans="2:17" s="233" customFormat="1" ht="3" hidden="1" customHeight="1" outlineLevel="2">
      <c r="B2450" s="299"/>
      <c r="C2450" s="304"/>
      <c r="D2450" s="685"/>
      <c r="E2450" s="306" t="s">
        <v>277</v>
      </c>
      <c r="F2450" s="307"/>
      <c r="G2450" s="297"/>
      <c r="H2450" s="308"/>
      <c r="I2450" s="661"/>
      <c r="J2450" s="197"/>
      <c r="K2450" s="232"/>
      <c r="L2450" s="234"/>
      <c r="M2450" s="197"/>
      <c r="Q2450" s="237"/>
    </row>
    <row r="2451" spans="2:17" s="233" customFormat="1" ht="14.25" hidden="1" customHeight="1" outlineLevel="2">
      <c r="B2451" s="299" t="s">
        <v>1293</v>
      </c>
      <c r="C2451" s="304"/>
      <c r="D2451" s="685"/>
      <c r="E2451" s="306" t="s">
        <v>277</v>
      </c>
      <c r="F2451" s="307"/>
      <c r="G2451" s="297"/>
      <c r="H2451" s="308"/>
      <c r="I2451" s="661"/>
      <c r="J2451" s="197"/>
      <c r="K2451" s="232"/>
      <c r="L2451" s="234"/>
      <c r="M2451" s="197"/>
      <c r="Q2451" s="237"/>
    </row>
    <row r="2452" spans="2:17" s="233" customFormat="1" ht="13.5" hidden="1" outlineLevel="2">
      <c r="B2452" s="299" t="s">
        <v>268</v>
      </c>
      <c r="C2452" s="304" t="s">
        <v>1465</v>
      </c>
      <c r="D2452" s="685">
        <v>1401</v>
      </c>
      <c r="E2452" s="306" t="s">
        <v>1294</v>
      </c>
      <c r="F2452" s="307"/>
      <c r="G2452" s="297" t="s">
        <v>1353</v>
      </c>
      <c r="H2452" s="308" t="str">
        <f>CONCATENATE("AR-",G2452,"-",I2452)</f>
        <v>AR-AMN-5</v>
      </c>
      <c r="I2452" s="661">
        <v>5</v>
      </c>
      <c r="J2452" s="197"/>
      <c r="K2452" s="232"/>
      <c r="L2452" s="234">
        <v>1</v>
      </c>
      <c r="M2452" s="197">
        <v>1</v>
      </c>
      <c r="Q2452" s="237"/>
    </row>
    <row r="2453" spans="2:17" s="233" customFormat="1" ht="13.5" hidden="1" outlineLevel="2">
      <c r="B2453" s="299" t="s">
        <v>268</v>
      </c>
      <c r="C2453" s="304" t="s">
        <v>1465</v>
      </c>
      <c r="D2453" s="685">
        <v>1402</v>
      </c>
      <c r="E2453" s="306" t="s">
        <v>1469</v>
      </c>
      <c r="F2453" s="307"/>
      <c r="G2453" s="297" t="s">
        <v>1353</v>
      </c>
      <c r="H2453" s="308" t="str">
        <f>CONCATENATE("AR-",G2453,"-",I2453)</f>
        <v>AR-AMN-5</v>
      </c>
      <c r="I2453" s="661">
        <v>5</v>
      </c>
      <c r="J2453" s="197"/>
      <c r="K2453" s="232"/>
      <c r="L2453" s="234">
        <v>1</v>
      </c>
      <c r="M2453" s="197">
        <v>1</v>
      </c>
      <c r="Q2453" s="237"/>
    </row>
    <row r="2454" spans="2:17" s="233" customFormat="1" ht="13.5" hidden="1" outlineLevel="2">
      <c r="B2454" s="299" t="s">
        <v>268</v>
      </c>
      <c r="C2454" s="304" t="s">
        <v>1465</v>
      </c>
      <c r="D2454" s="685">
        <v>1404</v>
      </c>
      <c r="E2454" s="306" t="s">
        <v>1297</v>
      </c>
      <c r="F2454" s="307"/>
      <c r="G2454" s="297" t="s">
        <v>1353</v>
      </c>
      <c r="H2454" s="308" t="str">
        <f>CONCATENATE("AR-",G2454,"-",I2454)</f>
        <v>AR-AMN-5</v>
      </c>
      <c r="I2454" s="661">
        <v>5</v>
      </c>
      <c r="J2454" s="197"/>
      <c r="K2454" s="232"/>
      <c r="L2454" s="234">
        <v>1</v>
      </c>
      <c r="M2454" s="197">
        <v>1</v>
      </c>
      <c r="Q2454" s="237"/>
    </row>
    <row r="2455" spans="2:17" s="233" customFormat="1" ht="13.5" hidden="1" outlineLevel="2">
      <c r="B2455" s="299" t="s">
        <v>268</v>
      </c>
      <c r="C2455" s="304" t="s">
        <v>1465</v>
      </c>
      <c r="D2455" s="685" t="s">
        <v>396</v>
      </c>
      <c r="E2455" s="306" t="s">
        <v>1298</v>
      </c>
      <c r="F2455" s="307"/>
      <c r="G2455" s="297" t="s">
        <v>1353</v>
      </c>
      <c r="H2455" s="308" t="str">
        <f>CONCATENATE("AR-",G2455,"-",I2455)</f>
        <v>AR-AMN-5</v>
      </c>
      <c r="I2455" s="661">
        <v>5</v>
      </c>
      <c r="J2455" s="197"/>
      <c r="K2455" s="232"/>
      <c r="L2455" s="234">
        <v>1</v>
      </c>
      <c r="M2455" s="197">
        <v>1</v>
      </c>
      <c r="Q2455" s="237"/>
    </row>
    <row r="2456" spans="2:17" s="233" customFormat="1" ht="3" hidden="1" customHeight="1" outlineLevel="2">
      <c r="B2456" s="299"/>
      <c r="C2456" s="304"/>
      <c r="D2456" s="685"/>
      <c r="E2456" s="306" t="s">
        <v>277</v>
      </c>
      <c r="F2456" s="307"/>
      <c r="G2456" s="297"/>
      <c r="H2456" s="308"/>
      <c r="I2456" s="661"/>
      <c r="J2456" s="197"/>
      <c r="K2456" s="232"/>
      <c r="L2456" s="234"/>
      <c r="M2456" s="197"/>
      <c r="Q2456" s="237"/>
    </row>
    <row r="2457" spans="2:17" s="233" customFormat="1" ht="14.25" hidden="1" customHeight="1" outlineLevel="2">
      <c r="B2457" s="299" t="s">
        <v>1374</v>
      </c>
      <c r="C2457" s="304"/>
      <c r="D2457" s="685"/>
      <c r="E2457" s="306" t="s">
        <v>277</v>
      </c>
      <c r="F2457" s="307"/>
      <c r="G2457" s="297"/>
      <c r="H2457" s="308"/>
      <c r="I2457" s="661"/>
      <c r="J2457" s="197"/>
      <c r="K2457" s="232"/>
      <c r="L2457" s="234"/>
      <c r="M2457" s="197"/>
      <c r="Q2457" s="237"/>
    </row>
    <row r="2458" spans="2:17" s="233" customFormat="1" ht="13.5" hidden="1" outlineLevel="2">
      <c r="B2458" s="299" t="s">
        <v>268</v>
      </c>
      <c r="C2458" s="304" t="s">
        <v>1465</v>
      </c>
      <c r="D2458" s="685" t="s">
        <v>291</v>
      </c>
      <c r="E2458" s="306" t="s">
        <v>1470</v>
      </c>
      <c r="F2458" s="307"/>
      <c r="G2458" s="297" t="s">
        <v>1353</v>
      </c>
      <c r="H2458" s="308" t="str">
        <f>CONCATENATE("AR-",G2458,"-",I2458)</f>
        <v>AR-AMN-5</v>
      </c>
      <c r="I2458" s="661">
        <v>5</v>
      </c>
      <c r="J2458" s="197"/>
      <c r="K2458" s="232"/>
      <c r="L2458" s="234">
        <v>1</v>
      </c>
      <c r="M2458" s="197">
        <v>1</v>
      </c>
      <c r="Q2458" s="237"/>
    </row>
    <row r="2459" spans="2:17" s="233" customFormat="1" ht="13.5" hidden="1" outlineLevel="2">
      <c r="B2459" s="299" t="s">
        <v>268</v>
      </c>
      <c r="C2459" s="304" t="s">
        <v>1465</v>
      </c>
      <c r="D2459" s="685" t="s">
        <v>950</v>
      </c>
      <c r="E2459" s="306" t="s">
        <v>1471</v>
      </c>
      <c r="F2459" s="307"/>
      <c r="G2459" s="297" t="s">
        <v>1353</v>
      </c>
      <c r="H2459" s="308" t="str">
        <f>CONCATENATE("AR-",G2459,"-",I2459)</f>
        <v>AR-AMN-5</v>
      </c>
      <c r="I2459" s="661">
        <v>5</v>
      </c>
      <c r="J2459" s="197"/>
      <c r="K2459" s="232"/>
      <c r="L2459" s="234">
        <v>1</v>
      </c>
      <c r="M2459" s="197">
        <v>1</v>
      </c>
      <c r="Q2459" s="237"/>
    </row>
    <row r="2460" spans="2:17" s="233" customFormat="1" ht="3" hidden="1" customHeight="1" outlineLevel="2">
      <c r="B2460" s="299"/>
      <c r="C2460" s="304"/>
      <c r="D2460" s="685"/>
      <c r="E2460" s="306" t="s">
        <v>277</v>
      </c>
      <c r="F2460" s="307"/>
      <c r="G2460" s="297"/>
      <c r="H2460" s="308"/>
      <c r="I2460" s="661"/>
      <c r="J2460" s="197"/>
      <c r="K2460" s="232"/>
      <c r="L2460" s="234"/>
      <c r="M2460" s="197"/>
      <c r="Q2460" s="237"/>
    </row>
    <row r="2461" spans="2:17" s="233" customFormat="1" ht="14.25" hidden="1" customHeight="1" outlineLevel="2">
      <c r="B2461" s="299" t="s">
        <v>1299</v>
      </c>
      <c r="C2461" s="304"/>
      <c r="D2461" s="685"/>
      <c r="E2461" s="306" t="s">
        <v>277</v>
      </c>
      <c r="F2461" s="307"/>
      <c r="G2461" s="297"/>
      <c r="H2461" s="308"/>
      <c r="I2461" s="661"/>
      <c r="J2461" s="197"/>
      <c r="K2461" s="232"/>
      <c r="L2461" s="234"/>
      <c r="M2461" s="197"/>
      <c r="Q2461" s="237"/>
    </row>
    <row r="2462" spans="2:17" s="233" customFormat="1" ht="13.5" hidden="1" outlineLevel="2">
      <c r="B2462" s="299" t="s">
        <v>268</v>
      </c>
      <c r="C2462" s="304" t="s">
        <v>1465</v>
      </c>
      <c r="D2462" s="685" t="s">
        <v>328</v>
      </c>
      <c r="E2462" s="306" t="s">
        <v>1300</v>
      </c>
      <c r="F2462" s="307"/>
      <c r="G2462" s="297" t="s">
        <v>1353</v>
      </c>
      <c r="H2462" s="308" t="str">
        <f>CONCATENATE("AR-",G2462,"-",I2462)</f>
        <v>AR-AMN-5</v>
      </c>
      <c r="I2462" s="661">
        <v>5</v>
      </c>
      <c r="J2462" s="197"/>
      <c r="K2462" s="232"/>
      <c r="L2462" s="234">
        <v>1</v>
      </c>
      <c r="M2462" s="197">
        <v>1</v>
      </c>
      <c r="Q2462" s="237"/>
    </row>
    <row r="2463" spans="2:17" s="233" customFormat="1" ht="3" hidden="1" customHeight="1" outlineLevel="2">
      <c r="B2463" s="299"/>
      <c r="C2463" s="304"/>
      <c r="D2463" s="685"/>
      <c r="E2463" s="306" t="s">
        <v>277</v>
      </c>
      <c r="F2463" s="307"/>
      <c r="G2463" s="297"/>
      <c r="H2463" s="308"/>
      <c r="I2463" s="661"/>
      <c r="J2463" s="197"/>
      <c r="K2463" s="232"/>
      <c r="L2463" s="234"/>
      <c r="M2463" s="197"/>
      <c r="Q2463" s="237"/>
    </row>
    <row r="2464" spans="2:17" s="233" customFormat="1" ht="14.25" hidden="1" customHeight="1" outlineLevel="2">
      <c r="B2464" s="299" t="s">
        <v>1301</v>
      </c>
      <c r="C2464" s="304"/>
      <c r="D2464" s="685"/>
      <c r="E2464" s="306" t="s">
        <v>277</v>
      </c>
      <c r="F2464" s="307"/>
      <c r="G2464" s="297"/>
      <c r="H2464" s="308"/>
      <c r="I2464" s="661"/>
      <c r="J2464" s="197"/>
      <c r="K2464" s="232"/>
      <c r="L2464" s="234"/>
      <c r="M2464" s="197"/>
      <c r="Q2464" s="237"/>
    </row>
    <row r="2465" spans="2:17" s="233" customFormat="1" ht="13.5" hidden="1" outlineLevel="2">
      <c r="B2465" s="299" t="s">
        <v>268</v>
      </c>
      <c r="C2465" s="304" t="s">
        <v>1465</v>
      </c>
      <c r="D2465" s="685" t="s">
        <v>335</v>
      </c>
      <c r="E2465" s="306" t="s">
        <v>1302</v>
      </c>
      <c r="F2465" s="307"/>
      <c r="G2465" s="297" t="s">
        <v>1353</v>
      </c>
      <c r="H2465" s="308" t="str">
        <f>CONCATENATE("AR-",G2465,"-",I2465)</f>
        <v>AR-AMN-5</v>
      </c>
      <c r="I2465" s="661">
        <v>5</v>
      </c>
      <c r="J2465" s="197"/>
      <c r="K2465" s="232"/>
      <c r="L2465" s="234">
        <v>1</v>
      </c>
      <c r="M2465" s="197">
        <v>1</v>
      </c>
      <c r="Q2465" s="237"/>
    </row>
    <row r="2466" spans="2:17" s="233" customFormat="1" ht="13.5" hidden="1" outlineLevel="2">
      <c r="B2466" s="299" t="s">
        <v>268</v>
      </c>
      <c r="C2466" s="304" t="s">
        <v>1465</v>
      </c>
      <c r="D2466" s="685" t="s">
        <v>337</v>
      </c>
      <c r="E2466" s="306" t="s">
        <v>1302</v>
      </c>
      <c r="F2466" s="307"/>
      <c r="G2466" s="297" t="s">
        <v>1353</v>
      </c>
      <c r="H2466" s="308" t="str">
        <f>CONCATENATE("AR-",G2466,"-",I2466)</f>
        <v>AR-AMN-5</v>
      </c>
      <c r="I2466" s="661">
        <v>5</v>
      </c>
      <c r="J2466" s="197"/>
      <c r="K2466" s="232"/>
      <c r="L2466" s="234">
        <v>1</v>
      </c>
      <c r="M2466" s="197">
        <v>1</v>
      </c>
      <c r="Q2466" s="237"/>
    </row>
    <row r="2467" spans="2:17" s="233" customFormat="1" ht="3" hidden="1" customHeight="1" outlineLevel="2">
      <c r="B2467" s="299"/>
      <c r="C2467" s="304"/>
      <c r="D2467" s="685"/>
      <c r="E2467" s="306" t="s">
        <v>277</v>
      </c>
      <c r="F2467" s="307"/>
      <c r="G2467" s="297"/>
      <c r="H2467" s="308"/>
      <c r="I2467" s="661"/>
      <c r="J2467" s="197"/>
      <c r="K2467" s="232"/>
      <c r="L2467" s="234"/>
      <c r="M2467" s="197"/>
      <c r="Q2467" s="237"/>
    </row>
    <row r="2468" spans="2:17" s="233" customFormat="1" ht="13.5" hidden="1" outlineLevel="2">
      <c r="B2468" s="299" t="s">
        <v>1384</v>
      </c>
      <c r="C2468" s="304"/>
      <c r="D2468" s="685"/>
      <c r="E2468" s="306" t="s">
        <v>277</v>
      </c>
      <c r="F2468" s="307"/>
      <c r="G2468" s="297"/>
      <c r="H2468" s="308"/>
      <c r="I2468" s="661"/>
      <c r="J2468" s="197"/>
      <c r="K2468" s="232"/>
      <c r="L2468" s="234"/>
      <c r="M2468" s="197"/>
      <c r="Q2468" s="237"/>
    </row>
    <row r="2469" spans="2:17" s="233" customFormat="1" ht="13.5" hidden="1" outlineLevel="2">
      <c r="B2469" s="299" t="s">
        <v>268</v>
      </c>
      <c r="C2469" s="304" t="s">
        <v>1465</v>
      </c>
      <c r="D2469" s="685">
        <v>4001</v>
      </c>
      <c r="E2469" s="306" t="s">
        <v>1472</v>
      </c>
      <c r="F2469" s="307"/>
      <c r="G2469" s="297" t="s">
        <v>1353</v>
      </c>
      <c r="H2469" s="308" t="str">
        <f>CONCATENATE("AR-",G2469,"-",I2469)</f>
        <v>AR-AMN-5</v>
      </c>
      <c r="I2469" s="661">
        <v>5</v>
      </c>
      <c r="J2469" s="197"/>
      <c r="K2469" s="232"/>
      <c r="L2469" s="234">
        <v>1</v>
      </c>
      <c r="M2469" s="197">
        <v>1</v>
      </c>
      <c r="Q2469" s="237"/>
    </row>
    <row r="2470" spans="2:17" s="233" customFormat="1" ht="13.5" hidden="1" outlineLevel="2">
      <c r="B2470" s="299" t="s">
        <v>268</v>
      </c>
      <c r="C2470" s="304" t="s">
        <v>1465</v>
      </c>
      <c r="D2470" s="685">
        <v>4002</v>
      </c>
      <c r="E2470" s="306" t="s">
        <v>1473</v>
      </c>
      <c r="F2470" s="307"/>
      <c r="G2470" s="297" t="s">
        <v>1353</v>
      </c>
      <c r="H2470" s="308" t="str">
        <f>CONCATENATE("AR-",G2470,"-",I2470)</f>
        <v>AR-AMN-5</v>
      </c>
      <c r="I2470" s="661">
        <v>5</v>
      </c>
      <c r="J2470" s="197"/>
      <c r="K2470" s="232"/>
      <c r="L2470" s="234">
        <v>1</v>
      </c>
      <c r="M2470" s="197">
        <v>1</v>
      </c>
      <c r="Q2470" s="237"/>
    </row>
    <row r="2471" spans="2:17" s="233" customFormat="1" ht="13.5" hidden="1" outlineLevel="2">
      <c r="B2471" s="299" t="s">
        <v>268</v>
      </c>
      <c r="C2471" s="304" t="s">
        <v>1465</v>
      </c>
      <c r="D2471" s="685">
        <v>4003</v>
      </c>
      <c r="E2471" s="306" t="s">
        <v>1474</v>
      </c>
      <c r="F2471" s="307"/>
      <c r="G2471" s="297" t="s">
        <v>1353</v>
      </c>
      <c r="H2471" s="308" t="str">
        <f>CONCATENATE("AR-",G2471,"-",I2471)</f>
        <v>AR-AMN-5</v>
      </c>
      <c r="I2471" s="661">
        <v>5</v>
      </c>
      <c r="J2471" s="197"/>
      <c r="K2471" s="232"/>
      <c r="L2471" s="234">
        <v>1</v>
      </c>
      <c r="M2471" s="197">
        <v>1</v>
      </c>
      <c r="Q2471" s="237"/>
    </row>
    <row r="2472" spans="2:17" s="233" customFormat="1" ht="13.5" hidden="1" outlineLevel="2">
      <c r="B2472" s="299" t="s">
        <v>268</v>
      </c>
      <c r="C2472" s="304" t="s">
        <v>1465</v>
      </c>
      <c r="D2472" s="685">
        <v>4004</v>
      </c>
      <c r="E2472" s="306" t="s">
        <v>1475</v>
      </c>
      <c r="F2472" s="307"/>
      <c r="G2472" s="297" t="s">
        <v>1353</v>
      </c>
      <c r="H2472" s="308" t="str">
        <f>CONCATENATE("AR-",G2472,"-",I2472)</f>
        <v>AR-AMN-5</v>
      </c>
      <c r="I2472" s="661">
        <v>5</v>
      </c>
      <c r="J2472" s="197"/>
      <c r="K2472" s="232"/>
      <c r="L2472" s="234">
        <v>1</v>
      </c>
      <c r="M2472" s="197">
        <v>1</v>
      </c>
      <c r="Q2472" s="237"/>
    </row>
    <row r="2473" spans="2:17" s="233" customFormat="1" ht="3" hidden="1" customHeight="1" outlineLevel="2">
      <c r="B2473" s="299"/>
      <c r="C2473" s="304"/>
      <c r="D2473" s="685"/>
      <c r="E2473" s="306" t="s">
        <v>277</v>
      </c>
      <c r="F2473" s="307"/>
      <c r="G2473" s="297"/>
      <c r="H2473" s="308"/>
      <c r="I2473" s="661"/>
      <c r="J2473" s="197"/>
      <c r="K2473" s="232"/>
      <c r="L2473" s="234"/>
      <c r="M2473" s="197"/>
      <c r="Q2473" s="237"/>
    </row>
    <row r="2474" spans="2:17" s="233" customFormat="1" ht="13.5" hidden="1" outlineLevel="2">
      <c r="B2474" s="299" t="s">
        <v>1303</v>
      </c>
      <c r="C2474" s="304"/>
      <c r="D2474" s="685"/>
      <c r="E2474" s="306" t="s">
        <v>277</v>
      </c>
      <c r="F2474" s="307"/>
      <c r="G2474" s="297"/>
      <c r="H2474" s="308"/>
      <c r="I2474" s="661"/>
      <c r="J2474" s="197"/>
      <c r="K2474" s="232"/>
      <c r="L2474" s="234"/>
      <c r="M2474" s="197"/>
      <c r="Q2474" s="237"/>
    </row>
    <row r="2475" spans="2:17" s="233" customFormat="1" ht="13.5" hidden="1" outlineLevel="2">
      <c r="B2475" s="299" t="s">
        <v>268</v>
      </c>
      <c r="C2475" s="304" t="s">
        <v>1465</v>
      </c>
      <c r="D2475" s="685">
        <v>4401</v>
      </c>
      <c r="E2475" s="306" t="s">
        <v>1304</v>
      </c>
      <c r="F2475" s="307"/>
      <c r="G2475" s="297" t="s">
        <v>1353</v>
      </c>
      <c r="H2475" s="308" t="str">
        <f>CONCATENATE("AR-",G2475,"-",I2475)</f>
        <v>AR-AMN-5</v>
      </c>
      <c r="I2475" s="661">
        <v>5</v>
      </c>
      <c r="J2475" s="197"/>
      <c r="K2475" s="232"/>
      <c r="L2475" s="234">
        <v>1</v>
      </c>
      <c r="M2475" s="197">
        <v>1</v>
      </c>
      <c r="Q2475" s="237"/>
    </row>
    <row r="2476" spans="2:17" s="233" customFormat="1" ht="13.5" hidden="1" outlineLevel="2">
      <c r="B2476" s="299" t="s">
        <v>268</v>
      </c>
      <c r="C2476" s="304" t="s">
        <v>1465</v>
      </c>
      <c r="D2476" s="685">
        <v>4402</v>
      </c>
      <c r="E2476" s="306" t="s">
        <v>1305</v>
      </c>
      <c r="F2476" s="307"/>
      <c r="G2476" s="297" t="s">
        <v>1353</v>
      </c>
      <c r="H2476" s="308" t="str">
        <f>CONCATENATE("AR-",G2476,"-",I2476)</f>
        <v>AR-AMN-5</v>
      </c>
      <c r="I2476" s="661">
        <v>5</v>
      </c>
      <c r="J2476" s="197"/>
      <c r="K2476" s="232"/>
      <c r="L2476" s="234">
        <v>1</v>
      </c>
      <c r="M2476" s="197">
        <v>1</v>
      </c>
      <c r="Q2476" s="237"/>
    </row>
    <row r="2477" spans="2:17" s="233" customFormat="1" ht="3" hidden="1" customHeight="1" outlineLevel="2">
      <c r="B2477" s="299"/>
      <c r="C2477" s="304"/>
      <c r="D2477" s="685"/>
      <c r="E2477" s="306" t="s">
        <v>277</v>
      </c>
      <c r="F2477" s="307"/>
      <c r="G2477" s="297"/>
      <c r="H2477" s="308"/>
      <c r="I2477" s="661"/>
      <c r="J2477" s="197"/>
      <c r="K2477" s="232"/>
      <c r="L2477" s="234"/>
      <c r="M2477" s="197"/>
      <c r="Q2477" s="237"/>
    </row>
    <row r="2478" spans="2:17" s="233" customFormat="1" ht="13.5" hidden="1" outlineLevel="2">
      <c r="B2478" s="299" t="s">
        <v>417</v>
      </c>
      <c r="C2478" s="304"/>
      <c r="D2478" s="685"/>
      <c r="E2478" s="306" t="s">
        <v>277</v>
      </c>
      <c r="F2478" s="307"/>
      <c r="G2478" s="297"/>
      <c r="H2478" s="308"/>
      <c r="I2478" s="661"/>
      <c r="J2478" s="197"/>
      <c r="K2478" s="232"/>
      <c r="L2478" s="234"/>
      <c r="M2478" s="197"/>
      <c r="Q2478" s="237"/>
    </row>
    <row r="2479" spans="2:17" s="233" customFormat="1" ht="13.5" hidden="1" outlineLevel="2">
      <c r="B2479" s="299" t="s">
        <v>268</v>
      </c>
      <c r="C2479" s="304" t="s">
        <v>1465</v>
      </c>
      <c r="D2479" s="685">
        <v>4601</v>
      </c>
      <c r="E2479" s="306" t="s">
        <v>1307</v>
      </c>
      <c r="F2479" s="307"/>
      <c r="G2479" s="297" t="s">
        <v>1353</v>
      </c>
      <c r="H2479" s="308" t="str">
        <f>CONCATENATE("AR-",G2479,"-",I2479)</f>
        <v>AR-AMN-5</v>
      </c>
      <c r="I2479" s="661">
        <v>5</v>
      </c>
      <c r="J2479" s="197"/>
      <c r="K2479" s="232"/>
      <c r="L2479" s="234">
        <v>1</v>
      </c>
      <c r="M2479" s="197">
        <v>1</v>
      </c>
      <c r="Q2479" s="237"/>
    </row>
    <row r="2480" spans="2:17" s="233" customFormat="1" ht="3" hidden="1" customHeight="1" outlineLevel="2">
      <c r="B2480" s="299"/>
      <c r="C2480" s="304"/>
      <c r="D2480" s="685"/>
      <c r="E2480" s="306" t="s">
        <v>277</v>
      </c>
      <c r="F2480" s="307"/>
      <c r="G2480" s="297"/>
      <c r="H2480" s="308"/>
      <c r="I2480" s="661"/>
      <c r="J2480" s="197"/>
      <c r="K2480" s="232"/>
      <c r="L2480" s="234"/>
      <c r="M2480" s="197"/>
      <c r="Q2480" s="237"/>
    </row>
    <row r="2481" spans="2:17" s="233" customFormat="1" ht="13.5" hidden="1" outlineLevel="2">
      <c r="B2481" s="299" t="s">
        <v>1308</v>
      </c>
      <c r="C2481" s="304"/>
      <c r="D2481" s="685"/>
      <c r="E2481" s="306" t="s">
        <v>277</v>
      </c>
      <c r="F2481" s="307"/>
      <c r="G2481" s="297"/>
      <c r="H2481" s="308"/>
      <c r="I2481" s="661"/>
      <c r="J2481" s="197"/>
      <c r="K2481" s="232"/>
      <c r="L2481" s="234"/>
      <c r="M2481" s="197"/>
      <c r="Q2481" s="237"/>
    </row>
    <row r="2482" spans="2:17" s="233" customFormat="1" ht="13.5" hidden="1" outlineLevel="2">
      <c r="B2482" s="299" t="s">
        <v>268</v>
      </c>
      <c r="C2482" s="304" t="s">
        <v>1465</v>
      </c>
      <c r="D2482" s="685" t="s">
        <v>425</v>
      </c>
      <c r="E2482" s="306" t="s">
        <v>910</v>
      </c>
      <c r="F2482" s="307"/>
      <c r="G2482" s="297" t="s">
        <v>1353</v>
      </c>
      <c r="H2482" s="308" t="str">
        <f>CONCATENATE("AR-",G2482,"-",I2482)</f>
        <v>AR-AMN-5</v>
      </c>
      <c r="I2482" s="661">
        <v>5</v>
      </c>
      <c r="J2482" s="197"/>
      <c r="K2482" s="232"/>
      <c r="L2482" s="234">
        <v>1</v>
      </c>
      <c r="M2482" s="197">
        <v>1</v>
      </c>
      <c r="Q2482" s="237"/>
    </row>
    <row r="2483" spans="2:17" s="233" customFormat="1" ht="13.5" hidden="1" outlineLevel="2">
      <c r="B2483" s="299" t="s">
        <v>268</v>
      </c>
      <c r="C2483" s="304" t="s">
        <v>1465</v>
      </c>
      <c r="D2483" s="685" t="s">
        <v>427</v>
      </c>
      <c r="E2483" s="306" t="s">
        <v>911</v>
      </c>
      <c r="F2483" s="307"/>
      <c r="G2483" s="297" t="s">
        <v>1353</v>
      </c>
      <c r="H2483" s="308" t="str">
        <f>CONCATENATE("AR-",G2483,"-",I2483)</f>
        <v>AR-AMN-5</v>
      </c>
      <c r="I2483" s="661">
        <v>5</v>
      </c>
      <c r="J2483" s="197"/>
      <c r="K2483" s="232"/>
      <c r="L2483" s="234">
        <v>1</v>
      </c>
      <c r="M2483" s="197">
        <v>1</v>
      </c>
      <c r="Q2483" s="237"/>
    </row>
    <row r="2484" spans="2:17" s="233" customFormat="1" ht="13.5" hidden="1" outlineLevel="2">
      <c r="B2484" s="299" t="s">
        <v>268</v>
      </c>
      <c r="C2484" s="304" t="s">
        <v>1465</v>
      </c>
      <c r="D2484" s="685" t="s">
        <v>429</v>
      </c>
      <c r="E2484" s="306" t="s">
        <v>912</v>
      </c>
      <c r="F2484" s="307"/>
      <c r="G2484" s="297" t="s">
        <v>1353</v>
      </c>
      <c r="H2484" s="308" t="str">
        <f>CONCATENATE("AR-",G2484,"-",I2484)</f>
        <v>AR-AMN-5</v>
      </c>
      <c r="I2484" s="661">
        <v>5</v>
      </c>
      <c r="J2484" s="197"/>
      <c r="K2484" s="232"/>
      <c r="L2484" s="234">
        <v>1</v>
      </c>
      <c r="M2484" s="197">
        <v>1</v>
      </c>
      <c r="Q2484" s="237"/>
    </row>
    <row r="2485" spans="2:17" s="233" customFormat="1" ht="13.5" hidden="1" outlineLevel="2">
      <c r="B2485" s="299" t="s">
        <v>268</v>
      </c>
      <c r="C2485" s="304" t="s">
        <v>1465</v>
      </c>
      <c r="D2485" s="685" t="s">
        <v>431</v>
      </c>
      <c r="E2485" s="306" t="s">
        <v>913</v>
      </c>
      <c r="F2485" s="307"/>
      <c r="G2485" s="297" t="s">
        <v>1353</v>
      </c>
      <c r="H2485" s="308" t="str">
        <f>CONCATENATE("AR-",G2485,"-",I2485)</f>
        <v>AR-AMN-5</v>
      </c>
      <c r="I2485" s="661">
        <v>5</v>
      </c>
      <c r="J2485" s="197"/>
      <c r="K2485" s="232"/>
      <c r="L2485" s="234">
        <v>1</v>
      </c>
      <c r="M2485" s="197">
        <v>1</v>
      </c>
      <c r="Q2485" s="237"/>
    </row>
    <row r="2486" spans="2:17" s="233" customFormat="1" ht="3" hidden="1" customHeight="1" outlineLevel="2">
      <c r="B2486" s="299"/>
      <c r="C2486" s="304"/>
      <c r="D2486" s="685"/>
      <c r="E2486" s="306" t="s">
        <v>277</v>
      </c>
      <c r="F2486" s="307"/>
      <c r="G2486" s="297"/>
      <c r="H2486" s="308"/>
      <c r="I2486" s="661"/>
      <c r="J2486" s="197"/>
      <c r="K2486" s="232"/>
      <c r="L2486" s="234"/>
      <c r="M2486" s="197"/>
      <c r="Q2486" s="237"/>
    </row>
    <row r="2487" spans="2:17" s="233" customFormat="1" ht="14.25" hidden="1" customHeight="1" outlineLevel="2">
      <c r="B2487" s="299" t="s">
        <v>1427</v>
      </c>
      <c r="C2487" s="304"/>
      <c r="D2487" s="685"/>
      <c r="E2487" s="306" t="s">
        <v>277</v>
      </c>
      <c r="F2487" s="307"/>
      <c r="G2487" s="297"/>
      <c r="H2487" s="308"/>
      <c r="I2487" s="661"/>
      <c r="J2487" s="197"/>
      <c r="K2487" s="232"/>
      <c r="L2487" s="234"/>
      <c r="M2487" s="197"/>
      <c r="Q2487" s="237"/>
    </row>
    <row r="2488" spans="2:17" s="233" customFormat="1" ht="13.5" hidden="1" outlineLevel="2">
      <c r="B2488" s="299" t="s">
        <v>268</v>
      </c>
      <c r="C2488" s="304" t="s">
        <v>1313</v>
      </c>
      <c r="D2488" s="685">
        <v>5501</v>
      </c>
      <c r="E2488" s="306" t="s">
        <v>1476</v>
      </c>
      <c r="F2488" s="307"/>
      <c r="G2488" s="297" t="s">
        <v>1353</v>
      </c>
      <c r="H2488" s="308" t="str">
        <f>CONCATENATE("AR-",G2488,"-",I2488)</f>
        <v>AR-AMN-5</v>
      </c>
      <c r="I2488" s="661">
        <v>5</v>
      </c>
      <c r="J2488" s="197"/>
      <c r="K2488" s="232"/>
      <c r="L2488" s="234">
        <v>1</v>
      </c>
      <c r="M2488" s="197">
        <v>1</v>
      </c>
      <c r="Q2488" s="237"/>
    </row>
    <row r="2489" spans="2:17" s="233" customFormat="1" ht="13.5" hidden="1" outlineLevel="2">
      <c r="B2489" s="299" t="s">
        <v>268</v>
      </c>
      <c r="C2489" s="304" t="s">
        <v>1313</v>
      </c>
      <c r="D2489" s="685">
        <v>5502</v>
      </c>
      <c r="E2489" s="306" t="s">
        <v>1477</v>
      </c>
      <c r="F2489" s="307"/>
      <c r="G2489" s="297" t="s">
        <v>1353</v>
      </c>
      <c r="H2489" s="308" t="str">
        <f>CONCATENATE("AR-",G2489,"-",I2489)</f>
        <v>AR-AMN-5</v>
      </c>
      <c r="I2489" s="661">
        <v>5</v>
      </c>
      <c r="J2489" s="197"/>
      <c r="K2489" s="232"/>
      <c r="L2489" s="234">
        <v>1</v>
      </c>
      <c r="M2489" s="197">
        <v>1</v>
      </c>
      <c r="Q2489" s="237"/>
    </row>
    <row r="2490" spans="2:17" s="233" customFormat="1" ht="13.5" hidden="1" outlineLevel="2">
      <c r="B2490" s="299" t="s">
        <v>268</v>
      </c>
      <c r="C2490" s="304" t="s">
        <v>1313</v>
      </c>
      <c r="D2490" s="685">
        <v>5503</v>
      </c>
      <c r="E2490" s="306" t="s">
        <v>1478</v>
      </c>
      <c r="F2490" s="307"/>
      <c r="G2490" s="297" t="s">
        <v>1353</v>
      </c>
      <c r="H2490" s="308" t="str">
        <f>CONCATENATE("AR-",G2490,"-",I2490)</f>
        <v>AR-AMN-5</v>
      </c>
      <c r="I2490" s="661">
        <v>5</v>
      </c>
      <c r="J2490" s="197"/>
      <c r="K2490" s="232"/>
      <c r="L2490" s="234">
        <v>1</v>
      </c>
      <c r="M2490" s="197">
        <v>1</v>
      </c>
      <c r="Q2490" s="237"/>
    </row>
    <row r="2491" spans="2:17" s="233" customFormat="1" ht="3" hidden="1" customHeight="1" outlineLevel="2">
      <c r="B2491" s="299"/>
      <c r="C2491" s="304"/>
      <c r="D2491" s="685"/>
      <c r="E2491" s="306" t="s">
        <v>277</v>
      </c>
      <c r="F2491" s="307"/>
      <c r="G2491" s="297"/>
      <c r="H2491" s="308"/>
      <c r="I2491" s="661"/>
      <c r="J2491" s="197"/>
      <c r="K2491" s="232"/>
      <c r="L2491" s="234"/>
      <c r="M2491" s="197"/>
      <c r="Q2491" s="237"/>
    </row>
    <row r="2492" spans="2:17" s="233" customFormat="1" ht="14.25" hidden="1" customHeight="1" outlineLevel="2">
      <c r="B2492" s="299" t="s">
        <v>1309</v>
      </c>
      <c r="C2492" s="304"/>
      <c r="D2492" s="685"/>
      <c r="E2492" s="306" t="s">
        <v>277</v>
      </c>
      <c r="F2492" s="307"/>
      <c r="G2492" s="297"/>
      <c r="H2492" s="308"/>
      <c r="I2492" s="661"/>
      <c r="J2492" s="197"/>
      <c r="K2492" s="232"/>
      <c r="L2492" s="234"/>
      <c r="M2492" s="197"/>
      <c r="Q2492" s="237"/>
    </row>
    <row r="2493" spans="2:17" s="233" customFormat="1" ht="13.5" hidden="1" outlineLevel="2">
      <c r="B2493" s="299" t="s">
        <v>268</v>
      </c>
      <c r="C2493" s="304" t="s">
        <v>1313</v>
      </c>
      <c r="D2493" s="685">
        <v>6601</v>
      </c>
      <c r="E2493" s="306" t="s">
        <v>1310</v>
      </c>
      <c r="F2493" s="307"/>
      <c r="G2493" s="297" t="s">
        <v>1353</v>
      </c>
      <c r="H2493" s="308" t="str">
        <f>CONCATENATE("AR-",G2493,"-",I2493)</f>
        <v>AR-AMN-5</v>
      </c>
      <c r="I2493" s="661">
        <v>5</v>
      </c>
      <c r="J2493" s="197"/>
      <c r="K2493" s="232"/>
      <c r="L2493" s="234">
        <v>1</v>
      </c>
      <c r="M2493" s="197">
        <v>1</v>
      </c>
      <c r="Q2493" s="237"/>
    </row>
    <row r="2494" spans="2:17" s="233" customFormat="1" ht="13.5" hidden="1" outlineLevel="2">
      <c r="B2494" s="299" t="s">
        <v>268</v>
      </c>
      <c r="C2494" s="304" t="s">
        <v>1313</v>
      </c>
      <c r="D2494" s="685">
        <v>6602</v>
      </c>
      <c r="E2494" s="306" t="s">
        <v>1311</v>
      </c>
      <c r="F2494" s="307"/>
      <c r="G2494" s="297" t="s">
        <v>1353</v>
      </c>
      <c r="H2494" s="308" t="str">
        <f>CONCATENATE("AR-",G2494,"-",I2494)</f>
        <v>AR-AMN-5</v>
      </c>
      <c r="I2494" s="661">
        <v>5</v>
      </c>
      <c r="J2494" s="197"/>
      <c r="K2494" s="232"/>
      <c r="L2494" s="234">
        <v>1</v>
      </c>
      <c r="M2494" s="197">
        <v>1</v>
      </c>
      <c r="Q2494" s="237"/>
    </row>
    <row r="2495" spans="2:17" s="233" customFormat="1" ht="3" hidden="1" customHeight="1" outlineLevel="2">
      <c r="B2495" s="299"/>
      <c r="C2495" s="304"/>
      <c r="D2495" s="685"/>
      <c r="E2495" s="306" t="s">
        <v>277</v>
      </c>
      <c r="F2495" s="307"/>
      <c r="G2495" s="297"/>
      <c r="H2495" s="308"/>
      <c r="I2495" s="661"/>
      <c r="J2495" s="197"/>
      <c r="K2495" s="232"/>
      <c r="L2495" s="234"/>
      <c r="M2495" s="197"/>
      <c r="Q2495" s="237"/>
    </row>
    <row r="2496" spans="2:17" s="233" customFormat="1" ht="14.25" hidden="1" customHeight="1" outlineLevel="2">
      <c r="B2496" s="299" t="s">
        <v>1479</v>
      </c>
      <c r="C2496" s="304"/>
      <c r="D2496" s="685"/>
      <c r="E2496" s="306" t="s">
        <v>277</v>
      </c>
      <c r="F2496" s="307"/>
      <c r="G2496" s="297"/>
      <c r="H2496" s="308"/>
      <c r="I2496" s="661"/>
      <c r="J2496" s="197"/>
      <c r="K2496" s="232"/>
      <c r="L2496" s="234"/>
      <c r="M2496" s="197"/>
      <c r="Q2496" s="237"/>
    </row>
    <row r="2497" spans="2:17" s="233" customFormat="1" ht="13.5" hidden="1" outlineLevel="2">
      <c r="B2497" s="299" t="s">
        <v>268</v>
      </c>
      <c r="C2497" s="304" t="s">
        <v>1313</v>
      </c>
      <c r="D2497" s="685">
        <v>8001</v>
      </c>
      <c r="E2497" s="306" t="s">
        <v>1314</v>
      </c>
      <c r="F2497" s="307"/>
      <c r="G2497" s="297" t="s">
        <v>1353</v>
      </c>
      <c r="H2497" s="308" t="str">
        <f>CONCATENATE("AR-",G2497,"-",I2497)</f>
        <v>AR-AMN-5</v>
      </c>
      <c r="I2497" s="661">
        <v>5</v>
      </c>
      <c r="J2497" s="197"/>
      <c r="K2497" s="232"/>
      <c r="L2497" s="234">
        <v>1</v>
      </c>
      <c r="M2497" s="197">
        <v>1</v>
      </c>
      <c r="Q2497" s="237"/>
    </row>
    <row r="2498" spans="2:17" s="233" customFormat="1" ht="13.5" hidden="1" outlineLevel="2">
      <c r="B2498" s="299" t="s">
        <v>268</v>
      </c>
      <c r="C2498" s="304" t="s">
        <v>1313</v>
      </c>
      <c r="D2498" s="685">
        <v>8002</v>
      </c>
      <c r="E2498" s="306" t="s">
        <v>1315</v>
      </c>
      <c r="F2498" s="307"/>
      <c r="G2498" s="297" t="s">
        <v>1353</v>
      </c>
      <c r="H2498" s="308" t="str">
        <f>CONCATENATE("AR-",G2498,"-",I2498)</f>
        <v>AR-AMN-5</v>
      </c>
      <c r="I2498" s="661">
        <v>5</v>
      </c>
      <c r="J2498" s="197"/>
      <c r="K2498" s="232"/>
      <c r="L2498" s="234">
        <v>1</v>
      </c>
      <c r="M2498" s="197">
        <v>1</v>
      </c>
      <c r="Q2498" s="237"/>
    </row>
    <row r="2499" spans="2:17" s="233" customFormat="1" ht="3" hidden="1" customHeight="1" outlineLevel="2">
      <c r="B2499" s="299"/>
      <c r="C2499" s="304"/>
      <c r="D2499" s="685"/>
      <c r="E2499" s="306" t="s">
        <v>277</v>
      </c>
      <c r="F2499" s="307"/>
      <c r="G2499" s="297"/>
      <c r="H2499" s="308"/>
      <c r="I2499" s="661"/>
      <c r="J2499" s="197"/>
      <c r="K2499" s="232"/>
      <c r="L2499" s="234"/>
      <c r="M2499" s="197"/>
      <c r="Q2499" s="237"/>
    </row>
    <row r="2500" spans="2:17" s="233" customFormat="1" ht="14.25" hidden="1" customHeight="1" outlineLevel="2">
      <c r="B2500" s="299" t="s">
        <v>1457</v>
      </c>
      <c r="C2500" s="304"/>
      <c r="D2500" s="685"/>
      <c r="E2500" s="306" t="s">
        <v>277</v>
      </c>
      <c r="F2500" s="307"/>
      <c r="G2500" s="297"/>
      <c r="H2500" s="308"/>
      <c r="I2500" s="661"/>
      <c r="J2500" s="197"/>
      <c r="K2500" s="232"/>
      <c r="L2500" s="234"/>
      <c r="M2500" s="197"/>
      <c r="Q2500" s="237"/>
    </row>
    <row r="2501" spans="2:17" s="233" customFormat="1" ht="13.5" hidden="1" outlineLevel="2">
      <c r="B2501" s="299" t="s">
        <v>268</v>
      </c>
      <c r="C2501" s="304" t="s">
        <v>1313</v>
      </c>
      <c r="D2501" s="685">
        <v>8101</v>
      </c>
      <c r="E2501" s="306" t="s">
        <v>1480</v>
      </c>
      <c r="F2501" s="307"/>
      <c r="G2501" s="297" t="s">
        <v>1353</v>
      </c>
      <c r="H2501" s="308" t="str">
        <f>CONCATENATE("AR-",G2501,"-",I2501)</f>
        <v>AR-AMN-5</v>
      </c>
      <c r="I2501" s="661">
        <v>5</v>
      </c>
      <c r="J2501" s="197"/>
      <c r="K2501" s="232"/>
      <c r="L2501" s="234">
        <v>1</v>
      </c>
      <c r="M2501" s="197">
        <v>1</v>
      </c>
      <c r="Q2501" s="237"/>
    </row>
    <row r="2502" spans="2:17" s="233" customFormat="1" ht="13.5" hidden="1" outlineLevel="2">
      <c r="B2502" s="299" t="s">
        <v>268</v>
      </c>
      <c r="C2502" s="304" t="s">
        <v>1313</v>
      </c>
      <c r="D2502" s="685">
        <v>8102</v>
      </c>
      <c r="E2502" s="306" t="s">
        <v>1481</v>
      </c>
      <c r="F2502" s="307"/>
      <c r="G2502" s="297" t="s">
        <v>1353</v>
      </c>
      <c r="H2502" s="308" t="str">
        <f>CONCATENATE("AR-",G2502,"-",I2502)</f>
        <v>AR-AMN-5</v>
      </c>
      <c r="I2502" s="661">
        <v>5</v>
      </c>
      <c r="J2502" s="197"/>
      <c r="K2502" s="232"/>
      <c r="L2502" s="234">
        <v>1</v>
      </c>
      <c r="M2502" s="197">
        <v>1</v>
      </c>
      <c r="Q2502" s="237"/>
    </row>
    <row r="2503" spans="2:17" s="233" customFormat="1" ht="3" hidden="1" customHeight="1" outlineLevel="1">
      <c r="B2503" s="299"/>
      <c r="C2503" s="304"/>
      <c r="D2503" s="685"/>
      <c r="E2503" s="306" t="s">
        <v>277</v>
      </c>
      <c r="F2503" s="307"/>
      <c r="G2503" s="297"/>
      <c r="H2503" s="308"/>
      <c r="I2503" s="661"/>
      <c r="J2503" s="197"/>
      <c r="K2503" s="232"/>
      <c r="L2503" s="234"/>
      <c r="M2503" s="197"/>
      <c r="Q2503" s="237"/>
    </row>
    <row r="2504" spans="2:17" s="233" customFormat="1" ht="13.5" hidden="1" outlineLevel="1">
      <c r="B2504" s="299" t="s">
        <v>1482</v>
      </c>
      <c r="C2504" s="304"/>
      <c r="D2504" s="685"/>
      <c r="E2504" s="306" t="s">
        <v>277</v>
      </c>
      <c r="F2504" s="307"/>
      <c r="G2504" s="297"/>
      <c r="H2504" s="308"/>
      <c r="I2504" s="661"/>
      <c r="J2504" s="197"/>
      <c r="K2504" s="232"/>
      <c r="L2504" s="234"/>
      <c r="M2504" s="197"/>
      <c r="Q2504" s="237"/>
    </row>
    <row r="2505" spans="2:17" s="233" customFormat="1" ht="3" hidden="1" customHeight="1" outlineLevel="2">
      <c r="B2505" s="299"/>
      <c r="C2505" s="304"/>
      <c r="D2505" s="685"/>
      <c r="E2505" s="306" t="s">
        <v>277</v>
      </c>
      <c r="F2505" s="307"/>
      <c r="G2505" s="297"/>
      <c r="H2505" s="308"/>
      <c r="I2505" s="661"/>
      <c r="J2505" s="197"/>
      <c r="K2505" s="232"/>
      <c r="L2505" s="234"/>
      <c r="M2505" s="197"/>
      <c r="Q2505" s="237"/>
    </row>
    <row r="2506" spans="2:17" s="233" customFormat="1" ht="14.25" hidden="1" customHeight="1" outlineLevel="2">
      <c r="B2506" s="299" t="s">
        <v>1281</v>
      </c>
      <c r="C2506" s="304"/>
      <c r="D2506" s="685"/>
      <c r="E2506" s="306" t="s">
        <v>277</v>
      </c>
      <c r="F2506" s="307"/>
      <c r="G2506" s="297"/>
      <c r="H2506" s="308"/>
      <c r="I2506" s="661"/>
      <c r="J2506" s="197"/>
      <c r="K2506" s="232"/>
      <c r="L2506" s="234"/>
      <c r="M2506" s="197"/>
      <c r="Q2506" s="237"/>
    </row>
    <row r="2507" spans="2:17" s="233" customFormat="1" ht="13.5" hidden="1" outlineLevel="2">
      <c r="B2507" s="299" t="s">
        <v>268</v>
      </c>
      <c r="C2507" s="304" t="s">
        <v>1465</v>
      </c>
      <c r="D2507" s="685" t="s">
        <v>270</v>
      </c>
      <c r="E2507" s="306" t="s">
        <v>599</v>
      </c>
      <c r="F2507" s="307"/>
      <c r="G2507" s="297" t="s">
        <v>1353</v>
      </c>
      <c r="H2507" s="308" t="str">
        <f>CONCATENATE("AR-",G2507,"-",I2507)</f>
        <v>AR-AMN-5</v>
      </c>
      <c r="I2507" s="661">
        <v>5</v>
      </c>
      <c r="J2507" s="197"/>
      <c r="K2507" s="232"/>
      <c r="L2507" s="234">
        <v>1</v>
      </c>
      <c r="M2507" s="197">
        <v>1</v>
      </c>
      <c r="Q2507" s="237"/>
    </row>
    <row r="2508" spans="2:17" s="233" customFormat="1" ht="3" hidden="1" customHeight="1" outlineLevel="2">
      <c r="B2508" s="299"/>
      <c r="C2508" s="304"/>
      <c r="D2508" s="685"/>
      <c r="E2508" s="306" t="s">
        <v>277</v>
      </c>
      <c r="F2508" s="307"/>
      <c r="G2508" s="297"/>
      <c r="H2508" s="308"/>
      <c r="I2508" s="661"/>
      <c r="J2508" s="197"/>
      <c r="K2508" s="232"/>
      <c r="L2508" s="234"/>
      <c r="M2508" s="197"/>
      <c r="Q2508" s="237"/>
    </row>
    <row r="2509" spans="2:17" s="233" customFormat="1" ht="14.25" hidden="1" customHeight="1" outlineLevel="2">
      <c r="B2509" s="299" t="s">
        <v>1483</v>
      </c>
      <c r="C2509" s="304"/>
      <c r="D2509" s="685"/>
      <c r="E2509" s="306" t="s">
        <v>277</v>
      </c>
      <c r="F2509" s="307"/>
      <c r="G2509" s="297"/>
      <c r="H2509" s="308"/>
      <c r="I2509" s="661"/>
      <c r="J2509" s="197"/>
      <c r="K2509" s="232"/>
      <c r="L2509" s="234"/>
      <c r="M2509" s="197"/>
      <c r="Q2509" s="237"/>
    </row>
    <row r="2510" spans="2:17" s="233" customFormat="1" ht="13.5" hidden="1" outlineLevel="2">
      <c r="B2510" s="299" t="s">
        <v>268</v>
      </c>
      <c r="C2510" s="304" t="s">
        <v>1465</v>
      </c>
      <c r="D2510" s="685" t="s">
        <v>1144</v>
      </c>
      <c r="E2510" s="306" t="s">
        <v>1484</v>
      </c>
      <c r="F2510" s="307"/>
      <c r="G2510" s="297" t="s">
        <v>1353</v>
      </c>
      <c r="H2510" s="308" t="str">
        <f>CONCATENATE("AR-",G2510,"-",I2510)</f>
        <v>AR-AMN-5</v>
      </c>
      <c r="I2510" s="661">
        <v>5</v>
      </c>
      <c r="J2510" s="197"/>
      <c r="K2510" s="232"/>
      <c r="L2510" s="234">
        <v>1</v>
      </c>
      <c r="M2510" s="197">
        <v>1</v>
      </c>
      <c r="Q2510" s="237"/>
    </row>
    <row r="2511" spans="2:17" s="233" customFormat="1" ht="3" hidden="1" customHeight="1" outlineLevel="2">
      <c r="B2511" s="299"/>
      <c r="C2511" s="304"/>
      <c r="D2511" s="685"/>
      <c r="E2511" s="306" t="s">
        <v>277</v>
      </c>
      <c r="F2511" s="307"/>
      <c r="G2511" s="297"/>
      <c r="H2511" s="308"/>
      <c r="I2511" s="661"/>
      <c r="J2511" s="197"/>
      <c r="K2511" s="232"/>
      <c r="L2511" s="234"/>
      <c r="M2511" s="197"/>
      <c r="Q2511" s="237"/>
    </row>
    <row r="2512" spans="2:17" s="233" customFormat="1" ht="14.25" hidden="1" customHeight="1" outlineLevel="2">
      <c r="B2512" s="299" t="s">
        <v>1284</v>
      </c>
      <c r="C2512" s="304"/>
      <c r="D2512" s="685"/>
      <c r="E2512" s="306" t="s">
        <v>277</v>
      </c>
      <c r="F2512" s="307"/>
      <c r="G2512" s="297"/>
      <c r="H2512" s="308"/>
      <c r="I2512" s="661"/>
      <c r="J2512" s="197"/>
      <c r="K2512" s="232"/>
      <c r="L2512" s="234"/>
      <c r="M2512" s="197"/>
      <c r="Q2512" s="237"/>
    </row>
    <row r="2513" spans="2:17" s="233" customFormat="1" ht="13.5" hidden="1" outlineLevel="2">
      <c r="B2513" s="299" t="s">
        <v>268</v>
      </c>
      <c r="C2513" s="304" t="s">
        <v>1465</v>
      </c>
      <c r="D2513" s="685" t="s">
        <v>279</v>
      </c>
      <c r="E2513" s="306" t="s">
        <v>1485</v>
      </c>
      <c r="F2513" s="307"/>
      <c r="G2513" s="297" t="s">
        <v>1353</v>
      </c>
      <c r="H2513" s="308" t="str">
        <f>CONCATENATE("AR-",G2513,"-",I2513)</f>
        <v>AR-AMN-5</v>
      </c>
      <c r="I2513" s="661">
        <v>5</v>
      </c>
      <c r="J2513" s="197"/>
      <c r="K2513" s="232"/>
      <c r="L2513" s="234">
        <v>1</v>
      </c>
      <c r="M2513" s="197">
        <v>1</v>
      </c>
      <c r="Q2513" s="237"/>
    </row>
    <row r="2514" spans="2:17" s="233" customFormat="1" ht="3" hidden="1" customHeight="1" outlineLevel="2">
      <c r="B2514" s="299"/>
      <c r="C2514" s="304"/>
      <c r="D2514" s="685"/>
      <c r="E2514" s="306" t="s">
        <v>277</v>
      </c>
      <c r="F2514" s="307"/>
      <c r="G2514" s="297"/>
      <c r="H2514" s="308"/>
      <c r="I2514" s="661"/>
      <c r="J2514" s="197"/>
      <c r="K2514" s="232"/>
      <c r="L2514" s="234"/>
      <c r="M2514" s="197"/>
      <c r="Q2514" s="237"/>
    </row>
    <row r="2515" spans="2:17" s="233" customFormat="1" ht="14.25" hidden="1" customHeight="1" outlineLevel="2">
      <c r="B2515" s="299" t="s">
        <v>1286</v>
      </c>
      <c r="C2515" s="304"/>
      <c r="D2515" s="685"/>
      <c r="E2515" s="306" t="s">
        <v>277</v>
      </c>
      <c r="F2515" s="307"/>
      <c r="G2515" s="297"/>
      <c r="H2515" s="308"/>
      <c r="I2515" s="661"/>
      <c r="J2515" s="197"/>
      <c r="K2515" s="232"/>
      <c r="L2515" s="234"/>
      <c r="M2515" s="197"/>
      <c r="Q2515" s="237"/>
    </row>
    <row r="2516" spans="2:17" s="233" customFormat="1" ht="13.5" hidden="1" outlineLevel="2">
      <c r="B2516" s="299" t="s">
        <v>268</v>
      </c>
      <c r="C2516" s="304" t="s">
        <v>1465</v>
      </c>
      <c r="D2516" s="685" t="s">
        <v>374</v>
      </c>
      <c r="E2516" s="306" t="s">
        <v>1449</v>
      </c>
      <c r="F2516" s="307"/>
      <c r="G2516" s="297" t="s">
        <v>1353</v>
      </c>
      <c r="H2516" s="308" t="str">
        <f>CONCATENATE("AR-",G2516,"-",I2516)</f>
        <v>AR-AMN-5</v>
      </c>
      <c r="I2516" s="661">
        <v>5</v>
      </c>
      <c r="J2516" s="197"/>
      <c r="K2516" s="232"/>
      <c r="L2516" s="234">
        <v>1</v>
      </c>
      <c r="M2516" s="197">
        <v>1</v>
      </c>
      <c r="Q2516" s="237"/>
    </row>
    <row r="2517" spans="2:17" s="233" customFormat="1" ht="3" hidden="1" customHeight="1" outlineLevel="2">
      <c r="B2517" s="299"/>
      <c r="C2517" s="304"/>
      <c r="D2517" s="685"/>
      <c r="E2517" s="306" t="s">
        <v>277</v>
      </c>
      <c r="F2517" s="307"/>
      <c r="G2517" s="297"/>
      <c r="H2517" s="308"/>
      <c r="I2517" s="661"/>
      <c r="J2517" s="197"/>
      <c r="K2517" s="232"/>
      <c r="L2517" s="234"/>
      <c r="M2517" s="197"/>
      <c r="Q2517" s="237"/>
    </row>
    <row r="2518" spans="2:17" s="233" customFormat="1" ht="14.25" hidden="1" customHeight="1" outlineLevel="2">
      <c r="B2518" s="299" t="s">
        <v>1288</v>
      </c>
      <c r="C2518" s="304"/>
      <c r="D2518" s="685"/>
      <c r="E2518" s="306" t="s">
        <v>277</v>
      </c>
      <c r="F2518" s="307"/>
      <c r="G2518" s="297"/>
      <c r="H2518" s="308"/>
      <c r="I2518" s="661"/>
      <c r="J2518" s="197"/>
      <c r="K2518" s="232"/>
      <c r="L2518" s="234"/>
      <c r="M2518" s="197"/>
      <c r="Q2518" s="237"/>
    </row>
    <row r="2519" spans="2:17" s="233" customFormat="1" ht="13.5" hidden="1" outlineLevel="2">
      <c r="B2519" s="299" t="s">
        <v>268</v>
      </c>
      <c r="C2519" s="304" t="s">
        <v>1465</v>
      </c>
      <c r="D2519" s="685" t="s">
        <v>701</v>
      </c>
      <c r="E2519" s="306" t="s">
        <v>1450</v>
      </c>
      <c r="F2519" s="307"/>
      <c r="G2519" s="297" t="s">
        <v>1353</v>
      </c>
      <c r="H2519" s="308" t="str">
        <f>CONCATENATE("AR-",G2519,"-",I2519)</f>
        <v>AR-AMN-5</v>
      </c>
      <c r="I2519" s="661">
        <v>5</v>
      </c>
      <c r="J2519" s="197"/>
      <c r="K2519" s="232"/>
      <c r="L2519" s="234">
        <v>1</v>
      </c>
      <c r="M2519" s="197">
        <v>1</v>
      </c>
      <c r="Q2519" s="237"/>
    </row>
    <row r="2520" spans="2:17" s="233" customFormat="1" ht="3" hidden="1" customHeight="1" outlineLevel="2">
      <c r="B2520" s="299"/>
      <c r="C2520" s="304"/>
      <c r="D2520" s="685"/>
      <c r="E2520" s="306" t="s">
        <v>277</v>
      </c>
      <c r="F2520" s="307"/>
      <c r="G2520" s="297"/>
      <c r="H2520" s="308"/>
      <c r="I2520" s="661"/>
      <c r="J2520" s="197"/>
      <c r="K2520" s="232"/>
      <c r="L2520" s="234"/>
      <c r="M2520" s="197"/>
      <c r="Q2520" s="237"/>
    </row>
    <row r="2521" spans="2:17" s="233" customFormat="1" ht="14.25" hidden="1" customHeight="1" outlineLevel="2">
      <c r="B2521" s="299" t="s">
        <v>1293</v>
      </c>
      <c r="C2521" s="304"/>
      <c r="D2521" s="685"/>
      <c r="E2521" s="306" t="s">
        <v>277</v>
      </c>
      <c r="F2521" s="307"/>
      <c r="G2521" s="297"/>
      <c r="H2521" s="308"/>
      <c r="I2521" s="661"/>
      <c r="J2521" s="197"/>
      <c r="K2521" s="232"/>
      <c r="L2521" s="234"/>
      <c r="M2521" s="197"/>
      <c r="Q2521" s="237"/>
    </row>
    <row r="2522" spans="2:17" s="233" customFormat="1" ht="13.5" hidden="1" outlineLevel="2">
      <c r="B2522" s="299" t="s">
        <v>268</v>
      </c>
      <c r="C2522" s="304" t="s">
        <v>1465</v>
      </c>
      <c r="D2522" s="685">
        <v>1401</v>
      </c>
      <c r="E2522" s="306" t="s">
        <v>1294</v>
      </c>
      <c r="F2522" s="307"/>
      <c r="G2522" s="297" t="s">
        <v>1353</v>
      </c>
      <c r="H2522" s="308" t="str">
        <f>CONCATENATE("AR-",G2522,"-",I2522)</f>
        <v>AR-AMN-5</v>
      </c>
      <c r="I2522" s="661">
        <v>5</v>
      </c>
      <c r="J2522" s="197"/>
      <c r="K2522" s="232"/>
      <c r="L2522" s="234">
        <v>1</v>
      </c>
      <c r="M2522" s="197">
        <v>1</v>
      </c>
      <c r="Q2522" s="237"/>
    </row>
    <row r="2523" spans="2:17" s="233" customFormat="1" ht="13.5" hidden="1" outlineLevel="2">
      <c r="B2523" s="299" t="s">
        <v>268</v>
      </c>
      <c r="C2523" s="304" t="s">
        <v>1465</v>
      </c>
      <c r="D2523" s="685">
        <v>1402</v>
      </c>
      <c r="E2523" s="306" t="s">
        <v>1469</v>
      </c>
      <c r="F2523" s="307"/>
      <c r="G2523" s="297" t="s">
        <v>1353</v>
      </c>
      <c r="H2523" s="308" t="str">
        <f>CONCATENATE("AR-",G2523,"-",I2523)</f>
        <v>AR-AMN-5</v>
      </c>
      <c r="I2523" s="661">
        <v>5</v>
      </c>
      <c r="J2523" s="197"/>
      <c r="K2523" s="232"/>
      <c r="L2523" s="234">
        <v>1</v>
      </c>
      <c r="M2523" s="197">
        <v>1</v>
      </c>
      <c r="Q2523" s="237"/>
    </row>
    <row r="2524" spans="2:17" s="233" customFormat="1" ht="13.5" hidden="1" outlineLevel="2">
      <c r="B2524" s="299" t="s">
        <v>268</v>
      </c>
      <c r="C2524" s="304" t="s">
        <v>1465</v>
      </c>
      <c r="D2524" s="685">
        <v>1404</v>
      </c>
      <c r="E2524" s="306" t="s">
        <v>1297</v>
      </c>
      <c r="F2524" s="307"/>
      <c r="G2524" s="297" t="s">
        <v>1353</v>
      </c>
      <c r="H2524" s="308" t="str">
        <f>CONCATENATE("AR-",G2524,"-",I2524)</f>
        <v>AR-AMN-5</v>
      </c>
      <c r="I2524" s="661">
        <v>5</v>
      </c>
      <c r="J2524" s="197"/>
      <c r="K2524" s="232"/>
      <c r="L2524" s="234">
        <v>1</v>
      </c>
      <c r="M2524" s="197">
        <v>1</v>
      </c>
      <c r="Q2524" s="237"/>
    </row>
    <row r="2525" spans="2:17" s="233" customFormat="1" ht="13.5" hidden="1" outlineLevel="2">
      <c r="B2525" s="299" t="s">
        <v>268</v>
      </c>
      <c r="C2525" s="304" t="s">
        <v>1465</v>
      </c>
      <c r="D2525" s="685" t="s">
        <v>396</v>
      </c>
      <c r="E2525" s="306" t="s">
        <v>1298</v>
      </c>
      <c r="F2525" s="307"/>
      <c r="G2525" s="297" t="s">
        <v>1353</v>
      </c>
      <c r="H2525" s="308" t="str">
        <f>CONCATENATE("AR-",G2525,"-",I2525)</f>
        <v>AR-AMN-5</v>
      </c>
      <c r="I2525" s="661">
        <v>5</v>
      </c>
      <c r="J2525" s="197"/>
      <c r="K2525" s="232"/>
      <c r="L2525" s="234">
        <v>1</v>
      </c>
      <c r="M2525" s="197">
        <v>1</v>
      </c>
      <c r="Q2525" s="237"/>
    </row>
    <row r="2526" spans="2:17" s="233" customFormat="1" ht="3" hidden="1" customHeight="1" outlineLevel="2">
      <c r="B2526" s="299"/>
      <c r="C2526" s="304"/>
      <c r="D2526" s="685"/>
      <c r="E2526" s="306" t="s">
        <v>277</v>
      </c>
      <c r="F2526" s="307"/>
      <c r="G2526" s="297"/>
      <c r="H2526" s="308"/>
      <c r="I2526" s="661"/>
      <c r="J2526" s="197"/>
      <c r="K2526" s="232"/>
      <c r="L2526" s="234"/>
      <c r="M2526" s="197"/>
      <c r="Q2526" s="237"/>
    </row>
    <row r="2527" spans="2:17" s="233" customFormat="1" ht="14.25" hidden="1" customHeight="1" outlineLevel="2">
      <c r="B2527" s="299" t="s">
        <v>1374</v>
      </c>
      <c r="C2527" s="304"/>
      <c r="D2527" s="685"/>
      <c r="E2527" s="306" t="s">
        <v>277</v>
      </c>
      <c r="F2527" s="307"/>
      <c r="G2527" s="297"/>
      <c r="H2527" s="308"/>
      <c r="I2527" s="661"/>
      <c r="J2527" s="197"/>
      <c r="K2527" s="232"/>
      <c r="L2527" s="234"/>
      <c r="M2527" s="197"/>
      <c r="Q2527" s="237"/>
    </row>
    <row r="2528" spans="2:17" s="233" customFormat="1" ht="13.5" hidden="1" outlineLevel="2">
      <c r="B2528" s="299" t="s">
        <v>268</v>
      </c>
      <c r="C2528" s="304" t="s">
        <v>1465</v>
      </c>
      <c r="D2528" s="685" t="s">
        <v>291</v>
      </c>
      <c r="E2528" s="306" t="s">
        <v>1470</v>
      </c>
      <c r="F2528" s="307"/>
      <c r="G2528" s="297" t="s">
        <v>1353</v>
      </c>
      <c r="H2528" s="308" t="str">
        <f>CONCATENATE("AR-",G2528,"-",I2528)</f>
        <v>AR-AMN-5</v>
      </c>
      <c r="I2528" s="661">
        <v>5</v>
      </c>
      <c r="J2528" s="197"/>
      <c r="K2528" s="232"/>
      <c r="L2528" s="234">
        <v>1</v>
      </c>
      <c r="M2528" s="197">
        <v>1</v>
      </c>
      <c r="Q2528" s="237"/>
    </row>
    <row r="2529" spans="2:17" s="233" customFormat="1" ht="3" hidden="1" customHeight="1" outlineLevel="2">
      <c r="B2529" s="299"/>
      <c r="C2529" s="304"/>
      <c r="D2529" s="685"/>
      <c r="E2529" s="306" t="s">
        <v>277</v>
      </c>
      <c r="F2529" s="307"/>
      <c r="G2529" s="297"/>
      <c r="H2529" s="308"/>
      <c r="I2529" s="661"/>
      <c r="J2529" s="197"/>
      <c r="K2529" s="232"/>
      <c r="L2529" s="234"/>
      <c r="M2529" s="197"/>
      <c r="Q2529" s="237"/>
    </row>
    <row r="2530" spans="2:17" s="233" customFormat="1" ht="14.25" hidden="1" customHeight="1" outlineLevel="2">
      <c r="B2530" s="299" t="s">
        <v>1299</v>
      </c>
      <c r="C2530" s="304"/>
      <c r="D2530" s="685"/>
      <c r="E2530" s="306" t="s">
        <v>277</v>
      </c>
      <c r="F2530" s="307"/>
      <c r="G2530" s="297"/>
      <c r="H2530" s="308"/>
      <c r="I2530" s="661"/>
      <c r="J2530" s="197"/>
      <c r="K2530" s="232"/>
      <c r="L2530" s="234"/>
      <c r="M2530" s="197"/>
      <c r="Q2530" s="237"/>
    </row>
    <row r="2531" spans="2:17" s="233" customFormat="1" ht="13.5" hidden="1" outlineLevel="2">
      <c r="B2531" s="299" t="s">
        <v>268</v>
      </c>
      <c r="C2531" s="304" t="s">
        <v>1465</v>
      </c>
      <c r="D2531" s="685" t="s">
        <v>328</v>
      </c>
      <c r="E2531" s="306" t="s">
        <v>1300</v>
      </c>
      <c r="F2531" s="307"/>
      <c r="G2531" s="297" t="s">
        <v>1353</v>
      </c>
      <c r="H2531" s="308" t="str">
        <f>CONCATENATE("AR-",G2531,"-",I2531)</f>
        <v>AR-AMN-5</v>
      </c>
      <c r="I2531" s="661">
        <v>5</v>
      </c>
      <c r="J2531" s="197"/>
      <c r="K2531" s="232"/>
      <c r="L2531" s="234">
        <v>1</v>
      </c>
      <c r="M2531" s="197">
        <v>1</v>
      </c>
      <c r="Q2531" s="237"/>
    </row>
    <row r="2532" spans="2:17" s="233" customFormat="1" ht="3" hidden="1" customHeight="1" outlineLevel="2">
      <c r="B2532" s="299"/>
      <c r="C2532" s="304"/>
      <c r="D2532" s="685"/>
      <c r="E2532" s="306" t="s">
        <v>277</v>
      </c>
      <c r="F2532" s="307"/>
      <c r="G2532" s="297"/>
      <c r="H2532" s="308"/>
      <c r="I2532" s="661"/>
      <c r="J2532" s="197"/>
      <c r="K2532" s="232"/>
      <c r="L2532" s="234"/>
      <c r="M2532" s="197"/>
      <c r="Q2532" s="237"/>
    </row>
    <row r="2533" spans="2:17" s="233" customFormat="1" ht="14.25" hidden="1" customHeight="1" outlineLevel="2">
      <c r="B2533" s="299" t="s">
        <v>1301</v>
      </c>
      <c r="C2533" s="304"/>
      <c r="D2533" s="685"/>
      <c r="E2533" s="306" t="s">
        <v>277</v>
      </c>
      <c r="F2533" s="307"/>
      <c r="G2533" s="297"/>
      <c r="H2533" s="308"/>
      <c r="I2533" s="661"/>
      <c r="J2533" s="197"/>
      <c r="K2533" s="232"/>
      <c r="L2533" s="234"/>
      <c r="M2533" s="197"/>
      <c r="Q2533" s="237"/>
    </row>
    <row r="2534" spans="2:17" s="233" customFormat="1" ht="13.5" hidden="1" outlineLevel="2">
      <c r="B2534" s="299" t="s">
        <v>268</v>
      </c>
      <c r="C2534" s="304" t="s">
        <v>1465</v>
      </c>
      <c r="D2534" s="685" t="s">
        <v>335</v>
      </c>
      <c r="E2534" s="306" t="s">
        <v>1302</v>
      </c>
      <c r="F2534" s="307"/>
      <c r="G2534" s="297" t="s">
        <v>1353</v>
      </c>
      <c r="H2534" s="308" t="str">
        <f>CONCATENATE("AR-",G2534,"-",I2534)</f>
        <v>AR-AMN-5</v>
      </c>
      <c r="I2534" s="661">
        <v>5</v>
      </c>
      <c r="J2534" s="197"/>
      <c r="K2534" s="232"/>
      <c r="L2534" s="234">
        <v>1</v>
      </c>
      <c r="M2534" s="197">
        <v>1</v>
      </c>
      <c r="Q2534" s="237"/>
    </row>
    <row r="2535" spans="2:17" s="233" customFormat="1" ht="3" hidden="1" customHeight="1" outlineLevel="2">
      <c r="B2535" s="299"/>
      <c r="C2535" s="304"/>
      <c r="D2535" s="685"/>
      <c r="E2535" s="306" t="s">
        <v>277</v>
      </c>
      <c r="F2535" s="307"/>
      <c r="G2535" s="297"/>
      <c r="H2535" s="308"/>
      <c r="I2535" s="661"/>
      <c r="J2535" s="197"/>
      <c r="K2535" s="232"/>
      <c r="L2535" s="234"/>
      <c r="M2535" s="197"/>
      <c r="Q2535" s="237"/>
    </row>
    <row r="2536" spans="2:17" s="233" customFormat="1" ht="13.5" hidden="1" outlineLevel="2">
      <c r="B2536" s="299" t="s">
        <v>1384</v>
      </c>
      <c r="C2536" s="304"/>
      <c r="D2536" s="685"/>
      <c r="E2536" s="306"/>
      <c r="F2536" s="307"/>
      <c r="G2536" s="297"/>
      <c r="H2536" s="308"/>
      <c r="I2536" s="661"/>
      <c r="J2536" s="197"/>
      <c r="K2536" s="232"/>
      <c r="L2536" s="234"/>
      <c r="M2536" s="197"/>
      <c r="Q2536" s="237"/>
    </row>
    <row r="2537" spans="2:17" s="233" customFormat="1" ht="3" hidden="1" customHeight="1" outlineLevel="2">
      <c r="B2537" s="299"/>
      <c r="C2537" s="304"/>
      <c r="D2537" s="685"/>
      <c r="E2537" s="306" t="s">
        <v>277</v>
      </c>
      <c r="F2537" s="307"/>
      <c r="G2537" s="297"/>
      <c r="H2537" s="308"/>
      <c r="I2537" s="661"/>
      <c r="J2537" s="197"/>
      <c r="K2537" s="232"/>
      <c r="L2537" s="234"/>
      <c r="M2537" s="197"/>
      <c r="Q2537" s="237"/>
    </row>
    <row r="2538" spans="2:17" s="233" customFormat="1" ht="13.5" hidden="1" outlineLevel="2">
      <c r="B2538" s="299" t="s">
        <v>1303</v>
      </c>
      <c r="C2538" s="304"/>
      <c r="D2538" s="685"/>
      <c r="E2538" s="306"/>
      <c r="F2538" s="307"/>
      <c r="G2538" s="297"/>
      <c r="H2538" s="308"/>
      <c r="I2538" s="661"/>
      <c r="J2538" s="197"/>
      <c r="K2538" s="232"/>
      <c r="L2538" s="234"/>
      <c r="M2538" s="197"/>
      <c r="Q2538" s="237"/>
    </row>
    <row r="2539" spans="2:17" s="233" customFormat="1" ht="13.5" hidden="1" outlineLevel="2">
      <c r="B2539" s="299" t="s">
        <v>268</v>
      </c>
      <c r="C2539" s="304" t="s">
        <v>1465</v>
      </c>
      <c r="D2539" s="685">
        <v>4401</v>
      </c>
      <c r="E2539" s="306" t="s">
        <v>1304</v>
      </c>
      <c r="F2539" s="307"/>
      <c r="G2539" s="297" t="s">
        <v>1353</v>
      </c>
      <c r="H2539" s="308" t="str">
        <f>CONCATENATE("AR-",G2539,"-",I2539)</f>
        <v>AR-AMN-5</v>
      </c>
      <c r="I2539" s="661">
        <v>5</v>
      </c>
      <c r="J2539" s="197"/>
      <c r="K2539" s="232"/>
      <c r="L2539" s="234">
        <v>1</v>
      </c>
      <c r="M2539" s="197">
        <v>1</v>
      </c>
      <c r="Q2539" s="237"/>
    </row>
    <row r="2540" spans="2:17" s="233" customFormat="1" ht="13.5" hidden="1" outlineLevel="2">
      <c r="B2540" s="299" t="s">
        <v>268</v>
      </c>
      <c r="C2540" s="304" t="s">
        <v>1465</v>
      </c>
      <c r="D2540" s="685">
        <v>4402</v>
      </c>
      <c r="E2540" s="306" t="s">
        <v>1305</v>
      </c>
      <c r="F2540" s="307"/>
      <c r="G2540" s="297" t="s">
        <v>1353</v>
      </c>
      <c r="H2540" s="308" t="str">
        <f>CONCATENATE("AR-",G2540,"-",I2540)</f>
        <v>AR-AMN-5</v>
      </c>
      <c r="I2540" s="661">
        <v>5</v>
      </c>
      <c r="J2540" s="197"/>
      <c r="K2540" s="232"/>
      <c r="L2540" s="234">
        <v>1</v>
      </c>
      <c r="M2540" s="197">
        <v>1</v>
      </c>
      <c r="Q2540" s="237"/>
    </row>
    <row r="2541" spans="2:17" s="233" customFormat="1" ht="3" hidden="1" customHeight="1" outlineLevel="2">
      <c r="B2541" s="299"/>
      <c r="C2541" s="304"/>
      <c r="D2541" s="685"/>
      <c r="E2541" s="306" t="s">
        <v>277</v>
      </c>
      <c r="F2541" s="307"/>
      <c r="G2541" s="297"/>
      <c r="H2541" s="308"/>
      <c r="I2541" s="661"/>
      <c r="J2541" s="197"/>
      <c r="K2541" s="232"/>
      <c r="L2541" s="234"/>
      <c r="M2541" s="197"/>
      <c r="Q2541" s="237"/>
    </row>
    <row r="2542" spans="2:17" s="233" customFormat="1" ht="13.5" hidden="1" outlineLevel="2">
      <c r="B2542" s="299" t="s">
        <v>1308</v>
      </c>
      <c r="C2542" s="304"/>
      <c r="D2542" s="685"/>
      <c r="E2542" s="306" t="s">
        <v>277</v>
      </c>
      <c r="F2542" s="307"/>
      <c r="G2542" s="297"/>
      <c r="H2542" s="308"/>
      <c r="I2542" s="661"/>
      <c r="J2542" s="197"/>
      <c r="K2542" s="232"/>
      <c r="L2542" s="234"/>
      <c r="M2542" s="197"/>
      <c r="Q2542" s="237"/>
    </row>
    <row r="2543" spans="2:17" s="233" customFormat="1" ht="13.5" hidden="1" outlineLevel="2">
      <c r="B2543" s="299" t="s">
        <v>268</v>
      </c>
      <c r="C2543" s="304" t="s">
        <v>1465</v>
      </c>
      <c r="D2543" s="685" t="s">
        <v>425</v>
      </c>
      <c r="E2543" s="306" t="s">
        <v>910</v>
      </c>
      <c r="F2543" s="307"/>
      <c r="G2543" s="297" t="s">
        <v>1353</v>
      </c>
      <c r="H2543" s="308" t="str">
        <f>CONCATENATE("AR-",G2543,"-",I2543)</f>
        <v>AR-AMN-5</v>
      </c>
      <c r="I2543" s="661">
        <v>5</v>
      </c>
      <c r="J2543" s="197"/>
      <c r="K2543" s="232"/>
      <c r="L2543" s="234">
        <v>1</v>
      </c>
      <c r="M2543" s="197">
        <v>1</v>
      </c>
      <c r="Q2543" s="237"/>
    </row>
    <row r="2544" spans="2:17" s="233" customFormat="1" ht="13.5" hidden="1" outlineLevel="2">
      <c r="B2544" s="299" t="s">
        <v>268</v>
      </c>
      <c r="C2544" s="304" t="s">
        <v>1465</v>
      </c>
      <c r="D2544" s="685" t="s">
        <v>427</v>
      </c>
      <c r="E2544" s="306" t="s">
        <v>911</v>
      </c>
      <c r="F2544" s="307"/>
      <c r="G2544" s="297" t="s">
        <v>1353</v>
      </c>
      <c r="H2544" s="308" t="str">
        <f>CONCATENATE("AR-",G2544,"-",I2544)</f>
        <v>AR-AMN-5</v>
      </c>
      <c r="I2544" s="661">
        <v>5</v>
      </c>
      <c r="J2544" s="197"/>
      <c r="K2544" s="232"/>
      <c r="L2544" s="234">
        <v>1</v>
      </c>
      <c r="M2544" s="197">
        <v>1</v>
      </c>
      <c r="Q2544" s="237"/>
    </row>
    <row r="2545" spans="1:21" s="233" customFormat="1" ht="3" hidden="1" customHeight="1" outlineLevel="2">
      <c r="B2545" s="299"/>
      <c r="C2545" s="304"/>
      <c r="D2545" s="685"/>
      <c r="E2545" s="306" t="s">
        <v>277</v>
      </c>
      <c r="F2545" s="307"/>
      <c r="G2545" s="297"/>
      <c r="H2545" s="308"/>
      <c r="I2545" s="661"/>
      <c r="J2545" s="197"/>
      <c r="K2545" s="232"/>
      <c r="L2545" s="234"/>
      <c r="M2545" s="197"/>
      <c r="Q2545" s="237"/>
    </row>
    <row r="2546" spans="1:21" s="233" customFormat="1" ht="14.25" hidden="1" customHeight="1" outlineLevel="2">
      <c r="B2546" s="299" t="s">
        <v>1427</v>
      </c>
      <c r="C2546" s="304"/>
      <c r="D2546" s="685"/>
      <c r="E2546" s="306" t="s">
        <v>277</v>
      </c>
      <c r="F2546" s="307"/>
      <c r="G2546" s="297"/>
      <c r="H2546" s="308"/>
      <c r="I2546" s="661"/>
      <c r="J2546" s="197"/>
      <c r="K2546" s="232"/>
      <c r="L2546" s="234"/>
      <c r="M2546" s="197"/>
      <c r="Q2546" s="237"/>
    </row>
    <row r="2547" spans="1:21" s="233" customFormat="1" ht="13.5" hidden="1" outlineLevel="2">
      <c r="B2547" s="299" t="s">
        <v>268</v>
      </c>
      <c r="C2547" s="304" t="s">
        <v>1313</v>
      </c>
      <c r="D2547" s="685">
        <v>5501</v>
      </c>
      <c r="E2547" s="306" t="s">
        <v>1486</v>
      </c>
      <c r="F2547" s="307"/>
      <c r="G2547" s="297" t="s">
        <v>1353</v>
      </c>
      <c r="H2547" s="308" t="str">
        <f>CONCATENATE("AR-",G2547,"-",I2547)</f>
        <v>AR-AMN-5</v>
      </c>
      <c r="I2547" s="661">
        <v>5</v>
      </c>
      <c r="J2547" s="197"/>
      <c r="K2547" s="232"/>
      <c r="L2547" s="234">
        <v>1</v>
      </c>
      <c r="M2547" s="197">
        <v>1</v>
      </c>
      <c r="Q2547" s="237"/>
    </row>
    <row r="2548" spans="1:21" s="233" customFormat="1" ht="3" hidden="1" customHeight="1" outlineLevel="2">
      <c r="B2548" s="299"/>
      <c r="C2548" s="304"/>
      <c r="D2548" s="685"/>
      <c r="E2548" s="306" t="s">
        <v>277</v>
      </c>
      <c r="F2548" s="307"/>
      <c r="G2548" s="297"/>
      <c r="H2548" s="308"/>
      <c r="I2548" s="661"/>
      <c r="J2548" s="197"/>
      <c r="K2548" s="232"/>
      <c r="L2548" s="234"/>
      <c r="M2548" s="197"/>
      <c r="Q2548" s="237"/>
    </row>
    <row r="2549" spans="1:21" s="233" customFormat="1" ht="14.25" hidden="1" customHeight="1" outlineLevel="2">
      <c r="B2549" s="299" t="s">
        <v>1309</v>
      </c>
      <c r="C2549" s="304"/>
      <c r="D2549" s="685"/>
      <c r="E2549" s="306" t="s">
        <v>277</v>
      </c>
      <c r="F2549" s="307"/>
      <c r="G2549" s="297"/>
      <c r="H2549" s="308"/>
      <c r="I2549" s="661"/>
      <c r="J2549" s="197"/>
      <c r="K2549" s="232"/>
      <c r="L2549" s="234"/>
      <c r="M2549" s="197"/>
      <c r="Q2549" s="237"/>
    </row>
    <row r="2550" spans="1:21" s="233" customFormat="1" ht="13.5" hidden="1" outlineLevel="2">
      <c r="B2550" s="299" t="s">
        <v>268</v>
      </c>
      <c r="C2550" s="304" t="s">
        <v>1313</v>
      </c>
      <c r="D2550" s="685">
        <v>6601</v>
      </c>
      <c r="E2550" s="306" t="s">
        <v>1310</v>
      </c>
      <c r="F2550" s="307"/>
      <c r="G2550" s="297" t="s">
        <v>1353</v>
      </c>
      <c r="H2550" s="308" t="str">
        <f>CONCATENATE("AR-",G2550,"-",I2550)</f>
        <v>AR-AMN-5</v>
      </c>
      <c r="I2550" s="661">
        <v>5</v>
      </c>
      <c r="J2550" s="197"/>
      <c r="K2550" s="232"/>
      <c r="L2550" s="234">
        <v>1</v>
      </c>
      <c r="M2550" s="197">
        <v>1</v>
      </c>
      <c r="Q2550" s="237"/>
    </row>
    <row r="2551" spans="1:21" s="233" customFormat="1" ht="3" hidden="1" customHeight="1" outlineLevel="2">
      <c r="B2551" s="299"/>
      <c r="C2551" s="304"/>
      <c r="D2551" s="685"/>
      <c r="E2551" s="306" t="s">
        <v>277</v>
      </c>
      <c r="F2551" s="307"/>
      <c r="G2551" s="297"/>
      <c r="H2551" s="308"/>
      <c r="I2551" s="661"/>
      <c r="J2551" s="197"/>
      <c r="K2551" s="232"/>
      <c r="L2551" s="234"/>
      <c r="M2551" s="197"/>
      <c r="Q2551" s="237"/>
    </row>
    <row r="2552" spans="1:21" s="233" customFormat="1" ht="14.25" hidden="1" customHeight="1" outlineLevel="2">
      <c r="B2552" s="299" t="s">
        <v>1479</v>
      </c>
      <c r="C2552" s="304"/>
      <c r="D2552" s="685"/>
      <c r="E2552" s="306" t="s">
        <v>277</v>
      </c>
      <c r="F2552" s="307"/>
      <c r="G2552" s="297"/>
      <c r="H2552" s="308"/>
      <c r="I2552" s="661"/>
      <c r="J2552" s="197"/>
      <c r="K2552" s="232"/>
      <c r="L2552" s="234"/>
      <c r="M2552" s="197"/>
      <c r="Q2552" s="237"/>
    </row>
    <row r="2553" spans="1:21" s="233" customFormat="1" ht="13.5" hidden="1" outlineLevel="2">
      <c r="B2553" s="299" t="s">
        <v>268</v>
      </c>
      <c r="C2553" s="304" t="s">
        <v>1313</v>
      </c>
      <c r="D2553" s="685">
        <v>8001</v>
      </c>
      <c r="E2553" s="306" t="s">
        <v>1314</v>
      </c>
      <c r="F2553" s="307"/>
      <c r="G2553" s="297" t="s">
        <v>1353</v>
      </c>
      <c r="H2553" s="308" t="str">
        <f>CONCATENATE("AR-",G2553,"-",I2553)</f>
        <v>AR-AMN-5</v>
      </c>
      <c r="I2553" s="661">
        <v>5</v>
      </c>
      <c r="J2553" s="197"/>
      <c r="K2553" s="232"/>
      <c r="L2553" s="234">
        <v>1</v>
      </c>
      <c r="M2553" s="197">
        <v>1</v>
      </c>
      <c r="Q2553" s="237"/>
    </row>
    <row r="2554" spans="1:21" s="233" customFormat="1" ht="13.5" hidden="1" outlineLevel="2">
      <c r="B2554" s="299" t="s">
        <v>268</v>
      </c>
      <c r="C2554" s="304" t="s">
        <v>1313</v>
      </c>
      <c r="D2554" s="685">
        <v>8002</v>
      </c>
      <c r="E2554" s="306" t="s">
        <v>1315</v>
      </c>
      <c r="F2554" s="307"/>
      <c r="G2554" s="297" t="s">
        <v>1353</v>
      </c>
      <c r="H2554" s="308" t="str">
        <f>CONCATENATE("AR-",G2554,"-",I2554)</f>
        <v>AR-AMN-5</v>
      </c>
      <c r="I2554" s="661">
        <v>5</v>
      </c>
      <c r="J2554" s="197"/>
      <c r="K2554" s="232"/>
      <c r="L2554" s="234">
        <v>1</v>
      </c>
      <c r="M2554" s="197">
        <v>1</v>
      </c>
      <c r="Q2554" s="237"/>
    </row>
    <row r="2555" spans="1:21" s="233" customFormat="1" ht="3" hidden="1" customHeight="1" outlineLevel="2">
      <c r="B2555" s="299"/>
      <c r="C2555" s="304"/>
      <c r="D2555" s="685"/>
      <c r="E2555" s="306" t="s">
        <v>277</v>
      </c>
      <c r="F2555" s="307"/>
      <c r="G2555" s="297"/>
      <c r="H2555" s="308"/>
      <c r="I2555" s="661"/>
      <c r="J2555" s="197"/>
      <c r="K2555" s="232"/>
      <c r="L2555" s="234"/>
      <c r="M2555" s="197"/>
      <c r="Q2555" s="237"/>
    </row>
    <row r="2556" spans="1:21" s="233" customFormat="1" ht="14.25" hidden="1" customHeight="1" outlineLevel="2">
      <c r="A2556" s="681"/>
      <c r="B2556" s="299" t="s">
        <v>1457</v>
      </c>
      <c r="C2556" s="304"/>
      <c r="D2556" s="685"/>
      <c r="E2556" s="306" t="s">
        <v>277</v>
      </c>
      <c r="F2556" s="307"/>
      <c r="G2556" s="297"/>
      <c r="H2556" s="308"/>
      <c r="I2556" s="661"/>
      <c r="J2556" s="197"/>
      <c r="K2556" s="232"/>
      <c r="L2556" s="234"/>
      <c r="M2556" s="197"/>
      <c r="N2556" s="197"/>
      <c r="O2556" s="197"/>
      <c r="P2556" s="197"/>
      <c r="Q2556" s="234"/>
      <c r="R2556" s="197"/>
      <c r="S2556" s="197"/>
      <c r="T2556" s="197"/>
      <c r="U2556" s="197"/>
    </row>
    <row r="2557" spans="1:21" s="233" customFormat="1" ht="13.5" hidden="1" outlineLevel="2">
      <c r="A2557" s="678"/>
      <c r="B2557" s="299" t="s">
        <v>268</v>
      </c>
      <c r="C2557" s="304" t="s">
        <v>1313</v>
      </c>
      <c r="D2557" s="685">
        <v>8101</v>
      </c>
      <c r="E2557" s="306" t="s">
        <v>1480</v>
      </c>
      <c r="F2557" s="307"/>
      <c r="G2557" s="297" t="s">
        <v>1353</v>
      </c>
      <c r="H2557" s="308" t="str">
        <f>CONCATENATE("AR-",G2557,"-",I2557)</f>
        <v>AR-AMN-5</v>
      </c>
      <c r="I2557" s="661">
        <v>5</v>
      </c>
      <c r="J2557" s="197"/>
      <c r="K2557" s="232"/>
      <c r="L2557" s="234">
        <v>1</v>
      </c>
      <c r="M2557" s="197">
        <v>1</v>
      </c>
      <c r="N2557" s="197"/>
      <c r="O2557" s="197"/>
      <c r="P2557" s="197"/>
      <c r="Q2557" s="234"/>
      <c r="R2557" s="197"/>
      <c r="S2557" s="197"/>
      <c r="T2557" s="197"/>
      <c r="U2557" s="197"/>
    </row>
    <row r="2558" spans="1:21" s="233" customFormat="1" ht="13.5" hidden="1" outlineLevel="2">
      <c r="A2558" s="678"/>
      <c r="B2558" s="299" t="s">
        <v>268</v>
      </c>
      <c r="C2558" s="304" t="s">
        <v>1313</v>
      </c>
      <c r="D2558" s="685">
        <v>8102</v>
      </c>
      <c r="E2558" s="306" t="s">
        <v>1481</v>
      </c>
      <c r="F2558" s="307"/>
      <c r="G2558" s="297" t="s">
        <v>1353</v>
      </c>
      <c r="H2558" s="308" t="str">
        <f>CONCATENATE("AR-",G2558,"-",I2558)</f>
        <v>AR-AMN-5</v>
      </c>
      <c r="I2558" s="661">
        <v>5</v>
      </c>
      <c r="J2558" s="197"/>
      <c r="K2558" s="232"/>
      <c r="L2558" s="234">
        <v>1</v>
      </c>
      <c r="M2558" s="197">
        <v>1</v>
      </c>
      <c r="N2558" s="197"/>
      <c r="O2558" s="197"/>
      <c r="P2558" s="197"/>
      <c r="Q2558" s="234"/>
      <c r="R2558" s="197"/>
      <c r="S2558" s="197"/>
      <c r="T2558" s="197"/>
      <c r="U2558" s="197"/>
    </row>
    <row r="2559" spans="1:21" s="233" customFormat="1" ht="3" customHeight="1">
      <c r="A2559" s="682"/>
      <c r="B2559" s="299"/>
      <c r="C2559" s="304"/>
      <c r="D2559" s="685"/>
      <c r="E2559" s="306"/>
      <c r="F2559" s="307"/>
      <c r="G2559" s="297"/>
      <c r="H2559" s="308"/>
      <c r="I2559" s="661"/>
      <c r="J2559" s="197"/>
      <c r="K2559" s="232"/>
      <c r="L2559" s="234"/>
      <c r="M2559" s="197"/>
      <c r="N2559" s="197"/>
      <c r="O2559" s="197"/>
      <c r="P2559" s="197"/>
      <c r="Q2559" s="234"/>
      <c r="R2559" s="197"/>
      <c r="S2559" s="197"/>
      <c r="T2559" s="197"/>
      <c r="U2559" s="197"/>
    </row>
    <row r="2560" spans="1:21">
      <c r="B2560" s="299"/>
      <c r="C2560" s="304"/>
      <c r="D2560" s="685"/>
      <c r="E2560" s="306"/>
      <c r="F2560" s="307"/>
      <c r="G2560" s="297"/>
      <c r="H2560" s="308"/>
      <c r="I2560" s="661"/>
      <c r="L2560" s="251"/>
      <c r="Q2560" s="251"/>
    </row>
    <row r="2561" spans="1:21" ht="1.35" customHeight="1">
      <c r="A2561" s="678" t="s">
        <v>1487</v>
      </c>
      <c r="B2561" s="299" t="s">
        <v>1487</v>
      </c>
      <c r="C2561" s="304" t="s">
        <v>1487</v>
      </c>
      <c r="D2561" s="685" t="s">
        <v>1487</v>
      </c>
      <c r="E2561" s="306" t="s">
        <v>1487</v>
      </c>
      <c r="F2561" s="307" t="s">
        <v>1487</v>
      </c>
      <c r="G2561" s="297" t="s">
        <v>1487</v>
      </c>
      <c r="H2561" s="308" t="s">
        <v>1487</v>
      </c>
      <c r="I2561" s="665" t="s">
        <v>1487</v>
      </c>
      <c r="J2561" s="226" t="s">
        <v>1487</v>
      </c>
      <c r="K2561" s="226" t="s">
        <v>1487</v>
      </c>
      <c r="L2561" s="175" t="s">
        <v>1487</v>
      </c>
      <c r="M2561" s="226" t="s">
        <v>1487</v>
      </c>
      <c r="N2561" s="226" t="s">
        <v>1487</v>
      </c>
      <c r="O2561" s="226" t="s">
        <v>1487</v>
      </c>
      <c r="P2561" s="226" t="s">
        <v>1487</v>
      </c>
      <c r="Q2561" s="175" t="s">
        <v>1487</v>
      </c>
      <c r="R2561" s="226" t="s">
        <v>1487</v>
      </c>
      <c r="S2561" s="226" t="s">
        <v>1487</v>
      </c>
      <c r="T2561" s="226" t="s">
        <v>1487</v>
      </c>
      <c r="U2561" s="226" t="s">
        <v>1487</v>
      </c>
    </row>
    <row r="2568" spans="1:21">
      <c r="N2568" s="249" t="s">
        <v>281</v>
      </c>
    </row>
  </sheetData>
  <sheetProtection selectLockedCells="1" selectUnlockedCells="1"/>
  <autoFilter ref="A5:U2558" xr:uid="{00000000-0009-0000-0000-000001000000}"/>
  <mergeCells count="5">
    <mergeCell ref="Q2:Q4"/>
    <mergeCell ref="G2:G4"/>
    <mergeCell ref="H2:H4"/>
    <mergeCell ref="I2:I4"/>
    <mergeCell ref="L2:L4"/>
  </mergeCells>
  <phoneticPr fontId="37" type="noConversion"/>
  <conditionalFormatting sqref="L441 J409 J421:J422 L409:L418 L425:L426 L421:L422 J441 J425:J426">
    <cfRule type="iconSet" priority="1570">
      <iconSet iconSet="3Symbols2" showValue="0">
        <cfvo type="percent" val="0"/>
        <cfvo type="num" val="0"/>
        <cfvo type="num" val="1"/>
      </iconSet>
    </cfRule>
  </conditionalFormatting>
  <conditionalFormatting sqref="J460 L460">
    <cfRule type="iconSet" priority="2471">
      <iconSet iconSet="3Symbols2" showValue="0">
        <cfvo type="percent" val="0"/>
        <cfvo type="num" val="0"/>
        <cfvo type="num" val="1"/>
      </iconSet>
    </cfRule>
  </conditionalFormatting>
  <conditionalFormatting sqref="J560 L560:L562 L570:L576 J572:J573 L579:L580 L582 J586 L584:L586">
    <cfRule type="iconSet" priority="1566">
      <iconSet iconSet="3Symbols2" showValue="0">
        <cfvo type="percent" val="0"/>
        <cfvo type="num" val="0"/>
        <cfvo type="num" val="1"/>
      </iconSet>
    </cfRule>
  </conditionalFormatting>
  <conditionalFormatting sqref="J737 L737:L763 L778:L780 L782:L793 L850:L852 L795:L809 L766:L776 L811:L837 L854:L856 L839:L843">
    <cfRule type="iconSet" priority="1560">
      <iconSet iconSet="3Symbols2" showValue="0">
        <cfvo type="percent" val="0"/>
        <cfvo type="num" val="0"/>
        <cfvo type="num" val="1"/>
      </iconSet>
    </cfRule>
  </conditionalFormatting>
  <conditionalFormatting sqref="K617:K621">
    <cfRule type="iconSet" priority="1006">
      <iconSet iconSet="3Symbols2" showValue="0">
        <cfvo type="percent" val="0"/>
        <cfvo type="num" val="0"/>
        <cfvo type="num" val="1"/>
      </iconSet>
    </cfRule>
  </conditionalFormatting>
  <conditionalFormatting sqref="L151:L153">
    <cfRule type="iconSet" priority="874">
      <iconSet iconSet="3Symbols2" showValue="0">
        <cfvo type="percent" val="0"/>
        <cfvo type="num" val="0"/>
        <cfvo type="num" val="1"/>
      </iconSet>
    </cfRule>
  </conditionalFormatting>
  <conditionalFormatting sqref="L462">
    <cfRule type="iconSet" priority="868">
      <iconSet iconSet="3Symbols2" showValue="0">
        <cfvo type="percent" val="0"/>
        <cfvo type="num" val="0"/>
        <cfvo type="num" val="1"/>
      </iconSet>
    </cfRule>
  </conditionalFormatting>
  <conditionalFormatting sqref="J152:J153">
    <cfRule type="iconSet" priority="726">
      <iconSet iconSet="3Symbols2" showValue="0">
        <cfvo type="percent" val="0"/>
        <cfvo type="num" val="0"/>
        <cfvo type="num" val="1"/>
      </iconSet>
    </cfRule>
  </conditionalFormatting>
  <conditionalFormatting sqref="N21">
    <cfRule type="iconSet" priority="716">
      <iconSet iconSet="3Symbols2" showValue="0">
        <cfvo type="percent" val="0"/>
        <cfvo type="num" val="0"/>
        <cfvo type="num" val="1"/>
      </iconSet>
    </cfRule>
  </conditionalFormatting>
  <conditionalFormatting sqref="N24:N25">
    <cfRule type="iconSet" priority="715">
      <iconSet iconSet="3Symbols2" showValue="0">
        <cfvo type="percent" val="0"/>
        <cfvo type="num" val="0"/>
        <cfvo type="num" val="1"/>
      </iconSet>
    </cfRule>
  </conditionalFormatting>
  <conditionalFormatting sqref="N32">
    <cfRule type="iconSet" priority="714">
      <iconSet iconSet="3Symbols2" showValue="0">
        <cfvo type="percent" val="0"/>
        <cfvo type="num" val="0"/>
        <cfvo type="num" val="1"/>
      </iconSet>
    </cfRule>
  </conditionalFormatting>
  <conditionalFormatting sqref="N33:N35">
    <cfRule type="iconSet" priority="713">
      <iconSet iconSet="3Symbols2" showValue="0">
        <cfvo type="percent" val="0"/>
        <cfvo type="num" val="0"/>
        <cfvo type="num" val="1"/>
      </iconSet>
    </cfRule>
  </conditionalFormatting>
  <conditionalFormatting sqref="M764:P765">
    <cfRule type="iconSet" priority="703">
      <iconSet iconSet="3Symbols2" showValue="0">
        <cfvo type="percent" val="0"/>
        <cfvo type="num" val="0"/>
        <cfvo type="num" val="1"/>
      </iconSet>
    </cfRule>
  </conditionalFormatting>
  <conditionalFormatting sqref="M777:P777">
    <cfRule type="iconSet" priority="702">
      <iconSet iconSet="3Symbols2" showValue="0">
        <cfvo type="percent" val="0"/>
        <cfvo type="num" val="0"/>
        <cfvo type="num" val="1"/>
      </iconSet>
    </cfRule>
  </conditionalFormatting>
  <conditionalFormatting sqref="M781:P781">
    <cfRule type="iconSet" priority="701">
      <iconSet iconSet="3Symbols2" showValue="0">
        <cfvo type="percent" val="0"/>
        <cfvo type="num" val="0"/>
        <cfvo type="num" val="1"/>
      </iconSet>
    </cfRule>
  </conditionalFormatting>
  <conditionalFormatting sqref="M794:P794">
    <cfRule type="iconSet" priority="700">
      <iconSet iconSet="3Symbols2" showValue="0">
        <cfvo type="percent" val="0"/>
        <cfvo type="num" val="0"/>
        <cfvo type="num" val="1"/>
      </iconSet>
    </cfRule>
  </conditionalFormatting>
  <conditionalFormatting sqref="M810:P810">
    <cfRule type="iconSet" priority="699">
      <iconSet iconSet="3Symbols2" showValue="0">
        <cfvo type="percent" val="0"/>
        <cfvo type="num" val="0"/>
        <cfvo type="num" val="1"/>
      </iconSet>
    </cfRule>
  </conditionalFormatting>
  <conditionalFormatting sqref="M838:P838">
    <cfRule type="iconSet" priority="697">
      <iconSet iconSet="3Symbols2" showValue="0">
        <cfvo type="percent" val="0"/>
        <cfvo type="num" val="0"/>
        <cfvo type="num" val="1"/>
      </iconSet>
    </cfRule>
  </conditionalFormatting>
  <conditionalFormatting sqref="M844:P847">
    <cfRule type="iconSet" priority="696">
      <iconSet iconSet="3Symbols2" showValue="0">
        <cfvo type="percent" val="0"/>
        <cfvo type="num" val="0"/>
        <cfvo type="num" val="1"/>
      </iconSet>
    </cfRule>
  </conditionalFormatting>
  <conditionalFormatting sqref="M853:P853">
    <cfRule type="iconSet" priority="695">
      <iconSet iconSet="3Symbols2" showValue="0">
        <cfvo type="percent" val="0"/>
        <cfvo type="num" val="0"/>
        <cfvo type="num" val="1"/>
      </iconSet>
    </cfRule>
  </conditionalFormatting>
  <conditionalFormatting sqref="N308">
    <cfRule type="iconSet" priority="690">
      <iconSet iconSet="3Symbols2" showValue="0">
        <cfvo type="percent" val="0"/>
        <cfvo type="num" val="0"/>
        <cfvo type="num" val="1"/>
      </iconSet>
    </cfRule>
  </conditionalFormatting>
  <conditionalFormatting sqref="N370:N371">
    <cfRule type="iconSet" priority="684">
      <iconSet iconSet="3Symbols2" showValue="0">
        <cfvo type="percent" val="0"/>
        <cfvo type="num" val="0"/>
        <cfvo type="num" val="1"/>
      </iconSet>
    </cfRule>
  </conditionalFormatting>
  <conditionalFormatting sqref="O419:O420">
    <cfRule type="iconSet" priority="682">
      <iconSet iconSet="3Symbols2" showValue="0">
        <cfvo type="percent" val="0"/>
        <cfvo type="num" val="0"/>
        <cfvo type="num" val="1"/>
      </iconSet>
    </cfRule>
  </conditionalFormatting>
  <conditionalFormatting sqref="N423:N424">
    <cfRule type="iconSet" priority="681">
      <iconSet iconSet="3Symbols2" showValue="0">
        <cfvo type="percent" val="0"/>
        <cfvo type="num" val="0"/>
        <cfvo type="num" val="1"/>
      </iconSet>
    </cfRule>
  </conditionalFormatting>
  <conditionalFormatting sqref="N561:N562">
    <cfRule type="iconSet" priority="670">
      <iconSet iconSet="3Symbols2" showValue="0">
        <cfvo type="percent" val="0"/>
        <cfvo type="num" val="0"/>
        <cfvo type="num" val="1"/>
      </iconSet>
    </cfRule>
  </conditionalFormatting>
  <conditionalFormatting sqref="N570:N571">
    <cfRule type="iconSet" priority="669">
      <iconSet iconSet="3Symbols2" showValue="0">
        <cfvo type="percent" val="0"/>
        <cfvo type="num" val="0"/>
        <cfvo type="num" val="1"/>
      </iconSet>
    </cfRule>
  </conditionalFormatting>
  <conditionalFormatting sqref="N583:N585">
    <cfRule type="iconSet" priority="667">
      <iconSet iconSet="3Symbols2" showValue="0">
        <cfvo type="percent" val="0"/>
        <cfvo type="num" val="0"/>
        <cfvo type="num" val="1"/>
      </iconSet>
    </cfRule>
  </conditionalFormatting>
  <conditionalFormatting sqref="N607:N613 N615:N621">
    <cfRule type="iconSet" priority="666">
      <iconSet iconSet="3Symbols2" showValue="0">
        <cfvo type="percent" val="0"/>
        <cfvo type="num" val="0"/>
        <cfvo type="num" val="1"/>
      </iconSet>
    </cfRule>
  </conditionalFormatting>
  <conditionalFormatting sqref="M629:P631">
    <cfRule type="iconSet" priority="665">
      <iconSet iconSet="3Symbols2" showValue="0">
        <cfvo type="percent" val="0"/>
        <cfvo type="num" val="0"/>
        <cfvo type="num" val="1"/>
      </iconSet>
    </cfRule>
  </conditionalFormatting>
  <conditionalFormatting sqref="J1216:J1218 L1216:L1218 L1225:L1226 L1230:L1231 L1234:L1235 L1240:L1241 L1244:L1245 L1249:L1250 L1254:L1255 L1260:L1261 L1267:L1268 L1271:L1272 L1277:L1278 L1281 L1284:L1285 L1289:L1290 L1293:L1294 L1301:L1303 L961 J1318:J1320 L1318:L1320 L1327:L1328 L1332:L1333 L1336:L1337 L1342:L1343 L1346:L1347 L1351:L1352 L1356:L1357 L1362:L1363 L1369:L1370 L1373:L1374 L1379:L1380 L1383 L1386:L1387 L1391:L1392 L1395:L1396 L1403:L1404 L1408:L1409 J1424:J1426 L1424:L1426 L1433:L1434 L1438:L1439 L1442:L1443 L1448:L1449 L1452:L1453 L1457:L1458 L1462:L1463 L1468:L1469 L1475:L1476 L1479:L1480 L1485:L1486 L1489 L1492:L1493 L1497:L1498 L1501:L1502 L1509:L1510 L1514:L1515 J1531:J1533 L1531:L1533 L1540:L1541 L1545:L1546 L1549:L1550 L1555:L1556 L1559:L1560 L1564:L1565 L1569:L1570 L1575:L1576 L1582:L1583 L1586:L1587 L1592:L1593 L1596 L1599:L1600 L1604:L1605 L1608:L1609 L1616:L1617 L1621:L1622 J1638:J1640 L1638:L1640 L1647:L1648 L1652:L1653 L1656:L1657 L1662:L1663 L1666:L1667 L1671:L1672 L1676:L1677 L1682:L1683 L1689:L1690 L1693:L1694 L1699:L1700 L1703 L1706:L1707 L1711:L1712 L1715:L1716 L1723:L1724 L1728:L1729 J1745:J1747 L1745:L1747 L1754:L1755 L1759:L1760 L1763:L1764 L1769:L1770 L1773:L1774 L1778:L1779 L1783:L1784 L1789:L1790 L1796:L1797 L1800:L1801 L1806:L1807 L1810 L1813:L1814 L1818:L1819 L1822:L1823 L1830:L1831 L1835:L1836 Q1216:Q1320 Q961:Q964 Q1327:Q1328 Q1332:Q1333 Q1336:Q1337 Q1342:Q1343 Q1346:Q1347 Q1351:Q1352 Q1356:Q1357 Q1362:Q1363 Q1369:Q1370 Q1373:Q1374 Q1379:Q1380 Q1383 Q1386:Q1387 Q1391:Q1392 Q1395:Q1396 Q1403:Q1404 Q1408:Q1409 Q1424:Q1851">
    <cfRule type="iconSet" priority="77215">
      <iconSet iconSet="3Symbols2" showValue="0">
        <cfvo type="percent" val="0"/>
        <cfvo type="num" val="0"/>
        <cfvo type="num" val="1"/>
      </iconSet>
    </cfRule>
  </conditionalFormatting>
  <conditionalFormatting sqref="N2250:N2251">
    <cfRule type="iconSet" priority="651">
      <iconSet iconSet="3Symbols2" showValue="0">
        <cfvo type="percent" val="0"/>
        <cfvo type="num" val="0"/>
        <cfvo type="num" val="1"/>
      </iconSet>
    </cfRule>
  </conditionalFormatting>
  <conditionalFormatting sqref="N2285:N2287">
    <cfRule type="iconSet" priority="649">
      <iconSet iconSet="3Symbols2" showValue="0">
        <cfvo type="percent" val="0"/>
        <cfvo type="num" val="0"/>
        <cfvo type="num" val="1"/>
      </iconSet>
    </cfRule>
  </conditionalFormatting>
  <conditionalFormatting sqref="N2313:N2502">
    <cfRule type="iconSet" priority="647">
      <iconSet iconSet="3Symbols2" showValue="0">
        <cfvo type="percent" val="0"/>
        <cfvo type="num" val="0"/>
        <cfvo type="num" val="1"/>
      </iconSet>
    </cfRule>
  </conditionalFormatting>
  <conditionalFormatting sqref="J1307">
    <cfRule type="expression" dxfId="151" priority="643">
      <formula>OR(CELL(“col”)=COLUMN(),CELL(“row”)=ROW())</formula>
    </cfRule>
  </conditionalFormatting>
  <conditionalFormatting sqref="M157:P157">
    <cfRule type="iconSet" priority="621">
      <iconSet iconSet="3Symbols2" showValue="0">
        <cfvo type="percent" val="0"/>
        <cfvo type="num" val="0"/>
        <cfvo type="num" val="1"/>
      </iconSet>
    </cfRule>
  </conditionalFormatting>
  <conditionalFormatting sqref="N157">
    <cfRule type="iconSet" priority="620">
      <iconSet iconSet="3Symbols2" showValue="0">
        <cfvo type="percent" val="0"/>
        <cfvo type="num" val="0"/>
        <cfvo type="num" val="1"/>
      </iconSet>
    </cfRule>
  </conditionalFormatting>
  <conditionalFormatting sqref="L157">
    <cfRule type="iconSet" priority="619">
      <iconSet iconSet="3Symbols2" showValue="0">
        <cfvo type="percent" val="0"/>
        <cfvo type="num" val="0"/>
        <cfvo type="num" val="1"/>
      </iconSet>
    </cfRule>
  </conditionalFormatting>
  <conditionalFormatting sqref="Q968:Q1080 Q861:Q866 Q587:Q593 Q442:Q459 Q461 Q632 Q539 Q8:Q18 Q58:Q85 Q279:Q301 Q384:Q408 Q541:Q559 Q736 Q868:Q940 Q158:Q165 Q88:Q156 Q250:Q268 Q21:Q23 Q463 Q41:Q56 Q1105:Q1119 Q167:Q207 Q209:Q236 Q317:Q327 Q343:Q346 Q701:Q703 Q634:Q639 Q26:Q28 Q30:Q32 Q35:Q37 Q272:Q277 Q372:Q382 Q733:Q734 Q711:Q712 Q715:Q716 Q719:Q720 Q681:Q682 Q691:Q692 Q662:Q663 Q730:Q731 Q651:Q652 Q671:Q677 Q354:Q369 Q305:Q315">
    <cfRule type="iconSet" priority="618">
      <iconSet iconSet="3Symbols2" showValue="0">
        <cfvo type="percent" val="0"/>
        <cfvo type="num" val="0"/>
        <cfvo type="num" val="1"/>
      </iconSet>
    </cfRule>
  </conditionalFormatting>
  <conditionalFormatting sqref="Q86:Q87">
    <cfRule type="iconSet" priority="610">
      <iconSet iconSet="3Symbols2" showValue="0">
        <cfvo type="percent" val="0"/>
        <cfvo type="num" val="0"/>
        <cfvo type="num" val="1"/>
      </iconSet>
    </cfRule>
  </conditionalFormatting>
  <conditionalFormatting sqref="R968:R1080 R868:R940 R736:R763 R541:R560 R384:R418 R8:U9 R10:R18 R58:R165 R279:R301 R465:R482 R21:R23 R463 R498:R501 R563:R569 R572:R582 R41:R56 R1105:R1119 R584:R603 R622:R629 R632 R615:R616 R246:R247 R250:R268 R491 R493:R494 R503:R504 R532:R533 R167:R207 R209:R244 R317:R327 R511:R528 R343:R346 R676:R677 R701:R703 R634:R639 R26:R28 R30:R32 R35:R37 R421:R422 R441:R461 R766:R776 R778:R780 R782:R793 R795:R843 R848:R866 R535:R539 R272:R277 R733:R734 R711:R712 R715:R716 R719:R720 R681:R682 R691:R692 R662:R663 R671 R730:R731 R651:R652 R424:R438 R348:R382 R305:R315 R942:R943 R945:R946 R949:R952 R956:R957 R960 R965:R966">
    <cfRule type="iconSet" priority="606">
      <iconSet iconSet="3Symbols2" showValue="0">
        <cfvo type="percent" val="0"/>
        <cfvo type="num" val="0"/>
        <cfvo type="num" val="1"/>
      </iconSet>
    </cfRule>
  </conditionalFormatting>
  <conditionalFormatting sqref="S968:S1119 S868:S940 S736:S866 S541:S560 S384:S418 S10:S56 S158:S165 S58:S156 S248:S251 S463 S563:S569 S572:S606 S614:S632 S465:S483 S491:S494 S498:S504 S381:S382 S253:S268 S167:S207 S209:S236 S279:S301 S343:S346 S733:S734 S699:S731 S421:S422 S441:S461 S509:S539 S272:S277 S424:S438 S348:S379 S305:S327 S634:S695 S942:S943 R944 S945:S946 S949:S952 S956:S957 S960 S965:S966">
    <cfRule type="iconSet" priority="605">
      <iconSet iconSet="3Symbols2" showValue="0">
        <cfvo type="percent" val="0"/>
        <cfvo type="num" val="0"/>
        <cfvo type="num" val="1"/>
      </iconSet>
    </cfRule>
  </conditionalFormatting>
  <conditionalFormatting sqref="T968:T1119 T868:T940 T736:T866 T10:T56 T58:T165 T465:T484 T463 T541:T632 T486:T497 T499:T507 T167:T277 T509:T539 T372:T382 T384:T461 T279:T332 T634:T734 T942:T943 S944 T945:T960 T965:T966 T338:T369">
    <cfRule type="iconSet" priority="604">
      <iconSet iconSet="3Symbols2" showValue="0">
        <cfvo type="percent" val="0"/>
        <cfvo type="num" val="0"/>
        <cfvo type="num" val="1"/>
      </iconSet>
    </cfRule>
  </conditionalFormatting>
  <conditionalFormatting sqref="U968:U1119 U868:U940 U736:U866 U10:U56 U58:U165 U541:U632 U167:U277 U465:U539 U384:U463 U279:U382 U634:U734 U942:U943 T944 U945:U960 U965:U966">
    <cfRule type="iconSet" priority="603">
      <iconSet iconSet="3Symbols2" showValue="0">
        <cfvo type="percent" val="0"/>
        <cfvo type="num" val="0"/>
        <cfvo type="num" val="1"/>
      </iconSet>
    </cfRule>
  </conditionalFormatting>
  <conditionalFormatting sqref="S157">
    <cfRule type="iconSet" priority="602">
      <iconSet iconSet="3Symbols2" showValue="0">
        <cfvo type="percent" val="0"/>
        <cfvo type="num" val="0"/>
        <cfvo type="num" val="1"/>
      </iconSet>
    </cfRule>
  </conditionalFormatting>
  <conditionalFormatting sqref="Q157">
    <cfRule type="iconSet" priority="601">
      <iconSet iconSet="3Symbols2" showValue="0">
        <cfvo type="percent" val="0"/>
        <cfvo type="num" val="0"/>
        <cfvo type="num" val="1"/>
      </iconSet>
    </cfRule>
  </conditionalFormatting>
  <conditionalFormatting sqref="R497">
    <cfRule type="iconSet" priority="600">
      <iconSet iconSet="3Symbols2" showValue="0">
        <cfvo type="percent" val="0"/>
        <cfvo type="num" val="0"/>
        <cfvo type="num" val="1"/>
      </iconSet>
    </cfRule>
  </conditionalFormatting>
  <conditionalFormatting sqref="Q497:Q498">
    <cfRule type="iconSet" priority="599">
      <iconSet iconSet="3Symbols2" showValue="0">
        <cfvo type="percent" val="0"/>
        <cfvo type="num" val="0"/>
        <cfvo type="num" val="1"/>
      </iconSet>
    </cfRule>
  </conditionalFormatting>
  <conditionalFormatting sqref="S497">
    <cfRule type="iconSet" priority="598">
      <iconSet iconSet="3Symbols2" showValue="0">
        <cfvo type="percent" val="0"/>
        <cfvo type="num" val="0"/>
        <cfvo type="num" val="1"/>
      </iconSet>
    </cfRule>
  </conditionalFormatting>
  <conditionalFormatting sqref="T498">
    <cfRule type="iconSet" priority="593">
      <iconSet iconSet="3Symbols2" showValue="0">
        <cfvo type="percent" val="0"/>
        <cfvo type="num" val="0"/>
        <cfvo type="num" val="1"/>
      </iconSet>
    </cfRule>
  </conditionalFormatting>
  <conditionalFormatting sqref="T485">
    <cfRule type="iconSet" priority="591">
      <iconSet iconSet="3Symbols2" showValue="0">
        <cfvo type="percent" val="0"/>
        <cfvo type="num" val="0"/>
        <cfvo type="num" val="1"/>
      </iconSet>
    </cfRule>
  </conditionalFormatting>
  <conditionalFormatting sqref="S2184">
    <cfRule type="iconSet" priority="590">
      <iconSet iconSet="3Symbols2" showValue="0">
        <cfvo type="percent" val="0"/>
        <cfvo type="num" val="0"/>
        <cfvo type="num" val="1"/>
      </iconSet>
    </cfRule>
  </conditionalFormatting>
  <conditionalFormatting sqref="S2185">
    <cfRule type="iconSet" priority="589">
      <iconSet iconSet="3Symbols2" showValue="0">
        <cfvo type="percent" val="0"/>
        <cfvo type="num" val="0"/>
        <cfvo type="num" val="1"/>
      </iconSet>
    </cfRule>
  </conditionalFormatting>
  <conditionalFormatting sqref="Q237:Q244 Q246:Q247">
    <cfRule type="iconSet" priority="587">
      <iconSet iconSet="3Symbols2" showValue="0">
        <cfvo type="percent" val="0"/>
        <cfvo type="num" val="0"/>
        <cfvo type="num" val="1"/>
      </iconSet>
    </cfRule>
  </conditionalFormatting>
  <conditionalFormatting sqref="S237:S247">
    <cfRule type="iconSet" priority="586">
      <iconSet iconSet="3Symbols2" showValue="0">
        <cfvo type="percent" val="0"/>
        <cfvo type="num" val="0"/>
        <cfvo type="num" val="1"/>
      </iconSet>
    </cfRule>
  </conditionalFormatting>
  <conditionalFormatting sqref="Q19:Q20">
    <cfRule type="iconSet" priority="585">
      <iconSet iconSet="3Symbols2" showValue="0">
        <cfvo type="percent" val="0"/>
        <cfvo type="num" val="0"/>
        <cfvo type="num" val="1"/>
      </iconSet>
    </cfRule>
  </conditionalFormatting>
  <conditionalFormatting sqref="R19:R20">
    <cfRule type="iconSet" priority="584">
      <iconSet iconSet="3Symbols2" showValue="0">
        <cfvo type="percent" val="0"/>
        <cfvo type="num" val="0"/>
        <cfvo type="num" val="1"/>
      </iconSet>
    </cfRule>
  </conditionalFormatting>
  <conditionalFormatting sqref="Q460">
    <cfRule type="iconSet" priority="86877">
      <iconSet iconSet="3Symbols2" showValue="0">
        <cfvo type="percent" val="0"/>
        <cfvo type="num" val="0"/>
        <cfvo type="num" val="1"/>
      </iconSet>
    </cfRule>
  </conditionalFormatting>
  <conditionalFormatting sqref="R462">
    <cfRule type="iconSet" priority="583">
      <iconSet iconSet="3Symbols2" showValue="0">
        <cfvo type="percent" val="0"/>
        <cfvo type="num" val="0"/>
        <cfvo type="num" val="1"/>
      </iconSet>
    </cfRule>
  </conditionalFormatting>
  <conditionalFormatting sqref="Q462">
    <cfRule type="iconSet" priority="582">
      <iconSet iconSet="3Symbols2" showValue="0">
        <cfvo type="percent" val="0"/>
        <cfvo type="num" val="0"/>
        <cfvo type="num" val="1"/>
      </iconSet>
    </cfRule>
  </conditionalFormatting>
  <conditionalFormatting sqref="T462">
    <cfRule type="iconSet" priority="581">
      <iconSet iconSet="3Symbols2" showValue="0">
        <cfvo type="percent" val="0"/>
        <cfvo type="num" val="0"/>
        <cfvo type="num" val="1"/>
      </iconSet>
    </cfRule>
  </conditionalFormatting>
  <conditionalFormatting sqref="R561:R562">
    <cfRule type="iconSet" priority="575">
      <iconSet iconSet="3Symbols2" showValue="0">
        <cfvo type="percent" val="0"/>
        <cfvo type="num" val="0"/>
        <cfvo type="num" val="1"/>
      </iconSet>
    </cfRule>
  </conditionalFormatting>
  <conditionalFormatting sqref="Q561:Q562">
    <cfRule type="iconSet" priority="574">
      <iconSet iconSet="3Symbols2" showValue="0">
        <cfvo type="percent" val="0"/>
        <cfvo type="num" val="0"/>
        <cfvo type="num" val="1"/>
      </iconSet>
    </cfRule>
  </conditionalFormatting>
  <conditionalFormatting sqref="S561:S562">
    <cfRule type="iconSet" priority="573">
      <iconSet iconSet="3Symbols2" showValue="0">
        <cfvo type="percent" val="0"/>
        <cfvo type="num" val="0"/>
        <cfvo type="num" val="1"/>
      </iconSet>
    </cfRule>
  </conditionalFormatting>
  <conditionalFormatting sqref="R570:R571">
    <cfRule type="iconSet" priority="572">
      <iconSet iconSet="3Symbols2" showValue="0">
        <cfvo type="percent" val="0"/>
        <cfvo type="num" val="0"/>
        <cfvo type="num" val="1"/>
      </iconSet>
    </cfRule>
  </conditionalFormatting>
  <conditionalFormatting sqref="Q570:Q571">
    <cfRule type="iconSet" priority="571">
      <iconSet iconSet="3Symbols2" showValue="0">
        <cfvo type="percent" val="0"/>
        <cfvo type="num" val="0"/>
        <cfvo type="num" val="1"/>
      </iconSet>
    </cfRule>
  </conditionalFormatting>
  <conditionalFormatting sqref="S570:S571">
    <cfRule type="iconSet" priority="570">
      <iconSet iconSet="3Symbols2" showValue="0">
        <cfvo type="percent" val="0"/>
        <cfvo type="num" val="0"/>
        <cfvo type="num" val="1"/>
      </iconSet>
    </cfRule>
  </conditionalFormatting>
  <conditionalFormatting sqref="Q560 Q563:Q569 Q572:Q582 Q584:Q586">
    <cfRule type="iconSet" priority="89003">
      <iconSet iconSet="3Symbols2" showValue="0">
        <cfvo type="percent" val="0"/>
        <cfvo type="num" val="0"/>
        <cfvo type="num" val="1"/>
      </iconSet>
    </cfRule>
  </conditionalFormatting>
  <conditionalFormatting sqref="R607:R613">
    <cfRule type="iconSet" priority="568">
      <iconSet iconSet="3Symbols2" showValue="0">
        <cfvo type="percent" val="0"/>
        <cfvo type="num" val="0"/>
        <cfvo type="num" val="1"/>
      </iconSet>
    </cfRule>
  </conditionalFormatting>
  <conditionalFormatting sqref="Q607:Q613">
    <cfRule type="iconSet" priority="567">
      <iconSet iconSet="3Symbols2" showValue="0">
        <cfvo type="percent" val="0"/>
        <cfvo type="num" val="0"/>
        <cfvo type="num" val="1"/>
      </iconSet>
    </cfRule>
  </conditionalFormatting>
  <conditionalFormatting sqref="S607:S613">
    <cfRule type="iconSet" priority="566">
      <iconSet iconSet="3Symbols2" showValue="0">
        <cfvo type="percent" val="0"/>
        <cfvo type="num" val="0"/>
        <cfvo type="num" val="1"/>
      </iconSet>
    </cfRule>
  </conditionalFormatting>
  <conditionalFormatting sqref="J622:J623 J594 J602:J603 J627:J628 L622:L628 L594:L613 J615:J616 L615:L616">
    <cfRule type="iconSet" priority="89492">
      <iconSet iconSet="3Symbols2" showValue="0">
        <cfvo type="percent" val="0"/>
        <cfvo type="num" val="0"/>
        <cfvo type="num" val="1"/>
      </iconSet>
    </cfRule>
  </conditionalFormatting>
  <conditionalFormatting sqref="Q615:Q616 Q594:Q603 Q622:Q629">
    <cfRule type="iconSet" priority="89497">
      <iconSet iconSet="3Symbols2" showValue="0">
        <cfvo type="percent" val="0"/>
        <cfvo type="num" val="0"/>
        <cfvo type="num" val="1"/>
      </iconSet>
    </cfRule>
  </conditionalFormatting>
  <conditionalFormatting sqref="L1304:L1317 L962:L964 L1295:L1300 L1291:L1292 L1286:L1288 L1282:L1283 L1279:L1280 L1273:L1276 L1269:L1270 L1262:L1266 L1256:L1259 L1251:L1253 L1246:L1248 L1242:L1243 L1236:L1239 L1232:L1233 L1227:L1229 L1219:L1224 L439:L440 L419:L420 L316 L302:L304 L1410:L1423 L1405:L1407 L1397:L1402 L1393:L1394 L1388:L1390 L1384:L1385 L1381:L1382 L1375:L1378 L1371:L1372 L1364:L1368 L1358:L1361 L1353:L1355 L1348:L1350 L1344:L1345 L1338:L1341 L1334:L1335 L1329:L1331 L1321:L1326 L1516:L1530 L1511:L1513 L1503:L1508 L1499:L1500 L1494:L1496 L1490:L1491 L1487:L1488 L1481:L1484 L1477:L1478 L1470:L1474 L1464:L1467 L1459:L1461 L1454:L1456 L1450:L1451 L1444:L1447 L1440:L1441 L1435:L1437 L1427:L1432 L1623:L1637 L1618:L1620 L1610:L1615 L1606:L1607 L1601:L1603 L1597:L1598 L1594:L1595 L1588:L1591 L1584:L1585 L1577:L1581 L1571:L1574 L1566:L1568 L1561:L1563 L1557:L1558 L1551:L1554 L1547:L1548 L1542:L1544 L1534:L1539 L1730:L1744 L1725:L1727 L1717:L1722 L1713:L1714 L1708:L1710 L1704:L1705 L1701:L1702 L1695:L1698 L1691:L1692 L1684:L1688 L1678:L1681 L1673:L1675 L1668:L1670 L1664:L1665 L1658:L1661 L1654:L1655 L1649:L1651 L1641:L1646 L1837:L1851 L1832:L1834 L1824:L1829 L1820:L1821 L1815:L1817 L1811:L1812 L1808:L1809 L1802:L1805 L1798:L1799 L1791:L1795 L1785:L1788 L1780:L1782 L1775:L1777 L1771:L1772 L1765:L1768 L1761:L1762 L1756:L1758 L1748:L1753 L328:L332 L338:L342">
    <cfRule type="iconSet" priority="512">
      <iconSet iconSet="3Symbols2" showValue="0">
        <cfvo type="percent" val="0"/>
        <cfvo type="num" val="0"/>
        <cfvo type="num" val="1"/>
      </iconSet>
    </cfRule>
  </conditionalFormatting>
  <conditionalFormatting sqref="L1304:L1317 L962:L964 L1295:L1300 L1291:L1292 L1286:L1288 L1282:L1283 L1279:L1280 L1273:L1276 L1269:L1270 L1262:L1266 L1256:L1259 L1251:L1253 L1246:L1248 L1242:L1243 L1236:L1239 L1232:L1233 L1227:L1229 L1219:L1224 L439:L440 L419:L420 L1410:L1423 L1405:L1407 L1397:L1402 L1393:L1394 L1388:L1390 L1384:L1385 L1381:L1382 L1375:L1378 L1371:L1372 L1364:L1368 L1358:L1361 L1353:L1355 L1348:L1350 L1344:L1345 L1338:L1341 L1334:L1335 L1329:L1331 L1321:L1326 L1516:L1530 L1511:L1513 L1503:L1508 L1499:L1500 L1494:L1496 L1490:L1491 L1487:L1488 L1481:L1484 L1477:L1478 L1470:L1474 L1464:L1467 L1459:L1461 L1454:L1456 L1450:L1451 L1444:L1447 L1440:L1441 L1435:L1437 L1427:L1432 L1623:L1637 L1618:L1620 L1610:L1615 L1606:L1607 L1601:L1603 L1597:L1598 L1594:L1595 L1588:L1591 L1584:L1585 L1577:L1581 L1571:L1574 L1566:L1568 L1561:L1563 L1557:L1558 L1551:L1554 L1547:L1548 L1542:L1544 L1534:L1539 L1730:L1744 L1725:L1727 L1717:L1722 L1713:L1714 L1708:L1710 L1704:L1705 L1701:L1702 L1695:L1698 L1691:L1692 L1684:L1688 L1678:L1681 L1673:L1675 L1668:L1670 L1664:L1665 L1658:L1661 L1654:L1655 L1649:L1651 L1641:L1646 L1837:L1851 L1832:L1834 L1824:L1829 L1820:L1821 L1815:L1817 L1811:L1812 L1808:L1809 L1802:L1805 L1798:L1799 L1791:L1795 L1785:L1788 L1780:L1782 L1775:L1777 L1771:L1772 L1765:L1768 L1761:L1762 L1756:L1758 L1748:L1753">
    <cfRule type="iconSet" priority="511">
      <iconSet iconSet="3Symbols2" showValue="0">
        <cfvo type="percent" val="0"/>
        <cfvo type="num" val="0"/>
        <cfvo type="num" val="1"/>
      </iconSet>
    </cfRule>
  </conditionalFormatting>
  <conditionalFormatting sqref="M604:M606">
    <cfRule type="iconSet" priority="510">
      <iconSet iconSet="3Symbols2" showValue="0">
        <cfvo type="percent" val="0"/>
        <cfvo type="num" val="0"/>
        <cfvo type="num" val="1"/>
      </iconSet>
    </cfRule>
  </conditionalFormatting>
  <conditionalFormatting sqref="Q38:R40">
    <cfRule type="iconSet" priority="508">
      <iconSet iconSet="3Symbols2" showValue="0">
        <cfvo type="percent" val="0"/>
        <cfvo type="num" val="0"/>
        <cfvo type="num" val="1"/>
      </iconSet>
    </cfRule>
  </conditionalFormatting>
  <conditionalFormatting sqref="Q1081:R1104">
    <cfRule type="iconSet" priority="507">
      <iconSet iconSet="3Symbols2" showValue="0">
        <cfvo type="percent" val="0"/>
        <cfvo type="num" val="0"/>
        <cfvo type="num" val="1"/>
      </iconSet>
    </cfRule>
  </conditionalFormatting>
  <conditionalFormatting sqref="R502">
    <cfRule type="iconSet" priority="506">
      <iconSet iconSet="3Symbols2" showValue="0">
        <cfvo type="percent" val="0"/>
        <cfvo type="num" val="0"/>
        <cfvo type="num" val="1"/>
      </iconSet>
    </cfRule>
  </conditionalFormatting>
  <conditionalFormatting sqref="Q502">
    <cfRule type="iconSet" priority="505">
      <iconSet iconSet="3Symbols2" showValue="0">
        <cfvo type="percent" val="0"/>
        <cfvo type="num" val="0"/>
        <cfvo type="num" val="1"/>
      </iconSet>
    </cfRule>
  </conditionalFormatting>
  <conditionalFormatting sqref="R483">
    <cfRule type="iconSet" priority="504">
      <iconSet iconSet="3Symbols2" showValue="0">
        <cfvo type="percent" val="0"/>
        <cfvo type="num" val="0"/>
        <cfvo type="num" val="1"/>
      </iconSet>
    </cfRule>
  </conditionalFormatting>
  <conditionalFormatting sqref="Q483">
    <cfRule type="iconSet" priority="503">
      <iconSet iconSet="3Symbols2" showValue="0">
        <cfvo type="percent" val="0"/>
        <cfvo type="num" val="0"/>
        <cfvo type="num" val="1"/>
      </iconSet>
    </cfRule>
  </conditionalFormatting>
  <conditionalFormatting sqref="J624:J626 J607:J613 J595:J601 J584:J585 J574:J582 J561:J571 J518:J519 J513:J515 J497:J501 J471:J480 J467:J468 J410:J418 J427:J438">
    <cfRule type="iconSet" priority="502">
      <iconSet iconSet="3Symbols2" showValue="0">
        <cfvo type="percent" val="0"/>
        <cfvo type="num" val="0"/>
        <cfvo type="num" val="1"/>
      </iconSet>
    </cfRule>
  </conditionalFormatting>
  <conditionalFormatting sqref="M316">
    <cfRule type="iconSet" priority="501">
      <iconSet iconSet="3Symbols2" showValue="0">
        <cfvo type="percent" val="0"/>
        <cfvo type="num" val="0"/>
        <cfvo type="num" val="1"/>
      </iconSet>
    </cfRule>
  </conditionalFormatting>
  <conditionalFormatting sqref="Q316:R316">
    <cfRule type="iconSet" priority="500">
      <iconSet iconSet="3Symbols2" showValue="0">
        <cfvo type="percent" val="0"/>
        <cfvo type="num" val="0"/>
        <cfvo type="num" val="1"/>
      </iconSet>
    </cfRule>
  </conditionalFormatting>
  <conditionalFormatting sqref="Q316">
    <cfRule type="iconSet" priority="499">
      <iconSet iconSet="3Symbols2" showValue="0">
        <cfvo type="percent" val="0"/>
        <cfvo type="num" val="0"/>
        <cfvo type="num" val="1"/>
      </iconSet>
    </cfRule>
  </conditionalFormatting>
  <conditionalFormatting sqref="R316">
    <cfRule type="iconSet" priority="498">
      <iconSet iconSet="3Symbols2" showValue="0">
        <cfvo type="percent" val="0"/>
        <cfvo type="num" val="0"/>
        <cfvo type="num" val="1"/>
      </iconSet>
    </cfRule>
  </conditionalFormatting>
  <conditionalFormatting sqref="L525:L526 J464:J466 J493:J494 L465:L482 L485 L493:L494 L497:L501 L535:L536 J469:J470 J481:J482 J491 J516:J517 J520:J521 L511:L521 J503:J504 L503:L504 J511:J512 J525:J526 J535:J538">
    <cfRule type="iconSet" priority="94898">
      <iconSet iconSet="3Symbols2" showValue="0">
        <cfvo type="percent" val="0"/>
        <cfvo type="num" val="0"/>
        <cfvo type="num" val="1"/>
      </iconSet>
    </cfRule>
  </conditionalFormatting>
  <conditionalFormatting sqref="N520:N526 N529:N533 N535:N538">
    <cfRule type="iconSet" priority="94914">
      <iconSet iconSet="3Symbols2" showValue="0">
        <cfvo type="percent" val="0"/>
        <cfvo type="num" val="0"/>
        <cfvo type="num" val="1"/>
      </iconSet>
    </cfRule>
  </conditionalFormatting>
  <conditionalFormatting sqref="R583">
    <cfRule type="iconSet" priority="497">
      <iconSet iconSet="3Symbols2" showValue="0">
        <cfvo type="percent" val="0"/>
        <cfvo type="num" val="0"/>
        <cfvo type="num" val="1"/>
      </iconSet>
    </cfRule>
  </conditionalFormatting>
  <conditionalFormatting sqref="Q583">
    <cfRule type="iconSet" priority="496">
      <iconSet iconSet="3Symbols2" showValue="0">
        <cfvo type="percent" val="0"/>
        <cfvo type="num" val="0"/>
        <cfvo type="num" val="1"/>
      </iconSet>
    </cfRule>
  </conditionalFormatting>
  <conditionalFormatting sqref="R617:R621">
    <cfRule type="iconSet" priority="495">
      <iconSet iconSet="3Symbols2" showValue="0">
        <cfvo type="percent" val="0"/>
        <cfvo type="num" val="0"/>
        <cfvo type="num" val="1"/>
      </iconSet>
    </cfRule>
  </conditionalFormatting>
  <conditionalFormatting sqref="Q617:Q621">
    <cfRule type="iconSet" priority="494">
      <iconSet iconSet="3Symbols2" showValue="0">
        <cfvo type="percent" val="0"/>
        <cfvo type="num" val="0"/>
        <cfvo type="num" val="1"/>
      </iconSet>
    </cfRule>
  </conditionalFormatting>
  <conditionalFormatting sqref="R631">
    <cfRule type="iconSet" priority="493">
      <iconSet iconSet="3Symbols2" showValue="0">
        <cfvo type="percent" val="0"/>
        <cfvo type="num" val="0"/>
        <cfvo type="num" val="1"/>
      </iconSet>
    </cfRule>
  </conditionalFormatting>
  <conditionalFormatting sqref="Q631">
    <cfRule type="iconSet" priority="492">
      <iconSet iconSet="3Symbols2" showValue="0">
        <cfvo type="percent" val="0"/>
        <cfvo type="num" val="0"/>
        <cfvo type="num" val="1"/>
      </iconSet>
    </cfRule>
  </conditionalFormatting>
  <conditionalFormatting sqref="J629">
    <cfRule type="iconSet" priority="491">
      <iconSet iconSet="3Symbols2" showValue="0">
        <cfvo type="percent" val="0"/>
        <cfvo type="num" val="0"/>
        <cfvo type="num" val="1"/>
      </iconSet>
    </cfRule>
  </conditionalFormatting>
  <conditionalFormatting sqref="R630">
    <cfRule type="iconSet" priority="490">
      <iconSet iconSet="3Symbols2" showValue="0">
        <cfvo type="percent" val="0"/>
        <cfvo type="num" val="0"/>
        <cfvo type="num" val="1"/>
      </iconSet>
    </cfRule>
  </conditionalFormatting>
  <conditionalFormatting sqref="Q630">
    <cfRule type="iconSet" priority="489">
      <iconSet iconSet="3Symbols2" showValue="0">
        <cfvo type="percent" val="0"/>
        <cfvo type="num" val="0"/>
        <cfvo type="num" val="1"/>
      </iconSet>
    </cfRule>
  </conditionalFormatting>
  <conditionalFormatting sqref="N614">
    <cfRule type="iconSet" priority="487">
      <iconSet iconSet="3Symbols2" showValue="0">
        <cfvo type="percent" val="0"/>
        <cfvo type="num" val="0"/>
        <cfvo type="num" val="1"/>
      </iconSet>
    </cfRule>
  </conditionalFormatting>
  <conditionalFormatting sqref="Q604:Q606">
    <cfRule type="iconSet" priority="486">
      <iconSet iconSet="3Symbols2" showValue="0">
        <cfvo type="percent" val="0"/>
        <cfvo type="num" val="0"/>
        <cfvo type="num" val="1"/>
      </iconSet>
    </cfRule>
  </conditionalFormatting>
  <conditionalFormatting sqref="R604:R606">
    <cfRule type="iconSet" priority="485">
      <iconSet iconSet="3Symbols2" showValue="0">
        <cfvo type="percent" val="0"/>
        <cfvo type="num" val="0"/>
        <cfvo type="num" val="1"/>
      </iconSet>
    </cfRule>
  </conditionalFormatting>
  <conditionalFormatting sqref="Q245:R245">
    <cfRule type="iconSet" priority="484">
      <iconSet iconSet="3Symbols2" showValue="0">
        <cfvo type="percent" val="0"/>
        <cfvo type="num" val="0"/>
        <cfvo type="num" val="1"/>
      </iconSet>
    </cfRule>
  </conditionalFormatting>
  <conditionalFormatting sqref="Q248:R249">
    <cfRule type="iconSet" priority="483">
      <iconSet iconSet="3Symbols2" showValue="0">
        <cfvo type="percent" val="0"/>
        <cfvo type="num" val="0"/>
        <cfvo type="num" val="1"/>
      </iconSet>
    </cfRule>
  </conditionalFormatting>
  <conditionalFormatting sqref="J1413">
    <cfRule type="expression" dxfId="150" priority="482">
      <formula>OR(CELL(“col”)=COLUMN(),CELL(“row”)=ROW())</formula>
    </cfRule>
  </conditionalFormatting>
  <conditionalFormatting sqref="N1318:N1320">
    <cfRule type="iconSet" priority="481">
      <iconSet iconSet="3Symbols2" showValue="0">
        <cfvo type="percent" val="0"/>
        <cfvo type="num" val="0"/>
        <cfvo type="num" val="1"/>
      </iconSet>
    </cfRule>
  </conditionalFormatting>
  <conditionalFormatting sqref="O1318:O1320">
    <cfRule type="iconSet" priority="480">
      <iconSet iconSet="3Symbols2" showValue="0">
        <cfvo type="percent" val="0"/>
        <cfvo type="num" val="0"/>
        <cfvo type="num" val="1"/>
      </iconSet>
    </cfRule>
  </conditionalFormatting>
  <conditionalFormatting sqref="J1519">
    <cfRule type="expression" dxfId="149" priority="479">
      <formula>OR(CELL(“col”)=COLUMN(),CELL(“row”)=ROW())</formula>
    </cfRule>
  </conditionalFormatting>
  <conditionalFormatting sqref="N1424:N1426">
    <cfRule type="iconSet" priority="478">
      <iconSet iconSet="3Symbols2" showValue="0">
        <cfvo type="percent" val="0"/>
        <cfvo type="num" val="0"/>
        <cfvo type="num" val="1"/>
      </iconSet>
    </cfRule>
  </conditionalFormatting>
  <conditionalFormatting sqref="O1424:O1426">
    <cfRule type="iconSet" priority="477">
      <iconSet iconSet="3Symbols2" showValue="0">
        <cfvo type="percent" val="0"/>
        <cfvo type="num" val="0"/>
        <cfvo type="num" val="1"/>
      </iconSet>
    </cfRule>
  </conditionalFormatting>
  <conditionalFormatting sqref="R484:S484">
    <cfRule type="iconSet" priority="474">
      <iconSet iconSet="3Symbols2" showValue="0">
        <cfvo type="percent" val="0"/>
        <cfvo type="num" val="0"/>
        <cfvo type="num" val="1"/>
      </iconSet>
    </cfRule>
  </conditionalFormatting>
  <conditionalFormatting sqref="Q484">
    <cfRule type="iconSet" priority="473">
      <iconSet iconSet="3Symbols2" showValue="0">
        <cfvo type="percent" val="0"/>
        <cfvo type="num" val="0"/>
        <cfvo type="num" val="1"/>
      </iconSet>
    </cfRule>
  </conditionalFormatting>
  <conditionalFormatting sqref="S485">
    <cfRule type="iconSet" priority="472">
      <iconSet iconSet="3Symbols2" showValue="0">
        <cfvo type="percent" val="0"/>
        <cfvo type="num" val="0"/>
        <cfvo type="num" val="1"/>
      </iconSet>
    </cfRule>
  </conditionalFormatting>
  <conditionalFormatting sqref="Q485">
    <cfRule type="iconSet" priority="471">
      <iconSet iconSet="3Symbols2" showValue="0">
        <cfvo type="percent" val="0"/>
        <cfvo type="num" val="0"/>
        <cfvo type="num" val="1"/>
      </iconSet>
    </cfRule>
  </conditionalFormatting>
  <conditionalFormatting sqref="T508">
    <cfRule type="iconSet" priority="464">
      <iconSet iconSet="3Symbols2" showValue="0">
        <cfvo type="percent" val="0"/>
        <cfvo type="num" val="0"/>
        <cfvo type="num" val="1"/>
      </iconSet>
    </cfRule>
  </conditionalFormatting>
  <conditionalFormatting sqref="J510">
    <cfRule type="iconSet" priority="95583">
      <iconSet iconSet="3Symbols2" showValue="0">
        <cfvo type="percent" val="0"/>
        <cfvo type="num" val="0"/>
        <cfvo type="num" val="1"/>
      </iconSet>
    </cfRule>
  </conditionalFormatting>
  <conditionalFormatting sqref="L2557:L2558 L2553:L2554 L2550 L2547 L2543:L2544 L2539:L2540 L2534 L2531 L2528 L2522:L2525 L2519 L2516 L2513 L2510 L2507 L853 L844:L847 L838 L810 L794 L781 L777 L764:L765 L629:L631 L617:L621 L583 L537:L538 L522:L524 L502 L495:L496 L483:L484 L423:L424 L486:L492 L509:L510 L529:L533">
    <cfRule type="iconSet" priority="95801">
      <iconSet iconSet="3Symbols2" showValue="0">
        <cfvo type="percent" val="0"/>
        <cfvo type="num" val="0"/>
        <cfvo type="num" val="1"/>
      </iconSet>
    </cfRule>
  </conditionalFormatting>
  <conditionalFormatting sqref="R509:R510 R492">
    <cfRule type="iconSet" priority="96043">
      <iconSet iconSet="3Symbols2" showValue="0">
        <cfvo type="percent" val="0"/>
        <cfvo type="num" val="0"/>
        <cfvo type="num" val="1"/>
      </iconSet>
    </cfRule>
  </conditionalFormatting>
  <conditionalFormatting sqref="Q509:Q510 Q492">
    <cfRule type="iconSet" priority="96045">
      <iconSet iconSet="3Symbols2" showValue="0">
        <cfvo type="percent" val="0"/>
        <cfvo type="num" val="0"/>
        <cfvo type="num" val="1"/>
      </iconSet>
    </cfRule>
  </conditionalFormatting>
  <conditionalFormatting sqref="Q511:Q526 Q499:Q501 Q465:Q482 Q491 Q493:Q494 Q503:Q504 Q532:Q533 Q535:Q538">
    <cfRule type="iconSet" priority="96708">
      <iconSet iconSet="3Symbols2" showValue="0">
        <cfvo type="percent" val="0"/>
        <cfvo type="num" val="0"/>
        <cfvo type="num" val="1"/>
      </iconSet>
    </cfRule>
  </conditionalFormatting>
  <conditionalFormatting sqref="N483:N492">
    <cfRule type="iconSet" priority="96869">
      <iconSet iconSet="3Symbols2" showValue="0">
        <cfvo type="percent" val="0"/>
        <cfvo type="num" val="0"/>
        <cfvo type="num" val="1"/>
      </iconSet>
    </cfRule>
  </conditionalFormatting>
  <conditionalFormatting sqref="R529:R531">
    <cfRule type="iconSet" priority="459">
      <iconSet iconSet="3Symbols2" showValue="0">
        <cfvo type="percent" val="0"/>
        <cfvo type="num" val="0"/>
        <cfvo type="num" val="1"/>
      </iconSet>
    </cfRule>
  </conditionalFormatting>
  <conditionalFormatting sqref="Q529:Q531">
    <cfRule type="iconSet" priority="458">
      <iconSet iconSet="3Symbols2" showValue="0">
        <cfvo type="percent" val="0"/>
        <cfvo type="num" val="0"/>
        <cfvo type="num" val="1"/>
      </iconSet>
    </cfRule>
  </conditionalFormatting>
  <conditionalFormatting sqref="S252">
    <cfRule type="iconSet" priority="456">
      <iconSet iconSet="3Symbols2" showValue="0">
        <cfvo type="percent" val="0"/>
        <cfvo type="num" val="0"/>
        <cfvo type="num" val="1"/>
      </iconSet>
    </cfRule>
  </conditionalFormatting>
  <conditionalFormatting sqref="Q208 S208">
    <cfRule type="iconSet" priority="97012">
      <iconSet iconSet="3Symbols2" showValue="0">
        <cfvo type="percent" val="0"/>
        <cfvo type="num" val="0"/>
        <cfvo type="num" val="1"/>
      </iconSet>
    </cfRule>
  </conditionalFormatting>
  <conditionalFormatting sqref="Q330:S330 Q331:R331">
    <cfRule type="iconSet" priority="454">
      <iconSet iconSet="3Symbols2" showValue="0">
        <cfvo type="percent" val="0"/>
        <cfvo type="num" val="0"/>
        <cfvo type="num" val="1"/>
      </iconSet>
    </cfRule>
  </conditionalFormatting>
  <conditionalFormatting sqref="S328:S330">
    <cfRule type="iconSet" priority="453">
      <iconSet iconSet="3Symbols2" showValue="0">
        <cfvo type="percent" val="0"/>
        <cfvo type="num" val="0"/>
        <cfvo type="num" val="1"/>
      </iconSet>
    </cfRule>
  </conditionalFormatting>
  <conditionalFormatting sqref="Q328:Q331">
    <cfRule type="iconSet" priority="452">
      <iconSet iconSet="3Symbols2" showValue="0">
        <cfvo type="percent" val="0"/>
        <cfvo type="num" val="0"/>
        <cfvo type="num" val="1"/>
      </iconSet>
    </cfRule>
  </conditionalFormatting>
  <conditionalFormatting sqref="B1:E9 G1:I9 B2563:E1048576 G2563:I1048576">
    <cfRule type="expression" dxfId="148" priority="447">
      <formula>AND($L1=1,$Q1&lt;&gt;1)</formula>
    </cfRule>
  </conditionalFormatting>
  <conditionalFormatting sqref="N495:N502">
    <cfRule type="iconSet" priority="97552">
      <iconSet iconSet="3Symbols2" showValue="0">
        <cfvo type="percent" val="0"/>
        <cfvo type="num" val="0"/>
        <cfvo type="num" val="1"/>
      </iconSet>
    </cfRule>
  </conditionalFormatting>
  <conditionalFormatting sqref="S495:S496">
    <cfRule type="iconSet" priority="446">
      <iconSet iconSet="3Symbols2" showValue="0">
        <cfvo type="percent" val="0"/>
        <cfvo type="num" val="0"/>
        <cfvo type="num" val="1"/>
      </iconSet>
    </cfRule>
  </conditionalFormatting>
  <conditionalFormatting sqref="Q495:Q496">
    <cfRule type="iconSet" priority="445">
      <iconSet iconSet="3Symbols2" showValue="0">
        <cfvo type="percent" val="0"/>
        <cfvo type="num" val="0"/>
        <cfvo type="num" val="1"/>
      </iconSet>
    </cfRule>
  </conditionalFormatting>
  <conditionalFormatting sqref="S489:S490 R486:R488">
    <cfRule type="iconSet" priority="444">
      <iconSet iconSet="3Symbols2" showValue="0">
        <cfvo type="percent" val="0"/>
        <cfvo type="num" val="0"/>
        <cfvo type="num" val="1"/>
      </iconSet>
    </cfRule>
  </conditionalFormatting>
  <conditionalFormatting sqref="Q486:Q490">
    <cfRule type="iconSet" priority="443">
      <iconSet iconSet="3Symbols2" showValue="0">
        <cfvo type="percent" val="0"/>
        <cfvo type="num" val="0"/>
        <cfvo type="num" val="1"/>
      </iconSet>
    </cfRule>
  </conditionalFormatting>
  <conditionalFormatting sqref="Q302:S303">
    <cfRule type="iconSet" priority="442">
      <iconSet iconSet="3Symbols2" showValue="0">
        <cfvo type="percent" val="0"/>
        <cfvo type="num" val="0"/>
        <cfvo type="num" val="1"/>
      </iconSet>
    </cfRule>
  </conditionalFormatting>
  <conditionalFormatting sqref="S302:S303">
    <cfRule type="iconSet" priority="441">
      <iconSet iconSet="3Symbols2" showValue="0">
        <cfvo type="percent" val="0"/>
        <cfvo type="num" val="0"/>
        <cfvo type="num" val="1"/>
      </iconSet>
    </cfRule>
  </conditionalFormatting>
  <conditionalFormatting sqref="Q302:Q303">
    <cfRule type="iconSet" priority="440">
      <iconSet iconSet="3Symbols2" showValue="0">
        <cfvo type="percent" val="0"/>
        <cfvo type="num" val="0"/>
        <cfvo type="num" val="1"/>
      </iconSet>
    </cfRule>
  </conditionalFormatting>
  <conditionalFormatting sqref="N297:O304">
    <cfRule type="iconSet" priority="97730">
      <iconSet iconSet="3Symbols2" showValue="0">
        <cfvo type="percent" val="0"/>
        <cfvo type="num" val="0"/>
        <cfvo type="num" val="1"/>
      </iconSet>
    </cfRule>
  </conditionalFormatting>
  <conditionalFormatting sqref="N330:O343">
    <cfRule type="iconSet" priority="97907">
      <iconSet iconSet="3Symbols2" showValue="0">
        <cfvo type="percent" val="0"/>
        <cfvo type="num" val="0"/>
        <cfvo type="num" val="1"/>
      </iconSet>
    </cfRule>
  </conditionalFormatting>
  <conditionalFormatting sqref="S331:S339">
    <cfRule type="iconSet" priority="98467">
      <iconSet iconSet="3Symbols2" showValue="0">
        <cfvo type="percent" val="0"/>
        <cfvo type="num" val="0"/>
        <cfvo type="num" val="1"/>
      </iconSet>
    </cfRule>
  </conditionalFormatting>
  <conditionalFormatting sqref="S331:S339">
    <cfRule type="iconSet" priority="98624">
      <iconSet iconSet="3Symbols2" showValue="0">
        <cfvo type="percent" val="0"/>
        <cfvo type="num" val="0"/>
        <cfvo type="num" val="1"/>
      </iconSet>
    </cfRule>
  </conditionalFormatting>
  <conditionalFormatting sqref="L505:L508">
    <cfRule type="iconSet" priority="99351">
      <iconSet iconSet="3Symbols2" showValue="0">
        <cfvo type="percent" val="0"/>
        <cfvo type="num" val="0"/>
        <cfvo type="num" val="1"/>
      </iconSet>
    </cfRule>
  </conditionalFormatting>
  <conditionalFormatting sqref="N527:N528">
    <cfRule type="iconSet" priority="438">
      <iconSet iconSet="3Symbols2" showValue="0">
        <cfvo type="percent" val="0"/>
        <cfvo type="num" val="0"/>
        <cfvo type="num" val="1"/>
      </iconSet>
    </cfRule>
  </conditionalFormatting>
  <conditionalFormatting sqref="Q527:Q528">
    <cfRule type="iconSet" priority="437">
      <iconSet iconSet="3Symbols2" showValue="0">
        <cfvo type="percent" val="0"/>
        <cfvo type="num" val="0"/>
        <cfvo type="num" val="1"/>
      </iconSet>
    </cfRule>
  </conditionalFormatting>
  <conditionalFormatting sqref="S380">
    <cfRule type="iconSet" priority="100763">
      <iconSet iconSet="3Symbols2" showValue="0">
        <cfvo type="percent" val="0"/>
        <cfvo type="num" val="0"/>
        <cfvo type="num" val="1"/>
      </iconSet>
    </cfRule>
  </conditionalFormatting>
  <conditionalFormatting sqref="N380:N381">
    <cfRule type="iconSet" priority="100769">
      <iconSet iconSet="3Symbols2" showValue="0">
        <cfvo type="percent" val="0"/>
        <cfvo type="num" val="0"/>
        <cfvo type="num" val="1"/>
      </iconSet>
    </cfRule>
  </conditionalFormatting>
  <conditionalFormatting sqref="N664">
    <cfRule type="iconSet" priority="435">
      <iconSet iconSet="3Symbols2" showValue="0">
        <cfvo type="percent" val="0"/>
        <cfvo type="num" val="0"/>
        <cfvo type="num" val="1"/>
      </iconSet>
    </cfRule>
  </conditionalFormatting>
  <conditionalFormatting sqref="N671:O675">
    <cfRule type="iconSet" priority="434">
      <iconSet iconSet="3Symbols2" showValue="0">
        <cfvo type="percent" val="0"/>
        <cfvo type="num" val="0"/>
        <cfvo type="num" val="1"/>
      </iconSet>
    </cfRule>
  </conditionalFormatting>
  <conditionalFormatting sqref="L693:L700 L653:L661 L664:L675">
    <cfRule type="iconSet" priority="432">
      <iconSet iconSet="3Symbols2" showValue="0">
        <cfvo type="percent" val="0"/>
        <cfvo type="num" val="0"/>
        <cfvo type="num" val="1"/>
      </iconSet>
    </cfRule>
  </conditionalFormatting>
  <conditionalFormatting sqref="M672:M675">
    <cfRule type="iconSet" priority="431">
      <iconSet iconSet="3Symbols2" showValue="0">
        <cfvo type="percent" val="0"/>
        <cfvo type="num" val="0"/>
        <cfvo type="num" val="1"/>
      </iconSet>
    </cfRule>
  </conditionalFormatting>
  <conditionalFormatting sqref="R672:R675">
    <cfRule type="iconSet" priority="430">
      <iconSet iconSet="3Symbols2" showValue="0">
        <cfvo type="percent" val="0"/>
        <cfvo type="num" val="0"/>
        <cfvo type="num" val="1"/>
      </iconSet>
    </cfRule>
  </conditionalFormatting>
  <conditionalFormatting sqref="R672:R675">
    <cfRule type="iconSet" priority="428">
      <iconSet iconSet="3Symbols2" showValue="0">
        <cfvo type="percent" val="0"/>
        <cfvo type="num" val="0"/>
        <cfvo type="num" val="1"/>
      </iconSet>
    </cfRule>
  </conditionalFormatting>
  <conditionalFormatting sqref="N653:O660">
    <cfRule type="iconSet" priority="421">
      <iconSet iconSet="3Symbols2" showValue="0">
        <cfvo type="percent" val="0"/>
        <cfvo type="num" val="0"/>
        <cfvo type="num" val="1"/>
      </iconSet>
    </cfRule>
  </conditionalFormatting>
  <conditionalFormatting sqref="N693:O701">
    <cfRule type="iconSet" priority="420">
      <iconSet iconSet="3Symbols2" showValue="0">
        <cfvo type="percent" val="0"/>
        <cfvo type="num" val="0"/>
        <cfvo type="num" val="1"/>
      </iconSet>
    </cfRule>
  </conditionalFormatting>
  <conditionalFormatting sqref="S696:S698">
    <cfRule type="iconSet" priority="419">
      <iconSet iconSet="3Symbols2" showValue="0">
        <cfvo type="percent" val="0"/>
        <cfvo type="num" val="0"/>
        <cfvo type="num" val="1"/>
      </iconSet>
    </cfRule>
  </conditionalFormatting>
  <conditionalFormatting sqref="S696:S698">
    <cfRule type="iconSet" priority="417">
      <iconSet iconSet="3Symbols2" showValue="0">
        <cfvo type="percent" val="0"/>
        <cfvo type="num" val="0"/>
        <cfvo type="num" val="1"/>
      </iconSet>
    </cfRule>
  </conditionalFormatting>
  <conditionalFormatting sqref="S732">
    <cfRule type="iconSet" priority="415">
      <iconSet iconSet="3Symbols2" showValue="0">
        <cfvo type="percent" val="0"/>
        <cfvo type="num" val="0"/>
        <cfvo type="num" val="1"/>
      </iconSet>
    </cfRule>
  </conditionalFormatting>
  <conditionalFormatting sqref="N732:N733">
    <cfRule type="iconSet" priority="414">
      <iconSet iconSet="3Symbols2" showValue="0">
        <cfvo type="percent" val="0"/>
        <cfvo type="num" val="0"/>
        <cfvo type="num" val="1"/>
      </iconSet>
    </cfRule>
  </conditionalFormatting>
  <conditionalFormatting sqref="N705:N710">
    <cfRule type="iconSet" priority="413">
      <iconSet iconSet="3Symbols2" showValue="0">
        <cfvo type="percent" val="0"/>
        <cfvo type="num" val="0"/>
        <cfvo type="num" val="1"/>
      </iconSet>
    </cfRule>
  </conditionalFormatting>
  <conditionalFormatting sqref="N653:N661">
    <cfRule type="iconSet" priority="410">
      <iconSet iconSet="3Symbols2" showValue="0">
        <cfvo type="percent" val="0"/>
        <cfvo type="num" val="0"/>
        <cfvo type="num" val="1"/>
      </iconSet>
    </cfRule>
  </conditionalFormatting>
  <conditionalFormatting sqref="N664:N675">
    <cfRule type="iconSet" priority="409">
      <iconSet iconSet="3Symbols2" showValue="0">
        <cfvo type="percent" val="0"/>
        <cfvo type="num" val="0"/>
        <cfvo type="num" val="1"/>
      </iconSet>
    </cfRule>
  </conditionalFormatting>
  <conditionalFormatting sqref="L678:L680">
    <cfRule type="iconSet" priority="408">
      <iconSet iconSet="3Symbols2" showValue="0">
        <cfvo type="percent" val="0"/>
        <cfvo type="num" val="0"/>
        <cfvo type="num" val="1"/>
      </iconSet>
    </cfRule>
  </conditionalFormatting>
  <conditionalFormatting sqref="N678:N680">
    <cfRule type="iconSet" priority="407">
      <iconSet iconSet="3Symbols2" showValue="0">
        <cfvo type="percent" val="0"/>
        <cfvo type="num" val="0"/>
        <cfvo type="num" val="1"/>
      </iconSet>
    </cfRule>
  </conditionalFormatting>
  <conditionalFormatting sqref="L683:L690">
    <cfRule type="iconSet" priority="406">
      <iconSet iconSet="3Symbols2" showValue="0">
        <cfvo type="percent" val="0"/>
        <cfvo type="num" val="0"/>
        <cfvo type="num" val="1"/>
      </iconSet>
    </cfRule>
  </conditionalFormatting>
  <conditionalFormatting sqref="N683:N690">
    <cfRule type="iconSet" priority="405">
      <iconSet iconSet="3Symbols2" showValue="0">
        <cfvo type="percent" val="0"/>
        <cfvo type="num" val="0"/>
        <cfvo type="num" val="1"/>
      </iconSet>
    </cfRule>
  </conditionalFormatting>
  <conditionalFormatting sqref="L704">
    <cfRule type="iconSet" priority="404">
      <iconSet iconSet="3Symbols2" showValue="0">
        <cfvo type="percent" val="0"/>
        <cfvo type="num" val="0"/>
        <cfvo type="num" val="1"/>
      </iconSet>
    </cfRule>
  </conditionalFormatting>
  <conditionalFormatting sqref="N704">
    <cfRule type="iconSet" priority="403">
      <iconSet iconSet="3Symbols2" showValue="0">
        <cfvo type="percent" val="0"/>
        <cfvo type="num" val="0"/>
        <cfvo type="num" val="1"/>
      </iconSet>
    </cfRule>
  </conditionalFormatting>
  <conditionalFormatting sqref="L705:L710">
    <cfRule type="iconSet" priority="402">
      <iconSet iconSet="3Symbols2" showValue="0">
        <cfvo type="percent" val="0"/>
        <cfvo type="num" val="0"/>
        <cfvo type="num" val="1"/>
      </iconSet>
    </cfRule>
  </conditionalFormatting>
  <conditionalFormatting sqref="N705:N710">
    <cfRule type="iconSet" priority="401">
      <iconSet iconSet="3Symbols2" showValue="0">
        <cfvo type="percent" val="0"/>
        <cfvo type="num" val="0"/>
        <cfvo type="num" val="1"/>
      </iconSet>
    </cfRule>
  </conditionalFormatting>
  <conditionalFormatting sqref="L713:L714">
    <cfRule type="iconSet" priority="400">
      <iconSet iconSet="3Symbols2" showValue="0">
        <cfvo type="percent" val="0"/>
        <cfvo type="num" val="0"/>
        <cfvo type="num" val="1"/>
      </iconSet>
    </cfRule>
  </conditionalFormatting>
  <conditionalFormatting sqref="N713:N714">
    <cfRule type="iconSet" priority="399">
      <iconSet iconSet="3Symbols2" showValue="0">
        <cfvo type="percent" val="0"/>
        <cfvo type="num" val="0"/>
        <cfvo type="num" val="1"/>
      </iconSet>
    </cfRule>
  </conditionalFormatting>
  <conditionalFormatting sqref="L717:L718">
    <cfRule type="iconSet" priority="398">
      <iconSet iconSet="3Symbols2" showValue="0">
        <cfvo type="percent" val="0"/>
        <cfvo type="num" val="0"/>
        <cfvo type="num" val="1"/>
      </iconSet>
    </cfRule>
  </conditionalFormatting>
  <conditionalFormatting sqref="N717:N718">
    <cfRule type="iconSet" priority="397">
      <iconSet iconSet="3Symbols2" showValue="0">
        <cfvo type="percent" val="0"/>
        <cfvo type="num" val="0"/>
        <cfvo type="num" val="1"/>
      </iconSet>
    </cfRule>
  </conditionalFormatting>
  <conditionalFormatting sqref="L721:L729">
    <cfRule type="iconSet" priority="396">
      <iconSet iconSet="3Symbols2" showValue="0">
        <cfvo type="percent" val="0"/>
        <cfvo type="num" val="0"/>
        <cfvo type="num" val="1"/>
      </iconSet>
    </cfRule>
  </conditionalFormatting>
  <conditionalFormatting sqref="N721:N729">
    <cfRule type="iconSet" priority="395">
      <iconSet iconSet="3Symbols2" showValue="0">
        <cfvo type="percent" val="0"/>
        <cfvo type="num" val="0"/>
        <cfvo type="num" val="1"/>
      </iconSet>
    </cfRule>
  </conditionalFormatting>
  <conditionalFormatting sqref="L732">
    <cfRule type="iconSet" priority="394">
      <iconSet iconSet="3Symbols2" showValue="0">
        <cfvo type="percent" val="0"/>
        <cfvo type="num" val="0"/>
        <cfvo type="num" val="1"/>
      </iconSet>
    </cfRule>
  </conditionalFormatting>
  <conditionalFormatting sqref="N732">
    <cfRule type="iconSet" priority="393">
      <iconSet iconSet="3Symbols2" showValue="0">
        <cfvo type="percent" val="0"/>
        <cfvo type="num" val="0"/>
        <cfvo type="num" val="1"/>
      </iconSet>
    </cfRule>
  </conditionalFormatting>
  <conditionalFormatting sqref="S505:S508">
    <cfRule type="iconSet" priority="392">
      <iconSet iconSet="3Symbols2" showValue="0">
        <cfvo type="percent" val="0"/>
        <cfvo type="num" val="0"/>
        <cfvo type="num" val="1"/>
      </iconSet>
    </cfRule>
  </conditionalFormatting>
  <conditionalFormatting sqref="Q505:Q508">
    <cfRule type="iconSet" priority="391">
      <iconSet iconSet="3Symbols2" showValue="0">
        <cfvo type="percent" val="0"/>
        <cfvo type="num" val="0"/>
        <cfvo type="num" val="1"/>
      </iconSet>
    </cfRule>
  </conditionalFormatting>
  <conditionalFormatting sqref="Q24:R25">
    <cfRule type="iconSet" priority="390">
      <iconSet iconSet="3Symbols2" showValue="0">
        <cfvo type="percent" val="0"/>
        <cfvo type="num" val="0"/>
        <cfvo type="num" val="1"/>
      </iconSet>
    </cfRule>
  </conditionalFormatting>
  <conditionalFormatting sqref="Q29:R29">
    <cfRule type="iconSet" priority="389">
      <iconSet iconSet="3Symbols2" showValue="0">
        <cfvo type="percent" val="0"/>
        <cfvo type="num" val="0"/>
        <cfvo type="num" val="1"/>
      </iconSet>
    </cfRule>
  </conditionalFormatting>
  <conditionalFormatting sqref="Q33:R34">
    <cfRule type="iconSet" priority="388">
      <iconSet iconSet="3Symbols2" showValue="0">
        <cfvo type="percent" val="0"/>
        <cfvo type="num" val="0"/>
        <cfvo type="num" val="1"/>
      </iconSet>
    </cfRule>
  </conditionalFormatting>
  <conditionalFormatting sqref="R419:S420">
    <cfRule type="iconSet" priority="387">
      <iconSet iconSet="3Symbols2" showValue="0">
        <cfvo type="percent" val="0"/>
        <cfvo type="num" val="0"/>
        <cfvo type="num" val="1"/>
      </iconSet>
    </cfRule>
  </conditionalFormatting>
  <conditionalFormatting sqref="Q419:Q420">
    <cfRule type="iconSet" priority="386">
      <iconSet iconSet="3Symbols2" showValue="0">
        <cfvo type="percent" val="0"/>
        <cfvo type="num" val="0"/>
        <cfvo type="num" val="1"/>
      </iconSet>
    </cfRule>
  </conditionalFormatting>
  <conditionalFormatting sqref="Q419:Q420">
    <cfRule type="iconSet" priority="385">
      <iconSet iconSet="3Symbols2" showValue="0">
        <cfvo type="percent" val="0"/>
        <cfvo type="num" val="0"/>
        <cfvo type="num" val="1"/>
      </iconSet>
    </cfRule>
  </conditionalFormatting>
  <conditionalFormatting sqref="S423">
    <cfRule type="iconSet" priority="384">
      <iconSet iconSet="3Symbols2" showValue="0">
        <cfvo type="percent" val="0"/>
        <cfvo type="num" val="0"/>
        <cfvo type="num" val="1"/>
      </iconSet>
    </cfRule>
  </conditionalFormatting>
  <conditionalFormatting sqref="Q423">
    <cfRule type="iconSet" priority="383">
      <iconSet iconSet="3Symbols2" showValue="0">
        <cfvo type="percent" val="0"/>
        <cfvo type="num" val="0"/>
        <cfvo type="num" val="1"/>
      </iconSet>
    </cfRule>
  </conditionalFormatting>
  <conditionalFormatting sqref="O439:O440">
    <cfRule type="iconSet" priority="101483">
      <iconSet iconSet="3Symbols2" showValue="0">
        <cfvo type="percent" val="0"/>
        <cfvo type="num" val="0"/>
        <cfvo type="num" val="1"/>
      </iconSet>
    </cfRule>
  </conditionalFormatting>
  <conditionalFormatting sqref="Q409:Q418 Q421:Q422 Q441 Q424:Q438">
    <cfRule type="iconSet" priority="101581">
      <iconSet iconSet="3Symbols2" showValue="0">
        <cfvo type="percent" val="0"/>
        <cfvo type="num" val="0"/>
        <cfvo type="num" val="1"/>
      </iconSet>
    </cfRule>
  </conditionalFormatting>
  <conditionalFormatting sqref="R439:R440">
    <cfRule type="iconSet" priority="382">
      <iconSet iconSet="3Symbols2" showValue="0">
        <cfvo type="percent" val="0"/>
        <cfvo type="num" val="0"/>
        <cfvo type="num" val="1"/>
      </iconSet>
    </cfRule>
  </conditionalFormatting>
  <conditionalFormatting sqref="Q439:Q440">
    <cfRule type="iconSet" priority="381">
      <iconSet iconSet="3Symbols2" showValue="0">
        <cfvo type="percent" val="0"/>
        <cfvo type="num" val="0"/>
        <cfvo type="num" val="1"/>
      </iconSet>
    </cfRule>
  </conditionalFormatting>
  <conditionalFormatting sqref="Q439:Q440">
    <cfRule type="iconSet" priority="380">
      <iconSet iconSet="3Symbols2" showValue="0">
        <cfvo type="percent" val="0"/>
        <cfvo type="num" val="0"/>
        <cfvo type="num" val="1"/>
      </iconSet>
    </cfRule>
  </conditionalFormatting>
  <conditionalFormatting sqref="S439:S440">
    <cfRule type="iconSet" priority="379">
      <iconSet iconSet="3Symbols2" showValue="0">
        <cfvo type="percent" val="0"/>
        <cfvo type="num" val="0"/>
        <cfvo type="num" val="1"/>
      </iconSet>
    </cfRule>
  </conditionalFormatting>
  <conditionalFormatting sqref="R764:R765">
    <cfRule type="iconSet" priority="378">
      <iconSet iconSet="3Symbols2" showValue="0">
        <cfvo type="percent" val="0"/>
        <cfvo type="num" val="0"/>
        <cfvo type="num" val="1"/>
      </iconSet>
    </cfRule>
  </conditionalFormatting>
  <conditionalFormatting sqref="Q764:Q765">
    <cfRule type="iconSet" priority="377">
      <iconSet iconSet="3Symbols2" showValue="0">
        <cfvo type="percent" val="0"/>
        <cfvo type="num" val="0"/>
        <cfvo type="num" val="1"/>
      </iconSet>
    </cfRule>
  </conditionalFormatting>
  <conditionalFormatting sqref="R777">
    <cfRule type="iconSet" priority="376">
      <iconSet iconSet="3Symbols2" showValue="0">
        <cfvo type="percent" val="0"/>
        <cfvo type="num" val="0"/>
        <cfvo type="num" val="1"/>
      </iconSet>
    </cfRule>
  </conditionalFormatting>
  <conditionalFormatting sqref="Q777">
    <cfRule type="iconSet" priority="375">
      <iconSet iconSet="3Symbols2" showValue="0">
        <cfvo type="percent" val="0"/>
        <cfvo type="num" val="0"/>
        <cfvo type="num" val="1"/>
      </iconSet>
    </cfRule>
  </conditionalFormatting>
  <conditionalFormatting sqref="R781">
    <cfRule type="iconSet" priority="374">
      <iconSet iconSet="3Symbols2" showValue="0">
        <cfvo type="percent" val="0"/>
        <cfvo type="num" val="0"/>
        <cfvo type="num" val="1"/>
      </iconSet>
    </cfRule>
  </conditionalFormatting>
  <conditionalFormatting sqref="Q781">
    <cfRule type="iconSet" priority="373">
      <iconSet iconSet="3Symbols2" showValue="0">
        <cfvo type="percent" val="0"/>
        <cfvo type="num" val="0"/>
        <cfvo type="num" val="1"/>
      </iconSet>
    </cfRule>
  </conditionalFormatting>
  <conditionalFormatting sqref="R794">
    <cfRule type="iconSet" priority="372">
      <iconSet iconSet="3Symbols2" showValue="0">
        <cfvo type="percent" val="0"/>
        <cfvo type="num" val="0"/>
        <cfvo type="num" val="1"/>
      </iconSet>
    </cfRule>
  </conditionalFormatting>
  <conditionalFormatting sqref="Q794">
    <cfRule type="iconSet" priority="371">
      <iconSet iconSet="3Symbols2" showValue="0">
        <cfvo type="percent" val="0"/>
        <cfvo type="num" val="0"/>
        <cfvo type="num" val="1"/>
      </iconSet>
    </cfRule>
  </conditionalFormatting>
  <conditionalFormatting sqref="Q737:Q763 Q766:Q776 Q778:Q780 Q782:Q793 Q795:Q843 Q848:Q860">
    <cfRule type="iconSet" priority="101841">
      <iconSet iconSet="3Symbols2" showValue="0">
        <cfvo type="percent" val="0"/>
        <cfvo type="num" val="0"/>
        <cfvo type="num" val="1"/>
      </iconSet>
    </cfRule>
  </conditionalFormatting>
  <conditionalFormatting sqref="Q844:Q847">
    <cfRule type="iconSet" priority="369">
      <iconSet iconSet="3Symbols2" showValue="0">
        <cfvo type="percent" val="0"/>
        <cfvo type="num" val="0"/>
        <cfvo type="num" val="1"/>
      </iconSet>
    </cfRule>
  </conditionalFormatting>
  <conditionalFormatting sqref="R844:R847">
    <cfRule type="iconSet" priority="368">
      <iconSet iconSet="3Symbols2" showValue="0">
        <cfvo type="percent" val="0"/>
        <cfvo type="num" val="0"/>
        <cfvo type="num" val="1"/>
      </iconSet>
    </cfRule>
  </conditionalFormatting>
  <conditionalFormatting sqref="N534:O534">
    <cfRule type="iconSet" priority="367">
      <iconSet iconSet="3Symbols2" showValue="0">
        <cfvo type="percent" val="0"/>
        <cfvo type="num" val="0"/>
        <cfvo type="num" val="1"/>
      </iconSet>
    </cfRule>
  </conditionalFormatting>
  <conditionalFormatting sqref="L534">
    <cfRule type="iconSet" priority="366">
      <iconSet iconSet="3Symbols2" showValue="0">
        <cfvo type="percent" val="0"/>
        <cfvo type="num" val="0"/>
        <cfvo type="num" val="1"/>
      </iconSet>
    </cfRule>
  </conditionalFormatting>
  <conditionalFormatting sqref="M534">
    <cfRule type="iconSet" priority="365">
      <iconSet iconSet="3Symbols2" showValue="0">
        <cfvo type="percent" val="0"/>
        <cfvo type="num" val="0"/>
        <cfvo type="num" val="1"/>
      </iconSet>
    </cfRule>
  </conditionalFormatting>
  <conditionalFormatting sqref="Q534:R534">
    <cfRule type="iconSet" priority="364">
      <iconSet iconSet="3Symbols2" showValue="0">
        <cfvo type="percent" val="0"/>
        <cfvo type="num" val="0"/>
        <cfvo type="num" val="1"/>
      </iconSet>
    </cfRule>
  </conditionalFormatting>
  <conditionalFormatting sqref="Q534">
    <cfRule type="iconSet" priority="363">
      <iconSet iconSet="3Symbols2" showValue="0">
        <cfvo type="percent" val="0"/>
        <cfvo type="num" val="0"/>
        <cfvo type="num" val="1"/>
      </iconSet>
    </cfRule>
  </conditionalFormatting>
  <conditionalFormatting sqref="R534">
    <cfRule type="iconSet" priority="362">
      <iconSet iconSet="3Symbols2" showValue="0">
        <cfvo type="percent" val="0"/>
        <cfvo type="num" val="0"/>
        <cfvo type="num" val="1"/>
      </iconSet>
    </cfRule>
  </conditionalFormatting>
  <conditionalFormatting sqref="Q304:S304">
    <cfRule type="iconSet" priority="361">
      <iconSet iconSet="3Symbols2" showValue="0">
        <cfvo type="percent" val="0"/>
        <cfvo type="num" val="0"/>
        <cfvo type="num" val="1"/>
      </iconSet>
    </cfRule>
  </conditionalFormatting>
  <conditionalFormatting sqref="Q304">
    <cfRule type="iconSet" priority="360">
      <iconSet iconSet="3Symbols2" showValue="0">
        <cfvo type="percent" val="0"/>
        <cfvo type="num" val="0"/>
        <cfvo type="num" val="1"/>
      </iconSet>
    </cfRule>
  </conditionalFormatting>
  <conditionalFormatting sqref="S304">
    <cfRule type="iconSet" priority="359">
      <iconSet iconSet="3Symbols2" showValue="0">
        <cfvo type="percent" val="0"/>
        <cfvo type="num" val="0"/>
        <cfvo type="num" val="1"/>
      </iconSet>
    </cfRule>
  </conditionalFormatting>
  <conditionalFormatting sqref="Q340:S342 Q332:R332 Q338:R339 R333:R337">
    <cfRule type="iconSet" priority="358">
      <iconSet iconSet="3Symbols2" showValue="0">
        <cfvo type="percent" val="0"/>
        <cfvo type="num" val="0"/>
        <cfvo type="num" val="1"/>
      </iconSet>
    </cfRule>
  </conditionalFormatting>
  <conditionalFormatting sqref="Q332 Q338:Q342">
    <cfRule type="iconSet" priority="357">
      <iconSet iconSet="3Symbols2" showValue="0">
        <cfvo type="percent" val="0"/>
        <cfvo type="num" val="0"/>
        <cfvo type="num" val="1"/>
      </iconSet>
    </cfRule>
  </conditionalFormatting>
  <conditionalFormatting sqref="S340:S342">
    <cfRule type="iconSet" priority="102104">
      <iconSet iconSet="3Symbols2" showValue="0">
        <cfvo type="percent" val="0"/>
        <cfvo type="num" val="0"/>
        <cfvo type="num" val="1"/>
      </iconSet>
    </cfRule>
  </conditionalFormatting>
  <conditionalFormatting sqref="S347 Q347:Q353">
    <cfRule type="iconSet" priority="102281">
      <iconSet iconSet="3Symbols2" showValue="0">
        <cfvo type="percent" val="0"/>
        <cfvo type="num" val="0"/>
        <cfvo type="num" val="1"/>
      </iconSet>
    </cfRule>
  </conditionalFormatting>
  <conditionalFormatting sqref="N347:N353">
    <cfRule type="iconSet" priority="103046">
      <iconSet iconSet="3Symbols2" showValue="0">
        <cfvo type="percent" val="0"/>
        <cfvo type="num" val="0"/>
        <cfvo type="num" val="1"/>
      </iconSet>
    </cfRule>
  </conditionalFormatting>
  <conditionalFormatting sqref="Q269:S271">
    <cfRule type="iconSet" priority="354">
      <iconSet iconSet="3Symbols2" showValue="0">
        <cfvo type="percent" val="0"/>
        <cfvo type="num" val="0"/>
        <cfvo type="num" val="1"/>
      </iconSet>
    </cfRule>
  </conditionalFormatting>
  <conditionalFormatting sqref="S269:S271">
    <cfRule type="iconSet" priority="353">
      <iconSet iconSet="3Symbols2" showValue="0">
        <cfvo type="percent" val="0"/>
        <cfvo type="num" val="0"/>
        <cfvo type="num" val="1"/>
      </iconSet>
    </cfRule>
  </conditionalFormatting>
  <conditionalFormatting sqref="Q370:Q371">
    <cfRule type="iconSet" priority="352">
      <iconSet iconSet="3Symbols2" showValue="0">
        <cfvo type="percent" val="0"/>
        <cfvo type="num" val="0"/>
        <cfvo type="num" val="1"/>
      </iconSet>
    </cfRule>
  </conditionalFormatting>
  <conditionalFormatting sqref="T370:T371">
    <cfRule type="iconSet" priority="351">
      <iconSet iconSet="3Symbols2" showValue="0">
        <cfvo type="percent" val="0"/>
        <cfvo type="num" val="0"/>
        <cfvo type="num" val="1"/>
      </iconSet>
    </cfRule>
  </conditionalFormatting>
  <conditionalFormatting sqref="J1626">
    <cfRule type="expression" dxfId="147" priority="350">
      <formula>OR(CELL(“col”)=COLUMN(),CELL(“row”)=ROW())</formula>
    </cfRule>
  </conditionalFormatting>
  <conditionalFormatting sqref="N1531:N1533">
    <cfRule type="iconSet" priority="349">
      <iconSet iconSet="3Symbols2" showValue="0">
        <cfvo type="percent" val="0"/>
        <cfvo type="num" val="0"/>
        <cfvo type="num" val="1"/>
      </iconSet>
    </cfRule>
  </conditionalFormatting>
  <conditionalFormatting sqref="O1531:O1533">
    <cfRule type="iconSet" priority="348">
      <iconSet iconSet="3Symbols2" showValue="0">
        <cfvo type="percent" val="0"/>
        <cfvo type="num" val="0"/>
        <cfvo type="num" val="1"/>
      </iconSet>
    </cfRule>
  </conditionalFormatting>
  <conditionalFormatting sqref="J1733">
    <cfRule type="expression" dxfId="146" priority="347">
      <formula>OR(CELL(“col”)=COLUMN(),CELL(“row”)=ROW())</formula>
    </cfRule>
  </conditionalFormatting>
  <conditionalFormatting sqref="O1638:O1640">
    <cfRule type="iconSet" priority="346">
      <iconSet iconSet="3Symbols2" showValue="0">
        <cfvo type="percent" val="0"/>
        <cfvo type="num" val="0"/>
        <cfvo type="num" val="1"/>
      </iconSet>
    </cfRule>
  </conditionalFormatting>
  <conditionalFormatting sqref="J1840">
    <cfRule type="expression" dxfId="145" priority="344">
      <formula>OR(CELL(“col”)=COLUMN(),CELL(“row”)=ROW())</formula>
    </cfRule>
  </conditionalFormatting>
  <conditionalFormatting sqref="O1745:O1747">
    <cfRule type="iconSet" priority="343">
      <iconSet iconSet="3Symbols2" showValue="0">
        <cfvo type="percent" val="0"/>
        <cfvo type="num" val="0"/>
        <cfvo type="num" val="1"/>
      </iconSet>
    </cfRule>
  </conditionalFormatting>
  <conditionalFormatting sqref="O1219:O1317 O961:O964 O1321:O1423 O1427:O1530">
    <cfRule type="iconSet" priority="103292">
      <iconSet iconSet="3Symbols2" showValue="0">
        <cfvo type="percent" val="0"/>
        <cfvo type="num" val="0"/>
        <cfvo type="num" val="1"/>
      </iconSet>
    </cfRule>
  </conditionalFormatting>
  <conditionalFormatting sqref="N2270:N2273">
    <cfRule type="iconSet" priority="104167">
      <iconSet iconSet="3Symbols2" showValue="0">
        <cfvo type="percent" val="0"/>
        <cfvo type="num" val="0"/>
        <cfvo type="num" val="1"/>
      </iconSet>
    </cfRule>
  </conditionalFormatting>
  <conditionalFormatting sqref="U2241:U2246">
    <cfRule type="iconSet" priority="341">
      <iconSet iconSet="3Symbols2" showValue="0">
        <cfvo type="percent" val="0"/>
        <cfvo type="num" val="0"/>
        <cfvo type="num" val="1"/>
      </iconSet>
    </cfRule>
  </conditionalFormatting>
  <conditionalFormatting sqref="N2274:N2284 N2248:N2249 N622:N628 N586:N606 N539 N493:N494 N382 N10:N20 N22:N23 N26:N31 N36:N56 N158:N165 N305:N307 N309:N314 N317:N327 N344:N346 N421:N422 N441:N461 N463 O462 N563:N569 N572:N582 N632 N1853:N1854 N58:N156 N279:N296 N384:N418 N465:N482 N541:N560 N736:N866 N868:N940 N942 N2160:N2240 N511:N519 N503:N504 N167:N277 N372:N379 N2288:N2312 N734 N661:N663 N665:N670 N711:N712 N702:N704 N730:N731 N715:N716 N719:N720 N2252:N2269 N676:N692 N425:N438 N2158 N354:N369 N968:N1218 N634:N652">
    <cfRule type="iconSet" priority="104354">
      <iconSet iconSet="3Symbols2" showValue="0">
        <cfvo type="percent" val="0"/>
        <cfvo type="num" val="0"/>
        <cfvo type="num" val="1"/>
      </iconSet>
    </cfRule>
  </conditionalFormatting>
  <conditionalFormatting sqref="O2160:O2502 O10:O56 O441:O461 O463 O58:O165 O279:O296 O384:O418 O736:O866 O868:O940 O305:O314 O317:O327 O541:O632 O167:O277 O465:O533 O661:O670 O702:O734 O535:O539 O676:O692 O421:O438 O1853:O1854 O344:O382 O968:O1218 O634:O652 O2158 O942:O945 O948:O950">
    <cfRule type="iconSet" priority="104468">
      <iconSet iconSet="3Symbols2" showValue="0">
        <cfvo type="percent" val="0"/>
        <cfvo type="num" val="0"/>
        <cfvo type="num" val="1"/>
      </iconSet>
    </cfRule>
  </conditionalFormatting>
  <conditionalFormatting sqref="P2160:P2502 P10:P56 P58:P165 P736:P866 P868:P940 P541:P632 P167:P277 P465:P539 P384:P463 P1853:P1854 P279:P382 P968:P1851 P634:P734 P2158 P942:P966">
    <cfRule type="iconSet" priority="104495">
      <iconSet iconSet="3Symbols2" showValue="0">
        <cfvo type="percent" val="0"/>
        <cfvo type="num" val="0"/>
        <cfvo type="num" val="1"/>
      </iconSet>
    </cfRule>
  </conditionalFormatting>
  <conditionalFormatting sqref="R2160:R2266 R2270:R2502 R1853:R1854 R961:R964 R2158 R1120:R1851">
    <cfRule type="iconSet" priority="104511">
      <iconSet iconSet="3Symbols2" showValue="0">
        <cfvo type="percent" val="0"/>
        <cfvo type="num" val="0"/>
        <cfvo type="num" val="1"/>
      </iconSet>
    </cfRule>
  </conditionalFormatting>
  <conditionalFormatting sqref="S2160:S2183 S2186:S2502 S1853:S1854 S961:S964 S2158 S1637:S1747 S1851 S1120:S1533">
    <cfRule type="iconSet" priority="104515">
      <iconSet iconSet="3Symbols2" showValue="0">
        <cfvo type="percent" val="0"/>
        <cfvo type="num" val="0"/>
        <cfvo type="num" val="1"/>
      </iconSet>
    </cfRule>
  </conditionalFormatting>
  <conditionalFormatting sqref="T2160:T2502 T1853:T1854 T1120:T1320 T961:T964 T2158 T1327:T1328 T1332:T1333 T1336:T1337 T1342:T1343 T1346:T1347 T1351:T1352 T1356:T1357 T1362:T1363 T1369:T1370 T1373:T1374 T1379:T1380 T1383 T1386:T1387 T1391:T1392 T1395:T1396 T1403:T1404 T1408:T1409 T1424:T1851">
    <cfRule type="iconSet" priority="104520">
      <iconSet iconSet="3Symbols2" showValue="0">
        <cfvo type="percent" val="0"/>
        <cfvo type="num" val="0"/>
        <cfvo type="num" val="1"/>
      </iconSet>
    </cfRule>
  </conditionalFormatting>
  <conditionalFormatting sqref="U2160:U2240 U1853:U1854 U2158 U2247:U2502 U1120:U1851 U961:U964">
    <cfRule type="iconSet" priority="104524">
      <iconSet iconSet="3Symbols2" showValue="0">
        <cfvo type="percent" val="0"/>
        <cfvo type="num" val="0"/>
        <cfvo type="num" val="1"/>
      </iconSet>
    </cfRule>
  </conditionalFormatting>
  <conditionalFormatting sqref="M2295 M962:M964 M1516:M1529 M1511:M1513 M1503:M1508 M1499:M1500 M1494:M1496 M1490:M1491 M1487:M1488 M1481:M1484 M1477:M1478 M1470:M1474 M1464:M1467 M1459:M1461 M1454:M1456 M1450:M1451 M1444:M1447 M1440:M1441 M1435:M1437 M1427:M1432 M1410:M1423 M1405:M1407 M1397:M1402 M1393:M1394 M1388:M1390 M1384:M1385 M1381:M1382 M1375:M1378 M1371:M1372 M1364:M1368 M1358:M1361 M1353:M1355 M1348:M1350 M1344:M1345 M1338:M1341 M1334:M1335 M1329:M1331 M1321:M1326 M1304:M1317 M1295:M1300 M1291:M1292 M1286:M1288 M1282:M1283 M1279:M1280 M1273:M1276 M1269:M1270 M1262:M1266 M1256:M1259 M1251:M1253 M1246:M1248 M1242:M1243 M1236:M1239 M1232:M1233 M1227:M1229 M1219:M1224 M732 M721:M729 M717:M718 M713:M714 M693:M700 M678:M680 M653:M661 M704:M710 M683:M690 M664:M675 M640:M650">
    <cfRule type="iconSet" priority="259">
      <iconSet iconSet="3Symbols2" showValue="0">
        <cfvo type="percent" val="0"/>
        <cfvo type="num" val="0"/>
        <cfvo type="num" val="1"/>
      </iconSet>
    </cfRule>
  </conditionalFormatting>
  <conditionalFormatting sqref="M2295">
    <cfRule type="iconSet" priority="258">
      <iconSet iconSet="3Symbols2" showValue="0">
        <cfvo type="percent" val="0"/>
        <cfvo type="num" val="0"/>
        <cfvo type="num" val="1"/>
      </iconSet>
    </cfRule>
  </conditionalFormatting>
  <conditionalFormatting sqref="B10:E56 B58:E165 B167:E277 B384:E463 B465:E539 B541:E632 B634:E734 B736:E866 B868:E940 B2160:E2562 B1853:E2158 B942:E943 B279:E382 B968:E1851 B945:E966 G10:I2562">
    <cfRule type="expression" dxfId="144" priority="254">
      <formula>AND($L10=1,$Q10&lt;&gt;1)</formula>
    </cfRule>
    <cfRule type="expression" dxfId="143" priority="255">
      <formula>OR($J10=1,$Q10=1)</formula>
    </cfRule>
    <cfRule type="expression" dxfId="142" priority="256">
      <formula>($I10="NA")</formula>
    </cfRule>
  </conditionalFormatting>
  <conditionalFormatting sqref="J2504:J2559 L2504:U2506 L2508:U2509 M2507:U2507 L2511:U2512 M2510:U2510 L2514:U2515 M2513:U2513 L2517:U2518 M2516:U2516 L2520:U2521 M2519:U2519 L2526:U2527 M2522:U2525 L2529:U2530 M2528:U2528 L2532:U2533 M2531:U2531 L2535:U2538 M2534:U2534 L2541:U2542 M2539:U2540 L2545:U2546 M2543:U2544 L2548:U2549 M2547:U2547 L2551:U2552 M2550:U2550 L2555:U2556 M2553:U2554 L2559:U2559 M2557:U2558">
    <cfRule type="iconSet" priority="105002">
      <iconSet iconSet="3Symbols2" showValue="0">
        <cfvo type="percent" val="0"/>
        <cfvo type="num" val="0"/>
        <cfvo type="num" val="1"/>
      </iconSet>
    </cfRule>
  </conditionalFormatting>
  <conditionalFormatting sqref="Q693:Q700">
    <cfRule type="iconSet" priority="250">
      <iconSet iconSet="3Symbols2" showValue="0">
        <cfvo type="percent" val="0"/>
        <cfvo type="num" val="0"/>
        <cfvo type="num" val="1"/>
      </iconSet>
    </cfRule>
  </conditionalFormatting>
  <conditionalFormatting sqref="R693:R700">
    <cfRule type="iconSet" priority="249">
      <iconSet iconSet="3Symbols2" showValue="0">
        <cfvo type="percent" val="0"/>
        <cfvo type="num" val="0"/>
        <cfvo type="num" val="1"/>
      </iconSet>
    </cfRule>
  </conditionalFormatting>
  <conditionalFormatting sqref="R693:R700">
    <cfRule type="iconSet" priority="248">
      <iconSet iconSet="3Symbols2" showValue="0">
        <cfvo type="percent" val="0"/>
        <cfvo type="num" val="0"/>
        <cfvo type="num" val="1"/>
      </iconSet>
    </cfRule>
  </conditionalFormatting>
  <conditionalFormatting sqref="Q693:R700">
    <cfRule type="iconSet" priority="247">
      <iconSet iconSet="3Symbols2" showValue="0">
        <cfvo type="percent" val="0"/>
        <cfvo type="num" val="0"/>
        <cfvo type="num" val="1"/>
      </iconSet>
    </cfRule>
  </conditionalFormatting>
  <conditionalFormatting sqref="Q732">
    <cfRule type="iconSet" priority="242">
      <iconSet iconSet="3Symbols2" showValue="0">
        <cfvo type="percent" val="0"/>
        <cfvo type="num" val="0"/>
        <cfvo type="num" val="1"/>
      </iconSet>
    </cfRule>
  </conditionalFormatting>
  <conditionalFormatting sqref="R732">
    <cfRule type="iconSet" priority="241">
      <iconSet iconSet="3Symbols2" showValue="0">
        <cfvo type="percent" val="0"/>
        <cfvo type="num" val="0"/>
        <cfvo type="num" val="1"/>
      </iconSet>
    </cfRule>
  </conditionalFormatting>
  <conditionalFormatting sqref="R732">
    <cfRule type="iconSet" priority="240">
      <iconSet iconSet="3Symbols2" showValue="0">
        <cfvo type="percent" val="0"/>
        <cfvo type="num" val="0"/>
        <cfvo type="num" val="1"/>
      </iconSet>
    </cfRule>
  </conditionalFormatting>
  <conditionalFormatting sqref="Q732:R732">
    <cfRule type="iconSet" priority="239">
      <iconSet iconSet="3Symbols2" showValue="0">
        <cfvo type="percent" val="0"/>
        <cfvo type="num" val="0"/>
        <cfvo type="num" val="1"/>
      </iconSet>
    </cfRule>
  </conditionalFormatting>
  <conditionalFormatting sqref="Q705">
    <cfRule type="iconSet" priority="238">
      <iconSet iconSet="3Symbols2" showValue="0">
        <cfvo type="percent" val="0"/>
        <cfvo type="num" val="0"/>
        <cfvo type="num" val="1"/>
      </iconSet>
    </cfRule>
  </conditionalFormatting>
  <conditionalFormatting sqref="R705">
    <cfRule type="iconSet" priority="237">
      <iconSet iconSet="3Symbols2" showValue="0">
        <cfvo type="percent" val="0"/>
        <cfvo type="num" val="0"/>
        <cfvo type="num" val="1"/>
      </iconSet>
    </cfRule>
  </conditionalFormatting>
  <conditionalFormatting sqref="R705">
    <cfRule type="iconSet" priority="236">
      <iconSet iconSet="3Symbols2" showValue="0">
        <cfvo type="percent" val="0"/>
        <cfvo type="num" val="0"/>
        <cfvo type="num" val="1"/>
      </iconSet>
    </cfRule>
  </conditionalFormatting>
  <conditionalFormatting sqref="Q705:R705">
    <cfRule type="iconSet" priority="235">
      <iconSet iconSet="3Symbols2" showValue="0">
        <cfvo type="percent" val="0"/>
        <cfvo type="num" val="0"/>
        <cfvo type="num" val="1"/>
      </iconSet>
    </cfRule>
  </conditionalFormatting>
  <conditionalFormatting sqref="Q704">
    <cfRule type="iconSet" priority="234">
      <iconSet iconSet="3Symbols2" showValue="0">
        <cfvo type="percent" val="0"/>
        <cfvo type="num" val="0"/>
        <cfvo type="num" val="1"/>
      </iconSet>
    </cfRule>
  </conditionalFormatting>
  <conditionalFormatting sqref="R704">
    <cfRule type="iconSet" priority="233">
      <iconSet iconSet="3Symbols2" showValue="0">
        <cfvo type="percent" val="0"/>
        <cfvo type="num" val="0"/>
        <cfvo type="num" val="1"/>
      </iconSet>
    </cfRule>
  </conditionalFormatting>
  <conditionalFormatting sqref="R704">
    <cfRule type="iconSet" priority="232">
      <iconSet iconSet="3Symbols2" showValue="0">
        <cfvo type="percent" val="0"/>
        <cfvo type="num" val="0"/>
        <cfvo type="num" val="1"/>
      </iconSet>
    </cfRule>
  </conditionalFormatting>
  <conditionalFormatting sqref="Q704:R704">
    <cfRule type="iconSet" priority="231">
      <iconSet iconSet="3Symbols2" showValue="0">
        <cfvo type="percent" val="0"/>
        <cfvo type="num" val="0"/>
        <cfvo type="num" val="1"/>
      </iconSet>
    </cfRule>
  </conditionalFormatting>
  <conditionalFormatting sqref="Q706:Q710">
    <cfRule type="iconSet" priority="230">
      <iconSet iconSet="3Symbols2" showValue="0">
        <cfvo type="percent" val="0"/>
        <cfvo type="num" val="0"/>
        <cfvo type="num" val="1"/>
      </iconSet>
    </cfRule>
  </conditionalFormatting>
  <conditionalFormatting sqref="R706:R710">
    <cfRule type="iconSet" priority="229">
      <iconSet iconSet="3Symbols2" showValue="0">
        <cfvo type="percent" val="0"/>
        <cfvo type="num" val="0"/>
        <cfvo type="num" val="1"/>
      </iconSet>
    </cfRule>
  </conditionalFormatting>
  <conditionalFormatting sqref="R706:R710">
    <cfRule type="iconSet" priority="228">
      <iconSet iconSet="3Symbols2" showValue="0">
        <cfvo type="percent" val="0"/>
        <cfvo type="num" val="0"/>
        <cfvo type="num" val="1"/>
      </iconSet>
    </cfRule>
  </conditionalFormatting>
  <conditionalFormatting sqref="Q706:R710">
    <cfRule type="iconSet" priority="227">
      <iconSet iconSet="3Symbols2" showValue="0">
        <cfvo type="percent" val="0"/>
        <cfvo type="num" val="0"/>
        <cfvo type="num" val="1"/>
      </iconSet>
    </cfRule>
  </conditionalFormatting>
  <conditionalFormatting sqref="Q713:Q714">
    <cfRule type="iconSet" priority="226">
      <iconSet iconSet="3Symbols2" showValue="0">
        <cfvo type="percent" val="0"/>
        <cfvo type="num" val="0"/>
        <cfvo type="num" val="1"/>
      </iconSet>
    </cfRule>
  </conditionalFormatting>
  <conditionalFormatting sqref="R713:R714">
    <cfRule type="iconSet" priority="225">
      <iconSet iconSet="3Symbols2" showValue="0">
        <cfvo type="percent" val="0"/>
        <cfvo type="num" val="0"/>
        <cfvo type="num" val="1"/>
      </iconSet>
    </cfRule>
  </conditionalFormatting>
  <conditionalFormatting sqref="R713:R714">
    <cfRule type="iconSet" priority="224">
      <iconSet iconSet="3Symbols2" showValue="0">
        <cfvo type="percent" val="0"/>
        <cfvo type="num" val="0"/>
        <cfvo type="num" val="1"/>
      </iconSet>
    </cfRule>
  </conditionalFormatting>
  <conditionalFormatting sqref="Q713:R714">
    <cfRule type="iconSet" priority="223">
      <iconSet iconSet="3Symbols2" showValue="0">
        <cfvo type="percent" val="0"/>
        <cfvo type="num" val="0"/>
        <cfvo type="num" val="1"/>
      </iconSet>
    </cfRule>
  </conditionalFormatting>
  <conditionalFormatting sqref="Q717:Q718">
    <cfRule type="iconSet" priority="222">
      <iconSet iconSet="3Symbols2" showValue="0">
        <cfvo type="percent" val="0"/>
        <cfvo type="num" val="0"/>
        <cfvo type="num" val="1"/>
      </iconSet>
    </cfRule>
  </conditionalFormatting>
  <conditionalFormatting sqref="R717:R718">
    <cfRule type="iconSet" priority="221">
      <iconSet iconSet="3Symbols2" showValue="0">
        <cfvo type="percent" val="0"/>
        <cfvo type="num" val="0"/>
        <cfvo type="num" val="1"/>
      </iconSet>
    </cfRule>
  </conditionalFormatting>
  <conditionalFormatting sqref="R717:R718">
    <cfRule type="iconSet" priority="220">
      <iconSet iconSet="3Symbols2" showValue="0">
        <cfvo type="percent" val="0"/>
        <cfvo type="num" val="0"/>
        <cfvo type="num" val="1"/>
      </iconSet>
    </cfRule>
  </conditionalFormatting>
  <conditionalFormatting sqref="Q717:R718">
    <cfRule type="iconSet" priority="219">
      <iconSet iconSet="3Symbols2" showValue="0">
        <cfvo type="percent" val="0"/>
        <cfvo type="num" val="0"/>
        <cfvo type="num" val="1"/>
      </iconSet>
    </cfRule>
  </conditionalFormatting>
  <conditionalFormatting sqref="Q678:Q680">
    <cfRule type="iconSet" priority="218">
      <iconSet iconSet="3Symbols2" showValue="0">
        <cfvo type="percent" val="0"/>
        <cfvo type="num" val="0"/>
        <cfvo type="num" val="1"/>
      </iconSet>
    </cfRule>
  </conditionalFormatting>
  <conditionalFormatting sqref="R678:R680">
    <cfRule type="iconSet" priority="217">
      <iconSet iconSet="3Symbols2" showValue="0">
        <cfvo type="percent" val="0"/>
        <cfvo type="num" val="0"/>
        <cfvo type="num" val="1"/>
      </iconSet>
    </cfRule>
  </conditionalFormatting>
  <conditionalFormatting sqref="R678:R680">
    <cfRule type="iconSet" priority="216">
      <iconSet iconSet="3Symbols2" showValue="0">
        <cfvo type="percent" val="0"/>
        <cfvo type="num" val="0"/>
        <cfvo type="num" val="1"/>
      </iconSet>
    </cfRule>
  </conditionalFormatting>
  <conditionalFormatting sqref="Q678:R680">
    <cfRule type="iconSet" priority="215">
      <iconSet iconSet="3Symbols2" showValue="0">
        <cfvo type="percent" val="0"/>
        <cfvo type="num" val="0"/>
        <cfvo type="num" val="1"/>
      </iconSet>
    </cfRule>
  </conditionalFormatting>
  <conditionalFormatting sqref="Q683:Q690">
    <cfRule type="iconSet" priority="214">
      <iconSet iconSet="3Symbols2" showValue="0">
        <cfvo type="percent" val="0"/>
        <cfvo type="num" val="0"/>
        <cfvo type="num" val="1"/>
      </iconSet>
    </cfRule>
  </conditionalFormatting>
  <conditionalFormatting sqref="R683:R690">
    <cfRule type="iconSet" priority="213">
      <iconSet iconSet="3Symbols2" showValue="0">
        <cfvo type="percent" val="0"/>
        <cfvo type="num" val="0"/>
        <cfvo type="num" val="1"/>
      </iconSet>
    </cfRule>
  </conditionalFormatting>
  <conditionalFormatting sqref="R683:R690">
    <cfRule type="iconSet" priority="212">
      <iconSet iconSet="3Symbols2" showValue="0">
        <cfvo type="percent" val="0"/>
        <cfvo type="num" val="0"/>
        <cfvo type="num" val="1"/>
      </iconSet>
    </cfRule>
  </conditionalFormatting>
  <conditionalFormatting sqref="Q688:R690">
    <cfRule type="iconSet" priority="211">
      <iconSet iconSet="3Symbols2" showValue="0">
        <cfvo type="percent" val="0"/>
        <cfvo type="num" val="0"/>
        <cfvo type="num" val="1"/>
      </iconSet>
    </cfRule>
  </conditionalFormatting>
  <conditionalFormatting sqref="Q661">
    <cfRule type="iconSet" priority="210">
      <iconSet iconSet="3Symbols2" showValue="0">
        <cfvo type="percent" val="0"/>
        <cfvo type="num" val="0"/>
        <cfvo type="num" val="1"/>
      </iconSet>
    </cfRule>
  </conditionalFormatting>
  <conditionalFormatting sqref="R661">
    <cfRule type="iconSet" priority="209">
      <iconSet iconSet="3Symbols2" showValue="0">
        <cfvo type="percent" val="0"/>
        <cfvo type="num" val="0"/>
        <cfvo type="num" val="1"/>
      </iconSet>
    </cfRule>
  </conditionalFormatting>
  <conditionalFormatting sqref="R661">
    <cfRule type="iconSet" priority="208">
      <iconSet iconSet="3Symbols2" showValue="0">
        <cfvo type="percent" val="0"/>
        <cfvo type="num" val="0"/>
        <cfvo type="num" val="1"/>
      </iconSet>
    </cfRule>
  </conditionalFormatting>
  <conditionalFormatting sqref="Q661:R661">
    <cfRule type="iconSet" priority="207">
      <iconSet iconSet="3Symbols2" showValue="0">
        <cfvo type="percent" val="0"/>
        <cfvo type="num" val="0"/>
        <cfvo type="num" val="1"/>
      </iconSet>
    </cfRule>
  </conditionalFormatting>
  <conditionalFormatting sqref="Q653:Q659">
    <cfRule type="iconSet" priority="206">
      <iconSet iconSet="3Symbols2" showValue="0">
        <cfvo type="percent" val="0"/>
        <cfvo type="num" val="0"/>
        <cfvo type="num" val="1"/>
      </iconSet>
    </cfRule>
  </conditionalFormatting>
  <conditionalFormatting sqref="R653:R659">
    <cfRule type="iconSet" priority="205">
      <iconSet iconSet="3Symbols2" showValue="0">
        <cfvo type="percent" val="0"/>
        <cfvo type="num" val="0"/>
        <cfvo type="num" val="1"/>
      </iconSet>
    </cfRule>
  </conditionalFormatting>
  <conditionalFormatting sqref="R653:R659">
    <cfRule type="iconSet" priority="204">
      <iconSet iconSet="3Symbols2" showValue="0">
        <cfvo type="percent" val="0"/>
        <cfvo type="num" val="0"/>
        <cfvo type="num" val="1"/>
      </iconSet>
    </cfRule>
  </conditionalFormatting>
  <conditionalFormatting sqref="Q653:R659">
    <cfRule type="iconSet" priority="203">
      <iconSet iconSet="3Symbols2" showValue="0">
        <cfvo type="percent" val="0"/>
        <cfvo type="num" val="0"/>
        <cfvo type="num" val="1"/>
      </iconSet>
    </cfRule>
  </conditionalFormatting>
  <conditionalFormatting sqref="Q664:Q670">
    <cfRule type="iconSet" priority="202">
      <iconSet iconSet="3Symbols2" showValue="0">
        <cfvo type="percent" val="0"/>
        <cfvo type="num" val="0"/>
        <cfvo type="num" val="1"/>
      </iconSet>
    </cfRule>
  </conditionalFormatting>
  <conditionalFormatting sqref="R664:R670">
    <cfRule type="iconSet" priority="201">
      <iconSet iconSet="3Symbols2" showValue="0">
        <cfvo type="percent" val="0"/>
        <cfvo type="num" val="0"/>
        <cfvo type="num" val="1"/>
      </iconSet>
    </cfRule>
  </conditionalFormatting>
  <conditionalFormatting sqref="R664:R670">
    <cfRule type="iconSet" priority="200">
      <iconSet iconSet="3Symbols2" showValue="0">
        <cfvo type="percent" val="0"/>
        <cfvo type="num" val="0"/>
        <cfvo type="num" val="1"/>
      </iconSet>
    </cfRule>
  </conditionalFormatting>
  <conditionalFormatting sqref="Q664:R670">
    <cfRule type="iconSet" priority="199">
      <iconSet iconSet="3Symbols2" showValue="0">
        <cfvo type="percent" val="0"/>
        <cfvo type="num" val="0"/>
        <cfvo type="num" val="1"/>
      </iconSet>
    </cfRule>
  </conditionalFormatting>
  <conditionalFormatting sqref="Q721:Q729">
    <cfRule type="iconSet" priority="198">
      <iconSet iconSet="3Symbols2" showValue="0">
        <cfvo type="percent" val="0"/>
        <cfvo type="num" val="0"/>
        <cfvo type="num" val="1"/>
      </iconSet>
    </cfRule>
  </conditionalFormatting>
  <conditionalFormatting sqref="R721:R729">
    <cfRule type="iconSet" priority="197">
      <iconSet iconSet="3Symbols2" showValue="0">
        <cfvo type="percent" val="0"/>
        <cfvo type="num" val="0"/>
        <cfvo type="num" val="1"/>
      </iconSet>
    </cfRule>
  </conditionalFormatting>
  <conditionalFormatting sqref="R721:R729">
    <cfRule type="iconSet" priority="196">
      <iconSet iconSet="3Symbols2" showValue="0">
        <cfvo type="percent" val="0"/>
        <cfvo type="num" val="0"/>
        <cfvo type="num" val="1"/>
      </iconSet>
    </cfRule>
  </conditionalFormatting>
  <conditionalFormatting sqref="Q721:R727">
    <cfRule type="iconSet" priority="195">
      <iconSet iconSet="3Symbols2" showValue="0">
        <cfvo type="percent" val="0"/>
        <cfvo type="num" val="0"/>
        <cfvo type="num" val="1"/>
      </iconSet>
    </cfRule>
  </conditionalFormatting>
  <conditionalFormatting sqref="Q728:R728">
    <cfRule type="iconSet" priority="194">
      <iconSet iconSet="3Symbols2" showValue="0">
        <cfvo type="percent" val="0"/>
        <cfvo type="num" val="0"/>
        <cfvo type="num" val="1"/>
      </iconSet>
    </cfRule>
  </conditionalFormatting>
  <conditionalFormatting sqref="Q660">
    <cfRule type="iconSet" priority="186">
      <iconSet iconSet="3Symbols2" showValue="0">
        <cfvo type="percent" val="0"/>
        <cfvo type="num" val="0"/>
        <cfvo type="num" val="1"/>
      </iconSet>
    </cfRule>
  </conditionalFormatting>
  <conditionalFormatting sqref="R660">
    <cfRule type="iconSet" priority="185">
      <iconSet iconSet="3Symbols2" showValue="0">
        <cfvo type="percent" val="0"/>
        <cfvo type="num" val="0"/>
        <cfvo type="num" val="1"/>
      </iconSet>
    </cfRule>
  </conditionalFormatting>
  <conditionalFormatting sqref="R660">
    <cfRule type="iconSet" priority="184">
      <iconSet iconSet="3Symbols2" showValue="0">
        <cfvo type="percent" val="0"/>
        <cfvo type="num" val="0"/>
        <cfvo type="num" val="1"/>
      </iconSet>
    </cfRule>
  </conditionalFormatting>
  <conditionalFormatting sqref="Q660:R660">
    <cfRule type="iconSet" priority="183">
      <iconSet iconSet="3Symbols2" showValue="0">
        <cfvo type="percent" val="0"/>
        <cfvo type="num" val="0"/>
        <cfvo type="num" val="1"/>
      </iconSet>
    </cfRule>
  </conditionalFormatting>
  <conditionalFormatting sqref="Q729:R729">
    <cfRule type="iconSet" priority="182">
      <iconSet iconSet="3Symbols2" showValue="0">
        <cfvo type="percent" val="0"/>
        <cfvo type="num" val="0"/>
        <cfvo type="num" val="1"/>
      </iconSet>
    </cfRule>
  </conditionalFormatting>
  <conditionalFormatting sqref="M2267:M2269">
    <cfRule type="iconSet" priority="181">
      <iconSet iconSet="3Symbols2" showValue="0">
        <cfvo type="percent" val="0"/>
        <cfvo type="num" val="0"/>
        <cfvo type="num" val="1"/>
      </iconSet>
    </cfRule>
  </conditionalFormatting>
  <conditionalFormatting sqref="M2267:M2269">
    <cfRule type="iconSet" priority="180">
      <iconSet iconSet="3Symbols2" showValue="0">
        <cfvo type="percent" val="0"/>
        <cfvo type="num" val="0"/>
        <cfvo type="num" val="1"/>
      </iconSet>
    </cfRule>
  </conditionalFormatting>
  <conditionalFormatting sqref="R2267:R2269">
    <cfRule type="iconSet" priority="179">
      <iconSet iconSet="3Symbols2" showValue="0">
        <cfvo type="percent" val="0"/>
        <cfvo type="num" val="0"/>
        <cfvo type="num" val="1"/>
      </iconSet>
    </cfRule>
  </conditionalFormatting>
  <conditionalFormatting sqref="R2267:R2269">
    <cfRule type="iconSet" priority="178">
      <iconSet iconSet="3Symbols2" showValue="0">
        <cfvo type="percent" val="0"/>
        <cfvo type="num" val="0"/>
        <cfvo type="num" val="1"/>
      </iconSet>
    </cfRule>
  </conditionalFormatting>
  <conditionalFormatting sqref="Q683:R687">
    <cfRule type="iconSet" priority="177">
      <iconSet iconSet="3Symbols2" showValue="0">
        <cfvo type="percent" val="0"/>
        <cfvo type="num" val="0"/>
        <cfvo type="num" val="1"/>
      </iconSet>
    </cfRule>
  </conditionalFormatting>
  <conditionalFormatting sqref="Q328:S329">
    <cfRule type="iconSet" priority="176">
      <iconSet iconSet="3Symbols2" showValue="0">
        <cfvo type="percent" val="0"/>
        <cfvo type="num" val="0"/>
        <cfvo type="num" val="1"/>
      </iconSet>
    </cfRule>
  </conditionalFormatting>
  <conditionalFormatting sqref="N328:O329">
    <cfRule type="iconSet" priority="175">
      <iconSet iconSet="3Symbols2" showValue="0">
        <cfvo type="percent" val="0"/>
        <cfvo type="num" val="0"/>
        <cfvo type="num" val="1"/>
      </iconSet>
    </cfRule>
  </conditionalFormatting>
  <conditionalFormatting sqref="J2560:J1048576 J2423:J2427 L442:L459 L587:L593 L461 L861:L866 L463 L149:L150 L154:L156 J2430:J2503 L8:P9 L96:L144 L384:L408 L541:L559 L736 Q1120:Q1143 L2503:U2503 M766:P776 M778:P780 M782:P793 M795:P809 M811:P837 M839:P843 M848:P852 M854:P866 M96:P156 L632:P632 M8:P56 L58:P95 M541:P603 M736:P763 L868:P940 L1853:Q1854 L158:P165 L10:L35 L38:L56 L539:P539 M607:P613 N604:P606 J1:J28 J442:J459 J461:J463 J539:J559 J587:J593 J1852:J1854 M615:P628 M465:P504 N505:P510 M511:P526 M529:P533 L527:P528 J527:J528 L375:P382 L2160:Q2240 J709:J736 L614:R614 J154:J207 L167:P277 M535:P538 L534:P534 O1534:P1851 L2241:L2247 N2241:Q2247 L2560:U1048576 J30:J32 J35:J37 J41:J151 J209:J244 J246 J253:J268 J272:J301 J317:J327 J343:J346 J372:J379 J381:J408 J2158:J2240 J2274:J2292 J2295 J2297 J2299:J2421 M1534:M1851 L2248:Q2266 J2247:J2269 L2267:R2269 M384:P463 L2270:Q2502 L968:P1143 L2158:Q2158 M367:P374 L367:L371 J354:J369 J305:J315 L279:P332 L1147:L1215 M1147:P1533 Q1147:Q1215 J1105:J1108 L1144:Q1146 J632:J704 L634:P734 J866:J940 J1029:J1032 J1079:J1080 J1215 J967:J971 L944 L947:L949 L953 M942:P949 L1:U5 M951:P953 L950:P950 M961:P966 L954:P960 L338:P366 M333:P337">
    <cfRule type="iconSet" priority="105921">
      <iconSet iconSet="3Symbols2" showValue="0">
        <cfvo type="percent" val="0"/>
        <cfvo type="num" val="0"/>
        <cfvo type="num" val="1"/>
      </iconSet>
    </cfRule>
  </conditionalFormatting>
  <conditionalFormatting sqref="J2298 J2296 J2293:J2294 J2241:J2246 J630:J631 J617:J621 J614 J604:J606 J583 J529:J534 J505:J509 J502 J495:J496 J492 J483:J490 J439:J440 J423:J424 J419:J420 J380 J370:J371 J316 J302:J304 J269:J271 J247:J252 J245 J208 J38:J40 J33:J34 J29 J2270:J2273 J328:J342 J347:J353">
    <cfRule type="iconSet" priority="106104">
      <iconSet iconSet="3Symbols2" showValue="0">
        <cfvo type="percent" val="0"/>
        <cfvo type="num" val="0"/>
        <cfvo type="num" val="1"/>
      </iconSet>
    </cfRule>
  </conditionalFormatting>
  <conditionalFormatting sqref="N315:O316">
    <cfRule type="iconSet" priority="106164">
      <iconSet iconSet="3Symbols2" showValue="0">
        <cfvo type="percent" val="0"/>
        <cfvo type="num" val="0"/>
        <cfvo type="num" val="1"/>
      </iconSet>
    </cfRule>
  </conditionalFormatting>
  <conditionalFormatting sqref="L640:L650">
    <cfRule type="iconSet" priority="106805">
      <iconSet iconSet="3Symbols2" showValue="0">
        <cfvo type="percent" val="0"/>
        <cfvo type="num" val="0"/>
        <cfvo type="num" val="1"/>
      </iconSet>
    </cfRule>
  </conditionalFormatting>
  <conditionalFormatting sqref="N640:N650">
    <cfRule type="iconSet" priority="106807">
      <iconSet iconSet="3Symbols2" showValue="0">
        <cfvo type="percent" val="0"/>
        <cfvo type="num" val="0"/>
        <cfvo type="num" val="1"/>
      </iconSet>
    </cfRule>
  </conditionalFormatting>
  <conditionalFormatting sqref="Q640:Q650">
    <cfRule type="iconSet" priority="107072">
      <iconSet iconSet="3Symbols2" showValue="0">
        <cfvo type="percent" val="0"/>
        <cfvo type="num" val="0"/>
        <cfvo type="num" val="1"/>
      </iconSet>
    </cfRule>
  </conditionalFormatting>
  <conditionalFormatting sqref="R640:R650">
    <cfRule type="iconSet" priority="107076">
      <iconSet iconSet="3Symbols2" showValue="0">
        <cfvo type="percent" val="0"/>
        <cfvo type="num" val="0"/>
        <cfvo type="num" val="1"/>
      </iconSet>
    </cfRule>
  </conditionalFormatting>
  <conditionalFormatting sqref="J972:J1028">
    <cfRule type="expression" dxfId="141" priority="172">
      <formula>AND($L972=1,$Q972&lt;&gt;1)</formula>
    </cfRule>
    <cfRule type="expression" dxfId="140" priority="173">
      <formula>OR($J972=1,$Q972=1)</formula>
    </cfRule>
    <cfRule type="expression" dxfId="139" priority="174">
      <formula>($I972="NA")</formula>
    </cfRule>
  </conditionalFormatting>
  <conditionalFormatting sqref="J1033:J1078">
    <cfRule type="expression" dxfId="138" priority="169">
      <formula>AND($L1033=1,$Q1033&lt;&gt;1)</formula>
    </cfRule>
    <cfRule type="expression" dxfId="137" priority="170">
      <formula>OR($J1033=1,$Q1033=1)</formula>
    </cfRule>
    <cfRule type="expression" dxfId="136" priority="171">
      <formula>($I1033="NA")</formula>
    </cfRule>
  </conditionalFormatting>
  <conditionalFormatting sqref="J1081:J1104">
    <cfRule type="expression" dxfId="135" priority="166">
      <formula>AND($L1081=1,$Q1081&lt;&gt;1)</formula>
    </cfRule>
    <cfRule type="expression" dxfId="134" priority="167">
      <formula>OR($J1081=1,$Q1081=1)</formula>
    </cfRule>
    <cfRule type="expression" dxfId="133" priority="168">
      <formula>($I1081="NA")</formula>
    </cfRule>
  </conditionalFormatting>
  <conditionalFormatting sqref="J1109:J1214">
    <cfRule type="expression" dxfId="132" priority="163">
      <formula>AND($L1109=1,$Q1109&lt;&gt;1)</formula>
    </cfRule>
    <cfRule type="expression" dxfId="131" priority="164">
      <formula>OR($J1109=1,$Q1109=1)</formula>
    </cfRule>
    <cfRule type="expression" dxfId="130" priority="165">
      <formula>($I1109="NA")</formula>
    </cfRule>
  </conditionalFormatting>
  <conditionalFormatting sqref="Q1937:Q1938 L1937:L1938 J1937:J1938">
    <cfRule type="iconSet" priority="162">
      <iconSet iconSet="3Symbols2" showValue="0">
        <cfvo type="percent" val="0"/>
        <cfvo type="num" val="0"/>
        <cfvo type="num" val="1"/>
      </iconSet>
    </cfRule>
  </conditionalFormatting>
  <conditionalFormatting sqref="L1939:L1940">
    <cfRule type="iconSet" priority="161">
      <iconSet iconSet="3Symbols2" showValue="0">
        <cfvo type="percent" val="0"/>
        <cfvo type="num" val="0"/>
        <cfvo type="num" val="1"/>
      </iconSet>
    </cfRule>
  </conditionalFormatting>
  <conditionalFormatting sqref="L1941">
    <cfRule type="iconSet" priority="160">
      <iconSet iconSet="3Symbols2" showValue="0">
        <cfvo type="percent" val="0"/>
        <cfvo type="num" val="0"/>
        <cfvo type="num" val="1"/>
      </iconSet>
    </cfRule>
  </conditionalFormatting>
  <conditionalFormatting sqref="Q1939:Q1940">
    <cfRule type="iconSet" priority="159">
      <iconSet iconSet="3Symbols2" showValue="0">
        <cfvo type="percent" val="0"/>
        <cfvo type="num" val="0"/>
        <cfvo type="num" val="1"/>
      </iconSet>
    </cfRule>
  </conditionalFormatting>
  <conditionalFormatting sqref="Q1941">
    <cfRule type="iconSet" priority="158">
      <iconSet iconSet="3Symbols2" showValue="0">
        <cfvo type="percent" val="0"/>
        <cfvo type="num" val="0"/>
        <cfvo type="num" val="1"/>
      </iconSet>
    </cfRule>
  </conditionalFormatting>
  <conditionalFormatting sqref="L1873:L1875 J1873">
    <cfRule type="iconSet" priority="157">
      <iconSet iconSet="3Symbols2" showValue="0">
        <cfvo type="percent" val="0"/>
        <cfvo type="num" val="0"/>
        <cfvo type="num" val="1"/>
      </iconSet>
    </cfRule>
  </conditionalFormatting>
  <conditionalFormatting sqref="N1898:N1899">
    <cfRule type="iconSet" priority="156">
      <iconSet iconSet="3Symbols2" showValue="0">
        <cfvo type="percent" val="0"/>
        <cfvo type="num" val="0"/>
        <cfvo type="num" val="1"/>
      </iconSet>
    </cfRule>
  </conditionalFormatting>
  <conditionalFormatting sqref="N1902:N1903">
    <cfRule type="iconSet" priority="155">
      <iconSet iconSet="3Symbols2" showValue="0">
        <cfvo type="percent" val="0"/>
        <cfvo type="num" val="0"/>
        <cfvo type="num" val="1"/>
      </iconSet>
    </cfRule>
  </conditionalFormatting>
  <conditionalFormatting sqref="N1909:N1912">
    <cfRule type="iconSet" priority="154">
      <iconSet iconSet="3Symbols2" showValue="0">
        <cfvo type="percent" val="0"/>
        <cfvo type="num" val="0"/>
        <cfvo type="num" val="1"/>
      </iconSet>
    </cfRule>
  </conditionalFormatting>
  <conditionalFormatting sqref="N1920">
    <cfRule type="iconSet" priority="153">
      <iconSet iconSet="3Symbols2" showValue="0">
        <cfvo type="percent" val="0"/>
        <cfvo type="num" val="0"/>
        <cfvo type="num" val="1"/>
      </iconSet>
    </cfRule>
  </conditionalFormatting>
  <conditionalFormatting sqref="N1933:N1934">
    <cfRule type="iconSet" priority="152">
      <iconSet iconSet="3Symbols2" showValue="0">
        <cfvo type="percent" val="0"/>
        <cfvo type="num" val="0"/>
        <cfvo type="num" val="1"/>
      </iconSet>
    </cfRule>
  </conditionalFormatting>
  <conditionalFormatting sqref="K1857">
    <cfRule type="expression" dxfId="129" priority="150">
      <formula>OR(CELL(“col”)=COLUMN(),CELL(“row”)=ROW())</formula>
    </cfRule>
    <cfRule type="expression" priority="151">
      <formula>OR(CELL(“col”)=COLUMN(),CELL(“row”)=ROW())</formula>
    </cfRule>
  </conditionalFormatting>
  <conditionalFormatting sqref="Q1860:Q1861">
    <cfRule type="expression" dxfId="128" priority="149">
      <formula>OR(CELL(“col”)=COLUMN(),CELL(“row”)=ROW())</formula>
    </cfRule>
  </conditionalFormatting>
  <conditionalFormatting sqref="N1923:N1930">
    <cfRule type="iconSet" priority="148">
      <iconSet iconSet="3Symbols2" showValue="0">
        <cfvo type="percent" val="0"/>
        <cfvo type="num" val="0"/>
        <cfvo type="num" val="1"/>
      </iconSet>
    </cfRule>
  </conditionalFormatting>
  <conditionalFormatting sqref="N1944:N1946">
    <cfRule type="iconSet" priority="147">
      <iconSet iconSet="3Symbols2" showValue="0">
        <cfvo type="percent" val="0"/>
        <cfvo type="num" val="0"/>
        <cfvo type="num" val="1"/>
      </iconSet>
    </cfRule>
  </conditionalFormatting>
  <conditionalFormatting sqref="N1948:N1964">
    <cfRule type="iconSet" priority="146">
      <iconSet iconSet="3Symbols2" showValue="0">
        <cfvo type="percent" val="0"/>
        <cfvo type="num" val="0"/>
        <cfvo type="num" val="1"/>
      </iconSet>
    </cfRule>
  </conditionalFormatting>
  <conditionalFormatting sqref="N1969">
    <cfRule type="iconSet" priority="145">
      <iconSet iconSet="3Symbols2" showValue="0">
        <cfvo type="percent" val="0"/>
        <cfvo type="num" val="0"/>
        <cfvo type="num" val="1"/>
      </iconSet>
    </cfRule>
  </conditionalFormatting>
  <conditionalFormatting sqref="N1975:N1977">
    <cfRule type="iconSet" priority="144">
      <iconSet iconSet="3Symbols2" showValue="0">
        <cfvo type="percent" val="0"/>
        <cfvo type="num" val="0"/>
        <cfvo type="num" val="1"/>
      </iconSet>
    </cfRule>
  </conditionalFormatting>
  <conditionalFormatting sqref="N1980:N1981">
    <cfRule type="iconSet" priority="143">
      <iconSet iconSet="3Symbols2" showValue="0">
        <cfvo type="percent" val="0"/>
        <cfvo type="num" val="0"/>
        <cfvo type="num" val="1"/>
      </iconSet>
    </cfRule>
  </conditionalFormatting>
  <conditionalFormatting sqref="N1984:N1986">
    <cfRule type="iconSet" priority="142">
      <iconSet iconSet="3Symbols2" showValue="0">
        <cfvo type="percent" val="0"/>
        <cfvo type="num" val="0"/>
        <cfvo type="num" val="1"/>
      </iconSet>
    </cfRule>
  </conditionalFormatting>
  <conditionalFormatting sqref="N1989:N1993">
    <cfRule type="iconSet" priority="141">
      <iconSet iconSet="3Symbols2" showValue="0">
        <cfvo type="percent" val="0"/>
        <cfvo type="num" val="0"/>
        <cfvo type="num" val="1"/>
      </iconSet>
    </cfRule>
  </conditionalFormatting>
  <conditionalFormatting sqref="N1996:N1997">
    <cfRule type="iconSet" priority="140">
      <iconSet iconSet="3Symbols2" showValue="0">
        <cfvo type="percent" val="0"/>
        <cfvo type="num" val="0"/>
        <cfvo type="num" val="1"/>
      </iconSet>
    </cfRule>
  </conditionalFormatting>
  <conditionalFormatting sqref="N2000:N2001">
    <cfRule type="iconSet" priority="139">
      <iconSet iconSet="3Symbols2" showValue="0">
        <cfvo type="percent" val="0"/>
        <cfvo type="num" val="0"/>
        <cfvo type="num" val="1"/>
      </iconSet>
    </cfRule>
  </conditionalFormatting>
  <conditionalFormatting sqref="N2004:N2006">
    <cfRule type="iconSet" priority="138">
      <iconSet iconSet="3Symbols2" showValue="0">
        <cfvo type="percent" val="0"/>
        <cfvo type="num" val="0"/>
        <cfvo type="num" val="1"/>
      </iconSet>
    </cfRule>
  </conditionalFormatting>
  <conditionalFormatting sqref="N2009">
    <cfRule type="iconSet" priority="137">
      <iconSet iconSet="3Symbols2" showValue="0">
        <cfvo type="percent" val="0"/>
        <cfvo type="num" val="0"/>
        <cfvo type="num" val="1"/>
      </iconSet>
    </cfRule>
  </conditionalFormatting>
  <conditionalFormatting sqref="N2012:N2015">
    <cfRule type="iconSet" priority="136">
      <iconSet iconSet="3Symbols2" showValue="0">
        <cfvo type="percent" val="0"/>
        <cfvo type="num" val="0"/>
        <cfvo type="num" val="1"/>
      </iconSet>
    </cfRule>
  </conditionalFormatting>
  <conditionalFormatting sqref="N2018:N2019">
    <cfRule type="iconSet" priority="135">
      <iconSet iconSet="3Symbols2" showValue="0">
        <cfvo type="percent" val="0"/>
        <cfvo type="num" val="0"/>
        <cfvo type="num" val="1"/>
      </iconSet>
    </cfRule>
  </conditionalFormatting>
  <conditionalFormatting sqref="N2022:N2023">
    <cfRule type="iconSet" priority="134">
      <iconSet iconSet="3Symbols2" showValue="0">
        <cfvo type="percent" val="0"/>
        <cfvo type="num" val="0"/>
        <cfvo type="num" val="1"/>
      </iconSet>
    </cfRule>
  </conditionalFormatting>
  <conditionalFormatting sqref="N2026">
    <cfRule type="iconSet" priority="133">
      <iconSet iconSet="3Symbols2" showValue="0">
        <cfvo type="percent" val="0"/>
        <cfvo type="num" val="0"/>
        <cfvo type="num" val="1"/>
      </iconSet>
    </cfRule>
  </conditionalFormatting>
  <conditionalFormatting sqref="N1900:N1901 N1855:N1897 N1913:N1919 N1921:N1922 N1937:N1943 N1931:N1932 N1947 N1965:N1968 N1970:N1974 N1978:N1979 N1982:N1983 N1987:N1988 N1994:N1995 N1998:N1999 N2002:N2003 N2007:N2008 N2010:N2011 N2016:N2017 N2020:N2021 N2024:N2025 N2027:N2157 N1904:N1908">
    <cfRule type="iconSet" priority="132">
      <iconSet iconSet="3Symbols2" showValue="0">
        <cfvo type="percent" val="0"/>
        <cfvo type="num" val="0"/>
        <cfvo type="num" val="1"/>
      </iconSet>
    </cfRule>
  </conditionalFormatting>
  <conditionalFormatting sqref="O1855:O2157">
    <cfRule type="iconSet" priority="131">
      <iconSet iconSet="3Symbols2" showValue="0">
        <cfvo type="percent" val="0"/>
        <cfvo type="num" val="0"/>
        <cfvo type="num" val="1"/>
      </iconSet>
    </cfRule>
  </conditionalFormatting>
  <conditionalFormatting sqref="P1855:P2157">
    <cfRule type="iconSet" priority="130">
      <iconSet iconSet="3Symbols2" showValue="0">
        <cfvo type="percent" val="0"/>
        <cfvo type="num" val="0"/>
        <cfvo type="num" val="1"/>
      </iconSet>
    </cfRule>
  </conditionalFormatting>
  <conditionalFormatting sqref="R1855:R2157">
    <cfRule type="iconSet" priority="129">
      <iconSet iconSet="3Symbols2" showValue="0">
        <cfvo type="percent" val="0"/>
        <cfvo type="num" val="0"/>
        <cfvo type="num" val="1"/>
      </iconSet>
    </cfRule>
  </conditionalFormatting>
  <conditionalFormatting sqref="S1855:S2157">
    <cfRule type="iconSet" priority="128">
      <iconSet iconSet="3Symbols2" showValue="0">
        <cfvo type="percent" val="0"/>
        <cfvo type="num" val="0"/>
        <cfvo type="num" val="1"/>
      </iconSet>
    </cfRule>
  </conditionalFormatting>
  <conditionalFormatting sqref="T1855:T2157">
    <cfRule type="iconSet" priority="127">
      <iconSet iconSet="3Symbols2" showValue="0">
        <cfvo type="percent" val="0"/>
        <cfvo type="num" val="0"/>
        <cfvo type="num" val="1"/>
      </iconSet>
    </cfRule>
  </conditionalFormatting>
  <conditionalFormatting sqref="U2073:U2089 U2091:U2120 U2122:U2123 U2125:U2157 U1855:U2033">
    <cfRule type="iconSet" priority="126">
      <iconSet iconSet="3Symbols2" showValue="0">
        <cfvo type="percent" val="0"/>
        <cfvo type="num" val="0"/>
        <cfvo type="num" val="1"/>
      </iconSet>
    </cfRule>
  </conditionalFormatting>
  <conditionalFormatting sqref="U2034:U2072 U2124 U2121 U2090">
    <cfRule type="iconSet" priority="125">
      <iconSet iconSet="3Symbols2" showValue="0">
        <cfvo type="percent" val="0"/>
        <cfvo type="num" val="0"/>
        <cfvo type="num" val="1"/>
      </iconSet>
    </cfRule>
  </conditionalFormatting>
  <conditionalFormatting sqref="M2078 M2075 M2031 M1935:M1936">
    <cfRule type="iconSet" priority="124">
      <iconSet iconSet="3Symbols2" showValue="0">
        <cfvo type="percent" val="0"/>
        <cfvo type="num" val="0"/>
        <cfvo type="num" val="1"/>
      </iconSet>
    </cfRule>
  </conditionalFormatting>
  <conditionalFormatting sqref="M1935:M1936">
    <cfRule type="iconSet" priority="123">
      <iconSet iconSet="3Symbols2" showValue="0">
        <cfvo type="percent" val="0"/>
        <cfvo type="num" val="0"/>
        <cfvo type="num" val="1"/>
      </iconSet>
    </cfRule>
  </conditionalFormatting>
  <conditionalFormatting sqref="L1855:L1861 L1866:L1872 L1942:L1971 L1973:L2037 J1855:J1872 J1939:J2033 L1877:L1907 N1935:Q1936 J1911:J1932 Q1942:Q2037 J1935:J1936 J2035:J2036 J2039:J2040 J2042:J2043 J2046:J2047 J2052:J2053 J2056:J2057 J2060:J2061 J2064:J2065 J2070:J2071 J2073:J2089 J2091:J2120 J2122:J2123 J2125:J2157 M1937:P2037 L2038:Q2157 L1909:L1936 M1909:Q1934 J1874:J1908 L1908:Q1908 M1855:Q1907">
    <cfRule type="iconSet" priority="122">
      <iconSet iconSet="3Symbols2" showValue="0">
        <cfvo type="percent" val="0"/>
        <cfvo type="num" val="0"/>
        <cfvo type="num" val="1"/>
      </iconSet>
    </cfRule>
  </conditionalFormatting>
  <conditionalFormatting sqref="J2072 J2062:J2063 J2058:J2059 J2054:J2055 J2048:J2051 J2044:J2045 J2041 J2034 J1933:J1934 J1909:J1910 J2037:J2038 J2090 J2066:J2069 J2124 J2121">
    <cfRule type="iconSet" priority="121">
      <iconSet iconSet="3Symbols2" showValue="0">
        <cfvo type="percent" val="0"/>
        <cfvo type="num" val="0"/>
        <cfvo type="num" val="1"/>
      </iconSet>
    </cfRule>
  </conditionalFormatting>
  <conditionalFormatting sqref="J811:J812 J782:J783 J778:J779 J795:J796 J854:J855 J850:J852 J740:J741 J745:J746 J757 J766:J767 J770:J771 J786:J787 J790:J791 J798:J799 J804:J805 J816:J817 J836:J837 J842:J843 J839:J840">
    <cfRule type="iconSet" priority="120">
      <iconSet iconSet="3Symbols2" showValue="0">
        <cfvo type="percent" val="0"/>
        <cfvo type="num" val="0"/>
        <cfvo type="num" val="1"/>
      </iconSet>
    </cfRule>
  </conditionalFormatting>
  <conditionalFormatting sqref="J848:J849 J841 J818:J835 J813:J815 J806:J809 J800:J803 J797 J792:J793 J788:J789 J784:J785 J780 J772:J776 J768:J769 J758:J763 J747:J756 J742:J744 J738:J739">
    <cfRule type="iconSet" priority="119">
      <iconSet iconSet="3Symbols2" showValue="0">
        <cfvo type="percent" val="0"/>
        <cfvo type="num" val="0"/>
        <cfvo type="num" val="1"/>
      </iconSet>
    </cfRule>
  </conditionalFormatting>
  <conditionalFormatting sqref="J856:J865">
    <cfRule type="iconSet" priority="118">
      <iconSet iconSet="3Symbols2" showValue="0">
        <cfvo type="percent" val="0"/>
        <cfvo type="num" val="0"/>
        <cfvo type="num" val="1"/>
      </iconSet>
    </cfRule>
  </conditionalFormatting>
  <conditionalFormatting sqref="J853 J844:J847 J838 J810 J794 J781 J777 J764:J765">
    <cfRule type="iconSet" priority="117">
      <iconSet iconSet="3Symbols2" showValue="0">
        <cfvo type="percent" val="0"/>
        <cfvo type="num" val="0"/>
        <cfvo type="num" val="1"/>
      </iconSet>
    </cfRule>
  </conditionalFormatting>
  <conditionalFormatting sqref="B57:E57">
    <cfRule type="expression" dxfId="127" priority="116">
      <formula>AND($L57=1,$Q57&lt;&gt;1)</formula>
    </cfRule>
  </conditionalFormatting>
  <conditionalFormatting sqref="B166:E166">
    <cfRule type="expression" dxfId="126" priority="115">
      <formula>AND($L166=1,$Q166&lt;&gt;1)</formula>
    </cfRule>
  </conditionalFormatting>
  <conditionalFormatting sqref="B278:E278">
    <cfRule type="expression" dxfId="125" priority="114">
      <formula>AND($L278=1,$Q278&lt;&gt;1)</formula>
    </cfRule>
  </conditionalFormatting>
  <conditionalFormatting sqref="B383:E383">
    <cfRule type="expression" dxfId="124" priority="113">
      <formula>AND($L383=1,$Q383&lt;&gt;1)</formula>
    </cfRule>
  </conditionalFormatting>
  <conditionalFormatting sqref="B464:E464">
    <cfRule type="expression" dxfId="123" priority="112">
      <formula>AND($L464=1,$Q464&lt;&gt;1)</formula>
    </cfRule>
  </conditionalFormatting>
  <conditionalFormatting sqref="B540:E540">
    <cfRule type="expression" dxfId="122" priority="111">
      <formula>AND($L540=1,$Q540&lt;&gt;1)</formula>
    </cfRule>
  </conditionalFormatting>
  <conditionalFormatting sqref="B633:E633">
    <cfRule type="expression" dxfId="121" priority="110">
      <formula>AND($L633=1,$Q633&lt;&gt;1)</formula>
    </cfRule>
  </conditionalFormatting>
  <conditionalFormatting sqref="B735:E735">
    <cfRule type="expression" dxfId="120" priority="109">
      <formula>AND($L735=1,$Q735&lt;&gt;1)</formula>
    </cfRule>
  </conditionalFormatting>
  <conditionalFormatting sqref="B867:E867">
    <cfRule type="expression" dxfId="119" priority="108">
      <formula>AND($L867=1,$Q867&lt;&gt;1)</formula>
    </cfRule>
  </conditionalFormatting>
  <conditionalFormatting sqref="B941:E941">
    <cfRule type="expression" dxfId="118" priority="107">
      <formula>AND($L941=1,$Q941&lt;&gt;1)</formula>
    </cfRule>
  </conditionalFormatting>
  <conditionalFormatting sqref="B967:E967">
    <cfRule type="expression" dxfId="117" priority="106">
      <formula>AND($L967=1,$Q967&lt;&gt;1)</formula>
    </cfRule>
  </conditionalFormatting>
  <conditionalFormatting sqref="B1852:E1852">
    <cfRule type="expression" dxfId="116" priority="105">
      <formula>AND($L1852=1,$Q1852&lt;&gt;1)</formula>
    </cfRule>
  </conditionalFormatting>
  <conditionalFormatting sqref="B2159:E2159">
    <cfRule type="expression" dxfId="115" priority="104">
      <formula>AND($L2159=1,$Q2159&lt;&gt;1)</formula>
    </cfRule>
  </conditionalFormatting>
  <conditionalFormatting sqref="L951 L946">
    <cfRule type="iconSet" priority="110666">
      <iconSet iconSet="3Symbols2" showValue="0">
        <cfvo type="percent" val="0"/>
        <cfvo type="num" val="0"/>
        <cfvo type="num" val="1"/>
      </iconSet>
    </cfRule>
  </conditionalFormatting>
  <conditionalFormatting sqref="L965:L966 L952 L945 J943:J960 J965:J966">
    <cfRule type="iconSet" priority="111694">
      <iconSet iconSet="3Symbols2" showValue="0">
        <cfvo type="percent" val="0"/>
        <cfvo type="num" val="0"/>
        <cfvo type="num" val="1"/>
      </iconSet>
    </cfRule>
  </conditionalFormatting>
  <conditionalFormatting sqref="L951">
    <cfRule type="iconSet" priority="111700">
      <iconSet iconSet="3Symbols2" showValue="0">
        <cfvo type="percent" val="0"/>
        <cfvo type="num" val="0"/>
        <cfvo type="num" val="1"/>
      </iconSet>
    </cfRule>
  </conditionalFormatting>
  <conditionalFormatting sqref="M951 M946">
    <cfRule type="iconSet" priority="111704">
      <iconSet iconSet="3Symbols2" showValue="0">
        <cfvo type="percent" val="0"/>
        <cfvo type="num" val="0"/>
        <cfvo type="num" val="1"/>
      </iconSet>
    </cfRule>
  </conditionalFormatting>
  <conditionalFormatting sqref="B944:E944">
    <cfRule type="expression" dxfId="114" priority="85">
      <formula>AND($L944=1,$Q944&lt;&gt;1)</formula>
    </cfRule>
    <cfRule type="expression" dxfId="113" priority="86">
      <formula>OR($J944=1,$Q944=1)</formula>
    </cfRule>
    <cfRule type="expression" dxfId="112" priority="87">
      <formula>($I944="NA")</formula>
    </cfRule>
  </conditionalFormatting>
  <conditionalFormatting sqref="L944">
    <cfRule type="iconSet" priority="112823">
      <iconSet iconSet="3Symbols2" showValue="0">
        <cfvo type="percent" val="0"/>
        <cfvo type="num" val="0"/>
        <cfvo type="num" val="1"/>
      </iconSet>
    </cfRule>
  </conditionalFormatting>
  <conditionalFormatting sqref="M944">
    <cfRule type="iconSet" priority="112824">
      <iconSet iconSet="3Symbols2" showValue="0">
        <cfvo type="percent" val="0"/>
        <cfvo type="num" val="0"/>
        <cfvo type="num" val="1"/>
      </iconSet>
    </cfRule>
  </conditionalFormatting>
  <conditionalFormatting sqref="L947:L950">
    <cfRule type="iconSet" priority="113862">
      <iconSet iconSet="3Symbols2" showValue="0">
        <cfvo type="percent" val="0"/>
        <cfvo type="num" val="0"/>
        <cfvo type="num" val="1"/>
      </iconSet>
    </cfRule>
  </conditionalFormatting>
  <conditionalFormatting sqref="M947:M950">
    <cfRule type="iconSet" priority="113863">
      <iconSet iconSet="3Symbols2" showValue="0">
        <cfvo type="percent" val="0"/>
        <cfvo type="num" val="0"/>
        <cfvo type="num" val="1"/>
      </iconSet>
    </cfRule>
  </conditionalFormatting>
  <conditionalFormatting sqref="L953:L960">
    <cfRule type="iconSet" priority="114898">
      <iconSet iconSet="3Symbols2" showValue="0">
        <cfvo type="percent" val="0"/>
        <cfvo type="num" val="0"/>
        <cfvo type="num" val="1"/>
      </iconSet>
    </cfRule>
  </conditionalFormatting>
  <conditionalFormatting sqref="M953:M960">
    <cfRule type="iconSet" priority="114899">
      <iconSet iconSet="3Symbols2" showValue="0">
        <cfvo type="percent" val="0"/>
        <cfvo type="num" val="0"/>
        <cfvo type="num" val="1"/>
      </iconSet>
    </cfRule>
  </conditionalFormatting>
  <conditionalFormatting sqref="O946:O947 N943:N945 N948:N950 O951:O960 O965:O966">
    <cfRule type="iconSet" priority="114900">
      <iconSet iconSet="3Symbols2" showValue="0">
        <cfvo type="percent" val="0"/>
        <cfvo type="num" val="0"/>
        <cfvo type="num" val="1"/>
      </iconSet>
    </cfRule>
  </conditionalFormatting>
  <conditionalFormatting sqref="J941:J942 L942">
    <cfRule type="iconSet" priority="114906">
      <iconSet iconSet="3Symbols2" showValue="0">
        <cfvo type="percent" val="0"/>
        <cfvo type="num" val="0"/>
        <cfvo type="num" val="1"/>
      </iconSet>
    </cfRule>
  </conditionalFormatting>
  <conditionalFormatting sqref="L943">
    <cfRule type="iconSet" priority="116896">
      <iconSet iconSet="3Symbols2" showValue="0">
        <cfvo type="percent" val="0"/>
        <cfvo type="num" val="0"/>
        <cfvo type="num" val="1"/>
      </iconSet>
    </cfRule>
  </conditionalFormatting>
  <conditionalFormatting sqref="Q942:Q960 Q965:Q966">
    <cfRule type="iconSet" priority="117901">
      <iconSet iconSet="3Symbols2" showValue="0">
        <cfvo type="percent" val="0"/>
        <cfvo type="num" val="0"/>
        <cfvo type="num" val="1"/>
      </iconSet>
    </cfRule>
  </conditionalFormatting>
  <conditionalFormatting sqref="R947:R948">
    <cfRule type="iconSet" priority="84">
      <iconSet iconSet="3Symbols2" showValue="0">
        <cfvo type="percent" val="0"/>
        <cfvo type="num" val="0"/>
        <cfvo type="num" val="1"/>
      </iconSet>
    </cfRule>
  </conditionalFormatting>
  <conditionalFormatting sqref="S947:S948">
    <cfRule type="iconSet" priority="83">
      <iconSet iconSet="3Symbols2" showValue="0">
        <cfvo type="percent" val="0"/>
        <cfvo type="num" val="0"/>
        <cfvo type="num" val="1"/>
      </iconSet>
    </cfRule>
  </conditionalFormatting>
  <conditionalFormatting sqref="R953:R955">
    <cfRule type="iconSet" priority="82">
      <iconSet iconSet="3Symbols2" showValue="0">
        <cfvo type="percent" val="0"/>
        <cfvo type="num" val="0"/>
        <cfvo type="num" val="1"/>
      </iconSet>
    </cfRule>
  </conditionalFormatting>
  <conditionalFormatting sqref="S953:S955">
    <cfRule type="iconSet" priority="81">
      <iconSet iconSet="3Symbols2" showValue="0">
        <cfvo type="percent" val="0"/>
        <cfvo type="num" val="0"/>
        <cfvo type="num" val="1"/>
      </iconSet>
    </cfRule>
  </conditionalFormatting>
  <conditionalFormatting sqref="R958:R959">
    <cfRule type="iconSet" priority="80">
      <iconSet iconSet="3Symbols2" showValue="0">
        <cfvo type="percent" val="0"/>
        <cfvo type="num" val="0"/>
        <cfvo type="num" val="1"/>
      </iconSet>
    </cfRule>
  </conditionalFormatting>
  <conditionalFormatting sqref="S958:S959">
    <cfRule type="iconSet" priority="79">
      <iconSet iconSet="3Symbols2" showValue="0">
        <cfvo type="percent" val="0"/>
        <cfvo type="num" val="0"/>
        <cfvo type="num" val="1"/>
      </iconSet>
    </cfRule>
  </conditionalFormatting>
  <conditionalFormatting sqref="S1534:S1636">
    <cfRule type="iconSet" priority="78">
      <iconSet iconSet="3Symbols2" showValue="0">
        <cfvo type="percent" val="0"/>
        <cfvo type="num" val="0"/>
        <cfvo type="num" val="1"/>
      </iconSet>
    </cfRule>
  </conditionalFormatting>
  <conditionalFormatting sqref="S1748:S1850">
    <cfRule type="iconSet" priority="77">
      <iconSet iconSet="3Symbols2" showValue="0">
        <cfvo type="percent" val="0"/>
        <cfvo type="num" val="0"/>
        <cfvo type="num" val="1"/>
      </iconSet>
    </cfRule>
  </conditionalFormatting>
  <conditionalFormatting sqref="L333:L337">
    <cfRule type="iconSet" priority="76">
      <iconSet iconSet="3Symbols2" showValue="0">
        <cfvo type="percent" val="0"/>
        <cfvo type="num" val="0"/>
        <cfvo type="num" val="1"/>
      </iconSet>
    </cfRule>
  </conditionalFormatting>
  <conditionalFormatting sqref="Q333:Q337">
    <cfRule type="iconSet" priority="75">
      <iconSet iconSet="3Symbols2" showValue="0">
        <cfvo type="percent" val="0"/>
        <cfvo type="num" val="0"/>
        <cfvo type="num" val="1"/>
      </iconSet>
    </cfRule>
  </conditionalFormatting>
  <conditionalFormatting sqref="T333:T337">
    <cfRule type="iconSet" priority="74">
      <iconSet iconSet="3Symbols2" showValue="0">
        <cfvo type="percent" val="0"/>
        <cfvo type="num" val="0"/>
        <cfvo type="num" val="1"/>
      </iconSet>
    </cfRule>
  </conditionalFormatting>
  <conditionalFormatting sqref="T333:T337">
    <cfRule type="iconSet" priority="73">
      <iconSet iconSet="3Symbols2" showValue="0">
        <cfvo type="percent" val="0"/>
        <cfvo type="num" val="0"/>
        <cfvo type="num" val="1"/>
      </iconSet>
    </cfRule>
  </conditionalFormatting>
  <conditionalFormatting sqref="Q1321:Q1326">
    <cfRule type="iconSet" priority="72">
      <iconSet iconSet="3Symbols2" showValue="0">
        <cfvo type="percent" val="0"/>
        <cfvo type="num" val="0"/>
        <cfvo type="num" val="1"/>
      </iconSet>
    </cfRule>
  </conditionalFormatting>
  <conditionalFormatting sqref="Q1321:Q1326">
    <cfRule type="iconSet" priority="71">
      <iconSet iconSet="3Symbols2" showValue="0">
        <cfvo type="percent" val="0"/>
        <cfvo type="num" val="0"/>
        <cfvo type="num" val="1"/>
      </iconSet>
    </cfRule>
  </conditionalFormatting>
  <conditionalFormatting sqref="T1321:T1326">
    <cfRule type="iconSet" priority="70">
      <iconSet iconSet="3Symbols2" showValue="0">
        <cfvo type="percent" val="0"/>
        <cfvo type="num" val="0"/>
        <cfvo type="num" val="1"/>
      </iconSet>
    </cfRule>
  </conditionalFormatting>
  <conditionalFormatting sqref="T1321:T1326">
    <cfRule type="iconSet" priority="69">
      <iconSet iconSet="3Symbols2" showValue="0">
        <cfvo type="percent" val="0"/>
        <cfvo type="num" val="0"/>
        <cfvo type="num" val="1"/>
      </iconSet>
    </cfRule>
  </conditionalFormatting>
  <conditionalFormatting sqref="Q1329:Q1331">
    <cfRule type="iconSet" priority="68">
      <iconSet iconSet="3Symbols2" showValue="0">
        <cfvo type="percent" val="0"/>
        <cfvo type="num" val="0"/>
        <cfvo type="num" val="1"/>
      </iconSet>
    </cfRule>
  </conditionalFormatting>
  <conditionalFormatting sqref="Q1329:Q1331">
    <cfRule type="iconSet" priority="67">
      <iconSet iconSet="3Symbols2" showValue="0">
        <cfvo type="percent" val="0"/>
        <cfvo type="num" val="0"/>
        <cfvo type="num" val="1"/>
      </iconSet>
    </cfRule>
  </conditionalFormatting>
  <conditionalFormatting sqref="T1329:T1331">
    <cfRule type="iconSet" priority="66">
      <iconSet iconSet="3Symbols2" showValue="0">
        <cfvo type="percent" val="0"/>
        <cfvo type="num" val="0"/>
        <cfvo type="num" val="1"/>
      </iconSet>
    </cfRule>
  </conditionalFormatting>
  <conditionalFormatting sqref="T1329:T1331">
    <cfRule type="iconSet" priority="65">
      <iconSet iconSet="3Symbols2" showValue="0">
        <cfvo type="percent" val="0"/>
        <cfvo type="num" val="0"/>
        <cfvo type="num" val="1"/>
      </iconSet>
    </cfRule>
  </conditionalFormatting>
  <conditionalFormatting sqref="Q1334:Q1335">
    <cfRule type="iconSet" priority="64">
      <iconSet iconSet="3Symbols2" showValue="0">
        <cfvo type="percent" val="0"/>
        <cfvo type="num" val="0"/>
        <cfvo type="num" val="1"/>
      </iconSet>
    </cfRule>
  </conditionalFormatting>
  <conditionalFormatting sqref="Q1334:Q1335">
    <cfRule type="iconSet" priority="63">
      <iconSet iconSet="3Symbols2" showValue="0">
        <cfvo type="percent" val="0"/>
        <cfvo type="num" val="0"/>
        <cfvo type="num" val="1"/>
      </iconSet>
    </cfRule>
  </conditionalFormatting>
  <conditionalFormatting sqref="T1334:T1335">
    <cfRule type="iconSet" priority="62">
      <iconSet iconSet="3Symbols2" showValue="0">
        <cfvo type="percent" val="0"/>
        <cfvo type="num" val="0"/>
        <cfvo type="num" val="1"/>
      </iconSet>
    </cfRule>
  </conditionalFormatting>
  <conditionalFormatting sqref="T1334:T1335">
    <cfRule type="iconSet" priority="61">
      <iconSet iconSet="3Symbols2" showValue="0">
        <cfvo type="percent" val="0"/>
        <cfvo type="num" val="0"/>
        <cfvo type="num" val="1"/>
      </iconSet>
    </cfRule>
  </conditionalFormatting>
  <conditionalFormatting sqref="Q1338:Q1341">
    <cfRule type="iconSet" priority="60">
      <iconSet iconSet="3Symbols2" showValue="0">
        <cfvo type="percent" val="0"/>
        <cfvo type="num" val="0"/>
        <cfvo type="num" val="1"/>
      </iconSet>
    </cfRule>
  </conditionalFormatting>
  <conditionalFormatting sqref="Q1338:Q1341">
    <cfRule type="iconSet" priority="59">
      <iconSet iconSet="3Symbols2" showValue="0">
        <cfvo type="percent" val="0"/>
        <cfvo type="num" val="0"/>
        <cfvo type="num" val="1"/>
      </iconSet>
    </cfRule>
  </conditionalFormatting>
  <conditionalFormatting sqref="T1338:T1341">
    <cfRule type="iconSet" priority="58">
      <iconSet iconSet="3Symbols2" showValue="0">
        <cfvo type="percent" val="0"/>
        <cfvo type="num" val="0"/>
        <cfvo type="num" val="1"/>
      </iconSet>
    </cfRule>
  </conditionalFormatting>
  <conditionalFormatting sqref="T1338:T1341">
    <cfRule type="iconSet" priority="57">
      <iconSet iconSet="3Symbols2" showValue="0">
        <cfvo type="percent" val="0"/>
        <cfvo type="num" val="0"/>
        <cfvo type="num" val="1"/>
      </iconSet>
    </cfRule>
  </conditionalFormatting>
  <conditionalFormatting sqref="Q1344:Q1345">
    <cfRule type="iconSet" priority="56">
      <iconSet iconSet="3Symbols2" showValue="0">
        <cfvo type="percent" val="0"/>
        <cfvo type="num" val="0"/>
        <cfvo type="num" val="1"/>
      </iconSet>
    </cfRule>
  </conditionalFormatting>
  <conditionalFormatting sqref="Q1344:Q1345">
    <cfRule type="iconSet" priority="55">
      <iconSet iconSet="3Symbols2" showValue="0">
        <cfvo type="percent" val="0"/>
        <cfvo type="num" val="0"/>
        <cfvo type="num" val="1"/>
      </iconSet>
    </cfRule>
  </conditionalFormatting>
  <conditionalFormatting sqref="T1344:T1345">
    <cfRule type="iconSet" priority="54">
      <iconSet iconSet="3Symbols2" showValue="0">
        <cfvo type="percent" val="0"/>
        <cfvo type="num" val="0"/>
        <cfvo type="num" val="1"/>
      </iconSet>
    </cfRule>
  </conditionalFormatting>
  <conditionalFormatting sqref="T1344:T1345">
    <cfRule type="iconSet" priority="53">
      <iconSet iconSet="3Symbols2" showValue="0">
        <cfvo type="percent" val="0"/>
        <cfvo type="num" val="0"/>
        <cfvo type="num" val="1"/>
      </iconSet>
    </cfRule>
  </conditionalFormatting>
  <conditionalFormatting sqref="Q1348:Q1350">
    <cfRule type="iconSet" priority="52">
      <iconSet iconSet="3Symbols2" showValue="0">
        <cfvo type="percent" val="0"/>
        <cfvo type="num" val="0"/>
        <cfvo type="num" val="1"/>
      </iconSet>
    </cfRule>
  </conditionalFormatting>
  <conditionalFormatting sqref="Q1348:Q1350">
    <cfRule type="iconSet" priority="51">
      <iconSet iconSet="3Symbols2" showValue="0">
        <cfvo type="percent" val="0"/>
        <cfvo type="num" val="0"/>
        <cfvo type="num" val="1"/>
      </iconSet>
    </cfRule>
  </conditionalFormatting>
  <conditionalFormatting sqref="T1348:T1350">
    <cfRule type="iconSet" priority="50">
      <iconSet iconSet="3Symbols2" showValue="0">
        <cfvo type="percent" val="0"/>
        <cfvo type="num" val="0"/>
        <cfvo type="num" val="1"/>
      </iconSet>
    </cfRule>
  </conditionalFormatting>
  <conditionalFormatting sqref="T1348:T1350">
    <cfRule type="iconSet" priority="49">
      <iconSet iconSet="3Symbols2" showValue="0">
        <cfvo type="percent" val="0"/>
        <cfvo type="num" val="0"/>
        <cfvo type="num" val="1"/>
      </iconSet>
    </cfRule>
  </conditionalFormatting>
  <conditionalFormatting sqref="Q1353:Q1355">
    <cfRule type="iconSet" priority="48">
      <iconSet iconSet="3Symbols2" showValue="0">
        <cfvo type="percent" val="0"/>
        <cfvo type="num" val="0"/>
        <cfvo type="num" val="1"/>
      </iconSet>
    </cfRule>
  </conditionalFormatting>
  <conditionalFormatting sqref="Q1353:Q1355">
    <cfRule type="iconSet" priority="47">
      <iconSet iconSet="3Symbols2" showValue="0">
        <cfvo type="percent" val="0"/>
        <cfvo type="num" val="0"/>
        <cfvo type="num" val="1"/>
      </iconSet>
    </cfRule>
  </conditionalFormatting>
  <conditionalFormatting sqref="T1353:T1355">
    <cfRule type="iconSet" priority="46">
      <iconSet iconSet="3Symbols2" showValue="0">
        <cfvo type="percent" val="0"/>
        <cfvo type="num" val="0"/>
        <cfvo type="num" val="1"/>
      </iconSet>
    </cfRule>
  </conditionalFormatting>
  <conditionalFormatting sqref="T1353:T1355">
    <cfRule type="iconSet" priority="45">
      <iconSet iconSet="3Symbols2" showValue="0">
        <cfvo type="percent" val="0"/>
        <cfvo type="num" val="0"/>
        <cfvo type="num" val="1"/>
      </iconSet>
    </cfRule>
  </conditionalFormatting>
  <conditionalFormatting sqref="Q1358:Q1361">
    <cfRule type="iconSet" priority="44">
      <iconSet iconSet="3Symbols2" showValue="0">
        <cfvo type="percent" val="0"/>
        <cfvo type="num" val="0"/>
        <cfvo type="num" val="1"/>
      </iconSet>
    </cfRule>
  </conditionalFormatting>
  <conditionalFormatting sqref="Q1358:Q1361">
    <cfRule type="iconSet" priority="43">
      <iconSet iconSet="3Symbols2" showValue="0">
        <cfvo type="percent" val="0"/>
        <cfvo type="num" val="0"/>
        <cfvo type="num" val="1"/>
      </iconSet>
    </cfRule>
  </conditionalFormatting>
  <conditionalFormatting sqref="T1358:T1361">
    <cfRule type="iconSet" priority="42">
      <iconSet iconSet="3Symbols2" showValue="0">
        <cfvo type="percent" val="0"/>
        <cfvo type="num" val="0"/>
        <cfvo type="num" val="1"/>
      </iconSet>
    </cfRule>
  </conditionalFormatting>
  <conditionalFormatting sqref="T1358:T1361">
    <cfRule type="iconSet" priority="41">
      <iconSet iconSet="3Symbols2" showValue="0">
        <cfvo type="percent" val="0"/>
        <cfvo type="num" val="0"/>
        <cfvo type="num" val="1"/>
      </iconSet>
    </cfRule>
  </conditionalFormatting>
  <conditionalFormatting sqref="Q1364:Q1368">
    <cfRule type="iconSet" priority="40">
      <iconSet iconSet="3Symbols2" showValue="0">
        <cfvo type="percent" val="0"/>
        <cfvo type="num" val="0"/>
        <cfvo type="num" val="1"/>
      </iconSet>
    </cfRule>
  </conditionalFormatting>
  <conditionalFormatting sqref="Q1364:Q1368">
    <cfRule type="iconSet" priority="39">
      <iconSet iconSet="3Symbols2" showValue="0">
        <cfvo type="percent" val="0"/>
        <cfvo type="num" val="0"/>
        <cfvo type="num" val="1"/>
      </iconSet>
    </cfRule>
  </conditionalFormatting>
  <conditionalFormatting sqref="T1364:T1368">
    <cfRule type="iconSet" priority="38">
      <iconSet iconSet="3Symbols2" showValue="0">
        <cfvo type="percent" val="0"/>
        <cfvo type="num" val="0"/>
        <cfvo type="num" val="1"/>
      </iconSet>
    </cfRule>
  </conditionalFormatting>
  <conditionalFormatting sqref="T1364:T1368">
    <cfRule type="iconSet" priority="37">
      <iconSet iconSet="3Symbols2" showValue="0">
        <cfvo type="percent" val="0"/>
        <cfvo type="num" val="0"/>
        <cfvo type="num" val="1"/>
      </iconSet>
    </cfRule>
  </conditionalFormatting>
  <conditionalFormatting sqref="Q1371:Q1372">
    <cfRule type="iconSet" priority="36">
      <iconSet iconSet="3Symbols2" showValue="0">
        <cfvo type="percent" val="0"/>
        <cfvo type="num" val="0"/>
        <cfvo type="num" val="1"/>
      </iconSet>
    </cfRule>
  </conditionalFormatting>
  <conditionalFormatting sqref="Q1371:Q1372">
    <cfRule type="iconSet" priority="35">
      <iconSet iconSet="3Symbols2" showValue="0">
        <cfvo type="percent" val="0"/>
        <cfvo type="num" val="0"/>
        <cfvo type="num" val="1"/>
      </iconSet>
    </cfRule>
  </conditionalFormatting>
  <conditionalFormatting sqref="T1371:T1372">
    <cfRule type="iconSet" priority="34">
      <iconSet iconSet="3Symbols2" showValue="0">
        <cfvo type="percent" val="0"/>
        <cfvo type="num" val="0"/>
        <cfvo type="num" val="1"/>
      </iconSet>
    </cfRule>
  </conditionalFormatting>
  <conditionalFormatting sqref="T1371:T1372">
    <cfRule type="iconSet" priority="33">
      <iconSet iconSet="3Symbols2" showValue="0">
        <cfvo type="percent" val="0"/>
        <cfvo type="num" val="0"/>
        <cfvo type="num" val="1"/>
      </iconSet>
    </cfRule>
  </conditionalFormatting>
  <conditionalFormatting sqref="Q1375:Q1378">
    <cfRule type="iconSet" priority="32">
      <iconSet iconSet="3Symbols2" showValue="0">
        <cfvo type="percent" val="0"/>
        <cfvo type="num" val="0"/>
        <cfvo type="num" val="1"/>
      </iconSet>
    </cfRule>
  </conditionalFormatting>
  <conditionalFormatting sqref="Q1375:Q1378">
    <cfRule type="iconSet" priority="31">
      <iconSet iconSet="3Symbols2" showValue="0">
        <cfvo type="percent" val="0"/>
        <cfvo type="num" val="0"/>
        <cfvo type="num" val="1"/>
      </iconSet>
    </cfRule>
  </conditionalFormatting>
  <conditionalFormatting sqref="T1375:T1378">
    <cfRule type="iconSet" priority="30">
      <iconSet iconSet="3Symbols2" showValue="0">
        <cfvo type="percent" val="0"/>
        <cfvo type="num" val="0"/>
        <cfvo type="num" val="1"/>
      </iconSet>
    </cfRule>
  </conditionalFormatting>
  <conditionalFormatting sqref="T1375:T1378">
    <cfRule type="iconSet" priority="29">
      <iconSet iconSet="3Symbols2" showValue="0">
        <cfvo type="percent" val="0"/>
        <cfvo type="num" val="0"/>
        <cfvo type="num" val="1"/>
      </iconSet>
    </cfRule>
  </conditionalFormatting>
  <conditionalFormatting sqref="Q1381:Q1382">
    <cfRule type="iconSet" priority="28">
      <iconSet iconSet="3Symbols2" showValue="0">
        <cfvo type="percent" val="0"/>
        <cfvo type="num" val="0"/>
        <cfvo type="num" val="1"/>
      </iconSet>
    </cfRule>
  </conditionalFormatting>
  <conditionalFormatting sqref="Q1381:Q1382">
    <cfRule type="iconSet" priority="27">
      <iconSet iconSet="3Symbols2" showValue="0">
        <cfvo type="percent" val="0"/>
        <cfvo type="num" val="0"/>
        <cfvo type="num" val="1"/>
      </iconSet>
    </cfRule>
  </conditionalFormatting>
  <conditionalFormatting sqref="T1381:T1382">
    <cfRule type="iconSet" priority="26">
      <iconSet iconSet="3Symbols2" showValue="0">
        <cfvo type="percent" val="0"/>
        <cfvo type="num" val="0"/>
        <cfvo type="num" val="1"/>
      </iconSet>
    </cfRule>
  </conditionalFormatting>
  <conditionalFormatting sqref="T1381:T1382">
    <cfRule type="iconSet" priority="25">
      <iconSet iconSet="3Symbols2" showValue="0">
        <cfvo type="percent" val="0"/>
        <cfvo type="num" val="0"/>
        <cfvo type="num" val="1"/>
      </iconSet>
    </cfRule>
  </conditionalFormatting>
  <conditionalFormatting sqref="Q1384:Q1385">
    <cfRule type="iconSet" priority="24">
      <iconSet iconSet="3Symbols2" showValue="0">
        <cfvo type="percent" val="0"/>
        <cfvo type="num" val="0"/>
        <cfvo type="num" val="1"/>
      </iconSet>
    </cfRule>
  </conditionalFormatting>
  <conditionalFormatting sqref="Q1384:Q1385">
    <cfRule type="iconSet" priority="23">
      <iconSet iconSet="3Symbols2" showValue="0">
        <cfvo type="percent" val="0"/>
        <cfvo type="num" val="0"/>
        <cfvo type="num" val="1"/>
      </iconSet>
    </cfRule>
  </conditionalFormatting>
  <conditionalFormatting sqref="T1384:T1385">
    <cfRule type="iconSet" priority="22">
      <iconSet iconSet="3Symbols2" showValue="0">
        <cfvo type="percent" val="0"/>
        <cfvo type="num" val="0"/>
        <cfvo type="num" val="1"/>
      </iconSet>
    </cfRule>
  </conditionalFormatting>
  <conditionalFormatting sqref="T1384:T1385">
    <cfRule type="iconSet" priority="21">
      <iconSet iconSet="3Symbols2" showValue="0">
        <cfvo type="percent" val="0"/>
        <cfvo type="num" val="0"/>
        <cfvo type="num" val="1"/>
      </iconSet>
    </cfRule>
  </conditionalFormatting>
  <conditionalFormatting sqref="Q1388:Q1390">
    <cfRule type="iconSet" priority="20">
      <iconSet iconSet="3Symbols2" showValue="0">
        <cfvo type="percent" val="0"/>
        <cfvo type="num" val="0"/>
        <cfvo type="num" val="1"/>
      </iconSet>
    </cfRule>
  </conditionalFormatting>
  <conditionalFormatting sqref="Q1388:Q1390">
    <cfRule type="iconSet" priority="19">
      <iconSet iconSet="3Symbols2" showValue="0">
        <cfvo type="percent" val="0"/>
        <cfvo type="num" val="0"/>
        <cfvo type="num" val="1"/>
      </iconSet>
    </cfRule>
  </conditionalFormatting>
  <conditionalFormatting sqref="T1388:T1390">
    <cfRule type="iconSet" priority="18">
      <iconSet iconSet="3Symbols2" showValue="0">
        <cfvo type="percent" val="0"/>
        <cfvo type="num" val="0"/>
        <cfvo type="num" val="1"/>
      </iconSet>
    </cfRule>
  </conditionalFormatting>
  <conditionalFormatting sqref="T1388:T1390">
    <cfRule type="iconSet" priority="17">
      <iconSet iconSet="3Symbols2" showValue="0">
        <cfvo type="percent" val="0"/>
        <cfvo type="num" val="0"/>
        <cfvo type="num" val="1"/>
      </iconSet>
    </cfRule>
  </conditionalFormatting>
  <conditionalFormatting sqref="Q1393:Q1394">
    <cfRule type="iconSet" priority="16">
      <iconSet iconSet="3Symbols2" showValue="0">
        <cfvo type="percent" val="0"/>
        <cfvo type="num" val="0"/>
        <cfvo type="num" val="1"/>
      </iconSet>
    </cfRule>
  </conditionalFormatting>
  <conditionalFormatting sqref="Q1393:Q1394">
    <cfRule type="iconSet" priority="15">
      <iconSet iconSet="3Symbols2" showValue="0">
        <cfvo type="percent" val="0"/>
        <cfvo type="num" val="0"/>
        <cfvo type="num" val="1"/>
      </iconSet>
    </cfRule>
  </conditionalFormatting>
  <conditionalFormatting sqref="T1393:T1394">
    <cfRule type="iconSet" priority="14">
      <iconSet iconSet="3Symbols2" showValue="0">
        <cfvo type="percent" val="0"/>
        <cfvo type="num" val="0"/>
        <cfvo type="num" val="1"/>
      </iconSet>
    </cfRule>
  </conditionalFormatting>
  <conditionalFormatting sqref="T1393:T1394">
    <cfRule type="iconSet" priority="13">
      <iconSet iconSet="3Symbols2" showValue="0">
        <cfvo type="percent" val="0"/>
        <cfvo type="num" val="0"/>
        <cfvo type="num" val="1"/>
      </iconSet>
    </cfRule>
  </conditionalFormatting>
  <conditionalFormatting sqref="Q1397:Q1402">
    <cfRule type="iconSet" priority="12">
      <iconSet iconSet="3Symbols2" showValue="0">
        <cfvo type="percent" val="0"/>
        <cfvo type="num" val="0"/>
        <cfvo type="num" val="1"/>
      </iconSet>
    </cfRule>
  </conditionalFormatting>
  <conditionalFormatting sqref="Q1397:Q1402">
    <cfRule type="iconSet" priority="11">
      <iconSet iconSet="3Symbols2" showValue="0">
        <cfvo type="percent" val="0"/>
        <cfvo type="num" val="0"/>
        <cfvo type="num" val="1"/>
      </iconSet>
    </cfRule>
  </conditionalFormatting>
  <conditionalFormatting sqref="T1397:T1402">
    <cfRule type="iconSet" priority="10">
      <iconSet iconSet="3Symbols2" showValue="0">
        <cfvo type="percent" val="0"/>
        <cfvo type="num" val="0"/>
        <cfvo type="num" val="1"/>
      </iconSet>
    </cfRule>
  </conditionalFormatting>
  <conditionalFormatting sqref="T1397:T1402">
    <cfRule type="iconSet" priority="9">
      <iconSet iconSet="3Symbols2" showValue="0">
        <cfvo type="percent" val="0"/>
        <cfvo type="num" val="0"/>
        <cfvo type="num" val="1"/>
      </iconSet>
    </cfRule>
  </conditionalFormatting>
  <conditionalFormatting sqref="Q1405:Q1407">
    <cfRule type="iconSet" priority="8">
      <iconSet iconSet="3Symbols2" showValue="0">
        <cfvo type="percent" val="0"/>
        <cfvo type="num" val="0"/>
        <cfvo type="num" val="1"/>
      </iconSet>
    </cfRule>
  </conditionalFormatting>
  <conditionalFormatting sqref="Q1405:Q1407">
    <cfRule type="iconSet" priority="7">
      <iconSet iconSet="3Symbols2" showValue="0">
        <cfvo type="percent" val="0"/>
        <cfvo type="num" val="0"/>
        <cfvo type="num" val="1"/>
      </iconSet>
    </cfRule>
  </conditionalFormatting>
  <conditionalFormatting sqref="T1405:T1407">
    <cfRule type="iconSet" priority="6">
      <iconSet iconSet="3Symbols2" showValue="0">
        <cfvo type="percent" val="0"/>
        <cfvo type="num" val="0"/>
        <cfvo type="num" val="1"/>
      </iconSet>
    </cfRule>
  </conditionalFormatting>
  <conditionalFormatting sqref="T1405:T1407">
    <cfRule type="iconSet" priority="5">
      <iconSet iconSet="3Symbols2" showValue="0">
        <cfvo type="percent" val="0"/>
        <cfvo type="num" val="0"/>
        <cfvo type="num" val="1"/>
      </iconSet>
    </cfRule>
  </conditionalFormatting>
  <conditionalFormatting sqref="Q1410:Q1423">
    <cfRule type="iconSet" priority="4">
      <iconSet iconSet="3Symbols2" showValue="0">
        <cfvo type="percent" val="0"/>
        <cfvo type="num" val="0"/>
        <cfvo type="num" val="1"/>
      </iconSet>
    </cfRule>
  </conditionalFormatting>
  <conditionalFormatting sqref="Q1410:Q1423">
    <cfRule type="iconSet" priority="3">
      <iconSet iconSet="3Symbols2" showValue="0">
        <cfvo type="percent" val="0"/>
        <cfvo type="num" val="0"/>
        <cfvo type="num" val="1"/>
      </iconSet>
    </cfRule>
  </conditionalFormatting>
  <conditionalFormatting sqref="T1410:T1423">
    <cfRule type="iconSet" priority="2">
      <iconSet iconSet="3Symbols2" showValue="0">
        <cfvo type="percent" val="0"/>
        <cfvo type="num" val="0"/>
        <cfvo type="num" val="1"/>
      </iconSet>
    </cfRule>
  </conditionalFormatting>
  <conditionalFormatting sqref="T1410:T1423">
    <cfRule type="iconSet" priority="1">
      <iconSet iconSet="3Symbols2" showValue="0">
        <cfvo type="percent" val="0"/>
        <cfvo type="num" val="0"/>
        <cfvo type="num" val="1"/>
      </iconSet>
    </cfRule>
  </conditionalFormatting>
  <printOptions horizontalCentered="1"/>
  <pageMargins left="0.23622047244094491" right="0.27559055118110237" top="0.43307086614173229" bottom="0.6692913385826772" header="0.51181102362204722" footer="0.51181102362204722"/>
  <pageSetup paperSize="9" scale="73" firstPageNumber="0" fitToHeight="0" orientation="portrait" r:id="rId1"/>
  <headerFooter alignWithMargins="0"/>
  <ignoredErrors>
    <ignoredError sqref="D209:D214 D870:D886 D2226:D2227 D889:D939 D1890:D1902 D2184:D2213 D2232:D2234 D2245:D2250 D2557 D1849:D1869 D1934:D1935 D2297:D2500 D2267 D2559 D205:D207 D216:D217 D2236:D2238 D2280:D2283 D1875:D1884 D1886:D1888 D1910:D1931 D2122:D2182 D1144:D1212 D2271:D2278 D2262:D2263 D965:D1094 D1939:D2065 D2067:D2086 D2088:D2117 D2119:D2120 D1102:D1140 D2561 D2563" numberStoredAsText="1"/>
  </ignoredErrors>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outlinePr summaryBelow="0" summaryRight="0"/>
  </sheetPr>
  <dimension ref="A2:XFD803"/>
  <sheetViews>
    <sheetView zoomScaleNormal="100" workbookViewId="0">
      <pane ySplit="6" topLeftCell="A780" activePane="bottomLeft" state="frozen"/>
      <selection pane="bottomLeft" activeCell="A779" sqref="A779"/>
    </sheetView>
  </sheetViews>
  <sheetFormatPr defaultColWidth="8.5703125" defaultRowHeight="12" customHeight="1" outlineLevelRow="2" outlineLevelCol="1"/>
  <cols>
    <col min="1" max="1" width="8.5703125" style="193"/>
    <col min="2" max="2" width="4.5703125" style="211" customWidth="1"/>
    <col min="3" max="3" width="5.5703125" style="211" bestFit="1" customWidth="1"/>
    <col min="4" max="4" width="7.42578125" style="192" customWidth="1"/>
    <col min="5" max="5" width="79.42578125" style="193" bestFit="1" customWidth="1"/>
    <col min="6" max="6" width="0.5703125" style="194" customWidth="1"/>
    <col min="7" max="7" width="8.42578125" style="193" bestFit="1" customWidth="1"/>
    <col min="8" max="8" width="10.42578125" style="193" bestFit="1" customWidth="1"/>
    <col min="9" max="9" width="6" style="201" bestFit="1" customWidth="1"/>
    <col min="10" max="10" width="9.5703125" style="195" bestFit="1" customWidth="1"/>
    <col min="11" max="11" width="8.5703125" style="205" bestFit="1" customWidth="1"/>
    <col min="12" max="12" width="7.42578125" style="206" bestFit="1" customWidth="1"/>
    <col min="13" max="13" width="7.5703125" style="217" customWidth="1" outlineLevel="1"/>
    <col min="14" max="16" width="7.5703125" style="206" customWidth="1" outlineLevel="1"/>
    <col min="17" max="17" width="10.42578125" style="199" customWidth="1"/>
    <col min="18" max="21" width="7.5703125" style="206" customWidth="1" outlineLevel="1"/>
    <col min="22" max="22" width="0.42578125" style="206" customWidth="1" outlineLevel="1"/>
    <col min="23" max="16384" width="8.5703125" style="193"/>
  </cols>
  <sheetData>
    <row r="2" spans="1:22" s="162" customFormat="1" ht="12" customHeight="1">
      <c r="A2" s="153" t="s">
        <v>256</v>
      </c>
      <c r="B2" s="154"/>
      <c r="C2" s="155"/>
      <c r="D2" s="156"/>
      <c r="E2" s="154"/>
      <c r="F2" s="157"/>
      <c r="G2" s="799" t="s">
        <v>257</v>
      </c>
      <c r="H2" s="799" t="s">
        <v>258</v>
      </c>
      <c r="I2" s="804" t="s">
        <v>259</v>
      </c>
      <c r="J2" s="804" t="s">
        <v>260</v>
      </c>
      <c r="K2" s="804"/>
      <c r="L2" s="805" t="s">
        <v>1488</v>
      </c>
      <c r="N2" s="163"/>
      <c r="O2" s="163"/>
      <c r="P2" s="163"/>
      <c r="Q2" s="801" t="s">
        <v>1489</v>
      </c>
      <c r="R2" s="163"/>
      <c r="S2" s="163"/>
      <c r="T2" s="163"/>
      <c r="U2" s="163"/>
      <c r="V2" s="163"/>
    </row>
    <row r="3" spans="1:22" s="162" customFormat="1" ht="12" customHeight="1">
      <c r="A3" s="153"/>
      <c r="B3" s="154"/>
      <c r="C3" s="155"/>
      <c r="D3" s="156"/>
      <c r="E3" s="154"/>
      <c r="F3" s="157"/>
      <c r="G3" s="799"/>
      <c r="H3" s="799"/>
      <c r="I3" s="804"/>
      <c r="J3" s="160"/>
      <c r="K3" s="161"/>
      <c r="L3" s="805"/>
      <c r="N3" s="163"/>
      <c r="O3" s="163"/>
      <c r="P3" s="163"/>
      <c r="Q3" s="802"/>
      <c r="R3" s="163"/>
      <c r="S3" s="163"/>
      <c r="T3" s="163"/>
      <c r="U3" s="163"/>
      <c r="V3" s="163"/>
    </row>
    <row r="4" spans="1:22" s="162" customFormat="1" ht="12" customHeight="1">
      <c r="A4" s="164" t="s">
        <v>1490</v>
      </c>
      <c r="B4" s="165"/>
      <c r="C4" s="166"/>
      <c r="D4" s="167"/>
      <c r="E4" s="165"/>
      <c r="F4" s="157"/>
      <c r="G4" s="799"/>
      <c r="H4" s="799"/>
      <c r="I4" s="804"/>
      <c r="J4" s="168" t="s">
        <v>264</v>
      </c>
      <c r="K4" s="168" t="s">
        <v>265</v>
      </c>
      <c r="L4" s="805"/>
      <c r="M4" s="163" t="s">
        <v>7</v>
      </c>
      <c r="N4" s="163" t="s">
        <v>8</v>
      </c>
      <c r="O4" s="163" t="s">
        <v>9</v>
      </c>
      <c r="P4" s="163" t="s">
        <v>10</v>
      </c>
      <c r="Q4" s="803"/>
      <c r="R4" s="163" t="s">
        <v>7</v>
      </c>
      <c r="S4" s="163" t="s">
        <v>8</v>
      </c>
      <c r="T4" s="163" t="s">
        <v>9</v>
      </c>
      <c r="U4" s="163" t="s">
        <v>10</v>
      </c>
      <c r="V4" s="169" t="s">
        <v>1491</v>
      </c>
    </row>
    <row r="5" spans="1:22" s="179" customFormat="1" ht="12" customHeight="1">
      <c r="A5" s="170"/>
      <c r="B5" s="171"/>
      <c r="C5" s="172"/>
      <c r="D5" s="173"/>
      <c r="E5" s="171"/>
      <c r="F5" s="174"/>
      <c r="G5" s="175"/>
      <c r="H5" s="175"/>
      <c r="I5" s="176"/>
      <c r="J5" s="176"/>
      <c r="K5" s="176"/>
      <c r="L5" s="177"/>
      <c r="M5" s="177"/>
      <c r="N5" s="177"/>
      <c r="O5" s="177"/>
      <c r="P5" s="177"/>
      <c r="Q5" s="177"/>
      <c r="R5" s="177"/>
      <c r="S5" s="177"/>
      <c r="T5" s="177"/>
      <c r="U5" s="177"/>
      <c r="V5" s="178"/>
    </row>
    <row r="6" spans="1:22" s="162" customFormat="1" ht="3" customHeight="1">
      <c r="A6" s="153"/>
      <c r="B6" s="154"/>
      <c r="C6" s="155"/>
      <c r="D6" s="156"/>
      <c r="E6" s="154"/>
      <c r="F6" s="157"/>
      <c r="G6" s="154"/>
      <c r="H6" s="158"/>
      <c r="I6" s="158"/>
      <c r="J6" s="159"/>
      <c r="K6" s="160"/>
      <c r="L6" s="161"/>
      <c r="N6" s="161"/>
      <c r="O6" s="161"/>
      <c r="P6" s="161"/>
      <c r="Q6" s="160"/>
      <c r="R6" s="161"/>
      <c r="S6" s="161"/>
      <c r="T6" s="161"/>
      <c r="U6" s="161"/>
      <c r="V6" s="161"/>
    </row>
    <row r="7" spans="1:22" s="162" customFormat="1" ht="15" customHeight="1">
      <c r="A7" s="153"/>
      <c r="B7" s="154"/>
      <c r="C7" s="155"/>
      <c r="D7" s="156"/>
      <c r="E7" s="154"/>
      <c r="F7" s="157"/>
      <c r="G7" s="154"/>
      <c r="H7" s="158"/>
      <c r="I7" s="158"/>
      <c r="J7" s="180"/>
      <c r="K7" s="180"/>
      <c r="L7" s="180"/>
      <c r="M7" s="180"/>
      <c r="N7" s="180"/>
      <c r="O7" s="180"/>
      <c r="P7" s="180"/>
      <c r="Q7" s="218"/>
      <c r="R7" s="218"/>
      <c r="S7" s="218"/>
      <c r="T7" s="218"/>
      <c r="U7" s="218"/>
      <c r="V7" s="161"/>
    </row>
    <row r="8" spans="1:22" s="190" customFormat="1" ht="12" customHeight="1" collapsed="1">
      <c r="A8" s="181" t="s">
        <v>266</v>
      </c>
      <c r="B8" s="182"/>
      <c r="C8" s="182"/>
      <c r="D8" s="183"/>
      <c r="E8" s="184"/>
      <c r="F8" s="185"/>
      <c r="G8" s="186" t="s">
        <v>257</v>
      </c>
      <c r="H8" s="186" t="s">
        <v>258</v>
      </c>
      <c r="I8" s="187" t="s">
        <v>259</v>
      </c>
      <c r="J8" s="188"/>
      <c r="K8" s="188"/>
      <c r="L8" s="188"/>
      <c r="M8" s="188"/>
      <c r="N8" s="188"/>
      <c r="O8" s="188"/>
      <c r="P8" s="188"/>
      <c r="Q8" s="219"/>
      <c r="R8" s="219"/>
      <c r="S8" s="219"/>
      <c r="T8" s="219"/>
      <c r="U8" s="219"/>
      <c r="V8" s="189"/>
    </row>
    <row r="9" spans="1:22" s="182" customFormat="1" ht="12" hidden="1" customHeight="1" outlineLevel="1">
      <c r="A9" s="191"/>
      <c r="B9" s="297" t="s">
        <v>12</v>
      </c>
      <c r="C9" s="17" t="s">
        <v>342</v>
      </c>
      <c r="D9" s="664" t="s">
        <v>12</v>
      </c>
      <c r="E9" s="306" t="s">
        <v>1492</v>
      </c>
      <c r="F9" s="307"/>
      <c r="G9" s="297" t="s">
        <v>272</v>
      </c>
      <c r="H9" s="308" t="str">
        <f>CONCATENATE(B9,"-",G9,"-",I9)</f>
        <v>ST-SS0-1</v>
      </c>
      <c r="I9" s="665">
        <v>1</v>
      </c>
      <c r="J9" s="195">
        <v>1</v>
      </c>
      <c r="K9" s="195"/>
      <c r="L9" s="196"/>
      <c r="M9" s="197"/>
      <c r="N9" s="197"/>
      <c r="O9" s="197"/>
      <c r="P9" s="197"/>
      <c r="Q9" s="198"/>
      <c r="R9" s="198"/>
      <c r="S9" s="197"/>
      <c r="T9" s="197"/>
      <c r="U9" s="197"/>
      <c r="V9" s="196"/>
    </row>
    <row r="10" spans="1:22" s="182" customFormat="1" ht="12" hidden="1" customHeight="1" outlineLevel="1">
      <c r="A10" s="191"/>
      <c r="B10" s="297" t="s">
        <v>12</v>
      </c>
      <c r="C10" s="17" t="s">
        <v>687</v>
      </c>
      <c r="D10" s="664"/>
      <c r="E10" s="306" t="s">
        <v>1493</v>
      </c>
      <c r="F10" s="307"/>
      <c r="G10" s="297" t="s">
        <v>1494</v>
      </c>
      <c r="H10" s="308" t="str">
        <f>CONCATENATE(B10,"-",G10,"-",I10)</f>
        <v>ST-SSO-1</v>
      </c>
      <c r="I10" s="665">
        <v>1</v>
      </c>
      <c r="J10" s="195">
        <v>1</v>
      </c>
      <c r="K10" s="195"/>
      <c r="L10" s="196"/>
      <c r="M10" s="197"/>
      <c r="N10" s="197"/>
      <c r="O10" s="197"/>
      <c r="P10" s="197"/>
      <c r="Q10" s="220"/>
      <c r="R10" s="220"/>
      <c r="S10" s="197"/>
      <c r="T10" s="197"/>
      <c r="U10" s="197"/>
      <c r="V10" s="196"/>
    </row>
    <row r="11" spans="1:22" s="190" customFormat="1" ht="12" hidden="1" customHeight="1" outlineLevel="1">
      <c r="A11" s="200"/>
      <c r="B11" s="297"/>
      <c r="C11" s="17"/>
      <c r="D11" s="664" t="s">
        <v>1495</v>
      </c>
      <c r="E11" s="306"/>
      <c r="F11" s="307"/>
      <c r="G11" s="297"/>
      <c r="H11" s="308"/>
      <c r="I11" s="661"/>
      <c r="J11" s="195"/>
      <c r="K11" s="195"/>
      <c r="L11" s="189"/>
      <c r="M11" s="197"/>
      <c r="N11" s="197"/>
      <c r="O11" s="197"/>
      <c r="P11" s="197"/>
      <c r="Q11" s="220"/>
      <c r="R11" s="220"/>
      <c r="S11" s="197"/>
      <c r="T11" s="197"/>
      <c r="U11" s="197"/>
      <c r="V11" s="189"/>
    </row>
    <row r="12" spans="1:22" s="182" customFormat="1" ht="12" hidden="1" customHeight="1" outlineLevel="2">
      <c r="A12" s="191"/>
      <c r="B12" s="297" t="s">
        <v>12</v>
      </c>
      <c r="C12" s="17" t="s">
        <v>1496</v>
      </c>
      <c r="D12" s="664" t="s">
        <v>1497</v>
      </c>
      <c r="E12" s="306" t="s">
        <v>1498</v>
      </c>
      <c r="F12" s="307"/>
      <c r="G12" s="297" t="s">
        <v>1499</v>
      </c>
      <c r="H12" s="308" t="str">
        <f t="shared" ref="H12:H17" si="0">CONCATENATE(B12,"-",G12,"-",I12)</f>
        <v>ST-SS1-1</v>
      </c>
      <c r="I12" s="665">
        <v>1</v>
      </c>
      <c r="J12" s="195">
        <v>1</v>
      </c>
      <c r="K12" s="195"/>
      <c r="L12" s="196"/>
      <c r="M12" s="197"/>
      <c r="N12" s="197"/>
      <c r="O12" s="197"/>
      <c r="P12" s="197"/>
      <c r="Q12" s="220"/>
      <c r="R12" s="220"/>
      <c r="S12" s="197"/>
      <c r="T12" s="197"/>
      <c r="U12" s="197"/>
      <c r="V12" s="196"/>
    </row>
    <row r="13" spans="1:22" s="182" customFormat="1" ht="12" hidden="1" customHeight="1" outlineLevel="2">
      <c r="A13" s="191"/>
      <c r="B13" s="297" t="s">
        <v>12</v>
      </c>
      <c r="C13" s="17" t="s">
        <v>1496</v>
      </c>
      <c r="D13" s="664" t="s">
        <v>1500</v>
      </c>
      <c r="E13" s="306" t="s">
        <v>1501</v>
      </c>
      <c r="F13" s="307"/>
      <c r="G13" s="297" t="s">
        <v>1499</v>
      </c>
      <c r="H13" s="308" t="str">
        <f t="shared" si="0"/>
        <v>ST-SS1-1</v>
      </c>
      <c r="I13" s="665">
        <v>1</v>
      </c>
      <c r="J13" s="195">
        <v>1</v>
      </c>
      <c r="K13" s="195"/>
      <c r="L13" s="196"/>
      <c r="M13" s="197"/>
      <c r="N13" s="197"/>
      <c r="O13" s="197"/>
      <c r="P13" s="197"/>
      <c r="Q13" s="220"/>
      <c r="R13" s="220"/>
      <c r="S13" s="197"/>
      <c r="T13" s="197"/>
      <c r="U13" s="197"/>
      <c r="V13" s="196"/>
    </row>
    <row r="14" spans="1:22" s="182" customFormat="1" ht="12" hidden="1" customHeight="1" outlineLevel="2">
      <c r="A14" s="191"/>
      <c r="B14" s="297" t="s">
        <v>12</v>
      </c>
      <c r="C14" s="17" t="s">
        <v>1496</v>
      </c>
      <c r="D14" s="664" t="s">
        <v>1502</v>
      </c>
      <c r="E14" s="306" t="s">
        <v>1503</v>
      </c>
      <c r="F14" s="307"/>
      <c r="G14" s="297" t="s">
        <v>1499</v>
      </c>
      <c r="H14" s="308" t="str">
        <f t="shared" si="0"/>
        <v>ST-SS1-1</v>
      </c>
      <c r="I14" s="665">
        <v>1</v>
      </c>
      <c r="J14" s="195">
        <v>1</v>
      </c>
      <c r="K14" s="202"/>
      <c r="L14" s="196"/>
      <c r="M14" s="197"/>
      <c r="N14" s="197"/>
      <c r="O14" s="197"/>
      <c r="P14" s="197"/>
      <c r="Q14" s="220"/>
      <c r="R14" s="220"/>
      <c r="S14" s="197"/>
      <c r="T14" s="197"/>
      <c r="U14" s="197"/>
      <c r="V14" s="196"/>
    </row>
    <row r="15" spans="1:22" s="182" customFormat="1" ht="12" hidden="1" customHeight="1" outlineLevel="2">
      <c r="A15" s="191"/>
      <c r="B15" s="297" t="s">
        <v>12</v>
      </c>
      <c r="C15" s="17" t="s">
        <v>1496</v>
      </c>
      <c r="D15" s="664" t="s">
        <v>1504</v>
      </c>
      <c r="E15" s="306" t="s">
        <v>1505</v>
      </c>
      <c r="F15" s="307"/>
      <c r="G15" s="297" t="s">
        <v>1499</v>
      </c>
      <c r="H15" s="308" t="str">
        <f t="shared" si="0"/>
        <v>ST-SS1-2</v>
      </c>
      <c r="I15" s="665">
        <v>2</v>
      </c>
      <c r="J15" s="195">
        <v>1</v>
      </c>
      <c r="K15" s="195"/>
      <c r="L15" s="196"/>
      <c r="M15" s="197"/>
      <c r="N15" s="197"/>
      <c r="O15" s="197"/>
      <c r="P15" s="197"/>
      <c r="Q15" s="220"/>
      <c r="R15" s="220"/>
      <c r="S15" s="197"/>
      <c r="T15" s="197"/>
      <c r="U15" s="197"/>
      <c r="V15" s="196"/>
    </row>
    <row r="16" spans="1:22" s="182" customFormat="1" ht="12" hidden="1" customHeight="1" outlineLevel="2">
      <c r="A16" s="191"/>
      <c r="B16" s="297" t="s">
        <v>12</v>
      </c>
      <c r="C16" s="17" t="s">
        <v>1496</v>
      </c>
      <c r="D16" s="664" t="s">
        <v>1506</v>
      </c>
      <c r="E16" s="306" t="s">
        <v>1507</v>
      </c>
      <c r="F16" s="307"/>
      <c r="G16" s="297" t="s">
        <v>1499</v>
      </c>
      <c r="H16" s="308" t="str">
        <f t="shared" si="0"/>
        <v>ST-SS1-2</v>
      </c>
      <c r="I16" s="665">
        <v>2</v>
      </c>
      <c r="J16" s="195">
        <v>1</v>
      </c>
      <c r="K16" s="195"/>
      <c r="L16" s="196"/>
      <c r="M16" s="197"/>
      <c r="N16" s="197"/>
      <c r="O16" s="197"/>
      <c r="P16" s="197"/>
      <c r="Q16" s="220"/>
      <c r="R16" s="220"/>
      <c r="S16" s="197"/>
      <c r="T16" s="197"/>
      <c r="U16" s="197"/>
      <c r="V16" s="196"/>
    </row>
    <row r="17" spans="1:10" s="182" customFormat="1" ht="12" hidden="1" customHeight="1" outlineLevel="2">
      <c r="A17" s="191"/>
      <c r="B17" s="297" t="s">
        <v>12</v>
      </c>
      <c r="C17" s="17" t="s">
        <v>1496</v>
      </c>
      <c r="D17" s="664" t="s">
        <v>1508</v>
      </c>
      <c r="E17" s="306" t="s">
        <v>1509</v>
      </c>
      <c r="F17" s="307"/>
      <c r="G17" s="297" t="s">
        <v>1499</v>
      </c>
      <c r="H17" s="308" t="str">
        <f t="shared" si="0"/>
        <v>ST-SS1-2</v>
      </c>
      <c r="I17" s="665">
        <v>2</v>
      </c>
      <c r="J17" s="195">
        <v>1</v>
      </c>
    </row>
    <row r="18" spans="1:10" s="190" customFormat="1" ht="12" hidden="1" customHeight="1" outlineLevel="1">
      <c r="A18" s="200"/>
      <c r="B18" s="297"/>
      <c r="C18" s="17"/>
      <c r="D18" s="664" t="s">
        <v>1510</v>
      </c>
      <c r="E18" s="306"/>
      <c r="F18" s="307"/>
      <c r="G18" s="297"/>
      <c r="H18" s="308"/>
      <c r="I18" s="661"/>
      <c r="J18" s="195"/>
    </row>
    <row r="19" spans="1:10" s="182" customFormat="1" ht="12" hidden="1" customHeight="1" outlineLevel="2">
      <c r="A19" s="191"/>
      <c r="B19" s="297" t="s">
        <v>12</v>
      </c>
      <c r="C19" s="17" t="s">
        <v>1496</v>
      </c>
      <c r="D19" s="664" t="s">
        <v>1497</v>
      </c>
      <c r="E19" s="306" t="s">
        <v>1498</v>
      </c>
      <c r="F19" s="307"/>
      <c r="G19" s="297" t="s">
        <v>1511</v>
      </c>
      <c r="H19" s="308" t="str">
        <f t="shared" ref="H19:H24" si="1">CONCATENATE(B19,"-",G19,"-",I19)</f>
        <v>ST-SS2-1</v>
      </c>
      <c r="I19" s="665">
        <v>1</v>
      </c>
      <c r="J19" s="195">
        <v>1</v>
      </c>
    </row>
    <row r="20" spans="1:10" s="182" customFormat="1" ht="12" hidden="1" customHeight="1" outlineLevel="2">
      <c r="A20" s="191"/>
      <c r="B20" s="297" t="s">
        <v>12</v>
      </c>
      <c r="C20" s="17" t="s">
        <v>1496</v>
      </c>
      <c r="D20" s="664" t="s">
        <v>1500</v>
      </c>
      <c r="E20" s="306" t="s">
        <v>1501</v>
      </c>
      <c r="F20" s="307"/>
      <c r="G20" s="297" t="s">
        <v>1511</v>
      </c>
      <c r="H20" s="308" t="str">
        <f t="shared" si="1"/>
        <v>ST-SS2-1</v>
      </c>
      <c r="I20" s="665">
        <v>1</v>
      </c>
      <c r="J20" s="195">
        <v>1</v>
      </c>
    </row>
    <row r="21" spans="1:10" s="182" customFormat="1" ht="12" hidden="1" customHeight="1" outlineLevel="2">
      <c r="A21" s="191"/>
      <c r="B21" s="297" t="s">
        <v>12</v>
      </c>
      <c r="C21" s="17" t="s">
        <v>1496</v>
      </c>
      <c r="D21" s="664" t="s">
        <v>1502</v>
      </c>
      <c r="E21" s="306" t="s">
        <v>1503</v>
      </c>
      <c r="F21" s="307"/>
      <c r="G21" s="297" t="s">
        <v>1511</v>
      </c>
      <c r="H21" s="308" t="str">
        <f t="shared" si="1"/>
        <v>ST-SS2-1</v>
      </c>
      <c r="I21" s="665">
        <v>1</v>
      </c>
      <c r="J21" s="195">
        <v>1</v>
      </c>
    </row>
    <row r="22" spans="1:10" s="182" customFormat="1" ht="12" hidden="1" customHeight="1" outlineLevel="2">
      <c r="A22" s="191"/>
      <c r="B22" s="297" t="s">
        <v>12</v>
      </c>
      <c r="C22" s="17" t="s">
        <v>1496</v>
      </c>
      <c r="D22" s="664" t="s">
        <v>1504</v>
      </c>
      <c r="E22" s="306" t="s">
        <v>1505</v>
      </c>
      <c r="F22" s="307"/>
      <c r="G22" s="297" t="s">
        <v>1511</v>
      </c>
      <c r="H22" s="308" t="str">
        <f t="shared" si="1"/>
        <v>ST-SS2-2</v>
      </c>
      <c r="I22" s="665">
        <v>2</v>
      </c>
      <c r="J22" s="195">
        <v>1</v>
      </c>
    </row>
    <row r="23" spans="1:10" s="182" customFormat="1" ht="12" hidden="1" customHeight="1" outlineLevel="2">
      <c r="A23" s="191"/>
      <c r="B23" s="297" t="s">
        <v>12</v>
      </c>
      <c r="C23" s="17" t="s">
        <v>1496</v>
      </c>
      <c r="D23" s="664" t="s">
        <v>1506</v>
      </c>
      <c r="E23" s="306" t="s">
        <v>1507</v>
      </c>
      <c r="F23" s="307"/>
      <c r="G23" s="297" t="s">
        <v>1511</v>
      </c>
      <c r="H23" s="308" t="str">
        <f t="shared" si="1"/>
        <v>ST-SS2-2</v>
      </c>
      <c r="I23" s="665">
        <v>2</v>
      </c>
      <c r="J23" s="195">
        <v>1</v>
      </c>
    </row>
    <row r="24" spans="1:10" s="182" customFormat="1" ht="12" hidden="1" customHeight="1" outlineLevel="2">
      <c r="A24" s="191"/>
      <c r="B24" s="297" t="s">
        <v>12</v>
      </c>
      <c r="C24" s="17" t="s">
        <v>1496</v>
      </c>
      <c r="D24" s="664" t="s">
        <v>1508</v>
      </c>
      <c r="E24" s="306" t="s">
        <v>1509</v>
      </c>
      <c r="F24" s="307"/>
      <c r="G24" s="297" t="s">
        <v>1511</v>
      </c>
      <c r="H24" s="308" t="str">
        <f t="shared" si="1"/>
        <v>ST-SS2-2</v>
      </c>
      <c r="I24" s="665">
        <v>2</v>
      </c>
      <c r="J24" s="195">
        <v>1</v>
      </c>
    </row>
    <row r="25" spans="1:10" s="190" customFormat="1" ht="12" hidden="1" customHeight="1" outlineLevel="1">
      <c r="A25" s="200"/>
      <c r="B25" s="297"/>
      <c r="C25" s="17"/>
      <c r="D25" s="664" t="s">
        <v>1512</v>
      </c>
      <c r="E25" s="306"/>
      <c r="F25" s="307"/>
      <c r="G25" s="297"/>
      <c r="H25" s="308"/>
      <c r="I25" s="661"/>
      <c r="J25" s="195"/>
    </row>
    <row r="26" spans="1:10" s="182" customFormat="1" ht="12" hidden="1" customHeight="1" outlineLevel="2">
      <c r="A26" s="191"/>
      <c r="B26" s="297" t="s">
        <v>12</v>
      </c>
      <c r="C26" s="17" t="s">
        <v>1496</v>
      </c>
      <c r="D26" s="664" t="s">
        <v>1497</v>
      </c>
      <c r="E26" s="306" t="s">
        <v>1498</v>
      </c>
      <c r="F26" s="307"/>
      <c r="G26" s="297" t="s">
        <v>1513</v>
      </c>
      <c r="H26" s="308" t="str">
        <f t="shared" ref="H26:H31" si="2">CONCATENATE(B26,"-",G26,"-",I26)</f>
        <v>ST-SS3-1</v>
      </c>
      <c r="I26" s="665">
        <v>1</v>
      </c>
      <c r="J26" s="195">
        <v>1</v>
      </c>
    </row>
    <row r="27" spans="1:10" s="182" customFormat="1" ht="12" hidden="1" customHeight="1" outlineLevel="2">
      <c r="A27" s="191"/>
      <c r="B27" s="297" t="s">
        <v>12</v>
      </c>
      <c r="C27" s="17" t="s">
        <v>1496</v>
      </c>
      <c r="D27" s="664" t="s">
        <v>1500</v>
      </c>
      <c r="E27" s="306" t="s">
        <v>1501</v>
      </c>
      <c r="F27" s="307"/>
      <c r="G27" s="297" t="s">
        <v>1513</v>
      </c>
      <c r="H27" s="308" t="str">
        <f t="shared" si="2"/>
        <v>ST-SS3-1</v>
      </c>
      <c r="I27" s="665">
        <v>1</v>
      </c>
      <c r="J27" s="195">
        <v>1</v>
      </c>
    </row>
    <row r="28" spans="1:10" s="182" customFormat="1" ht="12" hidden="1" customHeight="1" outlineLevel="2">
      <c r="A28" s="191"/>
      <c r="B28" s="297" t="s">
        <v>12</v>
      </c>
      <c r="C28" s="17" t="s">
        <v>1496</v>
      </c>
      <c r="D28" s="664" t="s">
        <v>1502</v>
      </c>
      <c r="E28" s="306" t="s">
        <v>1503</v>
      </c>
      <c r="F28" s="307"/>
      <c r="G28" s="297" t="s">
        <v>1513</v>
      </c>
      <c r="H28" s="308" t="str">
        <f t="shared" si="2"/>
        <v>ST-SS3-1</v>
      </c>
      <c r="I28" s="665">
        <v>1</v>
      </c>
      <c r="J28" s="195">
        <v>1</v>
      </c>
    </row>
    <row r="29" spans="1:10" s="182" customFormat="1" ht="12" hidden="1" customHeight="1" outlineLevel="2">
      <c r="A29" s="191"/>
      <c r="B29" s="297" t="s">
        <v>12</v>
      </c>
      <c r="C29" s="17" t="s">
        <v>1496</v>
      </c>
      <c r="D29" s="664" t="s">
        <v>1504</v>
      </c>
      <c r="E29" s="306" t="s">
        <v>1505</v>
      </c>
      <c r="F29" s="307"/>
      <c r="G29" s="297" t="s">
        <v>1513</v>
      </c>
      <c r="H29" s="308" t="str">
        <f t="shared" si="2"/>
        <v>ST-SS3-2</v>
      </c>
      <c r="I29" s="665">
        <v>2</v>
      </c>
      <c r="J29" s="195">
        <v>1</v>
      </c>
    </row>
    <row r="30" spans="1:10" s="182" customFormat="1" ht="12" hidden="1" customHeight="1" outlineLevel="2">
      <c r="A30" s="191"/>
      <c r="B30" s="297" t="s">
        <v>12</v>
      </c>
      <c r="C30" s="17" t="s">
        <v>1496</v>
      </c>
      <c r="D30" s="664" t="s">
        <v>1506</v>
      </c>
      <c r="E30" s="306" t="s">
        <v>1507</v>
      </c>
      <c r="F30" s="307"/>
      <c r="G30" s="297" t="s">
        <v>1513</v>
      </c>
      <c r="H30" s="308" t="str">
        <f t="shared" si="2"/>
        <v>ST-SS3-2</v>
      </c>
      <c r="I30" s="665">
        <v>2</v>
      </c>
      <c r="J30" s="195">
        <v>1</v>
      </c>
    </row>
    <row r="31" spans="1:10" s="182" customFormat="1" ht="12" hidden="1" customHeight="1" outlineLevel="2">
      <c r="A31" s="191"/>
      <c r="B31" s="297" t="s">
        <v>12</v>
      </c>
      <c r="C31" s="17" t="s">
        <v>1496</v>
      </c>
      <c r="D31" s="664" t="s">
        <v>1508</v>
      </c>
      <c r="E31" s="306" t="s">
        <v>1509</v>
      </c>
      <c r="F31" s="307"/>
      <c r="G31" s="297" t="s">
        <v>1513</v>
      </c>
      <c r="H31" s="308" t="str">
        <f t="shared" si="2"/>
        <v>ST-SS3-2</v>
      </c>
      <c r="I31" s="665">
        <v>2</v>
      </c>
      <c r="J31" s="195">
        <v>1</v>
      </c>
    </row>
    <row r="32" spans="1:10" s="190" customFormat="1" ht="12" hidden="1" customHeight="1" outlineLevel="1">
      <c r="A32" s="200"/>
      <c r="B32" s="297"/>
      <c r="C32" s="17"/>
      <c r="D32" s="664" t="s">
        <v>1514</v>
      </c>
      <c r="E32" s="306"/>
      <c r="F32" s="307"/>
      <c r="G32" s="297"/>
      <c r="H32" s="308"/>
      <c r="I32" s="661"/>
      <c r="J32" s="195"/>
    </row>
    <row r="33" spans="1:10" s="182" customFormat="1" ht="12" hidden="1" customHeight="1" outlineLevel="2">
      <c r="A33" s="191"/>
      <c r="B33" s="297" t="s">
        <v>12</v>
      </c>
      <c r="C33" s="17" t="s">
        <v>1496</v>
      </c>
      <c r="D33" s="664" t="s">
        <v>1497</v>
      </c>
      <c r="E33" s="306" t="s">
        <v>1498</v>
      </c>
      <c r="F33" s="307"/>
      <c r="G33" s="297" t="s">
        <v>1515</v>
      </c>
      <c r="H33" s="308" t="str">
        <f t="shared" ref="H33:H38" si="3">CONCATENATE(B33,"-",G33,"-",I33)</f>
        <v>ST-SS4-1</v>
      </c>
      <c r="I33" s="665">
        <v>1</v>
      </c>
      <c r="J33" s="195">
        <v>1</v>
      </c>
    </row>
    <row r="34" spans="1:10" s="182" customFormat="1" ht="12" hidden="1" customHeight="1" outlineLevel="2">
      <c r="A34" s="191"/>
      <c r="B34" s="297" t="s">
        <v>12</v>
      </c>
      <c r="C34" s="17" t="s">
        <v>1496</v>
      </c>
      <c r="D34" s="664" t="s">
        <v>1500</v>
      </c>
      <c r="E34" s="306" t="s">
        <v>1501</v>
      </c>
      <c r="F34" s="307"/>
      <c r="G34" s="297" t="s">
        <v>1515</v>
      </c>
      <c r="H34" s="308" t="str">
        <f t="shared" si="3"/>
        <v>ST-SS4-1</v>
      </c>
      <c r="I34" s="665">
        <v>1</v>
      </c>
      <c r="J34" s="195">
        <v>1</v>
      </c>
    </row>
    <row r="35" spans="1:10" s="182" customFormat="1" ht="12" hidden="1" customHeight="1" outlineLevel="2">
      <c r="A35" s="191"/>
      <c r="B35" s="297" t="s">
        <v>12</v>
      </c>
      <c r="C35" s="17" t="s">
        <v>1496</v>
      </c>
      <c r="D35" s="664" t="s">
        <v>1502</v>
      </c>
      <c r="E35" s="306" t="s">
        <v>1503</v>
      </c>
      <c r="F35" s="307"/>
      <c r="G35" s="297" t="s">
        <v>1515</v>
      </c>
      <c r="H35" s="308" t="str">
        <f t="shared" si="3"/>
        <v>ST-SS4-1</v>
      </c>
      <c r="I35" s="665">
        <v>1</v>
      </c>
      <c r="J35" s="195">
        <v>1</v>
      </c>
    </row>
    <row r="36" spans="1:10" s="182" customFormat="1" ht="12" hidden="1" customHeight="1" outlineLevel="2">
      <c r="A36" s="191"/>
      <c r="B36" s="297" t="s">
        <v>12</v>
      </c>
      <c r="C36" s="17" t="s">
        <v>1496</v>
      </c>
      <c r="D36" s="664" t="s">
        <v>1504</v>
      </c>
      <c r="E36" s="306" t="s">
        <v>1505</v>
      </c>
      <c r="F36" s="307"/>
      <c r="G36" s="297" t="s">
        <v>1515</v>
      </c>
      <c r="H36" s="308" t="str">
        <f t="shared" si="3"/>
        <v>ST-SS4-2</v>
      </c>
      <c r="I36" s="665">
        <v>2</v>
      </c>
      <c r="J36" s="195">
        <v>1</v>
      </c>
    </row>
    <row r="37" spans="1:10" s="182" customFormat="1" ht="12" hidden="1" customHeight="1" outlineLevel="2">
      <c r="A37" s="191"/>
      <c r="B37" s="297" t="s">
        <v>12</v>
      </c>
      <c r="C37" s="17" t="s">
        <v>1496</v>
      </c>
      <c r="D37" s="664" t="s">
        <v>1506</v>
      </c>
      <c r="E37" s="306" t="s">
        <v>1507</v>
      </c>
      <c r="F37" s="307"/>
      <c r="G37" s="297" t="s">
        <v>1515</v>
      </c>
      <c r="H37" s="308" t="str">
        <f t="shared" si="3"/>
        <v>ST-SS4-2</v>
      </c>
      <c r="I37" s="665">
        <v>2</v>
      </c>
      <c r="J37" s="195">
        <v>1</v>
      </c>
    </row>
    <row r="38" spans="1:10" s="182" customFormat="1" ht="12" hidden="1" customHeight="1" outlineLevel="2">
      <c r="A38" s="191"/>
      <c r="B38" s="297" t="s">
        <v>12</v>
      </c>
      <c r="C38" s="17" t="s">
        <v>1496</v>
      </c>
      <c r="D38" s="664" t="s">
        <v>1508</v>
      </c>
      <c r="E38" s="306" t="s">
        <v>1509</v>
      </c>
      <c r="F38" s="307"/>
      <c r="G38" s="297" t="s">
        <v>1515</v>
      </c>
      <c r="H38" s="308" t="str">
        <f t="shared" si="3"/>
        <v>ST-SS4-2</v>
      </c>
      <c r="I38" s="665">
        <v>2</v>
      </c>
      <c r="J38" s="195">
        <v>1</v>
      </c>
    </row>
    <row r="39" spans="1:10" s="190" customFormat="1" ht="12" hidden="1" customHeight="1" outlineLevel="1">
      <c r="A39" s="200"/>
      <c r="B39" s="297"/>
      <c r="C39" s="17"/>
      <c r="D39" s="664" t="s">
        <v>1516</v>
      </c>
      <c r="E39" s="306"/>
      <c r="F39" s="307"/>
      <c r="G39" s="297"/>
      <c r="H39" s="308"/>
      <c r="I39" s="661"/>
      <c r="J39" s="195"/>
    </row>
    <row r="40" spans="1:10" s="182" customFormat="1" ht="12" hidden="1" customHeight="1" outlineLevel="2">
      <c r="A40" s="191"/>
      <c r="B40" s="297" t="s">
        <v>12</v>
      </c>
      <c r="C40" s="17" t="s">
        <v>1496</v>
      </c>
      <c r="D40" s="664" t="s">
        <v>1497</v>
      </c>
      <c r="E40" s="306" t="s">
        <v>1498</v>
      </c>
      <c r="F40" s="307"/>
      <c r="G40" s="297" t="s">
        <v>1517</v>
      </c>
      <c r="H40" s="308" t="str">
        <f t="shared" ref="H40:H45" si="4">CONCATENATE(B40,"-",G40,"-",I40)</f>
        <v>ST-SS5-1</v>
      </c>
      <c r="I40" s="665">
        <v>1</v>
      </c>
      <c r="J40" s="195">
        <v>1</v>
      </c>
    </row>
    <row r="41" spans="1:10" s="182" customFormat="1" ht="12" hidden="1" customHeight="1" outlineLevel="2">
      <c r="A41" s="191"/>
      <c r="B41" s="297" t="s">
        <v>12</v>
      </c>
      <c r="C41" s="17" t="s">
        <v>1496</v>
      </c>
      <c r="D41" s="664" t="s">
        <v>1500</v>
      </c>
      <c r="E41" s="306" t="s">
        <v>1501</v>
      </c>
      <c r="F41" s="307"/>
      <c r="G41" s="297" t="s">
        <v>1517</v>
      </c>
      <c r="H41" s="308" t="str">
        <f t="shared" si="4"/>
        <v>ST-SS5-1</v>
      </c>
      <c r="I41" s="665">
        <v>1</v>
      </c>
      <c r="J41" s="195">
        <v>1</v>
      </c>
    </row>
    <row r="42" spans="1:10" s="182" customFormat="1" ht="12" hidden="1" customHeight="1" outlineLevel="2">
      <c r="A42" s="191"/>
      <c r="B42" s="297" t="s">
        <v>12</v>
      </c>
      <c r="C42" s="17" t="s">
        <v>1496</v>
      </c>
      <c r="D42" s="664" t="s">
        <v>1502</v>
      </c>
      <c r="E42" s="306" t="s">
        <v>1503</v>
      </c>
      <c r="F42" s="307"/>
      <c r="G42" s="297" t="s">
        <v>1517</v>
      </c>
      <c r="H42" s="308" t="str">
        <f t="shared" si="4"/>
        <v>ST-SS5-1</v>
      </c>
      <c r="I42" s="665">
        <v>1</v>
      </c>
      <c r="J42" s="195">
        <v>1</v>
      </c>
    </row>
    <row r="43" spans="1:10" s="182" customFormat="1" ht="12" hidden="1" customHeight="1" outlineLevel="2">
      <c r="A43" s="191"/>
      <c r="B43" s="297" t="s">
        <v>12</v>
      </c>
      <c r="C43" s="17" t="s">
        <v>1496</v>
      </c>
      <c r="D43" s="664" t="s">
        <v>1504</v>
      </c>
      <c r="E43" s="306" t="s">
        <v>1505</v>
      </c>
      <c r="F43" s="307"/>
      <c r="G43" s="297" t="s">
        <v>1517</v>
      </c>
      <c r="H43" s="308" t="str">
        <f t="shared" si="4"/>
        <v>ST-SS5-2</v>
      </c>
      <c r="I43" s="665">
        <v>2</v>
      </c>
      <c r="J43" s="195">
        <v>1</v>
      </c>
    </row>
    <row r="44" spans="1:10" s="182" customFormat="1" ht="12" hidden="1" customHeight="1" outlineLevel="2">
      <c r="A44" s="191"/>
      <c r="B44" s="297" t="s">
        <v>12</v>
      </c>
      <c r="C44" s="17" t="s">
        <v>1496</v>
      </c>
      <c r="D44" s="664" t="s">
        <v>1506</v>
      </c>
      <c r="E44" s="306" t="s">
        <v>1507</v>
      </c>
      <c r="F44" s="307"/>
      <c r="G44" s="297" t="s">
        <v>1517</v>
      </c>
      <c r="H44" s="308" t="str">
        <f t="shared" si="4"/>
        <v>ST-SS5-2</v>
      </c>
      <c r="I44" s="665">
        <v>2</v>
      </c>
      <c r="J44" s="195">
        <v>1</v>
      </c>
    </row>
    <row r="45" spans="1:10" s="182" customFormat="1" ht="12" hidden="1" customHeight="1" outlineLevel="2">
      <c r="A45" s="191"/>
      <c r="B45" s="297" t="s">
        <v>12</v>
      </c>
      <c r="C45" s="17" t="s">
        <v>1496</v>
      </c>
      <c r="D45" s="664" t="s">
        <v>1508</v>
      </c>
      <c r="E45" s="306" t="s">
        <v>1509</v>
      </c>
      <c r="F45" s="307"/>
      <c r="G45" s="297" t="s">
        <v>1517</v>
      </c>
      <c r="H45" s="308" t="str">
        <f t="shared" si="4"/>
        <v>ST-SS5-2</v>
      </c>
      <c r="I45" s="665">
        <v>2</v>
      </c>
      <c r="J45" s="195">
        <v>1</v>
      </c>
    </row>
    <row r="46" spans="1:10" s="190" customFormat="1" ht="12" hidden="1" customHeight="1" outlineLevel="1">
      <c r="A46" s="200"/>
      <c r="B46" s="297"/>
      <c r="C46" s="17"/>
      <c r="D46" s="664" t="s">
        <v>1518</v>
      </c>
      <c r="E46" s="306"/>
      <c r="F46" s="307"/>
      <c r="G46" s="297"/>
      <c r="H46" s="308"/>
      <c r="I46" s="661"/>
      <c r="J46" s="195"/>
    </row>
    <row r="47" spans="1:10" s="182" customFormat="1" ht="12" hidden="1" customHeight="1" outlineLevel="2">
      <c r="A47" s="191"/>
      <c r="B47" s="297" t="s">
        <v>12</v>
      </c>
      <c r="C47" s="17" t="s">
        <v>1496</v>
      </c>
      <c r="D47" s="664" t="s">
        <v>1497</v>
      </c>
      <c r="E47" s="306" t="s">
        <v>1498</v>
      </c>
      <c r="F47" s="307"/>
      <c r="G47" s="297" t="s">
        <v>1519</v>
      </c>
      <c r="H47" s="308" t="str">
        <f t="shared" ref="H47:H52" si="5">CONCATENATE(B47,"-",G47,"-",I47)</f>
        <v>ST-SS6-1</v>
      </c>
      <c r="I47" s="665">
        <v>1</v>
      </c>
      <c r="J47" s="195">
        <v>1</v>
      </c>
    </row>
    <row r="48" spans="1:10" s="182" customFormat="1" ht="12" hidden="1" customHeight="1" outlineLevel="2">
      <c r="A48" s="191"/>
      <c r="B48" s="297" t="s">
        <v>12</v>
      </c>
      <c r="C48" s="17" t="s">
        <v>1496</v>
      </c>
      <c r="D48" s="664" t="s">
        <v>1500</v>
      </c>
      <c r="E48" s="306" t="s">
        <v>1501</v>
      </c>
      <c r="F48" s="307"/>
      <c r="G48" s="297" t="s">
        <v>1519</v>
      </c>
      <c r="H48" s="308" t="str">
        <f t="shared" si="5"/>
        <v>ST-SS6-1</v>
      </c>
      <c r="I48" s="665">
        <v>1</v>
      </c>
      <c r="J48" s="195">
        <v>1</v>
      </c>
    </row>
    <row r="49" spans="1:10" s="182" customFormat="1" ht="12" hidden="1" customHeight="1" outlineLevel="2">
      <c r="A49" s="191"/>
      <c r="B49" s="297" t="s">
        <v>12</v>
      </c>
      <c r="C49" s="17" t="s">
        <v>1496</v>
      </c>
      <c r="D49" s="664" t="s">
        <v>1502</v>
      </c>
      <c r="E49" s="306" t="s">
        <v>1503</v>
      </c>
      <c r="F49" s="307"/>
      <c r="G49" s="297" t="s">
        <v>1519</v>
      </c>
      <c r="H49" s="308" t="str">
        <f t="shared" si="5"/>
        <v>ST-SS6-1</v>
      </c>
      <c r="I49" s="665">
        <v>1</v>
      </c>
      <c r="J49" s="195">
        <v>1</v>
      </c>
    </row>
    <row r="50" spans="1:10" s="182" customFormat="1" ht="12" hidden="1" customHeight="1" outlineLevel="2">
      <c r="A50" s="191"/>
      <c r="B50" s="297" t="s">
        <v>12</v>
      </c>
      <c r="C50" s="17" t="s">
        <v>1496</v>
      </c>
      <c r="D50" s="664" t="s">
        <v>1504</v>
      </c>
      <c r="E50" s="306" t="s">
        <v>1505</v>
      </c>
      <c r="F50" s="307"/>
      <c r="G50" s="297" t="s">
        <v>1519</v>
      </c>
      <c r="H50" s="308" t="str">
        <f t="shared" si="5"/>
        <v>ST-SS6-2</v>
      </c>
      <c r="I50" s="665">
        <v>2</v>
      </c>
      <c r="J50" s="195">
        <v>1</v>
      </c>
    </row>
    <row r="51" spans="1:10" s="182" customFormat="1" ht="12" hidden="1" customHeight="1" outlineLevel="2">
      <c r="A51" s="191"/>
      <c r="B51" s="297" t="s">
        <v>12</v>
      </c>
      <c r="C51" s="17" t="s">
        <v>1496</v>
      </c>
      <c r="D51" s="664" t="s">
        <v>1506</v>
      </c>
      <c r="E51" s="306" t="s">
        <v>1507</v>
      </c>
      <c r="F51" s="307"/>
      <c r="G51" s="297" t="s">
        <v>1519</v>
      </c>
      <c r="H51" s="308" t="str">
        <f t="shared" si="5"/>
        <v>ST-SS6-2</v>
      </c>
      <c r="I51" s="665">
        <v>2</v>
      </c>
      <c r="J51" s="195">
        <v>1</v>
      </c>
    </row>
    <row r="52" spans="1:10" s="182" customFormat="1" ht="12" hidden="1" customHeight="1" outlineLevel="2">
      <c r="A52" s="191"/>
      <c r="B52" s="297" t="s">
        <v>12</v>
      </c>
      <c r="C52" s="17" t="s">
        <v>1496</v>
      </c>
      <c r="D52" s="664" t="s">
        <v>1508</v>
      </c>
      <c r="E52" s="306" t="s">
        <v>1509</v>
      </c>
      <c r="F52" s="307"/>
      <c r="G52" s="297" t="s">
        <v>1519</v>
      </c>
      <c r="H52" s="308" t="str">
        <f t="shared" si="5"/>
        <v>ST-SS6-2</v>
      </c>
      <c r="I52" s="665">
        <v>2</v>
      </c>
      <c r="J52" s="195">
        <v>1</v>
      </c>
    </row>
    <row r="53" spans="1:10" s="190" customFormat="1" ht="12" hidden="1" customHeight="1" outlineLevel="1">
      <c r="A53" s="200"/>
      <c r="B53" s="297"/>
      <c r="C53" s="17"/>
      <c r="D53" s="664" t="s">
        <v>1520</v>
      </c>
      <c r="E53" s="306"/>
      <c r="F53" s="307"/>
      <c r="G53" s="297"/>
      <c r="H53" s="308"/>
      <c r="I53" s="661"/>
      <c r="J53" s="195"/>
    </row>
    <row r="54" spans="1:10" s="182" customFormat="1" ht="12" hidden="1" customHeight="1" outlineLevel="2">
      <c r="A54" s="191"/>
      <c r="B54" s="297" t="s">
        <v>12</v>
      </c>
      <c r="C54" s="17" t="s">
        <v>1496</v>
      </c>
      <c r="D54" s="664" t="s">
        <v>1497</v>
      </c>
      <c r="E54" s="306" t="s">
        <v>1498</v>
      </c>
      <c r="F54" s="307"/>
      <c r="G54" s="297" t="s">
        <v>1521</v>
      </c>
      <c r="H54" s="308" t="str">
        <f t="shared" ref="H54:H59" si="6">CONCATENATE(B54,"-",G54,"-",I54)</f>
        <v>ST-SS7-1</v>
      </c>
      <c r="I54" s="665">
        <v>1</v>
      </c>
      <c r="J54" s="195">
        <v>1</v>
      </c>
    </row>
    <row r="55" spans="1:10" s="182" customFormat="1" ht="12" hidden="1" customHeight="1" outlineLevel="2">
      <c r="A55" s="191"/>
      <c r="B55" s="297" t="s">
        <v>12</v>
      </c>
      <c r="C55" s="17" t="s">
        <v>1496</v>
      </c>
      <c r="D55" s="664" t="s">
        <v>1500</v>
      </c>
      <c r="E55" s="306" t="s">
        <v>1501</v>
      </c>
      <c r="F55" s="307"/>
      <c r="G55" s="297" t="s">
        <v>1521</v>
      </c>
      <c r="H55" s="308" t="str">
        <f t="shared" si="6"/>
        <v>ST-SS7-1</v>
      </c>
      <c r="I55" s="665">
        <v>1</v>
      </c>
      <c r="J55" s="195">
        <v>1</v>
      </c>
    </row>
    <row r="56" spans="1:10" s="182" customFormat="1" ht="12" hidden="1" customHeight="1" outlineLevel="2">
      <c r="A56" s="191"/>
      <c r="B56" s="297" t="s">
        <v>12</v>
      </c>
      <c r="C56" s="17" t="s">
        <v>1496</v>
      </c>
      <c r="D56" s="664" t="s">
        <v>1502</v>
      </c>
      <c r="E56" s="306" t="s">
        <v>1503</v>
      </c>
      <c r="F56" s="307"/>
      <c r="G56" s="297" t="s">
        <v>1521</v>
      </c>
      <c r="H56" s="308" t="str">
        <f t="shared" si="6"/>
        <v>ST-SS7-1</v>
      </c>
      <c r="I56" s="665">
        <v>1</v>
      </c>
      <c r="J56" s="195">
        <v>1</v>
      </c>
    </row>
    <row r="57" spans="1:10" s="182" customFormat="1" ht="12" hidden="1" customHeight="1" outlineLevel="2">
      <c r="A57" s="191"/>
      <c r="B57" s="297" t="s">
        <v>12</v>
      </c>
      <c r="C57" s="17" t="s">
        <v>1496</v>
      </c>
      <c r="D57" s="664" t="s">
        <v>1504</v>
      </c>
      <c r="E57" s="306" t="s">
        <v>1505</v>
      </c>
      <c r="F57" s="307"/>
      <c r="G57" s="297" t="s">
        <v>1521</v>
      </c>
      <c r="H57" s="308" t="str">
        <f t="shared" si="6"/>
        <v>ST-SS7-2</v>
      </c>
      <c r="I57" s="665">
        <v>2</v>
      </c>
      <c r="J57" s="195">
        <v>1</v>
      </c>
    </row>
    <row r="58" spans="1:10" s="182" customFormat="1" ht="12" hidden="1" customHeight="1" outlineLevel="2">
      <c r="A58" s="191"/>
      <c r="B58" s="297" t="s">
        <v>12</v>
      </c>
      <c r="C58" s="17" t="s">
        <v>1496</v>
      </c>
      <c r="D58" s="664" t="s">
        <v>1506</v>
      </c>
      <c r="E58" s="306" t="s">
        <v>1507</v>
      </c>
      <c r="F58" s="307"/>
      <c r="G58" s="297" t="s">
        <v>1521</v>
      </c>
      <c r="H58" s="308" t="str">
        <f t="shared" si="6"/>
        <v>ST-SS7-2</v>
      </c>
      <c r="I58" s="665">
        <v>2</v>
      </c>
      <c r="J58" s="195">
        <v>1</v>
      </c>
    </row>
    <row r="59" spans="1:10" s="182" customFormat="1" ht="12" hidden="1" customHeight="1" outlineLevel="2">
      <c r="A59" s="191"/>
      <c r="B59" s="297" t="s">
        <v>12</v>
      </c>
      <c r="C59" s="17" t="s">
        <v>1496</v>
      </c>
      <c r="D59" s="664" t="s">
        <v>1508</v>
      </c>
      <c r="E59" s="306" t="s">
        <v>1509</v>
      </c>
      <c r="F59" s="307"/>
      <c r="G59" s="297" t="s">
        <v>1521</v>
      </c>
      <c r="H59" s="308" t="str">
        <f t="shared" si="6"/>
        <v>ST-SS7-2</v>
      </c>
      <c r="I59" s="665">
        <v>2</v>
      </c>
      <c r="J59" s="195">
        <v>1</v>
      </c>
    </row>
    <row r="60" spans="1:10" s="190" customFormat="1" ht="12" hidden="1" customHeight="1" outlineLevel="1">
      <c r="A60" s="200"/>
      <c r="B60" s="297"/>
      <c r="C60" s="17"/>
      <c r="D60" s="664" t="s">
        <v>1522</v>
      </c>
      <c r="E60" s="306"/>
      <c r="F60" s="307"/>
      <c r="G60" s="297"/>
      <c r="H60" s="308"/>
      <c r="I60" s="661"/>
      <c r="J60" s="195"/>
    </row>
    <row r="61" spans="1:10" s="182" customFormat="1" ht="12" hidden="1" customHeight="1" outlineLevel="2">
      <c r="A61" s="191"/>
      <c r="B61" s="297" t="s">
        <v>12</v>
      </c>
      <c r="C61" s="17" t="s">
        <v>1496</v>
      </c>
      <c r="D61" s="664" t="s">
        <v>1497</v>
      </c>
      <c r="E61" s="306" t="s">
        <v>1498</v>
      </c>
      <c r="F61" s="307"/>
      <c r="G61" s="297" t="s">
        <v>1523</v>
      </c>
      <c r="H61" s="308" t="str">
        <f t="shared" ref="H61:H66" si="7">CONCATENATE(B61,"-",G61,"-",I61)</f>
        <v>ST-SS8-1</v>
      </c>
      <c r="I61" s="665">
        <v>1</v>
      </c>
      <c r="J61" s="195">
        <v>1</v>
      </c>
    </row>
    <row r="62" spans="1:10" s="182" customFormat="1" ht="12" hidden="1" customHeight="1" outlineLevel="2">
      <c r="A62" s="191"/>
      <c r="B62" s="297" t="s">
        <v>12</v>
      </c>
      <c r="C62" s="17" t="s">
        <v>1496</v>
      </c>
      <c r="D62" s="664" t="s">
        <v>1500</v>
      </c>
      <c r="E62" s="306" t="s">
        <v>1501</v>
      </c>
      <c r="F62" s="307"/>
      <c r="G62" s="297" t="s">
        <v>1523</v>
      </c>
      <c r="H62" s="308" t="str">
        <f t="shared" si="7"/>
        <v>ST-SS8-1</v>
      </c>
      <c r="I62" s="665">
        <v>1</v>
      </c>
      <c r="J62" s="195">
        <v>1</v>
      </c>
    </row>
    <row r="63" spans="1:10" s="182" customFormat="1" ht="12" hidden="1" customHeight="1" outlineLevel="2">
      <c r="A63" s="191"/>
      <c r="B63" s="297" t="s">
        <v>12</v>
      </c>
      <c r="C63" s="17" t="s">
        <v>1496</v>
      </c>
      <c r="D63" s="664" t="s">
        <v>1502</v>
      </c>
      <c r="E63" s="306" t="s">
        <v>1503</v>
      </c>
      <c r="F63" s="307"/>
      <c r="G63" s="297" t="s">
        <v>1523</v>
      </c>
      <c r="H63" s="308" t="str">
        <f t="shared" si="7"/>
        <v>ST-SS8-1</v>
      </c>
      <c r="I63" s="665">
        <v>1</v>
      </c>
      <c r="J63" s="195">
        <v>1</v>
      </c>
    </row>
    <row r="64" spans="1:10" s="182" customFormat="1" ht="12" hidden="1" customHeight="1" outlineLevel="2">
      <c r="A64" s="191"/>
      <c r="B64" s="297" t="s">
        <v>12</v>
      </c>
      <c r="C64" s="17" t="s">
        <v>1496</v>
      </c>
      <c r="D64" s="664" t="s">
        <v>1504</v>
      </c>
      <c r="E64" s="306" t="s">
        <v>1505</v>
      </c>
      <c r="F64" s="307"/>
      <c r="G64" s="297" t="s">
        <v>1523</v>
      </c>
      <c r="H64" s="308" t="str">
        <f t="shared" si="7"/>
        <v>ST-SS8-2</v>
      </c>
      <c r="I64" s="665">
        <v>2</v>
      </c>
      <c r="J64" s="195">
        <v>1</v>
      </c>
    </row>
    <row r="65" spans="1:10" s="182" customFormat="1" ht="12" hidden="1" customHeight="1" outlineLevel="2">
      <c r="A65" s="191"/>
      <c r="B65" s="297" t="s">
        <v>12</v>
      </c>
      <c r="C65" s="17" t="s">
        <v>1496</v>
      </c>
      <c r="D65" s="664" t="s">
        <v>1506</v>
      </c>
      <c r="E65" s="306" t="s">
        <v>1507</v>
      </c>
      <c r="F65" s="307"/>
      <c r="G65" s="297" t="s">
        <v>1523</v>
      </c>
      <c r="H65" s="308" t="str">
        <f t="shared" si="7"/>
        <v>ST-SS8-2</v>
      </c>
      <c r="I65" s="665">
        <v>2</v>
      </c>
      <c r="J65" s="195">
        <v>1</v>
      </c>
    </row>
    <row r="66" spans="1:10" s="182" customFormat="1" ht="12" hidden="1" customHeight="1" outlineLevel="2">
      <c r="A66" s="191"/>
      <c r="B66" s="297" t="s">
        <v>12</v>
      </c>
      <c r="C66" s="17" t="s">
        <v>1496</v>
      </c>
      <c r="D66" s="664" t="s">
        <v>1508</v>
      </c>
      <c r="E66" s="306" t="s">
        <v>1509</v>
      </c>
      <c r="F66" s="307"/>
      <c r="G66" s="297" t="s">
        <v>1523</v>
      </c>
      <c r="H66" s="308" t="str">
        <f t="shared" si="7"/>
        <v>ST-SS8-2</v>
      </c>
      <c r="I66" s="665">
        <v>2</v>
      </c>
      <c r="J66" s="195">
        <v>1</v>
      </c>
    </row>
    <row r="67" spans="1:10" s="190" customFormat="1" ht="12" hidden="1" customHeight="1" outlineLevel="1">
      <c r="A67" s="200"/>
      <c r="B67" s="297"/>
      <c r="C67" s="17"/>
      <c r="D67" s="664" t="s">
        <v>1524</v>
      </c>
      <c r="E67" s="306"/>
      <c r="F67" s="307"/>
      <c r="G67" s="297"/>
      <c r="H67" s="308"/>
      <c r="I67" s="661"/>
      <c r="J67" s="195"/>
    </row>
    <row r="68" spans="1:10" s="182" customFormat="1" ht="12" hidden="1" customHeight="1" outlineLevel="2">
      <c r="A68" s="191"/>
      <c r="B68" s="297" t="s">
        <v>12</v>
      </c>
      <c r="C68" s="17" t="s">
        <v>1496</v>
      </c>
      <c r="D68" s="664" t="s">
        <v>1497</v>
      </c>
      <c r="E68" s="306" t="s">
        <v>1498</v>
      </c>
      <c r="F68" s="307"/>
      <c r="G68" s="297" t="s">
        <v>1525</v>
      </c>
      <c r="H68" s="308" t="str">
        <f t="shared" ref="H68:H73" si="8">CONCATENATE(B68,"-",G68,"-",I68)</f>
        <v>ST-SS9-1</v>
      </c>
      <c r="I68" s="665">
        <v>1</v>
      </c>
      <c r="J68" s="195">
        <v>1</v>
      </c>
    </row>
    <row r="69" spans="1:10" s="182" customFormat="1" ht="12" hidden="1" customHeight="1" outlineLevel="2">
      <c r="A69" s="191"/>
      <c r="B69" s="297" t="s">
        <v>12</v>
      </c>
      <c r="C69" s="17" t="s">
        <v>1496</v>
      </c>
      <c r="D69" s="664" t="s">
        <v>1500</v>
      </c>
      <c r="E69" s="306" t="s">
        <v>1501</v>
      </c>
      <c r="F69" s="307"/>
      <c r="G69" s="297" t="s">
        <v>1525</v>
      </c>
      <c r="H69" s="308" t="str">
        <f t="shared" si="8"/>
        <v>ST-SS9-1</v>
      </c>
      <c r="I69" s="665">
        <v>1</v>
      </c>
      <c r="J69" s="195">
        <v>1</v>
      </c>
    </row>
    <row r="70" spans="1:10" s="182" customFormat="1" ht="12" hidden="1" customHeight="1" outlineLevel="2">
      <c r="A70" s="191"/>
      <c r="B70" s="297" t="s">
        <v>12</v>
      </c>
      <c r="C70" s="17" t="s">
        <v>1496</v>
      </c>
      <c r="D70" s="664" t="s">
        <v>1502</v>
      </c>
      <c r="E70" s="306" t="s">
        <v>1503</v>
      </c>
      <c r="F70" s="307"/>
      <c r="G70" s="297" t="s">
        <v>1525</v>
      </c>
      <c r="H70" s="308" t="str">
        <f t="shared" si="8"/>
        <v>ST-SS9-1</v>
      </c>
      <c r="I70" s="665">
        <v>1</v>
      </c>
      <c r="J70" s="195">
        <v>1</v>
      </c>
    </row>
    <row r="71" spans="1:10" s="182" customFormat="1" ht="12" hidden="1" customHeight="1" outlineLevel="2">
      <c r="A71" s="191"/>
      <c r="B71" s="297" t="s">
        <v>12</v>
      </c>
      <c r="C71" s="17" t="s">
        <v>1496</v>
      </c>
      <c r="D71" s="664" t="s">
        <v>1504</v>
      </c>
      <c r="E71" s="306" t="s">
        <v>1505</v>
      </c>
      <c r="F71" s="307"/>
      <c r="G71" s="297" t="s">
        <v>1525</v>
      </c>
      <c r="H71" s="308" t="str">
        <f t="shared" si="8"/>
        <v>ST-SS9-2</v>
      </c>
      <c r="I71" s="665">
        <v>2</v>
      </c>
      <c r="J71" s="195">
        <v>1</v>
      </c>
    </row>
    <row r="72" spans="1:10" s="182" customFormat="1" ht="12" hidden="1" customHeight="1" outlineLevel="2">
      <c r="A72" s="191"/>
      <c r="B72" s="297" t="s">
        <v>12</v>
      </c>
      <c r="C72" s="17" t="s">
        <v>1496</v>
      </c>
      <c r="D72" s="664" t="s">
        <v>1506</v>
      </c>
      <c r="E72" s="306" t="s">
        <v>1507</v>
      </c>
      <c r="F72" s="307"/>
      <c r="G72" s="297" t="s">
        <v>1525</v>
      </c>
      <c r="H72" s="308" t="str">
        <f t="shared" si="8"/>
        <v>ST-SS9-2</v>
      </c>
      <c r="I72" s="665">
        <v>2</v>
      </c>
      <c r="J72" s="195">
        <v>1</v>
      </c>
    </row>
    <row r="73" spans="1:10" s="182" customFormat="1" ht="12" hidden="1" customHeight="1" outlineLevel="2">
      <c r="A73" s="191"/>
      <c r="B73" s="297" t="s">
        <v>12</v>
      </c>
      <c r="C73" s="17" t="s">
        <v>1496</v>
      </c>
      <c r="D73" s="664" t="s">
        <v>1508</v>
      </c>
      <c r="E73" s="306" t="s">
        <v>1509</v>
      </c>
      <c r="F73" s="307"/>
      <c r="G73" s="297" t="s">
        <v>1525</v>
      </c>
      <c r="H73" s="308" t="str">
        <f t="shared" si="8"/>
        <v>ST-SS9-2</v>
      </c>
      <c r="I73" s="665">
        <v>2</v>
      </c>
      <c r="J73" s="195">
        <v>1</v>
      </c>
    </row>
    <row r="74" spans="1:10" s="190" customFormat="1" ht="12" hidden="1" customHeight="1" outlineLevel="1">
      <c r="A74" s="200"/>
      <c r="B74" s="297"/>
      <c r="C74" s="17"/>
      <c r="D74" s="664" t="s">
        <v>1526</v>
      </c>
      <c r="E74" s="306"/>
      <c r="F74" s="307"/>
      <c r="G74" s="297"/>
      <c r="H74" s="308"/>
      <c r="I74" s="661"/>
      <c r="J74" s="195"/>
    </row>
    <row r="75" spans="1:10" s="182" customFormat="1" ht="12" hidden="1" customHeight="1" outlineLevel="2">
      <c r="A75" s="191"/>
      <c r="B75" s="297" t="s">
        <v>12</v>
      </c>
      <c r="C75" s="17" t="s">
        <v>1496</v>
      </c>
      <c r="D75" s="664" t="s">
        <v>1497</v>
      </c>
      <c r="E75" s="306" t="s">
        <v>1498</v>
      </c>
      <c r="F75" s="307"/>
      <c r="G75" s="297" t="s">
        <v>1527</v>
      </c>
      <c r="H75" s="308" t="str">
        <f t="shared" ref="H75:H80" si="9">CONCATENATE(B75,"-",G75,"-",I75)</f>
        <v>ST-S10-1</v>
      </c>
      <c r="I75" s="665">
        <v>1</v>
      </c>
      <c r="J75" s="195">
        <v>1</v>
      </c>
    </row>
    <row r="76" spans="1:10" s="182" customFormat="1" ht="12" hidden="1" customHeight="1" outlineLevel="2">
      <c r="A76" s="191"/>
      <c r="B76" s="297" t="s">
        <v>12</v>
      </c>
      <c r="C76" s="17" t="s">
        <v>1496</v>
      </c>
      <c r="D76" s="664" t="s">
        <v>1500</v>
      </c>
      <c r="E76" s="306" t="s">
        <v>1501</v>
      </c>
      <c r="F76" s="307"/>
      <c r="G76" s="297" t="s">
        <v>1527</v>
      </c>
      <c r="H76" s="308" t="str">
        <f t="shared" si="9"/>
        <v>ST-S10-1</v>
      </c>
      <c r="I76" s="665">
        <v>1</v>
      </c>
      <c r="J76" s="195">
        <v>1</v>
      </c>
    </row>
    <row r="77" spans="1:10" s="182" customFormat="1" ht="12" hidden="1" customHeight="1" outlineLevel="2">
      <c r="A77" s="191"/>
      <c r="B77" s="297" t="s">
        <v>12</v>
      </c>
      <c r="C77" s="17" t="s">
        <v>1496</v>
      </c>
      <c r="D77" s="664" t="s">
        <v>1502</v>
      </c>
      <c r="E77" s="306" t="s">
        <v>1503</v>
      </c>
      <c r="F77" s="307"/>
      <c r="G77" s="297" t="s">
        <v>1527</v>
      </c>
      <c r="H77" s="308" t="str">
        <f t="shared" si="9"/>
        <v>ST-S10-1</v>
      </c>
      <c r="I77" s="665">
        <v>1</v>
      </c>
      <c r="J77" s="195">
        <v>1</v>
      </c>
    </row>
    <row r="78" spans="1:10" s="182" customFormat="1" ht="12" hidden="1" customHeight="1" outlineLevel="2">
      <c r="A78" s="191"/>
      <c r="B78" s="297" t="s">
        <v>12</v>
      </c>
      <c r="C78" s="17" t="s">
        <v>1496</v>
      </c>
      <c r="D78" s="664" t="s">
        <v>1504</v>
      </c>
      <c r="E78" s="306" t="s">
        <v>1505</v>
      </c>
      <c r="F78" s="307"/>
      <c r="G78" s="297" t="s">
        <v>1527</v>
      </c>
      <c r="H78" s="308" t="str">
        <f t="shared" si="9"/>
        <v>ST-S10-2</v>
      </c>
      <c r="I78" s="665">
        <v>2</v>
      </c>
      <c r="J78" s="195">
        <v>1</v>
      </c>
    </row>
    <row r="79" spans="1:10" s="182" customFormat="1" ht="12" hidden="1" customHeight="1" outlineLevel="2">
      <c r="A79" s="191"/>
      <c r="B79" s="297" t="s">
        <v>12</v>
      </c>
      <c r="C79" s="17" t="s">
        <v>1496</v>
      </c>
      <c r="D79" s="664" t="s">
        <v>1506</v>
      </c>
      <c r="E79" s="306" t="s">
        <v>1507</v>
      </c>
      <c r="F79" s="307"/>
      <c r="G79" s="297" t="s">
        <v>1527</v>
      </c>
      <c r="H79" s="308" t="str">
        <f t="shared" si="9"/>
        <v>ST-S10-2</v>
      </c>
      <c r="I79" s="665">
        <v>2</v>
      </c>
      <c r="J79" s="195">
        <v>1</v>
      </c>
    </row>
    <row r="80" spans="1:10" s="182" customFormat="1" ht="12" hidden="1" customHeight="1" outlineLevel="2">
      <c r="A80" s="191"/>
      <c r="B80" s="297" t="s">
        <v>12</v>
      </c>
      <c r="C80" s="17" t="s">
        <v>1496</v>
      </c>
      <c r="D80" s="664" t="s">
        <v>1508</v>
      </c>
      <c r="E80" s="306" t="s">
        <v>1509</v>
      </c>
      <c r="F80" s="307"/>
      <c r="G80" s="297" t="s">
        <v>1527</v>
      </c>
      <c r="H80" s="308" t="str">
        <f t="shared" si="9"/>
        <v>ST-S10-2</v>
      </c>
      <c r="I80" s="665">
        <v>2</v>
      </c>
      <c r="J80" s="195">
        <v>1</v>
      </c>
    </row>
    <row r="81" spans="1:21" s="190" customFormat="1" ht="12" hidden="1" customHeight="1" outlineLevel="1">
      <c r="A81" s="200"/>
      <c r="B81" s="297"/>
      <c r="C81" s="17"/>
      <c r="D81" s="664" t="s">
        <v>1528</v>
      </c>
      <c r="E81" s="306"/>
      <c r="F81" s="307"/>
      <c r="G81" s="297"/>
      <c r="H81" s="308"/>
      <c r="I81" s="661"/>
      <c r="J81" s="195"/>
      <c r="K81" s="195"/>
      <c r="L81" s="189"/>
      <c r="M81" s="197"/>
      <c r="N81" s="197"/>
      <c r="O81" s="197"/>
      <c r="P81" s="197"/>
      <c r="Q81" s="220"/>
      <c r="R81" s="220"/>
      <c r="S81" s="197"/>
      <c r="T81" s="197"/>
      <c r="U81" s="197"/>
    </row>
    <row r="82" spans="1:21" s="182" customFormat="1" ht="12" hidden="1" customHeight="1" outlineLevel="2">
      <c r="A82" s="191"/>
      <c r="B82" s="297" t="s">
        <v>12</v>
      </c>
      <c r="C82" s="17" t="s">
        <v>1496</v>
      </c>
      <c r="D82" s="664" t="s">
        <v>1497</v>
      </c>
      <c r="E82" s="306" t="s">
        <v>1498</v>
      </c>
      <c r="F82" s="307"/>
      <c r="G82" s="297" t="s">
        <v>1529</v>
      </c>
      <c r="H82" s="308" t="str">
        <f t="shared" ref="H82:H87" si="10">CONCATENATE(B82,"-",G82,"-",I82)</f>
        <v>ST-S11-1</v>
      </c>
      <c r="I82" s="665">
        <v>1</v>
      </c>
      <c r="J82" s="195">
        <v>1</v>
      </c>
      <c r="K82" s="195"/>
      <c r="L82" s="195"/>
      <c r="M82" s="195"/>
      <c r="N82" s="197"/>
      <c r="O82" s="197"/>
      <c r="P82" s="197"/>
      <c r="Q82" s="195"/>
      <c r="R82" s="195"/>
      <c r="S82" s="221"/>
      <c r="T82" s="197"/>
      <c r="U82" s="197"/>
    </row>
    <row r="83" spans="1:21" s="182" customFormat="1" ht="12" hidden="1" customHeight="1" outlineLevel="2">
      <c r="A83" s="191"/>
      <c r="B83" s="297" t="s">
        <v>12</v>
      </c>
      <c r="C83" s="17" t="s">
        <v>1496</v>
      </c>
      <c r="D83" s="664" t="s">
        <v>1500</v>
      </c>
      <c r="E83" s="306" t="s">
        <v>1501</v>
      </c>
      <c r="F83" s="307"/>
      <c r="G83" s="297" t="s">
        <v>1529</v>
      </c>
      <c r="H83" s="308" t="str">
        <f t="shared" si="10"/>
        <v>ST-S11-1</v>
      </c>
      <c r="I83" s="665">
        <v>1</v>
      </c>
      <c r="J83" s="195">
        <v>1</v>
      </c>
      <c r="K83" s="195"/>
      <c r="L83" s="195"/>
      <c r="M83" s="195"/>
      <c r="N83" s="197"/>
      <c r="O83" s="197"/>
      <c r="P83" s="197"/>
      <c r="Q83" s="195"/>
      <c r="R83" s="195"/>
      <c r="S83" s="221"/>
      <c r="T83" s="197"/>
      <c r="U83" s="197"/>
    </row>
    <row r="84" spans="1:21" s="182" customFormat="1" ht="12" hidden="1" customHeight="1" outlineLevel="2">
      <c r="A84" s="191"/>
      <c r="B84" s="297" t="s">
        <v>12</v>
      </c>
      <c r="C84" s="17" t="s">
        <v>1496</v>
      </c>
      <c r="D84" s="664" t="s">
        <v>1502</v>
      </c>
      <c r="E84" s="306" t="s">
        <v>1503</v>
      </c>
      <c r="F84" s="307"/>
      <c r="G84" s="297" t="s">
        <v>1529</v>
      </c>
      <c r="H84" s="308" t="str">
        <f t="shared" si="10"/>
        <v>ST-S11-1</v>
      </c>
      <c r="I84" s="665">
        <v>1</v>
      </c>
      <c r="J84" s="195">
        <v>1</v>
      </c>
      <c r="K84" s="202"/>
      <c r="L84" s="195"/>
      <c r="M84" s="195"/>
      <c r="N84" s="197"/>
      <c r="O84" s="197"/>
      <c r="P84" s="197"/>
      <c r="Q84" s="220"/>
      <c r="R84" s="221"/>
      <c r="S84" s="221"/>
      <c r="T84" s="197"/>
      <c r="U84" s="197"/>
    </row>
    <row r="85" spans="1:21" s="182" customFormat="1" ht="12" hidden="1" customHeight="1" outlineLevel="2">
      <c r="A85" s="191"/>
      <c r="B85" s="297" t="s">
        <v>12</v>
      </c>
      <c r="C85" s="17" t="s">
        <v>1496</v>
      </c>
      <c r="D85" s="664" t="s">
        <v>1504</v>
      </c>
      <c r="E85" s="306" t="s">
        <v>1505</v>
      </c>
      <c r="F85" s="307"/>
      <c r="G85" s="297" t="s">
        <v>1529</v>
      </c>
      <c r="H85" s="308" t="str">
        <f t="shared" si="10"/>
        <v>ST-S11-2</v>
      </c>
      <c r="I85" s="665">
        <v>2</v>
      </c>
      <c r="J85" s="195">
        <v>1</v>
      </c>
      <c r="K85" s="195"/>
      <c r="L85" s="203"/>
      <c r="M85" s="203"/>
      <c r="N85" s="197"/>
      <c r="O85" s="197"/>
      <c r="P85" s="197"/>
      <c r="Q85" s="203"/>
      <c r="R85" s="203"/>
      <c r="S85" s="197"/>
      <c r="T85" s="197"/>
      <c r="U85" s="197"/>
    </row>
    <row r="86" spans="1:21" s="182" customFormat="1" ht="12" hidden="1" customHeight="1" outlineLevel="2">
      <c r="A86" s="191"/>
      <c r="B86" s="297" t="s">
        <v>12</v>
      </c>
      <c r="C86" s="17" t="s">
        <v>1496</v>
      </c>
      <c r="D86" s="664" t="s">
        <v>1506</v>
      </c>
      <c r="E86" s="306" t="s">
        <v>1507</v>
      </c>
      <c r="F86" s="307"/>
      <c r="G86" s="297" t="s">
        <v>1529</v>
      </c>
      <c r="H86" s="308" t="str">
        <f t="shared" si="10"/>
        <v>ST-S11-2</v>
      </c>
      <c r="I86" s="665">
        <v>2</v>
      </c>
      <c r="J86" s="195">
        <v>1</v>
      </c>
      <c r="K86" s="195"/>
      <c r="L86" s="203"/>
      <c r="M86" s="203"/>
      <c r="N86" s="197"/>
      <c r="O86" s="197"/>
      <c r="P86" s="197"/>
      <c r="Q86" s="203"/>
      <c r="R86" s="203"/>
      <c r="S86" s="197"/>
      <c r="T86" s="197"/>
      <c r="U86" s="197"/>
    </row>
    <row r="87" spans="1:21" s="182" customFormat="1" ht="12" hidden="1" customHeight="1" outlineLevel="2">
      <c r="A87" s="191"/>
      <c r="B87" s="297" t="s">
        <v>12</v>
      </c>
      <c r="C87" s="17" t="s">
        <v>1496</v>
      </c>
      <c r="D87" s="664" t="s">
        <v>1508</v>
      </c>
      <c r="E87" s="306" t="s">
        <v>1509</v>
      </c>
      <c r="F87" s="307"/>
      <c r="G87" s="297" t="s">
        <v>1529</v>
      </c>
      <c r="H87" s="308" t="str">
        <f t="shared" si="10"/>
        <v>ST-S11-2</v>
      </c>
      <c r="I87" s="665">
        <v>2</v>
      </c>
      <c r="J87" s="195">
        <v>1</v>
      </c>
      <c r="K87" s="195"/>
      <c r="L87" s="203"/>
      <c r="M87" s="203"/>
      <c r="N87" s="197"/>
      <c r="O87" s="197"/>
      <c r="P87" s="197"/>
      <c r="Q87" s="203"/>
      <c r="R87" s="203"/>
      <c r="S87" s="197"/>
      <c r="T87" s="197"/>
      <c r="U87" s="197"/>
    </row>
    <row r="88" spans="1:21" s="190" customFormat="1" ht="12" hidden="1" customHeight="1" outlineLevel="1">
      <c r="A88" s="200"/>
      <c r="B88" s="297"/>
      <c r="C88" s="17"/>
      <c r="D88" s="664" t="s">
        <v>1530</v>
      </c>
      <c r="E88" s="306"/>
      <c r="F88" s="307"/>
      <c r="G88" s="297"/>
      <c r="H88" s="308"/>
      <c r="I88" s="661"/>
      <c r="J88" s="195"/>
      <c r="K88" s="195"/>
      <c r="L88" s="189"/>
      <c r="M88" s="197"/>
      <c r="N88" s="197"/>
      <c r="O88" s="197"/>
      <c r="P88" s="197"/>
      <c r="Q88" s="220"/>
      <c r="R88" s="220"/>
      <c r="S88" s="197"/>
      <c r="T88" s="197"/>
      <c r="U88" s="197"/>
    </row>
    <row r="89" spans="1:21" s="182" customFormat="1" ht="12" hidden="1" customHeight="1" outlineLevel="2">
      <c r="A89" s="191"/>
      <c r="B89" s="297" t="s">
        <v>12</v>
      </c>
      <c r="C89" s="17" t="s">
        <v>1496</v>
      </c>
      <c r="D89" s="664" t="s">
        <v>1497</v>
      </c>
      <c r="E89" s="306" t="s">
        <v>1498</v>
      </c>
      <c r="F89" s="307"/>
      <c r="G89" s="297" t="s">
        <v>1531</v>
      </c>
      <c r="H89" s="308" t="str">
        <f t="shared" ref="H89:H93" si="11">CONCATENATE(B89,"-",G89,"-",I89)</f>
        <v>ST-S12-1</v>
      </c>
      <c r="I89" s="665">
        <v>1</v>
      </c>
      <c r="J89" s="195">
        <v>1</v>
      </c>
      <c r="K89" s="195"/>
      <c r="L89" s="195"/>
      <c r="M89" s="195"/>
      <c r="N89" s="197"/>
      <c r="O89" s="197"/>
      <c r="P89" s="197"/>
      <c r="Q89" s="195"/>
      <c r="R89" s="195"/>
      <c r="S89" s="221"/>
      <c r="T89" s="197"/>
      <c r="U89" s="197"/>
    </row>
    <row r="90" spans="1:21" s="182" customFormat="1" ht="12" hidden="1" customHeight="1" outlineLevel="2">
      <c r="A90" s="191"/>
      <c r="B90" s="297" t="s">
        <v>12</v>
      </c>
      <c r="C90" s="17" t="s">
        <v>1496</v>
      </c>
      <c r="D90" s="664" t="s">
        <v>1500</v>
      </c>
      <c r="E90" s="306" t="s">
        <v>1501</v>
      </c>
      <c r="F90" s="307"/>
      <c r="G90" s="297" t="s">
        <v>1531</v>
      </c>
      <c r="H90" s="308" t="str">
        <f t="shared" si="11"/>
        <v>ST-S12-1</v>
      </c>
      <c r="I90" s="665">
        <v>1</v>
      </c>
      <c r="J90" s="195">
        <v>1</v>
      </c>
      <c r="K90" s="195"/>
      <c r="L90" s="195"/>
      <c r="M90" s="195"/>
      <c r="N90" s="197"/>
      <c r="O90" s="197"/>
      <c r="P90" s="197"/>
      <c r="Q90" s="195"/>
      <c r="R90" s="195"/>
      <c r="S90" s="221"/>
      <c r="T90" s="197"/>
      <c r="U90" s="197"/>
    </row>
    <row r="91" spans="1:21" s="182" customFormat="1" ht="12" hidden="1" customHeight="1" outlineLevel="2">
      <c r="A91" s="191"/>
      <c r="B91" s="297" t="s">
        <v>12</v>
      </c>
      <c r="C91" s="17" t="s">
        <v>1496</v>
      </c>
      <c r="D91" s="664" t="s">
        <v>1504</v>
      </c>
      <c r="E91" s="306" t="s">
        <v>1505</v>
      </c>
      <c r="F91" s="307"/>
      <c r="G91" s="297" t="s">
        <v>1531</v>
      </c>
      <c r="H91" s="308" t="str">
        <f t="shared" si="11"/>
        <v>ST-S12-2</v>
      </c>
      <c r="I91" s="665">
        <v>2</v>
      </c>
      <c r="J91" s="195">
        <v>1</v>
      </c>
      <c r="K91" s="195"/>
      <c r="L91" s="203"/>
      <c r="M91" s="203"/>
      <c r="N91" s="197"/>
      <c r="O91" s="197"/>
      <c r="P91" s="197"/>
      <c r="Q91" s="195"/>
      <c r="R91" s="195"/>
      <c r="S91" s="197"/>
      <c r="T91" s="197"/>
      <c r="U91" s="197"/>
    </row>
    <row r="92" spans="1:21" s="182" customFormat="1" ht="12" hidden="1" customHeight="1" outlineLevel="2">
      <c r="A92" s="191"/>
      <c r="B92" s="297" t="s">
        <v>12</v>
      </c>
      <c r="C92" s="17" t="s">
        <v>1496</v>
      </c>
      <c r="D92" s="664" t="s">
        <v>1506</v>
      </c>
      <c r="E92" s="306" t="s">
        <v>1507</v>
      </c>
      <c r="F92" s="307"/>
      <c r="G92" s="297" t="s">
        <v>1531</v>
      </c>
      <c r="H92" s="308" t="str">
        <f t="shared" si="11"/>
        <v>ST-S12-2</v>
      </c>
      <c r="I92" s="665">
        <v>2</v>
      </c>
      <c r="J92" s="195">
        <v>1</v>
      </c>
      <c r="K92" s="195"/>
      <c r="L92" s="203"/>
      <c r="M92" s="203"/>
      <c r="N92" s="197"/>
      <c r="O92" s="197"/>
      <c r="P92" s="197"/>
      <c r="Q92" s="195"/>
      <c r="S92" s="197"/>
      <c r="T92" s="195"/>
      <c r="U92" s="197"/>
    </row>
    <row r="93" spans="1:21" s="182" customFormat="1" ht="12" hidden="1" customHeight="1" outlineLevel="2">
      <c r="A93" s="191"/>
      <c r="B93" s="297" t="s">
        <v>12</v>
      </c>
      <c r="C93" s="17" t="s">
        <v>1496</v>
      </c>
      <c r="D93" s="664" t="s">
        <v>1508</v>
      </c>
      <c r="E93" s="306" t="s">
        <v>1509</v>
      </c>
      <c r="F93" s="307"/>
      <c r="G93" s="297" t="s">
        <v>1531</v>
      </c>
      <c r="H93" s="308" t="str">
        <f t="shared" si="11"/>
        <v>ST-S12-2</v>
      </c>
      <c r="I93" s="665">
        <v>2</v>
      </c>
      <c r="J93" s="195">
        <v>1</v>
      </c>
      <c r="K93" s="195"/>
      <c r="L93" s="203"/>
      <c r="M93" s="203"/>
      <c r="N93" s="197"/>
      <c r="O93" s="197"/>
      <c r="P93" s="197"/>
      <c r="Q93" s="195"/>
      <c r="S93" s="197"/>
      <c r="T93" s="195"/>
      <c r="U93" s="197"/>
    </row>
    <row r="94" spans="1:21" s="182" customFormat="1" ht="3" customHeight="1">
      <c r="A94" s="191"/>
      <c r="B94" s="297"/>
      <c r="C94" s="17"/>
      <c r="D94" s="664"/>
      <c r="E94" s="306"/>
      <c r="F94" s="307"/>
      <c r="G94" s="297"/>
      <c r="H94" s="308"/>
      <c r="I94" s="665"/>
      <c r="J94" s="195"/>
      <c r="K94" s="195"/>
      <c r="L94" s="196"/>
      <c r="M94" s="197"/>
      <c r="N94" s="197"/>
      <c r="O94" s="197"/>
      <c r="P94" s="197"/>
      <c r="Q94" s="220"/>
      <c r="R94" s="220"/>
      <c r="S94" s="197"/>
      <c r="T94" s="197"/>
      <c r="U94" s="197"/>
    </row>
    <row r="95" spans="1:21" s="190" customFormat="1" ht="12" customHeight="1" collapsed="1">
      <c r="A95" s="153" t="s">
        <v>339</v>
      </c>
      <c r="B95" s="297"/>
      <c r="C95" s="17"/>
      <c r="D95" s="664"/>
      <c r="E95" s="306"/>
      <c r="F95" s="307"/>
      <c r="G95" s="297" t="s">
        <v>257</v>
      </c>
      <c r="H95" s="308" t="s">
        <v>258</v>
      </c>
      <c r="I95" s="665" t="s">
        <v>259</v>
      </c>
      <c r="J95" s="188">
        <v>46</v>
      </c>
      <c r="K95" s="188"/>
      <c r="L95" s="188">
        <f t="shared" ref="L95:P95" si="12">SUM(L97:L150)</f>
        <v>0</v>
      </c>
      <c r="M95" s="188"/>
      <c r="N95" s="188"/>
      <c r="O95" s="188">
        <f t="shared" si="12"/>
        <v>0</v>
      </c>
      <c r="P95" s="188">
        <f t="shared" si="12"/>
        <v>0</v>
      </c>
      <c r="Q95" s="219">
        <f>SUM(Q97:Q150)</f>
        <v>0</v>
      </c>
      <c r="R95" s="219">
        <f>SUM(R97:R150)</f>
        <v>0</v>
      </c>
      <c r="S95" s="219">
        <f>SUM(S97:S150)</f>
        <v>0</v>
      </c>
      <c r="T95" s="219">
        <f>SUM(T97:T150)</f>
        <v>0</v>
      </c>
      <c r="U95" s="219">
        <f>SUM(U97:U150)</f>
        <v>0</v>
      </c>
    </row>
    <row r="96" spans="1:21" s="190" customFormat="1" ht="12" hidden="1" customHeight="1" outlineLevel="1">
      <c r="A96" s="200"/>
      <c r="B96" s="297"/>
      <c r="C96" s="17"/>
      <c r="D96" s="664" t="s">
        <v>1532</v>
      </c>
      <c r="E96" s="306"/>
      <c r="F96" s="307"/>
      <c r="G96" s="297"/>
      <c r="H96" s="308"/>
      <c r="I96" s="661"/>
      <c r="J96" s="195"/>
      <c r="Q96" s="222"/>
      <c r="R96" s="222"/>
      <c r="S96" s="222"/>
      <c r="T96" s="222"/>
      <c r="U96" s="222"/>
    </row>
    <row r="97" spans="1:10" s="182" customFormat="1" ht="12" hidden="1" customHeight="1" outlineLevel="2">
      <c r="A97" s="191"/>
      <c r="B97" s="297" t="s">
        <v>12</v>
      </c>
      <c r="C97" s="17" t="s">
        <v>342</v>
      </c>
      <c r="D97" s="664" t="s">
        <v>1497</v>
      </c>
      <c r="E97" s="306" t="s">
        <v>1533</v>
      </c>
      <c r="F97" s="307"/>
      <c r="G97" s="297" t="s">
        <v>342</v>
      </c>
      <c r="H97" s="308" t="str">
        <f t="shared" ref="H97:H160" si="13">CONCATENATE(B97,"-",G97,"-",I97)</f>
        <v>ST-T01-1</v>
      </c>
      <c r="I97" s="665">
        <v>1</v>
      </c>
      <c r="J97" s="195">
        <v>1</v>
      </c>
    </row>
    <row r="98" spans="1:10" s="182" customFormat="1" ht="12" hidden="1" customHeight="1" outlineLevel="2">
      <c r="A98" s="191"/>
      <c r="B98" s="297" t="s">
        <v>12</v>
      </c>
      <c r="C98" s="17" t="s">
        <v>342</v>
      </c>
      <c r="D98" s="664" t="s">
        <v>1497</v>
      </c>
      <c r="E98" s="306" t="s">
        <v>1534</v>
      </c>
      <c r="F98" s="307"/>
      <c r="G98" s="297" t="s">
        <v>342</v>
      </c>
      <c r="H98" s="308" t="str">
        <f t="shared" si="13"/>
        <v>ST-T01-1</v>
      </c>
      <c r="I98" s="665">
        <v>1</v>
      </c>
      <c r="J98" s="195">
        <v>1</v>
      </c>
    </row>
    <row r="99" spans="1:10" s="182" customFormat="1" ht="12" hidden="1" customHeight="1" outlineLevel="2">
      <c r="A99" s="191"/>
      <c r="B99" s="297" t="s">
        <v>12</v>
      </c>
      <c r="C99" s="17" t="s">
        <v>342</v>
      </c>
      <c r="D99" s="664" t="s">
        <v>1497</v>
      </c>
      <c r="E99" s="306" t="s">
        <v>1535</v>
      </c>
      <c r="F99" s="307"/>
      <c r="G99" s="297" t="s">
        <v>342</v>
      </c>
      <c r="H99" s="308" t="str">
        <f t="shared" si="13"/>
        <v>ST-T01-1</v>
      </c>
      <c r="I99" s="665">
        <v>1</v>
      </c>
      <c r="J99" s="195">
        <v>1</v>
      </c>
    </row>
    <row r="100" spans="1:10" s="182" customFormat="1" ht="12" hidden="1" customHeight="1" outlineLevel="2">
      <c r="A100" s="191"/>
      <c r="B100" s="297" t="s">
        <v>12</v>
      </c>
      <c r="C100" s="17" t="s">
        <v>342</v>
      </c>
      <c r="D100" s="664" t="s">
        <v>1497</v>
      </c>
      <c r="E100" s="306" t="s">
        <v>1536</v>
      </c>
      <c r="F100" s="307"/>
      <c r="G100" s="297" t="s">
        <v>342</v>
      </c>
      <c r="H100" s="308" t="str">
        <f t="shared" si="13"/>
        <v>ST-T01-1</v>
      </c>
      <c r="I100" s="665">
        <v>1</v>
      </c>
      <c r="J100" s="195">
        <v>1</v>
      </c>
    </row>
    <row r="101" spans="1:10" s="182" customFormat="1" ht="12" hidden="1" customHeight="1" outlineLevel="2">
      <c r="A101" s="191"/>
      <c r="B101" s="297" t="s">
        <v>12</v>
      </c>
      <c r="C101" s="17" t="s">
        <v>342</v>
      </c>
      <c r="D101" s="664" t="s">
        <v>1497</v>
      </c>
      <c r="E101" s="306" t="s">
        <v>1537</v>
      </c>
      <c r="F101" s="307"/>
      <c r="G101" s="297" t="s">
        <v>342</v>
      </c>
      <c r="H101" s="308" t="str">
        <f t="shared" si="13"/>
        <v>ST-T01-1</v>
      </c>
      <c r="I101" s="665">
        <v>1</v>
      </c>
      <c r="J101" s="195">
        <v>1</v>
      </c>
    </row>
    <row r="102" spans="1:10" s="182" customFormat="1" ht="12" hidden="1" customHeight="1" outlineLevel="2">
      <c r="A102" s="191"/>
      <c r="B102" s="297" t="s">
        <v>12</v>
      </c>
      <c r="C102" s="17" t="s">
        <v>342</v>
      </c>
      <c r="D102" s="664" t="s">
        <v>1497</v>
      </c>
      <c r="E102" s="306" t="s">
        <v>1538</v>
      </c>
      <c r="F102" s="307"/>
      <c r="G102" s="297" t="s">
        <v>342</v>
      </c>
      <c r="H102" s="308" t="str">
        <f t="shared" si="13"/>
        <v>ST-T01-1</v>
      </c>
      <c r="I102" s="665">
        <v>1</v>
      </c>
      <c r="J102" s="195">
        <v>1</v>
      </c>
    </row>
    <row r="103" spans="1:10" s="182" customFormat="1" ht="12" hidden="1" customHeight="1" outlineLevel="2">
      <c r="A103" s="191"/>
      <c r="B103" s="297" t="s">
        <v>12</v>
      </c>
      <c r="C103" s="17" t="s">
        <v>342</v>
      </c>
      <c r="D103" s="664" t="s">
        <v>1497</v>
      </c>
      <c r="E103" s="306" t="s">
        <v>1539</v>
      </c>
      <c r="F103" s="307"/>
      <c r="G103" s="297" t="s">
        <v>342</v>
      </c>
      <c r="H103" s="308" t="str">
        <f t="shared" si="13"/>
        <v>ST-T01-1</v>
      </c>
      <c r="I103" s="665">
        <v>1</v>
      </c>
      <c r="J103" s="195">
        <v>1</v>
      </c>
    </row>
    <row r="104" spans="1:10" s="190" customFormat="1" ht="12" hidden="1" customHeight="1" outlineLevel="1">
      <c r="A104" s="200"/>
      <c r="B104" s="297"/>
      <c r="C104" s="17"/>
      <c r="D104" s="664" t="s">
        <v>1540</v>
      </c>
      <c r="E104" s="306"/>
      <c r="F104" s="307"/>
      <c r="G104" s="297"/>
      <c r="H104" s="308"/>
      <c r="I104" s="661"/>
      <c r="J104" s="195"/>
    </row>
    <row r="105" spans="1:10" s="182" customFormat="1" ht="12" hidden="1" customHeight="1" outlineLevel="2">
      <c r="A105" s="191"/>
      <c r="B105" s="297" t="s">
        <v>12</v>
      </c>
      <c r="C105" s="17" t="s">
        <v>342</v>
      </c>
      <c r="D105" s="664" t="s">
        <v>1502</v>
      </c>
      <c r="E105" s="306" t="s">
        <v>1541</v>
      </c>
      <c r="F105" s="307"/>
      <c r="G105" s="297" t="s">
        <v>342</v>
      </c>
      <c r="H105" s="308" t="str">
        <f t="shared" si="13"/>
        <v>ST-T01-1</v>
      </c>
      <c r="I105" s="665">
        <v>1</v>
      </c>
      <c r="J105" s="195">
        <v>1</v>
      </c>
    </row>
    <row r="106" spans="1:10" s="182" customFormat="1" ht="12" hidden="1" customHeight="1" outlineLevel="2">
      <c r="A106" s="191"/>
      <c r="B106" s="297" t="s">
        <v>12</v>
      </c>
      <c r="C106" s="17" t="s">
        <v>342</v>
      </c>
      <c r="D106" s="664" t="s">
        <v>1502</v>
      </c>
      <c r="E106" s="306" t="s">
        <v>1542</v>
      </c>
      <c r="F106" s="307"/>
      <c r="G106" s="297" t="s">
        <v>342</v>
      </c>
      <c r="H106" s="308" t="str">
        <f t="shared" si="13"/>
        <v>ST-T01-1</v>
      </c>
      <c r="I106" s="665">
        <v>1</v>
      </c>
      <c r="J106" s="195">
        <v>1</v>
      </c>
    </row>
    <row r="107" spans="1:10" s="190" customFormat="1" ht="12" hidden="1" customHeight="1" outlineLevel="1">
      <c r="A107" s="200"/>
      <c r="B107" s="297"/>
      <c r="C107" s="17"/>
      <c r="D107" s="664" t="s">
        <v>1543</v>
      </c>
      <c r="E107" s="306"/>
      <c r="F107" s="307"/>
      <c r="G107" s="297"/>
      <c r="H107" s="308"/>
      <c r="I107" s="661"/>
      <c r="J107" s="195"/>
    </row>
    <row r="108" spans="1:10" s="182" customFormat="1" ht="12" hidden="1" customHeight="1" outlineLevel="2">
      <c r="A108" s="191"/>
      <c r="B108" s="297" t="s">
        <v>12</v>
      </c>
      <c r="C108" s="17" t="s">
        <v>342</v>
      </c>
      <c r="D108" s="664" t="s">
        <v>1500</v>
      </c>
      <c r="E108" s="306" t="s">
        <v>1544</v>
      </c>
      <c r="F108" s="307"/>
      <c r="G108" s="297" t="s">
        <v>342</v>
      </c>
      <c r="H108" s="308" t="str">
        <f t="shared" si="13"/>
        <v>ST-T01-1</v>
      </c>
      <c r="I108" s="665">
        <v>1</v>
      </c>
      <c r="J108" s="195">
        <v>1</v>
      </c>
    </row>
    <row r="109" spans="1:10" s="182" customFormat="1" ht="12" hidden="1" customHeight="1" outlineLevel="2">
      <c r="A109" s="191"/>
      <c r="B109" s="297" t="s">
        <v>12</v>
      </c>
      <c r="C109" s="17" t="s">
        <v>342</v>
      </c>
      <c r="D109" s="664" t="s">
        <v>1500</v>
      </c>
      <c r="E109" s="306" t="s">
        <v>1545</v>
      </c>
      <c r="F109" s="307"/>
      <c r="G109" s="297" t="s">
        <v>342</v>
      </c>
      <c r="H109" s="308" t="str">
        <f t="shared" si="13"/>
        <v>ST-T01-1</v>
      </c>
      <c r="I109" s="665">
        <v>1</v>
      </c>
      <c r="J109" s="195">
        <v>1</v>
      </c>
    </row>
    <row r="110" spans="1:10" s="182" customFormat="1" ht="12" hidden="1" customHeight="1" outlineLevel="2">
      <c r="A110" s="191"/>
      <c r="B110" s="297" t="s">
        <v>12</v>
      </c>
      <c r="C110" s="17" t="s">
        <v>342</v>
      </c>
      <c r="D110" s="664" t="s">
        <v>1500</v>
      </c>
      <c r="E110" s="306" t="s">
        <v>1546</v>
      </c>
      <c r="F110" s="307"/>
      <c r="G110" s="297" t="s">
        <v>342</v>
      </c>
      <c r="H110" s="308" t="str">
        <f t="shared" si="13"/>
        <v>ST-T01-1</v>
      </c>
      <c r="I110" s="665">
        <v>1</v>
      </c>
      <c r="J110" s="195">
        <v>1</v>
      </c>
    </row>
    <row r="111" spans="1:10" s="182" customFormat="1" ht="12" hidden="1" customHeight="1" outlineLevel="2">
      <c r="A111" s="191"/>
      <c r="B111" s="297" t="s">
        <v>12</v>
      </c>
      <c r="C111" s="17" t="s">
        <v>342</v>
      </c>
      <c r="D111" s="664" t="s">
        <v>1500</v>
      </c>
      <c r="E111" s="306" t="s">
        <v>1547</v>
      </c>
      <c r="F111" s="307"/>
      <c r="G111" s="297" t="s">
        <v>342</v>
      </c>
      <c r="H111" s="308" t="str">
        <f t="shared" si="13"/>
        <v>ST-T01-5</v>
      </c>
      <c r="I111" s="665">
        <v>5</v>
      </c>
      <c r="J111" s="195">
        <v>1</v>
      </c>
    </row>
    <row r="112" spans="1:10" s="182" customFormat="1" ht="12" hidden="1" customHeight="1" outlineLevel="2">
      <c r="A112" s="191"/>
      <c r="B112" s="297" t="s">
        <v>12</v>
      </c>
      <c r="C112" s="17" t="s">
        <v>342</v>
      </c>
      <c r="D112" s="664" t="s">
        <v>1500</v>
      </c>
      <c r="E112" s="306" t="s">
        <v>1548</v>
      </c>
      <c r="F112" s="307"/>
      <c r="G112" s="297" t="s">
        <v>342</v>
      </c>
      <c r="H112" s="308" t="str">
        <f t="shared" si="13"/>
        <v>ST-T01-6</v>
      </c>
      <c r="I112" s="665">
        <v>6</v>
      </c>
      <c r="J112" s="195">
        <v>1</v>
      </c>
    </row>
    <row r="113" spans="1:10" s="182" customFormat="1" ht="12" hidden="1" customHeight="1" outlineLevel="2">
      <c r="A113" s="191"/>
      <c r="B113" s="297" t="s">
        <v>12</v>
      </c>
      <c r="C113" s="17" t="s">
        <v>342</v>
      </c>
      <c r="D113" s="664" t="s">
        <v>1500</v>
      </c>
      <c r="E113" s="306" t="s">
        <v>1549</v>
      </c>
      <c r="F113" s="307"/>
      <c r="G113" s="297" t="s">
        <v>342</v>
      </c>
      <c r="H113" s="308" t="str">
        <f t="shared" si="13"/>
        <v>ST-T01-8</v>
      </c>
      <c r="I113" s="665">
        <v>8</v>
      </c>
      <c r="J113" s="195">
        <v>1</v>
      </c>
    </row>
    <row r="114" spans="1:10" s="190" customFormat="1" ht="12" hidden="1" customHeight="1" outlineLevel="1">
      <c r="A114" s="200"/>
      <c r="B114" s="297"/>
      <c r="C114" s="17"/>
      <c r="D114" s="664" t="s">
        <v>1550</v>
      </c>
      <c r="E114" s="306"/>
      <c r="F114" s="307"/>
      <c r="G114" s="297"/>
      <c r="H114" s="308"/>
      <c r="I114" s="661"/>
      <c r="J114" s="195"/>
    </row>
    <row r="115" spans="1:10" s="182" customFormat="1" ht="12" hidden="1" customHeight="1" outlineLevel="2">
      <c r="A115" s="191"/>
      <c r="B115" s="297" t="s">
        <v>12</v>
      </c>
      <c r="C115" s="17" t="s">
        <v>342</v>
      </c>
      <c r="D115" s="664" t="s">
        <v>1504</v>
      </c>
      <c r="E115" s="306" t="s">
        <v>1551</v>
      </c>
      <c r="F115" s="307"/>
      <c r="G115" s="297" t="s">
        <v>342</v>
      </c>
      <c r="H115" s="308" t="str">
        <f t="shared" si="13"/>
        <v>ST-T01-2</v>
      </c>
      <c r="I115" s="665">
        <v>2</v>
      </c>
      <c r="J115" s="195">
        <v>1</v>
      </c>
    </row>
    <row r="116" spans="1:10" s="182" customFormat="1" ht="12" hidden="1" customHeight="1" outlineLevel="2">
      <c r="A116" s="191"/>
      <c r="B116" s="297" t="s">
        <v>12</v>
      </c>
      <c r="C116" s="17" t="s">
        <v>342</v>
      </c>
      <c r="D116" s="664" t="s">
        <v>1504</v>
      </c>
      <c r="E116" s="306" t="s">
        <v>1552</v>
      </c>
      <c r="F116" s="307"/>
      <c r="G116" s="297" t="s">
        <v>342</v>
      </c>
      <c r="H116" s="308" t="str">
        <f t="shared" si="13"/>
        <v>ST-T01-4</v>
      </c>
      <c r="I116" s="665">
        <v>4</v>
      </c>
      <c r="J116" s="195">
        <v>1</v>
      </c>
    </row>
    <row r="117" spans="1:10" s="182" customFormat="1" ht="12" hidden="1" customHeight="1" outlineLevel="2">
      <c r="A117" s="191"/>
      <c r="B117" s="297" t="s">
        <v>12</v>
      </c>
      <c r="C117" s="17" t="s">
        <v>342</v>
      </c>
      <c r="D117" s="664" t="s">
        <v>1504</v>
      </c>
      <c r="E117" s="306" t="s">
        <v>1553</v>
      </c>
      <c r="F117" s="307"/>
      <c r="G117" s="297" t="s">
        <v>342</v>
      </c>
      <c r="H117" s="308" t="str">
        <f t="shared" si="13"/>
        <v>ST-T01-6</v>
      </c>
      <c r="I117" s="665">
        <v>6</v>
      </c>
      <c r="J117" s="195">
        <v>1</v>
      </c>
    </row>
    <row r="118" spans="1:10" s="182" customFormat="1" ht="12" hidden="1" customHeight="1" outlineLevel="2">
      <c r="A118" s="191"/>
      <c r="B118" s="297" t="s">
        <v>12</v>
      </c>
      <c r="C118" s="17" t="s">
        <v>342</v>
      </c>
      <c r="D118" s="664" t="s">
        <v>1504</v>
      </c>
      <c r="E118" s="306" t="s">
        <v>1554</v>
      </c>
      <c r="F118" s="307"/>
      <c r="G118" s="297" t="s">
        <v>342</v>
      </c>
      <c r="H118" s="308" t="str">
        <f t="shared" si="13"/>
        <v>ST-T01-8</v>
      </c>
      <c r="I118" s="665">
        <v>8</v>
      </c>
      <c r="J118" s="195">
        <v>1</v>
      </c>
    </row>
    <row r="119" spans="1:10" s="182" customFormat="1" ht="12" hidden="1" customHeight="1" outlineLevel="2">
      <c r="A119" s="191"/>
      <c r="B119" s="297" t="s">
        <v>12</v>
      </c>
      <c r="C119" s="17" t="s">
        <v>342</v>
      </c>
      <c r="D119" s="664" t="s">
        <v>1504</v>
      </c>
      <c r="E119" s="306" t="s">
        <v>1555</v>
      </c>
      <c r="F119" s="307"/>
      <c r="G119" s="297" t="s">
        <v>342</v>
      </c>
      <c r="H119" s="308" t="str">
        <f t="shared" si="13"/>
        <v>ST-T01-8</v>
      </c>
      <c r="I119" s="665">
        <v>8</v>
      </c>
      <c r="J119" s="195">
        <v>1</v>
      </c>
    </row>
    <row r="120" spans="1:10" s="182" customFormat="1" ht="12" hidden="1" customHeight="1" outlineLevel="2">
      <c r="A120" s="191"/>
      <c r="B120" s="297" t="s">
        <v>12</v>
      </c>
      <c r="C120" s="17" t="s">
        <v>342</v>
      </c>
      <c r="D120" s="664" t="s">
        <v>1504</v>
      </c>
      <c r="E120" s="306" t="s">
        <v>1556</v>
      </c>
      <c r="F120" s="307"/>
      <c r="G120" s="297" t="s">
        <v>342</v>
      </c>
      <c r="H120" s="308" t="str">
        <f t="shared" si="13"/>
        <v>ST-T01-9</v>
      </c>
      <c r="I120" s="665">
        <v>9</v>
      </c>
      <c r="J120" s="195">
        <v>1</v>
      </c>
    </row>
    <row r="121" spans="1:10" s="190" customFormat="1" ht="12" hidden="1" customHeight="1" outlineLevel="1">
      <c r="A121" s="200"/>
      <c r="B121" s="297"/>
      <c r="C121" s="17"/>
      <c r="D121" s="664" t="s">
        <v>1557</v>
      </c>
      <c r="E121" s="306"/>
      <c r="F121" s="307"/>
      <c r="G121" s="297"/>
      <c r="H121" s="308"/>
      <c r="I121" s="661"/>
      <c r="J121" s="195"/>
    </row>
    <row r="122" spans="1:10" s="182" customFormat="1" ht="12" hidden="1" customHeight="1" outlineLevel="2">
      <c r="A122" s="191"/>
      <c r="B122" s="297" t="s">
        <v>12</v>
      </c>
      <c r="C122" s="17" t="s">
        <v>342</v>
      </c>
      <c r="D122" s="664" t="s">
        <v>1506</v>
      </c>
      <c r="E122" s="306" t="s">
        <v>1558</v>
      </c>
      <c r="F122" s="307"/>
      <c r="G122" s="297" t="s">
        <v>342</v>
      </c>
      <c r="H122" s="308" t="str">
        <f t="shared" si="13"/>
        <v>ST-T01-2</v>
      </c>
      <c r="I122" s="665">
        <v>2</v>
      </c>
      <c r="J122" s="195">
        <v>1</v>
      </c>
    </row>
    <row r="123" spans="1:10" s="182" customFormat="1" ht="12" hidden="1" customHeight="1" outlineLevel="2">
      <c r="A123" s="191"/>
      <c r="B123" s="297" t="s">
        <v>12</v>
      </c>
      <c r="C123" s="17" t="s">
        <v>342</v>
      </c>
      <c r="D123" s="664" t="s">
        <v>1506</v>
      </c>
      <c r="E123" s="306" t="s">
        <v>1559</v>
      </c>
      <c r="F123" s="307"/>
      <c r="G123" s="297" t="s">
        <v>342</v>
      </c>
      <c r="H123" s="308" t="str">
        <f t="shared" si="13"/>
        <v>ST-T01-2</v>
      </c>
      <c r="I123" s="665">
        <v>2</v>
      </c>
      <c r="J123" s="195">
        <v>1</v>
      </c>
    </row>
    <row r="124" spans="1:10" s="182" customFormat="1" ht="12" hidden="1" customHeight="1" outlineLevel="2">
      <c r="A124" s="191"/>
      <c r="B124" s="297" t="s">
        <v>12</v>
      </c>
      <c r="C124" s="17" t="s">
        <v>342</v>
      </c>
      <c r="D124" s="664" t="s">
        <v>1506</v>
      </c>
      <c r="E124" s="306" t="s">
        <v>1560</v>
      </c>
      <c r="F124" s="307"/>
      <c r="G124" s="297" t="s">
        <v>342</v>
      </c>
      <c r="H124" s="308" t="str">
        <f t="shared" si="13"/>
        <v>ST-T01-4</v>
      </c>
      <c r="I124" s="665">
        <v>4</v>
      </c>
      <c r="J124" s="195">
        <v>1</v>
      </c>
    </row>
    <row r="125" spans="1:10" s="182" customFormat="1" ht="12" hidden="1" customHeight="1" outlineLevel="2">
      <c r="A125" s="191"/>
      <c r="B125" s="297" t="s">
        <v>12</v>
      </c>
      <c r="C125" s="17" t="s">
        <v>342</v>
      </c>
      <c r="D125" s="664" t="s">
        <v>1506</v>
      </c>
      <c r="E125" s="306" t="s">
        <v>1561</v>
      </c>
      <c r="F125" s="307"/>
      <c r="G125" s="297" t="s">
        <v>342</v>
      </c>
      <c r="H125" s="308" t="str">
        <f t="shared" si="13"/>
        <v>ST-T01-6</v>
      </c>
      <c r="I125" s="665">
        <v>6</v>
      </c>
      <c r="J125" s="195">
        <v>1</v>
      </c>
    </row>
    <row r="126" spans="1:10" s="182" customFormat="1" ht="12" hidden="1" customHeight="1" outlineLevel="2">
      <c r="A126" s="191"/>
      <c r="B126" s="297" t="s">
        <v>12</v>
      </c>
      <c r="C126" s="17" t="s">
        <v>342</v>
      </c>
      <c r="D126" s="664" t="s">
        <v>1506</v>
      </c>
      <c r="E126" s="306" t="s">
        <v>1562</v>
      </c>
      <c r="F126" s="307"/>
      <c r="G126" s="297" t="s">
        <v>342</v>
      </c>
      <c r="H126" s="308" t="str">
        <f t="shared" si="13"/>
        <v>ST-T01-8</v>
      </c>
      <c r="I126" s="665">
        <v>8</v>
      </c>
      <c r="J126" s="195">
        <v>1</v>
      </c>
    </row>
    <row r="127" spans="1:10" s="182" customFormat="1" ht="12" hidden="1" customHeight="1" outlineLevel="2">
      <c r="A127" s="191"/>
      <c r="B127" s="297" t="s">
        <v>12</v>
      </c>
      <c r="C127" s="17" t="s">
        <v>342</v>
      </c>
      <c r="D127" s="664" t="s">
        <v>1506</v>
      </c>
      <c r="E127" s="306" t="s">
        <v>1563</v>
      </c>
      <c r="F127" s="307"/>
      <c r="G127" s="297" t="s">
        <v>342</v>
      </c>
      <c r="H127" s="308" t="str">
        <f t="shared" si="13"/>
        <v>ST-T01-8</v>
      </c>
      <c r="I127" s="665">
        <v>8</v>
      </c>
      <c r="J127" s="195">
        <v>1</v>
      </c>
    </row>
    <row r="128" spans="1:10" s="182" customFormat="1" ht="12" hidden="1" customHeight="1" outlineLevel="2">
      <c r="A128" s="191"/>
      <c r="B128" s="297" t="s">
        <v>12</v>
      </c>
      <c r="C128" s="17" t="s">
        <v>342</v>
      </c>
      <c r="D128" s="664" t="s">
        <v>1506</v>
      </c>
      <c r="E128" s="306" t="s">
        <v>1564</v>
      </c>
      <c r="F128" s="307"/>
      <c r="G128" s="297" t="s">
        <v>342</v>
      </c>
      <c r="H128" s="308" t="str">
        <f t="shared" si="13"/>
        <v>ST-T01-8</v>
      </c>
      <c r="I128" s="665">
        <v>8</v>
      </c>
      <c r="J128" s="195">
        <v>1</v>
      </c>
    </row>
    <row r="129" spans="1:10" s="182" customFormat="1" ht="12" hidden="1" customHeight="1" outlineLevel="2">
      <c r="A129" s="191"/>
      <c r="B129" s="297" t="s">
        <v>12</v>
      </c>
      <c r="C129" s="17" t="s">
        <v>342</v>
      </c>
      <c r="D129" s="664" t="s">
        <v>1506</v>
      </c>
      <c r="E129" s="306" t="s">
        <v>1565</v>
      </c>
      <c r="F129" s="307"/>
      <c r="G129" s="297" t="s">
        <v>342</v>
      </c>
      <c r="H129" s="308" t="str">
        <f t="shared" si="13"/>
        <v>ST-T01-9</v>
      </c>
      <c r="I129" s="665">
        <v>9</v>
      </c>
      <c r="J129" s="195">
        <v>1</v>
      </c>
    </row>
    <row r="130" spans="1:10" s="190" customFormat="1" ht="12" hidden="1" customHeight="1" outlineLevel="1">
      <c r="A130" s="200"/>
      <c r="B130" s="297"/>
      <c r="C130" s="17"/>
      <c r="D130" s="664" t="s">
        <v>1566</v>
      </c>
      <c r="E130" s="306"/>
      <c r="F130" s="307"/>
      <c r="G130" s="297"/>
      <c r="H130" s="308"/>
      <c r="I130" s="661"/>
      <c r="J130" s="195"/>
    </row>
    <row r="131" spans="1:10" s="182" customFormat="1" ht="12" hidden="1" customHeight="1" outlineLevel="2">
      <c r="A131" s="191"/>
      <c r="B131" s="297" t="s">
        <v>12</v>
      </c>
      <c r="C131" s="17" t="s">
        <v>342</v>
      </c>
      <c r="D131" s="664" t="s">
        <v>1508</v>
      </c>
      <c r="E131" s="306" t="s">
        <v>1567</v>
      </c>
      <c r="F131" s="307"/>
      <c r="G131" s="297" t="s">
        <v>342</v>
      </c>
      <c r="H131" s="308" t="str">
        <f t="shared" si="13"/>
        <v>ST-T01-2</v>
      </c>
      <c r="I131" s="665">
        <v>2</v>
      </c>
      <c r="J131" s="195">
        <v>1</v>
      </c>
    </row>
    <row r="132" spans="1:10" s="182" customFormat="1" ht="12" hidden="1" customHeight="1" outlineLevel="2">
      <c r="A132" s="191"/>
      <c r="B132" s="297" t="s">
        <v>12</v>
      </c>
      <c r="C132" s="17" t="s">
        <v>342</v>
      </c>
      <c r="D132" s="664" t="s">
        <v>1508</v>
      </c>
      <c r="E132" s="306" t="s">
        <v>1568</v>
      </c>
      <c r="F132" s="307"/>
      <c r="G132" s="297" t="s">
        <v>342</v>
      </c>
      <c r="H132" s="308" t="str">
        <f t="shared" si="13"/>
        <v>ST-T01-2</v>
      </c>
      <c r="I132" s="665">
        <v>2</v>
      </c>
      <c r="J132" s="195">
        <v>1</v>
      </c>
    </row>
    <row r="133" spans="1:10" s="182" customFormat="1" ht="12" hidden="1" customHeight="1" outlineLevel="2">
      <c r="A133" s="191"/>
      <c r="B133" s="297" t="s">
        <v>12</v>
      </c>
      <c r="C133" s="17" t="s">
        <v>342</v>
      </c>
      <c r="D133" s="664" t="s">
        <v>1508</v>
      </c>
      <c r="E133" s="306" t="s">
        <v>1569</v>
      </c>
      <c r="F133" s="307"/>
      <c r="G133" s="297" t="s">
        <v>342</v>
      </c>
      <c r="H133" s="308" t="str">
        <f t="shared" si="13"/>
        <v>ST-T01-4</v>
      </c>
      <c r="I133" s="665">
        <v>4</v>
      </c>
      <c r="J133" s="195">
        <v>1</v>
      </c>
    </row>
    <row r="134" spans="1:10" s="182" customFormat="1" ht="12" hidden="1" customHeight="1" outlineLevel="2">
      <c r="A134" s="191"/>
      <c r="B134" s="297" t="s">
        <v>12</v>
      </c>
      <c r="C134" s="17" t="s">
        <v>342</v>
      </c>
      <c r="D134" s="664" t="s">
        <v>1508</v>
      </c>
      <c r="E134" s="306" t="s">
        <v>1570</v>
      </c>
      <c r="F134" s="307"/>
      <c r="G134" s="297" t="s">
        <v>342</v>
      </c>
      <c r="H134" s="308" t="str">
        <f t="shared" si="13"/>
        <v>ST-T01-8</v>
      </c>
      <c r="I134" s="665">
        <v>8</v>
      </c>
      <c r="J134" s="195">
        <v>1</v>
      </c>
    </row>
    <row r="135" spans="1:10" s="182" customFormat="1" ht="12" hidden="1" customHeight="1" outlineLevel="2">
      <c r="A135" s="191"/>
      <c r="B135" s="297" t="s">
        <v>12</v>
      </c>
      <c r="C135" s="17" t="s">
        <v>342</v>
      </c>
      <c r="D135" s="664" t="s">
        <v>1508</v>
      </c>
      <c r="E135" s="306" t="s">
        <v>1571</v>
      </c>
      <c r="F135" s="307"/>
      <c r="G135" s="297" t="s">
        <v>342</v>
      </c>
      <c r="H135" s="308" t="str">
        <f t="shared" si="13"/>
        <v>ST-T01-8</v>
      </c>
      <c r="I135" s="665">
        <v>8</v>
      </c>
      <c r="J135" s="195">
        <v>1</v>
      </c>
    </row>
    <row r="136" spans="1:10" s="182" customFormat="1" ht="12" hidden="1" customHeight="1" outlineLevel="2">
      <c r="A136" s="191"/>
      <c r="B136" s="297" t="s">
        <v>12</v>
      </c>
      <c r="C136" s="17" t="s">
        <v>342</v>
      </c>
      <c r="D136" s="664" t="s">
        <v>1508</v>
      </c>
      <c r="E136" s="306" t="s">
        <v>1572</v>
      </c>
      <c r="F136" s="307"/>
      <c r="G136" s="297" t="s">
        <v>342</v>
      </c>
      <c r="H136" s="308" t="str">
        <f t="shared" si="13"/>
        <v>ST-T01-8</v>
      </c>
      <c r="I136" s="665">
        <v>8</v>
      </c>
      <c r="J136" s="195">
        <v>1</v>
      </c>
    </row>
    <row r="137" spans="1:10" s="182" customFormat="1" ht="12" hidden="1" customHeight="1" outlineLevel="2">
      <c r="A137" s="191"/>
      <c r="B137" s="297" t="s">
        <v>12</v>
      </c>
      <c r="C137" s="17" t="s">
        <v>342</v>
      </c>
      <c r="D137" s="664" t="s">
        <v>1508</v>
      </c>
      <c r="E137" s="306" t="s">
        <v>1573</v>
      </c>
      <c r="F137" s="307"/>
      <c r="G137" s="297" t="s">
        <v>342</v>
      </c>
      <c r="H137" s="308" t="str">
        <f t="shared" si="13"/>
        <v>ST-T01-9</v>
      </c>
      <c r="I137" s="665">
        <v>9</v>
      </c>
      <c r="J137" s="195">
        <v>1</v>
      </c>
    </row>
    <row r="138" spans="1:10" s="190" customFormat="1" ht="12" hidden="1" customHeight="1" outlineLevel="1">
      <c r="A138" s="200"/>
      <c r="B138" s="297"/>
      <c r="C138" s="17"/>
      <c r="D138" s="664" t="s">
        <v>1574</v>
      </c>
      <c r="E138" s="306"/>
      <c r="F138" s="307"/>
      <c r="G138" s="297"/>
      <c r="H138" s="308"/>
      <c r="I138" s="665"/>
      <c r="J138" s="195"/>
    </row>
    <row r="139" spans="1:10" ht="12" hidden="1" customHeight="1" outlineLevel="2">
      <c r="A139" s="204"/>
      <c r="B139" s="297" t="s">
        <v>12</v>
      </c>
      <c r="C139" s="17" t="s">
        <v>342</v>
      </c>
      <c r="D139" s="664" t="s">
        <v>1575</v>
      </c>
      <c r="E139" s="306" t="s">
        <v>1576</v>
      </c>
      <c r="F139" s="307"/>
      <c r="G139" s="297" t="s">
        <v>342</v>
      </c>
      <c r="H139" s="308" t="str">
        <f t="shared" si="13"/>
        <v>ST-T01-2</v>
      </c>
      <c r="I139" s="665">
        <v>2</v>
      </c>
      <c r="J139" s="195">
        <v>1</v>
      </c>
    </row>
    <row r="140" spans="1:10" ht="12" hidden="1" customHeight="1" outlineLevel="2">
      <c r="A140" s="204"/>
      <c r="B140" s="297" t="s">
        <v>12</v>
      </c>
      <c r="C140" s="17" t="s">
        <v>342</v>
      </c>
      <c r="D140" s="664" t="s">
        <v>1575</v>
      </c>
      <c r="E140" s="306" t="s">
        <v>1577</v>
      </c>
      <c r="F140" s="307"/>
      <c r="G140" s="297" t="s">
        <v>342</v>
      </c>
      <c r="H140" s="308" t="str">
        <f t="shared" si="13"/>
        <v>ST-T01-4</v>
      </c>
      <c r="I140" s="665">
        <v>4</v>
      </c>
      <c r="J140" s="195">
        <v>1</v>
      </c>
    </row>
    <row r="141" spans="1:10" ht="12" hidden="1" customHeight="1" outlineLevel="2">
      <c r="A141" s="204"/>
      <c r="B141" s="297" t="s">
        <v>12</v>
      </c>
      <c r="C141" s="17" t="s">
        <v>342</v>
      </c>
      <c r="D141" s="664" t="s">
        <v>1575</v>
      </c>
      <c r="E141" s="306" t="s">
        <v>1578</v>
      </c>
      <c r="F141" s="307"/>
      <c r="G141" s="297" t="s">
        <v>342</v>
      </c>
      <c r="H141" s="308" t="str">
        <f t="shared" si="13"/>
        <v>ST-T01-8</v>
      </c>
      <c r="I141" s="665">
        <v>8</v>
      </c>
      <c r="J141" s="195">
        <v>1</v>
      </c>
    </row>
    <row r="142" spans="1:10" ht="12" hidden="1" customHeight="1" outlineLevel="2">
      <c r="A142" s="204"/>
      <c r="B142" s="297" t="s">
        <v>12</v>
      </c>
      <c r="C142" s="17" t="s">
        <v>342</v>
      </c>
      <c r="D142" s="664" t="s">
        <v>1575</v>
      </c>
      <c r="E142" s="306" t="s">
        <v>1579</v>
      </c>
      <c r="F142" s="307"/>
      <c r="G142" s="297" t="s">
        <v>342</v>
      </c>
      <c r="H142" s="308" t="str">
        <f t="shared" si="13"/>
        <v>ST-T01-8</v>
      </c>
      <c r="I142" s="665">
        <v>8</v>
      </c>
      <c r="J142" s="195">
        <v>1</v>
      </c>
    </row>
    <row r="143" spans="1:10" ht="12" hidden="1" customHeight="1" outlineLevel="2">
      <c r="A143" s="204"/>
      <c r="B143" s="297" t="s">
        <v>12</v>
      </c>
      <c r="C143" s="17" t="s">
        <v>342</v>
      </c>
      <c r="D143" s="664" t="s">
        <v>1575</v>
      </c>
      <c r="E143" s="306" t="s">
        <v>1580</v>
      </c>
      <c r="F143" s="307"/>
      <c r="G143" s="297" t="s">
        <v>342</v>
      </c>
      <c r="H143" s="308" t="str">
        <f t="shared" si="13"/>
        <v>ST-T01-8</v>
      </c>
      <c r="I143" s="665">
        <v>8</v>
      </c>
      <c r="J143" s="195">
        <v>1</v>
      </c>
    </row>
    <row r="144" spans="1:10" s="190" customFormat="1" ht="12" hidden="1" customHeight="1" outlineLevel="1">
      <c r="A144" s="200"/>
      <c r="B144" s="297"/>
      <c r="C144" s="17"/>
      <c r="D144" s="664" t="s">
        <v>1581</v>
      </c>
      <c r="E144" s="306"/>
      <c r="F144" s="307"/>
      <c r="G144" s="297"/>
      <c r="H144" s="308"/>
      <c r="I144" s="661"/>
      <c r="J144" s="195"/>
    </row>
    <row r="145" spans="1:21" ht="12" hidden="1" customHeight="1" outlineLevel="2">
      <c r="A145" s="204"/>
      <c r="B145" s="297" t="s">
        <v>12</v>
      </c>
      <c r="C145" s="17" t="s">
        <v>342</v>
      </c>
      <c r="D145" s="664" t="s">
        <v>12</v>
      </c>
      <c r="E145" s="306" t="s">
        <v>1582</v>
      </c>
      <c r="F145" s="307"/>
      <c r="G145" s="297" t="s">
        <v>342</v>
      </c>
      <c r="H145" s="308" t="str">
        <f t="shared" si="13"/>
        <v>ST-T01-1</v>
      </c>
      <c r="I145" s="665">
        <v>1</v>
      </c>
      <c r="J145" s="195">
        <v>1</v>
      </c>
      <c r="L145" s="196"/>
      <c r="M145" s="197"/>
      <c r="N145" s="197"/>
      <c r="O145" s="197"/>
      <c r="P145" s="197"/>
      <c r="Q145" s="223"/>
      <c r="R145" s="223"/>
      <c r="S145" s="197"/>
      <c r="T145" s="197"/>
      <c r="U145" s="197"/>
    </row>
    <row r="146" spans="1:21" ht="12" hidden="1" customHeight="1" outlineLevel="2">
      <c r="A146" s="204"/>
      <c r="B146" s="297" t="s">
        <v>12</v>
      </c>
      <c r="C146" s="17" t="s">
        <v>342</v>
      </c>
      <c r="D146" s="664" t="s">
        <v>12</v>
      </c>
      <c r="E146" s="306" t="s">
        <v>1583</v>
      </c>
      <c r="F146" s="307"/>
      <c r="G146" s="297" t="s">
        <v>342</v>
      </c>
      <c r="H146" s="308" t="str">
        <f t="shared" si="13"/>
        <v>ST-T01-8</v>
      </c>
      <c r="I146" s="665">
        <v>8</v>
      </c>
      <c r="J146" s="195">
        <v>1</v>
      </c>
      <c r="L146" s="196"/>
      <c r="M146" s="197"/>
      <c r="N146" s="197"/>
      <c r="O146" s="197"/>
      <c r="P146" s="197"/>
      <c r="Q146" s="198"/>
      <c r="R146" s="198"/>
      <c r="S146" s="197"/>
      <c r="T146" s="197"/>
      <c r="U146" s="197"/>
    </row>
    <row r="147" spans="1:21" ht="12" hidden="1" customHeight="1" outlineLevel="2">
      <c r="A147" s="204"/>
      <c r="B147" s="297" t="s">
        <v>12</v>
      </c>
      <c r="C147" s="17" t="s">
        <v>342</v>
      </c>
      <c r="D147" s="664" t="s">
        <v>12</v>
      </c>
      <c r="E147" s="306" t="s">
        <v>1584</v>
      </c>
      <c r="F147" s="307"/>
      <c r="G147" s="297" t="s">
        <v>342</v>
      </c>
      <c r="H147" s="308" t="str">
        <f t="shared" si="13"/>
        <v>ST-T01-8</v>
      </c>
      <c r="I147" s="665">
        <v>8</v>
      </c>
      <c r="J147" s="195">
        <v>1</v>
      </c>
      <c r="L147" s="196"/>
      <c r="M147" s="197"/>
      <c r="N147" s="197"/>
      <c r="O147" s="197"/>
      <c r="P147" s="197"/>
      <c r="Q147" s="223"/>
      <c r="R147" s="223"/>
      <c r="S147" s="197"/>
      <c r="T147" s="197"/>
      <c r="U147" s="197"/>
    </row>
    <row r="148" spans="1:21" s="190" customFormat="1" ht="12" hidden="1" customHeight="1" outlineLevel="1">
      <c r="A148" s="200"/>
      <c r="B148" s="297"/>
      <c r="C148" s="17"/>
      <c r="D148" s="664" t="s">
        <v>1585</v>
      </c>
      <c r="E148" s="306"/>
      <c r="F148" s="307"/>
      <c r="G148" s="297"/>
      <c r="H148" s="308"/>
      <c r="I148" s="661"/>
      <c r="J148" s="195"/>
      <c r="K148" s="202"/>
      <c r="L148" s="189"/>
      <c r="M148" s="197"/>
      <c r="N148" s="197"/>
      <c r="O148" s="197"/>
      <c r="P148" s="197"/>
      <c r="Q148" s="220"/>
      <c r="R148" s="220"/>
      <c r="S148" s="197"/>
      <c r="T148" s="197"/>
      <c r="U148" s="197"/>
    </row>
    <row r="149" spans="1:21" ht="12" hidden="1" customHeight="1" outlineLevel="2">
      <c r="A149" s="204"/>
      <c r="B149" s="297" t="s">
        <v>12</v>
      </c>
      <c r="C149" s="17" t="s">
        <v>342</v>
      </c>
      <c r="D149" s="664"/>
      <c r="E149" s="306" t="s">
        <v>1586</v>
      </c>
      <c r="F149" s="307"/>
      <c r="G149" s="297" t="s">
        <v>342</v>
      </c>
      <c r="H149" s="308" t="str">
        <f t="shared" si="13"/>
        <v>ST-T01-9</v>
      </c>
      <c r="I149" s="665">
        <v>9</v>
      </c>
      <c r="J149" s="195">
        <v>1</v>
      </c>
      <c r="L149" s="196"/>
      <c r="M149" s="197"/>
      <c r="N149" s="197"/>
      <c r="O149" s="197"/>
      <c r="P149" s="197"/>
      <c r="Q149" s="220"/>
      <c r="R149" s="220"/>
      <c r="S149" s="197"/>
      <c r="T149" s="197"/>
      <c r="U149" s="197"/>
    </row>
    <row r="150" spans="1:21" ht="12" hidden="1" customHeight="1" outlineLevel="2">
      <c r="A150" s="204"/>
      <c r="B150" s="297" t="s">
        <v>12</v>
      </c>
      <c r="C150" s="17" t="s">
        <v>342</v>
      </c>
      <c r="D150" s="664"/>
      <c r="E150" s="306" t="s">
        <v>1587</v>
      </c>
      <c r="F150" s="307"/>
      <c r="G150" s="297" t="s">
        <v>342</v>
      </c>
      <c r="H150" s="308" t="str">
        <f t="shared" si="13"/>
        <v>ST-T01-9</v>
      </c>
      <c r="I150" s="665">
        <v>9</v>
      </c>
      <c r="J150" s="195">
        <v>1</v>
      </c>
      <c r="L150" s="196"/>
      <c r="M150" s="197"/>
      <c r="N150" s="197"/>
      <c r="O150" s="197"/>
      <c r="P150" s="197"/>
      <c r="Q150" s="198"/>
      <c r="R150" s="198"/>
      <c r="S150" s="197"/>
      <c r="T150" s="197"/>
      <c r="U150" s="197"/>
    </row>
    <row r="151" spans="1:21" ht="3" customHeight="1">
      <c r="A151" s="204"/>
      <c r="B151" s="297"/>
      <c r="C151" s="17"/>
      <c r="D151" s="664"/>
      <c r="E151" s="306"/>
      <c r="F151" s="307"/>
      <c r="G151" s="297"/>
      <c r="H151" s="308"/>
      <c r="I151" s="665"/>
      <c r="L151" s="196"/>
      <c r="M151" s="197"/>
      <c r="N151" s="197"/>
      <c r="O151" s="197"/>
      <c r="P151" s="197"/>
      <c r="Q151" s="198"/>
      <c r="R151" s="198"/>
      <c r="S151" s="197"/>
      <c r="T151" s="197"/>
      <c r="U151" s="197"/>
    </row>
    <row r="152" spans="1:21" s="190" customFormat="1" ht="12" customHeight="1" collapsed="1">
      <c r="A152" s="153" t="s">
        <v>486</v>
      </c>
      <c r="B152" s="297"/>
      <c r="C152" s="17"/>
      <c r="D152" s="664"/>
      <c r="E152" s="306"/>
      <c r="F152" s="307"/>
      <c r="G152" s="297" t="s">
        <v>257</v>
      </c>
      <c r="H152" s="308" t="s">
        <v>258</v>
      </c>
      <c r="I152" s="665" t="s">
        <v>259</v>
      </c>
      <c r="J152" s="188">
        <v>79</v>
      </c>
      <c r="K152" s="188"/>
      <c r="L152" s="188">
        <f t="shared" ref="L152:P152" si="14">SUM(L153:L243)</f>
        <v>0</v>
      </c>
      <c r="M152" s="188"/>
      <c r="N152" s="188"/>
      <c r="O152" s="188">
        <f t="shared" si="14"/>
        <v>0</v>
      </c>
      <c r="P152" s="188">
        <f t="shared" si="14"/>
        <v>0</v>
      </c>
      <c r="Q152" s="219">
        <f>SUM(Q153:Q243)</f>
        <v>0</v>
      </c>
      <c r="R152" s="219">
        <f>SUM(R153:R243)</f>
        <v>0</v>
      </c>
      <c r="S152" s="219">
        <f>SUM(S153:S243)</f>
        <v>0</v>
      </c>
      <c r="T152" s="219">
        <f>SUM(T153:T243)</f>
        <v>0</v>
      </c>
      <c r="U152" s="219">
        <f>SUM(U153:U243)</f>
        <v>0</v>
      </c>
    </row>
    <row r="153" spans="1:21" s="190" customFormat="1" ht="12" hidden="1" customHeight="1" outlineLevel="1">
      <c r="A153" s="200"/>
      <c r="B153" s="297"/>
      <c r="C153" s="17"/>
      <c r="D153" s="664" t="s">
        <v>1588</v>
      </c>
      <c r="E153" s="306"/>
      <c r="F153" s="307"/>
      <c r="G153" s="297"/>
      <c r="H153" s="308"/>
      <c r="I153" s="665"/>
      <c r="J153" s="195"/>
      <c r="K153" s="202"/>
      <c r="L153" s="189"/>
      <c r="M153" s="197"/>
      <c r="N153" s="197"/>
      <c r="O153" s="197"/>
      <c r="P153" s="197"/>
      <c r="Q153" s="220"/>
      <c r="R153" s="220"/>
      <c r="S153" s="197"/>
      <c r="T153" s="197"/>
      <c r="U153" s="197"/>
    </row>
    <row r="154" spans="1:21" s="182" customFormat="1" ht="12" hidden="1" customHeight="1" outlineLevel="2">
      <c r="A154" s="191"/>
      <c r="B154" s="297" t="s">
        <v>12</v>
      </c>
      <c r="C154" s="17" t="s">
        <v>489</v>
      </c>
      <c r="D154" s="664" t="s">
        <v>1497</v>
      </c>
      <c r="E154" s="306" t="s">
        <v>1533</v>
      </c>
      <c r="F154" s="307"/>
      <c r="G154" s="297" t="s">
        <v>489</v>
      </c>
      <c r="H154" s="308" t="str">
        <f t="shared" si="13"/>
        <v>ST-T2V-1</v>
      </c>
      <c r="I154" s="665">
        <v>1</v>
      </c>
      <c r="J154" s="195">
        <v>1</v>
      </c>
      <c r="K154" s="195"/>
      <c r="L154" s="196"/>
      <c r="M154" s="197"/>
      <c r="N154" s="197"/>
      <c r="O154" s="197"/>
      <c r="P154" s="197"/>
      <c r="Q154" s="220"/>
      <c r="R154" s="220"/>
      <c r="S154" s="197"/>
      <c r="T154" s="197"/>
      <c r="U154" s="197"/>
    </row>
    <row r="155" spans="1:21" s="182" customFormat="1" ht="12" hidden="1" customHeight="1" outlineLevel="2">
      <c r="A155" s="191"/>
      <c r="B155" s="297" t="s">
        <v>12</v>
      </c>
      <c r="C155" s="17" t="s">
        <v>489</v>
      </c>
      <c r="D155" s="664" t="s">
        <v>1497</v>
      </c>
      <c r="E155" s="306" t="s">
        <v>1534</v>
      </c>
      <c r="F155" s="307"/>
      <c r="G155" s="297" t="s">
        <v>489</v>
      </c>
      <c r="H155" s="308" t="str">
        <f t="shared" si="13"/>
        <v>ST-T2V-1</v>
      </c>
      <c r="I155" s="665">
        <v>1</v>
      </c>
      <c r="J155" s="195">
        <v>1</v>
      </c>
      <c r="K155" s="195"/>
      <c r="L155" s="196"/>
      <c r="M155" s="197"/>
      <c r="N155" s="197"/>
      <c r="O155" s="197"/>
      <c r="P155" s="197"/>
      <c r="Q155" s="220"/>
      <c r="R155" s="220"/>
      <c r="S155" s="197"/>
      <c r="T155" s="197"/>
      <c r="U155" s="197"/>
    </row>
    <row r="156" spans="1:21" s="182" customFormat="1" ht="12" hidden="1" customHeight="1" outlineLevel="2">
      <c r="A156" s="191"/>
      <c r="B156" s="297" t="s">
        <v>12</v>
      </c>
      <c r="C156" s="17" t="s">
        <v>489</v>
      </c>
      <c r="D156" s="664" t="s">
        <v>1497</v>
      </c>
      <c r="E156" s="306" t="s">
        <v>1535</v>
      </c>
      <c r="F156" s="307"/>
      <c r="G156" s="297" t="s">
        <v>489</v>
      </c>
      <c r="H156" s="308" t="str">
        <f t="shared" si="13"/>
        <v>ST-T2V-1</v>
      </c>
      <c r="I156" s="665">
        <v>1</v>
      </c>
      <c r="J156" s="195">
        <v>1</v>
      </c>
      <c r="K156" s="195"/>
      <c r="L156" s="196"/>
      <c r="M156" s="197"/>
      <c r="N156" s="197"/>
      <c r="O156" s="197"/>
      <c r="P156" s="197"/>
      <c r="Q156" s="198"/>
      <c r="R156" s="198"/>
      <c r="S156" s="197"/>
      <c r="T156" s="197"/>
      <c r="U156" s="197"/>
    </row>
    <row r="157" spans="1:21" s="182" customFormat="1" ht="12" hidden="1" customHeight="1" outlineLevel="2">
      <c r="A157" s="191"/>
      <c r="B157" s="297" t="s">
        <v>12</v>
      </c>
      <c r="C157" s="17" t="s">
        <v>489</v>
      </c>
      <c r="D157" s="664" t="s">
        <v>1497</v>
      </c>
      <c r="E157" s="306" t="s">
        <v>1536</v>
      </c>
      <c r="F157" s="307"/>
      <c r="G157" s="297" t="s">
        <v>489</v>
      </c>
      <c r="H157" s="308" t="str">
        <f t="shared" si="13"/>
        <v>ST-T2V-1</v>
      </c>
      <c r="I157" s="665">
        <v>1</v>
      </c>
      <c r="J157" s="195">
        <v>1</v>
      </c>
      <c r="K157" s="195"/>
      <c r="L157" s="196"/>
      <c r="M157" s="197"/>
      <c r="N157" s="197"/>
      <c r="O157" s="197"/>
      <c r="P157" s="197"/>
      <c r="Q157" s="220"/>
      <c r="R157" s="220"/>
      <c r="S157" s="197"/>
      <c r="T157" s="197"/>
      <c r="U157" s="197"/>
    </row>
    <row r="158" spans="1:21" s="182" customFormat="1" ht="12" hidden="1" customHeight="1" outlineLevel="2">
      <c r="A158" s="191"/>
      <c r="B158" s="297" t="s">
        <v>12</v>
      </c>
      <c r="C158" s="17" t="s">
        <v>489</v>
      </c>
      <c r="D158" s="664" t="s">
        <v>1497</v>
      </c>
      <c r="E158" s="306" t="s">
        <v>1537</v>
      </c>
      <c r="F158" s="307"/>
      <c r="G158" s="297" t="s">
        <v>489</v>
      </c>
      <c r="H158" s="308" t="str">
        <f t="shared" si="13"/>
        <v>ST-T2V-1</v>
      </c>
      <c r="I158" s="665">
        <v>1</v>
      </c>
      <c r="J158" s="195">
        <v>1</v>
      </c>
      <c r="K158" s="195"/>
      <c r="L158" s="196"/>
      <c r="M158" s="197"/>
      <c r="N158" s="197"/>
      <c r="O158" s="197"/>
      <c r="P158" s="197"/>
      <c r="Q158" s="220"/>
      <c r="R158" s="220"/>
      <c r="S158" s="197"/>
      <c r="T158" s="197"/>
      <c r="U158" s="197"/>
    </row>
    <row r="159" spans="1:21" s="182" customFormat="1" ht="12" hidden="1" customHeight="1" outlineLevel="2">
      <c r="A159" s="191"/>
      <c r="B159" s="297" t="s">
        <v>12</v>
      </c>
      <c r="C159" s="17" t="s">
        <v>489</v>
      </c>
      <c r="D159" s="664" t="s">
        <v>1497</v>
      </c>
      <c r="E159" s="306" t="s">
        <v>1538</v>
      </c>
      <c r="F159" s="307"/>
      <c r="G159" s="297" t="s">
        <v>489</v>
      </c>
      <c r="H159" s="308" t="str">
        <f t="shared" si="13"/>
        <v>ST-T2V-1</v>
      </c>
      <c r="I159" s="665">
        <v>1</v>
      </c>
      <c r="J159" s="195">
        <v>1</v>
      </c>
      <c r="K159" s="195"/>
      <c r="L159" s="196"/>
      <c r="M159" s="197"/>
      <c r="N159" s="197"/>
      <c r="O159" s="197"/>
      <c r="P159" s="197"/>
      <c r="Q159" s="220"/>
      <c r="R159" s="220"/>
      <c r="S159" s="197"/>
      <c r="T159" s="197"/>
      <c r="U159" s="197"/>
    </row>
    <row r="160" spans="1:21" s="182" customFormat="1" ht="12" hidden="1" customHeight="1" outlineLevel="2">
      <c r="A160" s="191"/>
      <c r="B160" s="297" t="s">
        <v>12</v>
      </c>
      <c r="C160" s="17" t="s">
        <v>489</v>
      </c>
      <c r="D160" s="664" t="s">
        <v>1497</v>
      </c>
      <c r="E160" s="306" t="s">
        <v>1539</v>
      </c>
      <c r="F160" s="307"/>
      <c r="G160" s="297" t="s">
        <v>489</v>
      </c>
      <c r="H160" s="308" t="str">
        <f t="shared" si="13"/>
        <v>ST-T2V-1</v>
      </c>
      <c r="I160" s="665">
        <v>1</v>
      </c>
      <c r="J160" s="195">
        <v>1</v>
      </c>
      <c r="K160" s="195"/>
      <c r="L160" s="196"/>
      <c r="M160" s="197"/>
      <c r="N160" s="197"/>
      <c r="O160" s="197"/>
      <c r="P160" s="197"/>
      <c r="Q160" s="220"/>
      <c r="R160" s="220"/>
      <c r="S160" s="197"/>
      <c r="T160" s="197"/>
      <c r="U160" s="197"/>
    </row>
    <row r="161" spans="1:10" s="190" customFormat="1" ht="12" hidden="1" customHeight="1" outlineLevel="1">
      <c r="A161" s="200"/>
      <c r="B161" s="297"/>
      <c r="C161" s="17"/>
      <c r="D161" s="664" t="s">
        <v>1589</v>
      </c>
      <c r="E161" s="306"/>
      <c r="F161" s="307"/>
      <c r="G161" s="297"/>
      <c r="H161" s="308"/>
      <c r="I161" s="661"/>
      <c r="J161" s="195"/>
    </row>
    <row r="162" spans="1:10" s="182" customFormat="1" ht="12" hidden="1" customHeight="1" outlineLevel="2">
      <c r="A162" s="191"/>
      <c r="B162" s="297" t="s">
        <v>12</v>
      </c>
      <c r="C162" s="17" t="s">
        <v>489</v>
      </c>
      <c r="D162" s="664" t="s">
        <v>1500</v>
      </c>
      <c r="E162" s="306" t="s">
        <v>1544</v>
      </c>
      <c r="F162" s="307"/>
      <c r="G162" s="297" t="s">
        <v>489</v>
      </c>
      <c r="H162" s="308" t="str">
        <f t="shared" ref="H162:H240" si="15">CONCATENATE(B162,"-",G162,"-",I162)</f>
        <v>ST-T2V-1</v>
      </c>
      <c r="I162" s="665">
        <v>1</v>
      </c>
      <c r="J162" s="195">
        <v>1</v>
      </c>
    </row>
    <row r="163" spans="1:10" s="182" customFormat="1" ht="12" hidden="1" customHeight="1" outlineLevel="2">
      <c r="A163" s="191"/>
      <c r="B163" s="297" t="s">
        <v>12</v>
      </c>
      <c r="C163" s="17" t="s">
        <v>489</v>
      </c>
      <c r="D163" s="664" t="s">
        <v>1500</v>
      </c>
      <c r="E163" s="306" t="s">
        <v>1545</v>
      </c>
      <c r="F163" s="307"/>
      <c r="G163" s="297" t="s">
        <v>489</v>
      </c>
      <c r="H163" s="308" t="str">
        <f t="shared" si="15"/>
        <v>ST-T2V-1</v>
      </c>
      <c r="I163" s="665">
        <v>1</v>
      </c>
      <c r="J163" s="195">
        <v>1</v>
      </c>
    </row>
    <row r="164" spans="1:10" s="182" customFormat="1" ht="12" hidden="1" customHeight="1" outlineLevel="2">
      <c r="A164" s="191"/>
      <c r="B164" s="297" t="s">
        <v>12</v>
      </c>
      <c r="C164" s="17" t="s">
        <v>489</v>
      </c>
      <c r="D164" s="664" t="s">
        <v>1500</v>
      </c>
      <c r="E164" s="306" t="s">
        <v>1546</v>
      </c>
      <c r="F164" s="307"/>
      <c r="G164" s="297" t="s">
        <v>489</v>
      </c>
      <c r="H164" s="308" t="str">
        <f t="shared" si="15"/>
        <v>ST-T2V-1</v>
      </c>
      <c r="I164" s="665">
        <v>1</v>
      </c>
      <c r="J164" s="195">
        <v>1</v>
      </c>
    </row>
    <row r="165" spans="1:10" s="182" customFormat="1" ht="12" hidden="1" customHeight="1" outlineLevel="2">
      <c r="A165" s="191"/>
      <c r="B165" s="297" t="s">
        <v>12</v>
      </c>
      <c r="C165" s="17" t="s">
        <v>489</v>
      </c>
      <c r="D165" s="664" t="s">
        <v>1500</v>
      </c>
      <c r="E165" s="306" t="s">
        <v>1547</v>
      </c>
      <c r="F165" s="307"/>
      <c r="G165" s="297" t="s">
        <v>489</v>
      </c>
      <c r="H165" s="308" t="str">
        <f t="shared" si="15"/>
        <v>ST-T2V-5</v>
      </c>
      <c r="I165" s="665">
        <v>5</v>
      </c>
      <c r="J165" s="195">
        <v>1</v>
      </c>
    </row>
    <row r="166" spans="1:10" s="182" customFormat="1" ht="12" hidden="1" customHeight="1" outlineLevel="2">
      <c r="A166" s="191"/>
      <c r="B166" s="297" t="s">
        <v>12</v>
      </c>
      <c r="C166" s="17" t="s">
        <v>489</v>
      </c>
      <c r="D166" s="664" t="s">
        <v>1500</v>
      </c>
      <c r="E166" s="306" t="s">
        <v>1590</v>
      </c>
      <c r="F166" s="307"/>
      <c r="G166" s="297" t="s">
        <v>489</v>
      </c>
      <c r="H166" s="308" t="str">
        <f t="shared" si="15"/>
        <v>ST-T2V-6</v>
      </c>
      <c r="I166" s="665">
        <v>6</v>
      </c>
      <c r="J166" s="195">
        <v>1</v>
      </c>
    </row>
    <row r="167" spans="1:10" s="182" customFormat="1" ht="12" hidden="1" customHeight="1" outlineLevel="2">
      <c r="A167" s="191"/>
      <c r="B167" s="297" t="s">
        <v>12</v>
      </c>
      <c r="C167" s="17" t="s">
        <v>489</v>
      </c>
      <c r="D167" s="664" t="s">
        <v>1500</v>
      </c>
      <c r="E167" s="306" t="s">
        <v>1591</v>
      </c>
      <c r="F167" s="307"/>
      <c r="G167" s="297" t="s">
        <v>489</v>
      </c>
      <c r="H167" s="308" t="str">
        <f t="shared" si="15"/>
        <v>ST-T2V-8</v>
      </c>
      <c r="I167" s="665">
        <v>8</v>
      </c>
      <c r="J167" s="195">
        <v>1</v>
      </c>
    </row>
    <row r="168" spans="1:10" s="190" customFormat="1" ht="12" hidden="1" customHeight="1" outlineLevel="1">
      <c r="A168" s="200"/>
      <c r="B168" s="297"/>
      <c r="C168" s="17"/>
      <c r="D168" s="664" t="s">
        <v>1592</v>
      </c>
      <c r="E168" s="306"/>
      <c r="F168" s="307"/>
      <c r="G168" s="297"/>
      <c r="H168" s="308"/>
      <c r="I168" s="661"/>
      <c r="J168" s="195"/>
    </row>
    <row r="169" spans="1:10" s="182" customFormat="1" ht="12" hidden="1" customHeight="1" outlineLevel="2">
      <c r="A169" s="191"/>
      <c r="B169" s="297" t="s">
        <v>12</v>
      </c>
      <c r="C169" s="17" t="s">
        <v>489</v>
      </c>
      <c r="D169" s="664" t="s">
        <v>1500</v>
      </c>
      <c r="E169" s="306" t="s">
        <v>1546</v>
      </c>
      <c r="F169" s="307"/>
      <c r="G169" s="297" t="s">
        <v>489</v>
      </c>
      <c r="H169" s="308" t="str">
        <f t="shared" si="15"/>
        <v>ST-T2V-1</v>
      </c>
      <c r="I169" s="665">
        <v>1</v>
      </c>
      <c r="J169" s="195">
        <v>1</v>
      </c>
    </row>
    <row r="170" spans="1:10" s="182" customFormat="1" ht="12" hidden="1" customHeight="1" outlineLevel="2">
      <c r="A170" s="191"/>
      <c r="B170" s="297" t="s">
        <v>12</v>
      </c>
      <c r="C170" s="17" t="s">
        <v>489</v>
      </c>
      <c r="D170" s="664" t="s">
        <v>1500</v>
      </c>
      <c r="E170" s="306" t="s">
        <v>1547</v>
      </c>
      <c r="F170" s="307"/>
      <c r="G170" s="297" t="s">
        <v>489</v>
      </c>
      <c r="H170" s="308" t="str">
        <f t="shared" si="15"/>
        <v>ST-T2V-5</v>
      </c>
      <c r="I170" s="665">
        <v>5</v>
      </c>
      <c r="J170" s="195">
        <v>1</v>
      </c>
    </row>
    <row r="171" spans="1:10" s="182" customFormat="1" ht="12" hidden="1" customHeight="1" outlineLevel="2">
      <c r="A171" s="191"/>
      <c r="B171" s="297" t="s">
        <v>12</v>
      </c>
      <c r="C171" s="17" t="s">
        <v>489</v>
      </c>
      <c r="D171" s="664" t="s">
        <v>1500</v>
      </c>
      <c r="E171" s="306" t="s">
        <v>1590</v>
      </c>
      <c r="F171" s="307"/>
      <c r="G171" s="297" t="s">
        <v>489</v>
      </c>
      <c r="H171" s="308" t="str">
        <f t="shared" si="15"/>
        <v>ST-T2V-6</v>
      </c>
      <c r="I171" s="665">
        <v>6</v>
      </c>
      <c r="J171" s="195">
        <v>1</v>
      </c>
    </row>
    <row r="172" spans="1:10" s="182" customFormat="1" ht="12" hidden="1" customHeight="1" outlineLevel="2">
      <c r="A172" s="191"/>
      <c r="B172" s="297" t="s">
        <v>12</v>
      </c>
      <c r="C172" s="17" t="s">
        <v>489</v>
      </c>
      <c r="D172" s="664" t="s">
        <v>1500</v>
      </c>
      <c r="E172" s="306" t="s">
        <v>1591</v>
      </c>
      <c r="F172" s="307"/>
      <c r="G172" s="297" t="s">
        <v>489</v>
      </c>
      <c r="H172" s="308" t="str">
        <f t="shared" si="15"/>
        <v>ST-T2V-8</v>
      </c>
      <c r="I172" s="665">
        <v>8</v>
      </c>
      <c r="J172" s="195">
        <v>1</v>
      </c>
    </row>
    <row r="173" spans="1:10" s="190" customFormat="1" ht="12" hidden="1" customHeight="1" outlineLevel="1">
      <c r="A173" s="200"/>
      <c r="B173" s="297"/>
      <c r="C173" s="17"/>
      <c r="D173" s="664" t="s">
        <v>1550</v>
      </c>
      <c r="E173" s="306"/>
      <c r="F173" s="307"/>
      <c r="G173" s="297"/>
      <c r="H173" s="308"/>
      <c r="I173" s="661"/>
      <c r="J173" s="195"/>
    </row>
    <row r="174" spans="1:10" s="182" customFormat="1" ht="12" hidden="1" customHeight="1" outlineLevel="2">
      <c r="A174" s="191"/>
      <c r="B174" s="297" t="s">
        <v>12</v>
      </c>
      <c r="C174" s="17" t="s">
        <v>489</v>
      </c>
      <c r="D174" s="664" t="s">
        <v>1504</v>
      </c>
      <c r="E174" s="306" t="s">
        <v>1551</v>
      </c>
      <c r="F174" s="307"/>
      <c r="G174" s="297" t="s">
        <v>489</v>
      </c>
      <c r="H174" s="308" t="str">
        <f t="shared" si="15"/>
        <v>ST-T2V-2</v>
      </c>
      <c r="I174" s="665">
        <v>2</v>
      </c>
      <c r="J174" s="195">
        <v>1</v>
      </c>
    </row>
    <row r="175" spans="1:10" s="182" customFormat="1" ht="12" hidden="1" customHeight="1" outlineLevel="2">
      <c r="A175" s="191"/>
      <c r="B175" s="297" t="s">
        <v>12</v>
      </c>
      <c r="C175" s="17" t="s">
        <v>489</v>
      </c>
      <c r="D175" s="664" t="s">
        <v>1504</v>
      </c>
      <c r="E175" s="306" t="s">
        <v>1552</v>
      </c>
      <c r="F175" s="307"/>
      <c r="G175" s="297" t="s">
        <v>489</v>
      </c>
      <c r="H175" s="308" t="str">
        <f t="shared" si="15"/>
        <v>ST-T2V-4</v>
      </c>
      <c r="I175" s="665">
        <v>4</v>
      </c>
      <c r="J175" s="195">
        <v>1</v>
      </c>
    </row>
    <row r="176" spans="1:10" s="182" customFormat="1" ht="12" hidden="1" customHeight="1" outlineLevel="2">
      <c r="A176" s="191"/>
      <c r="B176" s="297" t="s">
        <v>12</v>
      </c>
      <c r="C176" s="17" t="s">
        <v>489</v>
      </c>
      <c r="D176" s="664" t="s">
        <v>1504</v>
      </c>
      <c r="E176" s="306" t="s">
        <v>1553</v>
      </c>
      <c r="F176" s="307"/>
      <c r="G176" s="297" t="s">
        <v>489</v>
      </c>
      <c r="H176" s="308" t="str">
        <f t="shared" si="15"/>
        <v>ST-T2V-6</v>
      </c>
      <c r="I176" s="665">
        <v>6</v>
      </c>
      <c r="J176" s="195">
        <v>1</v>
      </c>
    </row>
    <row r="177" spans="1:10" s="182" customFormat="1" ht="12" hidden="1" customHeight="1" outlineLevel="2">
      <c r="A177" s="191"/>
      <c r="B177" s="297" t="s">
        <v>12</v>
      </c>
      <c r="C177" s="17" t="s">
        <v>489</v>
      </c>
      <c r="D177" s="664" t="s">
        <v>1504</v>
      </c>
      <c r="E177" s="306" t="s">
        <v>1554</v>
      </c>
      <c r="F177" s="307"/>
      <c r="G177" s="297" t="s">
        <v>489</v>
      </c>
      <c r="H177" s="308" t="str">
        <f t="shared" si="15"/>
        <v>ST-T2V-6</v>
      </c>
      <c r="I177" s="665">
        <v>6</v>
      </c>
      <c r="J177" s="195">
        <v>1</v>
      </c>
    </row>
    <row r="178" spans="1:10" s="182" customFormat="1" ht="12" hidden="1" customHeight="1" outlineLevel="2">
      <c r="A178" s="191"/>
      <c r="B178" s="297" t="s">
        <v>12</v>
      </c>
      <c r="C178" s="17" t="s">
        <v>489</v>
      </c>
      <c r="D178" s="664" t="s">
        <v>1504</v>
      </c>
      <c r="E178" s="306" t="s">
        <v>1555</v>
      </c>
      <c r="F178" s="307"/>
      <c r="G178" s="297" t="s">
        <v>489</v>
      </c>
      <c r="H178" s="308" t="str">
        <f t="shared" si="15"/>
        <v>ST-T2V-5</v>
      </c>
      <c r="I178" s="665">
        <v>5</v>
      </c>
      <c r="J178" s="195">
        <v>1</v>
      </c>
    </row>
    <row r="179" spans="1:10" s="182" customFormat="1" ht="12" hidden="1" customHeight="1" outlineLevel="2">
      <c r="A179" s="191"/>
      <c r="B179" s="297" t="s">
        <v>12</v>
      </c>
      <c r="C179" s="17" t="s">
        <v>489</v>
      </c>
      <c r="D179" s="664" t="s">
        <v>1504</v>
      </c>
      <c r="E179" s="306" t="s">
        <v>1593</v>
      </c>
      <c r="F179" s="307"/>
      <c r="G179" s="297" t="s">
        <v>489</v>
      </c>
      <c r="H179" s="308" t="str">
        <f t="shared" ref="H179:H180" si="16">CONCATENATE(B179,"-",G179,"-",I179)</f>
        <v>ST-T2V-8</v>
      </c>
      <c r="I179" s="665">
        <v>8</v>
      </c>
      <c r="J179" s="195">
        <v>1</v>
      </c>
    </row>
    <row r="180" spans="1:10" s="182" customFormat="1" ht="12" hidden="1" customHeight="1" outlineLevel="2">
      <c r="A180" s="191"/>
      <c r="B180" s="297" t="s">
        <v>12</v>
      </c>
      <c r="C180" s="17" t="s">
        <v>489</v>
      </c>
      <c r="D180" s="664" t="s">
        <v>1504</v>
      </c>
      <c r="E180" s="306" t="s">
        <v>1594</v>
      </c>
      <c r="F180" s="307"/>
      <c r="G180" s="297" t="s">
        <v>489</v>
      </c>
      <c r="H180" s="308" t="str">
        <f t="shared" si="16"/>
        <v>ST-T2V-8</v>
      </c>
      <c r="I180" s="665">
        <v>8</v>
      </c>
      <c r="J180" s="195">
        <v>1</v>
      </c>
    </row>
    <row r="181" spans="1:10" s="182" customFormat="1" ht="12" hidden="1" customHeight="1" outlineLevel="2">
      <c r="A181" s="191"/>
      <c r="B181" s="297" t="s">
        <v>12</v>
      </c>
      <c r="C181" s="17" t="s">
        <v>489</v>
      </c>
      <c r="D181" s="664" t="s">
        <v>1504</v>
      </c>
      <c r="E181" s="306" t="s">
        <v>1556</v>
      </c>
      <c r="F181" s="307"/>
      <c r="G181" s="297" t="s">
        <v>489</v>
      </c>
      <c r="H181" s="308" t="str">
        <f t="shared" si="15"/>
        <v>ST-T2V-9</v>
      </c>
      <c r="I181" s="665">
        <v>9</v>
      </c>
      <c r="J181" s="195">
        <v>1</v>
      </c>
    </row>
    <row r="182" spans="1:10" s="190" customFormat="1" ht="12" hidden="1" customHeight="1" outlineLevel="1">
      <c r="A182" s="200"/>
      <c r="B182" s="297"/>
      <c r="C182" s="17"/>
      <c r="D182" s="664" t="s">
        <v>1595</v>
      </c>
      <c r="E182" s="306"/>
      <c r="F182" s="307"/>
      <c r="G182" s="297"/>
      <c r="H182" s="308"/>
      <c r="I182" s="661"/>
      <c r="J182" s="195"/>
    </row>
    <row r="183" spans="1:10" s="182" customFormat="1" ht="12" hidden="1" customHeight="1" outlineLevel="2">
      <c r="A183" s="191"/>
      <c r="B183" s="297" t="s">
        <v>12</v>
      </c>
      <c r="C183" s="17" t="s">
        <v>489</v>
      </c>
      <c r="D183" s="664" t="s">
        <v>1506</v>
      </c>
      <c r="E183" s="306" t="s">
        <v>1558</v>
      </c>
      <c r="F183" s="307"/>
      <c r="G183" s="297" t="s">
        <v>489</v>
      </c>
      <c r="H183" s="308" t="str">
        <f t="shared" si="15"/>
        <v>ST-T2V-2</v>
      </c>
      <c r="I183" s="665">
        <v>2</v>
      </c>
      <c r="J183" s="195">
        <v>1</v>
      </c>
    </row>
    <row r="184" spans="1:10" s="182" customFormat="1" ht="12" hidden="1" customHeight="1" outlineLevel="2">
      <c r="A184" s="191"/>
      <c r="B184" s="297" t="s">
        <v>12</v>
      </c>
      <c r="C184" s="17" t="s">
        <v>489</v>
      </c>
      <c r="D184" s="664" t="s">
        <v>1506</v>
      </c>
      <c r="E184" s="306" t="s">
        <v>1559</v>
      </c>
      <c r="F184" s="307"/>
      <c r="G184" s="297" t="s">
        <v>489</v>
      </c>
      <c r="H184" s="308" t="str">
        <f t="shared" si="15"/>
        <v>ST-T2V-2</v>
      </c>
      <c r="I184" s="665">
        <v>2</v>
      </c>
      <c r="J184" s="195">
        <v>1</v>
      </c>
    </row>
    <row r="185" spans="1:10" s="182" customFormat="1" ht="12" hidden="1" customHeight="1" outlineLevel="2">
      <c r="A185" s="191"/>
      <c r="B185" s="297" t="s">
        <v>12</v>
      </c>
      <c r="C185" s="17" t="s">
        <v>489</v>
      </c>
      <c r="D185" s="664" t="s">
        <v>1506</v>
      </c>
      <c r="E185" s="306" t="s">
        <v>1560</v>
      </c>
      <c r="F185" s="307"/>
      <c r="G185" s="297" t="s">
        <v>489</v>
      </c>
      <c r="H185" s="308" t="str">
        <f t="shared" si="15"/>
        <v>ST-T2V-4</v>
      </c>
      <c r="I185" s="665">
        <v>4</v>
      </c>
      <c r="J185" s="195">
        <v>1</v>
      </c>
    </row>
    <row r="186" spans="1:10" s="182" customFormat="1" ht="12" hidden="1" customHeight="1" outlineLevel="2">
      <c r="A186" s="191"/>
      <c r="B186" s="297" t="s">
        <v>12</v>
      </c>
      <c r="C186" s="17" t="s">
        <v>489</v>
      </c>
      <c r="D186" s="664" t="s">
        <v>1506</v>
      </c>
      <c r="E186" s="306" t="s">
        <v>1596</v>
      </c>
      <c r="F186" s="307"/>
      <c r="G186" s="297" t="s">
        <v>489</v>
      </c>
      <c r="H186" s="308" t="str">
        <f t="shared" si="15"/>
        <v>ST-T2V-5</v>
      </c>
      <c r="I186" s="665">
        <v>5</v>
      </c>
      <c r="J186" s="195">
        <v>1</v>
      </c>
    </row>
    <row r="187" spans="1:10" s="182" customFormat="1" ht="12" hidden="1" customHeight="1" outlineLevel="2">
      <c r="A187" s="191"/>
      <c r="B187" s="297" t="s">
        <v>12</v>
      </c>
      <c r="C187" s="17" t="s">
        <v>489</v>
      </c>
      <c r="D187" s="664" t="s">
        <v>1506</v>
      </c>
      <c r="E187" s="306" t="s">
        <v>1597</v>
      </c>
      <c r="F187" s="307"/>
      <c r="G187" s="297" t="s">
        <v>489</v>
      </c>
      <c r="H187" s="308" t="str">
        <f t="shared" si="15"/>
        <v>ST-T2V-6</v>
      </c>
      <c r="I187" s="665">
        <v>6</v>
      </c>
      <c r="J187" s="195">
        <v>1</v>
      </c>
    </row>
    <row r="188" spans="1:10" s="182" customFormat="1" ht="12" hidden="1" customHeight="1" outlineLevel="2">
      <c r="A188" s="191"/>
      <c r="B188" s="297" t="s">
        <v>12</v>
      </c>
      <c r="C188" s="17" t="s">
        <v>489</v>
      </c>
      <c r="D188" s="664" t="s">
        <v>1506</v>
      </c>
      <c r="E188" s="306" t="s">
        <v>1598</v>
      </c>
      <c r="F188" s="307"/>
      <c r="G188" s="297" t="s">
        <v>489</v>
      </c>
      <c r="H188" s="308" t="str">
        <f t="shared" si="15"/>
        <v>ST-T2V-5</v>
      </c>
      <c r="I188" s="665">
        <v>5</v>
      </c>
      <c r="J188" s="195">
        <v>1</v>
      </c>
    </row>
    <row r="189" spans="1:10" s="182" customFormat="1" ht="12" hidden="1" customHeight="1" outlineLevel="2">
      <c r="A189" s="191"/>
      <c r="B189" s="297" t="s">
        <v>12</v>
      </c>
      <c r="C189" s="17" t="s">
        <v>489</v>
      </c>
      <c r="D189" s="664" t="s">
        <v>1506</v>
      </c>
      <c r="E189" s="306" t="s">
        <v>1599</v>
      </c>
      <c r="F189" s="307"/>
      <c r="G189" s="297" t="s">
        <v>489</v>
      </c>
      <c r="H189" s="308" t="str">
        <f t="shared" si="15"/>
        <v>ST-T2V-6</v>
      </c>
      <c r="I189" s="665">
        <v>6</v>
      </c>
      <c r="J189" s="195">
        <v>1</v>
      </c>
    </row>
    <row r="190" spans="1:10" s="182" customFormat="1" ht="12" hidden="1" customHeight="1" outlineLevel="2">
      <c r="A190" s="191"/>
      <c r="B190" s="297" t="s">
        <v>12</v>
      </c>
      <c r="C190" s="17" t="s">
        <v>489</v>
      </c>
      <c r="D190" s="664" t="s">
        <v>1506</v>
      </c>
      <c r="E190" s="306" t="s">
        <v>1600</v>
      </c>
      <c r="F190" s="307"/>
      <c r="G190" s="297" t="s">
        <v>489</v>
      </c>
      <c r="H190" s="308" t="str">
        <f t="shared" si="15"/>
        <v>ST-T2V-5</v>
      </c>
      <c r="I190" s="665">
        <v>5</v>
      </c>
      <c r="J190" s="195">
        <v>1</v>
      </c>
    </row>
    <row r="191" spans="1:10" s="182" customFormat="1" ht="12" hidden="1" customHeight="1" outlineLevel="2">
      <c r="A191" s="191"/>
      <c r="B191" s="297" t="s">
        <v>12</v>
      </c>
      <c r="C191" s="17" t="s">
        <v>489</v>
      </c>
      <c r="D191" s="664" t="s">
        <v>1506</v>
      </c>
      <c r="E191" s="306" t="s">
        <v>1601</v>
      </c>
      <c r="F191" s="307"/>
      <c r="G191" s="297" t="s">
        <v>489</v>
      </c>
      <c r="H191" s="308" t="str">
        <f t="shared" ref="H191:H192" si="17">CONCATENATE(B191,"-",G191,"-",I191)</f>
        <v>ST-T2V-8</v>
      </c>
      <c r="I191" s="665">
        <v>8</v>
      </c>
      <c r="J191" s="195">
        <v>1</v>
      </c>
    </row>
    <row r="192" spans="1:10" s="182" customFormat="1" ht="12" hidden="1" customHeight="1" outlineLevel="2">
      <c r="A192" s="191"/>
      <c r="B192" s="297" t="s">
        <v>12</v>
      </c>
      <c r="C192" s="17" t="s">
        <v>489</v>
      </c>
      <c r="D192" s="664" t="s">
        <v>1506</v>
      </c>
      <c r="E192" s="306" t="s">
        <v>1602</v>
      </c>
      <c r="F192" s="307"/>
      <c r="G192" s="297" t="s">
        <v>489</v>
      </c>
      <c r="H192" s="308" t="str">
        <f t="shared" si="17"/>
        <v>ST-T2V-8</v>
      </c>
      <c r="I192" s="665">
        <v>8</v>
      </c>
      <c r="J192" s="195">
        <v>1</v>
      </c>
    </row>
    <row r="193" spans="1:10" s="190" customFormat="1" ht="12" hidden="1" customHeight="1" outlineLevel="1">
      <c r="A193" s="200"/>
      <c r="B193" s="297"/>
      <c r="C193" s="17"/>
      <c r="D193" s="664" t="s">
        <v>1603</v>
      </c>
      <c r="E193" s="306"/>
      <c r="F193" s="307"/>
      <c r="G193" s="297"/>
      <c r="H193" s="308"/>
      <c r="I193" s="661"/>
      <c r="J193" s="195"/>
    </row>
    <row r="194" spans="1:10" s="182" customFormat="1" ht="12" hidden="1" customHeight="1" outlineLevel="2">
      <c r="A194" s="191"/>
      <c r="B194" s="297" t="s">
        <v>12</v>
      </c>
      <c r="C194" s="17" t="s">
        <v>489</v>
      </c>
      <c r="D194" s="664" t="s">
        <v>1506</v>
      </c>
      <c r="E194" s="306" t="s">
        <v>1559</v>
      </c>
      <c r="F194" s="307"/>
      <c r="G194" s="297" t="s">
        <v>489</v>
      </c>
      <c r="H194" s="308" t="str">
        <f t="shared" si="15"/>
        <v>ST-T2V-2</v>
      </c>
      <c r="I194" s="665">
        <v>2</v>
      </c>
      <c r="J194" s="195">
        <v>1</v>
      </c>
    </row>
    <row r="195" spans="1:10" s="182" customFormat="1" ht="12" hidden="1" customHeight="1" outlineLevel="2">
      <c r="A195" s="191"/>
      <c r="B195" s="297" t="s">
        <v>12</v>
      </c>
      <c r="C195" s="17" t="s">
        <v>489</v>
      </c>
      <c r="D195" s="664" t="s">
        <v>1506</v>
      </c>
      <c r="E195" s="306" t="s">
        <v>1560</v>
      </c>
      <c r="F195" s="307"/>
      <c r="G195" s="297" t="s">
        <v>489</v>
      </c>
      <c r="H195" s="308" t="str">
        <f t="shared" si="15"/>
        <v>ST-T2V-4</v>
      </c>
      <c r="I195" s="665">
        <v>4</v>
      </c>
      <c r="J195" s="195">
        <v>1</v>
      </c>
    </row>
    <row r="196" spans="1:10" s="182" customFormat="1" ht="12" hidden="1" customHeight="1" outlineLevel="2">
      <c r="A196" s="191"/>
      <c r="B196" s="297" t="s">
        <v>12</v>
      </c>
      <c r="C196" s="17" t="s">
        <v>489</v>
      </c>
      <c r="D196" s="664" t="s">
        <v>1506</v>
      </c>
      <c r="E196" s="306" t="s">
        <v>1561</v>
      </c>
      <c r="F196" s="307"/>
      <c r="G196" s="297" t="s">
        <v>489</v>
      </c>
      <c r="H196" s="308" t="str">
        <f t="shared" si="15"/>
        <v>ST-T2V-6</v>
      </c>
      <c r="I196" s="665">
        <v>6</v>
      </c>
      <c r="J196" s="195">
        <v>1</v>
      </c>
    </row>
    <row r="197" spans="1:10" s="182" customFormat="1" ht="12" hidden="1" customHeight="1" outlineLevel="2">
      <c r="A197" s="191"/>
      <c r="B197" s="297" t="s">
        <v>12</v>
      </c>
      <c r="C197" s="17" t="s">
        <v>489</v>
      </c>
      <c r="D197" s="664" t="s">
        <v>1506</v>
      </c>
      <c r="E197" s="306" t="s">
        <v>1598</v>
      </c>
      <c r="F197" s="307"/>
      <c r="G197" s="297" t="s">
        <v>489</v>
      </c>
      <c r="H197" s="308" t="str">
        <f t="shared" si="15"/>
        <v>ST-T2V-5</v>
      </c>
      <c r="I197" s="665">
        <v>5</v>
      </c>
      <c r="J197" s="195">
        <v>1</v>
      </c>
    </row>
    <row r="198" spans="1:10" s="182" customFormat="1" ht="12" hidden="1" customHeight="1" outlineLevel="2">
      <c r="A198" s="191"/>
      <c r="B198" s="297" t="s">
        <v>12</v>
      </c>
      <c r="C198" s="17" t="s">
        <v>489</v>
      </c>
      <c r="D198" s="664" t="s">
        <v>1506</v>
      </c>
      <c r="E198" s="306" t="s">
        <v>1563</v>
      </c>
      <c r="F198" s="307"/>
      <c r="G198" s="297" t="s">
        <v>489</v>
      </c>
      <c r="H198" s="308" t="str">
        <f t="shared" si="15"/>
        <v>ST-T2V-6</v>
      </c>
      <c r="I198" s="665">
        <v>6</v>
      </c>
      <c r="J198" s="195">
        <v>1</v>
      </c>
    </row>
    <row r="199" spans="1:10" s="182" customFormat="1" ht="12" hidden="1" customHeight="1" outlineLevel="2">
      <c r="A199" s="191"/>
      <c r="B199" s="297" t="s">
        <v>12</v>
      </c>
      <c r="C199" s="17" t="s">
        <v>489</v>
      </c>
      <c r="D199" s="664" t="s">
        <v>1506</v>
      </c>
      <c r="E199" s="306" t="s">
        <v>1600</v>
      </c>
      <c r="F199" s="307"/>
      <c r="G199" s="297" t="s">
        <v>489</v>
      </c>
      <c r="H199" s="308" t="str">
        <f t="shared" si="15"/>
        <v>ST-T2V-5</v>
      </c>
      <c r="I199" s="665">
        <v>5</v>
      </c>
      <c r="J199" s="195">
        <v>1</v>
      </c>
    </row>
    <row r="200" spans="1:10" s="182" customFormat="1" ht="12" hidden="1" customHeight="1" outlineLevel="2">
      <c r="A200" s="191"/>
      <c r="B200" s="297" t="s">
        <v>12</v>
      </c>
      <c r="C200" s="17" t="s">
        <v>489</v>
      </c>
      <c r="D200" s="664" t="s">
        <v>1506</v>
      </c>
      <c r="E200" s="306" t="s">
        <v>1601</v>
      </c>
      <c r="F200" s="307"/>
      <c r="G200" s="297" t="s">
        <v>489</v>
      </c>
      <c r="H200" s="308" t="str">
        <f t="shared" si="15"/>
        <v>ST-T2V-8</v>
      </c>
      <c r="I200" s="665">
        <v>8</v>
      </c>
      <c r="J200" s="195">
        <v>1</v>
      </c>
    </row>
    <row r="201" spans="1:10" s="182" customFormat="1" ht="12" hidden="1" customHeight="1" outlineLevel="2">
      <c r="A201" s="191"/>
      <c r="B201" s="297" t="s">
        <v>12</v>
      </c>
      <c r="C201" s="17" t="s">
        <v>489</v>
      </c>
      <c r="D201" s="664" t="s">
        <v>1506</v>
      </c>
      <c r="E201" s="306" t="s">
        <v>1602</v>
      </c>
      <c r="F201" s="307"/>
      <c r="G201" s="297" t="s">
        <v>489</v>
      </c>
      <c r="H201" s="308" t="str">
        <f t="shared" si="15"/>
        <v>ST-T2V-8</v>
      </c>
      <c r="I201" s="665">
        <v>8</v>
      </c>
      <c r="J201" s="195">
        <v>1</v>
      </c>
    </row>
    <row r="202" spans="1:10" s="190" customFormat="1" ht="12" hidden="1" customHeight="1" outlineLevel="1">
      <c r="A202" s="200"/>
      <c r="B202" s="297"/>
      <c r="C202" s="17"/>
      <c r="D202" s="664" t="s">
        <v>1604</v>
      </c>
      <c r="E202" s="306"/>
      <c r="F202" s="307"/>
      <c r="G202" s="297"/>
      <c r="H202" s="308"/>
      <c r="I202" s="661"/>
      <c r="J202" s="195"/>
    </row>
    <row r="203" spans="1:10" s="182" customFormat="1" ht="12" hidden="1" customHeight="1" outlineLevel="2">
      <c r="A203" s="191"/>
      <c r="B203" s="297" t="s">
        <v>12</v>
      </c>
      <c r="C203" s="17" t="s">
        <v>489</v>
      </c>
      <c r="D203" s="664" t="s">
        <v>1508</v>
      </c>
      <c r="E203" s="306" t="s">
        <v>1558</v>
      </c>
      <c r="F203" s="307"/>
      <c r="G203" s="297" t="s">
        <v>489</v>
      </c>
      <c r="H203" s="308" t="str">
        <f t="shared" si="15"/>
        <v>ST-T2V-2</v>
      </c>
      <c r="I203" s="665">
        <v>2</v>
      </c>
      <c r="J203" s="195">
        <v>1</v>
      </c>
    </row>
    <row r="204" spans="1:10" s="182" customFormat="1" ht="12" hidden="1" customHeight="1" outlineLevel="2">
      <c r="A204" s="191"/>
      <c r="B204" s="297" t="s">
        <v>12</v>
      </c>
      <c r="C204" s="17" t="s">
        <v>489</v>
      </c>
      <c r="D204" s="664" t="s">
        <v>1508</v>
      </c>
      <c r="E204" s="306" t="s">
        <v>1568</v>
      </c>
      <c r="F204" s="307"/>
      <c r="G204" s="297" t="s">
        <v>489</v>
      </c>
      <c r="H204" s="308" t="str">
        <f t="shared" si="15"/>
        <v>ST-T2V-2</v>
      </c>
      <c r="I204" s="665">
        <v>2</v>
      </c>
      <c r="J204" s="195">
        <v>1</v>
      </c>
    </row>
    <row r="205" spans="1:10" s="182" customFormat="1" ht="12" hidden="1" customHeight="1" outlineLevel="2">
      <c r="A205" s="191"/>
      <c r="B205" s="297" t="s">
        <v>12</v>
      </c>
      <c r="C205" s="17" t="s">
        <v>489</v>
      </c>
      <c r="D205" s="664" t="s">
        <v>1508</v>
      </c>
      <c r="E205" s="306" t="s">
        <v>1605</v>
      </c>
      <c r="F205" s="307"/>
      <c r="G205" s="297" t="s">
        <v>489</v>
      </c>
      <c r="H205" s="308" t="str">
        <f t="shared" si="15"/>
        <v>ST-T2V-4</v>
      </c>
      <c r="I205" s="665">
        <v>4</v>
      </c>
      <c r="J205" s="195">
        <v>1</v>
      </c>
    </row>
    <row r="206" spans="1:10" s="182" customFormat="1" ht="12" hidden="1" customHeight="1" outlineLevel="2">
      <c r="A206" s="191"/>
      <c r="B206" s="297" t="s">
        <v>12</v>
      </c>
      <c r="C206" s="17" t="s">
        <v>489</v>
      </c>
      <c r="D206" s="664" t="s">
        <v>1508</v>
      </c>
      <c r="E206" s="306" t="s">
        <v>1606</v>
      </c>
      <c r="F206" s="307"/>
      <c r="G206" s="297" t="s">
        <v>489</v>
      </c>
      <c r="H206" s="308" t="str">
        <f t="shared" si="15"/>
        <v>ST-T2V-5</v>
      </c>
      <c r="I206" s="665">
        <v>5</v>
      </c>
      <c r="J206" s="195">
        <v>1</v>
      </c>
    </row>
    <row r="207" spans="1:10" s="182" customFormat="1" ht="12" hidden="1" customHeight="1" outlineLevel="2">
      <c r="A207" s="191"/>
      <c r="B207" s="297" t="s">
        <v>12</v>
      </c>
      <c r="C207" s="17" t="s">
        <v>489</v>
      </c>
      <c r="D207" s="664" t="s">
        <v>1508</v>
      </c>
      <c r="E207" s="306" t="s">
        <v>1607</v>
      </c>
      <c r="F207" s="307"/>
      <c r="G207" s="297" t="s">
        <v>489</v>
      </c>
      <c r="H207" s="308" t="str">
        <f t="shared" si="15"/>
        <v>ST-T2V-6</v>
      </c>
      <c r="I207" s="665">
        <v>6</v>
      </c>
      <c r="J207" s="195">
        <v>1</v>
      </c>
    </row>
    <row r="208" spans="1:10" s="182" customFormat="1" ht="12" hidden="1" customHeight="1" outlineLevel="2">
      <c r="A208" s="191"/>
      <c r="B208" s="297" t="s">
        <v>12</v>
      </c>
      <c r="C208" s="17" t="s">
        <v>489</v>
      </c>
      <c r="D208" s="664" t="s">
        <v>1508</v>
      </c>
      <c r="E208" s="306" t="s">
        <v>1570</v>
      </c>
      <c r="F208" s="307"/>
      <c r="G208" s="297" t="s">
        <v>489</v>
      </c>
      <c r="H208" s="308" t="str">
        <f t="shared" si="15"/>
        <v>ST-T2V-5</v>
      </c>
      <c r="I208" s="665">
        <v>5</v>
      </c>
      <c r="J208" s="195">
        <v>1</v>
      </c>
    </row>
    <row r="209" spans="1:10" s="182" customFormat="1" ht="12" hidden="1" customHeight="1" outlineLevel="2">
      <c r="A209" s="191"/>
      <c r="B209" s="297" t="s">
        <v>12</v>
      </c>
      <c r="C209" s="17" t="s">
        <v>489</v>
      </c>
      <c r="D209" s="664" t="s">
        <v>1508</v>
      </c>
      <c r="E209" s="306" t="s">
        <v>1608</v>
      </c>
      <c r="F209" s="307"/>
      <c r="G209" s="297" t="s">
        <v>489</v>
      </c>
      <c r="H209" s="308" t="str">
        <f t="shared" si="15"/>
        <v>ST-T2V-6</v>
      </c>
      <c r="I209" s="665">
        <v>6</v>
      </c>
      <c r="J209" s="195">
        <v>1</v>
      </c>
    </row>
    <row r="210" spans="1:10" s="182" customFormat="1" ht="12" hidden="1" customHeight="1" outlineLevel="2">
      <c r="A210" s="191"/>
      <c r="B210" s="297" t="s">
        <v>12</v>
      </c>
      <c r="C210" s="17" t="s">
        <v>489</v>
      </c>
      <c r="D210" s="664" t="s">
        <v>1508</v>
      </c>
      <c r="E210" s="306" t="s">
        <v>1609</v>
      </c>
      <c r="F210" s="307"/>
      <c r="G210" s="297" t="s">
        <v>489</v>
      </c>
      <c r="H210" s="308" t="str">
        <f t="shared" si="15"/>
        <v>ST-T2V-5</v>
      </c>
      <c r="I210" s="665">
        <v>5</v>
      </c>
      <c r="J210" s="195">
        <v>1</v>
      </c>
    </row>
    <row r="211" spans="1:10" s="182" customFormat="1" ht="12" hidden="1" customHeight="1" outlineLevel="2">
      <c r="A211" s="191"/>
      <c r="B211" s="297" t="s">
        <v>12</v>
      </c>
      <c r="C211" s="17" t="s">
        <v>489</v>
      </c>
      <c r="D211" s="664" t="s">
        <v>1508</v>
      </c>
      <c r="E211" s="306" t="s">
        <v>1610</v>
      </c>
      <c r="F211" s="307"/>
      <c r="G211" s="297" t="s">
        <v>489</v>
      </c>
      <c r="H211" s="308" t="str">
        <f t="shared" ref="H211:H212" si="18">CONCATENATE(B211,"-",G211,"-",I211)</f>
        <v>ST-T2V-8</v>
      </c>
      <c r="I211" s="665">
        <v>8</v>
      </c>
      <c r="J211" s="195">
        <v>1</v>
      </c>
    </row>
    <row r="212" spans="1:10" s="182" customFormat="1" ht="12" hidden="1" customHeight="1" outlineLevel="2">
      <c r="A212" s="191"/>
      <c r="B212" s="297" t="s">
        <v>12</v>
      </c>
      <c r="C212" s="17" t="s">
        <v>489</v>
      </c>
      <c r="D212" s="664" t="s">
        <v>1508</v>
      </c>
      <c r="E212" s="306" t="s">
        <v>1611</v>
      </c>
      <c r="F212" s="307"/>
      <c r="G212" s="297" t="s">
        <v>489</v>
      </c>
      <c r="H212" s="308" t="str">
        <f t="shared" si="18"/>
        <v>ST-T2V-8</v>
      </c>
      <c r="I212" s="665">
        <v>8</v>
      </c>
      <c r="J212" s="195">
        <v>1</v>
      </c>
    </row>
    <row r="213" spans="1:10" s="190" customFormat="1" ht="12" hidden="1" customHeight="1" outlineLevel="1">
      <c r="A213" s="200"/>
      <c r="B213" s="297"/>
      <c r="C213" s="17"/>
      <c r="D213" s="664" t="s">
        <v>1612</v>
      </c>
      <c r="E213" s="306"/>
      <c r="F213" s="307"/>
      <c r="G213" s="297"/>
      <c r="H213" s="308"/>
      <c r="I213" s="661"/>
      <c r="J213" s="195"/>
    </row>
    <row r="214" spans="1:10" s="182" customFormat="1" ht="12" hidden="1" customHeight="1" outlineLevel="2">
      <c r="A214" s="191"/>
      <c r="B214" s="297" t="s">
        <v>12</v>
      </c>
      <c r="C214" s="17" t="s">
        <v>489</v>
      </c>
      <c r="D214" s="664" t="s">
        <v>1508</v>
      </c>
      <c r="E214" s="306" t="s">
        <v>1569</v>
      </c>
      <c r="F214" s="307"/>
      <c r="G214" s="297" t="s">
        <v>489</v>
      </c>
      <c r="H214" s="308" t="str">
        <f t="shared" si="15"/>
        <v>ST-T2V-2</v>
      </c>
      <c r="I214" s="665">
        <v>2</v>
      </c>
      <c r="J214" s="195">
        <v>1</v>
      </c>
    </row>
    <row r="215" spans="1:10" s="182" customFormat="1" ht="12" hidden="1" customHeight="1" outlineLevel="2">
      <c r="A215" s="191"/>
      <c r="B215" s="297" t="s">
        <v>12</v>
      </c>
      <c r="C215" s="17" t="s">
        <v>489</v>
      </c>
      <c r="D215" s="664" t="s">
        <v>1508</v>
      </c>
      <c r="E215" s="306" t="s">
        <v>1570</v>
      </c>
      <c r="F215" s="307"/>
      <c r="G215" s="297" t="s">
        <v>489</v>
      </c>
      <c r="H215" s="308" t="str">
        <f t="shared" si="15"/>
        <v>ST-T2V-5</v>
      </c>
      <c r="I215" s="665">
        <v>5</v>
      </c>
      <c r="J215" s="195">
        <v>1</v>
      </c>
    </row>
    <row r="216" spans="1:10" s="182" customFormat="1" ht="12" hidden="1" customHeight="1" outlineLevel="2">
      <c r="A216" s="191"/>
      <c r="B216" s="297" t="s">
        <v>12</v>
      </c>
      <c r="C216" s="17" t="s">
        <v>489</v>
      </c>
      <c r="D216" s="664" t="s">
        <v>1508</v>
      </c>
      <c r="E216" s="306" t="s">
        <v>1608</v>
      </c>
      <c r="F216" s="307"/>
      <c r="G216" s="297" t="s">
        <v>489</v>
      </c>
      <c r="H216" s="308" t="str">
        <f t="shared" si="15"/>
        <v>ST-T2V-6</v>
      </c>
      <c r="I216" s="665">
        <v>6</v>
      </c>
      <c r="J216" s="195">
        <v>1</v>
      </c>
    </row>
    <row r="217" spans="1:10" s="182" customFormat="1" ht="12" hidden="1" customHeight="1" outlineLevel="2">
      <c r="A217" s="191"/>
      <c r="B217" s="297" t="s">
        <v>12</v>
      </c>
      <c r="C217" s="17" t="s">
        <v>489</v>
      </c>
      <c r="D217" s="664" t="s">
        <v>1508</v>
      </c>
      <c r="E217" s="306" t="s">
        <v>1609</v>
      </c>
      <c r="F217" s="307"/>
      <c r="G217" s="297" t="s">
        <v>489</v>
      </c>
      <c r="H217" s="308" t="str">
        <f t="shared" ref="H217:H218" si="19">CONCATENATE(B217,"-",G217,"-",I217)</f>
        <v>ST-T2V-5</v>
      </c>
      <c r="I217" s="665">
        <v>5</v>
      </c>
      <c r="J217" s="195">
        <v>1</v>
      </c>
    </row>
    <row r="218" spans="1:10" s="182" customFormat="1" ht="12" hidden="1" customHeight="1" outlineLevel="2">
      <c r="A218" s="191"/>
      <c r="B218" s="297" t="s">
        <v>12</v>
      </c>
      <c r="C218" s="17" t="s">
        <v>489</v>
      </c>
      <c r="D218" s="664" t="s">
        <v>1508</v>
      </c>
      <c r="E218" s="306" t="s">
        <v>1610</v>
      </c>
      <c r="F218" s="307"/>
      <c r="G218" s="297" t="s">
        <v>489</v>
      </c>
      <c r="H218" s="308" t="str">
        <f t="shared" si="19"/>
        <v>ST-T2V-8</v>
      </c>
      <c r="I218" s="665">
        <v>8</v>
      </c>
      <c r="J218" s="195">
        <v>1</v>
      </c>
    </row>
    <row r="219" spans="1:10" s="182" customFormat="1" ht="12" hidden="1" customHeight="1" outlineLevel="2">
      <c r="A219" s="191"/>
      <c r="B219" s="297" t="s">
        <v>12</v>
      </c>
      <c r="C219" s="17" t="s">
        <v>489</v>
      </c>
      <c r="D219" s="664" t="s">
        <v>1508</v>
      </c>
      <c r="E219" s="306" t="s">
        <v>1611</v>
      </c>
      <c r="F219" s="307"/>
      <c r="G219" s="297" t="s">
        <v>489</v>
      </c>
      <c r="H219" s="308" t="str">
        <f t="shared" ref="H219" si="20">CONCATENATE(B219,"-",G219,"-",I219)</f>
        <v>ST-T2V-8</v>
      </c>
      <c r="I219" s="665">
        <v>8</v>
      </c>
      <c r="J219" s="195">
        <v>1</v>
      </c>
    </row>
    <row r="220" spans="1:10" s="182" customFormat="1" ht="12" hidden="1" customHeight="1" outlineLevel="2">
      <c r="A220" s="191"/>
      <c r="B220" s="297" t="s">
        <v>12</v>
      </c>
      <c r="C220" s="17" t="s">
        <v>489</v>
      </c>
      <c r="D220" s="664" t="s">
        <v>1508</v>
      </c>
      <c r="E220" s="306" t="s">
        <v>1573</v>
      </c>
      <c r="F220" s="307"/>
      <c r="G220" s="297" t="s">
        <v>489</v>
      </c>
      <c r="H220" s="308" t="str">
        <f t="shared" si="15"/>
        <v>ST-T2V-9</v>
      </c>
      <c r="I220" s="665">
        <v>9</v>
      </c>
      <c r="J220" s="195">
        <v>1</v>
      </c>
    </row>
    <row r="221" spans="1:10" s="190" customFormat="1" ht="12" hidden="1" customHeight="1" outlineLevel="1">
      <c r="A221" s="200"/>
      <c r="B221" s="297"/>
      <c r="C221" s="17"/>
      <c r="D221" s="664" t="s">
        <v>1613</v>
      </c>
      <c r="E221" s="306"/>
      <c r="F221" s="307"/>
      <c r="G221" s="297"/>
      <c r="H221" s="308"/>
      <c r="I221" s="661"/>
      <c r="J221" s="195"/>
    </row>
    <row r="222" spans="1:10" ht="12" hidden="1" customHeight="1" outlineLevel="2">
      <c r="A222" s="204"/>
      <c r="B222" s="297" t="s">
        <v>12</v>
      </c>
      <c r="C222" s="17" t="s">
        <v>489</v>
      </c>
      <c r="D222" s="664" t="s">
        <v>1575</v>
      </c>
      <c r="E222" s="306" t="s">
        <v>1576</v>
      </c>
      <c r="F222" s="307"/>
      <c r="G222" s="297" t="s">
        <v>489</v>
      </c>
      <c r="H222" s="308" t="str">
        <f t="shared" si="15"/>
        <v>ST-T2V-2</v>
      </c>
      <c r="I222" s="665">
        <v>2</v>
      </c>
      <c r="J222" s="195">
        <v>1</v>
      </c>
    </row>
    <row r="223" spans="1:10" ht="12" hidden="1" customHeight="1" outlineLevel="2">
      <c r="A223" s="204"/>
      <c r="B223" s="297" t="s">
        <v>12</v>
      </c>
      <c r="C223" s="17" t="s">
        <v>489</v>
      </c>
      <c r="D223" s="664" t="s">
        <v>1575</v>
      </c>
      <c r="E223" s="306" t="s">
        <v>1614</v>
      </c>
      <c r="F223" s="307"/>
      <c r="G223" s="297" t="s">
        <v>489</v>
      </c>
      <c r="H223" s="308" t="str">
        <f t="shared" si="15"/>
        <v>ST-T2V-4</v>
      </c>
      <c r="I223" s="665">
        <v>4</v>
      </c>
      <c r="J223" s="195">
        <v>1</v>
      </c>
    </row>
    <row r="224" spans="1:10" ht="12" hidden="1" customHeight="1" outlineLevel="2">
      <c r="A224" s="204"/>
      <c r="B224" s="297" t="s">
        <v>12</v>
      </c>
      <c r="C224" s="17" t="s">
        <v>489</v>
      </c>
      <c r="D224" s="664" t="s">
        <v>1575</v>
      </c>
      <c r="E224" s="306" t="s">
        <v>1615</v>
      </c>
      <c r="F224" s="307"/>
      <c r="G224" s="297" t="s">
        <v>489</v>
      </c>
      <c r="H224" s="308" t="str">
        <f t="shared" si="15"/>
        <v>ST-T2V-6</v>
      </c>
      <c r="I224" s="665">
        <v>6</v>
      </c>
      <c r="J224" s="195">
        <v>1</v>
      </c>
    </row>
    <row r="225" spans="1:10" ht="12" hidden="1" customHeight="1" outlineLevel="2">
      <c r="A225" s="204"/>
      <c r="B225" s="297" t="s">
        <v>12</v>
      </c>
      <c r="C225" s="17" t="s">
        <v>489</v>
      </c>
      <c r="D225" s="664" t="s">
        <v>1575</v>
      </c>
      <c r="E225" s="306" t="s">
        <v>1616</v>
      </c>
      <c r="F225" s="307"/>
      <c r="G225" s="297" t="s">
        <v>489</v>
      </c>
      <c r="H225" s="308" t="str">
        <f t="shared" si="15"/>
        <v>ST-T2V-5</v>
      </c>
      <c r="I225" s="665">
        <v>5</v>
      </c>
      <c r="J225" s="195">
        <v>1</v>
      </c>
    </row>
    <row r="226" spans="1:10" ht="12" hidden="1" customHeight="1" outlineLevel="2">
      <c r="A226" s="204"/>
      <c r="B226" s="297" t="s">
        <v>12</v>
      </c>
      <c r="C226" s="17" t="s">
        <v>489</v>
      </c>
      <c r="D226" s="664" t="s">
        <v>1575</v>
      </c>
      <c r="E226" s="306" t="s">
        <v>1617</v>
      </c>
      <c r="F226" s="307"/>
      <c r="G226" s="297" t="s">
        <v>489</v>
      </c>
      <c r="H226" s="308" t="str">
        <f t="shared" si="15"/>
        <v>ST-T2V-6</v>
      </c>
      <c r="I226" s="665">
        <v>6</v>
      </c>
      <c r="J226" s="195">
        <v>1</v>
      </c>
    </row>
    <row r="227" spans="1:10" ht="12" hidden="1" customHeight="1" outlineLevel="2">
      <c r="A227" s="204"/>
      <c r="B227" s="297" t="s">
        <v>12</v>
      </c>
      <c r="C227" s="17" t="s">
        <v>489</v>
      </c>
      <c r="D227" s="664" t="s">
        <v>1575</v>
      </c>
      <c r="E227" s="306" t="s">
        <v>1618</v>
      </c>
      <c r="F227" s="307"/>
      <c r="G227" s="297" t="s">
        <v>489</v>
      </c>
      <c r="H227" s="308" t="str">
        <f t="shared" si="15"/>
        <v>ST-T2V-5</v>
      </c>
      <c r="I227" s="665">
        <v>5</v>
      </c>
      <c r="J227" s="195">
        <v>1</v>
      </c>
    </row>
    <row r="228" spans="1:10" ht="12" hidden="1" customHeight="1" outlineLevel="2">
      <c r="A228" s="204"/>
      <c r="B228" s="297" t="s">
        <v>12</v>
      </c>
      <c r="C228" s="17" t="s">
        <v>489</v>
      </c>
      <c r="D228" s="664" t="s">
        <v>1575</v>
      </c>
      <c r="E228" s="306" t="s">
        <v>1619</v>
      </c>
      <c r="F228" s="307"/>
      <c r="G228" s="297" t="s">
        <v>489</v>
      </c>
      <c r="H228" s="308" t="str">
        <f t="shared" ref="H228:H229" si="21">CONCATENATE(B228,"-",G228,"-",I228)</f>
        <v>ST-T2V-8</v>
      </c>
      <c r="I228" s="665">
        <v>8</v>
      </c>
      <c r="J228" s="195">
        <v>1</v>
      </c>
    </row>
    <row r="229" spans="1:10" ht="12" hidden="1" customHeight="1" outlineLevel="2">
      <c r="A229" s="204"/>
      <c r="B229" s="297" t="s">
        <v>12</v>
      </c>
      <c r="C229" s="17" t="s">
        <v>489</v>
      </c>
      <c r="D229" s="664" t="s">
        <v>1575</v>
      </c>
      <c r="E229" s="306" t="s">
        <v>1620</v>
      </c>
      <c r="F229" s="307"/>
      <c r="G229" s="297" t="s">
        <v>489</v>
      </c>
      <c r="H229" s="308" t="str">
        <f t="shared" si="21"/>
        <v>ST-T2V-8</v>
      </c>
      <c r="I229" s="665">
        <v>8</v>
      </c>
      <c r="J229" s="195">
        <v>1</v>
      </c>
    </row>
    <row r="230" spans="1:10" s="190" customFormat="1" ht="12" hidden="1" customHeight="1" outlineLevel="1">
      <c r="A230" s="200"/>
      <c r="B230" s="297"/>
      <c r="C230" s="17"/>
      <c r="D230" s="664" t="s">
        <v>1621</v>
      </c>
      <c r="E230" s="306"/>
      <c r="F230" s="307"/>
      <c r="G230" s="297"/>
      <c r="H230" s="308"/>
      <c r="I230" s="665"/>
      <c r="J230" s="195"/>
    </row>
    <row r="231" spans="1:10" ht="12" hidden="1" customHeight="1" outlineLevel="2">
      <c r="A231" s="204"/>
      <c r="B231" s="297" t="s">
        <v>12</v>
      </c>
      <c r="C231" s="17" t="s">
        <v>489</v>
      </c>
      <c r="D231" s="664" t="s">
        <v>1575</v>
      </c>
      <c r="E231" s="306" t="s">
        <v>1577</v>
      </c>
      <c r="F231" s="307"/>
      <c r="G231" s="297" t="s">
        <v>489</v>
      </c>
      <c r="H231" s="308" t="str">
        <f t="shared" si="15"/>
        <v>ST-T2V-4</v>
      </c>
      <c r="I231" s="665">
        <v>4</v>
      </c>
      <c r="J231" s="195">
        <v>1</v>
      </c>
    </row>
    <row r="232" spans="1:10" ht="12" hidden="1" customHeight="1" outlineLevel="2">
      <c r="A232" s="204"/>
      <c r="B232" s="297" t="s">
        <v>12</v>
      </c>
      <c r="C232" s="17" t="s">
        <v>489</v>
      </c>
      <c r="D232" s="664" t="s">
        <v>1575</v>
      </c>
      <c r="E232" s="306" t="s">
        <v>1616</v>
      </c>
      <c r="F232" s="307"/>
      <c r="G232" s="297" t="s">
        <v>489</v>
      </c>
      <c r="H232" s="308" t="str">
        <f t="shared" si="15"/>
        <v>ST-T2V-5</v>
      </c>
      <c r="I232" s="665">
        <v>5</v>
      </c>
      <c r="J232" s="195">
        <v>1</v>
      </c>
    </row>
    <row r="233" spans="1:10" ht="12" hidden="1" customHeight="1" outlineLevel="2">
      <c r="A233" s="204"/>
      <c r="B233" s="297" t="s">
        <v>12</v>
      </c>
      <c r="C233" s="17" t="s">
        <v>489</v>
      </c>
      <c r="D233" s="664" t="s">
        <v>1575</v>
      </c>
      <c r="E233" s="306" t="s">
        <v>1617</v>
      </c>
      <c r="F233" s="307"/>
      <c r="G233" s="297" t="s">
        <v>489</v>
      </c>
      <c r="H233" s="308" t="str">
        <f t="shared" si="15"/>
        <v>ST-T2V-6</v>
      </c>
      <c r="I233" s="665">
        <v>6</v>
      </c>
      <c r="J233" s="195">
        <v>1</v>
      </c>
    </row>
    <row r="234" spans="1:10" ht="12" hidden="1" customHeight="1" outlineLevel="2">
      <c r="A234" s="204"/>
      <c r="B234" s="297" t="s">
        <v>12</v>
      </c>
      <c r="C234" s="17" t="s">
        <v>489</v>
      </c>
      <c r="D234" s="664" t="s">
        <v>1575</v>
      </c>
      <c r="E234" s="306" t="s">
        <v>1622</v>
      </c>
      <c r="F234" s="307"/>
      <c r="G234" s="297" t="s">
        <v>489</v>
      </c>
      <c r="H234" s="308" t="str">
        <f t="shared" ref="H234:H235" si="22">CONCATENATE(B234,"-",G234,"-",I234)</f>
        <v>ST-T2V-5</v>
      </c>
      <c r="I234" s="665">
        <v>5</v>
      </c>
      <c r="J234" s="195">
        <v>1</v>
      </c>
    </row>
    <row r="235" spans="1:10" ht="12" hidden="1" customHeight="1" outlineLevel="2">
      <c r="A235" s="204"/>
      <c r="B235" s="297" t="s">
        <v>12</v>
      </c>
      <c r="C235" s="17" t="s">
        <v>489</v>
      </c>
      <c r="D235" s="664" t="s">
        <v>1575</v>
      </c>
      <c r="E235" s="306" t="s">
        <v>1619</v>
      </c>
      <c r="F235" s="307"/>
      <c r="G235" s="297" t="s">
        <v>489</v>
      </c>
      <c r="H235" s="308" t="str">
        <f t="shared" si="22"/>
        <v>ST-T2V-8</v>
      </c>
      <c r="I235" s="665">
        <v>8</v>
      </c>
      <c r="J235" s="195">
        <v>1</v>
      </c>
    </row>
    <row r="236" spans="1:10" ht="12" hidden="1" customHeight="1" outlineLevel="2">
      <c r="A236" s="204"/>
      <c r="B236" s="297" t="s">
        <v>12</v>
      </c>
      <c r="C236" s="17" t="s">
        <v>489</v>
      </c>
      <c r="D236" s="664" t="s">
        <v>1575</v>
      </c>
      <c r="E236" s="306" t="s">
        <v>1620</v>
      </c>
      <c r="F236" s="307"/>
      <c r="G236" s="297" t="s">
        <v>489</v>
      </c>
      <c r="H236" s="308" t="str">
        <f t="shared" ref="H236" si="23">CONCATENATE(B236,"-",G236,"-",I236)</f>
        <v>ST-T2V-8</v>
      </c>
      <c r="I236" s="665">
        <v>8</v>
      </c>
      <c r="J236" s="195">
        <v>1</v>
      </c>
    </row>
    <row r="237" spans="1:10" s="190" customFormat="1" ht="12" hidden="1" customHeight="1" outlineLevel="1">
      <c r="A237" s="200"/>
      <c r="B237" s="297"/>
      <c r="C237" s="17"/>
      <c r="D237" s="664" t="s">
        <v>1581</v>
      </c>
      <c r="E237" s="306"/>
      <c r="F237" s="307"/>
      <c r="G237" s="297"/>
      <c r="H237" s="308"/>
      <c r="I237" s="661"/>
      <c r="J237" s="195"/>
    </row>
    <row r="238" spans="1:10" ht="12" hidden="1" customHeight="1" outlineLevel="2">
      <c r="A238" s="204"/>
      <c r="B238" s="297" t="s">
        <v>12</v>
      </c>
      <c r="C238" s="17" t="s">
        <v>489</v>
      </c>
      <c r="D238" s="664" t="s">
        <v>12</v>
      </c>
      <c r="E238" s="306" t="s">
        <v>1582</v>
      </c>
      <c r="F238" s="307"/>
      <c r="G238" s="297" t="s">
        <v>489</v>
      </c>
      <c r="H238" s="308" t="str">
        <f t="shared" si="15"/>
        <v>ST-T2V-1</v>
      </c>
      <c r="I238" s="665">
        <v>1</v>
      </c>
      <c r="J238" s="195">
        <v>1</v>
      </c>
    </row>
    <row r="239" spans="1:10" ht="12" hidden="1" customHeight="1" outlineLevel="2">
      <c r="A239" s="204"/>
      <c r="B239" s="297" t="s">
        <v>12</v>
      </c>
      <c r="C239" s="17" t="s">
        <v>489</v>
      </c>
      <c r="D239" s="664" t="s">
        <v>12</v>
      </c>
      <c r="E239" s="306" t="s">
        <v>1583</v>
      </c>
      <c r="F239" s="307"/>
      <c r="G239" s="297" t="s">
        <v>489</v>
      </c>
      <c r="H239" s="308" t="str">
        <f t="shared" si="15"/>
        <v>ST-T2V-8</v>
      </c>
      <c r="I239" s="665">
        <v>8</v>
      </c>
      <c r="J239" s="195">
        <v>1</v>
      </c>
    </row>
    <row r="240" spans="1:10" ht="12" hidden="1" customHeight="1" outlineLevel="2">
      <c r="A240" s="204"/>
      <c r="B240" s="297" t="s">
        <v>12</v>
      </c>
      <c r="C240" s="17" t="s">
        <v>489</v>
      </c>
      <c r="D240" s="664" t="s">
        <v>12</v>
      </c>
      <c r="E240" s="306" t="s">
        <v>1584</v>
      </c>
      <c r="F240" s="307"/>
      <c r="G240" s="297" t="s">
        <v>489</v>
      </c>
      <c r="H240" s="308" t="str">
        <f t="shared" si="15"/>
        <v>ST-T2V-8</v>
      </c>
      <c r="I240" s="665">
        <v>8</v>
      </c>
      <c r="J240" s="195">
        <v>1</v>
      </c>
    </row>
    <row r="241" spans="1:21" s="190" customFormat="1" ht="12" hidden="1" customHeight="1" outlineLevel="1">
      <c r="A241" s="200"/>
      <c r="B241" s="297"/>
      <c r="C241" s="17"/>
      <c r="D241" s="664" t="s">
        <v>1585</v>
      </c>
      <c r="E241" s="306"/>
      <c r="F241" s="307"/>
      <c r="G241" s="297"/>
      <c r="H241" s="308"/>
      <c r="I241" s="661"/>
      <c r="J241" s="195"/>
      <c r="K241" s="202"/>
      <c r="L241" s="199"/>
      <c r="M241" s="197"/>
      <c r="N241" s="197"/>
      <c r="O241" s="197"/>
      <c r="P241" s="197"/>
      <c r="Q241" s="220"/>
      <c r="R241" s="220"/>
      <c r="S241" s="197"/>
      <c r="T241" s="197"/>
      <c r="U241" s="197"/>
    </row>
    <row r="242" spans="1:21" ht="12" hidden="1" customHeight="1" outlineLevel="2">
      <c r="A242" s="204"/>
      <c r="B242" s="297" t="s">
        <v>12</v>
      </c>
      <c r="C242" s="17" t="s">
        <v>489</v>
      </c>
      <c r="D242" s="664" t="s">
        <v>1623</v>
      </c>
      <c r="E242" s="306" t="s">
        <v>1586</v>
      </c>
      <c r="F242" s="307"/>
      <c r="G242" s="297" t="s">
        <v>489</v>
      </c>
      <c r="H242" s="308" t="str">
        <f t="shared" ref="H242:H329" si="24">CONCATENATE(B242,"-",G242,"-",I242)</f>
        <v>ST-T2V-9</v>
      </c>
      <c r="I242" s="665">
        <v>9</v>
      </c>
      <c r="J242" s="195">
        <v>1</v>
      </c>
      <c r="L242" s="199"/>
      <c r="M242" s="197"/>
      <c r="N242" s="197"/>
      <c r="O242" s="197"/>
      <c r="P242" s="197"/>
      <c r="Q242" s="220"/>
      <c r="R242" s="220"/>
      <c r="S242" s="197"/>
      <c r="T242" s="197"/>
      <c r="U242" s="197"/>
    </row>
    <row r="243" spans="1:21" s="194" customFormat="1" ht="12" hidden="1" customHeight="1" outlineLevel="2">
      <c r="A243" s="207"/>
      <c r="B243" s="297" t="s">
        <v>12</v>
      </c>
      <c r="C243" s="17" t="s">
        <v>489</v>
      </c>
      <c r="D243" s="664" t="s">
        <v>1623</v>
      </c>
      <c r="E243" s="306" t="s">
        <v>1624</v>
      </c>
      <c r="F243" s="307"/>
      <c r="G243" s="297" t="s">
        <v>489</v>
      </c>
      <c r="H243" s="308" t="str">
        <f t="shared" ref="H243" si="25">CONCATENATE(B243,"-",G243,"-",I243)</f>
        <v>ST-T2V-9</v>
      </c>
      <c r="I243" s="665">
        <v>9</v>
      </c>
      <c r="J243" s="195">
        <v>1</v>
      </c>
      <c r="K243" s="378"/>
      <c r="L243" s="379"/>
      <c r="M243" s="208"/>
      <c r="N243" s="208"/>
      <c r="O243" s="208"/>
      <c r="P243" s="208"/>
      <c r="Q243" s="379"/>
      <c r="R243" s="208"/>
      <c r="S243" s="208"/>
      <c r="T243" s="208"/>
      <c r="U243" s="208"/>
    </row>
    <row r="244" spans="1:21" ht="3" customHeight="1">
      <c r="A244" s="204"/>
      <c r="B244" s="297"/>
      <c r="C244" s="17"/>
      <c r="D244" s="664"/>
      <c r="E244" s="306"/>
      <c r="F244" s="307"/>
      <c r="G244" s="297"/>
      <c r="H244" s="308"/>
      <c r="I244" s="665"/>
      <c r="L244" s="196"/>
      <c r="M244" s="197"/>
      <c r="N244" s="197"/>
      <c r="O244" s="197"/>
      <c r="P244" s="197"/>
      <c r="Q244" s="198"/>
      <c r="R244" s="198"/>
      <c r="S244" s="197"/>
      <c r="T244" s="197"/>
      <c r="U244" s="197"/>
    </row>
    <row r="245" spans="1:21" s="190" customFormat="1" ht="12" customHeight="1" collapsed="1">
      <c r="A245" s="153" t="s">
        <v>594</v>
      </c>
      <c r="B245" s="297"/>
      <c r="C245" s="17"/>
      <c r="D245" s="664"/>
      <c r="E245" s="306"/>
      <c r="F245" s="307"/>
      <c r="G245" s="297" t="s">
        <v>257</v>
      </c>
      <c r="H245" s="308" t="s">
        <v>258</v>
      </c>
      <c r="I245" s="665" t="s">
        <v>259</v>
      </c>
      <c r="J245" s="188">
        <v>52</v>
      </c>
      <c r="K245" s="188"/>
      <c r="L245" s="188">
        <f t="shared" ref="L245:P245" si="26">SUM(L246:L306)</f>
        <v>0</v>
      </c>
      <c r="M245" s="188"/>
      <c r="N245" s="188"/>
      <c r="O245" s="188">
        <f t="shared" si="26"/>
        <v>0</v>
      </c>
      <c r="P245" s="188">
        <f t="shared" si="26"/>
        <v>0</v>
      </c>
      <c r="Q245" s="219">
        <f>SUM(Q246:Q306)</f>
        <v>0</v>
      </c>
      <c r="R245" s="219">
        <f>SUM(R246:R306)</f>
        <v>0</v>
      </c>
      <c r="S245" s="219">
        <f>SUM(S246:S306)</f>
        <v>0</v>
      </c>
      <c r="T245" s="219">
        <f>SUM(T246:T306)</f>
        <v>0</v>
      </c>
      <c r="U245" s="219">
        <f>SUM(U246:U306)</f>
        <v>0</v>
      </c>
    </row>
    <row r="246" spans="1:21" s="190" customFormat="1" ht="12" hidden="1" customHeight="1" outlineLevel="1">
      <c r="A246" s="200"/>
      <c r="B246" s="297"/>
      <c r="C246" s="17"/>
      <c r="D246" s="664" t="s">
        <v>1588</v>
      </c>
      <c r="E246" s="306"/>
      <c r="F246" s="307"/>
      <c r="G246" s="297"/>
      <c r="H246" s="308"/>
      <c r="I246" s="661"/>
      <c r="J246" s="195"/>
      <c r="K246" s="202"/>
      <c r="L246" s="189"/>
      <c r="M246" s="197"/>
      <c r="N246" s="197"/>
      <c r="O246" s="197"/>
      <c r="P246" s="197"/>
      <c r="Q246" s="220"/>
      <c r="R246" s="220"/>
      <c r="S246" s="197"/>
      <c r="T246" s="197"/>
      <c r="U246" s="197"/>
    </row>
    <row r="247" spans="1:21" s="190" customFormat="1" ht="12" hidden="1" customHeight="1" outlineLevel="1">
      <c r="A247" s="200"/>
      <c r="B247" s="297" t="s">
        <v>12</v>
      </c>
      <c r="C247" s="17" t="s">
        <v>597</v>
      </c>
      <c r="D247" s="664" t="s">
        <v>1497</v>
      </c>
      <c r="E247" s="306" t="s">
        <v>1625</v>
      </c>
      <c r="F247" s="307"/>
      <c r="G247" s="297" t="s">
        <v>597</v>
      </c>
      <c r="H247" s="308" t="str">
        <f t="shared" si="24"/>
        <v>ST-T2S-1</v>
      </c>
      <c r="I247" s="665">
        <v>1</v>
      </c>
      <c r="J247" s="195">
        <v>1</v>
      </c>
      <c r="K247" s="195"/>
      <c r="L247" s="189"/>
      <c r="M247" s="197"/>
      <c r="N247" s="197"/>
      <c r="O247" s="197"/>
      <c r="P247" s="197"/>
      <c r="Q247" s="198"/>
      <c r="R247" s="198"/>
      <c r="S247" s="197"/>
      <c r="T247" s="197"/>
      <c r="U247" s="197"/>
    </row>
    <row r="248" spans="1:21" s="182" customFormat="1" ht="12" hidden="1" customHeight="1" outlineLevel="2">
      <c r="A248" s="191"/>
      <c r="B248" s="297" t="s">
        <v>12</v>
      </c>
      <c r="C248" s="17" t="s">
        <v>597</v>
      </c>
      <c r="D248" s="664" t="s">
        <v>1497</v>
      </c>
      <c r="E248" s="306" t="s">
        <v>1626</v>
      </c>
      <c r="F248" s="307"/>
      <c r="G248" s="297" t="s">
        <v>597</v>
      </c>
      <c r="H248" s="308" t="str">
        <f t="shared" si="24"/>
        <v>ST-T2S-1</v>
      </c>
      <c r="I248" s="665">
        <v>1</v>
      </c>
      <c r="J248" s="195">
        <v>1</v>
      </c>
      <c r="K248" s="195"/>
      <c r="L248" s="196"/>
      <c r="M248" s="197"/>
      <c r="N248" s="197"/>
      <c r="O248" s="197"/>
      <c r="P248" s="197"/>
      <c r="Q248" s="220"/>
      <c r="R248" s="220"/>
      <c r="S248" s="197"/>
      <c r="T248" s="197"/>
      <c r="U248" s="197"/>
    </row>
    <row r="249" spans="1:21" s="182" customFormat="1" ht="12" hidden="1" customHeight="1" outlineLevel="2">
      <c r="A249" s="191"/>
      <c r="B249" s="297" t="s">
        <v>12</v>
      </c>
      <c r="C249" s="17" t="s">
        <v>597</v>
      </c>
      <c r="D249" s="664" t="s">
        <v>1497</v>
      </c>
      <c r="E249" s="306" t="s">
        <v>1627</v>
      </c>
      <c r="F249" s="307"/>
      <c r="G249" s="297" t="s">
        <v>597</v>
      </c>
      <c r="H249" s="308" t="str">
        <f t="shared" si="24"/>
        <v>ST-T2S-1</v>
      </c>
      <c r="I249" s="665">
        <v>1</v>
      </c>
      <c r="J249" s="195">
        <v>1</v>
      </c>
      <c r="K249" s="195"/>
      <c r="L249" s="196"/>
      <c r="M249" s="197"/>
      <c r="N249" s="197"/>
      <c r="O249" s="197"/>
      <c r="P249" s="197"/>
      <c r="Q249" s="198"/>
      <c r="R249" s="198"/>
      <c r="S249" s="197"/>
      <c r="T249" s="197"/>
      <c r="U249" s="197"/>
    </row>
    <row r="250" spans="1:21" s="190" customFormat="1" ht="12" hidden="1" customHeight="1" outlineLevel="1">
      <c r="A250" s="200"/>
      <c r="B250" s="297"/>
      <c r="C250" s="17"/>
      <c r="D250" s="664" t="s">
        <v>1543</v>
      </c>
      <c r="E250" s="306"/>
      <c r="F250" s="307"/>
      <c r="G250" s="297"/>
      <c r="H250" s="308"/>
      <c r="I250" s="661"/>
      <c r="J250" s="195"/>
      <c r="K250" s="202"/>
      <c r="L250" s="189"/>
      <c r="M250" s="197"/>
      <c r="N250" s="197"/>
      <c r="O250" s="197"/>
      <c r="P250" s="197"/>
      <c r="Q250" s="220"/>
      <c r="R250" s="220"/>
      <c r="S250" s="197"/>
      <c r="T250" s="197"/>
      <c r="U250" s="197"/>
    </row>
    <row r="251" spans="1:21" s="182" customFormat="1" ht="12" hidden="1" customHeight="1" outlineLevel="2">
      <c r="A251" s="191"/>
      <c r="B251" s="297" t="s">
        <v>12</v>
      </c>
      <c r="C251" s="17" t="s">
        <v>597</v>
      </c>
      <c r="D251" s="664" t="s">
        <v>1500</v>
      </c>
      <c r="E251" s="306" t="s">
        <v>1544</v>
      </c>
      <c r="F251" s="307"/>
      <c r="G251" s="297" t="s">
        <v>597</v>
      </c>
      <c r="H251" s="308" t="str">
        <f t="shared" si="24"/>
        <v>ST-T2S-1</v>
      </c>
      <c r="I251" s="665">
        <v>1</v>
      </c>
      <c r="J251" s="195">
        <v>1</v>
      </c>
      <c r="K251" s="195"/>
      <c r="L251" s="196"/>
      <c r="M251" s="197"/>
      <c r="N251" s="197"/>
      <c r="O251" s="197"/>
      <c r="P251" s="197"/>
      <c r="Q251" s="220"/>
      <c r="R251" s="220"/>
      <c r="S251" s="197"/>
      <c r="T251" s="197"/>
      <c r="U251" s="197"/>
    </row>
    <row r="252" spans="1:21" s="182" customFormat="1" ht="12" hidden="1" customHeight="1" outlineLevel="2">
      <c r="A252" s="191"/>
      <c r="B252" s="297" t="s">
        <v>12</v>
      </c>
      <c r="C252" s="17" t="s">
        <v>597</v>
      </c>
      <c r="D252" s="664" t="s">
        <v>1500</v>
      </c>
      <c r="E252" s="306" t="s">
        <v>1628</v>
      </c>
      <c r="F252" s="307"/>
      <c r="G252" s="297" t="s">
        <v>597</v>
      </c>
      <c r="H252" s="308" t="str">
        <f t="shared" si="24"/>
        <v>ST-T2S-1</v>
      </c>
      <c r="I252" s="665">
        <v>1</v>
      </c>
      <c r="J252" s="195">
        <v>1</v>
      </c>
      <c r="K252" s="195"/>
      <c r="L252" s="196"/>
      <c r="M252" s="197"/>
      <c r="N252" s="197"/>
      <c r="O252" s="197"/>
      <c r="P252" s="197"/>
      <c r="Q252" s="198"/>
      <c r="R252" s="198"/>
      <c r="S252" s="197"/>
      <c r="T252" s="197"/>
      <c r="U252" s="197"/>
    </row>
    <row r="253" spans="1:21" s="182" customFormat="1" ht="12" hidden="1" customHeight="1" outlineLevel="2">
      <c r="A253" s="191"/>
      <c r="B253" s="297" t="s">
        <v>12</v>
      </c>
      <c r="C253" s="17" t="s">
        <v>597</v>
      </c>
      <c r="D253" s="664" t="s">
        <v>1500</v>
      </c>
      <c r="E253" s="306" t="s">
        <v>1629</v>
      </c>
      <c r="F253" s="307"/>
      <c r="G253" s="297" t="s">
        <v>597</v>
      </c>
      <c r="H253" s="308" t="str">
        <f t="shared" si="24"/>
        <v>ST-T2S-1</v>
      </c>
      <c r="I253" s="665">
        <v>1</v>
      </c>
      <c r="J253" s="195">
        <v>1</v>
      </c>
      <c r="K253" s="195"/>
      <c r="L253" s="196"/>
      <c r="M253" s="197"/>
      <c r="N253" s="197"/>
      <c r="O253" s="197"/>
      <c r="P253" s="197"/>
      <c r="Q253" s="220"/>
      <c r="R253" s="220"/>
      <c r="S253" s="197"/>
      <c r="T253" s="197"/>
      <c r="U253" s="197"/>
    </row>
    <row r="254" spans="1:21" s="182" customFormat="1" ht="12" hidden="1" customHeight="1" outlineLevel="2">
      <c r="A254" s="191"/>
      <c r="B254" s="297" t="s">
        <v>12</v>
      </c>
      <c r="C254" s="17" t="s">
        <v>597</v>
      </c>
      <c r="D254" s="664" t="s">
        <v>1500</v>
      </c>
      <c r="E254" s="306" t="s">
        <v>1630</v>
      </c>
      <c r="F254" s="307"/>
      <c r="G254" s="297" t="s">
        <v>597</v>
      </c>
      <c r="H254" s="308" t="str">
        <f>CONCATENATE(B254,"-",G254,"-",I254)</f>
        <v>ST-T2S-1</v>
      </c>
      <c r="I254" s="665">
        <v>1</v>
      </c>
      <c r="J254" s="195">
        <v>1</v>
      </c>
      <c r="K254" s="195"/>
      <c r="M254" s="197"/>
      <c r="N254" s="197"/>
      <c r="O254" s="197"/>
      <c r="P254" s="197"/>
      <c r="Q254" s="224"/>
      <c r="R254" s="224"/>
      <c r="S254" s="197"/>
      <c r="T254" s="197"/>
      <c r="U254" s="197"/>
    </row>
    <row r="255" spans="1:21" s="182" customFormat="1" ht="12" hidden="1" customHeight="1" outlineLevel="2">
      <c r="A255" s="191"/>
      <c r="B255" s="297" t="s">
        <v>12</v>
      </c>
      <c r="C255" s="17" t="s">
        <v>597</v>
      </c>
      <c r="D255" s="664" t="s">
        <v>1500</v>
      </c>
      <c r="E255" s="306" t="s">
        <v>1631</v>
      </c>
      <c r="F255" s="307"/>
      <c r="G255" s="297" t="s">
        <v>597</v>
      </c>
      <c r="H255" s="308" t="str">
        <f t="shared" si="24"/>
        <v>ST-T2S-5</v>
      </c>
      <c r="I255" s="665">
        <v>5</v>
      </c>
      <c r="J255" s="195">
        <v>1</v>
      </c>
      <c r="K255" s="195"/>
      <c r="M255" s="197"/>
      <c r="N255" s="197"/>
      <c r="O255" s="197"/>
      <c r="P255" s="197"/>
      <c r="Q255" s="224"/>
      <c r="R255" s="224"/>
      <c r="S255" s="197"/>
      <c r="T255" s="197"/>
      <c r="U255" s="197"/>
    </row>
    <row r="256" spans="1:21" s="190" customFormat="1" ht="12" hidden="1" customHeight="1" outlineLevel="1">
      <c r="A256" s="200"/>
      <c r="B256" s="297"/>
      <c r="C256" s="17"/>
      <c r="D256" s="664" t="s">
        <v>1632</v>
      </c>
      <c r="E256" s="306"/>
      <c r="F256" s="307"/>
      <c r="G256" s="297"/>
      <c r="H256" s="308"/>
      <c r="I256" s="661"/>
      <c r="J256" s="195"/>
      <c r="K256" s="202"/>
      <c r="L256" s="189"/>
      <c r="M256" s="197"/>
      <c r="N256" s="197"/>
      <c r="O256" s="197"/>
      <c r="P256" s="197"/>
      <c r="Q256" s="220"/>
      <c r="R256" s="220"/>
      <c r="S256" s="197"/>
      <c r="T256" s="197"/>
      <c r="U256" s="197"/>
    </row>
    <row r="257" spans="1:10 16383:16383" s="182" customFormat="1" ht="12" hidden="1" customHeight="1" outlineLevel="2">
      <c r="A257" s="191"/>
      <c r="B257" s="297" t="s">
        <v>12</v>
      </c>
      <c r="C257" s="17" t="s">
        <v>597</v>
      </c>
      <c r="D257" s="664" t="s">
        <v>1502</v>
      </c>
      <c r="E257" s="306" t="s">
        <v>1633</v>
      </c>
      <c r="F257" s="307"/>
      <c r="G257" s="297" t="s">
        <v>597</v>
      </c>
      <c r="H257" s="308" t="str">
        <f t="shared" si="24"/>
        <v>ST-T2S-1</v>
      </c>
      <c r="I257" s="665">
        <v>1</v>
      </c>
      <c r="J257" s="195">
        <v>1</v>
      </c>
    </row>
    <row r="258" spans="1:10 16383:16383" s="182" customFormat="1" ht="12" hidden="1" customHeight="1" outlineLevel="2">
      <c r="A258" s="191"/>
      <c r="B258" s="297" t="s">
        <v>12</v>
      </c>
      <c r="C258" s="17" t="s">
        <v>597</v>
      </c>
      <c r="D258" s="664" t="s">
        <v>1502</v>
      </c>
      <c r="E258" s="306" t="s">
        <v>1634</v>
      </c>
      <c r="F258" s="307"/>
      <c r="G258" s="297" t="s">
        <v>597</v>
      </c>
      <c r="H258" s="308" t="str">
        <f t="shared" si="24"/>
        <v>ST-T2S-1</v>
      </c>
      <c r="I258" s="665">
        <v>1</v>
      </c>
      <c r="J258" s="195">
        <v>1</v>
      </c>
    </row>
    <row r="259" spans="1:10 16383:16383" s="182" customFormat="1" ht="12" hidden="1" customHeight="1" outlineLevel="2">
      <c r="A259" s="191"/>
      <c r="B259" s="297" t="s">
        <v>12</v>
      </c>
      <c r="C259" s="17" t="s">
        <v>597</v>
      </c>
      <c r="D259" s="664" t="s">
        <v>1502</v>
      </c>
      <c r="E259" s="306" t="s">
        <v>1635</v>
      </c>
      <c r="F259" s="307"/>
      <c r="G259" s="297" t="s">
        <v>597</v>
      </c>
      <c r="H259" s="308" t="str">
        <f t="shared" si="24"/>
        <v>ST-T2S-1</v>
      </c>
      <c r="I259" s="665">
        <v>1</v>
      </c>
      <c r="J259" s="195">
        <v>1</v>
      </c>
    </row>
    <row r="260" spans="1:10 16383:16383" s="190" customFormat="1" ht="12" hidden="1" customHeight="1" outlineLevel="1">
      <c r="A260" s="200"/>
      <c r="B260" s="297"/>
      <c r="C260" s="17"/>
      <c r="D260" s="664" t="s">
        <v>1550</v>
      </c>
      <c r="E260" s="306"/>
      <c r="F260" s="307"/>
      <c r="G260" s="297"/>
      <c r="H260" s="308"/>
      <c r="I260" s="661"/>
      <c r="J260" s="195"/>
    </row>
    <row r="261" spans="1:10 16383:16383" s="182" customFormat="1" ht="12" hidden="1" customHeight="1" outlineLevel="2">
      <c r="A261" s="191"/>
      <c r="B261" s="297" t="s">
        <v>12</v>
      </c>
      <c r="C261" s="17" t="s">
        <v>597</v>
      </c>
      <c r="D261" s="664" t="s">
        <v>1504</v>
      </c>
      <c r="E261" s="306" t="s">
        <v>1636</v>
      </c>
      <c r="F261" s="307"/>
      <c r="G261" s="297" t="s">
        <v>597</v>
      </c>
      <c r="H261" s="308" t="str">
        <f t="shared" si="24"/>
        <v>ST-T2S-4</v>
      </c>
      <c r="I261" s="665">
        <v>4</v>
      </c>
      <c r="J261" s="195">
        <v>1</v>
      </c>
    </row>
    <row r="262" spans="1:10 16383:16383" s="182" customFormat="1" ht="12" hidden="1" customHeight="1" outlineLevel="2">
      <c r="A262" s="191"/>
      <c r="B262" s="297" t="s">
        <v>12</v>
      </c>
      <c r="C262" s="17" t="s">
        <v>597</v>
      </c>
      <c r="D262" s="664" t="s">
        <v>1504</v>
      </c>
      <c r="E262" s="306" t="s">
        <v>1637</v>
      </c>
      <c r="F262" s="307"/>
      <c r="G262" s="297" t="s">
        <v>597</v>
      </c>
      <c r="H262" s="308" t="str">
        <f t="shared" ref="H262:H268" si="27">CONCATENATE(B262,"-",G262,"-",I262)</f>
        <v>ST-T2S-4</v>
      </c>
      <c r="I262" s="665">
        <v>4</v>
      </c>
      <c r="J262" s="195">
        <v>1</v>
      </c>
    </row>
    <row r="263" spans="1:10 16383:16383" s="182" customFormat="1" ht="12" hidden="1" customHeight="1" outlineLevel="2">
      <c r="A263" s="191"/>
      <c r="B263" s="297" t="s">
        <v>12</v>
      </c>
      <c r="C263" s="17" t="s">
        <v>597</v>
      </c>
      <c r="D263" s="664" t="s">
        <v>1504</v>
      </c>
      <c r="E263" s="306" t="s">
        <v>1638</v>
      </c>
      <c r="F263" s="307"/>
      <c r="G263" s="297" t="s">
        <v>597</v>
      </c>
      <c r="H263" s="308" t="str">
        <f t="shared" si="27"/>
        <v>ST-T2S-5</v>
      </c>
      <c r="I263" s="665">
        <v>5</v>
      </c>
      <c r="J263" s="195">
        <v>1</v>
      </c>
    </row>
    <row r="264" spans="1:10 16383:16383" s="182" customFormat="1" ht="12" hidden="1" customHeight="1" outlineLevel="2">
      <c r="A264" s="191"/>
      <c r="B264" s="297" t="s">
        <v>12</v>
      </c>
      <c r="C264" s="17" t="s">
        <v>597</v>
      </c>
      <c r="D264" s="664" t="s">
        <v>1504</v>
      </c>
      <c r="E264" s="306" t="s">
        <v>1639</v>
      </c>
      <c r="F264" s="307"/>
      <c r="G264" s="297" t="s">
        <v>597</v>
      </c>
      <c r="H264" s="308" t="str">
        <f t="shared" si="27"/>
        <v>ST-T2S-5</v>
      </c>
      <c r="I264" s="665">
        <v>5</v>
      </c>
      <c r="J264" s="195">
        <v>1</v>
      </c>
    </row>
    <row r="265" spans="1:10 16383:16383" s="182" customFormat="1" ht="12" hidden="1" customHeight="1" outlineLevel="2">
      <c r="A265" s="191"/>
      <c r="B265" s="297" t="s">
        <v>12</v>
      </c>
      <c r="C265" s="17" t="s">
        <v>597</v>
      </c>
      <c r="D265" s="664" t="s">
        <v>1504</v>
      </c>
      <c r="E265" s="306" t="s">
        <v>1640</v>
      </c>
      <c r="F265" s="307"/>
      <c r="G265" s="297" t="s">
        <v>597</v>
      </c>
      <c r="H265" s="308" t="str">
        <f t="shared" si="27"/>
        <v>ST-T2S-5</v>
      </c>
      <c r="I265" s="665">
        <v>5</v>
      </c>
      <c r="J265" s="195">
        <v>1</v>
      </c>
    </row>
    <row r="266" spans="1:10 16383:16383" s="182" customFormat="1" ht="12" hidden="1" customHeight="1" outlineLevel="2">
      <c r="A266" s="191"/>
      <c r="B266" s="297" t="s">
        <v>12</v>
      </c>
      <c r="C266" s="17" t="s">
        <v>597</v>
      </c>
      <c r="D266" s="664" t="s">
        <v>1504</v>
      </c>
      <c r="E266" s="306" t="s">
        <v>1641</v>
      </c>
      <c r="F266" s="307"/>
      <c r="G266" s="297" t="s">
        <v>597</v>
      </c>
      <c r="H266" s="308" t="str">
        <f t="shared" si="27"/>
        <v>ST-T2S-5</v>
      </c>
      <c r="I266" s="665">
        <v>5</v>
      </c>
      <c r="J266" s="195">
        <v>1</v>
      </c>
    </row>
    <row r="267" spans="1:10 16383:16383" s="182" customFormat="1" ht="12" hidden="1" customHeight="1" outlineLevel="2">
      <c r="A267" s="191"/>
      <c r="B267" s="297" t="s">
        <v>12</v>
      </c>
      <c r="C267" s="17" t="s">
        <v>597</v>
      </c>
      <c r="D267" s="664" t="s">
        <v>1504</v>
      </c>
      <c r="E267" s="306" t="s">
        <v>1642</v>
      </c>
      <c r="F267" s="307"/>
      <c r="G267" s="297" t="s">
        <v>597</v>
      </c>
      <c r="H267" s="308" t="str">
        <f t="shared" si="27"/>
        <v>ST-T2S-7</v>
      </c>
      <c r="I267" s="665">
        <v>7</v>
      </c>
      <c r="J267" s="195">
        <v>1</v>
      </c>
      <c r="XFC267" s="203">
        <v>1</v>
      </c>
    </row>
    <row r="268" spans="1:10 16383:16383" s="182" customFormat="1" ht="12" hidden="1" customHeight="1" outlineLevel="2">
      <c r="A268" s="191"/>
      <c r="B268" s="297" t="s">
        <v>12</v>
      </c>
      <c r="C268" s="17" t="s">
        <v>597</v>
      </c>
      <c r="D268" s="664" t="s">
        <v>1504</v>
      </c>
      <c r="E268" s="306" t="s">
        <v>1643</v>
      </c>
      <c r="F268" s="307"/>
      <c r="G268" s="297" t="s">
        <v>597</v>
      </c>
      <c r="H268" s="308" t="str">
        <f t="shared" si="27"/>
        <v>ST-T2S-8</v>
      </c>
      <c r="I268" s="665">
        <v>8</v>
      </c>
      <c r="J268" s="195">
        <v>1</v>
      </c>
    </row>
    <row r="269" spans="1:10 16383:16383" s="190" customFormat="1" ht="12" hidden="1" customHeight="1" outlineLevel="1">
      <c r="A269" s="200"/>
      <c r="B269" s="297"/>
      <c r="C269" s="17"/>
      <c r="D269" s="664" t="s">
        <v>1557</v>
      </c>
      <c r="E269" s="306"/>
      <c r="F269" s="307"/>
      <c r="G269" s="297"/>
      <c r="H269" s="308"/>
      <c r="I269" s="661"/>
      <c r="J269" s="195"/>
    </row>
    <row r="270" spans="1:10 16383:16383" s="182" customFormat="1" ht="12" hidden="1" customHeight="1" outlineLevel="2">
      <c r="A270" s="191"/>
      <c r="B270" s="297" t="s">
        <v>12</v>
      </c>
      <c r="C270" s="17" t="s">
        <v>597</v>
      </c>
      <c r="D270" s="664" t="s">
        <v>1506</v>
      </c>
      <c r="E270" s="306" t="s">
        <v>1558</v>
      </c>
      <c r="F270" s="307"/>
      <c r="G270" s="297" t="s">
        <v>597</v>
      </c>
      <c r="H270" s="308" t="str">
        <f t="shared" si="24"/>
        <v>ST-T2S-2</v>
      </c>
      <c r="I270" s="665">
        <v>2</v>
      </c>
      <c r="J270" s="195">
        <v>1</v>
      </c>
    </row>
    <row r="271" spans="1:10 16383:16383" s="182" customFormat="1" ht="12" hidden="1" customHeight="1" outlineLevel="2">
      <c r="A271" s="191"/>
      <c r="B271" s="297" t="s">
        <v>12</v>
      </c>
      <c r="C271" s="17" t="s">
        <v>597</v>
      </c>
      <c r="D271" s="664" t="s">
        <v>1506</v>
      </c>
      <c r="E271" s="306" t="s">
        <v>1559</v>
      </c>
      <c r="F271" s="307"/>
      <c r="G271" s="297" t="s">
        <v>597</v>
      </c>
      <c r="H271" s="308" t="str">
        <f t="shared" si="24"/>
        <v>ST-T2S-4</v>
      </c>
      <c r="I271" s="665">
        <v>4</v>
      </c>
      <c r="J271" s="195">
        <v>1</v>
      </c>
    </row>
    <row r="272" spans="1:10 16383:16383" s="182" customFormat="1" ht="12" hidden="1" customHeight="1" outlineLevel="2">
      <c r="A272" s="191"/>
      <c r="B272" s="297" t="s">
        <v>12</v>
      </c>
      <c r="C272" s="17" t="s">
        <v>597</v>
      </c>
      <c r="D272" s="664" t="s">
        <v>1506</v>
      </c>
      <c r="E272" s="306" t="s">
        <v>1644</v>
      </c>
      <c r="F272" s="307"/>
      <c r="G272" s="297" t="s">
        <v>597</v>
      </c>
      <c r="H272" s="308" t="str">
        <f t="shared" si="24"/>
        <v>ST-T2S-4</v>
      </c>
      <c r="I272" s="665">
        <v>4</v>
      </c>
      <c r="J272" s="195">
        <v>1</v>
      </c>
    </row>
    <row r="273" spans="1:10" s="182" customFormat="1" ht="12" hidden="1" customHeight="1" outlineLevel="2">
      <c r="A273" s="191"/>
      <c r="B273" s="297" t="s">
        <v>12</v>
      </c>
      <c r="C273" s="17" t="s">
        <v>597</v>
      </c>
      <c r="D273" s="664" t="s">
        <v>1506</v>
      </c>
      <c r="E273" s="306" t="s">
        <v>1645</v>
      </c>
      <c r="F273" s="307"/>
      <c r="G273" s="297" t="s">
        <v>597</v>
      </c>
      <c r="H273" s="308" t="str">
        <f t="shared" ref="H273:H278" si="28">CONCATENATE(B273,"-",G273,"-",I273)</f>
        <v>ST-T2S-5</v>
      </c>
      <c r="I273" s="665">
        <v>5</v>
      </c>
      <c r="J273" s="195">
        <v>1</v>
      </c>
    </row>
    <row r="274" spans="1:10" s="182" customFormat="1" ht="12" hidden="1" customHeight="1" outlineLevel="2">
      <c r="A274" s="191"/>
      <c r="B274" s="297" t="s">
        <v>12</v>
      </c>
      <c r="C274" s="17" t="s">
        <v>597</v>
      </c>
      <c r="D274" s="664" t="s">
        <v>1506</v>
      </c>
      <c r="E274" s="306" t="s">
        <v>1646</v>
      </c>
      <c r="F274" s="307"/>
      <c r="G274" s="297" t="s">
        <v>597</v>
      </c>
      <c r="H274" s="308" t="str">
        <f t="shared" si="28"/>
        <v>ST-T2S-5</v>
      </c>
      <c r="I274" s="665">
        <v>5</v>
      </c>
      <c r="J274" s="195">
        <v>1</v>
      </c>
    </row>
    <row r="275" spans="1:10" s="182" customFormat="1" ht="12" hidden="1" customHeight="1" outlineLevel="2">
      <c r="A275" s="191"/>
      <c r="B275" s="297" t="s">
        <v>12</v>
      </c>
      <c r="C275" s="17" t="s">
        <v>597</v>
      </c>
      <c r="D275" s="664" t="s">
        <v>1506</v>
      </c>
      <c r="E275" s="306" t="s">
        <v>1647</v>
      </c>
      <c r="F275" s="307"/>
      <c r="G275" s="297" t="s">
        <v>597</v>
      </c>
      <c r="H275" s="308" t="str">
        <f t="shared" si="28"/>
        <v>ST-T2S-5</v>
      </c>
      <c r="I275" s="665">
        <v>5</v>
      </c>
      <c r="J275" s="195">
        <v>1</v>
      </c>
    </row>
    <row r="276" spans="1:10" s="182" customFormat="1" ht="12" hidden="1" customHeight="1" outlineLevel="2">
      <c r="A276" s="191"/>
      <c r="B276" s="297" t="s">
        <v>12</v>
      </c>
      <c r="C276" s="17" t="s">
        <v>597</v>
      </c>
      <c r="D276" s="664" t="s">
        <v>1506</v>
      </c>
      <c r="E276" s="306" t="s">
        <v>1648</v>
      </c>
      <c r="F276" s="307"/>
      <c r="G276" s="297" t="s">
        <v>597</v>
      </c>
      <c r="H276" s="308" t="str">
        <f t="shared" si="28"/>
        <v>ST-T2S-5</v>
      </c>
      <c r="I276" s="665">
        <v>5</v>
      </c>
      <c r="J276" s="195">
        <v>1</v>
      </c>
    </row>
    <row r="277" spans="1:10" s="182" customFormat="1" ht="12" hidden="1" customHeight="1" outlineLevel="2">
      <c r="A277" s="191"/>
      <c r="B277" s="297" t="s">
        <v>12</v>
      </c>
      <c r="C277" s="17" t="s">
        <v>597</v>
      </c>
      <c r="D277" s="664" t="s">
        <v>1506</v>
      </c>
      <c r="E277" s="306" t="s">
        <v>1649</v>
      </c>
      <c r="F277" s="307"/>
      <c r="G277" s="297" t="s">
        <v>597</v>
      </c>
      <c r="H277" s="308" t="str">
        <f t="shared" si="28"/>
        <v>ST-T2S-7</v>
      </c>
      <c r="I277" s="665">
        <v>7</v>
      </c>
      <c r="J277" s="195">
        <v>1</v>
      </c>
    </row>
    <row r="278" spans="1:10" s="182" customFormat="1" ht="12" hidden="1" customHeight="1" outlineLevel="2">
      <c r="A278" s="191"/>
      <c r="B278" s="297" t="s">
        <v>12</v>
      </c>
      <c r="C278" s="17" t="s">
        <v>597</v>
      </c>
      <c r="D278" s="664" t="s">
        <v>1506</v>
      </c>
      <c r="E278" s="306" t="s">
        <v>1650</v>
      </c>
      <c r="F278" s="307"/>
      <c r="G278" s="297" t="s">
        <v>597</v>
      </c>
      <c r="H278" s="308" t="str">
        <f t="shared" si="28"/>
        <v>ST-T2S-8</v>
      </c>
      <c r="I278" s="665">
        <v>8</v>
      </c>
      <c r="J278" s="195">
        <v>1</v>
      </c>
    </row>
    <row r="279" spans="1:10" s="190" customFormat="1" ht="12" hidden="1" customHeight="1" outlineLevel="1">
      <c r="A279" s="200"/>
      <c r="B279" s="297"/>
      <c r="C279" s="17"/>
      <c r="D279" s="664" t="s">
        <v>1651</v>
      </c>
      <c r="E279" s="306"/>
      <c r="F279" s="307"/>
      <c r="G279" s="297"/>
      <c r="H279" s="308"/>
      <c r="I279" s="661"/>
      <c r="J279" s="195"/>
    </row>
    <row r="280" spans="1:10" s="182" customFormat="1" ht="12" hidden="1" customHeight="1" outlineLevel="2">
      <c r="A280" s="191"/>
      <c r="B280" s="297" t="s">
        <v>12</v>
      </c>
      <c r="C280" s="17" t="s">
        <v>597</v>
      </c>
      <c r="D280" s="664" t="s">
        <v>1508</v>
      </c>
      <c r="E280" s="306" t="s">
        <v>1567</v>
      </c>
      <c r="F280" s="307"/>
      <c r="G280" s="297" t="s">
        <v>597</v>
      </c>
      <c r="H280" s="308" t="str">
        <f t="shared" si="24"/>
        <v>ST-T2S-2</v>
      </c>
      <c r="I280" s="665">
        <v>2</v>
      </c>
      <c r="J280" s="195">
        <v>1</v>
      </c>
    </row>
    <row r="281" spans="1:10" s="182" customFormat="1" ht="12" hidden="1" customHeight="1" outlineLevel="2">
      <c r="A281" s="191"/>
      <c r="B281" s="297" t="s">
        <v>12</v>
      </c>
      <c r="C281" s="17" t="s">
        <v>597</v>
      </c>
      <c r="D281" s="664" t="s">
        <v>1508</v>
      </c>
      <c r="E281" s="306" t="s">
        <v>1568</v>
      </c>
      <c r="F281" s="307"/>
      <c r="G281" s="297" t="s">
        <v>597</v>
      </c>
      <c r="H281" s="308" t="str">
        <f t="shared" si="24"/>
        <v>ST-T2S-4</v>
      </c>
      <c r="I281" s="665">
        <v>4</v>
      </c>
      <c r="J281" s="195">
        <v>1</v>
      </c>
    </row>
    <row r="282" spans="1:10" s="182" customFormat="1" ht="12" hidden="1" customHeight="1" outlineLevel="2">
      <c r="A282" s="191"/>
      <c r="B282" s="297" t="s">
        <v>12</v>
      </c>
      <c r="C282" s="17" t="s">
        <v>597</v>
      </c>
      <c r="D282" s="664" t="s">
        <v>1508</v>
      </c>
      <c r="E282" s="306" t="s">
        <v>1652</v>
      </c>
      <c r="F282" s="307"/>
      <c r="G282" s="297" t="s">
        <v>597</v>
      </c>
      <c r="H282" s="308" t="str">
        <f t="shared" si="24"/>
        <v>ST-T2S-4</v>
      </c>
      <c r="I282" s="665">
        <v>4</v>
      </c>
      <c r="J282" s="195">
        <v>1</v>
      </c>
    </row>
    <row r="283" spans="1:10" s="182" customFormat="1" ht="12" hidden="1" customHeight="1" outlineLevel="2">
      <c r="A283" s="191"/>
      <c r="B283" s="297" t="s">
        <v>12</v>
      </c>
      <c r="C283" s="17" t="s">
        <v>597</v>
      </c>
      <c r="D283" s="664" t="s">
        <v>1508</v>
      </c>
      <c r="E283" s="306" t="s">
        <v>1653</v>
      </c>
      <c r="F283" s="307"/>
      <c r="G283" s="297" t="s">
        <v>597</v>
      </c>
      <c r="H283" s="308" t="str">
        <f t="shared" ref="H283:H288" si="29">CONCATENATE(B283,"-",G283,"-",I283)</f>
        <v>ST-T2S-5</v>
      </c>
      <c r="I283" s="665">
        <v>5</v>
      </c>
      <c r="J283" s="195">
        <v>1</v>
      </c>
    </row>
    <row r="284" spans="1:10" s="182" customFormat="1" ht="12" hidden="1" customHeight="1" outlineLevel="2">
      <c r="A284" s="191"/>
      <c r="B284" s="297" t="s">
        <v>12</v>
      </c>
      <c r="C284" s="17" t="s">
        <v>597</v>
      </c>
      <c r="D284" s="664" t="s">
        <v>1508</v>
      </c>
      <c r="E284" s="306" t="s">
        <v>1654</v>
      </c>
      <c r="F284" s="307"/>
      <c r="G284" s="297" t="s">
        <v>597</v>
      </c>
      <c r="H284" s="308" t="str">
        <f t="shared" si="29"/>
        <v>ST-T2S-5</v>
      </c>
      <c r="I284" s="665">
        <v>5</v>
      </c>
      <c r="J284" s="195">
        <v>1</v>
      </c>
    </row>
    <row r="285" spans="1:10" s="182" customFormat="1" ht="12" hidden="1" customHeight="1" outlineLevel="2">
      <c r="A285" s="191"/>
      <c r="B285" s="297" t="s">
        <v>12</v>
      </c>
      <c r="C285" s="17" t="s">
        <v>597</v>
      </c>
      <c r="D285" s="664" t="s">
        <v>1508</v>
      </c>
      <c r="E285" s="306" t="s">
        <v>1655</v>
      </c>
      <c r="F285" s="307"/>
      <c r="G285" s="297" t="s">
        <v>597</v>
      </c>
      <c r="H285" s="308" t="str">
        <f t="shared" si="29"/>
        <v>ST-T2S-5</v>
      </c>
      <c r="I285" s="665">
        <v>5</v>
      </c>
      <c r="J285" s="195">
        <v>1</v>
      </c>
    </row>
    <row r="286" spans="1:10" s="182" customFormat="1" ht="12" hidden="1" customHeight="1" outlineLevel="2">
      <c r="A286" s="191"/>
      <c r="B286" s="297" t="s">
        <v>12</v>
      </c>
      <c r="C286" s="17" t="s">
        <v>597</v>
      </c>
      <c r="D286" s="664" t="s">
        <v>1508</v>
      </c>
      <c r="E286" s="306" t="s">
        <v>1656</v>
      </c>
      <c r="F286" s="307"/>
      <c r="G286" s="297" t="s">
        <v>597</v>
      </c>
      <c r="H286" s="308" t="str">
        <f t="shared" si="29"/>
        <v>ST-T2S-5</v>
      </c>
      <c r="I286" s="665">
        <v>5</v>
      </c>
      <c r="J286" s="195">
        <v>1</v>
      </c>
    </row>
    <row r="287" spans="1:10" s="182" customFormat="1" ht="12" hidden="1" customHeight="1" outlineLevel="2">
      <c r="A287" s="191"/>
      <c r="B287" s="297" t="s">
        <v>12</v>
      </c>
      <c r="C287" s="17" t="s">
        <v>597</v>
      </c>
      <c r="D287" s="664" t="s">
        <v>1508</v>
      </c>
      <c r="E287" s="306" t="s">
        <v>1657</v>
      </c>
      <c r="F287" s="307"/>
      <c r="G287" s="297" t="s">
        <v>597</v>
      </c>
      <c r="H287" s="308" t="str">
        <f t="shared" si="29"/>
        <v>ST-T2S-7</v>
      </c>
      <c r="I287" s="665">
        <v>7</v>
      </c>
      <c r="J287" s="195">
        <v>1</v>
      </c>
    </row>
    <row r="288" spans="1:10" s="182" customFormat="1" ht="12" hidden="1" customHeight="1" outlineLevel="2">
      <c r="A288" s="191"/>
      <c r="B288" s="297" t="s">
        <v>12</v>
      </c>
      <c r="C288" s="17" t="s">
        <v>597</v>
      </c>
      <c r="D288" s="664" t="s">
        <v>1508</v>
      </c>
      <c r="E288" s="306" t="s">
        <v>1658</v>
      </c>
      <c r="F288" s="307"/>
      <c r="G288" s="297" t="s">
        <v>597</v>
      </c>
      <c r="H288" s="308" t="str">
        <f t="shared" si="29"/>
        <v>ST-T2S-8</v>
      </c>
      <c r="I288" s="665">
        <v>8</v>
      </c>
      <c r="J288" s="195">
        <v>1</v>
      </c>
    </row>
    <row r="289" spans="1:10" s="190" customFormat="1" ht="12" hidden="1" customHeight="1" outlineLevel="1">
      <c r="A289" s="200"/>
      <c r="B289" s="297"/>
      <c r="C289" s="17"/>
      <c r="D289" s="664" t="s">
        <v>1659</v>
      </c>
      <c r="E289" s="306"/>
      <c r="F289" s="307"/>
      <c r="G289" s="297"/>
      <c r="H289" s="308"/>
      <c r="I289" s="661"/>
      <c r="J289" s="195"/>
    </row>
    <row r="290" spans="1:10" ht="12" hidden="1" customHeight="1" outlineLevel="2">
      <c r="A290" s="204"/>
      <c r="B290" s="297" t="s">
        <v>12</v>
      </c>
      <c r="C290" s="17" t="s">
        <v>597</v>
      </c>
      <c r="D290" s="664" t="s">
        <v>1575</v>
      </c>
      <c r="E290" s="306" t="s">
        <v>1660</v>
      </c>
      <c r="F290" s="307"/>
      <c r="G290" s="297" t="s">
        <v>597</v>
      </c>
      <c r="H290" s="308" t="str">
        <f t="shared" si="24"/>
        <v>ST-T2S-4</v>
      </c>
      <c r="I290" s="665">
        <v>4</v>
      </c>
      <c r="J290" s="195">
        <v>1</v>
      </c>
    </row>
    <row r="291" spans="1:10" ht="12" hidden="1" customHeight="1" outlineLevel="2">
      <c r="A291" s="204"/>
      <c r="B291" s="297" t="s">
        <v>12</v>
      </c>
      <c r="C291" s="17" t="s">
        <v>597</v>
      </c>
      <c r="D291" s="664" t="s">
        <v>1575</v>
      </c>
      <c r="E291" s="306" t="s">
        <v>1661</v>
      </c>
      <c r="F291" s="307"/>
      <c r="G291" s="297" t="s">
        <v>597</v>
      </c>
      <c r="H291" s="308" t="str">
        <f t="shared" ref="H291:H297" si="30">CONCATENATE(B291,"-",G291,"-",I291)</f>
        <v>ST-T2S-4</v>
      </c>
      <c r="I291" s="665">
        <v>4</v>
      </c>
      <c r="J291" s="195">
        <v>1</v>
      </c>
    </row>
    <row r="292" spans="1:10" ht="12" hidden="1" customHeight="1" outlineLevel="2">
      <c r="A292" s="204"/>
      <c r="B292" s="297" t="s">
        <v>12</v>
      </c>
      <c r="C292" s="17" t="s">
        <v>597</v>
      </c>
      <c r="D292" s="664" t="s">
        <v>1575</v>
      </c>
      <c r="E292" s="306" t="s">
        <v>1662</v>
      </c>
      <c r="F292" s="307"/>
      <c r="G292" s="297" t="s">
        <v>597</v>
      </c>
      <c r="H292" s="308" t="str">
        <f t="shared" si="30"/>
        <v>ST-T2S-5</v>
      </c>
      <c r="I292" s="665">
        <v>5</v>
      </c>
      <c r="J292" s="195">
        <v>1</v>
      </c>
    </row>
    <row r="293" spans="1:10" ht="12" hidden="1" customHeight="1" outlineLevel="2">
      <c r="A293" s="204"/>
      <c r="B293" s="297" t="s">
        <v>12</v>
      </c>
      <c r="C293" s="17" t="s">
        <v>597</v>
      </c>
      <c r="D293" s="664" t="s">
        <v>1575</v>
      </c>
      <c r="E293" s="306" t="s">
        <v>1663</v>
      </c>
      <c r="F293" s="307"/>
      <c r="G293" s="297" t="s">
        <v>597</v>
      </c>
      <c r="H293" s="308" t="str">
        <f t="shared" si="30"/>
        <v>ST-T2S-5</v>
      </c>
      <c r="I293" s="665">
        <v>5</v>
      </c>
      <c r="J293" s="195">
        <v>1</v>
      </c>
    </row>
    <row r="294" spans="1:10" ht="12" hidden="1" customHeight="1" outlineLevel="2">
      <c r="A294" s="204"/>
      <c r="B294" s="297" t="s">
        <v>12</v>
      </c>
      <c r="C294" s="17" t="s">
        <v>597</v>
      </c>
      <c r="D294" s="664" t="s">
        <v>1575</v>
      </c>
      <c r="E294" s="306" t="s">
        <v>1664</v>
      </c>
      <c r="F294" s="307"/>
      <c r="G294" s="297" t="s">
        <v>597</v>
      </c>
      <c r="H294" s="308" t="str">
        <f t="shared" si="30"/>
        <v>ST-T2S-5</v>
      </c>
      <c r="I294" s="665">
        <v>5</v>
      </c>
      <c r="J294" s="195">
        <v>1</v>
      </c>
    </row>
    <row r="295" spans="1:10" ht="12" hidden="1" customHeight="1" outlineLevel="2">
      <c r="A295" s="204"/>
      <c r="B295" s="297" t="s">
        <v>12</v>
      </c>
      <c r="C295" s="17" t="s">
        <v>597</v>
      </c>
      <c r="D295" s="664" t="s">
        <v>1575</v>
      </c>
      <c r="E295" s="306" t="s">
        <v>1665</v>
      </c>
      <c r="F295" s="307"/>
      <c r="G295" s="297" t="s">
        <v>597</v>
      </c>
      <c r="H295" s="308" t="str">
        <f t="shared" si="30"/>
        <v>ST-T2S-5</v>
      </c>
      <c r="I295" s="665">
        <v>5</v>
      </c>
      <c r="J295" s="195">
        <v>1</v>
      </c>
    </row>
    <row r="296" spans="1:10" ht="12" hidden="1" customHeight="1" outlineLevel="2">
      <c r="A296" s="204"/>
      <c r="B296" s="297" t="s">
        <v>12</v>
      </c>
      <c r="C296" s="17" t="s">
        <v>597</v>
      </c>
      <c r="D296" s="664" t="s">
        <v>1575</v>
      </c>
      <c r="E296" s="306" t="s">
        <v>1666</v>
      </c>
      <c r="F296" s="307"/>
      <c r="G296" s="297" t="s">
        <v>597</v>
      </c>
      <c r="H296" s="308" t="str">
        <f t="shared" si="30"/>
        <v>ST-T2S-7</v>
      </c>
      <c r="I296" s="665">
        <v>7</v>
      </c>
      <c r="J296" s="195">
        <v>1</v>
      </c>
    </row>
    <row r="297" spans="1:10" ht="12" hidden="1" customHeight="1" outlineLevel="2">
      <c r="A297" s="204"/>
      <c r="B297" s="297" t="s">
        <v>12</v>
      </c>
      <c r="C297" s="17" t="s">
        <v>597</v>
      </c>
      <c r="D297" s="664" t="s">
        <v>1575</v>
      </c>
      <c r="E297" s="306" t="s">
        <v>1667</v>
      </c>
      <c r="F297" s="307"/>
      <c r="G297" s="297" t="s">
        <v>597</v>
      </c>
      <c r="H297" s="308" t="str">
        <f t="shared" si="30"/>
        <v>ST-T2S-8</v>
      </c>
      <c r="I297" s="665">
        <v>8</v>
      </c>
      <c r="J297" s="195">
        <v>1</v>
      </c>
    </row>
    <row r="298" spans="1:10" s="190" customFormat="1" ht="12" hidden="1" customHeight="1" outlineLevel="1">
      <c r="A298" s="200"/>
      <c r="B298" s="297"/>
      <c r="C298" s="17"/>
      <c r="D298" s="664" t="s">
        <v>1668</v>
      </c>
      <c r="E298" s="306"/>
      <c r="F298" s="307"/>
      <c r="G298" s="297"/>
      <c r="H298" s="308"/>
      <c r="I298" s="661"/>
      <c r="J298" s="195"/>
    </row>
    <row r="299" spans="1:10" ht="12" hidden="1" customHeight="1" outlineLevel="2">
      <c r="A299" s="204"/>
      <c r="B299" s="297" t="s">
        <v>12</v>
      </c>
      <c r="C299" s="17" t="s">
        <v>597</v>
      </c>
      <c r="D299" s="664" t="s">
        <v>12</v>
      </c>
      <c r="E299" s="306" t="s">
        <v>1669</v>
      </c>
      <c r="F299" s="307"/>
      <c r="G299" s="297" t="s">
        <v>597</v>
      </c>
      <c r="H299" s="308" t="str">
        <f t="shared" si="24"/>
        <v>ST-T2S-1</v>
      </c>
      <c r="I299" s="665">
        <v>1</v>
      </c>
      <c r="J299" s="195">
        <v>1</v>
      </c>
    </row>
    <row r="300" spans="1:10" ht="12" hidden="1" customHeight="1" outlineLevel="2">
      <c r="A300" s="204"/>
      <c r="B300" s="297" t="s">
        <v>12</v>
      </c>
      <c r="C300" s="17" t="s">
        <v>597</v>
      </c>
      <c r="D300" s="664" t="s">
        <v>12</v>
      </c>
      <c r="E300" s="306" t="s">
        <v>1670</v>
      </c>
      <c r="F300" s="307"/>
      <c r="G300" s="297" t="s">
        <v>597</v>
      </c>
      <c r="H300" s="308" t="str">
        <f t="shared" si="24"/>
        <v>ST-T2S-1</v>
      </c>
      <c r="I300" s="665">
        <v>1</v>
      </c>
      <c r="J300" s="195">
        <v>1</v>
      </c>
    </row>
    <row r="301" spans="1:10" ht="12" hidden="1" customHeight="1" outlineLevel="2">
      <c r="A301" s="204"/>
      <c r="B301" s="297" t="s">
        <v>12</v>
      </c>
      <c r="C301" s="17" t="s">
        <v>597</v>
      </c>
      <c r="D301" s="664" t="s">
        <v>12</v>
      </c>
      <c r="E301" s="306" t="s">
        <v>1671</v>
      </c>
      <c r="F301" s="307"/>
      <c r="G301" s="297" t="s">
        <v>597</v>
      </c>
      <c r="H301" s="308" t="str">
        <f t="shared" si="24"/>
        <v>ST-T2S-1</v>
      </c>
      <c r="I301" s="665">
        <v>1</v>
      </c>
      <c r="J301" s="195">
        <v>1</v>
      </c>
    </row>
    <row r="302" spans="1:10" ht="12" hidden="1" customHeight="1" outlineLevel="2">
      <c r="A302" s="204"/>
      <c r="B302" s="297" t="s">
        <v>12</v>
      </c>
      <c r="C302" s="17" t="s">
        <v>597</v>
      </c>
      <c r="D302" s="664" t="s">
        <v>12</v>
      </c>
      <c r="E302" s="306" t="s">
        <v>1672</v>
      </c>
      <c r="F302" s="307"/>
      <c r="G302" s="297" t="s">
        <v>597</v>
      </c>
      <c r="H302" s="308" t="str">
        <f t="shared" si="24"/>
        <v>ST-T2S-1</v>
      </c>
      <c r="I302" s="665">
        <v>1</v>
      </c>
      <c r="J302" s="195">
        <v>1</v>
      </c>
    </row>
    <row r="303" spans="1:10" ht="12" hidden="1" customHeight="1" outlineLevel="2">
      <c r="A303" s="204"/>
      <c r="B303" s="297" t="s">
        <v>12</v>
      </c>
      <c r="C303" s="17" t="s">
        <v>597</v>
      </c>
      <c r="D303" s="664" t="s">
        <v>12</v>
      </c>
      <c r="E303" s="306" t="s">
        <v>1673</v>
      </c>
      <c r="F303" s="307"/>
      <c r="G303" s="297" t="s">
        <v>597</v>
      </c>
      <c r="H303" s="308" t="str">
        <f t="shared" si="24"/>
        <v>ST-T2S-1</v>
      </c>
      <c r="I303" s="665">
        <v>1</v>
      </c>
      <c r="J303" s="195">
        <v>1</v>
      </c>
    </row>
    <row r="304" spans="1:10" s="190" customFormat="1" ht="12" hidden="1" customHeight="1" outlineLevel="1">
      <c r="A304" s="200"/>
      <c r="B304" s="297"/>
      <c r="C304" s="17"/>
      <c r="D304" s="664" t="s">
        <v>1674</v>
      </c>
      <c r="E304" s="306"/>
      <c r="F304" s="307"/>
      <c r="G304" s="297"/>
      <c r="H304" s="308"/>
      <c r="I304" s="661"/>
      <c r="J304" s="195"/>
    </row>
    <row r="305" spans="1:21" ht="12" hidden="1" customHeight="1" outlineLevel="2">
      <c r="A305" s="204"/>
      <c r="B305" s="297" t="s">
        <v>12</v>
      </c>
      <c r="C305" s="17" t="s">
        <v>597</v>
      </c>
      <c r="D305" s="664" t="s">
        <v>1623</v>
      </c>
      <c r="E305" s="306" t="s">
        <v>1675</v>
      </c>
      <c r="F305" s="307"/>
      <c r="G305" s="297" t="s">
        <v>597</v>
      </c>
      <c r="H305" s="308" t="str">
        <f t="shared" si="24"/>
        <v>ST-T2S-8</v>
      </c>
      <c r="I305" s="665">
        <v>8</v>
      </c>
      <c r="J305" s="195">
        <v>1</v>
      </c>
      <c r="L305" s="205"/>
      <c r="M305" s="209"/>
      <c r="N305" s="193"/>
      <c r="O305" s="197"/>
      <c r="P305" s="209"/>
      <c r="Q305" s="221"/>
      <c r="R305" s="221"/>
      <c r="S305" s="221"/>
      <c r="T305" s="197"/>
      <c r="U305" s="197"/>
    </row>
    <row r="306" spans="1:21" ht="12" hidden="1" customHeight="1" outlineLevel="2">
      <c r="A306" s="204"/>
      <c r="B306" s="297" t="s">
        <v>12</v>
      </c>
      <c r="C306" s="17" t="s">
        <v>597</v>
      </c>
      <c r="D306" s="664" t="s">
        <v>1623</v>
      </c>
      <c r="E306" s="306" t="s">
        <v>1676</v>
      </c>
      <c r="F306" s="307"/>
      <c r="G306" s="297" t="s">
        <v>597</v>
      </c>
      <c r="H306" s="308" t="str">
        <f t="shared" si="24"/>
        <v>ST-T2S-8</v>
      </c>
      <c r="I306" s="665">
        <v>8</v>
      </c>
      <c r="J306" s="195">
        <v>1</v>
      </c>
      <c r="L306" s="205"/>
      <c r="M306" s="209"/>
      <c r="N306" s="193"/>
      <c r="O306" s="197"/>
      <c r="P306" s="209"/>
      <c r="Q306" s="221"/>
      <c r="R306" s="221"/>
      <c r="S306" s="221"/>
      <c r="T306" s="197"/>
      <c r="U306" s="197"/>
    </row>
    <row r="307" spans="1:21" ht="12" hidden="1" customHeight="1" outlineLevel="2">
      <c r="A307" s="204"/>
      <c r="B307" s="297" t="s">
        <v>12</v>
      </c>
      <c r="C307" s="17" t="s">
        <v>597</v>
      </c>
      <c r="D307" s="664" t="s">
        <v>1677</v>
      </c>
      <c r="E307" s="306" t="s">
        <v>1678</v>
      </c>
      <c r="F307" s="307"/>
      <c r="G307" s="297" t="s">
        <v>597</v>
      </c>
      <c r="H307" s="308" t="str">
        <f t="shared" ref="H307" si="31">CONCATENATE(B307,"-",G307,"-",I307)</f>
        <v>ST-T2S-5</v>
      </c>
      <c r="I307" s="665">
        <v>5</v>
      </c>
      <c r="J307" s="195">
        <v>1</v>
      </c>
      <c r="L307" s="195"/>
      <c r="M307" s="195"/>
      <c r="N307" s="193"/>
      <c r="O307" s="197"/>
      <c r="P307" s="209"/>
      <c r="Q307" s="195"/>
      <c r="R307" s="195"/>
      <c r="S307" s="221"/>
      <c r="T307" s="197"/>
      <c r="U307" s="197"/>
    </row>
    <row r="308" spans="1:21" ht="3" customHeight="1">
      <c r="A308" s="204"/>
      <c r="B308" s="297"/>
      <c r="C308" s="17"/>
      <c r="D308" s="664"/>
      <c r="E308" s="306"/>
      <c r="F308" s="307"/>
      <c r="G308" s="297"/>
      <c r="H308" s="308"/>
      <c r="I308" s="665"/>
      <c r="L308" s="196"/>
      <c r="M308" s="197"/>
      <c r="N308" s="197"/>
      <c r="O308" s="197"/>
      <c r="P308" s="197"/>
      <c r="Q308" s="198"/>
      <c r="R308" s="198"/>
      <c r="S308" s="197"/>
      <c r="T308" s="197"/>
      <c r="U308" s="197"/>
    </row>
    <row r="309" spans="1:21" s="190" customFormat="1" ht="12" customHeight="1" collapsed="1">
      <c r="A309" s="153" t="s">
        <v>685</v>
      </c>
      <c r="B309" s="297"/>
      <c r="C309" s="17"/>
      <c r="D309" s="664"/>
      <c r="E309" s="306"/>
      <c r="F309" s="307"/>
      <c r="G309" s="297" t="s">
        <v>257</v>
      </c>
      <c r="H309" s="308" t="s">
        <v>258</v>
      </c>
      <c r="I309" s="665" t="s">
        <v>259</v>
      </c>
      <c r="J309" s="188">
        <v>84</v>
      </c>
      <c r="K309" s="188"/>
      <c r="L309" s="188">
        <f t="shared" ref="L309:P309" si="32">SUM(L310:L405)</f>
        <v>0</v>
      </c>
      <c r="M309" s="188"/>
      <c r="N309" s="188"/>
      <c r="O309" s="188">
        <f t="shared" si="32"/>
        <v>0</v>
      </c>
      <c r="P309" s="188">
        <f t="shared" si="32"/>
        <v>0</v>
      </c>
      <c r="Q309" s="219">
        <f>SUM(Q310:Q405)</f>
        <v>0</v>
      </c>
      <c r="R309" s="219">
        <f>SUM(R310:R405)</f>
        <v>0</v>
      </c>
      <c r="S309" s="219">
        <f>SUM(S310:S405)</f>
        <v>0</v>
      </c>
      <c r="T309" s="219">
        <f>SUM(T310:T405)</f>
        <v>0</v>
      </c>
      <c r="U309" s="219">
        <f>SUM(U310:U405)</f>
        <v>0</v>
      </c>
    </row>
    <row r="310" spans="1:21" s="190" customFormat="1" ht="12" hidden="1" customHeight="1" outlineLevel="1">
      <c r="A310" s="200"/>
      <c r="B310" s="297"/>
      <c r="C310" s="17"/>
      <c r="D310" s="664" t="s">
        <v>1679</v>
      </c>
      <c r="E310" s="306"/>
      <c r="F310" s="307"/>
      <c r="G310" s="297"/>
      <c r="H310" s="308"/>
      <c r="I310" s="661"/>
      <c r="J310" s="195"/>
      <c r="K310" s="202"/>
      <c r="L310" s="189"/>
      <c r="M310" s="197"/>
      <c r="N310" s="197"/>
      <c r="O310" s="197"/>
      <c r="P310" s="197"/>
      <c r="Q310" s="220"/>
      <c r="R310" s="220"/>
      <c r="S310" s="197"/>
      <c r="T310" s="197"/>
      <c r="U310" s="197"/>
    </row>
    <row r="311" spans="1:21" s="182" customFormat="1" ht="12" hidden="1" customHeight="1" outlineLevel="2">
      <c r="A311" s="191"/>
      <c r="B311" s="297" t="s">
        <v>12</v>
      </c>
      <c r="C311" s="17" t="s">
        <v>687</v>
      </c>
      <c r="D311" s="664" t="s">
        <v>1497</v>
      </c>
      <c r="E311" s="306" t="s">
        <v>1680</v>
      </c>
      <c r="F311" s="307"/>
      <c r="G311" s="297" t="s">
        <v>550</v>
      </c>
      <c r="H311" s="308" t="str">
        <f t="shared" si="24"/>
        <v>ST-TXV-1</v>
      </c>
      <c r="I311" s="665">
        <v>1</v>
      </c>
      <c r="J311" s="195">
        <v>1</v>
      </c>
      <c r="K311" s="195"/>
      <c r="L311" s="196"/>
      <c r="M311" s="197"/>
      <c r="N311" s="197"/>
      <c r="O311" s="197"/>
      <c r="P311" s="197"/>
      <c r="Q311" s="220"/>
      <c r="R311" s="220"/>
      <c r="S311" s="197"/>
      <c r="T311" s="197"/>
      <c r="U311" s="197"/>
    </row>
    <row r="312" spans="1:21" s="182" customFormat="1" ht="12" hidden="1" customHeight="1" outlineLevel="2">
      <c r="A312" s="191"/>
      <c r="B312" s="297" t="s">
        <v>12</v>
      </c>
      <c r="C312" s="17" t="s">
        <v>687</v>
      </c>
      <c r="D312" s="664" t="s">
        <v>1497</v>
      </c>
      <c r="E312" s="306" t="s">
        <v>1534</v>
      </c>
      <c r="F312" s="307"/>
      <c r="G312" s="297" t="s">
        <v>550</v>
      </c>
      <c r="H312" s="308" t="str">
        <f t="shared" si="24"/>
        <v>ST-TXV-1</v>
      </c>
      <c r="I312" s="665">
        <v>1</v>
      </c>
      <c r="J312" s="195">
        <v>1</v>
      </c>
      <c r="K312" s="195"/>
      <c r="L312" s="196"/>
      <c r="M312" s="197"/>
      <c r="N312" s="197"/>
      <c r="O312" s="197"/>
      <c r="P312" s="197"/>
      <c r="Q312" s="220"/>
      <c r="R312" s="220"/>
      <c r="S312" s="197"/>
      <c r="T312" s="197"/>
      <c r="U312" s="197"/>
    </row>
    <row r="313" spans="1:21" s="182" customFormat="1" ht="12" hidden="1" customHeight="1" outlineLevel="2">
      <c r="A313" s="191"/>
      <c r="B313" s="297" t="s">
        <v>12</v>
      </c>
      <c r="C313" s="17" t="s">
        <v>687</v>
      </c>
      <c r="D313" s="664" t="s">
        <v>1497</v>
      </c>
      <c r="E313" s="306" t="s">
        <v>1681</v>
      </c>
      <c r="F313" s="307"/>
      <c r="G313" s="297" t="s">
        <v>550</v>
      </c>
      <c r="H313" s="308" t="str">
        <f t="shared" si="24"/>
        <v>ST-TXV-1</v>
      </c>
      <c r="I313" s="665">
        <v>1</v>
      </c>
      <c r="J313" s="195">
        <v>1</v>
      </c>
      <c r="K313" s="195"/>
      <c r="L313" s="196"/>
      <c r="M313" s="197"/>
      <c r="N313" s="197"/>
      <c r="O313" s="197"/>
      <c r="P313" s="197"/>
      <c r="Q313" s="220"/>
      <c r="R313" s="220"/>
      <c r="S313" s="197"/>
      <c r="T313" s="197"/>
      <c r="U313" s="197"/>
    </row>
    <row r="314" spans="1:21" s="182" customFormat="1" ht="12" hidden="1" customHeight="1" outlineLevel="2">
      <c r="A314" s="191"/>
      <c r="B314" s="297" t="s">
        <v>12</v>
      </c>
      <c r="C314" s="17" t="s">
        <v>687</v>
      </c>
      <c r="D314" s="664" t="s">
        <v>1497</v>
      </c>
      <c r="E314" s="306" t="s">
        <v>1682</v>
      </c>
      <c r="F314" s="307"/>
      <c r="G314" s="297" t="s">
        <v>550</v>
      </c>
      <c r="H314" s="308" t="str">
        <f t="shared" si="24"/>
        <v>ST-TXV-1</v>
      </c>
      <c r="I314" s="665">
        <v>1</v>
      </c>
      <c r="J314" s="195">
        <v>1</v>
      </c>
      <c r="K314" s="195"/>
      <c r="L314" s="196"/>
      <c r="M314" s="197"/>
      <c r="N314" s="197"/>
      <c r="O314" s="197"/>
      <c r="P314" s="197"/>
      <c r="Q314" s="220"/>
      <c r="R314" s="220"/>
      <c r="S314" s="197"/>
      <c r="T314" s="197"/>
      <c r="U314" s="197"/>
    </row>
    <row r="315" spans="1:21" s="182" customFormat="1" ht="12" hidden="1" customHeight="1" outlineLevel="2">
      <c r="A315" s="191"/>
      <c r="B315" s="297" t="s">
        <v>12</v>
      </c>
      <c r="C315" s="17" t="s">
        <v>687</v>
      </c>
      <c r="D315" s="664" t="s">
        <v>1497</v>
      </c>
      <c r="E315" s="306" t="s">
        <v>1537</v>
      </c>
      <c r="F315" s="307"/>
      <c r="G315" s="297" t="s">
        <v>550</v>
      </c>
      <c r="H315" s="308" t="str">
        <f t="shared" si="24"/>
        <v>ST-TXV-1</v>
      </c>
      <c r="I315" s="665">
        <v>1</v>
      </c>
      <c r="J315" s="195">
        <v>1</v>
      </c>
      <c r="K315" s="195"/>
      <c r="L315" s="196"/>
      <c r="M315" s="197"/>
      <c r="N315" s="197"/>
      <c r="O315" s="197"/>
      <c r="P315" s="197"/>
      <c r="Q315" s="220"/>
      <c r="R315" s="220"/>
      <c r="S315" s="197"/>
      <c r="T315" s="197"/>
      <c r="U315" s="197"/>
    </row>
    <row r="316" spans="1:21" s="182" customFormat="1" ht="12" hidden="1" customHeight="1" outlineLevel="2">
      <c r="A316" s="191"/>
      <c r="B316" s="297" t="s">
        <v>12</v>
      </c>
      <c r="C316" s="17" t="s">
        <v>687</v>
      </c>
      <c r="D316" s="664" t="s">
        <v>1497</v>
      </c>
      <c r="E316" s="306" t="s">
        <v>1538</v>
      </c>
      <c r="F316" s="307"/>
      <c r="G316" s="297" t="s">
        <v>550</v>
      </c>
      <c r="H316" s="308" t="str">
        <f t="shared" si="24"/>
        <v>ST-TXV-1</v>
      </c>
      <c r="I316" s="665">
        <v>1</v>
      </c>
      <c r="J316" s="195">
        <v>1</v>
      </c>
      <c r="K316" s="195"/>
      <c r="L316" s="196"/>
      <c r="M316" s="197"/>
      <c r="N316" s="197"/>
      <c r="O316" s="197"/>
      <c r="P316" s="197"/>
      <c r="Q316" s="198"/>
      <c r="R316" s="198"/>
      <c r="S316" s="197"/>
      <c r="T316" s="197"/>
      <c r="U316" s="197"/>
    </row>
    <row r="317" spans="1:21" s="190" customFormat="1" ht="12" hidden="1" customHeight="1" outlineLevel="1">
      <c r="A317" s="200"/>
      <c r="B317" s="297"/>
      <c r="C317" s="17"/>
      <c r="D317" s="664" t="s">
        <v>1683</v>
      </c>
      <c r="E317" s="306"/>
      <c r="F317" s="307"/>
      <c r="G317" s="297"/>
      <c r="H317" s="308"/>
      <c r="I317" s="665"/>
      <c r="J317" s="195"/>
      <c r="K317" s="202"/>
      <c r="L317" s="189"/>
      <c r="M317" s="197"/>
      <c r="N317" s="197"/>
      <c r="O317" s="197"/>
      <c r="P317" s="197"/>
      <c r="Q317" s="198"/>
      <c r="R317" s="198"/>
      <c r="S317" s="197"/>
      <c r="T317" s="197"/>
      <c r="U317" s="197"/>
    </row>
    <row r="318" spans="1:21" s="182" customFormat="1" ht="12" hidden="1" customHeight="1" outlineLevel="2">
      <c r="A318" s="191"/>
      <c r="B318" s="297" t="s">
        <v>12</v>
      </c>
      <c r="C318" s="17" t="s">
        <v>687</v>
      </c>
      <c r="D318" s="664" t="s">
        <v>1500</v>
      </c>
      <c r="E318" s="306" t="s">
        <v>1544</v>
      </c>
      <c r="F318" s="307"/>
      <c r="G318" s="297" t="s">
        <v>550</v>
      </c>
      <c r="H318" s="308" t="str">
        <f t="shared" si="24"/>
        <v>ST-TXV-1</v>
      </c>
      <c r="I318" s="665">
        <v>1</v>
      </c>
      <c r="J318" s="195">
        <v>1</v>
      </c>
      <c r="K318" s="195"/>
      <c r="L318" s="196"/>
      <c r="M318" s="197"/>
      <c r="N318" s="197"/>
      <c r="O318" s="197"/>
      <c r="P318" s="197"/>
      <c r="Q318" s="198"/>
      <c r="R318" s="198"/>
      <c r="S318" s="197"/>
      <c r="T318" s="197"/>
      <c r="U318" s="197"/>
    </row>
    <row r="319" spans="1:21" s="182" customFormat="1" ht="12" hidden="1" customHeight="1" outlineLevel="2">
      <c r="A319" s="191"/>
      <c r="B319" s="297" t="s">
        <v>12</v>
      </c>
      <c r="C319" s="17" t="s">
        <v>687</v>
      </c>
      <c r="D319" s="664" t="s">
        <v>1500</v>
      </c>
      <c r="E319" s="306" t="s">
        <v>1545</v>
      </c>
      <c r="F319" s="307"/>
      <c r="G319" s="297" t="s">
        <v>550</v>
      </c>
      <c r="H319" s="308" t="str">
        <f t="shared" si="24"/>
        <v>ST-TXV-1</v>
      </c>
      <c r="I319" s="665">
        <v>1</v>
      </c>
      <c r="J319" s="195">
        <v>1</v>
      </c>
      <c r="K319" s="195"/>
      <c r="L319" s="196"/>
      <c r="M319" s="197"/>
      <c r="N319" s="197"/>
      <c r="O319" s="197"/>
      <c r="P319" s="197"/>
      <c r="Q319" s="198"/>
      <c r="R319" s="198"/>
      <c r="S319" s="197"/>
      <c r="T319" s="197"/>
      <c r="U319" s="197"/>
    </row>
    <row r="320" spans="1:21" s="182" customFormat="1" ht="12" hidden="1" customHeight="1" outlineLevel="2">
      <c r="A320" s="191"/>
      <c r="B320" s="297" t="s">
        <v>12</v>
      </c>
      <c r="C320" s="17" t="s">
        <v>687</v>
      </c>
      <c r="D320" s="664" t="s">
        <v>1500</v>
      </c>
      <c r="E320" s="306" t="s">
        <v>1546</v>
      </c>
      <c r="F320" s="307"/>
      <c r="G320" s="297" t="s">
        <v>550</v>
      </c>
      <c r="H320" s="308" t="str">
        <f t="shared" si="24"/>
        <v>ST-TXV-1</v>
      </c>
      <c r="I320" s="665">
        <v>1</v>
      </c>
      <c r="J320" s="195">
        <v>1</v>
      </c>
      <c r="K320" s="195"/>
      <c r="L320" s="196"/>
      <c r="M320" s="197"/>
      <c r="N320" s="197"/>
      <c r="O320" s="197"/>
      <c r="P320" s="197"/>
      <c r="Q320" s="198"/>
      <c r="R320" s="198"/>
      <c r="S320" s="197"/>
      <c r="T320" s="197"/>
      <c r="U320" s="197"/>
    </row>
    <row r="321" spans="1:10" s="182" customFormat="1" ht="12" hidden="1" customHeight="1" outlineLevel="2">
      <c r="A321" s="191"/>
      <c r="B321" s="297" t="s">
        <v>12</v>
      </c>
      <c r="C321" s="17" t="s">
        <v>687</v>
      </c>
      <c r="D321" s="664" t="s">
        <v>1500</v>
      </c>
      <c r="E321" s="306" t="s">
        <v>1547</v>
      </c>
      <c r="F321" s="307"/>
      <c r="G321" s="297" t="s">
        <v>550</v>
      </c>
      <c r="H321" s="308" t="str">
        <f t="shared" si="24"/>
        <v>ST-TXV-4</v>
      </c>
      <c r="I321" s="665">
        <v>4</v>
      </c>
      <c r="J321" s="195">
        <v>1</v>
      </c>
    </row>
    <row r="322" spans="1:10" s="182" customFormat="1" ht="12" hidden="1" customHeight="1" outlineLevel="2">
      <c r="A322" s="191"/>
      <c r="B322" s="297" t="s">
        <v>12</v>
      </c>
      <c r="C322" s="17" t="s">
        <v>687</v>
      </c>
      <c r="D322" s="664" t="s">
        <v>1500</v>
      </c>
      <c r="E322" s="306" t="s">
        <v>1548</v>
      </c>
      <c r="F322" s="307"/>
      <c r="G322" s="297" t="s">
        <v>550</v>
      </c>
      <c r="H322" s="308" t="str">
        <f t="shared" si="24"/>
        <v>ST-TXV-6</v>
      </c>
      <c r="I322" s="665">
        <v>6</v>
      </c>
      <c r="J322" s="195">
        <v>1</v>
      </c>
    </row>
    <row r="323" spans="1:10" s="182" customFormat="1" ht="12" hidden="1" customHeight="1" outlineLevel="2">
      <c r="A323" s="191"/>
      <c r="B323" s="297" t="s">
        <v>12</v>
      </c>
      <c r="C323" s="17" t="s">
        <v>687</v>
      </c>
      <c r="D323" s="664" t="s">
        <v>1500</v>
      </c>
      <c r="E323" s="306" t="s">
        <v>1684</v>
      </c>
      <c r="F323" s="307"/>
      <c r="G323" s="297" t="s">
        <v>550</v>
      </c>
      <c r="H323" s="308" t="str">
        <f t="shared" si="24"/>
        <v>ST-TXV-5</v>
      </c>
      <c r="I323" s="665">
        <v>5</v>
      </c>
      <c r="J323" s="195">
        <v>1</v>
      </c>
    </row>
    <row r="324" spans="1:10" s="182" customFormat="1" ht="12" hidden="1" customHeight="1" outlineLevel="2">
      <c r="A324" s="191"/>
      <c r="B324" s="297" t="s">
        <v>12</v>
      </c>
      <c r="C324" s="17" t="s">
        <v>687</v>
      </c>
      <c r="D324" s="664" t="s">
        <v>1500</v>
      </c>
      <c r="E324" s="306" t="s">
        <v>1685</v>
      </c>
      <c r="F324" s="307"/>
      <c r="G324" s="297" t="s">
        <v>550</v>
      </c>
      <c r="H324" s="308" t="str">
        <f t="shared" ref="H324:H325" si="33">CONCATENATE(B324,"-",G324,"-",I324)</f>
        <v>ST-TXV-6</v>
      </c>
      <c r="I324" s="665">
        <v>6</v>
      </c>
      <c r="J324" s="195">
        <v>1</v>
      </c>
    </row>
    <row r="325" spans="1:10" s="182" customFormat="1" ht="12" hidden="1" customHeight="1" outlineLevel="2">
      <c r="A325" s="191"/>
      <c r="B325" s="297" t="s">
        <v>12</v>
      </c>
      <c r="C325" s="17" t="s">
        <v>687</v>
      </c>
      <c r="D325" s="664" t="s">
        <v>1500</v>
      </c>
      <c r="E325" s="306" t="s">
        <v>1591</v>
      </c>
      <c r="F325" s="307"/>
      <c r="G325" s="297" t="s">
        <v>550</v>
      </c>
      <c r="H325" s="308" t="str">
        <f t="shared" si="33"/>
        <v>ST-TXV-8</v>
      </c>
      <c r="I325" s="665">
        <v>8</v>
      </c>
      <c r="J325" s="195">
        <v>1</v>
      </c>
    </row>
    <row r="326" spans="1:10" s="190" customFormat="1" ht="12" hidden="1" customHeight="1" outlineLevel="1">
      <c r="A326" s="200"/>
      <c r="B326" s="297"/>
      <c r="C326" s="17"/>
      <c r="D326" s="664" t="s">
        <v>1686</v>
      </c>
      <c r="E326" s="306"/>
      <c r="F326" s="307"/>
      <c r="G326" s="297"/>
      <c r="H326" s="308"/>
      <c r="I326" s="661"/>
      <c r="J326" s="195"/>
    </row>
    <row r="327" spans="1:10" s="182" customFormat="1" ht="12" hidden="1" customHeight="1" outlineLevel="2">
      <c r="A327" s="191"/>
      <c r="B327" s="297" t="s">
        <v>12</v>
      </c>
      <c r="C327" s="17" t="s">
        <v>687</v>
      </c>
      <c r="D327" s="664" t="s">
        <v>1500</v>
      </c>
      <c r="E327" s="306" t="s">
        <v>1546</v>
      </c>
      <c r="F327" s="307"/>
      <c r="G327" s="297" t="s">
        <v>550</v>
      </c>
      <c r="H327" s="308" t="str">
        <f t="shared" si="24"/>
        <v>ST-TXV-1</v>
      </c>
      <c r="I327" s="665">
        <v>1</v>
      </c>
      <c r="J327" s="195">
        <v>1</v>
      </c>
    </row>
    <row r="328" spans="1:10" s="182" customFormat="1" ht="12" hidden="1" customHeight="1" outlineLevel="2">
      <c r="A328" s="191"/>
      <c r="B328" s="297" t="s">
        <v>12</v>
      </c>
      <c r="C328" s="17" t="s">
        <v>687</v>
      </c>
      <c r="D328" s="664" t="s">
        <v>1500</v>
      </c>
      <c r="E328" s="306" t="s">
        <v>1547</v>
      </c>
      <c r="F328" s="307"/>
      <c r="G328" s="297" t="s">
        <v>550</v>
      </c>
      <c r="H328" s="308" t="str">
        <f t="shared" si="24"/>
        <v>ST-TXV-5</v>
      </c>
      <c r="I328" s="665">
        <v>5</v>
      </c>
      <c r="J328" s="195">
        <v>1</v>
      </c>
    </row>
    <row r="329" spans="1:10" s="182" customFormat="1" ht="12" hidden="1" customHeight="1" outlineLevel="2">
      <c r="A329" s="191"/>
      <c r="B329" s="297" t="s">
        <v>12</v>
      </c>
      <c r="C329" s="17" t="s">
        <v>687</v>
      </c>
      <c r="D329" s="664" t="s">
        <v>1500</v>
      </c>
      <c r="E329" s="306" t="s">
        <v>1548</v>
      </c>
      <c r="F329" s="307"/>
      <c r="G329" s="297" t="s">
        <v>550</v>
      </c>
      <c r="H329" s="308" t="str">
        <f t="shared" si="24"/>
        <v>ST-TXV-6</v>
      </c>
      <c r="I329" s="665">
        <v>6</v>
      </c>
      <c r="J329" s="195">
        <v>1</v>
      </c>
    </row>
    <row r="330" spans="1:10" s="182" customFormat="1" ht="12" hidden="1" customHeight="1" outlineLevel="2">
      <c r="A330" s="191"/>
      <c r="B330" s="297" t="s">
        <v>12</v>
      </c>
      <c r="C330" s="17" t="s">
        <v>687</v>
      </c>
      <c r="D330" s="664" t="s">
        <v>1500</v>
      </c>
      <c r="E330" s="306" t="s">
        <v>1687</v>
      </c>
      <c r="F330" s="307"/>
      <c r="G330" s="297" t="s">
        <v>550</v>
      </c>
      <c r="H330" s="308" t="str">
        <f t="shared" ref="H330:H417" si="34">CONCATENATE(B330,"-",G330,"-",I330)</f>
        <v>ST-TXV-5</v>
      </c>
      <c r="I330" s="665">
        <v>5</v>
      </c>
      <c r="J330" s="195">
        <v>1</v>
      </c>
    </row>
    <row r="331" spans="1:10" s="182" customFormat="1" ht="12" hidden="1" customHeight="1" outlineLevel="2">
      <c r="A331" s="191"/>
      <c r="B331" s="297" t="s">
        <v>12</v>
      </c>
      <c r="C331" s="17" t="s">
        <v>687</v>
      </c>
      <c r="D331" s="664" t="s">
        <v>1500</v>
      </c>
      <c r="E331" s="306" t="s">
        <v>1685</v>
      </c>
      <c r="F331" s="307"/>
      <c r="G331" s="297" t="s">
        <v>550</v>
      </c>
      <c r="H331" s="308" t="str">
        <f t="shared" ref="H331:H332" si="35">CONCATENATE(B331,"-",G331,"-",I331)</f>
        <v>ST-TXV-6</v>
      </c>
      <c r="I331" s="665">
        <v>6</v>
      </c>
      <c r="J331" s="195">
        <v>1</v>
      </c>
    </row>
    <row r="332" spans="1:10" s="182" customFormat="1" ht="12" hidden="1" customHeight="1" outlineLevel="2">
      <c r="A332" s="191"/>
      <c r="B332" s="297" t="s">
        <v>12</v>
      </c>
      <c r="C332" s="17" t="s">
        <v>687</v>
      </c>
      <c r="D332" s="664" t="s">
        <v>1500</v>
      </c>
      <c r="E332" s="306" t="s">
        <v>1591</v>
      </c>
      <c r="F332" s="307"/>
      <c r="G332" s="297" t="s">
        <v>550</v>
      </c>
      <c r="H332" s="308" t="str">
        <f t="shared" si="35"/>
        <v>ST-TXV-8</v>
      </c>
      <c r="I332" s="665">
        <v>8</v>
      </c>
      <c r="J332" s="195">
        <v>1</v>
      </c>
    </row>
    <row r="333" spans="1:10" s="190" customFormat="1" ht="12" hidden="1" customHeight="1" outlineLevel="1">
      <c r="A333" s="200"/>
      <c r="B333" s="297"/>
      <c r="C333" s="17"/>
      <c r="D333" s="664" t="s">
        <v>1550</v>
      </c>
      <c r="E333" s="306"/>
      <c r="F333" s="307"/>
      <c r="G333" s="297"/>
      <c r="H333" s="308"/>
      <c r="I333" s="661"/>
      <c r="J333" s="195"/>
    </row>
    <row r="334" spans="1:10" s="182" customFormat="1" ht="12" hidden="1" customHeight="1" outlineLevel="2">
      <c r="A334" s="191"/>
      <c r="B334" s="297" t="s">
        <v>12</v>
      </c>
      <c r="C334" s="17" t="s">
        <v>687</v>
      </c>
      <c r="D334" s="664" t="s">
        <v>1504</v>
      </c>
      <c r="E334" s="306" t="s">
        <v>1551</v>
      </c>
      <c r="F334" s="307"/>
      <c r="G334" s="297" t="s">
        <v>550</v>
      </c>
      <c r="H334" s="308" t="str">
        <f t="shared" si="34"/>
        <v>ST-TXV-2</v>
      </c>
      <c r="I334" s="665">
        <v>2</v>
      </c>
      <c r="J334" s="195">
        <v>1</v>
      </c>
    </row>
    <row r="335" spans="1:10" s="182" customFormat="1" ht="12" hidden="1" customHeight="1" outlineLevel="2">
      <c r="A335" s="191"/>
      <c r="B335" s="297" t="s">
        <v>12</v>
      </c>
      <c r="C335" s="17" t="s">
        <v>687</v>
      </c>
      <c r="D335" s="664" t="s">
        <v>1504</v>
      </c>
      <c r="E335" s="306" t="s">
        <v>1688</v>
      </c>
      <c r="F335" s="307"/>
      <c r="G335" s="297" t="s">
        <v>550</v>
      </c>
      <c r="H335" s="308" t="str">
        <f t="shared" si="34"/>
        <v>ST-TXV-4</v>
      </c>
      <c r="I335" s="665">
        <v>4</v>
      </c>
      <c r="J335" s="195">
        <v>1</v>
      </c>
    </row>
    <row r="336" spans="1:10" s="182" customFormat="1" ht="12" hidden="1" customHeight="1" outlineLevel="2">
      <c r="A336" s="191"/>
      <c r="B336" s="297" t="s">
        <v>12</v>
      </c>
      <c r="C336" s="17" t="s">
        <v>687</v>
      </c>
      <c r="D336" s="664" t="s">
        <v>1504</v>
      </c>
      <c r="E336" s="306" t="s">
        <v>1689</v>
      </c>
      <c r="F336" s="307"/>
      <c r="G336" s="297" t="s">
        <v>550</v>
      </c>
      <c r="H336" s="308" t="str">
        <f t="shared" si="34"/>
        <v>ST-TXV-5</v>
      </c>
      <c r="I336" s="665">
        <v>5</v>
      </c>
      <c r="J336" s="195">
        <v>1</v>
      </c>
    </row>
    <row r="337" spans="1:10" s="182" customFormat="1" ht="12" hidden="1" customHeight="1" outlineLevel="2">
      <c r="A337" s="191"/>
      <c r="B337" s="297" t="s">
        <v>12</v>
      </c>
      <c r="C337" s="17" t="s">
        <v>687</v>
      </c>
      <c r="D337" s="664" t="s">
        <v>1504</v>
      </c>
      <c r="E337" s="306" t="s">
        <v>1690</v>
      </c>
      <c r="F337" s="307"/>
      <c r="G337" s="297" t="s">
        <v>550</v>
      </c>
      <c r="H337" s="308" t="str">
        <f t="shared" si="34"/>
        <v>ST-TXV-5</v>
      </c>
      <c r="I337" s="665">
        <v>5</v>
      </c>
      <c r="J337" s="195">
        <v>1</v>
      </c>
    </row>
    <row r="338" spans="1:10" s="182" customFormat="1" ht="12" hidden="1" customHeight="1" outlineLevel="2">
      <c r="A338" s="191"/>
      <c r="B338" s="297" t="s">
        <v>12</v>
      </c>
      <c r="C338" s="17" t="s">
        <v>687</v>
      </c>
      <c r="D338" s="664" t="s">
        <v>1504</v>
      </c>
      <c r="E338" s="306" t="s">
        <v>1691</v>
      </c>
      <c r="F338" s="307"/>
      <c r="G338" s="297" t="s">
        <v>550</v>
      </c>
      <c r="H338" s="308" t="str">
        <f t="shared" si="34"/>
        <v>ST-TXV-6</v>
      </c>
      <c r="I338" s="665">
        <v>6</v>
      </c>
      <c r="J338" s="195">
        <v>1</v>
      </c>
    </row>
    <row r="339" spans="1:10" s="182" customFormat="1" ht="12" hidden="1" customHeight="1" outlineLevel="2">
      <c r="A339" s="191"/>
      <c r="B339" s="297" t="s">
        <v>12</v>
      </c>
      <c r="C339" s="17" t="s">
        <v>687</v>
      </c>
      <c r="D339" s="664" t="s">
        <v>1504</v>
      </c>
      <c r="E339" s="306" t="s">
        <v>1553</v>
      </c>
      <c r="F339" s="307"/>
      <c r="G339" s="297" t="s">
        <v>550</v>
      </c>
      <c r="H339" s="308" t="str">
        <f t="shared" si="34"/>
        <v>ST-TXV-6</v>
      </c>
      <c r="I339" s="665">
        <v>6</v>
      </c>
      <c r="J339" s="195">
        <v>1</v>
      </c>
    </row>
    <row r="340" spans="1:10" s="182" customFormat="1" ht="12" hidden="1" customHeight="1" outlineLevel="2">
      <c r="A340" s="191"/>
      <c r="B340" s="297" t="s">
        <v>12</v>
      </c>
      <c r="C340" s="17" t="s">
        <v>687</v>
      </c>
      <c r="D340" s="664" t="s">
        <v>1504</v>
      </c>
      <c r="E340" s="306" t="s">
        <v>1554</v>
      </c>
      <c r="F340" s="307"/>
      <c r="G340" s="297" t="s">
        <v>550</v>
      </c>
      <c r="H340" s="308" t="str">
        <f t="shared" si="34"/>
        <v>ST-TXV-6</v>
      </c>
      <c r="I340" s="665">
        <v>6</v>
      </c>
      <c r="J340" s="195">
        <v>1</v>
      </c>
    </row>
    <row r="341" spans="1:10" s="182" customFormat="1" ht="12" hidden="1" customHeight="1" outlineLevel="2">
      <c r="A341" s="191"/>
      <c r="B341" s="297" t="s">
        <v>12</v>
      </c>
      <c r="C341" s="17" t="s">
        <v>687</v>
      </c>
      <c r="D341" s="664" t="s">
        <v>1504</v>
      </c>
      <c r="E341" s="306" t="s">
        <v>1555</v>
      </c>
      <c r="F341" s="307"/>
      <c r="G341" s="297" t="s">
        <v>550</v>
      </c>
      <c r="H341" s="308" t="str">
        <f t="shared" si="34"/>
        <v>ST-TXV-5</v>
      </c>
      <c r="I341" s="665">
        <v>5</v>
      </c>
      <c r="J341" s="195">
        <v>1</v>
      </c>
    </row>
    <row r="342" spans="1:10" s="182" customFormat="1" ht="12" hidden="1" customHeight="1" outlineLevel="2">
      <c r="A342" s="191"/>
      <c r="B342" s="297" t="s">
        <v>12</v>
      </c>
      <c r="C342" s="17" t="s">
        <v>687</v>
      </c>
      <c r="D342" s="664" t="s">
        <v>1504</v>
      </c>
      <c r="E342" s="306" t="s">
        <v>1593</v>
      </c>
      <c r="F342" s="307"/>
      <c r="G342" s="297" t="s">
        <v>550</v>
      </c>
      <c r="H342" s="308" t="str">
        <f t="shared" ref="H342:H343" si="36">CONCATENATE(B342,"-",G342,"-",I342)</f>
        <v>ST-TXV-8</v>
      </c>
      <c r="I342" s="665">
        <v>8</v>
      </c>
      <c r="J342" s="195">
        <v>1</v>
      </c>
    </row>
    <row r="343" spans="1:10" s="182" customFormat="1" ht="12" hidden="1" customHeight="1" outlineLevel="2">
      <c r="A343" s="191"/>
      <c r="B343" s="297" t="s">
        <v>12</v>
      </c>
      <c r="C343" s="17" t="s">
        <v>687</v>
      </c>
      <c r="D343" s="664" t="s">
        <v>1504</v>
      </c>
      <c r="E343" s="306" t="s">
        <v>1594</v>
      </c>
      <c r="F343" s="307"/>
      <c r="G343" s="297" t="s">
        <v>550</v>
      </c>
      <c r="H343" s="308" t="str">
        <f t="shared" si="36"/>
        <v>ST-TXV-9</v>
      </c>
      <c r="I343" s="665">
        <v>9</v>
      </c>
      <c r="J343" s="195">
        <v>1</v>
      </c>
    </row>
    <row r="344" spans="1:10" s="182" customFormat="1" ht="12" hidden="1" customHeight="1" outlineLevel="2">
      <c r="A344" s="191"/>
      <c r="B344" s="297" t="s">
        <v>12</v>
      </c>
      <c r="C344" s="17" t="s">
        <v>687</v>
      </c>
      <c r="D344" s="664" t="s">
        <v>1504</v>
      </c>
      <c r="E344" s="306" t="s">
        <v>1556</v>
      </c>
      <c r="F344" s="307"/>
      <c r="G344" s="297" t="s">
        <v>550</v>
      </c>
      <c r="H344" s="308" t="str">
        <f t="shared" si="34"/>
        <v>ST-TXV-9</v>
      </c>
      <c r="I344" s="665">
        <v>9</v>
      </c>
      <c r="J344" s="195">
        <v>1</v>
      </c>
    </row>
    <row r="345" spans="1:10" s="190" customFormat="1" ht="12" hidden="1" customHeight="1" outlineLevel="1">
      <c r="A345" s="200"/>
      <c r="B345" s="297"/>
      <c r="C345" s="17"/>
      <c r="D345" s="664" t="s">
        <v>1692</v>
      </c>
      <c r="E345" s="306"/>
      <c r="F345" s="307"/>
      <c r="G345" s="297"/>
      <c r="H345" s="308"/>
      <c r="I345" s="665"/>
      <c r="J345" s="195"/>
    </row>
    <row r="346" spans="1:10" s="182" customFormat="1" ht="12" hidden="1" customHeight="1" outlineLevel="2">
      <c r="A346" s="191"/>
      <c r="B346" s="297" t="s">
        <v>12</v>
      </c>
      <c r="C346" s="17" t="s">
        <v>687</v>
      </c>
      <c r="D346" s="664" t="s">
        <v>1506</v>
      </c>
      <c r="E346" s="306" t="s">
        <v>1558</v>
      </c>
      <c r="F346" s="307"/>
      <c r="G346" s="297" t="s">
        <v>550</v>
      </c>
      <c r="H346" s="308" t="str">
        <f t="shared" si="34"/>
        <v>ST-TXV-2</v>
      </c>
      <c r="I346" s="665">
        <v>2</v>
      </c>
      <c r="J346" s="195">
        <v>1</v>
      </c>
    </row>
    <row r="347" spans="1:10" s="182" customFormat="1" ht="12" hidden="1" customHeight="1" outlineLevel="2">
      <c r="A347" s="191"/>
      <c r="B347" s="297" t="s">
        <v>12</v>
      </c>
      <c r="C347" s="17" t="s">
        <v>687</v>
      </c>
      <c r="D347" s="664" t="s">
        <v>1506</v>
      </c>
      <c r="E347" s="306" t="s">
        <v>1559</v>
      </c>
      <c r="F347" s="307"/>
      <c r="G347" s="297" t="s">
        <v>550</v>
      </c>
      <c r="H347" s="308" t="str">
        <f t="shared" si="34"/>
        <v>ST-TXV-2</v>
      </c>
      <c r="I347" s="665">
        <v>2</v>
      </c>
      <c r="J347" s="195">
        <v>1</v>
      </c>
    </row>
    <row r="348" spans="1:10" s="182" customFormat="1" ht="12" hidden="1" customHeight="1" outlineLevel="2">
      <c r="A348" s="191"/>
      <c r="B348" s="297" t="s">
        <v>12</v>
      </c>
      <c r="C348" s="17" t="s">
        <v>687</v>
      </c>
      <c r="D348" s="664" t="s">
        <v>1506</v>
      </c>
      <c r="E348" s="306" t="s">
        <v>1644</v>
      </c>
      <c r="F348" s="307"/>
      <c r="G348" s="297" t="s">
        <v>550</v>
      </c>
      <c r="H348" s="308" t="str">
        <f>CONCATENATE(B348,"-",G348,"-",I348)</f>
        <v>ST-TXV-4</v>
      </c>
      <c r="I348" s="665">
        <v>4</v>
      </c>
      <c r="J348" s="195">
        <v>1</v>
      </c>
    </row>
    <row r="349" spans="1:10" s="182" customFormat="1" ht="12" hidden="1" customHeight="1" outlineLevel="2">
      <c r="A349" s="191"/>
      <c r="B349" s="297" t="s">
        <v>12</v>
      </c>
      <c r="C349" s="17" t="s">
        <v>687</v>
      </c>
      <c r="D349" s="664" t="s">
        <v>1506</v>
      </c>
      <c r="E349" s="306" t="s">
        <v>1693</v>
      </c>
      <c r="F349" s="307"/>
      <c r="G349" s="297" t="s">
        <v>550</v>
      </c>
      <c r="H349" s="308" t="str">
        <f t="shared" si="34"/>
        <v>ST-TXV-5</v>
      </c>
      <c r="I349" s="665">
        <v>5</v>
      </c>
      <c r="J349" s="195">
        <v>1</v>
      </c>
    </row>
    <row r="350" spans="1:10" s="182" customFormat="1" ht="12" hidden="1" customHeight="1" outlineLevel="2">
      <c r="A350" s="191"/>
      <c r="B350" s="297" t="s">
        <v>12</v>
      </c>
      <c r="C350" s="17" t="s">
        <v>687</v>
      </c>
      <c r="D350" s="664" t="s">
        <v>1506</v>
      </c>
      <c r="E350" s="306" t="s">
        <v>1647</v>
      </c>
      <c r="F350" s="307"/>
      <c r="G350" s="297" t="s">
        <v>550</v>
      </c>
      <c r="H350" s="308" t="str">
        <f t="shared" si="34"/>
        <v>ST-TXV-5</v>
      </c>
      <c r="I350" s="665">
        <v>5</v>
      </c>
      <c r="J350" s="195">
        <v>1</v>
      </c>
    </row>
    <row r="351" spans="1:10" s="182" customFormat="1" ht="12" hidden="1" customHeight="1" outlineLevel="2">
      <c r="A351" s="191"/>
      <c r="B351" s="297" t="s">
        <v>12</v>
      </c>
      <c r="C351" s="17" t="s">
        <v>687</v>
      </c>
      <c r="D351" s="664" t="s">
        <v>1506</v>
      </c>
      <c r="E351" s="306" t="s">
        <v>1694</v>
      </c>
      <c r="F351" s="307"/>
      <c r="G351" s="297" t="s">
        <v>550</v>
      </c>
      <c r="H351" s="308" t="str">
        <f t="shared" si="34"/>
        <v>ST-TXV-5</v>
      </c>
      <c r="I351" s="665">
        <v>5</v>
      </c>
      <c r="J351" s="195">
        <v>1</v>
      </c>
    </row>
    <row r="352" spans="1:10" s="182" customFormat="1" ht="12" hidden="1" customHeight="1" outlineLevel="2">
      <c r="A352" s="191"/>
      <c r="B352" s="297" t="s">
        <v>12</v>
      </c>
      <c r="C352" s="17" t="s">
        <v>687</v>
      </c>
      <c r="D352" s="664" t="s">
        <v>1506</v>
      </c>
      <c r="E352" s="306" t="s">
        <v>1695</v>
      </c>
      <c r="F352" s="307"/>
      <c r="G352" s="297" t="s">
        <v>550</v>
      </c>
      <c r="H352" s="308" t="str">
        <f t="shared" si="34"/>
        <v>ST-TXV-5</v>
      </c>
      <c r="I352" s="665">
        <v>5</v>
      </c>
      <c r="J352" s="195">
        <v>1</v>
      </c>
    </row>
    <row r="353" spans="1:10" s="182" customFormat="1" ht="12" hidden="1" customHeight="1" outlineLevel="2">
      <c r="A353" s="191"/>
      <c r="B353" s="297" t="s">
        <v>12</v>
      </c>
      <c r="C353" s="17" t="s">
        <v>687</v>
      </c>
      <c r="D353" s="664" t="s">
        <v>1506</v>
      </c>
      <c r="E353" s="306" t="s">
        <v>1696</v>
      </c>
      <c r="F353" s="307"/>
      <c r="G353" s="297" t="s">
        <v>550</v>
      </c>
      <c r="H353" s="308" t="str">
        <f t="shared" si="34"/>
        <v>ST-TXV-6</v>
      </c>
      <c r="I353" s="665">
        <v>6</v>
      </c>
      <c r="J353" s="195">
        <v>1</v>
      </c>
    </row>
    <row r="354" spans="1:10" s="182" customFormat="1" ht="12" hidden="1" customHeight="1" outlineLevel="2">
      <c r="A354" s="191"/>
      <c r="B354" s="297" t="s">
        <v>12</v>
      </c>
      <c r="C354" s="17" t="s">
        <v>687</v>
      </c>
      <c r="D354" s="664" t="s">
        <v>1506</v>
      </c>
      <c r="E354" s="306" t="s">
        <v>1599</v>
      </c>
      <c r="F354" s="307"/>
      <c r="G354" s="297" t="s">
        <v>550</v>
      </c>
      <c r="H354" s="308" t="str">
        <f t="shared" si="34"/>
        <v>ST-TXV-6</v>
      </c>
      <c r="I354" s="665">
        <v>6</v>
      </c>
      <c r="J354" s="195">
        <v>1</v>
      </c>
    </row>
    <row r="355" spans="1:10" s="182" customFormat="1" ht="12" hidden="1" customHeight="1" outlineLevel="2">
      <c r="A355" s="191"/>
      <c r="B355" s="297" t="s">
        <v>12</v>
      </c>
      <c r="C355" s="17" t="s">
        <v>687</v>
      </c>
      <c r="D355" s="664" t="s">
        <v>1506</v>
      </c>
      <c r="E355" s="306" t="s">
        <v>1600</v>
      </c>
      <c r="F355" s="307"/>
      <c r="G355" s="297" t="s">
        <v>550</v>
      </c>
      <c r="H355" s="308" t="str">
        <f t="shared" si="34"/>
        <v>ST-TXV-5</v>
      </c>
      <c r="I355" s="665">
        <v>5</v>
      </c>
      <c r="J355" s="195">
        <v>1</v>
      </c>
    </row>
    <row r="356" spans="1:10" s="182" customFormat="1" ht="12" hidden="1" customHeight="1" outlineLevel="2">
      <c r="A356" s="191"/>
      <c r="B356" s="297" t="s">
        <v>12</v>
      </c>
      <c r="C356" s="17" t="s">
        <v>687</v>
      </c>
      <c r="D356" s="664" t="s">
        <v>1506</v>
      </c>
      <c r="E356" s="306" t="s">
        <v>1601</v>
      </c>
      <c r="F356" s="307"/>
      <c r="G356" s="297" t="s">
        <v>550</v>
      </c>
      <c r="H356" s="308" t="str">
        <f t="shared" ref="H356:H357" si="37">CONCATENATE(B356,"-",G356,"-",I356)</f>
        <v>ST-TXV-8</v>
      </c>
      <c r="I356" s="665">
        <v>8</v>
      </c>
      <c r="J356" s="195">
        <v>1</v>
      </c>
    </row>
    <row r="357" spans="1:10" s="182" customFormat="1" ht="12" hidden="1" customHeight="1" outlineLevel="2">
      <c r="A357" s="191"/>
      <c r="B357" s="297" t="s">
        <v>12</v>
      </c>
      <c r="C357" s="17" t="s">
        <v>687</v>
      </c>
      <c r="D357" s="664" t="s">
        <v>1506</v>
      </c>
      <c r="E357" s="306" t="s">
        <v>1602</v>
      </c>
      <c r="F357" s="307"/>
      <c r="G357" s="297" t="s">
        <v>550</v>
      </c>
      <c r="H357" s="308" t="str">
        <f t="shared" si="37"/>
        <v>ST-TXV-9</v>
      </c>
      <c r="I357" s="665">
        <v>9</v>
      </c>
      <c r="J357" s="195">
        <v>1</v>
      </c>
    </row>
    <row r="358" spans="1:10" s="190" customFormat="1" ht="12" hidden="1" customHeight="1" outlineLevel="1">
      <c r="A358" s="200"/>
      <c r="B358" s="297"/>
      <c r="C358" s="17"/>
      <c r="D358" s="664" t="s">
        <v>1697</v>
      </c>
      <c r="E358" s="306"/>
      <c r="F358" s="307"/>
      <c r="G358" s="297"/>
      <c r="H358" s="308"/>
      <c r="I358" s="665"/>
      <c r="J358" s="195"/>
    </row>
    <row r="359" spans="1:10" s="182" customFormat="1" ht="12" hidden="1" customHeight="1" outlineLevel="2">
      <c r="A359" s="191"/>
      <c r="B359" s="297" t="s">
        <v>12</v>
      </c>
      <c r="C359" s="17" t="s">
        <v>687</v>
      </c>
      <c r="D359" s="664" t="s">
        <v>1506</v>
      </c>
      <c r="E359" s="306" t="s">
        <v>1559</v>
      </c>
      <c r="F359" s="307"/>
      <c r="G359" s="297" t="s">
        <v>550</v>
      </c>
      <c r="H359" s="308" t="str">
        <f>CONCATENATE(B359,"-",G359,"-",I359)</f>
        <v>ST-TXV-2</v>
      </c>
      <c r="I359" s="665">
        <v>2</v>
      </c>
      <c r="J359" s="195">
        <v>1</v>
      </c>
    </row>
    <row r="360" spans="1:10" s="182" customFormat="1" ht="12" hidden="1" customHeight="1" outlineLevel="2">
      <c r="A360" s="191"/>
      <c r="B360" s="297" t="s">
        <v>12</v>
      </c>
      <c r="C360" s="17" t="s">
        <v>687</v>
      </c>
      <c r="D360" s="664" t="s">
        <v>1506</v>
      </c>
      <c r="E360" s="306" t="s">
        <v>1560</v>
      </c>
      <c r="F360" s="307"/>
      <c r="G360" s="297" t="s">
        <v>550</v>
      </c>
      <c r="H360" s="308" t="str">
        <f t="shared" si="34"/>
        <v>ST-TXV-4</v>
      </c>
      <c r="I360" s="665">
        <v>4</v>
      </c>
      <c r="J360" s="195">
        <v>1</v>
      </c>
    </row>
    <row r="361" spans="1:10" s="182" customFormat="1" ht="12" hidden="1" customHeight="1" outlineLevel="2">
      <c r="A361" s="191"/>
      <c r="B361" s="297" t="s">
        <v>12</v>
      </c>
      <c r="C361" s="17" t="s">
        <v>687</v>
      </c>
      <c r="D361" s="664" t="s">
        <v>1506</v>
      </c>
      <c r="E361" s="306" t="s">
        <v>1698</v>
      </c>
      <c r="F361" s="307"/>
      <c r="G361" s="297" t="s">
        <v>550</v>
      </c>
      <c r="H361" s="308" t="str">
        <f t="shared" si="34"/>
        <v>ST-TXV-6</v>
      </c>
      <c r="I361" s="665">
        <v>6</v>
      </c>
      <c r="J361" s="195">
        <v>1</v>
      </c>
    </row>
    <row r="362" spans="1:10" s="182" customFormat="1" ht="12" hidden="1" customHeight="1" outlineLevel="2">
      <c r="A362" s="191"/>
      <c r="B362" s="297" t="s">
        <v>12</v>
      </c>
      <c r="C362" s="17" t="s">
        <v>687</v>
      </c>
      <c r="D362" s="664" t="s">
        <v>1506</v>
      </c>
      <c r="E362" s="306" t="s">
        <v>1599</v>
      </c>
      <c r="F362" s="307"/>
      <c r="G362" s="297" t="s">
        <v>550</v>
      </c>
      <c r="H362" s="308" t="str">
        <f t="shared" si="34"/>
        <v>ST-TXV-6</v>
      </c>
      <c r="I362" s="665">
        <v>6</v>
      </c>
      <c r="J362" s="195">
        <v>1</v>
      </c>
    </row>
    <row r="363" spans="1:10" s="182" customFormat="1" ht="12" hidden="1" customHeight="1" outlineLevel="2">
      <c r="A363" s="191"/>
      <c r="B363" s="297" t="s">
        <v>12</v>
      </c>
      <c r="C363" s="17" t="s">
        <v>687</v>
      </c>
      <c r="D363" s="664" t="s">
        <v>1506</v>
      </c>
      <c r="E363" s="306" t="s">
        <v>1600</v>
      </c>
      <c r="F363" s="307"/>
      <c r="G363" s="297" t="s">
        <v>550</v>
      </c>
      <c r="H363" s="308" t="str">
        <f t="shared" ref="H363:H365" si="38">CONCATENATE(B363,"-",G363,"-",I363)</f>
        <v>ST-TXV-5</v>
      </c>
      <c r="I363" s="665">
        <v>5</v>
      </c>
      <c r="J363" s="195">
        <v>1</v>
      </c>
    </row>
    <row r="364" spans="1:10" s="182" customFormat="1" ht="12" hidden="1" customHeight="1" outlineLevel="2">
      <c r="A364" s="191"/>
      <c r="B364" s="297" t="s">
        <v>12</v>
      </c>
      <c r="C364" s="17" t="s">
        <v>687</v>
      </c>
      <c r="D364" s="664" t="s">
        <v>1506</v>
      </c>
      <c r="E364" s="306" t="s">
        <v>1601</v>
      </c>
      <c r="F364" s="307"/>
      <c r="G364" s="297" t="s">
        <v>550</v>
      </c>
      <c r="H364" s="308" t="str">
        <f t="shared" si="38"/>
        <v>ST-TXV-8</v>
      </c>
      <c r="I364" s="665">
        <v>8</v>
      </c>
      <c r="J364" s="195">
        <v>1</v>
      </c>
    </row>
    <row r="365" spans="1:10" s="182" customFormat="1" ht="12" hidden="1" customHeight="1" outlineLevel="2">
      <c r="A365" s="191"/>
      <c r="B365" s="297" t="s">
        <v>12</v>
      </c>
      <c r="C365" s="17" t="s">
        <v>687</v>
      </c>
      <c r="D365" s="664" t="s">
        <v>1506</v>
      </c>
      <c r="E365" s="306" t="s">
        <v>1602</v>
      </c>
      <c r="F365" s="307"/>
      <c r="G365" s="297" t="s">
        <v>550</v>
      </c>
      <c r="H365" s="308" t="str">
        <f t="shared" si="38"/>
        <v>ST-TXV-9</v>
      </c>
      <c r="I365" s="665">
        <v>9</v>
      </c>
      <c r="J365" s="195">
        <v>1</v>
      </c>
    </row>
    <row r="366" spans="1:10" s="182" customFormat="1" ht="12" hidden="1" customHeight="1" outlineLevel="2">
      <c r="A366" s="191"/>
      <c r="B366" s="297" t="s">
        <v>12</v>
      </c>
      <c r="C366" s="17" t="s">
        <v>687</v>
      </c>
      <c r="D366" s="664" t="s">
        <v>1506</v>
      </c>
      <c r="E366" s="306" t="s">
        <v>1565</v>
      </c>
      <c r="F366" s="307"/>
      <c r="G366" s="297" t="s">
        <v>550</v>
      </c>
      <c r="H366" s="308" t="str">
        <f t="shared" si="34"/>
        <v>ST-TXV-9</v>
      </c>
      <c r="I366" s="665">
        <v>9</v>
      </c>
      <c r="J366" s="195">
        <v>1</v>
      </c>
    </row>
    <row r="367" spans="1:10" s="190" customFormat="1" ht="12" hidden="1" customHeight="1" outlineLevel="1">
      <c r="A367" s="200"/>
      <c r="B367" s="297"/>
      <c r="C367" s="17"/>
      <c r="D367" s="664" t="s">
        <v>1604</v>
      </c>
      <c r="E367" s="306"/>
      <c r="F367" s="307"/>
      <c r="G367" s="297"/>
      <c r="H367" s="308"/>
      <c r="I367" s="665"/>
      <c r="J367" s="195"/>
    </row>
    <row r="368" spans="1:10" s="182" customFormat="1" ht="12" hidden="1" customHeight="1" outlineLevel="2">
      <c r="A368" s="191"/>
      <c r="B368" s="297" t="s">
        <v>12</v>
      </c>
      <c r="C368" s="17" t="s">
        <v>687</v>
      </c>
      <c r="D368" s="664" t="s">
        <v>1508</v>
      </c>
      <c r="E368" s="306" t="s">
        <v>1567</v>
      </c>
      <c r="F368" s="307"/>
      <c r="G368" s="297" t="s">
        <v>550</v>
      </c>
      <c r="H368" s="308" t="str">
        <f t="shared" si="34"/>
        <v>ST-TXV-2</v>
      </c>
      <c r="I368" s="665">
        <v>2</v>
      </c>
      <c r="J368" s="195">
        <v>1</v>
      </c>
    </row>
    <row r="369" spans="1:10" s="182" customFormat="1" ht="12" hidden="1" customHeight="1" outlineLevel="2">
      <c r="A369" s="191"/>
      <c r="B369" s="297" t="s">
        <v>12</v>
      </c>
      <c r="C369" s="17" t="s">
        <v>687</v>
      </c>
      <c r="D369" s="664" t="s">
        <v>1508</v>
      </c>
      <c r="E369" s="306" t="s">
        <v>1568</v>
      </c>
      <c r="F369" s="307"/>
      <c r="G369" s="297" t="s">
        <v>550</v>
      </c>
      <c r="H369" s="308" t="str">
        <f t="shared" si="34"/>
        <v>ST-TXV-2</v>
      </c>
      <c r="I369" s="665">
        <v>2</v>
      </c>
      <c r="J369" s="195">
        <v>1</v>
      </c>
    </row>
    <row r="370" spans="1:10" s="182" customFormat="1" ht="12" hidden="1" customHeight="1" outlineLevel="2">
      <c r="A370" s="191"/>
      <c r="B370" s="297" t="s">
        <v>12</v>
      </c>
      <c r="C370" s="17" t="s">
        <v>687</v>
      </c>
      <c r="D370" s="664" t="s">
        <v>1508</v>
      </c>
      <c r="E370" s="306" t="s">
        <v>1652</v>
      </c>
      <c r="F370" s="307"/>
      <c r="G370" s="297" t="s">
        <v>550</v>
      </c>
      <c r="H370" s="308" t="str">
        <f>CONCATENATE(B370,"-",G370,"-",I370)</f>
        <v>ST-TXV-2</v>
      </c>
      <c r="I370" s="665">
        <v>2</v>
      </c>
      <c r="J370" s="195">
        <v>1</v>
      </c>
    </row>
    <row r="371" spans="1:10" s="182" customFormat="1" ht="12" hidden="1" customHeight="1" outlineLevel="2">
      <c r="A371" s="191"/>
      <c r="B371" s="297" t="s">
        <v>12</v>
      </c>
      <c r="C371" s="17" t="s">
        <v>687</v>
      </c>
      <c r="D371" s="664" t="s">
        <v>1508</v>
      </c>
      <c r="E371" s="306" t="s">
        <v>1699</v>
      </c>
      <c r="F371" s="307"/>
      <c r="G371" s="297" t="s">
        <v>550</v>
      </c>
      <c r="H371" s="308" t="str">
        <f t="shared" si="34"/>
        <v>ST-TXV-5</v>
      </c>
      <c r="I371" s="665">
        <v>5</v>
      </c>
      <c r="J371" s="195">
        <v>1</v>
      </c>
    </row>
    <row r="372" spans="1:10" s="182" customFormat="1" ht="12" hidden="1" customHeight="1" outlineLevel="2">
      <c r="A372" s="191"/>
      <c r="B372" s="297" t="s">
        <v>12</v>
      </c>
      <c r="C372" s="17" t="s">
        <v>687</v>
      </c>
      <c r="D372" s="664" t="s">
        <v>1508</v>
      </c>
      <c r="E372" s="306" t="s">
        <v>1655</v>
      </c>
      <c r="F372" s="307"/>
      <c r="G372" s="297" t="s">
        <v>550</v>
      </c>
      <c r="H372" s="308" t="str">
        <f>CONCATENATE(B372,"-",G372,"-",I372)</f>
        <v>ST-TXV-5</v>
      </c>
      <c r="I372" s="665">
        <v>5</v>
      </c>
      <c r="J372" s="195">
        <v>1</v>
      </c>
    </row>
    <row r="373" spans="1:10" s="182" customFormat="1" ht="12" hidden="1" customHeight="1" outlineLevel="2">
      <c r="A373" s="191"/>
      <c r="B373" s="297" t="s">
        <v>12</v>
      </c>
      <c r="C373" s="17" t="s">
        <v>687</v>
      </c>
      <c r="D373" s="664" t="s">
        <v>1508</v>
      </c>
      <c r="E373" s="306" t="s">
        <v>1700</v>
      </c>
      <c r="F373" s="307"/>
      <c r="G373" s="297" t="s">
        <v>550</v>
      </c>
      <c r="H373" s="308" t="str">
        <f t="shared" si="34"/>
        <v>ST-TXV-5</v>
      </c>
      <c r="I373" s="665">
        <v>5</v>
      </c>
      <c r="J373" s="195">
        <v>1</v>
      </c>
    </row>
    <row r="374" spans="1:10" s="182" customFormat="1" ht="12" hidden="1" customHeight="1" outlineLevel="2">
      <c r="A374" s="191"/>
      <c r="B374" s="297" t="s">
        <v>12</v>
      </c>
      <c r="C374" s="17" t="s">
        <v>687</v>
      </c>
      <c r="D374" s="664" t="s">
        <v>1508</v>
      </c>
      <c r="E374" s="306" t="s">
        <v>1701</v>
      </c>
      <c r="F374" s="307"/>
      <c r="G374" s="297" t="s">
        <v>550</v>
      </c>
      <c r="H374" s="308" t="str">
        <f t="shared" si="34"/>
        <v>ST-TXV-5</v>
      </c>
      <c r="I374" s="665">
        <v>5</v>
      </c>
      <c r="J374" s="195">
        <v>1</v>
      </c>
    </row>
    <row r="375" spans="1:10" s="182" customFormat="1" ht="12" hidden="1" customHeight="1" outlineLevel="2">
      <c r="A375" s="191"/>
      <c r="B375" s="297" t="s">
        <v>12</v>
      </c>
      <c r="C375" s="17" t="s">
        <v>687</v>
      </c>
      <c r="D375" s="664" t="s">
        <v>1508</v>
      </c>
      <c r="E375" s="306" t="s">
        <v>1702</v>
      </c>
      <c r="F375" s="307"/>
      <c r="G375" s="297" t="s">
        <v>550</v>
      </c>
      <c r="H375" s="308" t="str">
        <f t="shared" si="34"/>
        <v>ST-TXV-6</v>
      </c>
      <c r="I375" s="665">
        <v>6</v>
      </c>
      <c r="J375" s="195">
        <v>1</v>
      </c>
    </row>
    <row r="376" spans="1:10" s="182" customFormat="1" ht="12" hidden="1" customHeight="1" outlineLevel="2">
      <c r="A376" s="191"/>
      <c r="B376" s="297" t="s">
        <v>12</v>
      </c>
      <c r="C376" s="17" t="s">
        <v>687</v>
      </c>
      <c r="D376" s="664" t="s">
        <v>1508</v>
      </c>
      <c r="E376" s="306" t="s">
        <v>1608</v>
      </c>
      <c r="F376" s="307"/>
      <c r="G376" s="297" t="s">
        <v>550</v>
      </c>
      <c r="H376" s="308" t="str">
        <f t="shared" si="34"/>
        <v>ST-TXV-6</v>
      </c>
      <c r="I376" s="665">
        <v>6</v>
      </c>
      <c r="J376" s="195">
        <v>1</v>
      </c>
    </row>
    <row r="377" spans="1:10" s="182" customFormat="1" ht="12" hidden="1" customHeight="1" outlineLevel="2">
      <c r="A377" s="191"/>
      <c r="B377" s="297" t="s">
        <v>12</v>
      </c>
      <c r="C377" s="17" t="s">
        <v>687</v>
      </c>
      <c r="D377" s="664" t="s">
        <v>1508</v>
      </c>
      <c r="E377" s="306" t="s">
        <v>1609</v>
      </c>
      <c r="F377" s="307"/>
      <c r="G377" s="297" t="s">
        <v>550</v>
      </c>
      <c r="H377" s="308" t="str">
        <f t="shared" si="34"/>
        <v>ST-TXV-5</v>
      </c>
      <c r="I377" s="665">
        <v>5</v>
      </c>
      <c r="J377" s="195">
        <v>1</v>
      </c>
    </row>
    <row r="378" spans="1:10" s="182" customFormat="1" ht="12" hidden="1" customHeight="1" outlineLevel="2">
      <c r="A378" s="191"/>
      <c r="B378" s="297" t="s">
        <v>12</v>
      </c>
      <c r="C378" s="17" t="s">
        <v>687</v>
      </c>
      <c r="D378" s="664" t="s">
        <v>1508</v>
      </c>
      <c r="E378" s="306" t="s">
        <v>1610</v>
      </c>
      <c r="F378" s="307"/>
      <c r="G378" s="297" t="s">
        <v>550</v>
      </c>
      <c r="H378" s="308" t="str">
        <f t="shared" ref="H378:H379" si="39">CONCATENATE(B378,"-",G378,"-",I378)</f>
        <v>ST-TXV-8</v>
      </c>
      <c r="I378" s="665">
        <v>8</v>
      </c>
      <c r="J378" s="195">
        <v>1</v>
      </c>
    </row>
    <row r="379" spans="1:10" s="182" customFormat="1" ht="12" hidden="1" customHeight="1" outlineLevel="2">
      <c r="A379" s="191"/>
      <c r="B379" s="297" t="s">
        <v>12</v>
      </c>
      <c r="C379" s="17" t="s">
        <v>687</v>
      </c>
      <c r="D379" s="664" t="s">
        <v>1508</v>
      </c>
      <c r="E379" s="306" t="s">
        <v>1611</v>
      </c>
      <c r="F379" s="307"/>
      <c r="G379" s="297" t="s">
        <v>550</v>
      </c>
      <c r="H379" s="308" t="str">
        <f t="shared" si="39"/>
        <v>ST-TXV-9</v>
      </c>
      <c r="I379" s="665">
        <v>9</v>
      </c>
      <c r="J379" s="195">
        <v>1</v>
      </c>
    </row>
    <row r="380" spans="1:10" s="190" customFormat="1" ht="12" hidden="1" customHeight="1" outlineLevel="1">
      <c r="A380" s="200"/>
      <c r="B380" s="297"/>
      <c r="C380" s="17"/>
      <c r="D380" s="664" t="s">
        <v>1612</v>
      </c>
      <c r="E380" s="306"/>
      <c r="F380" s="307"/>
      <c r="G380" s="297"/>
      <c r="H380" s="308"/>
      <c r="I380" s="665"/>
      <c r="J380" s="195"/>
    </row>
    <row r="381" spans="1:10" s="182" customFormat="1" ht="12" hidden="1" customHeight="1" outlineLevel="2">
      <c r="A381" s="191"/>
      <c r="B381" s="297" t="s">
        <v>12</v>
      </c>
      <c r="C381" s="17" t="s">
        <v>687</v>
      </c>
      <c r="D381" s="664" t="s">
        <v>1508</v>
      </c>
      <c r="E381" s="306" t="s">
        <v>1569</v>
      </c>
      <c r="F381" s="307"/>
      <c r="G381" s="297" t="s">
        <v>550</v>
      </c>
      <c r="H381" s="308" t="str">
        <f t="shared" si="34"/>
        <v>ST-TXV-4</v>
      </c>
      <c r="I381" s="665">
        <v>4</v>
      </c>
      <c r="J381" s="195">
        <v>1</v>
      </c>
    </row>
    <row r="382" spans="1:10" s="182" customFormat="1" ht="12" hidden="1" customHeight="1" outlineLevel="2">
      <c r="A382" s="191"/>
      <c r="B382" s="297" t="s">
        <v>12</v>
      </c>
      <c r="C382" s="17" t="s">
        <v>687</v>
      </c>
      <c r="D382" s="664" t="s">
        <v>1508</v>
      </c>
      <c r="E382" s="306" t="s">
        <v>1570</v>
      </c>
      <c r="F382" s="307"/>
      <c r="G382" s="297" t="s">
        <v>550</v>
      </c>
      <c r="H382" s="308" t="str">
        <f t="shared" si="34"/>
        <v>ST-TXV-5</v>
      </c>
      <c r="I382" s="665">
        <v>5</v>
      </c>
      <c r="J382" s="195">
        <v>1</v>
      </c>
    </row>
    <row r="383" spans="1:10" s="182" customFormat="1" ht="12" hidden="1" customHeight="1" outlineLevel="2">
      <c r="A383" s="191"/>
      <c r="B383" s="297" t="s">
        <v>12</v>
      </c>
      <c r="C383" s="17" t="s">
        <v>687</v>
      </c>
      <c r="D383" s="664" t="s">
        <v>1508</v>
      </c>
      <c r="E383" s="306" t="s">
        <v>1608</v>
      </c>
      <c r="F383" s="307"/>
      <c r="G383" s="297" t="s">
        <v>550</v>
      </c>
      <c r="H383" s="308" t="str">
        <f t="shared" si="34"/>
        <v>ST-TXV-6</v>
      </c>
      <c r="I383" s="665">
        <v>6</v>
      </c>
      <c r="J383" s="195">
        <v>1</v>
      </c>
    </row>
    <row r="384" spans="1:10" s="182" customFormat="1" ht="12" hidden="1" customHeight="1" outlineLevel="2">
      <c r="A384" s="191"/>
      <c r="B384" s="297" t="s">
        <v>12</v>
      </c>
      <c r="C384" s="17" t="s">
        <v>687</v>
      </c>
      <c r="D384" s="664" t="s">
        <v>1508</v>
      </c>
      <c r="E384" s="306" t="s">
        <v>1609</v>
      </c>
      <c r="F384" s="307"/>
      <c r="G384" s="297" t="s">
        <v>550</v>
      </c>
      <c r="H384" s="308" t="str">
        <f t="shared" ref="H384:H385" si="40">CONCATENATE(B384,"-",G384,"-",I384)</f>
        <v>ST-TXV-5</v>
      </c>
      <c r="I384" s="665">
        <v>5</v>
      </c>
      <c r="J384" s="195">
        <v>1</v>
      </c>
    </row>
    <row r="385" spans="1:10" s="182" customFormat="1" ht="12" hidden="1" customHeight="1" outlineLevel="2">
      <c r="A385" s="191"/>
      <c r="B385" s="297" t="s">
        <v>12</v>
      </c>
      <c r="C385" s="17" t="s">
        <v>687</v>
      </c>
      <c r="D385" s="664" t="s">
        <v>1508</v>
      </c>
      <c r="E385" s="306" t="s">
        <v>1610</v>
      </c>
      <c r="F385" s="307"/>
      <c r="G385" s="297" t="s">
        <v>550</v>
      </c>
      <c r="H385" s="308" t="str">
        <f t="shared" si="40"/>
        <v>ST-TXV-8</v>
      </c>
      <c r="I385" s="665">
        <v>8</v>
      </c>
      <c r="J385" s="195">
        <v>1</v>
      </c>
    </row>
    <row r="386" spans="1:10" s="182" customFormat="1" ht="12" hidden="1" customHeight="1" outlineLevel="2">
      <c r="A386" s="191"/>
      <c r="B386" s="297" t="s">
        <v>12</v>
      </c>
      <c r="C386" s="17" t="s">
        <v>687</v>
      </c>
      <c r="D386" s="664" t="s">
        <v>1508</v>
      </c>
      <c r="E386" s="306" t="s">
        <v>1573</v>
      </c>
      <c r="F386" s="307"/>
      <c r="G386" s="297" t="s">
        <v>550</v>
      </c>
      <c r="H386" s="308" t="str">
        <f t="shared" si="34"/>
        <v>ST-TXV-9</v>
      </c>
      <c r="I386" s="665">
        <v>9</v>
      </c>
      <c r="J386" s="195">
        <v>1</v>
      </c>
    </row>
    <row r="387" spans="1:10" s="190" customFormat="1" ht="12" hidden="1" customHeight="1" outlineLevel="1">
      <c r="A387" s="200"/>
      <c r="B387" s="297"/>
      <c r="C387" s="17"/>
      <c r="D387" s="664" t="s">
        <v>1613</v>
      </c>
      <c r="E387" s="306"/>
      <c r="F387" s="307"/>
      <c r="G387" s="297"/>
      <c r="H387" s="308"/>
      <c r="I387" s="661"/>
      <c r="J387" s="195"/>
    </row>
    <row r="388" spans="1:10" ht="12" hidden="1" customHeight="1" outlineLevel="2">
      <c r="A388" s="204"/>
      <c r="B388" s="297" t="s">
        <v>12</v>
      </c>
      <c r="C388" s="17" t="s">
        <v>687</v>
      </c>
      <c r="D388" s="664" t="s">
        <v>1575</v>
      </c>
      <c r="E388" s="306" t="s">
        <v>1576</v>
      </c>
      <c r="F388" s="307"/>
      <c r="G388" s="297" t="s">
        <v>550</v>
      </c>
      <c r="H388" s="308" t="str">
        <f t="shared" si="34"/>
        <v>ST-TXV-2</v>
      </c>
      <c r="I388" s="665">
        <v>2</v>
      </c>
      <c r="J388" s="195">
        <v>1</v>
      </c>
    </row>
    <row r="389" spans="1:10" ht="12" hidden="1" customHeight="1" outlineLevel="2">
      <c r="A389" s="204"/>
      <c r="B389" s="297" t="s">
        <v>12</v>
      </c>
      <c r="C389" s="17" t="s">
        <v>687</v>
      </c>
      <c r="D389" s="664" t="s">
        <v>1575</v>
      </c>
      <c r="E389" s="306" t="s">
        <v>1703</v>
      </c>
      <c r="F389" s="307"/>
      <c r="G389" s="297" t="s">
        <v>550</v>
      </c>
      <c r="H389" s="308" t="str">
        <f t="shared" si="34"/>
        <v>ST-TXV-5</v>
      </c>
      <c r="I389" s="665">
        <v>5</v>
      </c>
      <c r="J389" s="195">
        <v>1</v>
      </c>
    </row>
    <row r="390" spans="1:10" ht="12" hidden="1" customHeight="1" outlineLevel="2">
      <c r="A390" s="204"/>
      <c r="B390" s="297" t="s">
        <v>12</v>
      </c>
      <c r="C390" s="17" t="s">
        <v>687</v>
      </c>
      <c r="D390" s="664" t="s">
        <v>1575</v>
      </c>
      <c r="E390" s="306" t="s">
        <v>1704</v>
      </c>
      <c r="F390" s="307"/>
      <c r="G390" s="297" t="s">
        <v>550</v>
      </c>
      <c r="H390" s="308" t="str">
        <f t="shared" si="34"/>
        <v>ST-TXV-6</v>
      </c>
      <c r="I390" s="665">
        <v>6</v>
      </c>
      <c r="J390" s="195">
        <v>1</v>
      </c>
    </row>
    <row r="391" spans="1:10" ht="12" hidden="1" customHeight="1" outlineLevel="2">
      <c r="A391" s="204"/>
      <c r="B391" s="297" t="s">
        <v>12</v>
      </c>
      <c r="C391" s="17" t="s">
        <v>687</v>
      </c>
      <c r="D391" s="664" t="s">
        <v>1575</v>
      </c>
      <c r="E391" s="306" t="s">
        <v>1617</v>
      </c>
      <c r="F391" s="307"/>
      <c r="G391" s="297" t="s">
        <v>550</v>
      </c>
      <c r="H391" s="308" t="str">
        <f t="shared" si="34"/>
        <v>ST-TXV-6</v>
      </c>
      <c r="I391" s="665">
        <v>6</v>
      </c>
      <c r="J391" s="195">
        <v>1</v>
      </c>
    </row>
    <row r="392" spans="1:10" ht="12" hidden="1" customHeight="1" outlineLevel="2">
      <c r="A392" s="204"/>
      <c r="B392" s="297" t="s">
        <v>12</v>
      </c>
      <c r="C392" s="17" t="s">
        <v>687</v>
      </c>
      <c r="D392" s="664" t="s">
        <v>1575</v>
      </c>
      <c r="E392" s="306" t="s">
        <v>1618</v>
      </c>
      <c r="F392" s="307"/>
      <c r="G392" s="297" t="s">
        <v>550</v>
      </c>
      <c r="H392" s="308" t="str">
        <f t="shared" si="34"/>
        <v>ST-TXV-5</v>
      </c>
      <c r="I392" s="665">
        <v>5</v>
      </c>
      <c r="J392" s="195">
        <v>1</v>
      </c>
    </row>
    <row r="393" spans="1:10" ht="12" hidden="1" customHeight="1" outlineLevel="2">
      <c r="A393" s="204"/>
      <c r="B393" s="297" t="s">
        <v>12</v>
      </c>
      <c r="C393" s="17" t="s">
        <v>687</v>
      </c>
      <c r="D393" s="664" t="s">
        <v>1575</v>
      </c>
      <c r="E393" s="306" t="s">
        <v>1705</v>
      </c>
      <c r="F393" s="307"/>
      <c r="G393" s="297" t="s">
        <v>550</v>
      </c>
      <c r="H393" s="308" t="str">
        <f t="shared" ref="H393:H394" si="41">CONCATENATE(B393,"-",G393,"-",I393)</f>
        <v>ST-TXV-8</v>
      </c>
      <c r="I393" s="665">
        <v>8</v>
      </c>
      <c r="J393" s="195">
        <v>1</v>
      </c>
    </row>
    <row r="394" spans="1:10" ht="12" hidden="1" customHeight="1" outlineLevel="2">
      <c r="A394" s="204"/>
      <c r="B394" s="297" t="s">
        <v>12</v>
      </c>
      <c r="C394" s="17" t="s">
        <v>687</v>
      </c>
      <c r="D394" s="664" t="s">
        <v>1575</v>
      </c>
      <c r="E394" s="306" t="s">
        <v>1706</v>
      </c>
      <c r="F394" s="307"/>
      <c r="G394" s="297" t="s">
        <v>550</v>
      </c>
      <c r="H394" s="308" t="str">
        <f t="shared" si="41"/>
        <v>ST-TXV-9</v>
      </c>
      <c r="I394" s="665">
        <v>9</v>
      </c>
      <c r="J394" s="195">
        <v>1</v>
      </c>
    </row>
    <row r="395" spans="1:10" s="190" customFormat="1" ht="12" hidden="1" customHeight="1" outlineLevel="1">
      <c r="A395" s="200"/>
      <c r="B395" s="297"/>
      <c r="C395" s="17"/>
      <c r="D395" s="664" t="s">
        <v>1707</v>
      </c>
      <c r="E395" s="306"/>
      <c r="F395" s="307"/>
      <c r="G395" s="297"/>
      <c r="H395" s="308"/>
      <c r="I395" s="665"/>
      <c r="J395" s="195"/>
    </row>
    <row r="396" spans="1:10" ht="12" hidden="1" customHeight="1" outlineLevel="2">
      <c r="A396" s="204"/>
      <c r="B396" s="297" t="s">
        <v>12</v>
      </c>
      <c r="C396" s="17" t="s">
        <v>687</v>
      </c>
      <c r="D396" s="664" t="s">
        <v>1575</v>
      </c>
      <c r="E396" s="306" t="s">
        <v>1577</v>
      </c>
      <c r="F396" s="307"/>
      <c r="G396" s="297" t="s">
        <v>550</v>
      </c>
      <c r="H396" s="308" t="str">
        <f t="shared" si="34"/>
        <v>ST-TXV-2</v>
      </c>
      <c r="I396" s="665">
        <v>2</v>
      </c>
      <c r="J396" s="195">
        <v>1</v>
      </c>
    </row>
    <row r="397" spans="1:10" ht="12" hidden="1" customHeight="1" outlineLevel="2">
      <c r="A397" s="204"/>
      <c r="B397" s="297" t="s">
        <v>12</v>
      </c>
      <c r="C397" s="17" t="s">
        <v>687</v>
      </c>
      <c r="D397" s="664" t="s">
        <v>1575</v>
      </c>
      <c r="E397" s="306" t="s">
        <v>1616</v>
      </c>
      <c r="F397" s="307"/>
      <c r="G397" s="297" t="s">
        <v>550</v>
      </c>
      <c r="H397" s="308" t="str">
        <f t="shared" si="34"/>
        <v>ST-TXV-5</v>
      </c>
      <c r="I397" s="665">
        <v>5</v>
      </c>
      <c r="J397" s="195">
        <v>1</v>
      </c>
    </row>
    <row r="398" spans="1:10" ht="12" hidden="1" customHeight="1" outlineLevel="2">
      <c r="A398" s="204"/>
      <c r="B398" s="297" t="s">
        <v>12</v>
      </c>
      <c r="C398" s="17" t="s">
        <v>687</v>
      </c>
      <c r="D398" s="664" t="s">
        <v>1575</v>
      </c>
      <c r="E398" s="306" t="s">
        <v>1617</v>
      </c>
      <c r="F398" s="307"/>
      <c r="G398" s="297" t="s">
        <v>550</v>
      </c>
      <c r="H398" s="308" t="str">
        <f t="shared" si="34"/>
        <v>ST-TXV-6</v>
      </c>
      <c r="I398" s="665">
        <v>6</v>
      </c>
      <c r="J398" s="195">
        <v>1</v>
      </c>
    </row>
    <row r="399" spans="1:10" ht="12" hidden="1" customHeight="1" outlineLevel="2">
      <c r="A399" s="204"/>
      <c r="B399" s="297" t="s">
        <v>12</v>
      </c>
      <c r="C399" s="17" t="s">
        <v>687</v>
      </c>
      <c r="D399" s="664" t="s">
        <v>1575</v>
      </c>
      <c r="E399" s="306" t="s">
        <v>1622</v>
      </c>
      <c r="F399" s="307"/>
      <c r="G399" s="297" t="s">
        <v>550</v>
      </c>
      <c r="H399" s="308" t="str">
        <f t="shared" ref="H399" si="42">CONCATENATE(B399,"-",G399,"-",I399)</f>
        <v>ST-TXV-5</v>
      </c>
      <c r="I399" s="665">
        <v>5</v>
      </c>
      <c r="J399" s="195">
        <v>1</v>
      </c>
    </row>
    <row r="400" spans="1:10" s="190" customFormat="1" ht="12" hidden="1" customHeight="1" outlineLevel="1">
      <c r="A400" s="200"/>
      <c r="B400" s="297"/>
      <c r="C400" s="17"/>
      <c r="D400" s="664" t="s">
        <v>1581</v>
      </c>
      <c r="E400" s="306"/>
      <c r="F400" s="307"/>
      <c r="G400" s="297"/>
      <c r="H400" s="308"/>
      <c r="I400" s="665"/>
      <c r="J400" s="195"/>
    </row>
    <row r="401" spans="1:21" ht="12" hidden="1" customHeight="1" outlineLevel="2">
      <c r="A401" s="204"/>
      <c r="B401" s="297" t="s">
        <v>12</v>
      </c>
      <c r="C401" s="17" t="s">
        <v>687</v>
      </c>
      <c r="D401" s="664" t="s">
        <v>12</v>
      </c>
      <c r="E401" s="306" t="s">
        <v>1582</v>
      </c>
      <c r="F401" s="307"/>
      <c r="G401" s="297" t="s">
        <v>550</v>
      </c>
      <c r="H401" s="308" t="str">
        <f t="shared" si="34"/>
        <v>ST-TXV-1</v>
      </c>
      <c r="I401" s="665">
        <v>1</v>
      </c>
      <c r="J401" s="195">
        <v>1</v>
      </c>
      <c r="L401" s="196"/>
      <c r="M401" s="197"/>
      <c r="N401" s="197"/>
      <c r="O401" s="197"/>
      <c r="P401" s="197"/>
      <c r="Q401" s="223"/>
      <c r="R401" s="223"/>
      <c r="S401" s="197"/>
      <c r="T401" s="197"/>
      <c r="U401" s="197"/>
    </row>
    <row r="402" spans="1:21" ht="12" hidden="1" customHeight="1" outlineLevel="2">
      <c r="A402" s="204"/>
      <c r="B402" s="297" t="s">
        <v>12</v>
      </c>
      <c r="C402" s="17" t="s">
        <v>687</v>
      </c>
      <c r="D402" s="664" t="s">
        <v>12</v>
      </c>
      <c r="E402" s="306" t="s">
        <v>1583</v>
      </c>
      <c r="F402" s="307"/>
      <c r="G402" s="297" t="s">
        <v>550</v>
      </c>
      <c r="H402" s="308" t="str">
        <f t="shared" si="34"/>
        <v>ST-TXV-8</v>
      </c>
      <c r="I402" s="665">
        <v>8</v>
      </c>
      <c r="J402" s="195">
        <v>1</v>
      </c>
      <c r="L402" s="205"/>
      <c r="M402" s="197"/>
      <c r="N402" s="209"/>
      <c r="O402" s="197"/>
      <c r="P402" s="197"/>
      <c r="Q402" s="224"/>
      <c r="R402" s="197"/>
      <c r="S402" s="225"/>
      <c r="T402" s="197"/>
      <c r="U402" s="197"/>
    </row>
    <row r="403" spans="1:21" ht="12" hidden="1" customHeight="1" outlineLevel="2">
      <c r="A403" s="204"/>
      <c r="B403" s="297" t="s">
        <v>12</v>
      </c>
      <c r="C403" s="17" t="s">
        <v>687</v>
      </c>
      <c r="D403" s="664" t="s">
        <v>12</v>
      </c>
      <c r="E403" s="306" t="s">
        <v>1584</v>
      </c>
      <c r="F403" s="307"/>
      <c r="G403" s="297" t="s">
        <v>550</v>
      </c>
      <c r="H403" s="308" t="str">
        <f t="shared" si="34"/>
        <v>ST-TXV-8</v>
      </c>
      <c r="I403" s="665">
        <v>8</v>
      </c>
      <c r="J403" s="195">
        <v>1</v>
      </c>
      <c r="L403" s="205"/>
      <c r="M403" s="197"/>
      <c r="N403" s="209"/>
      <c r="O403" s="197"/>
      <c r="P403" s="197"/>
      <c r="Q403" s="224"/>
      <c r="R403" s="197"/>
      <c r="S403" s="225"/>
      <c r="T403" s="197"/>
      <c r="U403" s="197"/>
    </row>
    <row r="404" spans="1:21" s="190" customFormat="1" ht="12" hidden="1" customHeight="1" outlineLevel="1">
      <c r="A404" s="200"/>
      <c r="B404" s="297"/>
      <c r="C404" s="17"/>
      <c r="D404" s="664" t="s">
        <v>1585</v>
      </c>
      <c r="E404" s="306"/>
      <c r="F404" s="307"/>
      <c r="G404" s="297"/>
      <c r="H404" s="308"/>
      <c r="I404" s="665"/>
      <c r="J404" s="195"/>
      <c r="K404" s="202"/>
      <c r="L404" s="189"/>
      <c r="M404" s="197"/>
      <c r="N404" s="197"/>
      <c r="O404" s="197"/>
      <c r="P404" s="197"/>
      <c r="Q404" s="198"/>
      <c r="R404" s="198"/>
      <c r="S404" s="197"/>
      <c r="T404" s="197"/>
      <c r="U404" s="197"/>
    </row>
    <row r="405" spans="1:21" ht="12" hidden="1" customHeight="1" outlineLevel="2">
      <c r="A405" s="204"/>
      <c r="B405" s="297" t="s">
        <v>12</v>
      </c>
      <c r="C405" s="17" t="s">
        <v>687</v>
      </c>
      <c r="D405" s="664" t="s">
        <v>1623</v>
      </c>
      <c r="E405" s="306" t="s">
        <v>1708</v>
      </c>
      <c r="F405" s="307"/>
      <c r="G405" s="297" t="s">
        <v>550</v>
      </c>
      <c r="H405" s="308" t="str">
        <f t="shared" si="34"/>
        <v>ST-TXV-9</v>
      </c>
      <c r="I405" s="665">
        <v>9</v>
      </c>
      <c r="J405" s="195">
        <v>1</v>
      </c>
      <c r="L405" s="205"/>
      <c r="M405" s="197"/>
      <c r="N405" s="209"/>
      <c r="O405" s="197"/>
      <c r="P405" s="197"/>
      <c r="Q405" s="224"/>
      <c r="R405" s="197"/>
      <c r="S405" s="225"/>
      <c r="T405" s="197"/>
      <c r="U405" s="197"/>
    </row>
    <row r="406" spans="1:21" ht="12" hidden="1" customHeight="1" outlineLevel="2">
      <c r="A406" s="204"/>
      <c r="B406" s="297" t="s">
        <v>12</v>
      </c>
      <c r="C406" s="17" t="s">
        <v>687</v>
      </c>
      <c r="D406" s="664" t="s">
        <v>1623</v>
      </c>
      <c r="E406" s="306" t="s">
        <v>1624</v>
      </c>
      <c r="F406" s="307"/>
      <c r="G406" s="297" t="s">
        <v>550</v>
      </c>
      <c r="H406" s="308" t="str">
        <f t="shared" si="34"/>
        <v>ST-TXV-9</v>
      </c>
      <c r="I406" s="665">
        <v>9</v>
      </c>
      <c r="J406" s="195">
        <v>1</v>
      </c>
      <c r="K406" s="378"/>
      <c r="L406" s="379"/>
      <c r="M406" s="208"/>
      <c r="N406" s="208"/>
      <c r="O406" s="208"/>
      <c r="P406" s="197"/>
      <c r="Q406" s="224"/>
      <c r="R406" s="225"/>
      <c r="S406" s="197"/>
      <c r="T406" s="224"/>
      <c r="U406" s="197"/>
    </row>
    <row r="407" spans="1:21" ht="3" customHeight="1">
      <c r="A407" s="204"/>
      <c r="B407" s="297"/>
      <c r="C407" s="17"/>
      <c r="D407" s="664"/>
      <c r="E407" s="306"/>
      <c r="F407" s="307"/>
      <c r="G407" s="297"/>
      <c r="H407" s="308"/>
      <c r="I407" s="665"/>
      <c r="L407" s="196"/>
      <c r="M407" s="197"/>
      <c r="N407" s="197"/>
      <c r="O407" s="197"/>
      <c r="P407" s="197"/>
      <c r="Q407" s="198"/>
      <c r="R407" s="198"/>
      <c r="S407" s="197"/>
      <c r="T407" s="197"/>
      <c r="U407" s="197"/>
    </row>
    <row r="408" spans="1:21" s="190" customFormat="1" ht="12" customHeight="1" collapsed="1">
      <c r="A408" s="153" t="s">
        <v>714</v>
      </c>
      <c r="B408" s="297"/>
      <c r="C408" s="17"/>
      <c r="D408" s="664"/>
      <c r="E408" s="306"/>
      <c r="F408" s="307"/>
      <c r="G408" s="297" t="s">
        <v>257</v>
      </c>
      <c r="H408" s="308" t="s">
        <v>258</v>
      </c>
      <c r="I408" s="665" t="s">
        <v>259</v>
      </c>
      <c r="J408" s="188">
        <v>41</v>
      </c>
      <c r="K408" s="188"/>
      <c r="L408" s="188">
        <f t="shared" ref="L408:P408" si="43">SUM(L409:L463)</f>
        <v>0</v>
      </c>
      <c r="M408" s="188">
        <v>5</v>
      </c>
      <c r="N408" s="188"/>
      <c r="O408" s="188">
        <f t="shared" si="43"/>
        <v>0</v>
      </c>
      <c r="P408" s="188">
        <f t="shared" si="43"/>
        <v>0</v>
      </c>
      <c r="Q408" s="219">
        <f>SUM(Q409:Q463)</f>
        <v>0</v>
      </c>
      <c r="R408" s="219">
        <f>SUM(R409:R463)</f>
        <v>0</v>
      </c>
      <c r="S408" s="219">
        <f>SUM(S409:S463)</f>
        <v>0</v>
      </c>
      <c r="T408" s="219">
        <f>SUM(T409:T463)</f>
        <v>0</v>
      </c>
      <c r="U408" s="219">
        <f>SUM(U409:U463)</f>
        <v>0</v>
      </c>
    </row>
    <row r="409" spans="1:21" s="190" customFormat="1" ht="12" hidden="1" customHeight="1" outlineLevel="1">
      <c r="A409" s="200"/>
      <c r="B409" s="297"/>
      <c r="C409" s="17"/>
      <c r="D409" s="664" t="s">
        <v>1588</v>
      </c>
      <c r="E409" s="306"/>
      <c r="F409" s="307"/>
      <c r="G409" s="297"/>
      <c r="H409" s="308"/>
      <c r="I409" s="665"/>
      <c r="J409" s="195"/>
      <c r="K409" s="202"/>
      <c r="L409" s="189"/>
      <c r="M409" s="197"/>
      <c r="N409" s="197"/>
      <c r="O409" s="197"/>
      <c r="P409" s="197"/>
      <c r="Q409" s="220"/>
      <c r="R409" s="220"/>
      <c r="S409" s="197"/>
      <c r="T409" s="197"/>
      <c r="U409" s="197"/>
    </row>
    <row r="410" spans="1:21" s="182" customFormat="1" ht="12" hidden="1" customHeight="1" outlineLevel="2">
      <c r="A410" s="191"/>
      <c r="B410" s="297" t="s">
        <v>12</v>
      </c>
      <c r="C410" s="17" t="s">
        <v>1709</v>
      </c>
      <c r="D410" s="664" t="s">
        <v>1497</v>
      </c>
      <c r="E410" s="306" t="s">
        <v>1625</v>
      </c>
      <c r="F410" s="307"/>
      <c r="G410" s="297" t="s">
        <v>715</v>
      </c>
      <c r="H410" s="308" t="str">
        <f t="shared" si="34"/>
        <v>ST-TXS-1</v>
      </c>
      <c r="I410" s="665">
        <v>1</v>
      </c>
      <c r="J410" s="195">
        <v>1</v>
      </c>
      <c r="K410" s="195"/>
      <c r="L410" s="198"/>
      <c r="M410" s="197"/>
      <c r="N410" s="197"/>
      <c r="O410" s="197"/>
      <c r="P410" s="197"/>
      <c r="Q410" s="198"/>
      <c r="R410" s="198"/>
      <c r="S410" s="197"/>
      <c r="T410" s="197"/>
      <c r="U410" s="197"/>
    </row>
    <row r="411" spans="1:21" s="182" customFormat="1" ht="12" hidden="1" customHeight="1" outlineLevel="2">
      <c r="A411" s="191"/>
      <c r="B411" s="297" t="s">
        <v>12</v>
      </c>
      <c r="C411" s="17" t="s">
        <v>1709</v>
      </c>
      <c r="D411" s="664" t="s">
        <v>1497</v>
      </c>
      <c r="E411" s="306" t="s">
        <v>1626</v>
      </c>
      <c r="F411" s="307"/>
      <c r="G411" s="297" t="s">
        <v>715</v>
      </c>
      <c r="H411" s="308" t="str">
        <f t="shared" si="34"/>
        <v>ST-TXS-1</v>
      </c>
      <c r="I411" s="665">
        <v>1</v>
      </c>
      <c r="J411" s="195">
        <v>1</v>
      </c>
      <c r="K411" s="195"/>
      <c r="L411" s="205"/>
      <c r="M411" s="197"/>
      <c r="N411" s="197"/>
      <c r="O411" s="197"/>
      <c r="P411" s="197"/>
      <c r="Q411" s="224"/>
      <c r="R411" s="224"/>
      <c r="S411" s="197"/>
      <c r="T411" s="197"/>
      <c r="U411" s="197"/>
    </row>
    <row r="412" spans="1:21" s="182" customFormat="1" ht="12" hidden="1" customHeight="1" outlineLevel="2">
      <c r="A412" s="191"/>
      <c r="B412" s="297" t="s">
        <v>12</v>
      </c>
      <c r="C412" s="17" t="s">
        <v>1709</v>
      </c>
      <c r="D412" s="664" t="s">
        <v>1497</v>
      </c>
      <c r="E412" s="306" t="s">
        <v>1627</v>
      </c>
      <c r="F412" s="307"/>
      <c r="G412" s="297" t="s">
        <v>715</v>
      </c>
      <c r="H412" s="308" t="str">
        <f t="shared" si="34"/>
        <v>ST-TXS-1</v>
      </c>
      <c r="I412" s="665">
        <v>1</v>
      </c>
      <c r="J412" s="195">
        <v>1</v>
      </c>
      <c r="K412" s="195"/>
      <c r="L412" s="205"/>
      <c r="M412" s="197"/>
      <c r="N412" s="197"/>
      <c r="O412" s="197"/>
      <c r="P412" s="197"/>
      <c r="Q412" s="224"/>
      <c r="R412" s="224"/>
      <c r="S412" s="197"/>
      <c r="T412" s="197"/>
      <c r="U412" s="197"/>
    </row>
    <row r="413" spans="1:21" s="190" customFormat="1" ht="12" hidden="1" customHeight="1" outlineLevel="1">
      <c r="A413" s="200"/>
      <c r="B413" s="297"/>
      <c r="C413" s="17"/>
      <c r="D413" s="664" t="s">
        <v>1543</v>
      </c>
      <c r="E413" s="306"/>
      <c r="F413" s="307"/>
      <c r="G413" s="297"/>
      <c r="H413" s="308"/>
      <c r="I413" s="661"/>
      <c r="J413" s="195"/>
      <c r="K413" s="202"/>
      <c r="L413" s="199"/>
      <c r="M413" s="197"/>
      <c r="N413" s="197"/>
      <c r="O413" s="197"/>
      <c r="P413" s="197"/>
      <c r="Q413" s="220"/>
      <c r="R413" s="220"/>
      <c r="S413" s="197"/>
      <c r="T413" s="197"/>
      <c r="U413" s="197"/>
    </row>
    <row r="414" spans="1:21" s="182" customFormat="1" ht="12" hidden="1" customHeight="1" outlineLevel="2">
      <c r="A414" s="191"/>
      <c r="B414" s="297" t="s">
        <v>12</v>
      </c>
      <c r="C414" s="17" t="s">
        <v>1709</v>
      </c>
      <c r="D414" s="664" t="s">
        <v>1500</v>
      </c>
      <c r="E414" s="306" t="s">
        <v>1544</v>
      </c>
      <c r="F414" s="307"/>
      <c r="G414" s="297" t="s">
        <v>715</v>
      </c>
      <c r="H414" s="308" t="str">
        <f t="shared" si="34"/>
        <v>ST-TXS-1</v>
      </c>
      <c r="I414" s="665">
        <v>1</v>
      </c>
      <c r="J414" s="195">
        <v>1</v>
      </c>
      <c r="K414" s="195"/>
      <c r="L414" s="205"/>
      <c r="M414" s="197"/>
      <c r="N414" s="197"/>
      <c r="O414" s="197"/>
      <c r="P414" s="197"/>
      <c r="Q414" s="224"/>
      <c r="R414" s="224"/>
      <c r="S414" s="197"/>
      <c r="T414" s="197"/>
      <c r="U414" s="197"/>
    </row>
    <row r="415" spans="1:21" s="182" customFormat="1" ht="12" hidden="1" customHeight="1" outlineLevel="2">
      <c r="A415" s="191"/>
      <c r="B415" s="297" t="s">
        <v>12</v>
      </c>
      <c r="C415" s="17" t="s">
        <v>1709</v>
      </c>
      <c r="D415" s="664" t="s">
        <v>1500</v>
      </c>
      <c r="E415" s="306" t="s">
        <v>1628</v>
      </c>
      <c r="F415" s="307"/>
      <c r="G415" s="297" t="s">
        <v>715</v>
      </c>
      <c r="H415" s="308" t="str">
        <f t="shared" si="34"/>
        <v>ST-TXS-1</v>
      </c>
      <c r="I415" s="665">
        <v>1</v>
      </c>
      <c r="J415" s="195">
        <v>1</v>
      </c>
      <c r="K415" s="195"/>
      <c r="L415" s="205"/>
      <c r="M415" s="197"/>
      <c r="N415" s="197"/>
      <c r="O415" s="197"/>
      <c r="P415" s="197"/>
      <c r="Q415" s="224"/>
      <c r="R415" s="224"/>
      <c r="S415" s="197"/>
      <c r="T415" s="197"/>
      <c r="U415" s="197"/>
    </row>
    <row r="416" spans="1:21" s="182" customFormat="1" ht="12" hidden="1" customHeight="1" outlineLevel="2">
      <c r="A416" s="191"/>
      <c r="B416" s="297" t="s">
        <v>12</v>
      </c>
      <c r="C416" s="17" t="s">
        <v>1709</v>
      </c>
      <c r="D416" s="664" t="s">
        <v>1500</v>
      </c>
      <c r="E416" s="306" t="s">
        <v>1710</v>
      </c>
      <c r="F416" s="307"/>
      <c r="G416" s="297" t="s">
        <v>715</v>
      </c>
      <c r="H416" s="308" t="str">
        <f t="shared" ref="H416" si="44">CONCATENATE(B416,"-",G416,"-",I416)</f>
        <v>ST-TXS-1</v>
      </c>
      <c r="I416" s="665">
        <v>1</v>
      </c>
      <c r="J416" s="195">
        <v>1</v>
      </c>
      <c r="K416" s="195"/>
      <c r="L416" s="195"/>
      <c r="M416" s="195"/>
      <c r="N416" s="197"/>
      <c r="O416" s="197"/>
      <c r="P416" s="197"/>
      <c r="Q416" s="195"/>
      <c r="R416" s="224"/>
      <c r="S416" s="195"/>
      <c r="T416" s="197"/>
      <c r="U416" s="197"/>
    </row>
    <row r="417" spans="1:10" s="182" customFormat="1" ht="12" hidden="1" customHeight="1" outlineLevel="2">
      <c r="A417" s="191"/>
      <c r="B417" s="297" t="s">
        <v>12</v>
      </c>
      <c r="C417" s="17" t="s">
        <v>1709</v>
      </c>
      <c r="D417" s="664" t="s">
        <v>1500</v>
      </c>
      <c r="E417" s="306" t="s">
        <v>1546</v>
      </c>
      <c r="F417" s="307"/>
      <c r="G417" s="297" t="s">
        <v>715</v>
      </c>
      <c r="H417" s="308" t="str">
        <f t="shared" si="34"/>
        <v>ST-TXS-1</v>
      </c>
      <c r="I417" s="665">
        <v>1</v>
      </c>
      <c r="J417" s="195">
        <v>1</v>
      </c>
    </row>
    <row r="418" spans="1:10" s="182" customFormat="1" ht="12" hidden="1" customHeight="1" outlineLevel="2">
      <c r="A418" s="191"/>
      <c r="B418" s="297" t="s">
        <v>12</v>
      </c>
      <c r="C418" s="17" t="s">
        <v>1709</v>
      </c>
      <c r="D418" s="664" t="s">
        <v>1500</v>
      </c>
      <c r="E418" s="306" t="s">
        <v>1631</v>
      </c>
      <c r="F418" s="307"/>
      <c r="G418" s="297" t="s">
        <v>715</v>
      </c>
      <c r="H418" s="308" t="str">
        <f t="shared" ref="H418:H460" si="45">CONCATENATE(B418,"-",G418,"-",I418)</f>
        <v>ST-TXS-5</v>
      </c>
      <c r="I418" s="665">
        <v>5</v>
      </c>
      <c r="J418" s="195">
        <v>1</v>
      </c>
    </row>
    <row r="419" spans="1:10" s="190" customFormat="1" ht="12" hidden="1" customHeight="1" outlineLevel="1">
      <c r="A419" s="200"/>
      <c r="B419" s="297"/>
      <c r="C419" s="17"/>
      <c r="D419" s="664" t="s">
        <v>1505</v>
      </c>
      <c r="E419" s="306"/>
      <c r="F419" s="307"/>
      <c r="G419" s="297"/>
      <c r="H419" s="308"/>
      <c r="I419" s="661"/>
      <c r="J419" s="195"/>
    </row>
    <row r="420" spans="1:10" s="182" customFormat="1" ht="12" hidden="1" customHeight="1" outlineLevel="2">
      <c r="A420" s="191"/>
      <c r="B420" s="297" t="s">
        <v>12</v>
      </c>
      <c r="C420" s="17" t="s">
        <v>1709</v>
      </c>
      <c r="D420" s="664" t="s">
        <v>1504</v>
      </c>
      <c r="E420" s="306" t="s">
        <v>1711</v>
      </c>
      <c r="F420" s="307"/>
      <c r="G420" s="297" t="s">
        <v>715</v>
      </c>
      <c r="H420" s="308" t="str">
        <f t="shared" si="45"/>
        <v>ST-TXS-4</v>
      </c>
      <c r="I420" s="665">
        <v>4</v>
      </c>
      <c r="J420" s="195">
        <v>1</v>
      </c>
    </row>
    <row r="421" spans="1:10" s="182" customFormat="1" ht="12" hidden="1" customHeight="1" outlineLevel="2">
      <c r="A421" s="191"/>
      <c r="B421" s="297" t="s">
        <v>12</v>
      </c>
      <c r="C421" s="17" t="s">
        <v>1709</v>
      </c>
      <c r="D421" s="664" t="s">
        <v>1504</v>
      </c>
      <c r="E421" s="306" t="s">
        <v>1712</v>
      </c>
      <c r="F421" s="307"/>
      <c r="G421" s="297" t="s">
        <v>715</v>
      </c>
      <c r="H421" s="308" t="str">
        <f t="shared" si="45"/>
        <v>ST-TXS-4</v>
      </c>
      <c r="I421" s="665">
        <v>4</v>
      </c>
      <c r="J421" s="195">
        <v>1</v>
      </c>
    </row>
    <row r="422" spans="1:10" s="182" customFormat="1" ht="12" hidden="1" customHeight="1" outlineLevel="2">
      <c r="A422" s="191"/>
      <c r="B422" s="297" t="s">
        <v>12</v>
      </c>
      <c r="C422" s="17" t="s">
        <v>1709</v>
      </c>
      <c r="D422" s="664" t="s">
        <v>1504</v>
      </c>
      <c r="E422" s="306" t="s">
        <v>1713</v>
      </c>
      <c r="F422" s="307"/>
      <c r="G422" s="297" t="s">
        <v>715</v>
      </c>
      <c r="H422" s="308" t="str">
        <f t="shared" ref="H422:H426" si="46">CONCATENATE(B422,"-",G422,"-",I422)</f>
        <v>ST-TXS-5</v>
      </c>
      <c r="I422" s="665">
        <v>5</v>
      </c>
      <c r="J422" s="195">
        <v>1</v>
      </c>
    </row>
    <row r="423" spans="1:10" s="182" customFormat="1" ht="12" hidden="1" customHeight="1" outlineLevel="2">
      <c r="A423" s="191"/>
      <c r="B423" s="297" t="s">
        <v>12</v>
      </c>
      <c r="C423" s="17" t="s">
        <v>1709</v>
      </c>
      <c r="D423" s="664" t="s">
        <v>1504</v>
      </c>
      <c r="E423" s="306" t="s">
        <v>1714</v>
      </c>
      <c r="F423" s="307"/>
      <c r="G423" s="297" t="s">
        <v>715</v>
      </c>
      <c r="H423" s="308" t="str">
        <f t="shared" si="46"/>
        <v>ST-TXS-5</v>
      </c>
      <c r="I423" s="665">
        <v>5</v>
      </c>
      <c r="J423" s="195">
        <v>1</v>
      </c>
    </row>
    <row r="424" spans="1:10" s="182" customFormat="1" ht="12" hidden="1" customHeight="1" outlineLevel="2">
      <c r="A424" s="191"/>
      <c r="B424" s="297" t="s">
        <v>12</v>
      </c>
      <c r="C424" s="17" t="s">
        <v>1709</v>
      </c>
      <c r="D424" s="664" t="s">
        <v>1504</v>
      </c>
      <c r="E424" s="306" t="s">
        <v>1715</v>
      </c>
      <c r="F424" s="307"/>
      <c r="G424" s="297" t="s">
        <v>715</v>
      </c>
      <c r="H424" s="308" t="str">
        <f t="shared" si="46"/>
        <v>ST-TXS-5</v>
      </c>
      <c r="I424" s="665">
        <v>5</v>
      </c>
      <c r="J424" s="195">
        <v>1</v>
      </c>
    </row>
    <row r="425" spans="1:10" s="182" customFormat="1" ht="12" hidden="1" customHeight="1" outlineLevel="2">
      <c r="A425" s="191"/>
      <c r="B425" s="297" t="s">
        <v>12</v>
      </c>
      <c r="C425" s="17" t="s">
        <v>1709</v>
      </c>
      <c r="D425" s="664" t="s">
        <v>1504</v>
      </c>
      <c r="E425" s="306" t="s">
        <v>1716</v>
      </c>
      <c r="F425" s="307"/>
      <c r="G425" s="297" t="s">
        <v>715</v>
      </c>
      <c r="H425" s="308" t="str">
        <f t="shared" si="46"/>
        <v>ST-TXS-5</v>
      </c>
      <c r="I425" s="665">
        <v>5</v>
      </c>
      <c r="J425" s="195">
        <v>1</v>
      </c>
    </row>
    <row r="426" spans="1:10" s="182" customFormat="1" ht="12" hidden="1" customHeight="1" outlineLevel="2">
      <c r="A426" s="191"/>
      <c r="B426" s="297" t="s">
        <v>12</v>
      </c>
      <c r="C426" s="17" t="s">
        <v>1709</v>
      </c>
      <c r="D426" s="664" t="s">
        <v>1504</v>
      </c>
      <c r="E426" s="306" t="s">
        <v>1717</v>
      </c>
      <c r="F426" s="307"/>
      <c r="G426" s="297" t="s">
        <v>715</v>
      </c>
      <c r="H426" s="308" t="str">
        <f t="shared" si="46"/>
        <v>ST-TXS-7</v>
      </c>
      <c r="I426" s="665">
        <v>7</v>
      </c>
      <c r="J426" s="195">
        <v>1</v>
      </c>
    </row>
    <row r="427" spans="1:10" s="182" customFormat="1" ht="12" hidden="1" customHeight="1" outlineLevel="2">
      <c r="A427" s="191"/>
      <c r="B427" s="297" t="s">
        <v>12</v>
      </c>
      <c r="C427" s="17" t="s">
        <v>1709</v>
      </c>
      <c r="D427" s="664" t="s">
        <v>1504</v>
      </c>
      <c r="E427" s="306" t="s">
        <v>1718</v>
      </c>
      <c r="F427" s="307"/>
      <c r="G427" s="297" t="s">
        <v>715</v>
      </c>
      <c r="H427" s="308" t="str">
        <f t="shared" si="45"/>
        <v>ST-TXS-8</v>
      </c>
      <c r="I427" s="665">
        <v>8</v>
      </c>
      <c r="J427" s="195">
        <v>1</v>
      </c>
    </row>
    <row r="428" spans="1:10" s="190" customFormat="1" ht="12" hidden="1" customHeight="1" outlineLevel="1">
      <c r="A428" s="200"/>
      <c r="B428" s="297"/>
      <c r="C428" s="17"/>
      <c r="D428" s="664" t="s">
        <v>1719</v>
      </c>
      <c r="E428" s="306"/>
      <c r="F428" s="307"/>
      <c r="G428" s="297"/>
      <c r="H428" s="308"/>
      <c r="I428" s="661"/>
      <c r="J428" s="195"/>
    </row>
    <row r="429" spans="1:10" s="182" customFormat="1" ht="12" hidden="1" customHeight="1" outlineLevel="2">
      <c r="A429" s="191"/>
      <c r="B429" s="297" t="s">
        <v>12</v>
      </c>
      <c r="C429" s="17" t="s">
        <v>1709</v>
      </c>
      <c r="D429" s="664" t="s">
        <v>1506</v>
      </c>
      <c r="E429" s="306" t="s">
        <v>1558</v>
      </c>
      <c r="F429" s="307"/>
      <c r="G429" s="297" t="s">
        <v>715</v>
      </c>
      <c r="H429" s="308" t="str">
        <f t="shared" si="45"/>
        <v>ST-TXS-2</v>
      </c>
      <c r="I429" s="665">
        <v>2</v>
      </c>
      <c r="J429" s="195">
        <v>1</v>
      </c>
    </row>
    <row r="430" spans="1:10" s="182" customFormat="1" ht="12" hidden="1" customHeight="1" outlineLevel="2">
      <c r="A430" s="191"/>
      <c r="B430" s="297" t="s">
        <v>12</v>
      </c>
      <c r="C430" s="17" t="s">
        <v>1709</v>
      </c>
      <c r="D430" s="664" t="s">
        <v>1506</v>
      </c>
      <c r="E430" s="306" t="s">
        <v>1559</v>
      </c>
      <c r="F430" s="307"/>
      <c r="G430" s="297" t="s">
        <v>715</v>
      </c>
      <c r="H430" s="308" t="str">
        <f t="shared" si="45"/>
        <v>ST-TXS-4</v>
      </c>
      <c r="I430" s="665">
        <v>4</v>
      </c>
      <c r="J430" s="195">
        <v>1</v>
      </c>
    </row>
    <row r="431" spans="1:10" s="182" customFormat="1" ht="12" hidden="1" customHeight="1" outlineLevel="2">
      <c r="A431" s="191"/>
      <c r="B431" s="297" t="s">
        <v>12</v>
      </c>
      <c r="C431" s="17" t="s">
        <v>1709</v>
      </c>
      <c r="D431" s="664" t="s">
        <v>1506</v>
      </c>
      <c r="E431" s="306" t="s">
        <v>1644</v>
      </c>
      <c r="F431" s="307"/>
      <c r="G431" s="297" t="s">
        <v>715</v>
      </c>
      <c r="H431" s="308" t="str">
        <f t="shared" si="45"/>
        <v>ST-TXS-4</v>
      </c>
      <c r="I431" s="665">
        <v>4</v>
      </c>
      <c r="J431" s="195">
        <v>1</v>
      </c>
    </row>
    <row r="432" spans="1:10" s="182" customFormat="1" ht="12" hidden="1" customHeight="1" outlineLevel="2">
      <c r="A432" s="191"/>
      <c r="B432" s="297" t="s">
        <v>12</v>
      </c>
      <c r="C432" s="17" t="s">
        <v>1709</v>
      </c>
      <c r="D432" s="664" t="s">
        <v>1506</v>
      </c>
      <c r="E432" s="306" t="s">
        <v>1645</v>
      </c>
      <c r="F432" s="307"/>
      <c r="G432" s="297" t="s">
        <v>715</v>
      </c>
      <c r="H432" s="308" t="str">
        <f t="shared" ref="H432:H437" si="47">CONCATENATE(B432,"-",G432,"-",I432)</f>
        <v>ST-TXS-5</v>
      </c>
      <c r="I432" s="665">
        <v>5</v>
      </c>
      <c r="J432" s="195">
        <v>1</v>
      </c>
    </row>
    <row r="433" spans="1:10" s="182" customFormat="1" ht="12" hidden="1" customHeight="1" outlineLevel="2">
      <c r="A433" s="191"/>
      <c r="B433" s="297" t="s">
        <v>12</v>
      </c>
      <c r="C433" s="17" t="s">
        <v>1709</v>
      </c>
      <c r="D433" s="664" t="s">
        <v>1506</v>
      </c>
      <c r="E433" s="306" t="s">
        <v>1646</v>
      </c>
      <c r="F433" s="307"/>
      <c r="G433" s="297" t="s">
        <v>715</v>
      </c>
      <c r="H433" s="308" t="str">
        <f t="shared" si="47"/>
        <v>ST-TXS-5</v>
      </c>
      <c r="I433" s="665">
        <v>5</v>
      </c>
      <c r="J433" s="195">
        <v>1</v>
      </c>
    </row>
    <row r="434" spans="1:10" s="182" customFormat="1" ht="12" hidden="1" customHeight="1" outlineLevel="2">
      <c r="A434" s="191"/>
      <c r="B434" s="297" t="s">
        <v>12</v>
      </c>
      <c r="C434" s="17" t="s">
        <v>1709</v>
      </c>
      <c r="D434" s="664" t="s">
        <v>1506</v>
      </c>
      <c r="E434" s="306" t="s">
        <v>1647</v>
      </c>
      <c r="F434" s="307"/>
      <c r="G434" s="297" t="s">
        <v>715</v>
      </c>
      <c r="H434" s="308" t="str">
        <f t="shared" si="47"/>
        <v>ST-TXS-5</v>
      </c>
      <c r="I434" s="665">
        <v>5</v>
      </c>
      <c r="J434" s="195">
        <v>1</v>
      </c>
    </row>
    <row r="435" spans="1:10" s="182" customFormat="1" ht="12" hidden="1" customHeight="1" outlineLevel="2">
      <c r="A435" s="191"/>
      <c r="B435" s="297" t="s">
        <v>12</v>
      </c>
      <c r="C435" s="17" t="s">
        <v>1709</v>
      </c>
      <c r="D435" s="664" t="s">
        <v>1506</v>
      </c>
      <c r="E435" s="306" t="s">
        <v>1648</v>
      </c>
      <c r="F435" s="307"/>
      <c r="G435" s="297" t="s">
        <v>715</v>
      </c>
      <c r="H435" s="308" t="str">
        <f t="shared" si="47"/>
        <v>ST-TXS-5</v>
      </c>
      <c r="I435" s="665">
        <v>5</v>
      </c>
      <c r="J435" s="195">
        <v>1</v>
      </c>
    </row>
    <row r="436" spans="1:10" s="182" customFormat="1" ht="12" hidden="1" customHeight="1" outlineLevel="2">
      <c r="A436" s="191"/>
      <c r="B436" s="297" t="s">
        <v>12</v>
      </c>
      <c r="C436" s="17" t="s">
        <v>1709</v>
      </c>
      <c r="D436" s="664" t="s">
        <v>1506</v>
      </c>
      <c r="E436" s="306" t="s">
        <v>1649</v>
      </c>
      <c r="F436" s="307"/>
      <c r="G436" s="297" t="s">
        <v>715</v>
      </c>
      <c r="H436" s="308" t="str">
        <f t="shared" si="47"/>
        <v>ST-TXS-7</v>
      </c>
      <c r="I436" s="665">
        <v>7</v>
      </c>
      <c r="J436" s="195">
        <v>1</v>
      </c>
    </row>
    <row r="437" spans="1:10" s="182" customFormat="1" ht="12" hidden="1" customHeight="1" outlineLevel="2">
      <c r="A437" s="191"/>
      <c r="B437" s="297" t="s">
        <v>12</v>
      </c>
      <c r="C437" s="17" t="s">
        <v>1709</v>
      </c>
      <c r="D437" s="664" t="s">
        <v>1506</v>
      </c>
      <c r="E437" s="306" t="s">
        <v>1650</v>
      </c>
      <c r="F437" s="307"/>
      <c r="G437" s="297" t="s">
        <v>715</v>
      </c>
      <c r="H437" s="308" t="str">
        <f t="shared" si="47"/>
        <v>ST-TXS-8</v>
      </c>
      <c r="I437" s="665">
        <v>8</v>
      </c>
      <c r="J437" s="195">
        <v>1</v>
      </c>
    </row>
    <row r="438" spans="1:10" s="190" customFormat="1" ht="12" hidden="1" customHeight="1" outlineLevel="1">
      <c r="A438" s="200"/>
      <c r="B438" s="297"/>
      <c r="C438" s="17"/>
      <c r="D438" s="664" t="s">
        <v>1651</v>
      </c>
      <c r="E438" s="306"/>
      <c r="F438" s="307"/>
      <c r="G438" s="297"/>
      <c r="H438" s="308"/>
      <c r="I438" s="661"/>
      <c r="J438" s="195"/>
    </row>
    <row r="439" spans="1:10" s="182" customFormat="1" ht="12" hidden="1" customHeight="1" outlineLevel="2">
      <c r="A439" s="191"/>
      <c r="B439" s="297" t="s">
        <v>12</v>
      </c>
      <c r="C439" s="17" t="s">
        <v>1709</v>
      </c>
      <c r="D439" s="664" t="s">
        <v>1508</v>
      </c>
      <c r="E439" s="306" t="s">
        <v>1567</v>
      </c>
      <c r="F439" s="307"/>
      <c r="G439" s="297" t="s">
        <v>715</v>
      </c>
      <c r="H439" s="308" t="str">
        <f t="shared" si="45"/>
        <v>ST-TXS-2</v>
      </c>
      <c r="I439" s="665">
        <v>2</v>
      </c>
      <c r="J439" s="195">
        <v>1</v>
      </c>
    </row>
    <row r="440" spans="1:10" s="182" customFormat="1" ht="12" hidden="1" customHeight="1" outlineLevel="2">
      <c r="A440" s="191"/>
      <c r="B440" s="297" t="s">
        <v>12</v>
      </c>
      <c r="C440" s="17" t="s">
        <v>1709</v>
      </c>
      <c r="D440" s="664" t="s">
        <v>1508</v>
      </c>
      <c r="E440" s="306" t="s">
        <v>1568</v>
      </c>
      <c r="F440" s="307"/>
      <c r="G440" s="297" t="s">
        <v>715</v>
      </c>
      <c r="H440" s="308" t="str">
        <f t="shared" si="45"/>
        <v>ST-TXS-4</v>
      </c>
      <c r="I440" s="665">
        <v>4</v>
      </c>
      <c r="J440" s="195">
        <v>1</v>
      </c>
    </row>
    <row r="441" spans="1:10" s="182" customFormat="1" ht="12" hidden="1" customHeight="1" outlineLevel="2">
      <c r="A441" s="191"/>
      <c r="B441" s="297" t="s">
        <v>12</v>
      </c>
      <c r="C441" s="17" t="s">
        <v>1709</v>
      </c>
      <c r="D441" s="664" t="s">
        <v>1508</v>
      </c>
      <c r="E441" s="306" t="s">
        <v>1652</v>
      </c>
      <c r="F441" s="307"/>
      <c r="G441" s="297" t="s">
        <v>715</v>
      </c>
      <c r="H441" s="308" t="str">
        <f t="shared" si="45"/>
        <v>ST-TXS-4</v>
      </c>
      <c r="I441" s="665">
        <v>4</v>
      </c>
      <c r="J441" s="195">
        <v>1</v>
      </c>
    </row>
    <row r="442" spans="1:10" s="182" customFormat="1" ht="12" hidden="1" customHeight="1" outlineLevel="2">
      <c r="A442" s="191"/>
      <c r="B442" s="297" t="s">
        <v>12</v>
      </c>
      <c r="C442" s="17" t="s">
        <v>1709</v>
      </c>
      <c r="D442" s="664" t="s">
        <v>1508</v>
      </c>
      <c r="E442" s="306" t="s">
        <v>1653</v>
      </c>
      <c r="F442" s="307"/>
      <c r="G442" s="297" t="s">
        <v>715</v>
      </c>
      <c r="H442" s="308" t="str">
        <f t="shared" ref="H442:H447" si="48">CONCATENATE(B442,"-",G442,"-",I442)</f>
        <v>ST-TXS-5</v>
      </c>
      <c r="I442" s="665">
        <v>5</v>
      </c>
      <c r="J442" s="195">
        <v>1</v>
      </c>
    </row>
    <row r="443" spans="1:10" s="182" customFormat="1" ht="12" hidden="1" customHeight="1" outlineLevel="2">
      <c r="A443" s="191"/>
      <c r="B443" s="297" t="s">
        <v>12</v>
      </c>
      <c r="C443" s="17" t="s">
        <v>1709</v>
      </c>
      <c r="D443" s="664" t="s">
        <v>1508</v>
      </c>
      <c r="E443" s="306" t="s">
        <v>1654</v>
      </c>
      <c r="F443" s="307"/>
      <c r="G443" s="297" t="s">
        <v>715</v>
      </c>
      <c r="H443" s="308" t="str">
        <f t="shared" si="48"/>
        <v>ST-TXS-5</v>
      </c>
      <c r="I443" s="665">
        <v>5</v>
      </c>
      <c r="J443" s="195">
        <v>1</v>
      </c>
    </row>
    <row r="444" spans="1:10" s="182" customFormat="1" ht="12" hidden="1" customHeight="1" outlineLevel="2">
      <c r="A444" s="191"/>
      <c r="B444" s="297" t="s">
        <v>12</v>
      </c>
      <c r="C444" s="17" t="s">
        <v>1709</v>
      </c>
      <c r="D444" s="664" t="s">
        <v>1508</v>
      </c>
      <c r="E444" s="306" t="s">
        <v>1655</v>
      </c>
      <c r="F444" s="307"/>
      <c r="G444" s="297" t="s">
        <v>715</v>
      </c>
      <c r="H444" s="308" t="str">
        <f t="shared" si="48"/>
        <v>ST-TXS-5</v>
      </c>
      <c r="I444" s="665">
        <v>5</v>
      </c>
      <c r="J444" s="195">
        <v>1</v>
      </c>
    </row>
    <row r="445" spans="1:10" s="182" customFormat="1" ht="12" hidden="1" customHeight="1" outlineLevel="2">
      <c r="A445" s="191"/>
      <c r="B445" s="297" t="s">
        <v>12</v>
      </c>
      <c r="C445" s="17" t="s">
        <v>1709</v>
      </c>
      <c r="D445" s="664" t="s">
        <v>1508</v>
      </c>
      <c r="E445" s="306" t="s">
        <v>1656</v>
      </c>
      <c r="F445" s="307"/>
      <c r="G445" s="297" t="s">
        <v>715</v>
      </c>
      <c r="H445" s="308" t="str">
        <f t="shared" si="48"/>
        <v>ST-TXS-5</v>
      </c>
      <c r="I445" s="665">
        <v>5</v>
      </c>
      <c r="J445" s="195">
        <v>1</v>
      </c>
    </row>
    <row r="446" spans="1:10" s="182" customFormat="1" ht="12" hidden="1" customHeight="1" outlineLevel="2">
      <c r="A446" s="191"/>
      <c r="B446" s="297" t="s">
        <v>12</v>
      </c>
      <c r="C446" s="17" t="s">
        <v>1709</v>
      </c>
      <c r="D446" s="664" t="s">
        <v>1508</v>
      </c>
      <c r="E446" s="306" t="s">
        <v>1657</v>
      </c>
      <c r="F446" s="307"/>
      <c r="G446" s="297" t="s">
        <v>715</v>
      </c>
      <c r="H446" s="308" t="str">
        <f t="shared" si="48"/>
        <v>ST-TXS-7</v>
      </c>
      <c r="I446" s="665">
        <v>7</v>
      </c>
      <c r="J446" s="195">
        <v>1</v>
      </c>
    </row>
    <row r="447" spans="1:10" s="182" customFormat="1" ht="12" hidden="1" customHeight="1" outlineLevel="2">
      <c r="A447" s="191"/>
      <c r="B447" s="297" t="s">
        <v>12</v>
      </c>
      <c r="C447" s="17" t="s">
        <v>1709</v>
      </c>
      <c r="D447" s="664" t="s">
        <v>1508</v>
      </c>
      <c r="E447" s="306" t="s">
        <v>1658</v>
      </c>
      <c r="F447" s="307"/>
      <c r="G447" s="297" t="s">
        <v>715</v>
      </c>
      <c r="H447" s="308" t="str">
        <f t="shared" si="48"/>
        <v>ST-TXS-8</v>
      </c>
      <c r="I447" s="665">
        <v>8</v>
      </c>
      <c r="J447" s="195">
        <v>1</v>
      </c>
    </row>
    <row r="448" spans="1:10" s="190" customFormat="1" ht="12" hidden="1" customHeight="1" outlineLevel="1">
      <c r="A448" s="200"/>
      <c r="B448" s="297"/>
      <c r="C448" s="17"/>
      <c r="D448" s="664" t="s">
        <v>1574</v>
      </c>
      <c r="E448" s="306"/>
      <c r="F448" s="307"/>
      <c r="G448" s="297"/>
      <c r="H448" s="308"/>
      <c r="I448" s="661"/>
      <c r="J448" s="195"/>
    </row>
    <row r="449" spans="1:10" ht="12" hidden="1" customHeight="1" outlineLevel="2">
      <c r="A449" s="204"/>
      <c r="B449" s="297" t="s">
        <v>12</v>
      </c>
      <c r="C449" s="17" t="s">
        <v>1709</v>
      </c>
      <c r="D449" s="664" t="s">
        <v>1575</v>
      </c>
      <c r="E449" s="306" t="s">
        <v>1660</v>
      </c>
      <c r="F449" s="307"/>
      <c r="G449" s="297" t="s">
        <v>715</v>
      </c>
      <c r="H449" s="308" t="str">
        <f t="shared" si="45"/>
        <v>ST-TXS-4</v>
      </c>
      <c r="I449" s="665">
        <v>4</v>
      </c>
      <c r="J449" s="195">
        <v>1</v>
      </c>
    </row>
    <row r="450" spans="1:10" ht="12" hidden="1" customHeight="1" outlineLevel="2">
      <c r="A450" s="204"/>
      <c r="B450" s="297" t="s">
        <v>12</v>
      </c>
      <c r="C450" s="17" t="s">
        <v>1709</v>
      </c>
      <c r="D450" s="664" t="s">
        <v>1575</v>
      </c>
      <c r="E450" s="306" t="s">
        <v>1720</v>
      </c>
      <c r="F450" s="307"/>
      <c r="G450" s="297" t="s">
        <v>715</v>
      </c>
      <c r="H450" s="308" t="str">
        <f t="shared" ref="H450:H456" si="49">CONCATENATE(B450,"-",G450,"-",I450)</f>
        <v>ST-TXS-4</v>
      </c>
      <c r="I450" s="665">
        <v>4</v>
      </c>
      <c r="J450" s="195">
        <v>1</v>
      </c>
    </row>
    <row r="451" spans="1:10" ht="12" hidden="1" customHeight="1" outlineLevel="2">
      <c r="A451" s="204"/>
      <c r="B451" s="297" t="s">
        <v>12</v>
      </c>
      <c r="C451" s="17" t="s">
        <v>1709</v>
      </c>
      <c r="D451" s="664" t="s">
        <v>1575</v>
      </c>
      <c r="E451" s="306" t="s">
        <v>1662</v>
      </c>
      <c r="F451" s="307"/>
      <c r="G451" s="297" t="s">
        <v>715</v>
      </c>
      <c r="H451" s="308" t="str">
        <f t="shared" si="49"/>
        <v>ST-TXS-5</v>
      </c>
      <c r="I451" s="665">
        <v>5</v>
      </c>
      <c r="J451" s="195">
        <v>1</v>
      </c>
    </row>
    <row r="452" spans="1:10" ht="12" hidden="1" customHeight="1" outlineLevel="2">
      <c r="A452" s="204"/>
      <c r="B452" s="297" t="s">
        <v>12</v>
      </c>
      <c r="C452" s="17" t="s">
        <v>1709</v>
      </c>
      <c r="D452" s="664" t="s">
        <v>1575</v>
      </c>
      <c r="E452" s="306" t="s">
        <v>1663</v>
      </c>
      <c r="F452" s="307"/>
      <c r="G452" s="297" t="s">
        <v>715</v>
      </c>
      <c r="H452" s="308" t="str">
        <f t="shared" si="49"/>
        <v>ST-TXS-5</v>
      </c>
      <c r="I452" s="665">
        <v>5</v>
      </c>
      <c r="J452" s="195">
        <v>1</v>
      </c>
    </row>
    <row r="453" spans="1:10" ht="12" hidden="1" customHeight="1" outlineLevel="2">
      <c r="A453" s="204"/>
      <c r="B453" s="297" t="s">
        <v>12</v>
      </c>
      <c r="C453" s="17" t="s">
        <v>1709</v>
      </c>
      <c r="D453" s="664" t="s">
        <v>1575</v>
      </c>
      <c r="E453" s="306" t="s">
        <v>1664</v>
      </c>
      <c r="F453" s="307"/>
      <c r="G453" s="297" t="s">
        <v>715</v>
      </c>
      <c r="H453" s="308" t="str">
        <f t="shared" si="49"/>
        <v>ST-TXS-5</v>
      </c>
      <c r="I453" s="665">
        <v>5</v>
      </c>
      <c r="J453" s="195">
        <v>1</v>
      </c>
    </row>
    <row r="454" spans="1:10" ht="12" hidden="1" customHeight="1" outlineLevel="2">
      <c r="A454" s="204"/>
      <c r="B454" s="297" t="s">
        <v>12</v>
      </c>
      <c r="C454" s="17" t="s">
        <v>1709</v>
      </c>
      <c r="D454" s="664" t="s">
        <v>1575</v>
      </c>
      <c r="E454" s="306" t="s">
        <v>1665</v>
      </c>
      <c r="F454" s="307"/>
      <c r="G454" s="297" t="s">
        <v>715</v>
      </c>
      <c r="H454" s="308" t="str">
        <f t="shared" si="49"/>
        <v>ST-TXS-5</v>
      </c>
      <c r="I454" s="665">
        <v>5</v>
      </c>
      <c r="J454" s="195">
        <v>1</v>
      </c>
    </row>
    <row r="455" spans="1:10" ht="12" hidden="1" customHeight="1" outlineLevel="2">
      <c r="A455" s="204"/>
      <c r="B455" s="297" t="s">
        <v>12</v>
      </c>
      <c r="C455" s="17" t="s">
        <v>1709</v>
      </c>
      <c r="D455" s="664" t="s">
        <v>1575</v>
      </c>
      <c r="E455" s="306" t="s">
        <v>1666</v>
      </c>
      <c r="F455" s="307"/>
      <c r="G455" s="297" t="s">
        <v>715</v>
      </c>
      <c r="H455" s="308" t="str">
        <f t="shared" si="49"/>
        <v>ST-TXS-7</v>
      </c>
      <c r="I455" s="665">
        <v>7</v>
      </c>
      <c r="J455" s="195">
        <v>1</v>
      </c>
    </row>
    <row r="456" spans="1:10" ht="12" hidden="1" customHeight="1" outlineLevel="2">
      <c r="A456" s="204"/>
      <c r="B456" s="297" t="s">
        <v>12</v>
      </c>
      <c r="C456" s="17" t="s">
        <v>1709</v>
      </c>
      <c r="D456" s="664" t="s">
        <v>1575</v>
      </c>
      <c r="E456" s="306" t="s">
        <v>1667</v>
      </c>
      <c r="F456" s="307"/>
      <c r="G456" s="297" t="s">
        <v>715</v>
      </c>
      <c r="H456" s="308" t="str">
        <f t="shared" si="49"/>
        <v>ST-TXS-8</v>
      </c>
      <c r="I456" s="665">
        <v>8</v>
      </c>
      <c r="J456" s="195">
        <v>1</v>
      </c>
    </row>
    <row r="457" spans="1:10" s="190" customFormat="1" ht="12" hidden="1" customHeight="1" outlineLevel="1">
      <c r="A457" s="200"/>
      <c r="B457" s="297"/>
      <c r="C457" s="17"/>
      <c r="D457" s="664" t="s">
        <v>1581</v>
      </c>
      <c r="E457" s="306"/>
      <c r="F457" s="307"/>
      <c r="G457" s="297"/>
      <c r="H457" s="308"/>
      <c r="I457" s="661"/>
      <c r="J457" s="195"/>
    </row>
    <row r="458" spans="1:10" ht="12" hidden="1" customHeight="1" outlineLevel="2">
      <c r="A458" s="204"/>
      <c r="B458" s="297" t="s">
        <v>12</v>
      </c>
      <c r="C458" s="17" t="s">
        <v>1721</v>
      </c>
      <c r="D458" s="664" t="s">
        <v>12</v>
      </c>
      <c r="E458" s="306" t="s">
        <v>1722</v>
      </c>
      <c r="F458" s="307"/>
      <c r="G458" s="297" t="s">
        <v>715</v>
      </c>
      <c r="H458" s="308" t="str">
        <f t="shared" si="45"/>
        <v>ST-TXS-1</v>
      </c>
      <c r="I458" s="665">
        <v>1</v>
      </c>
      <c r="J458" s="195">
        <v>1</v>
      </c>
    </row>
    <row r="459" spans="1:10" ht="12" hidden="1" customHeight="1" outlineLevel="2">
      <c r="A459" s="204"/>
      <c r="B459" s="297" t="s">
        <v>12</v>
      </c>
      <c r="C459" s="17" t="s">
        <v>1721</v>
      </c>
      <c r="D459" s="664" t="s">
        <v>12</v>
      </c>
      <c r="E459" s="306" t="s">
        <v>1670</v>
      </c>
      <c r="F459" s="307"/>
      <c r="G459" s="297" t="s">
        <v>715</v>
      </c>
      <c r="H459" s="308" t="str">
        <f t="shared" si="45"/>
        <v>ST-TXS-1</v>
      </c>
      <c r="I459" s="665">
        <v>1</v>
      </c>
      <c r="J459" s="195">
        <v>1</v>
      </c>
    </row>
    <row r="460" spans="1:10" ht="12" hidden="1" customHeight="1" outlineLevel="2">
      <c r="A460" s="204"/>
      <c r="B460" s="297" t="s">
        <v>12</v>
      </c>
      <c r="C460" s="17" t="s">
        <v>1721</v>
      </c>
      <c r="D460" s="664" t="s">
        <v>12</v>
      </c>
      <c r="E460" s="306" t="s">
        <v>1671</v>
      </c>
      <c r="F460" s="307"/>
      <c r="G460" s="297" t="s">
        <v>715</v>
      </c>
      <c r="H460" s="308" t="str">
        <f t="shared" si="45"/>
        <v>ST-TXS-1</v>
      </c>
      <c r="I460" s="665">
        <v>1</v>
      </c>
      <c r="J460" s="195">
        <v>1</v>
      </c>
    </row>
    <row r="461" spans="1:10" s="190" customFormat="1" ht="12" hidden="1" customHeight="1" outlineLevel="1">
      <c r="A461" s="200"/>
      <c r="B461" s="297"/>
      <c r="C461" s="17"/>
      <c r="D461" s="664" t="s">
        <v>1674</v>
      </c>
      <c r="E461" s="306"/>
      <c r="F461" s="307"/>
      <c r="G461" s="297"/>
      <c r="H461" s="308"/>
      <c r="I461" s="661"/>
      <c r="J461" s="195"/>
    </row>
    <row r="462" spans="1:10" ht="12" hidden="1" customHeight="1" outlineLevel="2">
      <c r="A462" s="204"/>
      <c r="B462" s="297" t="s">
        <v>12</v>
      </c>
      <c r="C462" s="17" t="s">
        <v>597</v>
      </c>
      <c r="D462" s="664" t="s">
        <v>1623</v>
      </c>
      <c r="E462" s="306" t="s">
        <v>1723</v>
      </c>
      <c r="F462" s="307"/>
      <c r="G462" s="297" t="s">
        <v>715</v>
      </c>
      <c r="H462" s="308" t="str">
        <f>CONCATENATE(B462,"-",G462,"-",I462)</f>
        <v>ST-TXS-8</v>
      </c>
      <c r="I462" s="665">
        <v>8</v>
      </c>
      <c r="J462" s="195">
        <v>1</v>
      </c>
    </row>
    <row r="463" spans="1:10" ht="12" hidden="1" customHeight="1" outlineLevel="2">
      <c r="A463" s="204"/>
      <c r="B463" s="297" t="s">
        <v>12</v>
      </c>
      <c r="C463" s="17" t="s">
        <v>597</v>
      </c>
      <c r="D463" s="664" t="s">
        <v>1623</v>
      </c>
      <c r="E463" s="306" t="s">
        <v>1676</v>
      </c>
      <c r="F463" s="307"/>
      <c r="G463" s="297" t="s">
        <v>715</v>
      </c>
      <c r="H463" s="308" t="str">
        <f>CONCATENATE(B463,"-",G463,"-",I463)</f>
        <v>ST-TXS-8</v>
      </c>
      <c r="I463" s="665">
        <v>8</v>
      </c>
      <c r="J463" s="195">
        <v>1</v>
      </c>
    </row>
    <row r="465" spans="1:21" s="190" customFormat="1" ht="12" customHeight="1" collapsed="1">
      <c r="A465" s="153" t="s">
        <v>749</v>
      </c>
      <c r="B465" s="297"/>
      <c r="C465" s="17"/>
      <c r="D465" s="664"/>
      <c r="E465" s="306"/>
      <c r="F465" s="307"/>
      <c r="G465" s="297" t="s">
        <v>257</v>
      </c>
      <c r="H465" s="308" t="s">
        <v>258</v>
      </c>
      <c r="I465" s="665" t="s">
        <v>259</v>
      </c>
      <c r="J465" s="188">
        <v>83</v>
      </c>
      <c r="K465" s="188"/>
      <c r="L465" s="188">
        <f t="shared" ref="L465:P465" si="50">SUM(L466:L560)</f>
        <v>0</v>
      </c>
      <c r="M465" s="188"/>
      <c r="N465" s="188"/>
      <c r="O465" s="188">
        <f t="shared" si="50"/>
        <v>0</v>
      </c>
      <c r="P465" s="188">
        <f t="shared" si="50"/>
        <v>0</v>
      </c>
      <c r="Q465" s="219">
        <f>SUM(Q466:Q560)</f>
        <v>0</v>
      </c>
      <c r="R465" s="219">
        <f>SUM(R466:R560)</f>
        <v>0</v>
      </c>
      <c r="S465" s="219">
        <f>SUM(S466:S560)</f>
        <v>0</v>
      </c>
      <c r="T465" s="219">
        <f>SUM(T466:T560)</f>
        <v>0</v>
      </c>
      <c r="U465" s="219">
        <f>SUM(U466:U560)</f>
        <v>0</v>
      </c>
    </row>
    <row r="466" spans="1:21" s="190" customFormat="1" ht="12" hidden="1" customHeight="1" outlineLevel="1">
      <c r="A466" s="200"/>
      <c r="B466" s="297"/>
      <c r="C466" s="17"/>
      <c r="D466" s="664" t="s">
        <v>1679</v>
      </c>
      <c r="E466" s="306"/>
      <c r="F466" s="307"/>
      <c r="G466" s="297"/>
      <c r="H466" s="308"/>
      <c r="I466" s="661"/>
      <c r="J466" s="195"/>
      <c r="K466" s="202"/>
      <c r="L466" s="189"/>
      <c r="M466" s="197"/>
      <c r="N466" s="197"/>
      <c r="O466" s="197"/>
      <c r="P466" s="197"/>
      <c r="Q466" s="220"/>
      <c r="R466" s="220"/>
      <c r="S466" s="197"/>
      <c r="T466" s="197"/>
      <c r="U466" s="197"/>
    </row>
    <row r="467" spans="1:21" s="182" customFormat="1" ht="12" hidden="1" customHeight="1" outlineLevel="2">
      <c r="A467" s="191"/>
      <c r="B467" s="297" t="s">
        <v>12</v>
      </c>
      <c r="C467" s="17" t="s">
        <v>751</v>
      </c>
      <c r="D467" s="664" t="s">
        <v>1497</v>
      </c>
      <c r="E467" s="306" t="s">
        <v>1680</v>
      </c>
      <c r="F467" s="307"/>
      <c r="G467" s="297" t="s">
        <v>751</v>
      </c>
      <c r="H467" s="308" t="str">
        <f t="shared" ref="H467:H497" si="51">CONCATENATE(B467,"-",G467,"-",I467)</f>
        <v>ST-T6V-1</v>
      </c>
      <c r="I467" s="665">
        <v>1</v>
      </c>
      <c r="J467" s="195">
        <v>1</v>
      </c>
      <c r="K467" s="195"/>
      <c r="L467" s="196"/>
      <c r="M467" s="197"/>
      <c r="N467" s="197"/>
      <c r="O467" s="197"/>
      <c r="P467" s="197"/>
      <c r="Q467" s="220"/>
      <c r="R467" s="220"/>
      <c r="S467" s="197"/>
      <c r="T467" s="197"/>
      <c r="U467" s="197"/>
    </row>
    <row r="468" spans="1:21" s="182" customFormat="1" ht="12" hidden="1" customHeight="1" outlineLevel="2">
      <c r="A468" s="191"/>
      <c r="B468" s="297" t="s">
        <v>12</v>
      </c>
      <c r="C468" s="17" t="s">
        <v>751</v>
      </c>
      <c r="D468" s="664" t="s">
        <v>1497</v>
      </c>
      <c r="E468" s="306" t="s">
        <v>1534</v>
      </c>
      <c r="F468" s="307"/>
      <c r="G468" s="297" t="s">
        <v>751</v>
      </c>
      <c r="H468" s="308" t="str">
        <f t="shared" si="51"/>
        <v>ST-T6V-1</v>
      </c>
      <c r="I468" s="665">
        <v>1</v>
      </c>
      <c r="J468" s="195">
        <v>1</v>
      </c>
      <c r="K468" s="195"/>
      <c r="L468" s="196"/>
      <c r="M468" s="197"/>
      <c r="N468" s="197"/>
      <c r="O468" s="197"/>
      <c r="P468" s="197"/>
      <c r="Q468" s="198"/>
      <c r="R468" s="198"/>
      <c r="S468" s="197"/>
      <c r="T468" s="197"/>
      <c r="U468" s="197"/>
    </row>
    <row r="469" spans="1:21" s="182" customFormat="1" ht="12" hidden="1" customHeight="1" outlineLevel="2">
      <c r="A469" s="191"/>
      <c r="B469" s="297" t="s">
        <v>12</v>
      </c>
      <c r="C469" s="17" t="s">
        <v>751</v>
      </c>
      <c r="D469" s="664" t="s">
        <v>1497</v>
      </c>
      <c r="E469" s="306" t="s">
        <v>1681</v>
      </c>
      <c r="F469" s="307"/>
      <c r="G469" s="297" t="s">
        <v>751</v>
      </c>
      <c r="H469" s="308" t="str">
        <f t="shared" si="51"/>
        <v>ST-T6V-1</v>
      </c>
      <c r="I469" s="665">
        <v>1</v>
      </c>
      <c r="J469" s="195">
        <v>1</v>
      </c>
      <c r="K469" s="195"/>
      <c r="L469" s="196"/>
      <c r="M469" s="197"/>
      <c r="N469" s="197"/>
      <c r="O469" s="197"/>
      <c r="P469" s="197"/>
      <c r="Q469" s="220"/>
      <c r="R469" s="220"/>
      <c r="S469" s="197"/>
      <c r="T469" s="197"/>
      <c r="U469" s="197"/>
    </row>
    <row r="470" spans="1:21" s="182" customFormat="1" ht="12" hidden="1" customHeight="1" outlineLevel="2">
      <c r="A470" s="191"/>
      <c r="B470" s="297" t="s">
        <v>12</v>
      </c>
      <c r="C470" s="17" t="s">
        <v>751</v>
      </c>
      <c r="D470" s="664" t="s">
        <v>1497</v>
      </c>
      <c r="E470" s="306" t="s">
        <v>1682</v>
      </c>
      <c r="F470" s="307"/>
      <c r="G470" s="297" t="s">
        <v>751</v>
      </c>
      <c r="H470" s="308" t="str">
        <f t="shared" si="51"/>
        <v>ST-T6V-1</v>
      </c>
      <c r="I470" s="665">
        <v>1</v>
      </c>
      <c r="J470" s="195">
        <v>1</v>
      </c>
      <c r="K470" s="195"/>
      <c r="L470" s="196"/>
      <c r="M470" s="197"/>
      <c r="N470" s="197"/>
      <c r="O470" s="197"/>
      <c r="P470" s="197"/>
      <c r="Q470" s="220"/>
      <c r="R470" s="220"/>
      <c r="S470" s="197"/>
      <c r="T470" s="197"/>
      <c r="U470" s="197"/>
    </row>
    <row r="471" spans="1:21" s="182" customFormat="1" ht="12" hidden="1" customHeight="1" outlineLevel="2">
      <c r="A471" s="191"/>
      <c r="B471" s="297" t="s">
        <v>12</v>
      </c>
      <c r="C471" s="17" t="s">
        <v>751</v>
      </c>
      <c r="D471" s="664" t="s">
        <v>1497</v>
      </c>
      <c r="E471" s="306" t="s">
        <v>1537</v>
      </c>
      <c r="F471" s="307"/>
      <c r="G471" s="297" t="s">
        <v>751</v>
      </c>
      <c r="H471" s="308" t="str">
        <f t="shared" si="51"/>
        <v>ST-T6V-1</v>
      </c>
      <c r="I471" s="665">
        <v>1</v>
      </c>
      <c r="J471" s="195">
        <v>1</v>
      </c>
      <c r="K471" s="195"/>
      <c r="L471" s="196"/>
      <c r="M471" s="197"/>
      <c r="N471" s="197"/>
      <c r="O471" s="197"/>
      <c r="P471" s="197"/>
      <c r="Q471" s="220"/>
      <c r="R471" s="220"/>
      <c r="S471" s="197"/>
      <c r="T471" s="197"/>
      <c r="U471" s="197"/>
    </row>
    <row r="472" spans="1:21" s="182" customFormat="1" ht="12" hidden="1" customHeight="1" outlineLevel="2">
      <c r="A472" s="191"/>
      <c r="B472" s="297" t="s">
        <v>12</v>
      </c>
      <c r="C472" s="17" t="s">
        <v>751</v>
      </c>
      <c r="D472" s="664" t="s">
        <v>1497</v>
      </c>
      <c r="E472" s="306" t="s">
        <v>1538</v>
      </c>
      <c r="F472" s="307"/>
      <c r="G472" s="297" t="s">
        <v>751</v>
      </c>
      <c r="H472" s="308" t="str">
        <f t="shared" si="51"/>
        <v>ST-T6V-1</v>
      </c>
      <c r="I472" s="665">
        <v>1</v>
      </c>
      <c r="J472" s="195">
        <v>1</v>
      </c>
      <c r="K472" s="195"/>
      <c r="L472" s="196"/>
      <c r="M472" s="197"/>
      <c r="N472" s="197"/>
      <c r="O472" s="197"/>
      <c r="P472" s="197"/>
      <c r="Q472" s="220"/>
      <c r="R472" s="220"/>
      <c r="S472" s="197"/>
      <c r="T472" s="197"/>
      <c r="U472" s="197"/>
    </row>
    <row r="473" spans="1:21" s="190" customFormat="1" ht="12" hidden="1" customHeight="1" outlineLevel="1">
      <c r="A473" s="200"/>
      <c r="B473" s="297"/>
      <c r="C473" s="17"/>
      <c r="D473" s="664" t="s">
        <v>1683</v>
      </c>
      <c r="E473" s="306"/>
      <c r="F473" s="307"/>
      <c r="G473" s="297"/>
      <c r="H473" s="308"/>
      <c r="I473" s="665"/>
      <c r="J473" s="195"/>
      <c r="K473" s="202"/>
      <c r="L473" s="189"/>
      <c r="M473" s="197"/>
      <c r="N473" s="197"/>
      <c r="O473" s="197"/>
      <c r="P473" s="197"/>
      <c r="Q473" s="198"/>
      <c r="R473" s="198"/>
      <c r="S473" s="197"/>
      <c r="T473" s="197"/>
      <c r="U473" s="197"/>
    </row>
    <row r="474" spans="1:21" s="182" customFormat="1" ht="12" hidden="1" customHeight="1" outlineLevel="2">
      <c r="A474" s="191"/>
      <c r="B474" s="297" t="s">
        <v>12</v>
      </c>
      <c r="C474" s="17" t="s">
        <v>751</v>
      </c>
      <c r="D474" s="664" t="s">
        <v>1500</v>
      </c>
      <c r="E474" s="306" t="s">
        <v>1544</v>
      </c>
      <c r="F474" s="307"/>
      <c r="G474" s="297" t="s">
        <v>751</v>
      </c>
      <c r="H474" s="308" t="str">
        <f t="shared" si="51"/>
        <v>ST-T6V-1</v>
      </c>
      <c r="I474" s="665">
        <v>1</v>
      </c>
      <c r="J474" s="195">
        <v>1</v>
      </c>
      <c r="K474" s="195"/>
      <c r="L474" s="196"/>
      <c r="M474" s="197"/>
      <c r="N474" s="197"/>
      <c r="O474" s="197"/>
      <c r="P474" s="197"/>
      <c r="Q474" s="220"/>
      <c r="R474" s="220"/>
      <c r="S474" s="197"/>
      <c r="T474" s="197"/>
      <c r="U474" s="197"/>
    </row>
    <row r="475" spans="1:21" s="182" customFormat="1" ht="12" hidden="1" customHeight="1" outlineLevel="2">
      <c r="A475" s="191"/>
      <c r="B475" s="297" t="s">
        <v>12</v>
      </c>
      <c r="C475" s="17" t="s">
        <v>751</v>
      </c>
      <c r="D475" s="664" t="s">
        <v>1500</v>
      </c>
      <c r="E475" s="306" t="s">
        <v>1545</v>
      </c>
      <c r="F475" s="307"/>
      <c r="G475" s="297" t="s">
        <v>751</v>
      </c>
      <c r="H475" s="308" t="str">
        <f t="shared" si="51"/>
        <v>ST-T6V-1</v>
      </c>
      <c r="I475" s="665">
        <v>1</v>
      </c>
      <c r="J475" s="195">
        <v>1</v>
      </c>
      <c r="K475" s="195"/>
      <c r="L475" s="196"/>
      <c r="M475" s="197"/>
      <c r="N475" s="197"/>
      <c r="O475" s="197"/>
      <c r="P475" s="197"/>
      <c r="Q475" s="198"/>
      <c r="R475" s="198"/>
      <c r="S475" s="197"/>
      <c r="T475" s="197"/>
      <c r="U475" s="197"/>
    </row>
    <row r="476" spans="1:21" s="182" customFormat="1" ht="12" hidden="1" customHeight="1" outlineLevel="2">
      <c r="A476" s="191"/>
      <c r="B476" s="297" t="s">
        <v>12</v>
      </c>
      <c r="C476" s="17" t="s">
        <v>751</v>
      </c>
      <c r="D476" s="664" t="s">
        <v>1500</v>
      </c>
      <c r="E476" s="306" t="s">
        <v>1546</v>
      </c>
      <c r="F476" s="307"/>
      <c r="G476" s="297" t="s">
        <v>751</v>
      </c>
      <c r="H476" s="308" t="str">
        <f t="shared" si="51"/>
        <v>ST-T6V-1</v>
      </c>
      <c r="I476" s="665">
        <v>1</v>
      </c>
      <c r="J476" s="195">
        <v>1</v>
      </c>
      <c r="K476" s="195"/>
      <c r="L476" s="196"/>
      <c r="M476" s="197"/>
      <c r="N476" s="197"/>
      <c r="O476" s="197"/>
      <c r="P476" s="197"/>
      <c r="Q476" s="220"/>
      <c r="R476" s="220"/>
      <c r="S476" s="197"/>
      <c r="T476" s="197"/>
      <c r="U476" s="197"/>
    </row>
    <row r="477" spans="1:21" s="182" customFormat="1" ht="12" hidden="1" customHeight="1" outlineLevel="2">
      <c r="A477" s="191"/>
      <c r="B477" s="297" t="s">
        <v>12</v>
      </c>
      <c r="C477" s="17" t="s">
        <v>751</v>
      </c>
      <c r="D477" s="664" t="s">
        <v>1500</v>
      </c>
      <c r="E477" s="306" t="s">
        <v>1547</v>
      </c>
      <c r="F477" s="307"/>
      <c r="G477" s="297" t="s">
        <v>751</v>
      </c>
      <c r="H477" s="308" t="str">
        <f t="shared" si="51"/>
        <v>ST-T6V-5</v>
      </c>
      <c r="I477" s="665">
        <v>5</v>
      </c>
      <c r="J477" s="195">
        <v>1</v>
      </c>
      <c r="K477" s="195"/>
      <c r="L477" s="198"/>
      <c r="M477" s="197"/>
      <c r="N477" s="197"/>
      <c r="O477" s="197"/>
      <c r="P477" s="197"/>
      <c r="Q477" s="198"/>
      <c r="R477" s="198"/>
      <c r="S477" s="197"/>
      <c r="T477" s="197"/>
      <c r="U477" s="197"/>
    </row>
    <row r="478" spans="1:21" s="182" customFormat="1" ht="12" hidden="1" customHeight="1" outlineLevel="2">
      <c r="A478" s="191"/>
      <c r="B478" s="297" t="s">
        <v>12</v>
      </c>
      <c r="C478" s="17" t="s">
        <v>751</v>
      </c>
      <c r="D478" s="664" t="s">
        <v>1500</v>
      </c>
      <c r="E478" s="306" t="s">
        <v>1548</v>
      </c>
      <c r="F478" s="307"/>
      <c r="G478" s="297" t="s">
        <v>751</v>
      </c>
      <c r="H478" s="308" t="str">
        <f t="shared" si="51"/>
        <v>ST-T6V-6</v>
      </c>
      <c r="I478" s="665">
        <v>6</v>
      </c>
      <c r="J478" s="195">
        <v>1</v>
      </c>
      <c r="K478" s="195"/>
      <c r="L478" s="198"/>
      <c r="M478" s="210"/>
      <c r="N478" s="197"/>
      <c r="O478" s="197"/>
      <c r="P478" s="197"/>
      <c r="Q478" s="198"/>
      <c r="R478" s="210"/>
      <c r="S478" s="210"/>
      <c r="T478" s="197"/>
      <c r="U478" s="197"/>
    </row>
    <row r="479" spans="1:21" s="182" customFormat="1" ht="12" hidden="1" customHeight="1" outlineLevel="2">
      <c r="A479" s="191"/>
      <c r="B479" s="297" t="s">
        <v>12</v>
      </c>
      <c r="C479" s="17" t="s">
        <v>751</v>
      </c>
      <c r="D479" s="664" t="s">
        <v>1500</v>
      </c>
      <c r="E479" s="306" t="s">
        <v>1687</v>
      </c>
      <c r="F479" s="307"/>
      <c r="G479" s="297" t="s">
        <v>751</v>
      </c>
      <c r="H479" s="308" t="str">
        <f t="shared" si="51"/>
        <v>ST-T6V-5</v>
      </c>
      <c r="I479" s="665">
        <v>5</v>
      </c>
      <c r="J479" s="195">
        <v>1</v>
      </c>
      <c r="K479" s="195"/>
      <c r="L479" s="198"/>
      <c r="M479" s="210"/>
      <c r="N479" s="197"/>
      <c r="O479" s="197"/>
      <c r="P479" s="197"/>
      <c r="Q479" s="198"/>
      <c r="R479" s="210"/>
      <c r="S479" s="210"/>
      <c r="T479" s="197"/>
      <c r="U479" s="197"/>
    </row>
    <row r="480" spans="1:21" s="182" customFormat="1" ht="12" hidden="1" customHeight="1" outlineLevel="2">
      <c r="A480" s="191"/>
      <c r="B480" s="297" t="s">
        <v>12</v>
      </c>
      <c r="C480" s="17" t="s">
        <v>751</v>
      </c>
      <c r="D480" s="664" t="s">
        <v>1500</v>
      </c>
      <c r="E480" s="306" t="s">
        <v>1685</v>
      </c>
      <c r="F480" s="307"/>
      <c r="G480" s="297" t="s">
        <v>751</v>
      </c>
      <c r="H480" s="308" t="str">
        <f t="shared" ref="H480:H481" si="52">CONCATENATE(B480,"-",G480,"-",I480)</f>
        <v>ST-T6V-6</v>
      </c>
      <c r="I480" s="665">
        <v>6</v>
      </c>
      <c r="J480" s="195">
        <v>1</v>
      </c>
      <c r="K480" s="195"/>
      <c r="L480" s="198"/>
      <c r="M480" s="210"/>
      <c r="N480" s="197"/>
      <c r="O480" s="197"/>
      <c r="P480" s="197"/>
      <c r="Q480" s="198"/>
      <c r="R480" s="210"/>
      <c r="S480" s="210"/>
      <c r="T480" s="197"/>
      <c r="U480" s="197"/>
    </row>
    <row r="481" spans="1:10" s="182" customFormat="1" ht="12" hidden="1" customHeight="1" outlineLevel="2">
      <c r="A481" s="191"/>
      <c r="B481" s="297" t="s">
        <v>12</v>
      </c>
      <c r="C481" s="17" t="s">
        <v>751</v>
      </c>
      <c r="D481" s="664" t="s">
        <v>1500</v>
      </c>
      <c r="E481" s="306" t="s">
        <v>1591</v>
      </c>
      <c r="F481" s="307"/>
      <c r="G481" s="297" t="s">
        <v>751</v>
      </c>
      <c r="H481" s="308" t="str">
        <f t="shared" si="52"/>
        <v>ST-T6V-8</v>
      </c>
      <c r="I481" s="665">
        <v>8</v>
      </c>
      <c r="J481" s="195">
        <v>1</v>
      </c>
    </row>
    <row r="482" spans="1:10" s="190" customFormat="1" ht="12" hidden="1" customHeight="1" outlineLevel="1">
      <c r="A482" s="200"/>
      <c r="B482" s="297"/>
      <c r="C482" s="17"/>
      <c r="D482" s="664" t="s">
        <v>1686</v>
      </c>
      <c r="E482" s="306"/>
      <c r="F482" s="307"/>
      <c r="G482" s="297"/>
      <c r="H482" s="308"/>
      <c r="I482" s="661"/>
      <c r="J482" s="195"/>
    </row>
    <row r="483" spans="1:10" s="182" customFormat="1" ht="12" hidden="1" customHeight="1" outlineLevel="2">
      <c r="A483" s="191"/>
      <c r="B483" s="297" t="s">
        <v>12</v>
      </c>
      <c r="C483" s="17" t="s">
        <v>751</v>
      </c>
      <c r="D483" s="664" t="s">
        <v>1500</v>
      </c>
      <c r="E483" s="306" t="s">
        <v>1546</v>
      </c>
      <c r="F483" s="307"/>
      <c r="G483" s="297" t="s">
        <v>751</v>
      </c>
      <c r="H483" s="308" t="str">
        <f t="shared" si="51"/>
        <v>ST-T6V-1</v>
      </c>
      <c r="I483" s="665">
        <v>1</v>
      </c>
      <c r="J483" s="195">
        <v>1</v>
      </c>
    </row>
    <row r="484" spans="1:10" s="182" customFormat="1" ht="12" hidden="1" customHeight="1" outlineLevel="2">
      <c r="A484" s="191"/>
      <c r="B484" s="297" t="s">
        <v>12</v>
      </c>
      <c r="C484" s="17" t="s">
        <v>751</v>
      </c>
      <c r="D484" s="664" t="s">
        <v>1500</v>
      </c>
      <c r="E484" s="306" t="s">
        <v>1547</v>
      </c>
      <c r="F484" s="307"/>
      <c r="G484" s="297" t="s">
        <v>751</v>
      </c>
      <c r="H484" s="308" t="str">
        <f t="shared" si="51"/>
        <v>ST-T6V-5</v>
      </c>
      <c r="I484" s="665">
        <v>5</v>
      </c>
      <c r="J484" s="195">
        <v>1</v>
      </c>
    </row>
    <row r="485" spans="1:10" s="182" customFormat="1" ht="12" hidden="1" customHeight="1" outlineLevel="2">
      <c r="A485" s="191"/>
      <c r="B485" s="297" t="s">
        <v>12</v>
      </c>
      <c r="C485" s="17" t="s">
        <v>751</v>
      </c>
      <c r="D485" s="664" t="s">
        <v>1500</v>
      </c>
      <c r="E485" s="306" t="s">
        <v>1548</v>
      </c>
      <c r="F485" s="307"/>
      <c r="G485" s="297" t="s">
        <v>751</v>
      </c>
      <c r="H485" s="308" t="str">
        <f t="shared" si="51"/>
        <v>ST-T6V-6</v>
      </c>
      <c r="I485" s="665">
        <v>6</v>
      </c>
      <c r="J485" s="195">
        <v>1</v>
      </c>
    </row>
    <row r="486" spans="1:10" s="182" customFormat="1" ht="12" hidden="1" customHeight="1" outlineLevel="2">
      <c r="A486" s="191"/>
      <c r="B486" s="297" t="s">
        <v>12</v>
      </c>
      <c r="C486" s="17" t="s">
        <v>751</v>
      </c>
      <c r="D486" s="664" t="s">
        <v>1500</v>
      </c>
      <c r="E486" s="306" t="s">
        <v>1687</v>
      </c>
      <c r="F486" s="307"/>
      <c r="G486" s="297" t="s">
        <v>751</v>
      </c>
      <c r="H486" s="308" t="str">
        <f t="shared" ref="H486:H488" si="53">CONCATENATE(B486,"-",G486,"-",I486)</f>
        <v>ST-T6V-5</v>
      </c>
      <c r="I486" s="665">
        <v>5</v>
      </c>
      <c r="J486" s="195">
        <v>1</v>
      </c>
    </row>
    <row r="487" spans="1:10" s="182" customFormat="1" ht="12" hidden="1" customHeight="1" outlineLevel="2">
      <c r="A487" s="191"/>
      <c r="B487" s="297" t="s">
        <v>12</v>
      </c>
      <c r="C487" s="17" t="s">
        <v>751</v>
      </c>
      <c r="D487" s="664" t="s">
        <v>1500</v>
      </c>
      <c r="E487" s="306" t="s">
        <v>1685</v>
      </c>
      <c r="F487" s="307"/>
      <c r="G487" s="297" t="s">
        <v>751</v>
      </c>
      <c r="H487" s="308" t="str">
        <f t="shared" si="53"/>
        <v>ST-T6V-6</v>
      </c>
      <c r="I487" s="665">
        <v>6</v>
      </c>
      <c r="J487" s="195">
        <v>1</v>
      </c>
    </row>
    <row r="488" spans="1:10" s="182" customFormat="1" ht="12" hidden="1" customHeight="1" outlineLevel="2">
      <c r="A488" s="191"/>
      <c r="B488" s="297" t="s">
        <v>12</v>
      </c>
      <c r="C488" s="17" t="s">
        <v>751</v>
      </c>
      <c r="D488" s="664" t="s">
        <v>1500</v>
      </c>
      <c r="E488" s="306" t="s">
        <v>1591</v>
      </c>
      <c r="F488" s="307"/>
      <c r="G488" s="297" t="s">
        <v>751</v>
      </c>
      <c r="H488" s="308" t="str">
        <f t="shared" si="53"/>
        <v>ST-T6V-8</v>
      </c>
      <c r="I488" s="665">
        <v>8</v>
      </c>
      <c r="J488" s="195">
        <v>1</v>
      </c>
    </row>
    <row r="489" spans="1:10" s="190" customFormat="1" ht="12" hidden="1" customHeight="1" outlineLevel="1">
      <c r="A489" s="200"/>
      <c r="B489" s="297"/>
      <c r="C489" s="17"/>
      <c r="D489" s="664" t="s">
        <v>1550</v>
      </c>
      <c r="E489" s="306"/>
      <c r="F489" s="307"/>
      <c r="G489" s="297"/>
      <c r="H489" s="308"/>
      <c r="I489" s="661"/>
      <c r="J489" s="195"/>
    </row>
    <row r="490" spans="1:10" s="182" customFormat="1" ht="12" hidden="1" customHeight="1" outlineLevel="2">
      <c r="A490" s="191"/>
      <c r="B490" s="297" t="s">
        <v>12</v>
      </c>
      <c r="C490" s="17" t="s">
        <v>751</v>
      </c>
      <c r="D490" s="664" t="s">
        <v>1504</v>
      </c>
      <c r="E490" s="306" t="s">
        <v>1551</v>
      </c>
      <c r="F490" s="307"/>
      <c r="G490" s="297" t="s">
        <v>751</v>
      </c>
      <c r="H490" s="308" t="str">
        <f t="shared" si="51"/>
        <v>ST-T6V-2</v>
      </c>
      <c r="I490" s="665">
        <v>2</v>
      </c>
      <c r="J490" s="195">
        <v>1</v>
      </c>
    </row>
    <row r="491" spans="1:10" s="182" customFormat="1" ht="12" hidden="1" customHeight="1" outlineLevel="2">
      <c r="A491" s="191"/>
      <c r="B491" s="297" t="s">
        <v>12</v>
      </c>
      <c r="C491" s="17" t="s">
        <v>751</v>
      </c>
      <c r="D491" s="664" t="s">
        <v>1504</v>
      </c>
      <c r="E491" s="306" t="s">
        <v>1688</v>
      </c>
      <c r="F491" s="307"/>
      <c r="G491" s="297" t="s">
        <v>751</v>
      </c>
      <c r="H491" s="308" t="str">
        <f t="shared" si="51"/>
        <v>ST-T6V-4</v>
      </c>
      <c r="I491" s="665">
        <v>4</v>
      </c>
      <c r="J491" s="195">
        <v>1</v>
      </c>
    </row>
    <row r="492" spans="1:10" s="182" customFormat="1" ht="12" hidden="1" customHeight="1" outlineLevel="2">
      <c r="A492" s="191"/>
      <c r="B492" s="297" t="s">
        <v>12</v>
      </c>
      <c r="C492" s="17" t="s">
        <v>751</v>
      </c>
      <c r="D492" s="664" t="s">
        <v>1504</v>
      </c>
      <c r="E492" s="306" t="s">
        <v>1689</v>
      </c>
      <c r="F492" s="307"/>
      <c r="G492" s="297" t="s">
        <v>751</v>
      </c>
      <c r="H492" s="308" t="str">
        <f t="shared" si="51"/>
        <v>ST-T6V-5</v>
      </c>
      <c r="I492" s="665">
        <v>5</v>
      </c>
      <c r="J492" s="195">
        <v>1</v>
      </c>
    </row>
    <row r="493" spans="1:10" s="182" customFormat="1" ht="12" hidden="1" customHeight="1" outlineLevel="2">
      <c r="A493" s="191"/>
      <c r="B493" s="297" t="s">
        <v>12</v>
      </c>
      <c r="C493" s="17" t="s">
        <v>751</v>
      </c>
      <c r="D493" s="664" t="s">
        <v>1504</v>
      </c>
      <c r="E493" s="306" t="s">
        <v>1690</v>
      </c>
      <c r="F493" s="307"/>
      <c r="G493" s="297" t="s">
        <v>751</v>
      </c>
      <c r="H493" s="308" t="str">
        <f t="shared" si="51"/>
        <v>ST-T6V-5</v>
      </c>
      <c r="I493" s="665">
        <v>5</v>
      </c>
      <c r="J493" s="195">
        <v>1</v>
      </c>
    </row>
    <row r="494" spans="1:10" s="182" customFormat="1" ht="12" hidden="1" customHeight="1" outlineLevel="2">
      <c r="A494" s="191"/>
      <c r="B494" s="297" t="s">
        <v>12</v>
      </c>
      <c r="C494" s="17" t="s">
        <v>751</v>
      </c>
      <c r="D494" s="664" t="s">
        <v>1504</v>
      </c>
      <c r="E494" s="306" t="s">
        <v>1691</v>
      </c>
      <c r="F494" s="307"/>
      <c r="G494" s="297" t="s">
        <v>751</v>
      </c>
      <c r="H494" s="308" t="str">
        <f t="shared" si="51"/>
        <v>ST-T6V-5</v>
      </c>
      <c r="I494" s="665">
        <v>5</v>
      </c>
      <c r="J494" s="195">
        <v>1</v>
      </c>
    </row>
    <row r="495" spans="1:10" s="182" customFormat="1" ht="12" hidden="1" customHeight="1" outlineLevel="2">
      <c r="A495" s="191"/>
      <c r="B495" s="297" t="s">
        <v>12</v>
      </c>
      <c r="C495" s="17" t="s">
        <v>751</v>
      </c>
      <c r="D495" s="664" t="s">
        <v>1504</v>
      </c>
      <c r="E495" s="306" t="s">
        <v>1553</v>
      </c>
      <c r="F495" s="307"/>
      <c r="G495" s="297" t="s">
        <v>751</v>
      </c>
      <c r="H495" s="308" t="str">
        <f t="shared" si="51"/>
        <v>ST-T6V-6</v>
      </c>
      <c r="I495" s="665">
        <v>6</v>
      </c>
      <c r="J495" s="195">
        <v>1</v>
      </c>
    </row>
    <row r="496" spans="1:10" s="182" customFormat="1" ht="12" hidden="1" customHeight="1" outlineLevel="2">
      <c r="A496" s="191"/>
      <c r="B496" s="297" t="s">
        <v>12</v>
      </c>
      <c r="C496" s="17" t="s">
        <v>751</v>
      </c>
      <c r="D496" s="664" t="s">
        <v>1504</v>
      </c>
      <c r="E496" s="306" t="s">
        <v>1554</v>
      </c>
      <c r="F496" s="307"/>
      <c r="G496" s="297" t="s">
        <v>751</v>
      </c>
      <c r="H496" s="308" t="str">
        <f t="shared" si="51"/>
        <v>ST-T6V-6</v>
      </c>
      <c r="I496" s="665">
        <v>6</v>
      </c>
      <c r="J496" s="195">
        <v>1</v>
      </c>
    </row>
    <row r="497" spans="1:10" s="182" customFormat="1" ht="12" hidden="1" customHeight="1" outlineLevel="2">
      <c r="A497" s="191"/>
      <c r="B497" s="297" t="s">
        <v>12</v>
      </c>
      <c r="C497" s="17" t="s">
        <v>751</v>
      </c>
      <c r="D497" s="664" t="s">
        <v>1504</v>
      </c>
      <c r="E497" s="306" t="s">
        <v>1555</v>
      </c>
      <c r="F497" s="307"/>
      <c r="G497" s="297" t="s">
        <v>751</v>
      </c>
      <c r="H497" s="308" t="str">
        <f t="shared" si="51"/>
        <v>ST-T6V-5</v>
      </c>
      <c r="I497" s="665">
        <v>5</v>
      </c>
      <c r="J497" s="195">
        <v>1</v>
      </c>
    </row>
    <row r="498" spans="1:10" s="182" customFormat="1" ht="12" hidden="1" customHeight="1" outlineLevel="2">
      <c r="A498" s="191"/>
      <c r="B498" s="297" t="s">
        <v>12</v>
      </c>
      <c r="C498" s="17" t="s">
        <v>751</v>
      </c>
      <c r="D498" s="664" t="s">
        <v>1504</v>
      </c>
      <c r="E498" s="306" t="s">
        <v>1593</v>
      </c>
      <c r="F498" s="307"/>
      <c r="G498" s="297" t="s">
        <v>751</v>
      </c>
      <c r="H498" s="308" t="str">
        <f t="shared" ref="H498:H499" si="54">CONCATENATE(B498,"-",G498,"-",I498)</f>
        <v>ST-T6V-8</v>
      </c>
      <c r="I498" s="665">
        <v>8</v>
      </c>
      <c r="J498" s="195">
        <v>1</v>
      </c>
    </row>
    <row r="499" spans="1:10" s="182" customFormat="1" ht="12" hidden="1" customHeight="1" outlineLevel="2">
      <c r="A499" s="191"/>
      <c r="B499" s="297" t="s">
        <v>12</v>
      </c>
      <c r="C499" s="17" t="s">
        <v>751</v>
      </c>
      <c r="D499" s="664" t="s">
        <v>1504</v>
      </c>
      <c r="E499" s="306" t="s">
        <v>1594</v>
      </c>
      <c r="F499" s="307"/>
      <c r="G499" s="297" t="s">
        <v>751</v>
      </c>
      <c r="H499" s="308" t="str">
        <f t="shared" si="54"/>
        <v>ST-T6V-8</v>
      </c>
      <c r="I499" s="665">
        <v>8</v>
      </c>
      <c r="J499" s="195">
        <v>1</v>
      </c>
    </row>
    <row r="500" spans="1:10" s="182" customFormat="1" ht="12" hidden="1" customHeight="1" outlineLevel="2">
      <c r="A500" s="191"/>
      <c r="B500" s="297" t="s">
        <v>12</v>
      </c>
      <c r="C500" s="17" t="s">
        <v>751</v>
      </c>
      <c r="D500" s="664" t="s">
        <v>1504</v>
      </c>
      <c r="E500" s="306" t="s">
        <v>1556</v>
      </c>
      <c r="F500" s="307"/>
      <c r="G500" s="297" t="s">
        <v>751</v>
      </c>
      <c r="H500" s="308" t="str">
        <f t="shared" ref="H500:H561" si="55">CONCATENATE(B500,"-",G500,"-",I500)</f>
        <v>ST-T6V-9</v>
      </c>
      <c r="I500" s="665">
        <v>9</v>
      </c>
      <c r="J500" s="195">
        <v>1</v>
      </c>
    </row>
    <row r="501" spans="1:10" s="190" customFormat="1" ht="12" hidden="1" customHeight="1" outlineLevel="1">
      <c r="A501" s="200"/>
      <c r="B501" s="297"/>
      <c r="C501" s="17"/>
      <c r="D501" s="664" t="s">
        <v>1692</v>
      </c>
      <c r="E501" s="306"/>
      <c r="F501" s="307"/>
      <c r="G501" s="297"/>
      <c r="H501" s="308"/>
      <c r="I501" s="665"/>
      <c r="J501" s="195"/>
    </row>
    <row r="502" spans="1:10" s="182" customFormat="1" ht="12" hidden="1" customHeight="1" outlineLevel="2">
      <c r="A502" s="191"/>
      <c r="B502" s="297" t="s">
        <v>12</v>
      </c>
      <c r="C502" s="17" t="s">
        <v>751</v>
      </c>
      <c r="D502" s="664" t="s">
        <v>1506</v>
      </c>
      <c r="E502" s="306" t="s">
        <v>1558</v>
      </c>
      <c r="F502" s="307"/>
      <c r="G502" s="297" t="s">
        <v>751</v>
      </c>
      <c r="H502" s="308" t="str">
        <f t="shared" si="55"/>
        <v>ST-T6V-2</v>
      </c>
      <c r="I502" s="665">
        <v>2</v>
      </c>
      <c r="J502" s="195">
        <v>1</v>
      </c>
    </row>
    <row r="503" spans="1:10" s="182" customFormat="1" ht="12" hidden="1" customHeight="1" outlineLevel="2">
      <c r="A503" s="191"/>
      <c r="B503" s="297" t="s">
        <v>12</v>
      </c>
      <c r="C503" s="17" t="s">
        <v>751</v>
      </c>
      <c r="D503" s="664" t="s">
        <v>1506</v>
      </c>
      <c r="E503" s="306" t="s">
        <v>1559</v>
      </c>
      <c r="F503" s="307"/>
      <c r="G503" s="297" t="s">
        <v>751</v>
      </c>
      <c r="H503" s="308" t="str">
        <f t="shared" si="55"/>
        <v>ST-T6V-2</v>
      </c>
      <c r="I503" s="665">
        <v>2</v>
      </c>
      <c r="J503" s="195">
        <v>1</v>
      </c>
    </row>
    <row r="504" spans="1:10" s="182" customFormat="1" ht="12" hidden="1" customHeight="1" outlineLevel="2">
      <c r="A504" s="191"/>
      <c r="B504" s="297" t="s">
        <v>12</v>
      </c>
      <c r="C504" s="17" t="s">
        <v>751</v>
      </c>
      <c r="D504" s="664" t="s">
        <v>1506</v>
      </c>
      <c r="E504" s="306" t="s">
        <v>1644</v>
      </c>
      <c r="F504" s="307"/>
      <c r="G504" s="297" t="s">
        <v>751</v>
      </c>
      <c r="H504" s="308" t="str">
        <f>CONCATENATE(B504,"-",G504,"-",I504)</f>
        <v>ST-T6V-4</v>
      </c>
      <c r="I504" s="665">
        <v>4</v>
      </c>
      <c r="J504" s="195">
        <v>1</v>
      </c>
    </row>
    <row r="505" spans="1:10" s="182" customFormat="1" ht="12" hidden="1" customHeight="1" outlineLevel="2">
      <c r="A505" s="191"/>
      <c r="B505" s="297" t="s">
        <v>12</v>
      </c>
      <c r="C505" s="17" t="s">
        <v>751</v>
      </c>
      <c r="D505" s="664" t="s">
        <v>1506</v>
      </c>
      <c r="E505" s="306" t="s">
        <v>1693</v>
      </c>
      <c r="F505" s="307"/>
      <c r="G505" s="297" t="s">
        <v>751</v>
      </c>
      <c r="H505" s="308" t="str">
        <f t="shared" si="55"/>
        <v>ST-T6V-5</v>
      </c>
      <c r="I505" s="665">
        <v>5</v>
      </c>
      <c r="J505" s="195">
        <v>1</v>
      </c>
    </row>
    <row r="506" spans="1:10" s="182" customFormat="1" ht="12" hidden="1" customHeight="1" outlineLevel="2">
      <c r="A506" s="191"/>
      <c r="B506" s="297" t="s">
        <v>12</v>
      </c>
      <c r="C506" s="17" t="s">
        <v>751</v>
      </c>
      <c r="D506" s="664" t="s">
        <v>1506</v>
      </c>
      <c r="E506" s="306" t="s">
        <v>1647</v>
      </c>
      <c r="F506" s="307"/>
      <c r="G506" s="297" t="s">
        <v>751</v>
      </c>
      <c r="H506" s="308" t="str">
        <f>CONCATENATE(B506,"-",G506,"-",I506)</f>
        <v>ST-T6V-5</v>
      </c>
      <c r="I506" s="665">
        <v>5</v>
      </c>
      <c r="J506" s="195">
        <v>1</v>
      </c>
    </row>
    <row r="507" spans="1:10" s="182" customFormat="1" ht="12" hidden="1" customHeight="1" outlineLevel="2">
      <c r="A507" s="191"/>
      <c r="B507" s="297" t="s">
        <v>12</v>
      </c>
      <c r="C507" s="17" t="s">
        <v>751</v>
      </c>
      <c r="D507" s="664" t="s">
        <v>1506</v>
      </c>
      <c r="E507" s="306" t="s">
        <v>1694</v>
      </c>
      <c r="F507" s="307"/>
      <c r="G507" s="297" t="s">
        <v>751</v>
      </c>
      <c r="H507" s="308" t="str">
        <f t="shared" si="55"/>
        <v>ST-T6V-5</v>
      </c>
      <c r="I507" s="665">
        <v>5</v>
      </c>
      <c r="J507" s="195">
        <v>1</v>
      </c>
    </row>
    <row r="508" spans="1:10" s="182" customFormat="1" ht="12" hidden="1" customHeight="1" outlineLevel="2">
      <c r="A508" s="191"/>
      <c r="B508" s="297" t="s">
        <v>12</v>
      </c>
      <c r="C508" s="17" t="s">
        <v>751</v>
      </c>
      <c r="D508" s="664" t="s">
        <v>1506</v>
      </c>
      <c r="E508" s="306" t="s">
        <v>1695</v>
      </c>
      <c r="F508" s="307"/>
      <c r="G508" s="297" t="s">
        <v>751</v>
      </c>
      <c r="H508" s="308" t="str">
        <f t="shared" si="55"/>
        <v>ST-T6V-5</v>
      </c>
      <c r="I508" s="665">
        <v>5</v>
      </c>
      <c r="J508" s="195">
        <v>1</v>
      </c>
    </row>
    <row r="509" spans="1:10" s="182" customFormat="1" ht="12" hidden="1" customHeight="1" outlineLevel="2">
      <c r="A509" s="191"/>
      <c r="B509" s="297" t="s">
        <v>12</v>
      </c>
      <c r="C509" s="17" t="s">
        <v>751</v>
      </c>
      <c r="D509" s="664" t="s">
        <v>1506</v>
      </c>
      <c r="E509" s="306" t="s">
        <v>1696</v>
      </c>
      <c r="F509" s="307"/>
      <c r="G509" s="297" t="s">
        <v>751</v>
      </c>
      <c r="H509" s="308" t="str">
        <f t="shared" si="55"/>
        <v>ST-T6V-6</v>
      </c>
      <c r="I509" s="665">
        <v>6</v>
      </c>
      <c r="J509" s="195">
        <v>1</v>
      </c>
    </row>
    <row r="510" spans="1:10" s="182" customFormat="1" ht="12" hidden="1" customHeight="1" outlineLevel="2">
      <c r="A510" s="191"/>
      <c r="B510" s="297" t="s">
        <v>12</v>
      </c>
      <c r="C510" s="17" t="s">
        <v>751</v>
      </c>
      <c r="D510" s="664" t="s">
        <v>1506</v>
      </c>
      <c r="E510" s="306" t="s">
        <v>1599</v>
      </c>
      <c r="F510" s="307"/>
      <c r="G510" s="297" t="s">
        <v>751</v>
      </c>
      <c r="H510" s="308" t="str">
        <f t="shared" si="55"/>
        <v>ST-T6V-6</v>
      </c>
      <c r="I510" s="665">
        <v>6</v>
      </c>
      <c r="J510" s="195">
        <v>1</v>
      </c>
    </row>
    <row r="511" spans="1:10" s="182" customFormat="1" ht="12" hidden="1" customHeight="1" outlineLevel="2">
      <c r="A511" s="191"/>
      <c r="B511" s="297" t="s">
        <v>12</v>
      </c>
      <c r="C511" s="17" t="s">
        <v>751</v>
      </c>
      <c r="D511" s="664" t="s">
        <v>1506</v>
      </c>
      <c r="E511" s="306" t="s">
        <v>1600</v>
      </c>
      <c r="F511" s="307"/>
      <c r="G511" s="297" t="s">
        <v>751</v>
      </c>
      <c r="H511" s="308" t="str">
        <f t="shared" si="55"/>
        <v>ST-T6V-5</v>
      </c>
      <c r="I511" s="665">
        <v>5</v>
      </c>
      <c r="J511" s="195">
        <v>1</v>
      </c>
    </row>
    <row r="512" spans="1:10" s="182" customFormat="1" ht="12" hidden="1" customHeight="1" outlineLevel="2">
      <c r="A512" s="191"/>
      <c r="B512" s="297" t="s">
        <v>12</v>
      </c>
      <c r="C512" s="17" t="s">
        <v>751</v>
      </c>
      <c r="D512" s="664" t="s">
        <v>1506</v>
      </c>
      <c r="E512" s="306" t="s">
        <v>1601</v>
      </c>
      <c r="F512" s="307"/>
      <c r="G512" s="297" t="s">
        <v>751</v>
      </c>
      <c r="H512" s="308" t="str">
        <f t="shared" ref="H512:H513" si="56">CONCATENATE(B512,"-",G512,"-",I512)</f>
        <v>ST-T6V-8</v>
      </c>
      <c r="I512" s="665">
        <v>8</v>
      </c>
      <c r="J512" s="195">
        <v>1</v>
      </c>
    </row>
    <row r="513" spans="1:10" s="182" customFormat="1" ht="12" hidden="1" customHeight="1" outlineLevel="2">
      <c r="A513" s="191"/>
      <c r="B513" s="297" t="s">
        <v>12</v>
      </c>
      <c r="C513" s="17" t="s">
        <v>751</v>
      </c>
      <c r="D513" s="664" t="s">
        <v>1506</v>
      </c>
      <c r="E513" s="306" t="s">
        <v>1602</v>
      </c>
      <c r="F513" s="307"/>
      <c r="G513" s="297" t="s">
        <v>751</v>
      </c>
      <c r="H513" s="308" t="str">
        <f t="shared" si="56"/>
        <v>ST-T6V-9</v>
      </c>
      <c r="I513" s="665">
        <v>9</v>
      </c>
      <c r="J513" s="195">
        <v>1</v>
      </c>
    </row>
    <row r="514" spans="1:10" s="190" customFormat="1" ht="12" hidden="1" customHeight="1" outlineLevel="1">
      <c r="A514" s="200"/>
      <c r="B514" s="297"/>
      <c r="C514" s="17"/>
      <c r="D514" s="664" t="s">
        <v>1697</v>
      </c>
      <c r="E514" s="306"/>
      <c r="F514" s="307"/>
      <c r="G514" s="297"/>
      <c r="H514" s="308"/>
      <c r="I514" s="665"/>
      <c r="J514" s="195"/>
    </row>
    <row r="515" spans="1:10" s="182" customFormat="1" ht="12" hidden="1" customHeight="1" outlineLevel="2">
      <c r="A515" s="191"/>
      <c r="B515" s="297" t="s">
        <v>12</v>
      </c>
      <c r="C515" s="17" t="s">
        <v>751</v>
      </c>
      <c r="D515" s="664" t="s">
        <v>1506</v>
      </c>
      <c r="E515" s="306" t="s">
        <v>1559</v>
      </c>
      <c r="F515" s="307"/>
      <c r="G515" s="297" t="s">
        <v>751</v>
      </c>
      <c r="H515" s="308" t="str">
        <f t="shared" si="55"/>
        <v>ST-T6V-2</v>
      </c>
      <c r="I515" s="665">
        <v>2</v>
      </c>
      <c r="J515" s="195">
        <v>1</v>
      </c>
    </row>
    <row r="516" spans="1:10" s="182" customFormat="1" ht="12" hidden="1" customHeight="1" outlineLevel="2">
      <c r="A516" s="191"/>
      <c r="B516" s="297" t="s">
        <v>12</v>
      </c>
      <c r="C516" s="17" t="s">
        <v>751</v>
      </c>
      <c r="D516" s="664" t="s">
        <v>1506</v>
      </c>
      <c r="E516" s="306" t="s">
        <v>1560</v>
      </c>
      <c r="F516" s="307"/>
      <c r="G516" s="297" t="s">
        <v>751</v>
      </c>
      <c r="H516" s="308" t="str">
        <f t="shared" si="55"/>
        <v>ST-T6V-4</v>
      </c>
      <c r="I516" s="665">
        <v>4</v>
      </c>
      <c r="J516" s="195">
        <v>1</v>
      </c>
    </row>
    <row r="517" spans="1:10" s="182" customFormat="1" ht="12" hidden="1" customHeight="1" outlineLevel="2">
      <c r="A517" s="191"/>
      <c r="B517" s="297" t="s">
        <v>12</v>
      </c>
      <c r="C517" s="17" t="s">
        <v>751</v>
      </c>
      <c r="D517" s="664" t="s">
        <v>1506</v>
      </c>
      <c r="E517" s="306" t="s">
        <v>1698</v>
      </c>
      <c r="F517" s="307"/>
      <c r="G517" s="297" t="s">
        <v>751</v>
      </c>
      <c r="H517" s="308" t="str">
        <f t="shared" si="55"/>
        <v>ST-T6V-6</v>
      </c>
      <c r="I517" s="665">
        <v>6</v>
      </c>
      <c r="J517" s="195">
        <v>1</v>
      </c>
    </row>
    <row r="518" spans="1:10" s="182" customFormat="1" ht="12" hidden="1" customHeight="1" outlineLevel="2">
      <c r="A518" s="191"/>
      <c r="B518" s="297" t="s">
        <v>12</v>
      </c>
      <c r="C518" s="17" t="s">
        <v>751</v>
      </c>
      <c r="D518" s="664" t="s">
        <v>1506</v>
      </c>
      <c r="E518" s="306" t="s">
        <v>1599</v>
      </c>
      <c r="F518" s="307"/>
      <c r="G518" s="297" t="s">
        <v>751</v>
      </c>
      <c r="H518" s="308" t="str">
        <f t="shared" si="55"/>
        <v>ST-T6V-6</v>
      </c>
      <c r="I518" s="665">
        <v>6</v>
      </c>
      <c r="J518" s="195">
        <v>1</v>
      </c>
    </row>
    <row r="519" spans="1:10" s="182" customFormat="1" ht="12" hidden="1" customHeight="1" outlineLevel="2">
      <c r="A519" s="191"/>
      <c r="B519" s="297" t="s">
        <v>12</v>
      </c>
      <c r="C519" s="17" t="s">
        <v>751</v>
      </c>
      <c r="D519" s="664" t="s">
        <v>1506</v>
      </c>
      <c r="E519" s="306" t="s">
        <v>1600</v>
      </c>
      <c r="F519" s="307"/>
      <c r="G519" s="297" t="s">
        <v>751</v>
      </c>
      <c r="H519" s="308" t="str">
        <f t="shared" ref="H519" si="57">CONCATENATE(B519,"-",G519,"-",I519)</f>
        <v>ST-T6V-5</v>
      </c>
      <c r="I519" s="665">
        <v>5</v>
      </c>
      <c r="J519" s="195">
        <v>1</v>
      </c>
    </row>
    <row r="520" spans="1:10" s="182" customFormat="1" ht="12" hidden="1" customHeight="1" outlineLevel="2">
      <c r="A520" s="191"/>
      <c r="B520" s="297" t="s">
        <v>12</v>
      </c>
      <c r="C520" s="17" t="s">
        <v>751</v>
      </c>
      <c r="D520" s="664" t="s">
        <v>1506</v>
      </c>
      <c r="E520" s="306" t="s">
        <v>1601</v>
      </c>
      <c r="F520" s="307"/>
      <c r="G520" s="297" t="s">
        <v>751</v>
      </c>
      <c r="H520" s="308" t="str">
        <f t="shared" ref="H520" si="58">CONCATENATE(B520,"-",G520,"-",I520)</f>
        <v>ST-T6V-8</v>
      </c>
      <c r="I520" s="665">
        <v>8</v>
      </c>
      <c r="J520" s="195">
        <v>1</v>
      </c>
    </row>
    <row r="521" spans="1:10" s="182" customFormat="1" ht="12" hidden="1" customHeight="1" outlineLevel="2">
      <c r="A521" s="191"/>
      <c r="B521" s="297" t="s">
        <v>12</v>
      </c>
      <c r="C521" s="17" t="s">
        <v>751</v>
      </c>
      <c r="D521" s="664" t="s">
        <v>1506</v>
      </c>
      <c r="E521" s="306" t="s">
        <v>1565</v>
      </c>
      <c r="F521" s="307"/>
      <c r="G521" s="297" t="s">
        <v>751</v>
      </c>
      <c r="H521" s="308" t="str">
        <f t="shared" si="55"/>
        <v>ST-T6V-9</v>
      </c>
      <c r="I521" s="665">
        <v>9</v>
      </c>
      <c r="J521" s="195">
        <v>1</v>
      </c>
    </row>
    <row r="522" spans="1:10" s="190" customFormat="1" ht="12" hidden="1" customHeight="1" outlineLevel="1">
      <c r="A522" s="200"/>
      <c r="B522" s="297"/>
      <c r="C522" s="17"/>
      <c r="D522" s="664" t="s">
        <v>1604</v>
      </c>
      <c r="E522" s="306"/>
      <c r="F522" s="307"/>
      <c r="G522" s="297"/>
      <c r="H522" s="308"/>
      <c r="I522" s="665"/>
      <c r="J522" s="195"/>
    </row>
    <row r="523" spans="1:10" s="182" customFormat="1" ht="12" hidden="1" customHeight="1" outlineLevel="2">
      <c r="A523" s="191"/>
      <c r="B523" s="297" t="s">
        <v>12</v>
      </c>
      <c r="C523" s="17" t="s">
        <v>751</v>
      </c>
      <c r="D523" s="664" t="s">
        <v>1508</v>
      </c>
      <c r="E523" s="306" t="s">
        <v>1567</v>
      </c>
      <c r="F523" s="307"/>
      <c r="G523" s="297" t="s">
        <v>751</v>
      </c>
      <c r="H523" s="308" t="str">
        <f t="shared" si="55"/>
        <v>ST-T6V-2</v>
      </c>
      <c r="I523" s="665">
        <v>2</v>
      </c>
      <c r="J523" s="195">
        <v>1</v>
      </c>
    </row>
    <row r="524" spans="1:10" s="182" customFormat="1" ht="12" hidden="1" customHeight="1" outlineLevel="2">
      <c r="A524" s="191"/>
      <c r="B524" s="297" t="s">
        <v>12</v>
      </c>
      <c r="C524" s="17" t="s">
        <v>751</v>
      </c>
      <c r="D524" s="664" t="s">
        <v>1508</v>
      </c>
      <c r="E524" s="306" t="s">
        <v>1568</v>
      </c>
      <c r="F524" s="307"/>
      <c r="G524" s="297" t="s">
        <v>751</v>
      </c>
      <c r="H524" s="308" t="str">
        <f t="shared" si="55"/>
        <v>ST-T6V-2</v>
      </c>
      <c r="I524" s="665">
        <v>2</v>
      </c>
      <c r="J524" s="195">
        <v>1</v>
      </c>
    </row>
    <row r="525" spans="1:10" s="182" customFormat="1" ht="12" hidden="1" customHeight="1" outlineLevel="2">
      <c r="A525" s="191"/>
      <c r="B525" s="297" t="s">
        <v>12</v>
      </c>
      <c r="C525" s="17" t="s">
        <v>751</v>
      </c>
      <c r="D525" s="664" t="s">
        <v>1508</v>
      </c>
      <c r="E525" s="306" t="s">
        <v>1652</v>
      </c>
      <c r="F525" s="307"/>
      <c r="G525" s="297" t="s">
        <v>751</v>
      </c>
      <c r="H525" s="308" t="str">
        <f>CONCATENATE(B525,"-",G525,"-",I525)</f>
        <v>ST-T6V-4</v>
      </c>
      <c r="I525" s="665">
        <v>4</v>
      </c>
      <c r="J525" s="195">
        <v>1</v>
      </c>
    </row>
    <row r="526" spans="1:10" s="182" customFormat="1" ht="12" hidden="1" customHeight="1" outlineLevel="2">
      <c r="A526" s="191"/>
      <c r="B526" s="297" t="s">
        <v>12</v>
      </c>
      <c r="C526" s="17" t="s">
        <v>751</v>
      </c>
      <c r="D526" s="664" t="s">
        <v>1508</v>
      </c>
      <c r="E526" s="306" t="s">
        <v>1699</v>
      </c>
      <c r="F526" s="307"/>
      <c r="G526" s="297" t="s">
        <v>751</v>
      </c>
      <c r="H526" s="308" t="str">
        <f t="shared" si="55"/>
        <v>ST-T6V-5</v>
      </c>
      <c r="I526" s="665">
        <v>5</v>
      </c>
      <c r="J526" s="195">
        <v>1</v>
      </c>
    </row>
    <row r="527" spans="1:10" s="182" customFormat="1" ht="12" hidden="1" customHeight="1" outlineLevel="2">
      <c r="A527" s="191"/>
      <c r="B527" s="297" t="s">
        <v>12</v>
      </c>
      <c r="C527" s="17" t="s">
        <v>751</v>
      </c>
      <c r="D527" s="664" t="s">
        <v>1508</v>
      </c>
      <c r="E527" s="306" t="s">
        <v>1655</v>
      </c>
      <c r="F527" s="307"/>
      <c r="G527" s="297" t="s">
        <v>751</v>
      </c>
      <c r="H527" s="308" t="str">
        <f>CONCATENATE(B527,"-",G527,"-",I527)</f>
        <v>ST-T6V-5</v>
      </c>
      <c r="I527" s="665">
        <v>5</v>
      </c>
      <c r="J527" s="195">
        <v>1</v>
      </c>
    </row>
    <row r="528" spans="1:10" s="182" customFormat="1" ht="12" hidden="1" customHeight="1" outlineLevel="2">
      <c r="A528" s="191"/>
      <c r="B528" s="297" t="s">
        <v>12</v>
      </c>
      <c r="C528" s="17" t="s">
        <v>751</v>
      </c>
      <c r="D528" s="664" t="s">
        <v>1508</v>
      </c>
      <c r="E528" s="306" t="s">
        <v>1700</v>
      </c>
      <c r="F528" s="307"/>
      <c r="G528" s="297" t="s">
        <v>751</v>
      </c>
      <c r="H528" s="308" t="str">
        <f t="shared" si="55"/>
        <v>ST-T6V-5</v>
      </c>
      <c r="I528" s="665">
        <v>5</v>
      </c>
      <c r="J528" s="195">
        <v>1</v>
      </c>
    </row>
    <row r="529" spans="1:10" s="182" customFormat="1" ht="12" hidden="1" customHeight="1" outlineLevel="2">
      <c r="A529" s="191"/>
      <c r="B529" s="297" t="s">
        <v>12</v>
      </c>
      <c r="C529" s="17" t="s">
        <v>751</v>
      </c>
      <c r="D529" s="664" t="s">
        <v>1508</v>
      </c>
      <c r="E529" s="306" t="s">
        <v>1701</v>
      </c>
      <c r="F529" s="307"/>
      <c r="G529" s="297" t="s">
        <v>751</v>
      </c>
      <c r="H529" s="308" t="str">
        <f t="shared" si="55"/>
        <v>ST-T6V-5</v>
      </c>
      <c r="I529" s="665">
        <v>5</v>
      </c>
      <c r="J529" s="195">
        <v>1</v>
      </c>
    </row>
    <row r="530" spans="1:10" s="182" customFormat="1" ht="12" hidden="1" customHeight="1" outlineLevel="2">
      <c r="A530" s="191"/>
      <c r="B530" s="297" t="s">
        <v>12</v>
      </c>
      <c r="C530" s="17" t="s">
        <v>751</v>
      </c>
      <c r="D530" s="664" t="s">
        <v>1508</v>
      </c>
      <c r="E530" s="306" t="s">
        <v>1702</v>
      </c>
      <c r="F530" s="307"/>
      <c r="G530" s="297" t="s">
        <v>751</v>
      </c>
      <c r="H530" s="308" t="str">
        <f t="shared" si="55"/>
        <v>ST-T6V-6</v>
      </c>
      <c r="I530" s="665">
        <v>6</v>
      </c>
      <c r="J530" s="195">
        <v>1</v>
      </c>
    </row>
    <row r="531" spans="1:10" s="182" customFormat="1" ht="12" hidden="1" customHeight="1" outlineLevel="2">
      <c r="A531" s="191"/>
      <c r="B531" s="297" t="s">
        <v>12</v>
      </c>
      <c r="C531" s="17" t="s">
        <v>751</v>
      </c>
      <c r="D531" s="664" t="s">
        <v>1508</v>
      </c>
      <c r="E531" s="306" t="s">
        <v>1608</v>
      </c>
      <c r="F531" s="307"/>
      <c r="G531" s="297" t="s">
        <v>751</v>
      </c>
      <c r="H531" s="308" t="str">
        <f t="shared" si="55"/>
        <v>ST-T6V-6</v>
      </c>
      <c r="I531" s="665">
        <v>6</v>
      </c>
      <c r="J531" s="195">
        <v>1</v>
      </c>
    </row>
    <row r="532" spans="1:10" s="182" customFormat="1" ht="12" hidden="1" customHeight="1" outlineLevel="2">
      <c r="A532" s="191"/>
      <c r="B532" s="297" t="s">
        <v>12</v>
      </c>
      <c r="C532" s="17" t="s">
        <v>751</v>
      </c>
      <c r="D532" s="664" t="s">
        <v>1508</v>
      </c>
      <c r="E532" s="306" t="s">
        <v>1609</v>
      </c>
      <c r="F532" s="307"/>
      <c r="G532" s="297" t="s">
        <v>751</v>
      </c>
      <c r="H532" s="308" t="str">
        <f t="shared" si="55"/>
        <v>ST-T6V-5</v>
      </c>
      <c r="I532" s="665">
        <v>5</v>
      </c>
      <c r="J532" s="195">
        <v>1</v>
      </c>
    </row>
    <row r="533" spans="1:10" s="182" customFormat="1" ht="12" hidden="1" customHeight="1" outlineLevel="2">
      <c r="A533" s="191"/>
      <c r="B533" s="297" t="s">
        <v>12</v>
      </c>
      <c r="C533" s="17" t="s">
        <v>751</v>
      </c>
      <c r="D533" s="664" t="s">
        <v>1508</v>
      </c>
      <c r="E533" s="306" t="s">
        <v>1610</v>
      </c>
      <c r="F533" s="307"/>
      <c r="G533" s="297" t="s">
        <v>751</v>
      </c>
      <c r="H533" s="308" t="str">
        <f t="shared" ref="H533:H534" si="59">CONCATENATE(B533,"-",G533,"-",I533)</f>
        <v>ST-T6V-8</v>
      </c>
      <c r="I533" s="665">
        <v>8</v>
      </c>
      <c r="J533" s="195">
        <v>1</v>
      </c>
    </row>
    <row r="534" spans="1:10" s="182" customFormat="1" ht="12" hidden="1" customHeight="1" outlineLevel="2">
      <c r="A534" s="191"/>
      <c r="B534" s="297" t="s">
        <v>12</v>
      </c>
      <c r="C534" s="17" t="s">
        <v>751</v>
      </c>
      <c r="D534" s="664" t="s">
        <v>1508</v>
      </c>
      <c r="E534" s="306" t="s">
        <v>1611</v>
      </c>
      <c r="F534" s="307"/>
      <c r="G534" s="297" t="s">
        <v>751</v>
      </c>
      <c r="H534" s="308" t="str">
        <f t="shared" si="59"/>
        <v>ST-T6V-9</v>
      </c>
      <c r="I534" s="665">
        <v>9</v>
      </c>
      <c r="J534" s="195">
        <v>1</v>
      </c>
    </row>
    <row r="535" spans="1:10" s="190" customFormat="1" ht="12" hidden="1" customHeight="1" outlineLevel="1">
      <c r="A535" s="200"/>
      <c r="B535" s="297"/>
      <c r="C535" s="17"/>
      <c r="D535" s="664" t="s">
        <v>1612</v>
      </c>
      <c r="E535" s="306"/>
      <c r="F535" s="307"/>
      <c r="G535" s="297"/>
      <c r="H535" s="308"/>
      <c r="I535" s="665"/>
      <c r="J535" s="195"/>
    </row>
    <row r="536" spans="1:10" s="182" customFormat="1" ht="12" hidden="1" customHeight="1" outlineLevel="2">
      <c r="A536" s="191"/>
      <c r="B536" s="297" t="s">
        <v>12</v>
      </c>
      <c r="C536" s="17" t="s">
        <v>751</v>
      </c>
      <c r="D536" s="664" t="s">
        <v>1508</v>
      </c>
      <c r="E536" s="306" t="s">
        <v>1569</v>
      </c>
      <c r="F536" s="307"/>
      <c r="G536" s="297" t="s">
        <v>751</v>
      </c>
      <c r="H536" s="308" t="str">
        <f t="shared" si="55"/>
        <v>ST-T6V-4</v>
      </c>
      <c r="I536" s="665">
        <v>4</v>
      </c>
      <c r="J536" s="195">
        <v>1</v>
      </c>
    </row>
    <row r="537" spans="1:10" s="182" customFormat="1" ht="12" hidden="1" customHeight="1" outlineLevel="2">
      <c r="A537" s="191"/>
      <c r="B537" s="297" t="s">
        <v>12</v>
      </c>
      <c r="C537" s="17" t="s">
        <v>751</v>
      </c>
      <c r="D537" s="664" t="s">
        <v>1508</v>
      </c>
      <c r="E537" s="306" t="s">
        <v>1570</v>
      </c>
      <c r="F537" s="307"/>
      <c r="G537" s="297" t="s">
        <v>751</v>
      </c>
      <c r="H537" s="308" t="str">
        <f t="shared" si="55"/>
        <v>ST-T6V-8</v>
      </c>
      <c r="I537" s="665">
        <v>8</v>
      </c>
      <c r="J537" s="195">
        <v>1</v>
      </c>
    </row>
    <row r="538" spans="1:10" s="182" customFormat="1" ht="12" hidden="1" customHeight="1" outlineLevel="2">
      <c r="A538" s="191"/>
      <c r="B538" s="297" t="s">
        <v>12</v>
      </c>
      <c r="C538" s="17" t="s">
        <v>751</v>
      </c>
      <c r="D538" s="664" t="s">
        <v>1508</v>
      </c>
      <c r="E538" s="306" t="s">
        <v>1608</v>
      </c>
      <c r="F538" s="307"/>
      <c r="G538" s="297" t="s">
        <v>751</v>
      </c>
      <c r="H538" s="308" t="str">
        <f t="shared" si="55"/>
        <v>ST-T6V-6</v>
      </c>
      <c r="I538" s="665">
        <v>6</v>
      </c>
      <c r="J538" s="195">
        <v>1</v>
      </c>
    </row>
    <row r="539" spans="1:10" s="182" customFormat="1" ht="12" hidden="1" customHeight="1" outlineLevel="2">
      <c r="A539" s="191"/>
      <c r="B539" s="297" t="s">
        <v>12</v>
      </c>
      <c r="C539" s="17" t="s">
        <v>751</v>
      </c>
      <c r="D539" s="664" t="s">
        <v>1508</v>
      </c>
      <c r="E539" s="306" t="s">
        <v>1609</v>
      </c>
      <c r="F539" s="307"/>
      <c r="G539" s="297" t="s">
        <v>751</v>
      </c>
      <c r="H539" s="308" t="str">
        <f t="shared" ref="H539:H540" si="60">CONCATENATE(B539,"-",G539,"-",I539)</f>
        <v>ST-T6V-5</v>
      </c>
      <c r="I539" s="665">
        <v>5</v>
      </c>
      <c r="J539" s="195">
        <v>1</v>
      </c>
    </row>
    <row r="540" spans="1:10" s="182" customFormat="1" ht="12" hidden="1" customHeight="1" outlineLevel="2">
      <c r="A540" s="191"/>
      <c r="B540" s="297" t="s">
        <v>12</v>
      </c>
      <c r="C540" s="17" t="s">
        <v>751</v>
      </c>
      <c r="D540" s="664" t="s">
        <v>1508</v>
      </c>
      <c r="E540" s="306" t="s">
        <v>1610</v>
      </c>
      <c r="F540" s="307"/>
      <c r="G540" s="297" t="s">
        <v>751</v>
      </c>
      <c r="H540" s="308" t="str">
        <f t="shared" si="60"/>
        <v>ST-T6V-8</v>
      </c>
      <c r="I540" s="665">
        <v>8</v>
      </c>
      <c r="J540" s="195">
        <v>1</v>
      </c>
    </row>
    <row r="541" spans="1:10" s="182" customFormat="1" ht="12" hidden="1" customHeight="1" outlineLevel="2">
      <c r="A541" s="191"/>
      <c r="B541" s="297" t="s">
        <v>12</v>
      </c>
      <c r="C541" s="17" t="s">
        <v>751</v>
      </c>
      <c r="D541" s="664" t="s">
        <v>1508</v>
      </c>
      <c r="E541" s="306" t="s">
        <v>1573</v>
      </c>
      <c r="F541" s="307"/>
      <c r="G541" s="297" t="s">
        <v>751</v>
      </c>
      <c r="H541" s="308" t="str">
        <f t="shared" si="55"/>
        <v>ST-T6V-9</v>
      </c>
      <c r="I541" s="665">
        <v>9</v>
      </c>
      <c r="J541" s="195">
        <v>1</v>
      </c>
    </row>
    <row r="542" spans="1:10" s="190" customFormat="1" ht="12" hidden="1" customHeight="1" outlineLevel="1">
      <c r="A542" s="200"/>
      <c r="B542" s="297"/>
      <c r="C542" s="17"/>
      <c r="D542" s="664" t="s">
        <v>1613</v>
      </c>
      <c r="E542" s="306"/>
      <c r="F542" s="307"/>
      <c r="G542" s="297"/>
      <c r="H542" s="308"/>
      <c r="I542" s="661"/>
      <c r="J542" s="195"/>
    </row>
    <row r="543" spans="1:10" ht="12" hidden="1" customHeight="1" outlineLevel="2">
      <c r="A543" s="204"/>
      <c r="B543" s="297" t="s">
        <v>12</v>
      </c>
      <c r="C543" s="17" t="s">
        <v>751</v>
      </c>
      <c r="D543" s="664" t="s">
        <v>1575</v>
      </c>
      <c r="E543" s="306" t="s">
        <v>1576</v>
      </c>
      <c r="F543" s="307"/>
      <c r="G543" s="297" t="s">
        <v>751</v>
      </c>
      <c r="H543" s="308" t="str">
        <f t="shared" si="55"/>
        <v>ST-T6V-2</v>
      </c>
      <c r="I543" s="665">
        <v>2</v>
      </c>
      <c r="J543" s="195">
        <v>1</v>
      </c>
    </row>
    <row r="544" spans="1:10" ht="12" hidden="1" customHeight="1" outlineLevel="2">
      <c r="A544" s="204"/>
      <c r="B544" s="297" t="s">
        <v>12</v>
      </c>
      <c r="C544" s="17" t="s">
        <v>751</v>
      </c>
      <c r="D544" s="664" t="s">
        <v>1575</v>
      </c>
      <c r="E544" s="306" t="s">
        <v>1703</v>
      </c>
      <c r="F544" s="307"/>
      <c r="G544" s="297" t="s">
        <v>751</v>
      </c>
      <c r="H544" s="308" t="str">
        <f t="shared" si="55"/>
        <v>ST-T6V-5</v>
      </c>
      <c r="I544" s="665">
        <v>5</v>
      </c>
      <c r="J544" s="195">
        <v>1</v>
      </c>
    </row>
    <row r="545" spans="1:10" ht="12" hidden="1" customHeight="1" outlineLevel="2">
      <c r="A545" s="204"/>
      <c r="B545" s="297" t="s">
        <v>12</v>
      </c>
      <c r="C545" s="17" t="s">
        <v>751</v>
      </c>
      <c r="D545" s="664" t="s">
        <v>1575</v>
      </c>
      <c r="E545" s="306" t="s">
        <v>1704</v>
      </c>
      <c r="F545" s="307"/>
      <c r="G545" s="297" t="s">
        <v>751</v>
      </c>
      <c r="H545" s="308" t="str">
        <f t="shared" si="55"/>
        <v>ST-T6V-6</v>
      </c>
      <c r="I545" s="665">
        <v>6</v>
      </c>
      <c r="J545" s="195">
        <v>1</v>
      </c>
    </row>
    <row r="546" spans="1:10" ht="12" hidden="1" customHeight="1" outlineLevel="2">
      <c r="A546" s="204"/>
      <c r="B546" s="297" t="s">
        <v>12</v>
      </c>
      <c r="C546" s="17" t="s">
        <v>751</v>
      </c>
      <c r="D546" s="664" t="s">
        <v>1575</v>
      </c>
      <c r="E546" s="306" t="s">
        <v>1617</v>
      </c>
      <c r="F546" s="307"/>
      <c r="G546" s="297" t="s">
        <v>751</v>
      </c>
      <c r="H546" s="308" t="str">
        <f t="shared" si="55"/>
        <v>ST-T6V-6</v>
      </c>
      <c r="I546" s="665">
        <v>6</v>
      </c>
      <c r="J546" s="195">
        <v>1</v>
      </c>
    </row>
    <row r="547" spans="1:10" ht="12" hidden="1" customHeight="1" outlineLevel="2">
      <c r="A547" s="204"/>
      <c r="B547" s="297" t="s">
        <v>12</v>
      </c>
      <c r="C547" s="17" t="s">
        <v>751</v>
      </c>
      <c r="D547" s="664" t="s">
        <v>1575</v>
      </c>
      <c r="E547" s="306" t="s">
        <v>1618</v>
      </c>
      <c r="F547" s="307"/>
      <c r="G547" s="297" t="s">
        <v>751</v>
      </c>
      <c r="H547" s="308" t="str">
        <f t="shared" si="55"/>
        <v>ST-T6V-5</v>
      </c>
      <c r="I547" s="665">
        <v>5</v>
      </c>
      <c r="J547" s="195">
        <v>1</v>
      </c>
    </row>
    <row r="548" spans="1:10" ht="12" hidden="1" customHeight="1" outlineLevel="2">
      <c r="A548" s="204"/>
      <c r="B548" s="297" t="s">
        <v>12</v>
      </c>
      <c r="C548" s="17" t="s">
        <v>751</v>
      </c>
      <c r="D548" s="664" t="s">
        <v>1575</v>
      </c>
      <c r="E548" s="306" t="s">
        <v>1705</v>
      </c>
      <c r="F548" s="307"/>
      <c r="G548" s="297" t="s">
        <v>751</v>
      </c>
      <c r="H548" s="308" t="str">
        <f t="shared" ref="H548:H549" si="61">CONCATENATE(B548,"-",G548,"-",I548)</f>
        <v>ST-T6V-8</v>
      </c>
      <c r="I548" s="665">
        <v>8</v>
      </c>
      <c r="J548" s="195">
        <v>1</v>
      </c>
    </row>
    <row r="549" spans="1:10" ht="12" hidden="1" customHeight="1" outlineLevel="2">
      <c r="A549" s="204"/>
      <c r="B549" s="297" t="s">
        <v>12</v>
      </c>
      <c r="C549" s="17" t="s">
        <v>751</v>
      </c>
      <c r="D549" s="664" t="s">
        <v>1575</v>
      </c>
      <c r="E549" s="306" t="s">
        <v>1706</v>
      </c>
      <c r="F549" s="307"/>
      <c r="G549" s="297" t="s">
        <v>751</v>
      </c>
      <c r="H549" s="308" t="str">
        <f t="shared" si="61"/>
        <v>ST-T6V-9</v>
      </c>
      <c r="I549" s="665">
        <v>9</v>
      </c>
      <c r="J549" s="195">
        <v>1</v>
      </c>
    </row>
    <row r="550" spans="1:10" s="190" customFormat="1" ht="12" hidden="1" customHeight="1" outlineLevel="1">
      <c r="A550" s="200"/>
      <c r="B550" s="297"/>
      <c r="C550" s="17"/>
      <c r="D550" s="664" t="s">
        <v>1707</v>
      </c>
      <c r="E550" s="306"/>
      <c r="F550" s="307"/>
      <c r="G550" s="297"/>
      <c r="H550" s="308"/>
      <c r="I550" s="665"/>
      <c r="J550" s="195"/>
    </row>
    <row r="551" spans="1:10" ht="12" hidden="1" customHeight="1" outlineLevel="2">
      <c r="A551" s="204"/>
      <c r="B551" s="297" t="s">
        <v>12</v>
      </c>
      <c r="C551" s="17" t="s">
        <v>751</v>
      </c>
      <c r="D551" s="664" t="s">
        <v>1575</v>
      </c>
      <c r="E551" s="306" t="s">
        <v>1724</v>
      </c>
      <c r="F551" s="307"/>
      <c r="G551" s="297" t="s">
        <v>751</v>
      </c>
      <c r="H551" s="308" t="str">
        <f t="shared" si="55"/>
        <v>ST-T6V-4</v>
      </c>
      <c r="I551" s="665">
        <v>4</v>
      </c>
      <c r="J551" s="195">
        <v>1</v>
      </c>
    </row>
    <row r="552" spans="1:10" ht="12" hidden="1" customHeight="1" outlineLevel="2">
      <c r="A552" s="204"/>
      <c r="B552" s="297" t="s">
        <v>12</v>
      </c>
      <c r="C552" s="17" t="s">
        <v>751</v>
      </c>
      <c r="D552" s="664" t="s">
        <v>1575</v>
      </c>
      <c r="E552" s="306" t="s">
        <v>1617</v>
      </c>
      <c r="F552" s="307"/>
      <c r="G552" s="297" t="s">
        <v>751</v>
      </c>
      <c r="H552" s="308" t="str">
        <f t="shared" si="55"/>
        <v>ST-T6V-6</v>
      </c>
      <c r="I552" s="665">
        <v>6</v>
      </c>
      <c r="J552" s="195">
        <v>1</v>
      </c>
    </row>
    <row r="553" spans="1:10" ht="12" hidden="1" customHeight="1" outlineLevel="2">
      <c r="A553" s="204"/>
      <c r="B553" s="297" t="s">
        <v>12</v>
      </c>
      <c r="C553" s="17" t="s">
        <v>751</v>
      </c>
      <c r="D553" s="664" t="s">
        <v>1575</v>
      </c>
      <c r="E553" s="306" t="s">
        <v>1622</v>
      </c>
      <c r="F553" s="307"/>
      <c r="G553" s="297" t="s">
        <v>751</v>
      </c>
      <c r="H553" s="308" t="str">
        <f t="shared" ref="H553:H554" si="62">CONCATENATE(B553,"-",G553,"-",I553)</f>
        <v>ST-T6V-5</v>
      </c>
      <c r="I553" s="665">
        <v>5</v>
      </c>
      <c r="J553" s="195">
        <v>1</v>
      </c>
    </row>
    <row r="554" spans="1:10" ht="12" hidden="1" customHeight="1" outlineLevel="2">
      <c r="A554" s="204"/>
      <c r="B554" s="297" t="s">
        <v>12</v>
      </c>
      <c r="C554" s="17" t="s">
        <v>751</v>
      </c>
      <c r="D554" s="664" t="s">
        <v>1575</v>
      </c>
      <c r="E554" s="306" t="s">
        <v>1705</v>
      </c>
      <c r="F554" s="307"/>
      <c r="G554" s="297" t="s">
        <v>751</v>
      </c>
      <c r="H554" s="308" t="str">
        <f t="shared" si="62"/>
        <v>ST-T6V-8</v>
      </c>
      <c r="I554" s="665">
        <v>8</v>
      </c>
      <c r="J554" s="195">
        <v>1</v>
      </c>
    </row>
    <row r="555" spans="1:10" s="190" customFormat="1" ht="12" hidden="1" customHeight="1" outlineLevel="1">
      <c r="A555" s="200"/>
      <c r="B555" s="297"/>
      <c r="C555" s="17"/>
      <c r="D555" s="664" t="s">
        <v>1581</v>
      </c>
      <c r="E555" s="306"/>
      <c r="F555" s="307"/>
      <c r="G555" s="297"/>
      <c r="H555" s="308"/>
      <c r="I555" s="661"/>
      <c r="J555" s="195"/>
    </row>
    <row r="556" spans="1:10" ht="12" hidden="1" customHeight="1" outlineLevel="2">
      <c r="A556" s="204"/>
      <c r="B556" s="297" t="s">
        <v>12</v>
      </c>
      <c r="C556" s="17" t="s">
        <v>751</v>
      </c>
      <c r="D556" s="664" t="s">
        <v>12</v>
      </c>
      <c r="E556" s="306" t="s">
        <v>1582</v>
      </c>
      <c r="F556" s="307"/>
      <c r="G556" s="297" t="s">
        <v>751</v>
      </c>
      <c r="H556" s="308" t="str">
        <f t="shared" si="55"/>
        <v>ST-T6V-1</v>
      </c>
      <c r="I556" s="665">
        <v>1</v>
      </c>
      <c r="J556" s="195">
        <v>1</v>
      </c>
    </row>
    <row r="557" spans="1:10" ht="12" hidden="1" customHeight="1" outlineLevel="2">
      <c r="A557" s="204"/>
      <c r="B557" s="297" t="s">
        <v>12</v>
      </c>
      <c r="C557" s="17" t="s">
        <v>751</v>
      </c>
      <c r="D557" s="664" t="s">
        <v>12</v>
      </c>
      <c r="E557" s="306" t="s">
        <v>1583</v>
      </c>
      <c r="F557" s="307"/>
      <c r="G557" s="297" t="s">
        <v>751</v>
      </c>
      <c r="H557" s="308" t="str">
        <f t="shared" si="55"/>
        <v>ST-T6V-8</v>
      </c>
      <c r="I557" s="665">
        <v>8</v>
      </c>
      <c r="J557" s="195">
        <v>1</v>
      </c>
    </row>
    <row r="558" spans="1:10" ht="12" hidden="1" customHeight="1" outlineLevel="2">
      <c r="A558" s="204"/>
      <c r="B558" s="297" t="s">
        <v>12</v>
      </c>
      <c r="C558" s="17" t="s">
        <v>751</v>
      </c>
      <c r="D558" s="664" t="s">
        <v>12</v>
      </c>
      <c r="E558" s="306" t="s">
        <v>1584</v>
      </c>
      <c r="F558" s="307"/>
      <c r="G558" s="297" t="s">
        <v>751</v>
      </c>
      <c r="H558" s="308" t="str">
        <f t="shared" si="55"/>
        <v>ST-T6V-8</v>
      </c>
      <c r="I558" s="665">
        <v>8</v>
      </c>
      <c r="J558" s="195">
        <v>1</v>
      </c>
    </row>
    <row r="559" spans="1:10" s="190" customFormat="1" ht="12" hidden="1" customHeight="1" outlineLevel="1">
      <c r="A559" s="200"/>
      <c r="B559" s="297"/>
      <c r="C559" s="17"/>
      <c r="D559" s="664" t="s">
        <v>1585</v>
      </c>
      <c r="E559" s="306"/>
      <c r="F559" s="307"/>
      <c r="G559" s="297"/>
      <c r="H559" s="308"/>
      <c r="I559" s="661"/>
      <c r="J559" s="195"/>
    </row>
    <row r="560" spans="1:10" ht="12" hidden="1" customHeight="1" outlineLevel="2">
      <c r="A560" s="204"/>
      <c r="B560" s="297" t="s">
        <v>12</v>
      </c>
      <c r="C560" s="17" t="s">
        <v>751</v>
      </c>
      <c r="D560" s="664" t="s">
        <v>1623</v>
      </c>
      <c r="E560" s="306" t="s">
        <v>1708</v>
      </c>
      <c r="F560" s="307"/>
      <c r="G560" s="297" t="s">
        <v>751</v>
      </c>
      <c r="H560" s="308" t="str">
        <f t="shared" si="55"/>
        <v>ST-T6V-9</v>
      </c>
      <c r="I560" s="665">
        <v>9</v>
      </c>
      <c r="J560" s="195">
        <v>1</v>
      </c>
    </row>
    <row r="561" spans="1:21" ht="12" hidden="1" customHeight="1" outlineLevel="2">
      <c r="A561" s="204"/>
      <c r="B561" s="297" t="s">
        <v>12</v>
      </c>
      <c r="C561" s="17" t="s">
        <v>751</v>
      </c>
      <c r="D561" s="664" t="s">
        <v>1623</v>
      </c>
      <c r="E561" s="306" t="s">
        <v>1624</v>
      </c>
      <c r="F561" s="307"/>
      <c r="G561" s="297" t="s">
        <v>751</v>
      </c>
      <c r="H561" s="308" t="str">
        <f t="shared" si="55"/>
        <v>ST-T6V-9</v>
      </c>
      <c r="I561" s="665">
        <v>9</v>
      </c>
      <c r="J561" s="195">
        <v>1</v>
      </c>
      <c r="K561" s="378"/>
      <c r="L561" s="379"/>
      <c r="M561" s="208"/>
      <c r="N561" s="208"/>
      <c r="O561" s="208"/>
      <c r="P561" s="197"/>
      <c r="Q561" s="224"/>
      <c r="R561" s="225"/>
      <c r="S561" s="225"/>
      <c r="T561" s="225"/>
      <c r="U561" s="197"/>
    </row>
    <row r="562" spans="1:21" ht="3" customHeight="1">
      <c r="A562" s="204"/>
      <c r="B562" s="297"/>
      <c r="C562" s="17"/>
      <c r="D562" s="664"/>
      <c r="E562" s="306"/>
      <c r="F562" s="307"/>
      <c r="G562" s="297"/>
      <c r="H562" s="308"/>
      <c r="I562" s="665"/>
      <c r="L562" s="196"/>
      <c r="M562" s="197"/>
      <c r="N562" s="197"/>
      <c r="O562" s="197"/>
      <c r="P562" s="197"/>
      <c r="Q562" s="198"/>
      <c r="R562" s="198"/>
      <c r="S562" s="197"/>
      <c r="T562" s="197"/>
      <c r="U562" s="197"/>
    </row>
    <row r="563" spans="1:21" s="190" customFormat="1" ht="12" customHeight="1" collapsed="1">
      <c r="A563" s="153" t="s">
        <v>773</v>
      </c>
      <c r="B563" s="297"/>
      <c r="C563" s="17"/>
      <c r="D563" s="664"/>
      <c r="E563" s="306"/>
      <c r="F563" s="307"/>
      <c r="G563" s="297" t="s">
        <v>257</v>
      </c>
      <c r="H563" s="308" t="s">
        <v>258</v>
      </c>
      <c r="I563" s="665" t="s">
        <v>259</v>
      </c>
      <c r="J563" s="188">
        <v>33</v>
      </c>
      <c r="K563" s="188"/>
      <c r="L563" s="188">
        <f t="shared" ref="L563:P563" si="63">SUM(L564:L624)</f>
        <v>0</v>
      </c>
      <c r="M563" s="188">
        <v>18</v>
      </c>
      <c r="N563" s="188"/>
      <c r="O563" s="188">
        <f t="shared" si="63"/>
        <v>0</v>
      </c>
      <c r="P563" s="188">
        <f t="shared" si="63"/>
        <v>0</v>
      </c>
      <c r="Q563" s="219">
        <f>SUM(Q564:Q624)</f>
        <v>0</v>
      </c>
      <c r="R563" s="219">
        <f>SUM(R564:R624)</f>
        <v>0</v>
      </c>
      <c r="S563" s="219">
        <f>SUM(S564:S624)</f>
        <v>0</v>
      </c>
      <c r="T563" s="219">
        <f>SUM(T564:T624)</f>
        <v>0</v>
      </c>
      <c r="U563" s="219">
        <f>SUM(U564:U624)</f>
        <v>0</v>
      </c>
    </row>
    <row r="564" spans="1:21" s="190" customFormat="1" ht="12" hidden="1" customHeight="1" outlineLevel="1">
      <c r="A564" s="200"/>
      <c r="B564" s="297"/>
      <c r="C564" s="17"/>
      <c r="D564" s="664" t="s">
        <v>1588</v>
      </c>
      <c r="E564" s="306"/>
      <c r="F564" s="307"/>
      <c r="G564" s="297"/>
      <c r="H564" s="308"/>
      <c r="I564" s="661"/>
      <c r="J564" s="195"/>
      <c r="K564" s="202"/>
      <c r="L564" s="189"/>
      <c r="M564" s="197"/>
      <c r="N564" s="197"/>
      <c r="O564" s="197"/>
      <c r="P564" s="197"/>
      <c r="Q564" s="198"/>
      <c r="R564" s="198"/>
      <c r="S564" s="197"/>
      <c r="T564" s="197"/>
      <c r="U564" s="197"/>
    </row>
    <row r="565" spans="1:21" s="190" customFormat="1" ht="12" hidden="1" customHeight="1" outlineLevel="2">
      <c r="A565" s="200"/>
      <c r="B565" s="297" t="s">
        <v>12</v>
      </c>
      <c r="C565" s="17" t="s">
        <v>774</v>
      </c>
      <c r="D565" s="664" t="s">
        <v>1497</v>
      </c>
      <c r="E565" s="306" t="s">
        <v>1625</v>
      </c>
      <c r="F565" s="307"/>
      <c r="G565" s="297" t="s">
        <v>774</v>
      </c>
      <c r="H565" s="308" t="str">
        <f t="shared" ref="H565:H634" si="64">CONCATENATE(B565,"-",G565,"-",I565)</f>
        <v>ST-T6S-1</v>
      </c>
      <c r="I565" s="665">
        <v>1</v>
      </c>
      <c r="J565" s="195">
        <v>1</v>
      </c>
      <c r="K565" s="202"/>
      <c r="L565" s="198"/>
      <c r="M565" s="197"/>
      <c r="N565" s="197"/>
      <c r="O565" s="197"/>
      <c r="P565" s="197"/>
      <c r="Q565" s="198"/>
      <c r="R565" s="198"/>
      <c r="S565" s="197"/>
      <c r="T565" s="197"/>
      <c r="U565" s="197"/>
    </row>
    <row r="566" spans="1:21" s="182" customFormat="1" ht="12" hidden="1" customHeight="1" outlineLevel="2">
      <c r="A566" s="191"/>
      <c r="B566" s="297" t="s">
        <v>12</v>
      </c>
      <c r="C566" s="17" t="s">
        <v>774</v>
      </c>
      <c r="D566" s="664" t="s">
        <v>1497</v>
      </c>
      <c r="E566" s="306" t="s">
        <v>1626</v>
      </c>
      <c r="F566" s="307"/>
      <c r="G566" s="297" t="s">
        <v>774</v>
      </c>
      <c r="H566" s="308" t="str">
        <f t="shared" si="64"/>
        <v>ST-T6S-1</v>
      </c>
      <c r="I566" s="665">
        <v>1</v>
      </c>
      <c r="J566" s="195">
        <v>1</v>
      </c>
      <c r="K566" s="195"/>
      <c r="L566" s="198"/>
      <c r="M566" s="197"/>
      <c r="N566" s="197"/>
      <c r="O566" s="197"/>
      <c r="P566" s="197"/>
      <c r="Q566" s="198"/>
      <c r="R566" s="198"/>
      <c r="S566" s="197"/>
      <c r="T566" s="197"/>
      <c r="U566" s="197"/>
    </row>
    <row r="567" spans="1:21" s="182" customFormat="1" ht="12" hidden="1" customHeight="1" outlineLevel="2">
      <c r="A567" s="191"/>
      <c r="B567" s="297" t="s">
        <v>12</v>
      </c>
      <c r="C567" s="17" t="s">
        <v>774</v>
      </c>
      <c r="D567" s="664" t="s">
        <v>1497</v>
      </c>
      <c r="E567" s="306" t="s">
        <v>1627</v>
      </c>
      <c r="F567" s="307"/>
      <c r="G567" s="297" t="s">
        <v>774</v>
      </c>
      <c r="H567" s="308" t="str">
        <f t="shared" si="64"/>
        <v>ST-T6S-1</v>
      </c>
      <c r="I567" s="665">
        <v>1</v>
      </c>
      <c r="J567" s="195">
        <v>1</v>
      </c>
      <c r="K567" s="195"/>
      <c r="M567" s="197"/>
      <c r="N567" s="197"/>
      <c r="O567" s="197"/>
      <c r="P567" s="197"/>
      <c r="Q567" s="198"/>
      <c r="R567" s="198"/>
      <c r="S567" s="197"/>
      <c r="T567" s="197"/>
      <c r="U567" s="197"/>
    </row>
    <row r="568" spans="1:21" s="190" customFormat="1" ht="12" hidden="1" customHeight="1" outlineLevel="1">
      <c r="A568" s="200"/>
      <c r="B568" s="297"/>
      <c r="C568" s="17"/>
      <c r="D568" s="664" t="s">
        <v>1543</v>
      </c>
      <c r="E568" s="306"/>
      <c r="F568" s="307"/>
      <c r="G568" s="297"/>
      <c r="H568" s="308"/>
      <c r="I568" s="661"/>
      <c r="J568" s="195"/>
      <c r="K568" s="202"/>
      <c r="M568" s="197"/>
      <c r="N568" s="197"/>
      <c r="O568" s="197"/>
      <c r="P568" s="197"/>
      <c r="Q568" s="198"/>
      <c r="R568" s="198"/>
      <c r="S568" s="197"/>
      <c r="T568" s="197"/>
      <c r="U568" s="197"/>
    </row>
    <row r="569" spans="1:21" s="182" customFormat="1" ht="12" hidden="1" customHeight="1" outlineLevel="2">
      <c r="A569" s="191"/>
      <c r="B569" s="297" t="s">
        <v>12</v>
      </c>
      <c r="C569" s="17" t="s">
        <v>774</v>
      </c>
      <c r="D569" s="664" t="s">
        <v>1500</v>
      </c>
      <c r="E569" s="306" t="s">
        <v>1544</v>
      </c>
      <c r="F569" s="307"/>
      <c r="G569" s="297" t="s">
        <v>774</v>
      </c>
      <c r="H569" s="308" t="str">
        <f t="shared" si="64"/>
        <v>ST-T6S-1</v>
      </c>
      <c r="I569" s="665">
        <v>1</v>
      </c>
      <c r="J569" s="195">
        <v>1</v>
      </c>
      <c r="K569" s="195"/>
      <c r="M569" s="197"/>
      <c r="N569" s="197"/>
      <c r="O569" s="197"/>
      <c r="P569" s="197"/>
      <c r="Q569" s="198"/>
      <c r="R569" s="198"/>
      <c r="S569" s="197"/>
      <c r="T569" s="197"/>
      <c r="U569" s="197"/>
    </row>
    <row r="570" spans="1:21" s="182" customFormat="1" ht="12" hidden="1" customHeight="1" outlineLevel="2">
      <c r="A570" s="191"/>
      <c r="B570" s="297" t="s">
        <v>12</v>
      </c>
      <c r="C570" s="17" t="s">
        <v>774</v>
      </c>
      <c r="D570" s="664" t="s">
        <v>1500</v>
      </c>
      <c r="E570" s="306" t="s">
        <v>1628</v>
      </c>
      <c r="F570" s="307"/>
      <c r="G570" s="297" t="s">
        <v>774</v>
      </c>
      <c r="H570" s="308" t="str">
        <f t="shared" si="64"/>
        <v>ST-T6S-1</v>
      </c>
      <c r="I570" s="665">
        <v>1</v>
      </c>
      <c r="J570" s="195">
        <v>1</v>
      </c>
      <c r="K570" s="195"/>
      <c r="M570" s="197"/>
      <c r="N570" s="197"/>
      <c r="O570" s="197"/>
      <c r="P570" s="197"/>
      <c r="Q570" s="198"/>
      <c r="R570" s="198"/>
      <c r="S570" s="197"/>
      <c r="T570" s="197"/>
      <c r="U570" s="197"/>
    </row>
    <row r="571" spans="1:21" s="182" customFormat="1" ht="12" hidden="1" customHeight="1" outlineLevel="2">
      <c r="A571" s="191"/>
      <c r="B571" s="297" t="s">
        <v>12</v>
      </c>
      <c r="C571" s="17" t="s">
        <v>774</v>
      </c>
      <c r="D571" s="664" t="s">
        <v>1500</v>
      </c>
      <c r="E571" s="306" t="s">
        <v>1546</v>
      </c>
      <c r="F571" s="307"/>
      <c r="G571" s="297" t="s">
        <v>774</v>
      </c>
      <c r="H571" s="308" t="str">
        <f t="shared" si="64"/>
        <v>ST-T6S-1</v>
      </c>
      <c r="I571" s="665">
        <v>1</v>
      </c>
      <c r="J571" s="195">
        <v>1</v>
      </c>
      <c r="K571" s="195"/>
      <c r="M571" s="197"/>
      <c r="N571" s="197"/>
      <c r="O571" s="197"/>
      <c r="P571" s="197"/>
      <c r="Q571" s="198"/>
      <c r="R571" s="198"/>
      <c r="S571" s="197"/>
      <c r="T571" s="197"/>
      <c r="U571" s="197"/>
    </row>
    <row r="572" spans="1:21" s="182" customFormat="1" ht="12" hidden="1" customHeight="1" outlineLevel="2">
      <c r="A572" s="191"/>
      <c r="B572" s="297" t="s">
        <v>12</v>
      </c>
      <c r="C572" s="17" t="s">
        <v>774</v>
      </c>
      <c r="D572" s="664" t="s">
        <v>1500</v>
      </c>
      <c r="E572" s="306" t="s">
        <v>1631</v>
      </c>
      <c r="F572" s="307"/>
      <c r="G572" s="297" t="s">
        <v>774</v>
      </c>
      <c r="H572" s="308" t="str">
        <f t="shared" si="64"/>
        <v>ST-T6S-5</v>
      </c>
      <c r="I572" s="665">
        <v>5</v>
      </c>
      <c r="J572" s="195">
        <v>1</v>
      </c>
      <c r="K572" s="195"/>
      <c r="L572" s="203"/>
      <c r="M572" s="197"/>
      <c r="N572" s="210"/>
      <c r="O572" s="197"/>
      <c r="P572" s="197"/>
      <c r="Q572" s="203"/>
      <c r="R572" s="197"/>
      <c r="S572" s="197"/>
      <c r="T572" s="197"/>
      <c r="U572" s="197"/>
    </row>
    <row r="573" spans="1:21" s="190" customFormat="1" ht="12" hidden="1" customHeight="1" outlineLevel="1">
      <c r="A573" s="200"/>
      <c r="B573" s="297"/>
      <c r="C573" s="17"/>
      <c r="D573" s="664" t="s">
        <v>1632</v>
      </c>
      <c r="E573" s="306"/>
      <c r="F573" s="307"/>
      <c r="G573" s="297"/>
      <c r="H573" s="308"/>
      <c r="I573" s="661"/>
      <c r="J573" s="195"/>
      <c r="K573" s="202"/>
      <c r="L573" s="198"/>
      <c r="M573" s="197"/>
      <c r="N573" s="197"/>
      <c r="O573" s="197"/>
      <c r="P573" s="197"/>
      <c r="Q573" s="198"/>
      <c r="R573" s="198"/>
      <c r="S573" s="197"/>
      <c r="T573" s="197"/>
      <c r="U573" s="197"/>
    </row>
    <row r="574" spans="1:21" s="182" customFormat="1" ht="12" hidden="1" customHeight="1" outlineLevel="2">
      <c r="A574" s="191"/>
      <c r="B574" s="297" t="s">
        <v>12</v>
      </c>
      <c r="C574" s="17" t="s">
        <v>774</v>
      </c>
      <c r="D574" s="664" t="s">
        <v>1502</v>
      </c>
      <c r="E574" s="306" t="s">
        <v>1725</v>
      </c>
      <c r="F574" s="307"/>
      <c r="G574" s="297" t="s">
        <v>774</v>
      </c>
      <c r="H574" s="308" t="str">
        <f t="shared" si="64"/>
        <v>ST-T6S-1</v>
      </c>
      <c r="I574" s="665">
        <v>1</v>
      </c>
      <c r="J574" s="195">
        <v>1</v>
      </c>
      <c r="K574" s="195"/>
      <c r="L574" s="198"/>
      <c r="M574" s="197"/>
      <c r="N574" s="197"/>
      <c r="O574" s="197"/>
      <c r="P574" s="197"/>
      <c r="Q574" s="198"/>
      <c r="R574" s="198"/>
      <c r="S574" s="197"/>
      <c r="T574" s="197"/>
      <c r="U574" s="197"/>
    </row>
    <row r="575" spans="1:21" s="182" customFormat="1" ht="12" hidden="1" customHeight="1" outlineLevel="2">
      <c r="A575" s="191"/>
      <c r="B575" s="297" t="s">
        <v>12</v>
      </c>
      <c r="C575" s="17" t="s">
        <v>774</v>
      </c>
      <c r="D575" s="664" t="s">
        <v>1502</v>
      </c>
      <c r="E575" s="306" t="s">
        <v>1634</v>
      </c>
      <c r="F575" s="307"/>
      <c r="G575" s="297" t="s">
        <v>774</v>
      </c>
      <c r="H575" s="308" t="str">
        <f t="shared" si="64"/>
        <v>ST-T6S-1</v>
      </c>
      <c r="I575" s="665">
        <v>1</v>
      </c>
      <c r="J575" s="195">
        <v>1</v>
      </c>
      <c r="K575" s="195"/>
      <c r="L575" s="198"/>
      <c r="M575" s="197"/>
      <c r="N575" s="197"/>
      <c r="O575" s="197"/>
      <c r="P575" s="197"/>
      <c r="Q575" s="198"/>
      <c r="R575" s="198"/>
      <c r="S575" s="197"/>
      <c r="T575" s="197"/>
      <c r="U575" s="197"/>
    </row>
    <row r="576" spans="1:21" s="182" customFormat="1" ht="12" hidden="1" customHeight="1" outlineLevel="2">
      <c r="A576" s="191"/>
      <c r="B576" s="297" t="s">
        <v>12</v>
      </c>
      <c r="C576" s="17" t="s">
        <v>774</v>
      </c>
      <c r="D576" s="664" t="s">
        <v>1502</v>
      </c>
      <c r="E576" s="306" t="s">
        <v>1635</v>
      </c>
      <c r="F576" s="307"/>
      <c r="G576" s="297" t="s">
        <v>774</v>
      </c>
      <c r="H576" s="308" t="str">
        <f t="shared" si="64"/>
        <v>ST-T6S-1</v>
      </c>
      <c r="I576" s="665">
        <v>1</v>
      </c>
      <c r="J576" s="195">
        <v>1</v>
      </c>
      <c r="K576" s="195"/>
      <c r="L576" s="198"/>
      <c r="M576" s="197"/>
      <c r="N576" s="197"/>
      <c r="O576" s="197"/>
      <c r="P576" s="197"/>
      <c r="Q576" s="198"/>
      <c r="R576" s="198"/>
      <c r="S576" s="197"/>
      <c r="T576" s="197"/>
      <c r="U576" s="197"/>
    </row>
    <row r="577" spans="1:10" s="190" customFormat="1" ht="12" hidden="1" customHeight="1" outlineLevel="1">
      <c r="A577" s="200"/>
      <c r="B577" s="297"/>
      <c r="C577" s="17"/>
      <c r="D577" s="664" t="s">
        <v>1550</v>
      </c>
      <c r="E577" s="306"/>
      <c r="F577" s="307"/>
      <c r="G577" s="297"/>
      <c r="H577" s="308"/>
      <c r="I577" s="661"/>
      <c r="J577" s="195"/>
    </row>
    <row r="578" spans="1:10" s="182" customFormat="1" ht="12" hidden="1" customHeight="1" outlineLevel="2">
      <c r="A578" s="191"/>
      <c r="B578" s="297" t="s">
        <v>12</v>
      </c>
      <c r="C578" s="17" t="s">
        <v>774</v>
      </c>
      <c r="D578" s="664" t="s">
        <v>1504</v>
      </c>
      <c r="E578" s="306" t="s">
        <v>1711</v>
      </c>
      <c r="F578" s="307"/>
      <c r="G578" s="297" t="s">
        <v>774</v>
      </c>
      <c r="H578" s="308" t="str">
        <f t="shared" ref="H578:H579" si="65">CONCATENATE(B578,"-",G578,"-",I578)</f>
        <v>ST-T6S-4</v>
      </c>
      <c r="I578" s="665">
        <v>4</v>
      </c>
      <c r="J578" s="195">
        <v>1</v>
      </c>
    </row>
    <row r="579" spans="1:10" s="182" customFormat="1" ht="12" hidden="1" customHeight="1" outlineLevel="2">
      <c r="A579" s="191"/>
      <c r="B579" s="297" t="s">
        <v>12</v>
      </c>
      <c r="C579" s="17" t="s">
        <v>774</v>
      </c>
      <c r="D579" s="664" t="s">
        <v>1504</v>
      </c>
      <c r="E579" s="306" t="s">
        <v>1712</v>
      </c>
      <c r="F579" s="307"/>
      <c r="G579" s="297" t="s">
        <v>774</v>
      </c>
      <c r="H579" s="308" t="str">
        <f t="shared" si="65"/>
        <v>ST-T6S-4</v>
      </c>
      <c r="I579" s="665">
        <v>4</v>
      </c>
      <c r="J579" s="195">
        <v>1</v>
      </c>
    </row>
    <row r="580" spans="1:10" s="182" customFormat="1" ht="12" hidden="1" customHeight="1" outlineLevel="2">
      <c r="A580" s="191"/>
      <c r="B580" s="297" t="s">
        <v>12</v>
      </c>
      <c r="C580" s="17" t="s">
        <v>774</v>
      </c>
      <c r="D580" s="664" t="s">
        <v>1504</v>
      </c>
      <c r="E580" s="306" t="s">
        <v>1713</v>
      </c>
      <c r="F580" s="307"/>
      <c r="G580" s="297" t="s">
        <v>774</v>
      </c>
      <c r="H580" s="308" t="str">
        <f t="shared" ref="H580:H585" si="66">CONCATENATE(B580,"-",G580,"-",I580)</f>
        <v>ST-T6S-5</v>
      </c>
      <c r="I580" s="665">
        <v>5</v>
      </c>
      <c r="J580" s="195">
        <v>1</v>
      </c>
    </row>
    <row r="581" spans="1:10" s="182" customFormat="1" ht="12" hidden="1" customHeight="1" outlineLevel="2">
      <c r="A581" s="191"/>
      <c r="B581" s="297" t="s">
        <v>12</v>
      </c>
      <c r="C581" s="17" t="s">
        <v>774</v>
      </c>
      <c r="D581" s="664" t="s">
        <v>1504</v>
      </c>
      <c r="E581" s="306" t="s">
        <v>1714</v>
      </c>
      <c r="F581" s="307"/>
      <c r="G581" s="297" t="s">
        <v>774</v>
      </c>
      <c r="H581" s="308" t="str">
        <f t="shared" si="66"/>
        <v>ST-T6S-5</v>
      </c>
      <c r="I581" s="665">
        <v>5</v>
      </c>
      <c r="J581" s="195">
        <v>1</v>
      </c>
    </row>
    <row r="582" spans="1:10" s="182" customFormat="1" ht="12" hidden="1" customHeight="1" outlineLevel="2">
      <c r="A582" s="191"/>
      <c r="B582" s="297" t="s">
        <v>12</v>
      </c>
      <c r="C582" s="17" t="s">
        <v>774</v>
      </c>
      <c r="D582" s="664" t="s">
        <v>1504</v>
      </c>
      <c r="E582" s="306" t="s">
        <v>1715</v>
      </c>
      <c r="F582" s="307"/>
      <c r="G582" s="297" t="s">
        <v>774</v>
      </c>
      <c r="H582" s="308" t="str">
        <f t="shared" si="66"/>
        <v>ST-T6S-5</v>
      </c>
      <c r="I582" s="665">
        <v>5</v>
      </c>
      <c r="J582" s="195">
        <v>1</v>
      </c>
    </row>
    <row r="583" spans="1:10" s="182" customFormat="1" ht="12" hidden="1" customHeight="1" outlineLevel="2">
      <c r="A583" s="191"/>
      <c r="B583" s="297" t="s">
        <v>12</v>
      </c>
      <c r="C583" s="17" t="s">
        <v>774</v>
      </c>
      <c r="D583" s="664" t="s">
        <v>1504</v>
      </c>
      <c r="E583" s="306" t="s">
        <v>1716</v>
      </c>
      <c r="F583" s="307"/>
      <c r="G583" s="297" t="s">
        <v>774</v>
      </c>
      <c r="H583" s="308" t="str">
        <f t="shared" si="66"/>
        <v>ST-T6S-5</v>
      </c>
      <c r="I583" s="665">
        <v>5</v>
      </c>
      <c r="J583" s="195">
        <v>1</v>
      </c>
    </row>
    <row r="584" spans="1:10" s="182" customFormat="1" ht="12" hidden="1" customHeight="1" outlineLevel="2">
      <c r="A584" s="191"/>
      <c r="B584" s="297" t="s">
        <v>12</v>
      </c>
      <c r="C584" s="17" t="s">
        <v>774</v>
      </c>
      <c r="D584" s="664" t="s">
        <v>1504</v>
      </c>
      <c r="E584" s="306" t="s">
        <v>1717</v>
      </c>
      <c r="F584" s="307"/>
      <c r="G584" s="297" t="s">
        <v>774</v>
      </c>
      <c r="H584" s="308" t="str">
        <f t="shared" si="66"/>
        <v>ST-T6S-7</v>
      </c>
      <c r="I584" s="665">
        <v>7</v>
      </c>
      <c r="J584" s="195">
        <v>1</v>
      </c>
    </row>
    <row r="585" spans="1:10" s="182" customFormat="1" ht="12" hidden="1" customHeight="1" outlineLevel="2">
      <c r="A585" s="191"/>
      <c r="B585" s="297" t="s">
        <v>12</v>
      </c>
      <c r="C585" s="17" t="s">
        <v>774</v>
      </c>
      <c r="D585" s="664" t="s">
        <v>1504</v>
      </c>
      <c r="E585" s="306" t="s">
        <v>1718</v>
      </c>
      <c r="F585" s="307"/>
      <c r="G585" s="297" t="s">
        <v>774</v>
      </c>
      <c r="H585" s="308" t="str">
        <f t="shared" si="66"/>
        <v>ST-T6S-8</v>
      </c>
      <c r="I585" s="665">
        <v>8</v>
      </c>
      <c r="J585" s="195">
        <v>1</v>
      </c>
    </row>
    <row r="586" spans="1:10" s="190" customFormat="1" ht="12" hidden="1" customHeight="1" outlineLevel="1">
      <c r="A586" s="200"/>
      <c r="B586" s="297"/>
      <c r="C586" s="17"/>
      <c r="D586" s="664" t="s">
        <v>1557</v>
      </c>
      <c r="E586" s="306"/>
      <c r="F586" s="307"/>
      <c r="G586" s="297"/>
      <c r="H586" s="308"/>
      <c r="I586" s="661"/>
      <c r="J586" s="195"/>
    </row>
    <row r="587" spans="1:10" s="182" customFormat="1" ht="12" hidden="1" customHeight="1" outlineLevel="2">
      <c r="A587" s="191"/>
      <c r="B587" s="297" t="s">
        <v>12</v>
      </c>
      <c r="C587" s="17" t="s">
        <v>774</v>
      </c>
      <c r="D587" s="664" t="s">
        <v>1506</v>
      </c>
      <c r="E587" s="306" t="s">
        <v>1558</v>
      </c>
      <c r="F587" s="307"/>
      <c r="G587" s="297" t="s">
        <v>774</v>
      </c>
      <c r="H587" s="308" t="str">
        <f t="shared" si="64"/>
        <v>ST-T6S-2</v>
      </c>
      <c r="I587" s="665">
        <v>2</v>
      </c>
      <c r="J587" s="195">
        <v>1</v>
      </c>
    </row>
    <row r="588" spans="1:10" s="182" customFormat="1" ht="12" hidden="1" customHeight="1" outlineLevel="2">
      <c r="A588" s="191"/>
      <c r="B588" s="297" t="s">
        <v>12</v>
      </c>
      <c r="C588" s="17" t="s">
        <v>774</v>
      </c>
      <c r="D588" s="664" t="s">
        <v>1506</v>
      </c>
      <c r="E588" s="306" t="s">
        <v>1559</v>
      </c>
      <c r="F588" s="307"/>
      <c r="G588" s="297" t="s">
        <v>774</v>
      </c>
      <c r="H588" s="308" t="str">
        <f t="shared" si="64"/>
        <v>ST-T6S-4</v>
      </c>
      <c r="I588" s="665">
        <v>4</v>
      </c>
      <c r="J588" s="195">
        <v>1</v>
      </c>
    </row>
    <row r="589" spans="1:10" s="182" customFormat="1" ht="12" hidden="1" customHeight="1" outlineLevel="2">
      <c r="A589" s="191"/>
      <c r="B589" s="297" t="s">
        <v>12</v>
      </c>
      <c r="C589" s="17" t="s">
        <v>774</v>
      </c>
      <c r="D589" s="664" t="s">
        <v>1506</v>
      </c>
      <c r="E589" s="306" t="s">
        <v>1644</v>
      </c>
      <c r="F589" s="307"/>
      <c r="G589" s="297" t="s">
        <v>774</v>
      </c>
      <c r="H589" s="308" t="str">
        <f t="shared" si="64"/>
        <v>ST-T6S-4</v>
      </c>
      <c r="I589" s="665">
        <v>4</v>
      </c>
      <c r="J589" s="195">
        <v>1</v>
      </c>
    </row>
    <row r="590" spans="1:10" s="182" customFormat="1" ht="12" hidden="1" customHeight="1" outlineLevel="2">
      <c r="A590" s="191"/>
      <c r="B590" s="297" t="s">
        <v>12</v>
      </c>
      <c r="C590" s="17" t="s">
        <v>774</v>
      </c>
      <c r="D590" s="664" t="s">
        <v>1506</v>
      </c>
      <c r="E590" s="306" t="s">
        <v>1645</v>
      </c>
      <c r="F590" s="307"/>
      <c r="G590" s="297" t="s">
        <v>774</v>
      </c>
      <c r="H590" s="308" t="str">
        <f t="shared" ref="H590:H595" si="67">CONCATENATE(B590,"-",G590,"-",I590)</f>
        <v>ST-T6S-5</v>
      </c>
      <c r="I590" s="665">
        <v>5</v>
      </c>
      <c r="J590" s="195">
        <v>1</v>
      </c>
    </row>
    <row r="591" spans="1:10" s="182" customFormat="1" ht="12" hidden="1" customHeight="1" outlineLevel="2">
      <c r="A591" s="191"/>
      <c r="B591" s="297" t="s">
        <v>12</v>
      </c>
      <c r="C591" s="17" t="s">
        <v>774</v>
      </c>
      <c r="D591" s="664" t="s">
        <v>1506</v>
      </c>
      <c r="E591" s="306" t="s">
        <v>1646</v>
      </c>
      <c r="F591" s="307"/>
      <c r="G591" s="297" t="s">
        <v>774</v>
      </c>
      <c r="H591" s="308" t="str">
        <f t="shared" si="67"/>
        <v>ST-T6S-5</v>
      </c>
      <c r="I591" s="665">
        <v>5</v>
      </c>
      <c r="J591" s="195">
        <v>1</v>
      </c>
    </row>
    <row r="592" spans="1:10" s="182" customFormat="1" ht="12" hidden="1" customHeight="1" outlineLevel="2">
      <c r="A592" s="191"/>
      <c r="B592" s="297" t="s">
        <v>12</v>
      </c>
      <c r="C592" s="17" t="s">
        <v>774</v>
      </c>
      <c r="D592" s="664" t="s">
        <v>1506</v>
      </c>
      <c r="E592" s="306" t="s">
        <v>1647</v>
      </c>
      <c r="F592" s="307"/>
      <c r="G592" s="297" t="s">
        <v>774</v>
      </c>
      <c r="H592" s="308" t="str">
        <f t="shared" si="67"/>
        <v>ST-T6S-5</v>
      </c>
      <c r="I592" s="665">
        <v>5</v>
      </c>
      <c r="J592" s="195">
        <v>1</v>
      </c>
    </row>
    <row r="593" spans="1:10" s="182" customFormat="1" ht="12" hidden="1" customHeight="1" outlineLevel="2">
      <c r="A593" s="191"/>
      <c r="B593" s="297" t="s">
        <v>12</v>
      </c>
      <c r="C593" s="17" t="s">
        <v>774</v>
      </c>
      <c r="D593" s="664" t="s">
        <v>1506</v>
      </c>
      <c r="E593" s="306" t="s">
        <v>1648</v>
      </c>
      <c r="F593" s="307"/>
      <c r="G593" s="297" t="s">
        <v>774</v>
      </c>
      <c r="H593" s="308" t="str">
        <f t="shared" si="67"/>
        <v>ST-T6S-5</v>
      </c>
      <c r="I593" s="665">
        <v>5</v>
      </c>
      <c r="J593" s="195">
        <v>1</v>
      </c>
    </row>
    <row r="594" spans="1:10" s="182" customFormat="1" ht="12" hidden="1" customHeight="1" outlineLevel="2">
      <c r="A594" s="191"/>
      <c r="B594" s="297" t="s">
        <v>12</v>
      </c>
      <c r="C594" s="17" t="s">
        <v>774</v>
      </c>
      <c r="D594" s="664" t="s">
        <v>1506</v>
      </c>
      <c r="E594" s="306" t="s">
        <v>1649</v>
      </c>
      <c r="F594" s="307"/>
      <c r="G594" s="297" t="s">
        <v>774</v>
      </c>
      <c r="H594" s="308" t="str">
        <f t="shared" si="67"/>
        <v>ST-T6S-7</v>
      </c>
      <c r="I594" s="665">
        <v>7</v>
      </c>
      <c r="J594" s="195">
        <v>1</v>
      </c>
    </row>
    <row r="595" spans="1:10" s="182" customFormat="1" ht="12" hidden="1" customHeight="1" outlineLevel="2">
      <c r="A595" s="191"/>
      <c r="B595" s="297" t="s">
        <v>12</v>
      </c>
      <c r="C595" s="17" t="s">
        <v>774</v>
      </c>
      <c r="D595" s="664" t="s">
        <v>1506</v>
      </c>
      <c r="E595" s="306" t="s">
        <v>1650</v>
      </c>
      <c r="F595" s="307"/>
      <c r="G595" s="297" t="s">
        <v>774</v>
      </c>
      <c r="H595" s="308" t="str">
        <f t="shared" si="67"/>
        <v>ST-T6S-8</v>
      </c>
      <c r="I595" s="665">
        <v>8</v>
      </c>
      <c r="J595" s="195">
        <v>1</v>
      </c>
    </row>
    <row r="596" spans="1:10" s="190" customFormat="1" ht="12" hidden="1" customHeight="1" outlineLevel="1">
      <c r="A596" s="200"/>
      <c r="B596" s="297"/>
      <c r="C596" s="17"/>
      <c r="D596" s="664" t="s">
        <v>1651</v>
      </c>
      <c r="E596" s="306"/>
      <c r="F596" s="307"/>
      <c r="G596" s="297"/>
      <c r="H596" s="308"/>
      <c r="I596" s="661"/>
      <c r="J596" s="195"/>
    </row>
    <row r="597" spans="1:10" s="182" customFormat="1" ht="12" hidden="1" customHeight="1" outlineLevel="2">
      <c r="A597" s="191"/>
      <c r="B597" s="297" t="s">
        <v>12</v>
      </c>
      <c r="C597" s="17" t="s">
        <v>774</v>
      </c>
      <c r="D597" s="664" t="s">
        <v>1508</v>
      </c>
      <c r="E597" s="306" t="s">
        <v>1567</v>
      </c>
      <c r="F597" s="307"/>
      <c r="G597" s="297" t="s">
        <v>774</v>
      </c>
      <c r="H597" s="308" t="str">
        <f t="shared" si="64"/>
        <v>ST-T6S-2</v>
      </c>
      <c r="I597" s="665">
        <v>2</v>
      </c>
      <c r="J597" s="195">
        <v>1</v>
      </c>
    </row>
    <row r="598" spans="1:10" s="182" customFormat="1" ht="12" hidden="1" customHeight="1" outlineLevel="2">
      <c r="A598" s="191"/>
      <c r="B598" s="297" t="s">
        <v>12</v>
      </c>
      <c r="C598" s="17" t="s">
        <v>774</v>
      </c>
      <c r="D598" s="664" t="s">
        <v>1508</v>
      </c>
      <c r="E598" s="306" t="s">
        <v>1568</v>
      </c>
      <c r="F598" s="307"/>
      <c r="G598" s="297" t="s">
        <v>774</v>
      </c>
      <c r="H598" s="308" t="str">
        <f t="shared" si="64"/>
        <v>ST-T6S-4</v>
      </c>
      <c r="I598" s="665">
        <v>4</v>
      </c>
      <c r="J598" s="195">
        <v>1</v>
      </c>
    </row>
    <row r="599" spans="1:10" s="182" customFormat="1" ht="12" hidden="1" customHeight="1" outlineLevel="2">
      <c r="A599" s="191"/>
      <c r="B599" s="297" t="s">
        <v>12</v>
      </c>
      <c r="C599" s="17" t="s">
        <v>774</v>
      </c>
      <c r="D599" s="664" t="s">
        <v>1508</v>
      </c>
      <c r="E599" s="306" t="s">
        <v>1652</v>
      </c>
      <c r="F599" s="307"/>
      <c r="G599" s="297" t="s">
        <v>774</v>
      </c>
      <c r="H599" s="308" t="str">
        <f t="shared" si="64"/>
        <v>ST-T6S-4</v>
      </c>
      <c r="I599" s="665">
        <v>4</v>
      </c>
      <c r="J599" s="195">
        <v>1</v>
      </c>
    </row>
    <row r="600" spans="1:10" s="182" customFormat="1" ht="12" hidden="1" customHeight="1" outlineLevel="2">
      <c r="A600" s="191"/>
      <c r="B600" s="297" t="s">
        <v>12</v>
      </c>
      <c r="C600" s="17" t="s">
        <v>774</v>
      </c>
      <c r="D600" s="664" t="s">
        <v>1508</v>
      </c>
      <c r="E600" s="306" t="s">
        <v>1653</v>
      </c>
      <c r="F600" s="307"/>
      <c r="G600" s="297" t="s">
        <v>774</v>
      </c>
      <c r="H600" s="308" t="str">
        <f t="shared" ref="H600:H605" si="68">CONCATENATE(B600,"-",G600,"-",I600)</f>
        <v>ST-T6S-5</v>
      </c>
      <c r="I600" s="665">
        <v>5</v>
      </c>
      <c r="J600" s="195">
        <v>1</v>
      </c>
    </row>
    <row r="601" spans="1:10" s="182" customFormat="1" ht="12" hidden="1" customHeight="1" outlineLevel="2">
      <c r="A601" s="191"/>
      <c r="B601" s="297" t="s">
        <v>12</v>
      </c>
      <c r="C601" s="17" t="s">
        <v>774</v>
      </c>
      <c r="D601" s="664" t="s">
        <v>1508</v>
      </c>
      <c r="E601" s="306" t="s">
        <v>1654</v>
      </c>
      <c r="F601" s="307"/>
      <c r="G601" s="297" t="s">
        <v>774</v>
      </c>
      <c r="H601" s="308" t="str">
        <f t="shared" si="68"/>
        <v>ST-T6S-5</v>
      </c>
      <c r="I601" s="665">
        <v>5</v>
      </c>
      <c r="J601" s="195">
        <v>1</v>
      </c>
    </row>
    <row r="602" spans="1:10" s="182" customFormat="1" ht="12" hidden="1" customHeight="1" outlineLevel="2">
      <c r="A602" s="191"/>
      <c r="B602" s="297" t="s">
        <v>12</v>
      </c>
      <c r="C602" s="17" t="s">
        <v>774</v>
      </c>
      <c r="D602" s="664" t="s">
        <v>1508</v>
      </c>
      <c r="E602" s="306" t="s">
        <v>1655</v>
      </c>
      <c r="F602" s="307"/>
      <c r="G602" s="297" t="s">
        <v>774</v>
      </c>
      <c r="H602" s="308" t="str">
        <f t="shared" si="68"/>
        <v>ST-T6S-5</v>
      </c>
      <c r="I602" s="665">
        <v>5</v>
      </c>
      <c r="J602" s="195">
        <v>1</v>
      </c>
    </row>
    <row r="603" spans="1:10" s="182" customFormat="1" ht="12" hidden="1" customHeight="1" outlineLevel="2">
      <c r="A603" s="191"/>
      <c r="B603" s="297" t="s">
        <v>12</v>
      </c>
      <c r="C603" s="17" t="s">
        <v>774</v>
      </c>
      <c r="D603" s="664" t="s">
        <v>1508</v>
      </c>
      <c r="E603" s="306" t="s">
        <v>1656</v>
      </c>
      <c r="F603" s="307"/>
      <c r="G603" s="297" t="s">
        <v>774</v>
      </c>
      <c r="H603" s="308" t="str">
        <f t="shared" si="68"/>
        <v>ST-T6S-5</v>
      </c>
      <c r="I603" s="665">
        <v>5</v>
      </c>
      <c r="J603" s="195">
        <v>1</v>
      </c>
    </row>
    <row r="604" spans="1:10" s="182" customFormat="1" ht="12" hidden="1" customHeight="1" outlineLevel="2">
      <c r="A604" s="191"/>
      <c r="B604" s="297" t="s">
        <v>12</v>
      </c>
      <c r="C604" s="17" t="s">
        <v>774</v>
      </c>
      <c r="D604" s="664" t="s">
        <v>1508</v>
      </c>
      <c r="E604" s="306" t="s">
        <v>1657</v>
      </c>
      <c r="F604" s="307"/>
      <c r="G604" s="297" t="s">
        <v>774</v>
      </c>
      <c r="H604" s="308" t="str">
        <f t="shared" si="68"/>
        <v>ST-T6S-7</v>
      </c>
      <c r="I604" s="665">
        <v>7</v>
      </c>
      <c r="J604" s="195">
        <v>1</v>
      </c>
    </row>
    <row r="605" spans="1:10" s="182" customFormat="1" ht="12" hidden="1" customHeight="1" outlineLevel="2">
      <c r="A605" s="191"/>
      <c r="B605" s="297" t="s">
        <v>12</v>
      </c>
      <c r="C605" s="17" t="s">
        <v>774</v>
      </c>
      <c r="D605" s="664" t="s">
        <v>1508</v>
      </c>
      <c r="E605" s="306" t="s">
        <v>1658</v>
      </c>
      <c r="F605" s="307"/>
      <c r="G605" s="297" t="s">
        <v>774</v>
      </c>
      <c r="H605" s="308" t="str">
        <f t="shared" si="68"/>
        <v>ST-T6S-8</v>
      </c>
      <c r="I605" s="665">
        <v>8</v>
      </c>
      <c r="J605" s="195">
        <v>1</v>
      </c>
    </row>
    <row r="606" spans="1:10" s="190" customFormat="1" ht="12" hidden="1" customHeight="1" outlineLevel="1">
      <c r="A606" s="200"/>
      <c r="B606" s="297"/>
      <c r="C606" s="17"/>
      <c r="D606" s="664" t="s">
        <v>1659</v>
      </c>
      <c r="E606" s="306"/>
      <c r="F606" s="307"/>
      <c r="G606" s="297"/>
      <c r="H606" s="308"/>
      <c r="I606" s="661"/>
      <c r="J606" s="195"/>
    </row>
    <row r="607" spans="1:10" ht="12" hidden="1" customHeight="1" outlineLevel="2">
      <c r="A607" s="204"/>
      <c r="B607" s="297" t="s">
        <v>12</v>
      </c>
      <c r="C607" s="17" t="s">
        <v>774</v>
      </c>
      <c r="D607" s="664" t="s">
        <v>1575</v>
      </c>
      <c r="E607" s="306" t="s">
        <v>1660</v>
      </c>
      <c r="F607" s="307"/>
      <c r="G607" s="297" t="s">
        <v>774</v>
      </c>
      <c r="H607" s="308" t="str">
        <f t="shared" si="64"/>
        <v>ST-T6S-4</v>
      </c>
      <c r="I607" s="665">
        <v>4</v>
      </c>
      <c r="J607" s="195">
        <v>1</v>
      </c>
    </row>
    <row r="608" spans="1:10" ht="12" hidden="1" customHeight="1" outlineLevel="2">
      <c r="A608" s="204"/>
      <c r="B608" s="297" t="s">
        <v>12</v>
      </c>
      <c r="C608" s="17" t="s">
        <v>774</v>
      </c>
      <c r="D608" s="664" t="s">
        <v>1575</v>
      </c>
      <c r="E608" s="306" t="s">
        <v>1720</v>
      </c>
      <c r="F608" s="307"/>
      <c r="G608" s="297" t="s">
        <v>774</v>
      </c>
      <c r="H608" s="308" t="str">
        <f t="shared" ref="H608:H614" si="69">CONCATENATE(B608,"-",G608,"-",I608)</f>
        <v>ST-T6S-4</v>
      </c>
      <c r="I608" s="665">
        <v>4</v>
      </c>
      <c r="J608" s="195">
        <v>1</v>
      </c>
    </row>
    <row r="609" spans="1:10" ht="12" hidden="1" customHeight="1" outlineLevel="2">
      <c r="A609" s="204"/>
      <c r="B609" s="297" t="s">
        <v>12</v>
      </c>
      <c r="C609" s="17" t="s">
        <v>774</v>
      </c>
      <c r="D609" s="664" t="s">
        <v>1575</v>
      </c>
      <c r="E609" s="306" t="s">
        <v>1662</v>
      </c>
      <c r="F609" s="307"/>
      <c r="G609" s="297" t="s">
        <v>774</v>
      </c>
      <c r="H609" s="308" t="str">
        <f t="shared" si="69"/>
        <v>ST-T6S-5</v>
      </c>
      <c r="I609" s="665">
        <v>5</v>
      </c>
      <c r="J609" s="195">
        <v>1</v>
      </c>
    </row>
    <row r="610" spans="1:10" ht="12" hidden="1" customHeight="1" outlineLevel="2">
      <c r="A610" s="204"/>
      <c r="B610" s="297" t="s">
        <v>12</v>
      </c>
      <c r="C610" s="17" t="s">
        <v>774</v>
      </c>
      <c r="D610" s="664" t="s">
        <v>1575</v>
      </c>
      <c r="E610" s="306" t="s">
        <v>1663</v>
      </c>
      <c r="F610" s="307"/>
      <c r="G610" s="297" t="s">
        <v>774</v>
      </c>
      <c r="H610" s="308" t="str">
        <f t="shared" si="69"/>
        <v>ST-T6S-5</v>
      </c>
      <c r="I610" s="665">
        <v>5</v>
      </c>
      <c r="J610" s="195">
        <v>1</v>
      </c>
    </row>
    <row r="611" spans="1:10" ht="12" hidden="1" customHeight="1" outlineLevel="2">
      <c r="A611" s="204"/>
      <c r="B611" s="297" t="s">
        <v>12</v>
      </c>
      <c r="C611" s="17" t="s">
        <v>774</v>
      </c>
      <c r="D611" s="664" t="s">
        <v>1575</v>
      </c>
      <c r="E611" s="306" t="s">
        <v>1664</v>
      </c>
      <c r="F611" s="307"/>
      <c r="G611" s="297" t="s">
        <v>774</v>
      </c>
      <c r="H611" s="308" t="str">
        <f t="shared" si="69"/>
        <v>ST-T6S-5</v>
      </c>
      <c r="I611" s="665">
        <v>5</v>
      </c>
      <c r="J611" s="195">
        <v>1</v>
      </c>
    </row>
    <row r="612" spans="1:10" ht="12" hidden="1" customHeight="1" outlineLevel="2">
      <c r="A612" s="204"/>
      <c r="B612" s="297" t="s">
        <v>12</v>
      </c>
      <c r="C612" s="17" t="s">
        <v>774</v>
      </c>
      <c r="D612" s="664" t="s">
        <v>1575</v>
      </c>
      <c r="E612" s="306" t="s">
        <v>1665</v>
      </c>
      <c r="F612" s="307"/>
      <c r="G612" s="297" t="s">
        <v>774</v>
      </c>
      <c r="H612" s="308" t="str">
        <f t="shared" si="69"/>
        <v>ST-T6S-5</v>
      </c>
      <c r="I612" s="665">
        <v>5</v>
      </c>
      <c r="J612" s="195">
        <v>1</v>
      </c>
    </row>
    <row r="613" spans="1:10" ht="12" hidden="1" customHeight="1" outlineLevel="2">
      <c r="A613" s="204"/>
      <c r="B613" s="297" t="s">
        <v>12</v>
      </c>
      <c r="C613" s="17" t="s">
        <v>774</v>
      </c>
      <c r="D613" s="664" t="s">
        <v>1575</v>
      </c>
      <c r="E613" s="306" t="s">
        <v>1666</v>
      </c>
      <c r="F613" s="307"/>
      <c r="G613" s="297" t="s">
        <v>774</v>
      </c>
      <c r="H613" s="308" t="str">
        <f t="shared" si="69"/>
        <v>ST-T6S-7</v>
      </c>
      <c r="I613" s="665">
        <v>7</v>
      </c>
      <c r="J613" s="195">
        <v>1</v>
      </c>
    </row>
    <row r="614" spans="1:10" ht="12" hidden="1" customHeight="1" outlineLevel="2">
      <c r="A614" s="204"/>
      <c r="B614" s="297" t="s">
        <v>12</v>
      </c>
      <c r="C614" s="17" t="s">
        <v>774</v>
      </c>
      <c r="D614" s="664" t="s">
        <v>1575</v>
      </c>
      <c r="E614" s="306" t="s">
        <v>1667</v>
      </c>
      <c r="F614" s="307"/>
      <c r="G614" s="297" t="s">
        <v>774</v>
      </c>
      <c r="H614" s="308" t="str">
        <f t="shared" si="69"/>
        <v>ST-T6S-8</v>
      </c>
      <c r="I614" s="665">
        <v>8</v>
      </c>
      <c r="J614" s="195">
        <v>1</v>
      </c>
    </row>
    <row r="615" spans="1:10" s="190" customFormat="1" ht="12" hidden="1" customHeight="1" outlineLevel="1">
      <c r="A615" s="200"/>
      <c r="B615" s="297"/>
      <c r="C615" s="17"/>
      <c r="D615" s="664" t="s">
        <v>1668</v>
      </c>
      <c r="E615" s="306"/>
      <c r="F615" s="307"/>
      <c r="G615" s="297"/>
      <c r="H615" s="308"/>
      <c r="I615" s="661"/>
      <c r="J615" s="195"/>
    </row>
    <row r="616" spans="1:10" ht="12" hidden="1" customHeight="1" outlineLevel="2">
      <c r="A616" s="204"/>
      <c r="B616" s="297" t="s">
        <v>12</v>
      </c>
      <c r="C616" s="17" t="s">
        <v>774</v>
      </c>
      <c r="D616" s="664" t="s">
        <v>12</v>
      </c>
      <c r="E616" s="306" t="s">
        <v>1669</v>
      </c>
      <c r="F616" s="307"/>
      <c r="G616" s="297" t="s">
        <v>774</v>
      </c>
      <c r="H616" s="308" t="str">
        <f t="shared" si="64"/>
        <v>ST-T6S-1</v>
      </c>
      <c r="I616" s="665">
        <v>1</v>
      </c>
      <c r="J616" s="195">
        <v>1</v>
      </c>
    </row>
    <row r="617" spans="1:10" ht="12" hidden="1" customHeight="1" outlineLevel="2">
      <c r="A617" s="204"/>
      <c r="B617" s="297" t="s">
        <v>12</v>
      </c>
      <c r="C617" s="17" t="s">
        <v>774</v>
      </c>
      <c r="D617" s="664" t="s">
        <v>12</v>
      </c>
      <c r="E617" s="306" t="s">
        <v>1670</v>
      </c>
      <c r="F617" s="307"/>
      <c r="G617" s="297" t="s">
        <v>774</v>
      </c>
      <c r="H617" s="308" t="str">
        <f t="shared" si="64"/>
        <v>ST-T6S-1</v>
      </c>
      <c r="I617" s="665">
        <v>1</v>
      </c>
      <c r="J617" s="195">
        <v>1</v>
      </c>
    </row>
    <row r="618" spans="1:10" ht="12" hidden="1" customHeight="1" outlineLevel="2">
      <c r="A618" s="204"/>
      <c r="B618" s="297" t="s">
        <v>12</v>
      </c>
      <c r="C618" s="17" t="s">
        <v>774</v>
      </c>
      <c r="D618" s="664" t="s">
        <v>12</v>
      </c>
      <c r="E618" s="306" t="s">
        <v>1671</v>
      </c>
      <c r="F618" s="307"/>
      <c r="G618" s="297" t="s">
        <v>774</v>
      </c>
      <c r="H618" s="308" t="str">
        <f t="shared" si="64"/>
        <v>ST-T6S-1</v>
      </c>
      <c r="I618" s="665">
        <v>1</v>
      </c>
      <c r="J618" s="195">
        <v>1</v>
      </c>
    </row>
    <row r="619" spans="1:10" ht="12" hidden="1" customHeight="1" outlineLevel="2">
      <c r="A619" s="204"/>
      <c r="B619" s="297" t="s">
        <v>12</v>
      </c>
      <c r="C619" s="17" t="s">
        <v>774</v>
      </c>
      <c r="D619" s="664" t="s">
        <v>12</v>
      </c>
      <c r="E619" s="306" t="s">
        <v>1672</v>
      </c>
      <c r="F619" s="307"/>
      <c r="G619" s="297" t="s">
        <v>774</v>
      </c>
      <c r="H619" s="308" t="str">
        <f t="shared" si="64"/>
        <v>ST-T6S-1</v>
      </c>
      <c r="I619" s="665">
        <v>1</v>
      </c>
      <c r="J619" s="195">
        <v>1</v>
      </c>
    </row>
    <row r="620" spans="1:10" ht="12" hidden="1" customHeight="1" outlineLevel="2">
      <c r="A620" s="204"/>
      <c r="B620" s="297" t="s">
        <v>12</v>
      </c>
      <c r="C620" s="17" t="s">
        <v>774</v>
      </c>
      <c r="D620" s="664" t="s">
        <v>12</v>
      </c>
      <c r="E620" s="306" t="s">
        <v>1673</v>
      </c>
      <c r="F620" s="307"/>
      <c r="G620" s="297" t="s">
        <v>774</v>
      </c>
      <c r="H620" s="308" t="str">
        <f t="shared" si="64"/>
        <v>ST-T6S-1</v>
      </c>
      <c r="I620" s="665">
        <v>1</v>
      </c>
      <c r="J620" s="195">
        <v>1</v>
      </c>
    </row>
    <row r="621" spans="1:10" ht="12" hidden="1" customHeight="1" outlineLevel="2">
      <c r="A621" s="204"/>
      <c r="B621" s="297" t="s">
        <v>12</v>
      </c>
      <c r="C621" s="17" t="s">
        <v>774</v>
      </c>
      <c r="D621" s="664" t="s">
        <v>12</v>
      </c>
      <c r="E621" s="306" t="s">
        <v>1726</v>
      </c>
      <c r="F621" s="307"/>
      <c r="G621" s="297" t="s">
        <v>774</v>
      </c>
      <c r="H621" s="308" t="str">
        <f t="shared" ref="H621" si="70">CONCATENATE(B621,"-",G621,"-",I621)</f>
        <v>ST-T6S-1</v>
      </c>
      <c r="I621" s="665">
        <v>1</v>
      </c>
      <c r="J621" s="195">
        <v>1</v>
      </c>
    </row>
    <row r="622" spans="1:10" s="190" customFormat="1" ht="12" hidden="1" customHeight="1" outlineLevel="1">
      <c r="A622" s="200"/>
      <c r="B622" s="297"/>
      <c r="C622" s="17"/>
      <c r="D622" s="664" t="s">
        <v>1674</v>
      </c>
      <c r="E622" s="306"/>
      <c r="F622" s="307"/>
      <c r="G622" s="297"/>
      <c r="H622" s="308"/>
      <c r="I622" s="661"/>
      <c r="J622" s="195"/>
    </row>
    <row r="623" spans="1:10" ht="12" hidden="1" customHeight="1" outlineLevel="2">
      <c r="A623" s="204"/>
      <c r="B623" s="297" t="s">
        <v>12</v>
      </c>
      <c r="C623" s="17" t="s">
        <v>774</v>
      </c>
      <c r="D623" s="664" t="s">
        <v>1623</v>
      </c>
      <c r="E623" s="306" t="s">
        <v>1723</v>
      </c>
      <c r="F623" s="307"/>
      <c r="G623" s="297" t="s">
        <v>774</v>
      </c>
      <c r="H623" s="308" t="str">
        <f t="shared" si="64"/>
        <v>ST-T6S-8</v>
      </c>
      <c r="I623" s="665">
        <v>8</v>
      </c>
      <c r="J623" s="195">
        <v>1</v>
      </c>
    </row>
    <row r="624" spans="1:10" ht="12" hidden="1" customHeight="1" outlineLevel="2">
      <c r="A624" s="204"/>
      <c r="B624" s="297" t="s">
        <v>12</v>
      </c>
      <c r="C624" s="17" t="s">
        <v>774</v>
      </c>
      <c r="D624" s="664" t="s">
        <v>1623</v>
      </c>
      <c r="E624" s="306" t="s">
        <v>1676</v>
      </c>
      <c r="F624" s="307"/>
      <c r="G624" s="297" t="s">
        <v>774</v>
      </c>
      <c r="H624" s="308" t="str">
        <f t="shared" si="64"/>
        <v>ST-T6S-8</v>
      </c>
      <c r="I624" s="665">
        <v>8</v>
      </c>
      <c r="J624" s="195">
        <v>1</v>
      </c>
    </row>
    <row r="626" spans="1:22" s="190" customFormat="1" ht="12" customHeight="1" collapsed="1">
      <c r="A626" s="153" t="s">
        <v>797</v>
      </c>
      <c r="B626" s="297"/>
      <c r="C626" s="17"/>
      <c r="D626" s="664"/>
      <c r="E626" s="306"/>
      <c r="F626" s="307"/>
      <c r="G626" s="297" t="s">
        <v>257</v>
      </c>
      <c r="H626" s="308" t="s">
        <v>258</v>
      </c>
      <c r="I626" s="665" t="s">
        <v>259</v>
      </c>
      <c r="J626" s="188">
        <v>45</v>
      </c>
      <c r="K626" s="188"/>
      <c r="L626" s="188">
        <f t="shared" ref="L626:V626" si="71">SUM(L627:L679)</f>
        <v>0</v>
      </c>
      <c r="M626" s="188"/>
      <c r="N626" s="188"/>
      <c r="O626" s="188">
        <f t="shared" si="71"/>
        <v>0</v>
      </c>
      <c r="P626" s="188">
        <f t="shared" si="71"/>
        <v>0</v>
      </c>
      <c r="Q626" s="219">
        <f>SUM(Q627:Q679)</f>
        <v>0</v>
      </c>
      <c r="R626" s="219">
        <f>SUM(R627:R679)</f>
        <v>0</v>
      </c>
      <c r="S626" s="219">
        <f>SUM(S627:S679)</f>
        <v>0</v>
      </c>
      <c r="T626" s="219">
        <f>SUM(T627:T679)</f>
        <v>0</v>
      </c>
      <c r="U626" s="219">
        <f>SUM(U627:U679)</f>
        <v>0</v>
      </c>
      <c r="V626" s="188">
        <f t="shared" si="71"/>
        <v>0</v>
      </c>
    </row>
    <row r="627" spans="1:22" s="190" customFormat="1" ht="12" hidden="1" customHeight="1" outlineLevel="1">
      <c r="A627" s="200"/>
      <c r="B627" s="297"/>
      <c r="C627" s="17"/>
      <c r="D627" s="664" t="s">
        <v>1588</v>
      </c>
      <c r="E627" s="306"/>
      <c r="F627" s="307"/>
      <c r="G627" s="297"/>
      <c r="H627" s="308"/>
      <c r="I627" s="661"/>
      <c r="J627" s="195"/>
      <c r="K627" s="202"/>
      <c r="L627" s="189"/>
      <c r="M627" s="197"/>
      <c r="N627" s="197"/>
      <c r="O627" s="197"/>
      <c r="P627" s="197"/>
      <c r="Q627" s="198"/>
      <c r="R627" s="198"/>
      <c r="S627" s="197"/>
      <c r="T627" s="197"/>
      <c r="U627" s="197"/>
      <c r="V627" s="189"/>
    </row>
    <row r="628" spans="1:22" s="182" customFormat="1" ht="12" hidden="1" customHeight="1" outlineLevel="2">
      <c r="A628" s="191"/>
      <c r="B628" s="297" t="s">
        <v>12</v>
      </c>
      <c r="C628" s="17" t="s">
        <v>1727</v>
      </c>
      <c r="D628" s="664" t="s">
        <v>1497</v>
      </c>
      <c r="E628" s="306" t="s">
        <v>1533</v>
      </c>
      <c r="F628" s="307"/>
      <c r="G628" s="297" t="s">
        <v>799</v>
      </c>
      <c r="H628" s="308" t="str">
        <f t="shared" si="64"/>
        <v>ST-T07-1</v>
      </c>
      <c r="I628" s="665">
        <v>1</v>
      </c>
      <c r="J628" s="195">
        <v>1</v>
      </c>
      <c r="K628" s="195"/>
      <c r="L628" s="196"/>
      <c r="M628" s="197"/>
      <c r="N628" s="197"/>
      <c r="O628" s="197"/>
      <c r="P628" s="197"/>
      <c r="Q628" s="198"/>
      <c r="R628" s="198"/>
      <c r="S628" s="197"/>
      <c r="T628" s="197"/>
      <c r="U628" s="197"/>
      <c r="V628" s="196"/>
    </row>
    <row r="629" spans="1:22" s="182" customFormat="1" ht="12" hidden="1" customHeight="1" outlineLevel="2">
      <c r="A629" s="191"/>
      <c r="B629" s="297" t="s">
        <v>12</v>
      </c>
      <c r="C629" s="17" t="s">
        <v>1727</v>
      </c>
      <c r="D629" s="664" t="s">
        <v>1497</v>
      </c>
      <c r="E629" s="306" t="s">
        <v>1534</v>
      </c>
      <c r="F629" s="307"/>
      <c r="G629" s="297" t="s">
        <v>799</v>
      </c>
      <c r="H629" s="308" t="str">
        <f t="shared" si="64"/>
        <v>ST-T07-1</v>
      </c>
      <c r="I629" s="665">
        <v>1</v>
      </c>
      <c r="J629" s="195">
        <v>1</v>
      </c>
      <c r="K629" s="195"/>
      <c r="L629" s="196"/>
      <c r="M629" s="197"/>
      <c r="N629" s="197"/>
      <c r="O629" s="197"/>
      <c r="P629" s="197"/>
      <c r="Q629" s="223"/>
      <c r="R629" s="223"/>
      <c r="S629" s="197"/>
      <c r="T629" s="197"/>
      <c r="U629" s="197"/>
      <c r="V629" s="196"/>
    </row>
    <row r="630" spans="1:22" s="182" customFormat="1" ht="12" hidden="1" customHeight="1" outlineLevel="2">
      <c r="A630" s="191"/>
      <c r="B630" s="297" t="s">
        <v>12</v>
      </c>
      <c r="C630" s="17" t="s">
        <v>1727</v>
      </c>
      <c r="D630" s="664" t="s">
        <v>1497</v>
      </c>
      <c r="E630" s="306" t="s">
        <v>1535</v>
      </c>
      <c r="F630" s="307"/>
      <c r="G630" s="297" t="s">
        <v>799</v>
      </c>
      <c r="H630" s="308" t="str">
        <f t="shared" si="64"/>
        <v>ST-T07-1</v>
      </c>
      <c r="I630" s="665">
        <v>1</v>
      </c>
      <c r="J630" s="195">
        <v>1</v>
      </c>
      <c r="K630" s="195"/>
      <c r="L630" s="196"/>
      <c r="M630" s="197"/>
      <c r="N630" s="197"/>
      <c r="O630" s="197"/>
      <c r="P630" s="197"/>
      <c r="Q630" s="223"/>
      <c r="R630" s="223"/>
      <c r="S630" s="197"/>
      <c r="T630" s="197"/>
      <c r="U630" s="197"/>
      <c r="V630" s="196"/>
    </row>
    <row r="631" spans="1:22" s="182" customFormat="1" ht="12" hidden="1" customHeight="1" outlineLevel="2">
      <c r="A631" s="191"/>
      <c r="B631" s="297" t="s">
        <v>12</v>
      </c>
      <c r="C631" s="17" t="s">
        <v>1727</v>
      </c>
      <c r="D631" s="664" t="s">
        <v>1497</v>
      </c>
      <c r="E631" s="306" t="s">
        <v>1536</v>
      </c>
      <c r="F631" s="307"/>
      <c r="G631" s="297" t="s">
        <v>799</v>
      </c>
      <c r="H631" s="308" t="str">
        <f t="shared" si="64"/>
        <v>ST-T07-1</v>
      </c>
      <c r="I631" s="665">
        <v>1</v>
      </c>
      <c r="J631" s="195">
        <v>1</v>
      </c>
      <c r="K631" s="195"/>
      <c r="L631" s="196"/>
      <c r="M631" s="197"/>
      <c r="N631" s="197"/>
      <c r="O631" s="197"/>
      <c r="P631" s="197"/>
      <c r="Q631" s="223"/>
      <c r="R631" s="223"/>
      <c r="S631" s="197"/>
      <c r="T631" s="197"/>
      <c r="U631" s="197"/>
      <c r="V631" s="196"/>
    </row>
    <row r="632" spans="1:22" s="182" customFormat="1" ht="12" hidden="1" customHeight="1" outlineLevel="2">
      <c r="A632" s="191"/>
      <c r="B632" s="297" t="s">
        <v>12</v>
      </c>
      <c r="C632" s="17" t="s">
        <v>1727</v>
      </c>
      <c r="D632" s="664" t="s">
        <v>1497</v>
      </c>
      <c r="E632" s="306" t="s">
        <v>1537</v>
      </c>
      <c r="F632" s="307"/>
      <c r="G632" s="297" t="s">
        <v>799</v>
      </c>
      <c r="H632" s="308" t="str">
        <f t="shared" si="64"/>
        <v>ST-T07-1</v>
      </c>
      <c r="I632" s="665">
        <v>1</v>
      </c>
      <c r="J632" s="195">
        <v>1</v>
      </c>
      <c r="K632" s="195"/>
      <c r="L632" s="196"/>
      <c r="M632" s="197"/>
      <c r="N632" s="197"/>
      <c r="O632" s="197"/>
      <c r="P632" s="197"/>
      <c r="Q632" s="198"/>
      <c r="R632" s="198"/>
      <c r="S632" s="197"/>
      <c r="T632" s="197"/>
      <c r="U632" s="197"/>
      <c r="V632" s="196"/>
    </row>
    <row r="633" spans="1:22" s="182" customFormat="1" ht="12" hidden="1" customHeight="1" outlineLevel="2">
      <c r="A633" s="191"/>
      <c r="B633" s="297" t="s">
        <v>12</v>
      </c>
      <c r="C633" s="17" t="s">
        <v>1727</v>
      </c>
      <c r="D633" s="664" t="s">
        <v>1497</v>
      </c>
      <c r="E633" s="306" t="s">
        <v>1538</v>
      </c>
      <c r="F633" s="307"/>
      <c r="G633" s="297" t="s">
        <v>799</v>
      </c>
      <c r="H633" s="308" t="str">
        <f t="shared" si="64"/>
        <v>ST-T07-1</v>
      </c>
      <c r="I633" s="665">
        <v>1</v>
      </c>
      <c r="J633" s="195">
        <v>1</v>
      </c>
      <c r="K633" s="195"/>
      <c r="L633" s="196"/>
      <c r="M633" s="197"/>
      <c r="N633" s="197"/>
      <c r="O633" s="197"/>
      <c r="P633" s="197"/>
      <c r="Q633" s="223"/>
      <c r="R633" s="223"/>
      <c r="S633" s="197"/>
      <c r="T633" s="197"/>
      <c r="U633" s="197"/>
      <c r="V633" s="196"/>
    </row>
    <row r="634" spans="1:22" s="182" customFormat="1" ht="12" hidden="1" customHeight="1" outlineLevel="2">
      <c r="A634" s="191"/>
      <c r="B634" s="297" t="s">
        <v>12</v>
      </c>
      <c r="C634" s="17" t="s">
        <v>1727</v>
      </c>
      <c r="D634" s="664" t="s">
        <v>1497</v>
      </c>
      <c r="E634" s="306" t="s">
        <v>1539</v>
      </c>
      <c r="F634" s="307"/>
      <c r="G634" s="297" t="s">
        <v>799</v>
      </c>
      <c r="H634" s="308" t="str">
        <f t="shared" si="64"/>
        <v>ST-T07-1</v>
      </c>
      <c r="I634" s="665">
        <v>1</v>
      </c>
      <c r="J634" s="195">
        <v>1</v>
      </c>
      <c r="K634" s="195"/>
      <c r="L634" s="196"/>
      <c r="M634" s="197"/>
      <c r="N634" s="197"/>
      <c r="O634" s="197"/>
      <c r="P634" s="197"/>
      <c r="Q634" s="223"/>
      <c r="R634" s="223"/>
      <c r="S634" s="197"/>
      <c r="T634" s="197"/>
      <c r="U634" s="197"/>
      <c r="V634" s="196"/>
    </row>
    <row r="635" spans="1:22" s="190" customFormat="1" ht="12" hidden="1" customHeight="1" outlineLevel="1">
      <c r="A635" s="200"/>
      <c r="B635" s="297"/>
      <c r="C635" s="17"/>
      <c r="D635" s="664" t="s">
        <v>1543</v>
      </c>
      <c r="E635" s="306"/>
      <c r="F635" s="307"/>
      <c r="G635" s="297"/>
      <c r="H635" s="308"/>
      <c r="I635" s="661"/>
      <c r="J635" s="195"/>
      <c r="K635" s="202"/>
      <c r="L635" s="189"/>
      <c r="M635" s="197"/>
      <c r="N635" s="197"/>
      <c r="O635" s="197"/>
      <c r="P635" s="197"/>
      <c r="Q635" s="220"/>
      <c r="R635" s="220"/>
      <c r="S635" s="197"/>
      <c r="T635" s="197"/>
      <c r="U635" s="197"/>
      <c r="V635" s="189"/>
    </row>
    <row r="636" spans="1:22" s="182" customFormat="1" ht="12" hidden="1" customHeight="1" outlineLevel="2">
      <c r="A636" s="191"/>
      <c r="B636" s="297" t="s">
        <v>12</v>
      </c>
      <c r="C636" s="17" t="s">
        <v>1727</v>
      </c>
      <c r="D636" s="664" t="s">
        <v>1500</v>
      </c>
      <c r="E636" s="306" t="s">
        <v>1544</v>
      </c>
      <c r="F636" s="307"/>
      <c r="G636" s="297" t="s">
        <v>799</v>
      </c>
      <c r="H636" s="308" t="str">
        <f t="shared" ref="H636:H696" si="72">CONCATENATE(B636,"-",G636,"-",I636)</f>
        <v>ST-T07-1</v>
      </c>
      <c r="I636" s="665">
        <v>1</v>
      </c>
      <c r="J636" s="195">
        <v>1</v>
      </c>
      <c r="K636" s="195"/>
      <c r="L636" s="196"/>
      <c r="M636" s="197"/>
      <c r="N636" s="197"/>
      <c r="O636" s="197"/>
      <c r="P636" s="197"/>
      <c r="Q636" s="220"/>
      <c r="R636" s="220"/>
      <c r="S636" s="197"/>
      <c r="T636" s="197"/>
      <c r="U636" s="197"/>
      <c r="V636" s="196"/>
    </row>
    <row r="637" spans="1:22" s="182" customFormat="1" ht="12" hidden="1" customHeight="1" outlineLevel="2">
      <c r="A637" s="191"/>
      <c r="B637" s="297" t="s">
        <v>12</v>
      </c>
      <c r="C637" s="17" t="s">
        <v>1727</v>
      </c>
      <c r="D637" s="664" t="s">
        <v>1500</v>
      </c>
      <c r="E637" s="306" t="s">
        <v>1545</v>
      </c>
      <c r="F637" s="307"/>
      <c r="G637" s="297" t="s">
        <v>799</v>
      </c>
      <c r="H637" s="308" t="str">
        <f t="shared" si="72"/>
        <v>ST-T07-1</v>
      </c>
      <c r="I637" s="665">
        <v>1</v>
      </c>
      <c r="J637" s="195">
        <v>1</v>
      </c>
      <c r="K637" s="195"/>
      <c r="L637" s="196"/>
      <c r="M637" s="197"/>
      <c r="N637" s="197"/>
      <c r="O637" s="197"/>
      <c r="P637" s="197"/>
      <c r="Q637" s="198"/>
      <c r="R637" s="198"/>
      <c r="S637" s="197"/>
      <c r="T637" s="197"/>
      <c r="U637" s="197"/>
      <c r="V637" s="196"/>
    </row>
    <row r="638" spans="1:22" s="182" customFormat="1" ht="12" hidden="1" customHeight="1" outlineLevel="2">
      <c r="A638" s="191"/>
      <c r="B638" s="297" t="s">
        <v>12</v>
      </c>
      <c r="C638" s="17" t="s">
        <v>1727</v>
      </c>
      <c r="D638" s="664" t="s">
        <v>1500</v>
      </c>
      <c r="E638" s="306" t="s">
        <v>1546</v>
      </c>
      <c r="F638" s="307"/>
      <c r="G638" s="297" t="s">
        <v>799</v>
      </c>
      <c r="H638" s="308" t="str">
        <f t="shared" si="72"/>
        <v>ST-T07-1</v>
      </c>
      <c r="I638" s="665">
        <v>1</v>
      </c>
      <c r="J638" s="195">
        <v>1</v>
      </c>
      <c r="K638" s="195"/>
      <c r="L638" s="196"/>
      <c r="M638" s="197"/>
      <c r="N638" s="197"/>
      <c r="O638" s="197"/>
      <c r="P638" s="197"/>
      <c r="Q638" s="220"/>
      <c r="R638" s="220"/>
      <c r="S638" s="197"/>
      <c r="T638" s="197"/>
      <c r="U638" s="197"/>
      <c r="V638" s="196"/>
    </row>
    <row r="639" spans="1:22" s="182" customFormat="1" ht="12" hidden="1" customHeight="1" outlineLevel="2">
      <c r="A639" s="191"/>
      <c r="B639" s="297" t="s">
        <v>12</v>
      </c>
      <c r="C639" s="17" t="s">
        <v>1727</v>
      </c>
      <c r="D639" s="664" t="s">
        <v>1500</v>
      </c>
      <c r="E639" s="306" t="s">
        <v>1547</v>
      </c>
      <c r="F639" s="307"/>
      <c r="G639" s="297" t="s">
        <v>799</v>
      </c>
      <c r="H639" s="308" t="str">
        <f t="shared" si="72"/>
        <v>ST-T07-5</v>
      </c>
      <c r="I639" s="665">
        <v>5</v>
      </c>
      <c r="J639" s="195">
        <v>1</v>
      </c>
      <c r="K639" s="195"/>
      <c r="L639" s="196"/>
      <c r="M639" s="197"/>
      <c r="N639" s="197"/>
      <c r="O639" s="197"/>
      <c r="P639" s="197"/>
      <c r="Q639" s="220"/>
      <c r="R639" s="220"/>
      <c r="S639" s="197"/>
      <c r="T639" s="197"/>
      <c r="U639" s="197"/>
      <c r="V639" s="196"/>
    </row>
    <row r="640" spans="1:22" s="182" customFormat="1" ht="12" hidden="1" customHeight="1" outlineLevel="2">
      <c r="A640" s="191"/>
      <c r="B640" s="297" t="s">
        <v>12</v>
      </c>
      <c r="C640" s="17" t="s">
        <v>1727</v>
      </c>
      <c r="D640" s="664" t="s">
        <v>1500</v>
      </c>
      <c r="E640" s="306" t="s">
        <v>1548</v>
      </c>
      <c r="F640" s="307"/>
      <c r="G640" s="297" t="s">
        <v>799</v>
      </c>
      <c r="H640" s="308" t="str">
        <f t="shared" si="72"/>
        <v>ST-T07-6</v>
      </c>
      <c r="I640" s="665">
        <v>6</v>
      </c>
      <c r="J640" s="195">
        <v>1</v>
      </c>
      <c r="K640" s="195"/>
      <c r="M640" s="197"/>
      <c r="N640" s="197"/>
      <c r="O640" s="197"/>
      <c r="P640" s="197"/>
      <c r="Q640" s="220"/>
      <c r="R640" s="220"/>
      <c r="S640" s="197"/>
      <c r="T640" s="197"/>
      <c r="U640" s="197"/>
    </row>
    <row r="641" spans="1:10" s="182" customFormat="1" ht="12" hidden="1" customHeight="1" outlineLevel="2">
      <c r="A641" s="191"/>
      <c r="B641" s="297" t="s">
        <v>12</v>
      </c>
      <c r="C641" s="17" t="s">
        <v>1727</v>
      </c>
      <c r="D641" s="664" t="s">
        <v>1500</v>
      </c>
      <c r="E641" s="306" t="s">
        <v>1549</v>
      </c>
      <c r="F641" s="307"/>
      <c r="G641" s="297" t="s">
        <v>799</v>
      </c>
      <c r="H641" s="308" t="str">
        <f t="shared" si="72"/>
        <v>ST-T07-8</v>
      </c>
      <c r="I641" s="665">
        <v>8</v>
      </c>
      <c r="J641" s="195">
        <v>1</v>
      </c>
    </row>
    <row r="642" spans="1:10" s="190" customFormat="1" ht="12" hidden="1" customHeight="1" outlineLevel="1">
      <c r="A642" s="200"/>
      <c r="B642" s="297"/>
      <c r="C642" s="17"/>
      <c r="D642" s="664" t="s">
        <v>1550</v>
      </c>
      <c r="E642" s="306"/>
      <c r="F642" s="307"/>
      <c r="G642" s="297"/>
      <c r="H642" s="308"/>
      <c r="I642" s="661"/>
      <c r="J642" s="195"/>
    </row>
    <row r="643" spans="1:10" s="182" customFormat="1" ht="12" hidden="1" customHeight="1" outlineLevel="2">
      <c r="A643" s="191"/>
      <c r="B643" s="297" t="s">
        <v>12</v>
      </c>
      <c r="C643" s="17" t="s">
        <v>1727</v>
      </c>
      <c r="D643" s="664" t="s">
        <v>1504</v>
      </c>
      <c r="E643" s="306" t="s">
        <v>1551</v>
      </c>
      <c r="F643" s="307"/>
      <c r="G643" s="297" t="s">
        <v>799</v>
      </c>
      <c r="H643" s="308" t="str">
        <f t="shared" si="72"/>
        <v>ST-T07-2</v>
      </c>
      <c r="I643" s="665">
        <v>2</v>
      </c>
      <c r="J643" s="195">
        <v>1</v>
      </c>
    </row>
    <row r="644" spans="1:10" s="182" customFormat="1" ht="12" hidden="1" customHeight="1" outlineLevel="2">
      <c r="A644" s="191"/>
      <c r="B644" s="297" t="s">
        <v>12</v>
      </c>
      <c r="C644" s="17" t="s">
        <v>1727</v>
      </c>
      <c r="D644" s="664" t="s">
        <v>1504</v>
      </c>
      <c r="E644" s="306" t="s">
        <v>1552</v>
      </c>
      <c r="F644" s="307"/>
      <c r="G644" s="297" t="s">
        <v>799</v>
      </c>
      <c r="H644" s="308" t="str">
        <f t="shared" si="72"/>
        <v>ST-T07-4</v>
      </c>
      <c r="I644" s="665">
        <v>4</v>
      </c>
      <c r="J644" s="195">
        <v>1</v>
      </c>
    </row>
    <row r="645" spans="1:10" s="182" customFormat="1" ht="12" hidden="1" customHeight="1" outlineLevel="2">
      <c r="A645" s="191"/>
      <c r="B645" s="297" t="s">
        <v>12</v>
      </c>
      <c r="C645" s="17" t="s">
        <v>1727</v>
      </c>
      <c r="D645" s="664" t="s">
        <v>1504</v>
      </c>
      <c r="E645" s="306" t="s">
        <v>1728</v>
      </c>
      <c r="F645" s="307"/>
      <c r="G645" s="297" t="s">
        <v>799</v>
      </c>
      <c r="H645" s="308" t="str">
        <f t="shared" si="72"/>
        <v>ST-T07-6</v>
      </c>
      <c r="I645" s="665">
        <v>6</v>
      </c>
      <c r="J645" s="195">
        <v>1</v>
      </c>
    </row>
    <row r="646" spans="1:10" s="182" customFormat="1" ht="12" hidden="1" customHeight="1" outlineLevel="2">
      <c r="A646" s="191"/>
      <c r="B646" s="297" t="s">
        <v>12</v>
      </c>
      <c r="C646" s="17" t="s">
        <v>1727</v>
      </c>
      <c r="D646" s="664" t="s">
        <v>1504</v>
      </c>
      <c r="E646" s="306" t="s">
        <v>1729</v>
      </c>
      <c r="F646" s="307"/>
      <c r="G646" s="297" t="s">
        <v>799</v>
      </c>
      <c r="H646" s="308" t="str">
        <f t="shared" ref="H646" si="73">CONCATENATE(B646,"-",G646,"-",I646)</f>
        <v>ST-T07-5</v>
      </c>
      <c r="I646" s="665">
        <v>5</v>
      </c>
      <c r="J646" s="195">
        <v>1</v>
      </c>
    </row>
    <row r="647" spans="1:10" s="182" customFormat="1" ht="12" hidden="1" customHeight="1" outlineLevel="2">
      <c r="A647" s="191"/>
      <c r="B647" s="297" t="s">
        <v>12</v>
      </c>
      <c r="C647" s="17" t="s">
        <v>1727</v>
      </c>
      <c r="D647" s="664" t="s">
        <v>1504</v>
      </c>
      <c r="E647" s="306" t="s">
        <v>1554</v>
      </c>
      <c r="F647" s="307"/>
      <c r="G647" s="297" t="s">
        <v>799</v>
      </c>
      <c r="H647" s="308" t="str">
        <f t="shared" si="72"/>
        <v>ST-T07-8</v>
      </c>
      <c r="I647" s="665">
        <v>8</v>
      </c>
      <c r="J647" s="195">
        <v>1</v>
      </c>
    </row>
    <row r="648" spans="1:10" s="182" customFormat="1" ht="12" hidden="1" customHeight="1" outlineLevel="2">
      <c r="A648" s="191"/>
      <c r="B648" s="297" t="s">
        <v>12</v>
      </c>
      <c r="C648" s="17" t="s">
        <v>1727</v>
      </c>
      <c r="D648" s="664" t="s">
        <v>1504</v>
      </c>
      <c r="E648" s="306" t="s">
        <v>1555</v>
      </c>
      <c r="F648" s="307"/>
      <c r="G648" s="297" t="s">
        <v>799</v>
      </c>
      <c r="H648" s="308" t="str">
        <f t="shared" si="72"/>
        <v>ST-T07-9</v>
      </c>
      <c r="I648" s="665">
        <v>9</v>
      </c>
      <c r="J648" s="195">
        <v>1</v>
      </c>
    </row>
    <row r="649" spans="1:10" s="182" customFormat="1" ht="12" hidden="1" customHeight="1" outlineLevel="2">
      <c r="A649" s="191"/>
      <c r="B649" s="297" t="s">
        <v>12</v>
      </c>
      <c r="C649" s="17" t="s">
        <v>1727</v>
      </c>
      <c r="D649" s="664" t="s">
        <v>1504</v>
      </c>
      <c r="E649" s="306" t="s">
        <v>1556</v>
      </c>
      <c r="F649" s="307"/>
      <c r="G649" s="297" t="s">
        <v>799</v>
      </c>
      <c r="H649" s="308" t="str">
        <f t="shared" si="72"/>
        <v>ST-T07-9</v>
      </c>
      <c r="I649" s="665">
        <v>9</v>
      </c>
      <c r="J649" s="195">
        <v>1</v>
      </c>
    </row>
    <row r="650" spans="1:10" s="190" customFormat="1" ht="12" hidden="1" customHeight="1" outlineLevel="1">
      <c r="A650" s="200"/>
      <c r="B650" s="297"/>
      <c r="C650" s="17"/>
      <c r="D650" s="664" t="s">
        <v>1557</v>
      </c>
      <c r="E650" s="306"/>
      <c r="F650" s="307"/>
      <c r="G650" s="297"/>
      <c r="H650" s="308"/>
      <c r="I650" s="661"/>
      <c r="J650" s="195"/>
    </row>
    <row r="651" spans="1:10" s="182" customFormat="1" ht="12" hidden="1" customHeight="1" outlineLevel="2">
      <c r="A651" s="191"/>
      <c r="B651" s="297" t="s">
        <v>12</v>
      </c>
      <c r="C651" s="17" t="s">
        <v>1727</v>
      </c>
      <c r="D651" s="664" t="s">
        <v>1506</v>
      </c>
      <c r="E651" s="306" t="s">
        <v>1558</v>
      </c>
      <c r="F651" s="307"/>
      <c r="G651" s="297" t="s">
        <v>799</v>
      </c>
      <c r="H651" s="308" t="str">
        <f t="shared" si="72"/>
        <v>ST-T07-2</v>
      </c>
      <c r="I651" s="665">
        <v>2</v>
      </c>
      <c r="J651" s="195">
        <v>1</v>
      </c>
    </row>
    <row r="652" spans="1:10" s="182" customFormat="1" ht="12" hidden="1" customHeight="1" outlineLevel="2">
      <c r="A652" s="191"/>
      <c r="B652" s="297" t="s">
        <v>12</v>
      </c>
      <c r="C652" s="17" t="s">
        <v>1727</v>
      </c>
      <c r="D652" s="664" t="s">
        <v>1506</v>
      </c>
      <c r="E652" s="306" t="s">
        <v>1559</v>
      </c>
      <c r="F652" s="307"/>
      <c r="G652" s="297" t="s">
        <v>799</v>
      </c>
      <c r="H652" s="308" t="str">
        <f t="shared" si="72"/>
        <v>ST-T07-2</v>
      </c>
      <c r="I652" s="665">
        <v>2</v>
      </c>
      <c r="J652" s="195">
        <v>1</v>
      </c>
    </row>
    <row r="653" spans="1:10" s="182" customFormat="1" ht="12" hidden="1" customHeight="1" outlineLevel="2">
      <c r="A653" s="191"/>
      <c r="B653" s="297" t="s">
        <v>12</v>
      </c>
      <c r="C653" s="17" t="s">
        <v>1727</v>
      </c>
      <c r="D653" s="664" t="s">
        <v>1506</v>
      </c>
      <c r="E653" s="306" t="s">
        <v>1560</v>
      </c>
      <c r="F653" s="307"/>
      <c r="G653" s="297" t="s">
        <v>799</v>
      </c>
      <c r="H653" s="308" t="str">
        <f t="shared" si="72"/>
        <v>ST-T07-4</v>
      </c>
      <c r="I653" s="665">
        <v>4</v>
      </c>
      <c r="J653" s="195">
        <v>1</v>
      </c>
    </row>
    <row r="654" spans="1:10" s="182" customFormat="1" ht="12" hidden="1" customHeight="1" outlineLevel="2">
      <c r="A654" s="191"/>
      <c r="B654" s="297" t="s">
        <v>12</v>
      </c>
      <c r="C654" s="17" t="s">
        <v>1727</v>
      </c>
      <c r="D654" s="664" t="s">
        <v>1506</v>
      </c>
      <c r="E654" s="306" t="s">
        <v>1561</v>
      </c>
      <c r="F654" s="307"/>
      <c r="G654" s="297" t="s">
        <v>799</v>
      </c>
      <c r="H654" s="308" t="str">
        <f t="shared" si="72"/>
        <v>ST-T07-6</v>
      </c>
      <c r="I654" s="665">
        <v>6</v>
      </c>
      <c r="J654" s="195">
        <v>1</v>
      </c>
    </row>
    <row r="655" spans="1:10" s="182" customFormat="1" ht="12" hidden="1" customHeight="1" outlineLevel="2">
      <c r="A655" s="191"/>
      <c r="B655" s="297" t="s">
        <v>12</v>
      </c>
      <c r="C655" s="17" t="s">
        <v>1727</v>
      </c>
      <c r="D655" s="664" t="s">
        <v>1506</v>
      </c>
      <c r="E655" s="306" t="s">
        <v>1562</v>
      </c>
      <c r="F655" s="307"/>
      <c r="G655" s="297" t="s">
        <v>799</v>
      </c>
      <c r="H655" s="308" t="str">
        <f t="shared" si="72"/>
        <v>ST-T07-5</v>
      </c>
      <c r="I655" s="665">
        <v>5</v>
      </c>
      <c r="J655" s="195">
        <v>1</v>
      </c>
    </row>
    <row r="656" spans="1:10" s="182" customFormat="1" ht="12" hidden="1" customHeight="1" outlineLevel="2">
      <c r="A656" s="191"/>
      <c r="B656" s="297" t="s">
        <v>12</v>
      </c>
      <c r="C656" s="17" t="s">
        <v>1727</v>
      </c>
      <c r="D656" s="664" t="s">
        <v>1506</v>
      </c>
      <c r="E656" s="306" t="s">
        <v>1563</v>
      </c>
      <c r="F656" s="307"/>
      <c r="G656" s="297" t="s">
        <v>799</v>
      </c>
      <c r="H656" s="308" t="str">
        <f t="shared" si="72"/>
        <v>ST-T07-8</v>
      </c>
      <c r="I656" s="665">
        <v>8</v>
      </c>
      <c r="J656" s="195">
        <v>1</v>
      </c>
    </row>
    <row r="657" spans="1:10" s="182" customFormat="1" ht="12" hidden="1" customHeight="1" outlineLevel="2">
      <c r="A657" s="191"/>
      <c r="B657" s="297" t="s">
        <v>12</v>
      </c>
      <c r="C657" s="17" t="s">
        <v>1727</v>
      </c>
      <c r="D657" s="664" t="s">
        <v>1506</v>
      </c>
      <c r="E657" s="306" t="s">
        <v>1564</v>
      </c>
      <c r="F657" s="307"/>
      <c r="G657" s="297" t="s">
        <v>799</v>
      </c>
      <c r="H657" s="308" t="str">
        <f t="shared" si="72"/>
        <v>ST-T07-9</v>
      </c>
      <c r="I657" s="665">
        <v>9</v>
      </c>
      <c r="J657" s="195">
        <v>1</v>
      </c>
    </row>
    <row r="658" spans="1:10" s="182" customFormat="1" ht="12" hidden="1" customHeight="1" outlineLevel="2">
      <c r="A658" s="191"/>
      <c r="B658" s="297" t="s">
        <v>12</v>
      </c>
      <c r="C658" s="17" t="s">
        <v>1727</v>
      </c>
      <c r="D658" s="664" t="s">
        <v>1506</v>
      </c>
      <c r="E658" s="306" t="s">
        <v>1565</v>
      </c>
      <c r="F658" s="307"/>
      <c r="G658" s="297" t="s">
        <v>799</v>
      </c>
      <c r="H658" s="308" t="str">
        <f t="shared" si="72"/>
        <v>ST-T07-9</v>
      </c>
      <c r="I658" s="665">
        <v>9</v>
      </c>
      <c r="J658" s="195">
        <v>1</v>
      </c>
    </row>
    <row r="659" spans="1:10" s="190" customFormat="1" ht="12" hidden="1" customHeight="1" outlineLevel="1">
      <c r="A659" s="200"/>
      <c r="B659" s="297"/>
      <c r="C659" s="17"/>
      <c r="D659" s="664" t="s">
        <v>1566</v>
      </c>
      <c r="E659" s="306"/>
      <c r="F659" s="307"/>
      <c r="G659" s="297"/>
      <c r="H659" s="308"/>
      <c r="I659" s="661"/>
      <c r="J659" s="195"/>
    </row>
    <row r="660" spans="1:10" s="182" customFormat="1" ht="12" hidden="1" customHeight="1" outlineLevel="2">
      <c r="A660" s="191"/>
      <c r="B660" s="297" t="s">
        <v>12</v>
      </c>
      <c r="C660" s="17" t="s">
        <v>1727</v>
      </c>
      <c r="D660" s="664" t="s">
        <v>1508</v>
      </c>
      <c r="E660" s="306" t="s">
        <v>1567</v>
      </c>
      <c r="F660" s="307"/>
      <c r="G660" s="297" t="s">
        <v>799</v>
      </c>
      <c r="H660" s="308" t="str">
        <f t="shared" si="72"/>
        <v>ST-T07-2</v>
      </c>
      <c r="I660" s="665">
        <v>2</v>
      </c>
      <c r="J660" s="195">
        <v>1</v>
      </c>
    </row>
    <row r="661" spans="1:10" s="182" customFormat="1" ht="12" hidden="1" customHeight="1" outlineLevel="2">
      <c r="A661" s="191"/>
      <c r="B661" s="297" t="s">
        <v>12</v>
      </c>
      <c r="C661" s="17" t="s">
        <v>1727</v>
      </c>
      <c r="D661" s="664" t="s">
        <v>1508</v>
      </c>
      <c r="E661" s="306" t="s">
        <v>1568</v>
      </c>
      <c r="F661" s="307"/>
      <c r="G661" s="297" t="s">
        <v>799</v>
      </c>
      <c r="H661" s="308" t="str">
        <f t="shared" si="72"/>
        <v>ST-T07-2</v>
      </c>
      <c r="I661" s="665">
        <v>2</v>
      </c>
      <c r="J661" s="195">
        <v>1</v>
      </c>
    </row>
    <row r="662" spans="1:10" s="182" customFormat="1" ht="12" hidden="1" customHeight="1" outlineLevel="2">
      <c r="A662" s="191"/>
      <c r="B662" s="297" t="s">
        <v>12</v>
      </c>
      <c r="C662" s="17" t="s">
        <v>1727</v>
      </c>
      <c r="D662" s="664" t="s">
        <v>1508</v>
      </c>
      <c r="E662" s="306" t="s">
        <v>1569</v>
      </c>
      <c r="F662" s="307"/>
      <c r="G662" s="297" t="s">
        <v>799</v>
      </c>
      <c r="H662" s="308" t="str">
        <f t="shared" si="72"/>
        <v>ST-T07-4</v>
      </c>
      <c r="I662" s="665">
        <v>4</v>
      </c>
      <c r="J662" s="195">
        <v>1</v>
      </c>
    </row>
    <row r="663" spans="1:10" s="182" customFormat="1" ht="12" hidden="1" customHeight="1" outlineLevel="2">
      <c r="A663" s="191"/>
      <c r="B663" s="297" t="s">
        <v>12</v>
      </c>
      <c r="C663" s="17" t="s">
        <v>1727</v>
      </c>
      <c r="D663" s="664" t="s">
        <v>1508</v>
      </c>
      <c r="E663" s="306" t="s">
        <v>1570</v>
      </c>
      <c r="F663" s="307"/>
      <c r="G663" s="297" t="s">
        <v>799</v>
      </c>
      <c r="H663" s="308" t="str">
        <f t="shared" ref="H663" si="74">CONCATENATE(B663,"-",G663,"-",I663)</f>
        <v>ST-T07-5</v>
      </c>
      <c r="I663" s="665">
        <v>5</v>
      </c>
      <c r="J663" s="195">
        <v>1</v>
      </c>
    </row>
    <row r="664" spans="1:10" s="182" customFormat="1" ht="12" hidden="1" customHeight="1" outlineLevel="2">
      <c r="A664" s="191"/>
      <c r="B664" s="297" t="s">
        <v>12</v>
      </c>
      <c r="C664" s="17" t="s">
        <v>1727</v>
      </c>
      <c r="D664" s="664" t="s">
        <v>1508</v>
      </c>
      <c r="E664" s="306" t="s">
        <v>1571</v>
      </c>
      <c r="F664" s="307"/>
      <c r="G664" s="297" t="s">
        <v>799</v>
      </c>
      <c r="H664" s="308" t="str">
        <f t="shared" si="72"/>
        <v>ST-T07-8</v>
      </c>
      <c r="I664" s="665">
        <v>8</v>
      </c>
      <c r="J664" s="195">
        <v>1</v>
      </c>
    </row>
    <row r="665" spans="1:10" s="182" customFormat="1" ht="12" hidden="1" customHeight="1" outlineLevel="2">
      <c r="A665" s="191"/>
      <c r="B665" s="297" t="s">
        <v>12</v>
      </c>
      <c r="C665" s="17" t="s">
        <v>1727</v>
      </c>
      <c r="D665" s="664" t="s">
        <v>1508</v>
      </c>
      <c r="E665" s="306" t="s">
        <v>1572</v>
      </c>
      <c r="F665" s="307"/>
      <c r="G665" s="297" t="s">
        <v>799</v>
      </c>
      <c r="H665" s="308" t="str">
        <f t="shared" si="72"/>
        <v>ST-T07-9</v>
      </c>
      <c r="I665" s="665">
        <v>9</v>
      </c>
      <c r="J665" s="195">
        <v>1</v>
      </c>
    </row>
    <row r="666" spans="1:10" s="182" customFormat="1" ht="12" hidden="1" customHeight="1" outlineLevel="2">
      <c r="A666" s="191"/>
      <c r="B666" s="297" t="s">
        <v>12</v>
      </c>
      <c r="C666" s="17" t="s">
        <v>1727</v>
      </c>
      <c r="D666" s="664" t="s">
        <v>1508</v>
      </c>
      <c r="E666" s="306" t="s">
        <v>1573</v>
      </c>
      <c r="F666" s="307"/>
      <c r="G666" s="297" t="s">
        <v>799</v>
      </c>
      <c r="H666" s="308" t="str">
        <f t="shared" si="72"/>
        <v>ST-T07-9</v>
      </c>
      <c r="I666" s="665">
        <v>9</v>
      </c>
      <c r="J666" s="195">
        <v>1</v>
      </c>
    </row>
    <row r="667" spans="1:10" s="190" customFormat="1" ht="12" hidden="1" customHeight="1" outlineLevel="1">
      <c r="A667" s="200"/>
      <c r="B667" s="297"/>
      <c r="C667" s="17"/>
      <c r="D667" s="664" t="s">
        <v>1574</v>
      </c>
      <c r="E667" s="306"/>
      <c r="F667" s="307"/>
      <c r="G667" s="297"/>
      <c r="H667" s="308"/>
      <c r="I667" s="661"/>
      <c r="J667" s="195"/>
    </row>
    <row r="668" spans="1:10" ht="12" hidden="1" customHeight="1" outlineLevel="2">
      <c r="A668" s="204"/>
      <c r="B668" s="297" t="s">
        <v>12</v>
      </c>
      <c r="C668" s="17" t="s">
        <v>1727</v>
      </c>
      <c r="D668" s="664" t="s">
        <v>1575</v>
      </c>
      <c r="E668" s="306" t="s">
        <v>1576</v>
      </c>
      <c r="F668" s="307"/>
      <c r="G668" s="297" t="s">
        <v>799</v>
      </c>
      <c r="H668" s="308" t="str">
        <f t="shared" si="72"/>
        <v>ST-T07-2</v>
      </c>
      <c r="I668" s="665">
        <v>2</v>
      </c>
      <c r="J668" s="195">
        <v>1</v>
      </c>
    </row>
    <row r="669" spans="1:10" ht="12" hidden="1" customHeight="1" outlineLevel="2">
      <c r="A669" s="204"/>
      <c r="B669" s="297" t="s">
        <v>12</v>
      </c>
      <c r="C669" s="17" t="s">
        <v>1727</v>
      </c>
      <c r="D669" s="664" t="s">
        <v>1575</v>
      </c>
      <c r="E669" s="306" t="s">
        <v>1577</v>
      </c>
      <c r="F669" s="307"/>
      <c r="G669" s="297" t="s">
        <v>799</v>
      </c>
      <c r="H669" s="308" t="str">
        <f t="shared" si="72"/>
        <v>ST-T07-4</v>
      </c>
      <c r="I669" s="665">
        <v>4</v>
      </c>
      <c r="J669" s="195">
        <v>1</v>
      </c>
    </row>
    <row r="670" spans="1:10" ht="12" hidden="1" customHeight="1" outlineLevel="2">
      <c r="A670" s="204"/>
      <c r="B670" s="297" t="s">
        <v>12</v>
      </c>
      <c r="C670" s="17" t="s">
        <v>1727</v>
      </c>
      <c r="D670" s="664" t="s">
        <v>1575</v>
      </c>
      <c r="E670" s="306" t="s">
        <v>1616</v>
      </c>
      <c r="F670" s="307"/>
      <c r="G670" s="297" t="s">
        <v>799</v>
      </c>
      <c r="H670" s="308" t="str">
        <f t="shared" ref="H670" si="75">CONCATENATE(B670,"-",G670,"-",I670)</f>
        <v>ST-T07-5</v>
      </c>
      <c r="I670" s="665">
        <v>5</v>
      </c>
      <c r="J670" s="195">
        <v>1</v>
      </c>
    </row>
    <row r="671" spans="1:10" ht="12" hidden="1" customHeight="1" outlineLevel="2">
      <c r="A671" s="204"/>
      <c r="B671" s="297" t="s">
        <v>12</v>
      </c>
      <c r="C671" s="17" t="s">
        <v>1727</v>
      </c>
      <c r="D671" s="664" t="s">
        <v>1575</v>
      </c>
      <c r="E671" s="306" t="s">
        <v>1579</v>
      </c>
      <c r="F671" s="307"/>
      <c r="G671" s="297" t="s">
        <v>799</v>
      </c>
      <c r="H671" s="308" t="str">
        <f t="shared" si="72"/>
        <v>ST-T07-8</v>
      </c>
      <c r="I671" s="665">
        <v>8</v>
      </c>
      <c r="J671" s="195">
        <v>1</v>
      </c>
    </row>
    <row r="672" spans="1:10" ht="12" hidden="1" customHeight="1" outlineLevel="2">
      <c r="A672" s="204"/>
      <c r="B672" s="297" t="s">
        <v>12</v>
      </c>
      <c r="C672" s="17" t="s">
        <v>1727</v>
      </c>
      <c r="D672" s="664" t="s">
        <v>1575</v>
      </c>
      <c r="E672" s="306" t="s">
        <v>1580</v>
      </c>
      <c r="F672" s="307"/>
      <c r="G672" s="297" t="s">
        <v>799</v>
      </c>
      <c r="H672" s="308" t="str">
        <f t="shared" si="72"/>
        <v>ST-T07-9</v>
      </c>
      <c r="I672" s="665">
        <v>9</v>
      </c>
      <c r="J672" s="195">
        <v>1</v>
      </c>
    </row>
    <row r="673" spans="1:21" s="190" customFormat="1" ht="12" hidden="1" customHeight="1" outlineLevel="1">
      <c r="A673" s="200"/>
      <c r="B673" s="297"/>
      <c r="C673" s="17"/>
      <c r="D673" s="664" t="s">
        <v>1581</v>
      </c>
      <c r="E673" s="306"/>
      <c r="F673" s="307"/>
      <c r="G673" s="297"/>
      <c r="H673" s="308"/>
      <c r="I673" s="661"/>
      <c r="J673" s="195"/>
      <c r="K673" s="202"/>
      <c r="L673" s="189"/>
      <c r="M673" s="197"/>
      <c r="N673" s="197"/>
      <c r="O673" s="197"/>
      <c r="P673" s="197"/>
      <c r="Q673" s="198"/>
      <c r="R673" s="198"/>
      <c r="S673" s="197"/>
      <c r="T673" s="197"/>
      <c r="U673" s="197"/>
    </row>
    <row r="674" spans="1:21" ht="12" hidden="1" customHeight="1" outlineLevel="2">
      <c r="A674" s="204"/>
      <c r="B674" s="297" t="s">
        <v>12</v>
      </c>
      <c r="C674" s="17" t="s">
        <v>1727</v>
      </c>
      <c r="D674" s="664" t="s">
        <v>12</v>
      </c>
      <c r="E674" s="306" t="s">
        <v>1730</v>
      </c>
      <c r="F674" s="307"/>
      <c r="G674" s="297" t="s">
        <v>799</v>
      </c>
      <c r="H674" s="308" t="str">
        <f t="shared" si="72"/>
        <v>ST-T07-1</v>
      </c>
      <c r="I674" s="665">
        <v>1</v>
      </c>
      <c r="J674" s="195">
        <v>1</v>
      </c>
      <c r="L674" s="196"/>
      <c r="M674" s="197"/>
      <c r="N674" s="197"/>
      <c r="O674" s="197"/>
      <c r="P674" s="197"/>
      <c r="Q674" s="220"/>
      <c r="R674" s="220"/>
      <c r="S674" s="197"/>
      <c r="T674" s="197"/>
      <c r="U674" s="197"/>
    </row>
    <row r="675" spans="1:21" ht="12" hidden="1" customHeight="1" outlineLevel="2">
      <c r="A675" s="204"/>
      <c r="B675" s="297" t="s">
        <v>12</v>
      </c>
      <c r="C675" s="17" t="s">
        <v>1727</v>
      </c>
      <c r="D675" s="664" t="s">
        <v>12</v>
      </c>
      <c r="E675" s="306" t="s">
        <v>1583</v>
      </c>
      <c r="F675" s="307"/>
      <c r="G675" s="297" t="s">
        <v>799</v>
      </c>
      <c r="H675" s="308" t="str">
        <f t="shared" si="72"/>
        <v>ST-T07-8</v>
      </c>
      <c r="I675" s="665">
        <v>8</v>
      </c>
      <c r="J675" s="195">
        <v>1</v>
      </c>
      <c r="L675" s="196"/>
      <c r="M675" s="197"/>
      <c r="N675" s="197"/>
      <c r="O675" s="197"/>
      <c r="P675" s="197"/>
      <c r="Q675" s="220"/>
      <c r="R675" s="220"/>
      <c r="S675" s="197"/>
      <c r="T675" s="197"/>
      <c r="U675" s="197"/>
    </row>
    <row r="676" spans="1:21" ht="12" hidden="1" customHeight="1" outlineLevel="2">
      <c r="A676" s="204"/>
      <c r="B676" s="297" t="s">
        <v>12</v>
      </c>
      <c r="C676" s="17" t="s">
        <v>1727</v>
      </c>
      <c r="D676" s="664" t="s">
        <v>12</v>
      </c>
      <c r="E676" s="306" t="s">
        <v>1584</v>
      </c>
      <c r="F676" s="307"/>
      <c r="G676" s="297" t="s">
        <v>799</v>
      </c>
      <c r="H676" s="308" t="str">
        <f t="shared" si="72"/>
        <v>ST-T07-8</v>
      </c>
      <c r="I676" s="665">
        <v>8</v>
      </c>
      <c r="J676" s="195">
        <v>1</v>
      </c>
      <c r="L676" s="205"/>
      <c r="M676" s="209"/>
      <c r="N676" s="197"/>
      <c r="O676" s="197"/>
      <c r="P676" s="197"/>
      <c r="Q676" s="209"/>
      <c r="R676" s="198"/>
      <c r="S676" s="197"/>
      <c r="T676" s="209"/>
      <c r="U676" s="197"/>
    </row>
    <row r="677" spans="1:21" s="190" customFormat="1" ht="12" hidden="1" customHeight="1" outlineLevel="1">
      <c r="A677" s="200"/>
      <c r="B677" s="297"/>
      <c r="C677" s="17"/>
      <c r="D677" s="664" t="s">
        <v>1585</v>
      </c>
      <c r="E677" s="306"/>
      <c r="F677" s="307"/>
      <c r="G677" s="297"/>
      <c r="H677" s="308"/>
      <c r="I677" s="661"/>
      <c r="J677" s="195"/>
      <c r="K677" s="202"/>
      <c r="L677" s="189"/>
      <c r="M677" s="197"/>
      <c r="N677" s="197"/>
      <c r="O677" s="197"/>
      <c r="P677" s="197"/>
      <c r="Q677" s="220"/>
      <c r="R677" s="220"/>
      <c r="S677" s="197"/>
      <c r="T677" s="197"/>
      <c r="U677" s="197"/>
    </row>
    <row r="678" spans="1:21" ht="12" hidden="1" customHeight="1" outlineLevel="2">
      <c r="A678" s="204"/>
      <c r="B678" s="297" t="s">
        <v>12</v>
      </c>
      <c r="C678" s="17" t="s">
        <v>1727</v>
      </c>
      <c r="D678" s="664"/>
      <c r="E678" s="306" t="s">
        <v>1586</v>
      </c>
      <c r="F678" s="307"/>
      <c r="G678" s="297" t="s">
        <v>799</v>
      </c>
      <c r="H678" s="308" t="str">
        <f t="shared" si="72"/>
        <v>ST-T07-9</v>
      </c>
      <c r="I678" s="665">
        <v>9</v>
      </c>
      <c r="J678" s="195">
        <v>1</v>
      </c>
      <c r="L678" s="205"/>
      <c r="M678" s="209"/>
      <c r="N678" s="209"/>
      <c r="O678" s="197"/>
      <c r="P678" s="197"/>
      <c r="Q678" s="224"/>
      <c r="R678" s="225"/>
      <c r="S678" s="225"/>
      <c r="T678" s="197"/>
      <c r="U678" s="197"/>
    </row>
    <row r="679" spans="1:21" ht="12" hidden="1" customHeight="1" outlineLevel="2">
      <c r="A679" s="204"/>
      <c r="B679" s="297" t="s">
        <v>12</v>
      </c>
      <c r="C679" s="17" t="s">
        <v>1727</v>
      </c>
      <c r="D679" s="664"/>
      <c r="E679" s="306" t="s">
        <v>1587</v>
      </c>
      <c r="F679" s="307"/>
      <c r="G679" s="297" t="s">
        <v>799</v>
      </c>
      <c r="H679" s="308" t="str">
        <f t="shared" si="72"/>
        <v>ST-T07-9</v>
      </c>
      <c r="I679" s="665">
        <v>9</v>
      </c>
      <c r="J679" s="195">
        <v>1</v>
      </c>
      <c r="L679" s="205"/>
      <c r="M679" s="209"/>
      <c r="N679" s="209"/>
      <c r="O679" s="197"/>
      <c r="P679" s="197"/>
      <c r="Q679" s="224"/>
      <c r="R679" s="225"/>
      <c r="S679" s="225"/>
      <c r="T679" s="197"/>
      <c r="U679" s="197"/>
    </row>
    <row r="680" spans="1:21" ht="3" customHeight="1">
      <c r="A680" s="204"/>
      <c r="B680" s="297"/>
      <c r="C680" s="17"/>
      <c r="D680" s="664"/>
      <c r="E680" s="306"/>
      <c r="F680" s="307"/>
      <c r="G680" s="297"/>
      <c r="H680" s="308"/>
      <c r="I680" s="665"/>
      <c r="L680" s="196"/>
      <c r="M680" s="197"/>
      <c r="N680" s="197"/>
      <c r="O680" s="197"/>
      <c r="P680" s="197"/>
      <c r="Q680" s="198"/>
      <c r="R680" s="198"/>
      <c r="S680" s="198"/>
      <c r="T680" s="197"/>
      <c r="U680" s="197"/>
    </row>
    <row r="681" spans="1:21" s="190" customFormat="1" ht="12" customHeight="1" collapsed="1">
      <c r="A681" s="153" t="s">
        <v>828</v>
      </c>
      <c r="B681" s="297"/>
      <c r="C681" s="17"/>
      <c r="D681" s="664"/>
      <c r="E681" s="306"/>
      <c r="F681" s="307"/>
      <c r="G681" s="297" t="s">
        <v>257</v>
      </c>
      <c r="H681" s="308" t="s">
        <v>258</v>
      </c>
      <c r="I681" s="665" t="s">
        <v>259</v>
      </c>
      <c r="J681" s="188">
        <v>15</v>
      </c>
      <c r="K681" s="188"/>
      <c r="L681" s="188">
        <f t="shared" ref="L681:P681" si="76">SUM(L682:L696)</f>
        <v>0</v>
      </c>
      <c r="M681" s="188"/>
      <c r="N681" s="188"/>
      <c r="O681" s="188">
        <f t="shared" si="76"/>
        <v>0</v>
      </c>
      <c r="P681" s="188">
        <f t="shared" si="76"/>
        <v>0</v>
      </c>
      <c r="Q681" s="219">
        <f>SUM(Q682:Q696)</f>
        <v>0</v>
      </c>
      <c r="R681" s="219">
        <f>SUM(R682:R696)</f>
        <v>0</v>
      </c>
      <c r="S681" s="219">
        <f>SUM(S682:S696)</f>
        <v>0</v>
      </c>
      <c r="T681" s="219">
        <f>SUM(T682:T696)</f>
        <v>0</v>
      </c>
      <c r="U681" s="219">
        <f>SUM(U682:U696)</f>
        <v>0</v>
      </c>
    </row>
    <row r="682" spans="1:21" s="212" customFormat="1" ht="12" hidden="1" customHeight="1" outlineLevel="1">
      <c r="A682" s="192"/>
      <c r="B682" s="297" t="s">
        <v>12</v>
      </c>
      <c r="C682" s="17" t="s">
        <v>1731</v>
      </c>
      <c r="D682" s="664" t="s">
        <v>1497</v>
      </c>
      <c r="E682" s="306" t="s">
        <v>1732</v>
      </c>
      <c r="F682" s="307"/>
      <c r="G682" s="297" t="s">
        <v>832</v>
      </c>
      <c r="H682" s="308" t="str">
        <f t="shared" si="72"/>
        <v>ST-VC1-1</v>
      </c>
      <c r="I682" s="665">
        <v>1</v>
      </c>
      <c r="J682" s="195">
        <v>1</v>
      </c>
      <c r="K682" s="205"/>
      <c r="L682" s="206"/>
      <c r="M682" s="197"/>
      <c r="N682" s="197"/>
      <c r="O682" s="197"/>
      <c r="P682" s="197"/>
      <c r="Q682" s="220"/>
      <c r="R682" s="220"/>
      <c r="S682" s="197"/>
      <c r="T682" s="197"/>
      <c r="U682" s="197"/>
    </row>
    <row r="683" spans="1:21" s="212" customFormat="1" ht="12" hidden="1" customHeight="1" outlineLevel="1">
      <c r="A683" s="192"/>
      <c r="B683" s="297" t="s">
        <v>12</v>
      </c>
      <c r="C683" s="17" t="s">
        <v>1731</v>
      </c>
      <c r="D683" s="664" t="s">
        <v>1497</v>
      </c>
      <c r="E683" s="306" t="s">
        <v>1733</v>
      </c>
      <c r="F683" s="307"/>
      <c r="G683" s="297" t="s">
        <v>832</v>
      </c>
      <c r="H683" s="308" t="str">
        <f t="shared" si="72"/>
        <v>ST-VC1-1</v>
      </c>
      <c r="I683" s="665">
        <v>1</v>
      </c>
      <c r="J683" s="195">
        <v>1</v>
      </c>
      <c r="K683" s="205"/>
      <c r="L683" s="206"/>
      <c r="M683" s="197"/>
      <c r="N683" s="197"/>
      <c r="O683" s="197"/>
      <c r="P683" s="197"/>
      <c r="Q683" s="220"/>
      <c r="R683" s="220"/>
      <c r="S683" s="197"/>
      <c r="T683" s="197"/>
      <c r="U683" s="197"/>
    </row>
    <row r="684" spans="1:21" s="212" customFormat="1" ht="12" hidden="1" customHeight="1" outlineLevel="1">
      <c r="A684" s="192"/>
      <c r="B684" s="297" t="s">
        <v>12</v>
      </c>
      <c r="C684" s="17" t="s">
        <v>1731</v>
      </c>
      <c r="D684" s="664" t="s">
        <v>1497</v>
      </c>
      <c r="E684" s="306" t="s">
        <v>1734</v>
      </c>
      <c r="F684" s="307"/>
      <c r="G684" s="297" t="s">
        <v>832</v>
      </c>
      <c r="H684" s="308" t="str">
        <f t="shared" si="72"/>
        <v>ST-VC1-1</v>
      </c>
      <c r="I684" s="665">
        <v>1</v>
      </c>
      <c r="J684" s="195">
        <v>1</v>
      </c>
      <c r="K684" s="205"/>
      <c r="L684" s="206"/>
      <c r="M684" s="197"/>
      <c r="N684" s="197"/>
      <c r="O684" s="197"/>
      <c r="P684" s="197"/>
      <c r="Q684" s="220"/>
      <c r="R684" s="220"/>
      <c r="S684" s="197"/>
      <c r="T684" s="197"/>
      <c r="U684" s="197"/>
    </row>
    <row r="685" spans="1:21" s="212" customFormat="1" ht="12" hidden="1" customHeight="1" outlineLevel="1">
      <c r="A685" s="192"/>
      <c r="B685" s="297" t="s">
        <v>12</v>
      </c>
      <c r="C685" s="17" t="s">
        <v>1731</v>
      </c>
      <c r="D685" s="664" t="s">
        <v>1497</v>
      </c>
      <c r="E685" s="306" t="s">
        <v>1735</v>
      </c>
      <c r="F685" s="307"/>
      <c r="G685" s="297" t="s">
        <v>832</v>
      </c>
      <c r="H685" s="308" t="str">
        <f t="shared" si="72"/>
        <v>ST-VC1-1</v>
      </c>
      <c r="I685" s="665">
        <v>1</v>
      </c>
      <c r="J685" s="195">
        <v>1</v>
      </c>
      <c r="K685" s="205"/>
      <c r="L685" s="206"/>
      <c r="M685" s="197"/>
      <c r="N685" s="197"/>
      <c r="O685" s="197"/>
      <c r="P685" s="197"/>
      <c r="Q685" s="220"/>
      <c r="R685" s="220"/>
      <c r="S685" s="197"/>
      <c r="T685" s="197"/>
      <c r="U685" s="197"/>
    </row>
    <row r="686" spans="1:21" s="212" customFormat="1" ht="12" hidden="1" customHeight="1" outlineLevel="1">
      <c r="A686" s="192"/>
      <c r="B686" s="297" t="s">
        <v>12</v>
      </c>
      <c r="C686" s="17" t="s">
        <v>1731</v>
      </c>
      <c r="D686" s="664" t="s">
        <v>1504</v>
      </c>
      <c r="E686" s="306" t="s">
        <v>1736</v>
      </c>
      <c r="F686" s="307"/>
      <c r="G686" s="297" t="s">
        <v>832</v>
      </c>
      <c r="H686" s="308" t="str">
        <f t="shared" si="72"/>
        <v>ST-VC1-2</v>
      </c>
      <c r="I686" s="665">
        <v>2</v>
      </c>
      <c r="J686" s="195">
        <v>1</v>
      </c>
      <c r="K686" s="205"/>
      <c r="L686" s="206"/>
      <c r="M686" s="197"/>
      <c r="N686" s="197"/>
      <c r="O686" s="197"/>
      <c r="P686" s="197"/>
      <c r="Q686" s="198"/>
      <c r="R686" s="198"/>
      <c r="S686" s="197"/>
      <c r="T686" s="197"/>
      <c r="U686" s="197"/>
    </row>
    <row r="687" spans="1:21" s="212" customFormat="1" ht="12" hidden="1" customHeight="1" outlineLevel="1">
      <c r="A687" s="192"/>
      <c r="B687" s="297" t="s">
        <v>12</v>
      </c>
      <c r="C687" s="17" t="s">
        <v>1731</v>
      </c>
      <c r="D687" s="664" t="s">
        <v>1500</v>
      </c>
      <c r="E687" s="306" t="s">
        <v>1737</v>
      </c>
      <c r="F687" s="307"/>
      <c r="G687" s="297" t="s">
        <v>832</v>
      </c>
      <c r="H687" s="308" t="str">
        <f t="shared" si="72"/>
        <v>ST-VC1-1</v>
      </c>
      <c r="I687" s="665">
        <v>1</v>
      </c>
      <c r="J687" s="195">
        <v>1</v>
      </c>
      <c r="K687" s="205"/>
      <c r="L687" s="206"/>
      <c r="M687" s="197"/>
      <c r="N687" s="197"/>
      <c r="O687" s="197"/>
      <c r="P687" s="197"/>
      <c r="Q687" s="220"/>
      <c r="R687" s="220"/>
      <c r="S687" s="197"/>
      <c r="T687" s="197"/>
      <c r="U687" s="197"/>
    </row>
    <row r="688" spans="1:21" s="212" customFormat="1" ht="12" hidden="1" customHeight="1" outlineLevel="1">
      <c r="A688" s="192"/>
      <c r="B688" s="297" t="s">
        <v>12</v>
      </c>
      <c r="C688" s="17" t="s">
        <v>1731</v>
      </c>
      <c r="D688" s="664" t="s">
        <v>1500</v>
      </c>
      <c r="E688" s="306" t="s">
        <v>1738</v>
      </c>
      <c r="F688" s="307"/>
      <c r="G688" s="297" t="s">
        <v>832</v>
      </c>
      <c r="H688" s="308" t="str">
        <f t="shared" si="72"/>
        <v>ST-VC1-1</v>
      </c>
      <c r="I688" s="665">
        <v>1</v>
      </c>
      <c r="J688" s="195">
        <v>1</v>
      </c>
      <c r="K688" s="205"/>
      <c r="L688" s="206"/>
      <c r="M688" s="197"/>
      <c r="N688" s="197"/>
      <c r="O688" s="197"/>
      <c r="P688" s="197"/>
      <c r="Q688" s="220"/>
      <c r="R688" s="220"/>
      <c r="S688" s="197"/>
      <c r="T688" s="197"/>
      <c r="U688" s="197"/>
    </row>
    <row r="689" spans="1:21" s="212" customFormat="1" ht="12" hidden="1" customHeight="1" outlineLevel="1">
      <c r="A689" s="192"/>
      <c r="B689" s="297" t="s">
        <v>12</v>
      </c>
      <c r="C689" s="17" t="s">
        <v>1731</v>
      </c>
      <c r="D689" s="664" t="s">
        <v>1500</v>
      </c>
      <c r="E689" s="306" t="s">
        <v>1739</v>
      </c>
      <c r="F689" s="307"/>
      <c r="G689" s="297" t="s">
        <v>832</v>
      </c>
      <c r="H689" s="308" t="str">
        <f t="shared" si="72"/>
        <v>ST-VC1-1</v>
      </c>
      <c r="I689" s="665">
        <v>1</v>
      </c>
      <c r="J689" s="195">
        <v>1</v>
      </c>
      <c r="K689" s="205"/>
      <c r="L689" s="206"/>
      <c r="M689" s="197"/>
      <c r="N689" s="197"/>
      <c r="O689" s="197"/>
      <c r="P689" s="197"/>
      <c r="Q689" s="220"/>
      <c r="R689" s="220"/>
      <c r="S689" s="197"/>
      <c r="T689" s="197"/>
      <c r="U689" s="197"/>
    </row>
    <row r="690" spans="1:21" s="212" customFormat="1" ht="12" hidden="1" customHeight="1" outlineLevel="1">
      <c r="A690" s="192"/>
      <c r="B690" s="297" t="s">
        <v>12</v>
      </c>
      <c r="C690" s="17" t="s">
        <v>1731</v>
      </c>
      <c r="D690" s="664" t="s">
        <v>1506</v>
      </c>
      <c r="E690" s="306" t="s">
        <v>1740</v>
      </c>
      <c r="F690" s="307"/>
      <c r="G690" s="297" t="s">
        <v>832</v>
      </c>
      <c r="H690" s="308" t="str">
        <f t="shared" si="72"/>
        <v>ST-VC1-2</v>
      </c>
      <c r="I690" s="665">
        <v>2</v>
      </c>
      <c r="J690" s="195">
        <v>1</v>
      </c>
      <c r="K690" s="205"/>
      <c r="L690" s="206"/>
      <c r="M690" s="197"/>
      <c r="N690" s="197"/>
      <c r="O690" s="197"/>
      <c r="P690" s="197"/>
      <c r="Q690" s="220"/>
      <c r="R690" s="220"/>
      <c r="S690" s="197"/>
      <c r="T690" s="197"/>
      <c r="U690" s="197"/>
    </row>
    <row r="691" spans="1:21" s="212" customFormat="1" ht="12" hidden="1" customHeight="1" outlineLevel="1">
      <c r="A691" s="192"/>
      <c r="B691" s="297" t="s">
        <v>12</v>
      </c>
      <c r="C691" s="17" t="s">
        <v>1731</v>
      </c>
      <c r="D691" s="664" t="s">
        <v>1508</v>
      </c>
      <c r="E691" s="306" t="s">
        <v>1741</v>
      </c>
      <c r="F691" s="307"/>
      <c r="G691" s="297" t="s">
        <v>832</v>
      </c>
      <c r="H691" s="308" t="str">
        <f t="shared" si="72"/>
        <v>ST-VC1-2</v>
      </c>
      <c r="I691" s="665">
        <v>2</v>
      </c>
      <c r="J691" s="195">
        <v>1</v>
      </c>
      <c r="K691" s="205"/>
      <c r="L691" s="206"/>
      <c r="M691" s="197"/>
      <c r="N691" s="197"/>
      <c r="O691" s="197"/>
      <c r="P691" s="197"/>
      <c r="Q691" s="220"/>
      <c r="R691" s="220"/>
      <c r="S691" s="197"/>
      <c r="T691" s="197"/>
      <c r="U691" s="197"/>
    </row>
    <row r="692" spans="1:21" s="212" customFormat="1" ht="12" hidden="1" customHeight="1" outlineLevel="1">
      <c r="A692" s="192"/>
      <c r="B692" s="297" t="s">
        <v>12</v>
      </c>
      <c r="C692" s="17" t="s">
        <v>1731</v>
      </c>
      <c r="D692" s="664" t="s">
        <v>1575</v>
      </c>
      <c r="E692" s="306" t="s">
        <v>1742</v>
      </c>
      <c r="F692" s="307"/>
      <c r="G692" s="297" t="s">
        <v>832</v>
      </c>
      <c r="H692" s="308" t="str">
        <f t="shared" si="72"/>
        <v>ST-VC1-2</v>
      </c>
      <c r="I692" s="665">
        <v>2</v>
      </c>
      <c r="J692" s="195">
        <v>1</v>
      </c>
      <c r="K692" s="205"/>
      <c r="L692" s="206"/>
      <c r="M692" s="197"/>
      <c r="N692" s="197"/>
      <c r="O692" s="197"/>
      <c r="P692" s="197"/>
      <c r="Q692" s="220"/>
      <c r="R692" s="220"/>
      <c r="S692" s="197"/>
      <c r="T692" s="197"/>
      <c r="U692" s="197"/>
    </row>
    <row r="693" spans="1:21" s="212" customFormat="1" ht="12" hidden="1" customHeight="1" outlineLevel="1">
      <c r="A693" s="192"/>
      <c r="B693" s="297" t="s">
        <v>12</v>
      </c>
      <c r="C693" s="17" t="s">
        <v>1731</v>
      </c>
      <c r="D693" s="664" t="s">
        <v>12</v>
      </c>
      <c r="E693" s="306" t="s">
        <v>1099</v>
      </c>
      <c r="F693" s="307"/>
      <c r="G693" s="297" t="s">
        <v>832</v>
      </c>
      <c r="H693" s="308" t="str">
        <f t="shared" si="72"/>
        <v>ST-VC1-2</v>
      </c>
      <c r="I693" s="665">
        <v>2</v>
      </c>
      <c r="J693" s="195">
        <v>1</v>
      </c>
      <c r="K693" s="205"/>
      <c r="L693" s="206"/>
      <c r="M693" s="197"/>
      <c r="N693" s="197"/>
      <c r="O693" s="197"/>
      <c r="P693" s="197"/>
      <c r="Q693" s="220"/>
      <c r="R693" s="220"/>
      <c r="S693" s="197"/>
      <c r="T693" s="197"/>
      <c r="U693" s="197"/>
    </row>
    <row r="694" spans="1:21" s="212" customFormat="1" ht="12" hidden="1" customHeight="1" outlineLevel="1">
      <c r="A694" s="192"/>
      <c r="B694" s="297" t="s">
        <v>12</v>
      </c>
      <c r="C694" s="17" t="s">
        <v>1731</v>
      </c>
      <c r="D694" s="664" t="s">
        <v>1502</v>
      </c>
      <c r="E694" s="306" t="s">
        <v>1743</v>
      </c>
      <c r="F694" s="307"/>
      <c r="G694" s="297" t="s">
        <v>832</v>
      </c>
      <c r="H694" s="308" t="str">
        <f t="shared" si="72"/>
        <v>ST-VC1-3</v>
      </c>
      <c r="I694" s="665">
        <v>3</v>
      </c>
      <c r="J694" s="195">
        <v>1</v>
      </c>
      <c r="K694" s="205"/>
      <c r="L694" s="206"/>
      <c r="M694" s="197"/>
      <c r="N694" s="197"/>
      <c r="O694" s="197"/>
      <c r="P694" s="197"/>
      <c r="Q694" s="220"/>
      <c r="R694" s="220"/>
      <c r="S694" s="197"/>
      <c r="T694" s="197"/>
      <c r="U694" s="197"/>
    </row>
    <row r="695" spans="1:21" s="212" customFormat="1" ht="12" hidden="1" customHeight="1" outlineLevel="1">
      <c r="A695" s="192"/>
      <c r="B695" s="297" t="s">
        <v>12</v>
      </c>
      <c r="C695" s="17" t="s">
        <v>1731</v>
      </c>
      <c r="D695" s="664" t="s">
        <v>1623</v>
      </c>
      <c r="E695" s="306" t="s">
        <v>1744</v>
      </c>
      <c r="F695" s="307"/>
      <c r="G695" s="297" t="s">
        <v>832</v>
      </c>
      <c r="H695" s="308" t="str">
        <f t="shared" si="72"/>
        <v>ST-VC1-3</v>
      </c>
      <c r="I695" s="665">
        <v>3</v>
      </c>
      <c r="J695" s="195">
        <v>1</v>
      </c>
      <c r="K695" s="205"/>
      <c r="L695" s="206"/>
      <c r="M695" s="197"/>
      <c r="N695" s="197"/>
      <c r="O695" s="197"/>
      <c r="P695" s="197"/>
      <c r="Q695" s="220"/>
      <c r="R695" s="220"/>
      <c r="S695" s="197"/>
      <c r="T695" s="197"/>
      <c r="U695" s="197"/>
    </row>
    <row r="696" spans="1:21" s="212" customFormat="1" ht="12" hidden="1" customHeight="1" outlineLevel="1">
      <c r="A696" s="192"/>
      <c r="B696" s="297" t="s">
        <v>12</v>
      </c>
      <c r="C696" s="17" t="s">
        <v>1731</v>
      </c>
      <c r="D696" s="664" t="s">
        <v>1502</v>
      </c>
      <c r="E696" s="306" t="s">
        <v>1745</v>
      </c>
      <c r="F696" s="307"/>
      <c r="G696" s="297" t="s">
        <v>832</v>
      </c>
      <c r="H696" s="308" t="str">
        <f t="shared" si="72"/>
        <v>ST-VC1-1</v>
      </c>
      <c r="I696" s="665">
        <v>1</v>
      </c>
      <c r="J696" s="195">
        <v>1</v>
      </c>
      <c r="K696" s="205"/>
      <c r="L696" s="206"/>
      <c r="M696" s="197"/>
      <c r="N696" s="197"/>
      <c r="O696" s="197"/>
      <c r="P696" s="197"/>
      <c r="Q696" s="220"/>
      <c r="R696" s="220"/>
      <c r="S696" s="197"/>
      <c r="T696" s="197"/>
      <c r="U696" s="197"/>
    </row>
    <row r="697" spans="1:21" ht="3" customHeight="1">
      <c r="A697" s="204"/>
      <c r="B697" s="297"/>
      <c r="C697" s="17"/>
      <c r="D697" s="664"/>
      <c r="E697" s="306"/>
      <c r="F697" s="307"/>
      <c r="G697" s="297"/>
      <c r="H697" s="308"/>
      <c r="I697" s="665"/>
      <c r="L697" s="196"/>
      <c r="M697" s="197"/>
      <c r="N697" s="197"/>
      <c r="O697" s="197"/>
      <c r="P697" s="197"/>
      <c r="Q697" s="198"/>
      <c r="R697" s="198"/>
      <c r="S697" s="197"/>
      <c r="T697" s="197"/>
      <c r="U697" s="197"/>
    </row>
    <row r="698" spans="1:21" s="190" customFormat="1" ht="12" customHeight="1" collapsed="1">
      <c r="A698" s="153" t="s">
        <v>916</v>
      </c>
      <c r="B698" s="297"/>
      <c r="C698" s="17"/>
      <c r="D698" s="664"/>
      <c r="E698" s="306"/>
      <c r="F698" s="307"/>
      <c r="G698" s="297" t="s">
        <v>257</v>
      </c>
      <c r="H698" s="308" t="s">
        <v>258</v>
      </c>
      <c r="I698" s="665" t="s">
        <v>259</v>
      </c>
      <c r="J698" s="195"/>
      <c r="K698" s="188"/>
      <c r="L698" s="188">
        <f t="shared" ref="L698:P698" si="77">SUM(L699:L713)</f>
        <v>15</v>
      </c>
      <c r="M698" s="188">
        <v>4</v>
      </c>
      <c r="N698" s="188">
        <v>11</v>
      </c>
      <c r="O698" s="188">
        <f t="shared" si="77"/>
        <v>0</v>
      </c>
      <c r="P698" s="188">
        <f t="shared" si="77"/>
        <v>0</v>
      </c>
      <c r="Q698" s="219">
        <f>SUM(Q699:Q713)</f>
        <v>8</v>
      </c>
      <c r="R698" s="219">
        <f>SUM(R699:R713)</f>
        <v>0</v>
      </c>
      <c r="S698" s="219">
        <f>SUM(S699:S713)</f>
        <v>0</v>
      </c>
      <c r="T698" s="219">
        <f>SUM(T699:T713)</f>
        <v>8</v>
      </c>
      <c r="U698" s="219">
        <f>SUM(U699:U713)</f>
        <v>0</v>
      </c>
    </row>
    <row r="699" spans="1:21" s="212" customFormat="1" ht="12" hidden="1" customHeight="1" outlineLevel="1">
      <c r="A699" s="192"/>
      <c r="B699" s="297" t="s">
        <v>12</v>
      </c>
      <c r="C699" s="17" t="s">
        <v>1746</v>
      </c>
      <c r="D699" s="664" t="s">
        <v>1497</v>
      </c>
      <c r="E699" s="306" t="s">
        <v>1747</v>
      </c>
      <c r="F699" s="307"/>
      <c r="G699" s="297" t="s">
        <v>917</v>
      </c>
      <c r="H699" s="308" t="str">
        <f t="shared" ref="H699:H713" si="78">CONCATENATE(B699,"-",G699,"-",I699)</f>
        <v>ST-VC3-1</v>
      </c>
      <c r="I699" s="665">
        <v>1</v>
      </c>
      <c r="J699" s="195"/>
      <c r="K699" s="205"/>
      <c r="L699" s="203">
        <v>1</v>
      </c>
      <c r="M699" s="197">
        <v>1</v>
      </c>
      <c r="N699" s="209"/>
      <c r="P699" s="197"/>
      <c r="Q699" s="197">
        <v>1</v>
      </c>
      <c r="R699" s="198"/>
      <c r="S699" s="197"/>
      <c r="T699" s="197">
        <v>1</v>
      </c>
      <c r="U699" s="197"/>
    </row>
    <row r="700" spans="1:21" s="212" customFormat="1" ht="12" hidden="1" customHeight="1" outlineLevel="1">
      <c r="A700" s="192"/>
      <c r="B700" s="297" t="s">
        <v>12</v>
      </c>
      <c r="C700" s="17" t="s">
        <v>1746</v>
      </c>
      <c r="D700" s="664" t="s">
        <v>1497</v>
      </c>
      <c r="E700" s="306" t="s">
        <v>1733</v>
      </c>
      <c r="F700" s="307"/>
      <c r="G700" s="297" t="s">
        <v>917</v>
      </c>
      <c r="H700" s="308" t="str">
        <f t="shared" si="78"/>
        <v>ST-VC3-1</v>
      </c>
      <c r="I700" s="665">
        <v>1</v>
      </c>
      <c r="J700" s="195"/>
      <c r="K700" s="205"/>
      <c r="L700" s="203">
        <v>1</v>
      </c>
      <c r="M700" s="197">
        <v>1</v>
      </c>
      <c r="N700" s="209"/>
      <c r="P700" s="197"/>
      <c r="Q700" s="197">
        <v>1</v>
      </c>
      <c r="R700" s="198"/>
      <c r="S700" s="197"/>
      <c r="T700" s="197">
        <v>1</v>
      </c>
      <c r="U700" s="197"/>
    </row>
    <row r="701" spans="1:21" s="212" customFormat="1" ht="12" hidden="1" customHeight="1" outlineLevel="1">
      <c r="A701" s="192"/>
      <c r="B701" s="297" t="s">
        <v>12</v>
      </c>
      <c r="C701" s="17" t="s">
        <v>1746</v>
      </c>
      <c r="D701" s="664" t="s">
        <v>1497</v>
      </c>
      <c r="E701" s="306" t="s">
        <v>1734</v>
      </c>
      <c r="F701" s="307"/>
      <c r="G701" s="297" t="s">
        <v>917</v>
      </c>
      <c r="H701" s="308" t="str">
        <f t="shared" si="78"/>
        <v>ST-VC3-1</v>
      </c>
      <c r="I701" s="665">
        <v>1</v>
      </c>
      <c r="J701" s="195"/>
      <c r="K701" s="205"/>
      <c r="L701" s="203">
        <v>1</v>
      </c>
      <c r="M701" s="197">
        <v>1</v>
      </c>
      <c r="N701" s="209"/>
      <c r="P701" s="197"/>
      <c r="Q701" s="197">
        <v>1</v>
      </c>
      <c r="R701" s="198"/>
      <c r="S701" s="197"/>
      <c r="T701" s="197">
        <v>1</v>
      </c>
      <c r="U701" s="197"/>
    </row>
    <row r="702" spans="1:21" s="212" customFormat="1" ht="12" hidden="1" customHeight="1" outlineLevel="1">
      <c r="A702" s="192"/>
      <c r="B702" s="297" t="s">
        <v>12</v>
      </c>
      <c r="C702" s="17" t="s">
        <v>1746</v>
      </c>
      <c r="D702" s="664" t="s">
        <v>1497</v>
      </c>
      <c r="E702" s="306" t="s">
        <v>1735</v>
      </c>
      <c r="F702" s="307"/>
      <c r="G702" s="297" t="s">
        <v>917</v>
      </c>
      <c r="H702" s="308" t="str">
        <f t="shared" si="78"/>
        <v>ST-VC3-1</v>
      </c>
      <c r="I702" s="665">
        <v>1</v>
      </c>
      <c r="J702" s="195"/>
      <c r="K702" s="205"/>
      <c r="L702" s="203">
        <v>1</v>
      </c>
      <c r="M702" s="197">
        <v>1</v>
      </c>
      <c r="N702" s="209"/>
      <c r="P702" s="197"/>
      <c r="Q702" s="197">
        <v>1</v>
      </c>
      <c r="R702" s="198"/>
      <c r="S702" s="197"/>
      <c r="T702" s="197">
        <v>1</v>
      </c>
      <c r="U702" s="197"/>
    </row>
    <row r="703" spans="1:21" s="212" customFormat="1" ht="12" hidden="1" customHeight="1" outlineLevel="1">
      <c r="A703" s="192" t="s">
        <v>1748</v>
      </c>
      <c r="B703" s="297" t="s">
        <v>12</v>
      </c>
      <c r="C703" s="17" t="s">
        <v>1746</v>
      </c>
      <c r="D703" s="664" t="s">
        <v>1504</v>
      </c>
      <c r="E703" s="306" t="s">
        <v>1736</v>
      </c>
      <c r="F703" s="307"/>
      <c r="G703" s="297" t="s">
        <v>917</v>
      </c>
      <c r="H703" s="308" t="str">
        <f t="shared" si="78"/>
        <v>ST-VC3-2</v>
      </c>
      <c r="I703" s="665">
        <v>2</v>
      </c>
      <c r="J703" s="195"/>
      <c r="K703" s="205"/>
      <c r="L703" s="203">
        <v>1</v>
      </c>
      <c r="M703" s="203">
        <v>1</v>
      </c>
      <c r="N703" s="203"/>
      <c r="O703" s="203"/>
      <c r="P703" s="203"/>
      <c r="Q703" s="198"/>
      <c r="R703" s="198"/>
      <c r="S703" s="197"/>
      <c r="T703" s="197"/>
      <c r="U703" s="197"/>
    </row>
    <row r="704" spans="1:21" s="212" customFormat="1" ht="12" hidden="1" customHeight="1" outlineLevel="1">
      <c r="A704" s="192"/>
      <c r="B704" s="297" t="s">
        <v>12</v>
      </c>
      <c r="C704" s="17" t="s">
        <v>1746</v>
      </c>
      <c r="D704" s="664" t="s">
        <v>1500</v>
      </c>
      <c r="E704" s="306" t="s">
        <v>1737</v>
      </c>
      <c r="F704" s="307"/>
      <c r="G704" s="297" t="s">
        <v>917</v>
      </c>
      <c r="H704" s="308" t="str">
        <f t="shared" si="78"/>
        <v>ST-VC3-1</v>
      </c>
      <c r="I704" s="665">
        <v>1</v>
      </c>
      <c r="J704" s="195"/>
      <c r="K704" s="205"/>
      <c r="L704" s="203">
        <v>1</v>
      </c>
      <c r="M704" s="203">
        <v>1</v>
      </c>
      <c r="N704" s="203"/>
      <c r="O704" s="203"/>
      <c r="P704" s="203"/>
      <c r="Q704" s="198">
        <v>1</v>
      </c>
      <c r="R704" s="198"/>
      <c r="S704" s="197"/>
      <c r="T704" s="197">
        <v>1</v>
      </c>
      <c r="U704" s="197"/>
    </row>
    <row r="705" spans="1:21" s="212" customFormat="1" ht="12" hidden="1" customHeight="1" outlineLevel="1">
      <c r="A705" s="192"/>
      <c r="B705" s="297" t="s">
        <v>12</v>
      </c>
      <c r="C705" s="17" t="s">
        <v>1746</v>
      </c>
      <c r="D705" s="664" t="s">
        <v>1500</v>
      </c>
      <c r="E705" s="306" t="s">
        <v>1738</v>
      </c>
      <c r="F705" s="307"/>
      <c r="G705" s="297" t="s">
        <v>917</v>
      </c>
      <c r="H705" s="308" t="str">
        <f t="shared" si="78"/>
        <v>ST-VC3-1</v>
      </c>
      <c r="I705" s="665">
        <v>1</v>
      </c>
      <c r="J705" s="195"/>
      <c r="K705" s="205"/>
      <c r="L705" s="203">
        <v>1</v>
      </c>
      <c r="M705" s="203">
        <v>1</v>
      </c>
      <c r="N705" s="203"/>
      <c r="O705" s="203"/>
      <c r="P705" s="203"/>
      <c r="Q705" s="198">
        <v>1</v>
      </c>
      <c r="R705" s="198"/>
      <c r="S705" s="197"/>
      <c r="T705" s="197">
        <v>1</v>
      </c>
      <c r="U705" s="197"/>
    </row>
    <row r="706" spans="1:21" s="212" customFormat="1" ht="12" hidden="1" customHeight="1" outlineLevel="1">
      <c r="A706" s="192"/>
      <c r="B706" s="297" t="s">
        <v>12</v>
      </c>
      <c r="C706" s="17" t="s">
        <v>1746</v>
      </c>
      <c r="D706" s="664" t="s">
        <v>1500</v>
      </c>
      <c r="E706" s="306" t="s">
        <v>1739</v>
      </c>
      <c r="F706" s="307"/>
      <c r="G706" s="297" t="s">
        <v>917</v>
      </c>
      <c r="H706" s="308" t="str">
        <f t="shared" si="78"/>
        <v>ST-VC3-1</v>
      </c>
      <c r="I706" s="665">
        <v>1</v>
      </c>
      <c r="J706" s="195"/>
      <c r="K706" s="205"/>
      <c r="L706" s="203">
        <v>1</v>
      </c>
      <c r="M706" s="203">
        <v>1</v>
      </c>
      <c r="N706" s="203"/>
      <c r="O706" s="203"/>
      <c r="P706" s="203"/>
      <c r="Q706" s="198">
        <v>1</v>
      </c>
      <c r="R706" s="198"/>
      <c r="S706" s="197"/>
      <c r="T706" s="197">
        <v>1</v>
      </c>
      <c r="U706" s="197"/>
    </row>
    <row r="707" spans="1:21" s="212" customFormat="1" ht="12" hidden="1" customHeight="1" outlineLevel="1">
      <c r="A707" s="192" t="s">
        <v>1748</v>
      </c>
      <c r="B707" s="297" t="s">
        <v>12</v>
      </c>
      <c r="C707" s="17" t="s">
        <v>1746</v>
      </c>
      <c r="D707" s="664" t="s">
        <v>1506</v>
      </c>
      <c r="E707" s="306" t="s">
        <v>1740</v>
      </c>
      <c r="F707" s="307"/>
      <c r="G707" s="297" t="s">
        <v>917</v>
      </c>
      <c r="H707" s="308" t="str">
        <f t="shared" si="78"/>
        <v>ST-VC3-2</v>
      </c>
      <c r="I707" s="665">
        <v>2</v>
      </c>
      <c r="J707" s="195"/>
      <c r="K707" s="205"/>
      <c r="L707" s="203">
        <v>1</v>
      </c>
      <c r="M707" s="203">
        <v>1</v>
      </c>
      <c r="N707" s="203"/>
      <c r="O707" s="203"/>
      <c r="P707" s="203"/>
      <c r="Q707" s="198"/>
      <c r="R707" s="198"/>
      <c r="S707" s="197"/>
      <c r="T707" s="197"/>
      <c r="U707" s="197"/>
    </row>
    <row r="708" spans="1:21" s="212" customFormat="1" ht="12" hidden="1" customHeight="1" outlineLevel="1">
      <c r="A708" s="192" t="s">
        <v>1748</v>
      </c>
      <c r="B708" s="297" t="s">
        <v>12</v>
      </c>
      <c r="C708" s="17" t="s">
        <v>1746</v>
      </c>
      <c r="D708" s="664" t="s">
        <v>1508</v>
      </c>
      <c r="E708" s="306" t="s">
        <v>1741</v>
      </c>
      <c r="F708" s="307"/>
      <c r="G708" s="297" t="s">
        <v>917</v>
      </c>
      <c r="H708" s="308" t="str">
        <f t="shared" si="78"/>
        <v>ST-VC3-2</v>
      </c>
      <c r="I708" s="665">
        <v>2</v>
      </c>
      <c r="J708" s="195"/>
      <c r="K708" s="205"/>
      <c r="L708" s="203">
        <v>1</v>
      </c>
      <c r="M708" s="203">
        <v>1</v>
      </c>
      <c r="N708" s="203"/>
      <c r="O708" s="203"/>
      <c r="P708" s="203"/>
      <c r="Q708" s="198"/>
      <c r="R708" s="198"/>
      <c r="S708" s="197"/>
      <c r="T708" s="197"/>
      <c r="U708" s="197"/>
    </row>
    <row r="709" spans="1:21" s="212" customFormat="1" ht="12" hidden="1" customHeight="1" outlineLevel="1">
      <c r="A709" s="192" t="s">
        <v>1748</v>
      </c>
      <c r="B709" s="297" t="s">
        <v>12</v>
      </c>
      <c r="C709" s="17" t="s">
        <v>1746</v>
      </c>
      <c r="D709" s="664" t="s">
        <v>1575</v>
      </c>
      <c r="E709" s="306" t="s">
        <v>1742</v>
      </c>
      <c r="F709" s="307"/>
      <c r="G709" s="297" t="s">
        <v>917</v>
      </c>
      <c r="H709" s="308" t="str">
        <f t="shared" si="78"/>
        <v>ST-VC3-2</v>
      </c>
      <c r="I709" s="665">
        <v>2</v>
      </c>
      <c r="J709" s="195"/>
      <c r="K709" s="205"/>
      <c r="L709" s="203">
        <v>1</v>
      </c>
      <c r="M709" s="203">
        <v>1</v>
      </c>
      <c r="N709" s="203"/>
      <c r="O709" s="203"/>
      <c r="P709" s="203"/>
      <c r="Q709" s="198"/>
      <c r="R709" s="198"/>
      <c r="S709" s="197"/>
      <c r="T709" s="197"/>
      <c r="U709" s="197"/>
    </row>
    <row r="710" spans="1:21" s="212" customFormat="1" ht="12" hidden="1" customHeight="1" outlineLevel="1">
      <c r="A710" s="192" t="s">
        <v>1748</v>
      </c>
      <c r="B710" s="297" t="s">
        <v>12</v>
      </c>
      <c r="C710" s="17" t="s">
        <v>1746</v>
      </c>
      <c r="D710" s="664" t="s">
        <v>12</v>
      </c>
      <c r="E710" s="306" t="s">
        <v>1099</v>
      </c>
      <c r="F710" s="307"/>
      <c r="G710" s="297" t="s">
        <v>917</v>
      </c>
      <c r="H710" s="308" t="str">
        <f t="shared" si="78"/>
        <v>ST-VC3-2</v>
      </c>
      <c r="I710" s="665">
        <v>2</v>
      </c>
      <c r="J710" s="195"/>
      <c r="K710" s="205"/>
      <c r="L710" s="203">
        <v>1</v>
      </c>
      <c r="M710" s="203">
        <v>1</v>
      </c>
      <c r="N710" s="203"/>
      <c r="O710" s="203"/>
      <c r="P710" s="203"/>
      <c r="Q710" s="198"/>
      <c r="R710" s="198"/>
      <c r="S710" s="197"/>
      <c r="T710" s="197"/>
      <c r="U710" s="197"/>
    </row>
    <row r="711" spans="1:21" s="212" customFormat="1" ht="12" hidden="1" customHeight="1" outlineLevel="1">
      <c r="A711" s="192" t="s">
        <v>1748</v>
      </c>
      <c r="B711" s="297" t="s">
        <v>12</v>
      </c>
      <c r="C711" s="17" t="s">
        <v>1746</v>
      </c>
      <c r="D711" s="664" t="s">
        <v>1502</v>
      </c>
      <c r="E711" s="306" t="s">
        <v>1743</v>
      </c>
      <c r="F711" s="307"/>
      <c r="G711" s="297" t="s">
        <v>917</v>
      </c>
      <c r="H711" s="308" t="str">
        <f t="shared" si="78"/>
        <v>ST-VC3-2</v>
      </c>
      <c r="I711" s="665">
        <v>2</v>
      </c>
      <c r="J711" s="195"/>
      <c r="K711" s="205"/>
      <c r="L711" s="203">
        <v>1</v>
      </c>
      <c r="M711" s="203">
        <v>1</v>
      </c>
      <c r="N711" s="203"/>
      <c r="O711" s="203"/>
      <c r="P711" s="203"/>
      <c r="Q711" s="198"/>
      <c r="R711" s="198"/>
      <c r="S711" s="197"/>
      <c r="T711" s="197"/>
      <c r="U711" s="197"/>
    </row>
    <row r="712" spans="1:21" s="212" customFormat="1" ht="12" hidden="1" customHeight="1" outlineLevel="1">
      <c r="A712" s="192" t="s">
        <v>1749</v>
      </c>
      <c r="B712" s="297" t="s">
        <v>12</v>
      </c>
      <c r="C712" s="17" t="s">
        <v>1746</v>
      </c>
      <c r="D712" s="664" t="s">
        <v>1623</v>
      </c>
      <c r="E712" s="306" t="s">
        <v>1744</v>
      </c>
      <c r="F712" s="307"/>
      <c r="G712" s="297" t="s">
        <v>917</v>
      </c>
      <c r="H712" s="308" t="str">
        <f t="shared" si="78"/>
        <v>ST-VC3-2</v>
      </c>
      <c r="I712" s="665">
        <v>2</v>
      </c>
      <c r="J712" s="195"/>
      <c r="K712" s="205"/>
      <c r="L712" s="203">
        <v>1</v>
      </c>
      <c r="M712" s="203">
        <v>1</v>
      </c>
      <c r="N712" s="203"/>
      <c r="O712" s="203"/>
      <c r="P712" s="203"/>
      <c r="Q712" s="198"/>
      <c r="R712" s="198"/>
      <c r="S712" s="197"/>
      <c r="T712" s="197"/>
      <c r="U712" s="197"/>
    </row>
    <row r="713" spans="1:21" s="212" customFormat="1" ht="13.5" hidden="1" outlineLevel="1">
      <c r="A713" s="192"/>
      <c r="B713" s="297" t="s">
        <v>12</v>
      </c>
      <c r="C713" s="17" t="s">
        <v>1746</v>
      </c>
      <c r="D713" s="664" t="s">
        <v>1502</v>
      </c>
      <c r="E713" s="306" t="s">
        <v>1745</v>
      </c>
      <c r="F713" s="307"/>
      <c r="G713" s="297" t="s">
        <v>917</v>
      </c>
      <c r="H713" s="308" t="str">
        <f t="shared" si="78"/>
        <v>ST-VC3-1</v>
      </c>
      <c r="I713" s="665">
        <v>1</v>
      </c>
      <c r="J713" s="195"/>
      <c r="K713" s="205"/>
      <c r="L713" s="203">
        <v>1</v>
      </c>
      <c r="M713" s="203">
        <v>1</v>
      </c>
      <c r="O713" s="209"/>
      <c r="P713" s="197"/>
      <c r="Q713" s="198">
        <v>1</v>
      </c>
      <c r="R713" s="198"/>
      <c r="S713" s="197"/>
      <c r="T713" s="197">
        <v>1</v>
      </c>
      <c r="U713" s="197"/>
    </row>
    <row r="714" spans="1:21" s="212" customFormat="1" ht="3" customHeight="1">
      <c r="A714" s="192"/>
      <c r="B714" s="297"/>
      <c r="C714" s="17"/>
      <c r="D714" s="664"/>
      <c r="E714" s="306"/>
      <c r="F714" s="307"/>
      <c r="G714" s="297"/>
      <c r="H714" s="308"/>
      <c r="I714" s="665"/>
      <c r="J714" s="195"/>
      <c r="K714" s="205"/>
      <c r="L714" s="205"/>
      <c r="M714" s="197"/>
      <c r="O714" s="209"/>
      <c r="P714" s="197"/>
      <c r="Q714" s="198"/>
      <c r="R714" s="198"/>
      <c r="S714" s="197"/>
      <c r="T714" s="197"/>
      <c r="U714" s="197"/>
    </row>
    <row r="715" spans="1:21" s="190" customFormat="1" ht="12" customHeight="1" collapsed="1">
      <c r="A715" s="153" t="s">
        <v>204</v>
      </c>
      <c r="B715" s="297"/>
      <c r="C715" s="17"/>
      <c r="D715" s="664"/>
      <c r="E715" s="306"/>
      <c r="F715" s="307"/>
      <c r="G715" s="297" t="s">
        <v>257</v>
      </c>
      <c r="H715" s="308" t="s">
        <v>258</v>
      </c>
      <c r="I715" s="665" t="s">
        <v>259</v>
      </c>
      <c r="J715" s="188">
        <v>25</v>
      </c>
      <c r="K715" s="188"/>
      <c r="L715" s="188"/>
      <c r="M715" s="188"/>
      <c r="N715" s="188"/>
      <c r="O715" s="188"/>
      <c r="P715" s="188"/>
      <c r="Q715" s="219">
        <f>SUM(Q716:Q777)</f>
        <v>16</v>
      </c>
      <c r="R715" s="219">
        <f>SUM(R716:R777)</f>
        <v>11</v>
      </c>
      <c r="S715" s="219">
        <f>SUM(S716:S777)</f>
        <v>5</v>
      </c>
      <c r="T715" s="219">
        <f>SUM(T716:T777)</f>
        <v>0</v>
      </c>
      <c r="U715" s="219">
        <f>SUM(U716:U777)</f>
        <v>0</v>
      </c>
    </row>
    <row r="716" spans="1:21" s="190" customFormat="1" ht="12" hidden="1" customHeight="1" outlineLevel="1">
      <c r="B716" s="297" t="s">
        <v>12</v>
      </c>
      <c r="C716" s="17" t="s">
        <v>1750</v>
      </c>
      <c r="D716" s="664"/>
      <c r="E716" s="306" t="s">
        <v>1751</v>
      </c>
      <c r="F716" s="307"/>
      <c r="G716" s="297" t="s">
        <v>1141</v>
      </c>
      <c r="H716" s="308" t="str">
        <f t="shared" ref="H716:H737" si="79">CONCATENATE(B716,"-",G716,"-",I716)</f>
        <v>ST-SDV-2</v>
      </c>
      <c r="I716" s="665">
        <v>2</v>
      </c>
      <c r="J716" s="195"/>
      <c r="K716" s="202"/>
      <c r="L716" s="203">
        <v>1</v>
      </c>
      <c r="M716" s="197">
        <v>1</v>
      </c>
      <c r="N716" s="203"/>
      <c r="O716" s="197"/>
      <c r="P716" s="197"/>
      <c r="Q716" s="220"/>
      <c r="R716" s="220"/>
      <c r="S716" s="197"/>
      <c r="T716" s="197"/>
      <c r="U716" s="197"/>
    </row>
    <row r="717" spans="1:21" s="190" customFormat="1" ht="12" hidden="1" customHeight="1" outlineLevel="1">
      <c r="B717" s="297" t="s">
        <v>12</v>
      </c>
      <c r="C717" s="17" t="s">
        <v>1750</v>
      </c>
      <c r="D717" s="664"/>
      <c r="E717" s="306" t="s">
        <v>1752</v>
      </c>
      <c r="F717" s="307"/>
      <c r="G717" s="297" t="s">
        <v>1141</v>
      </c>
      <c r="H717" s="308" t="str">
        <f t="shared" si="79"/>
        <v>ST-SDV-2</v>
      </c>
      <c r="I717" s="665">
        <v>2</v>
      </c>
      <c r="J717" s="195">
        <v>1</v>
      </c>
      <c r="K717" s="202"/>
      <c r="L717" s="196"/>
      <c r="M717" s="197"/>
      <c r="N717" s="197"/>
      <c r="O717" s="197"/>
      <c r="P717" s="197"/>
      <c r="Q717" s="220"/>
      <c r="R717" s="220"/>
      <c r="S717" s="197"/>
      <c r="T717" s="197"/>
      <c r="U717" s="197"/>
    </row>
    <row r="718" spans="1:21" s="190" customFormat="1" ht="12" hidden="1" customHeight="1" outlineLevel="1">
      <c r="B718" s="297" t="s">
        <v>12</v>
      </c>
      <c r="C718" s="17" t="s">
        <v>1750</v>
      </c>
      <c r="D718" s="664"/>
      <c r="E718" s="306" t="s">
        <v>1753</v>
      </c>
      <c r="F718" s="307"/>
      <c r="G718" s="297" t="s">
        <v>1141</v>
      </c>
      <c r="H718" s="308" t="str">
        <f t="shared" si="79"/>
        <v>ST-SDV-2</v>
      </c>
      <c r="I718" s="665">
        <v>2</v>
      </c>
      <c r="J718" s="195">
        <v>1</v>
      </c>
      <c r="K718" s="202"/>
      <c r="L718" s="199"/>
      <c r="M718" s="197"/>
      <c r="N718" s="197"/>
      <c r="O718" s="197"/>
      <c r="P718" s="197"/>
      <c r="Q718" s="220"/>
      <c r="R718" s="220"/>
      <c r="S718" s="197"/>
      <c r="T718" s="197"/>
      <c r="U718" s="197"/>
    </row>
    <row r="719" spans="1:21" s="190" customFormat="1" ht="12" hidden="1" customHeight="1" outlineLevel="1">
      <c r="B719" s="297" t="s">
        <v>12</v>
      </c>
      <c r="C719" s="17" t="s">
        <v>1750</v>
      </c>
      <c r="D719" s="664"/>
      <c r="E719" s="306" t="s">
        <v>1754</v>
      </c>
      <c r="F719" s="307"/>
      <c r="G719" s="297" t="s">
        <v>1141</v>
      </c>
      <c r="H719" s="308" t="str">
        <f t="shared" si="79"/>
        <v>ST-SDV-2</v>
      </c>
      <c r="I719" s="665">
        <v>2</v>
      </c>
      <c r="J719" s="195">
        <v>1</v>
      </c>
      <c r="K719" s="202"/>
      <c r="L719" s="199"/>
      <c r="M719" s="197"/>
      <c r="N719" s="197"/>
      <c r="O719" s="197"/>
      <c r="P719" s="197"/>
      <c r="Q719" s="220"/>
      <c r="R719" s="220"/>
      <c r="S719" s="197"/>
      <c r="T719" s="197"/>
      <c r="U719" s="197"/>
    </row>
    <row r="720" spans="1:21" s="190" customFormat="1" ht="12" hidden="1" customHeight="1" outlineLevel="1">
      <c r="B720" s="297" t="s">
        <v>12</v>
      </c>
      <c r="C720" s="17" t="s">
        <v>1750</v>
      </c>
      <c r="D720" s="664"/>
      <c r="E720" s="306" t="s">
        <v>1755</v>
      </c>
      <c r="F720" s="307"/>
      <c r="G720" s="297" t="s">
        <v>1141</v>
      </c>
      <c r="H720" s="308" t="str">
        <f t="shared" si="79"/>
        <v>ST-SDV-2</v>
      </c>
      <c r="I720" s="665">
        <v>2</v>
      </c>
      <c r="J720" s="195">
        <v>1</v>
      </c>
      <c r="K720" s="202"/>
      <c r="L720" s="199"/>
      <c r="M720" s="197"/>
      <c r="N720" s="197"/>
      <c r="O720" s="197"/>
      <c r="P720" s="197"/>
      <c r="Q720" s="220"/>
      <c r="R720" s="220"/>
      <c r="S720" s="197"/>
      <c r="T720" s="197"/>
      <c r="U720" s="197"/>
    </row>
    <row r="721" spans="2:18" s="190" customFormat="1" ht="12" hidden="1" customHeight="1" outlineLevel="1">
      <c r="B721" s="297" t="s">
        <v>12</v>
      </c>
      <c r="C721" s="17" t="s">
        <v>1750</v>
      </c>
      <c r="D721" s="664"/>
      <c r="E721" s="306" t="s">
        <v>1756</v>
      </c>
      <c r="F721" s="307"/>
      <c r="G721" s="297" t="s">
        <v>1141</v>
      </c>
      <c r="H721" s="308" t="str">
        <f t="shared" ref="H721" si="80">CONCATENATE(B721,"-",G721,"-",I721)</f>
        <v>ST-SDV-2</v>
      </c>
      <c r="I721" s="665">
        <v>2</v>
      </c>
      <c r="J721" s="195">
        <v>1</v>
      </c>
      <c r="K721" s="202"/>
      <c r="L721" s="199"/>
      <c r="M721" s="197"/>
      <c r="N721" s="197"/>
      <c r="O721" s="197"/>
      <c r="P721" s="197"/>
      <c r="Q721" s="220"/>
      <c r="R721" s="220"/>
    </row>
    <row r="722" spans="2:18" s="190" customFormat="1" ht="12" hidden="1" customHeight="1" outlineLevel="1">
      <c r="B722" s="297" t="s">
        <v>12</v>
      </c>
      <c r="C722" s="17" t="s">
        <v>1757</v>
      </c>
      <c r="D722" s="664"/>
      <c r="E722" s="306" t="s">
        <v>1540</v>
      </c>
      <c r="F722" s="307"/>
      <c r="G722" s="297" t="s">
        <v>1141</v>
      </c>
      <c r="H722" s="308" t="str">
        <f t="shared" si="79"/>
        <v>ST-SDV-2</v>
      </c>
      <c r="I722" s="665">
        <v>2</v>
      </c>
      <c r="J722" s="195">
        <v>1</v>
      </c>
      <c r="K722" s="202"/>
      <c r="L722" s="199"/>
      <c r="M722" s="197"/>
      <c r="N722" s="197"/>
      <c r="O722" s="197"/>
      <c r="P722" s="197"/>
      <c r="Q722" s="220"/>
      <c r="R722" s="220"/>
    </row>
    <row r="723" spans="2:18" s="190" customFormat="1" ht="12" hidden="1" customHeight="1" outlineLevel="1">
      <c r="B723" s="297" t="s">
        <v>12</v>
      </c>
      <c r="C723" s="17" t="s">
        <v>1757</v>
      </c>
      <c r="D723" s="664"/>
      <c r="E723" s="306" t="s">
        <v>1758</v>
      </c>
      <c r="F723" s="307"/>
      <c r="G723" s="297" t="s">
        <v>1141</v>
      </c>
      <c r="H723" s="308" t="str">
        <f t="shared" si="79"/>
        <v>ST-SDV-2</v>
      </c>
      <c r="I723" s="665">
        <v>2</v>
      </c>
      <c r="J723" s="195">
        <v>1</v>
      </c>
      <c r="K723" s="202"/>
      <c r="L723" s="213"/>
      <c r="M723" s="197"/>
      <c r="N723" s="197"/>
      <c r="O723" s="197"/>
      <c r="P723" s="197"/>
      <c r="Q723" s="220"/>
      <c r="R723" s="220"/>
    </row>
    <row r="724" spans="2:18" s="190" customFormat="1" ht="12" hidden="1" customHeight="1" outlineLevel="1">
      <c r="B724" s="297" t="s">
        <v>12</v>
      </c>
      <c r="C724" s="17" t="s">
        <v>1757</v>
      </c>
      <c r="D724" s="664"/>
      <c r="E724" s="306" t="s">
        <v>1759</v>
      </c>
      <c r="F724" s="307"/>
      <c r="G724" s="297" t="s">
        <v>1141</v>
      </c>
      <c r="H724" s="308" t="str">
        <f t="shared" si="79"/>
        <v>ST-SDV-2</v>
      </c>
      <c r="I724" s="665">
        <v>2</v>
      </c>
      <c r="J724" s="195">
        <v>1</v>
      </c>
      <c r="K724" s="202"/>
      <c r="L724" s="213"/>
      <c r="M724" s="197"/>
      <c r="N724" s="197"/>
      <c r="O724" s="197"/>
      <c r="P724" s="197"/>
      <c r="Q724" s="220"/>
      <c r="R724" s="220"/>
    </row>
    <row r="725" spans="2:18" s="190" customFormat="1" ht="12" hidden="1" customHeight="1" outlineLevel="1">
      <c r="B725" s="297" t="s">
        <v>12</v>
      </c>
      <c r="C725" s="17" t="s">
        <v>1757</v>
      </c>
      <c r="D725" s="664"/>
      <c r="E725" s="306" t="s">
        <v>1760</v>
      </c>
      <c r="F725" s="307"/>
      <c r="G725" s="297" t="s">
        <v>1141</v>
      </c>
      <c r="H725" s="308" t="str">
        <f t="shared" si="79"/>
        <v>ST-SDV-2</v>
      </c>
      <c r="I725" s="665">
        <v>2</v>
      </c>
      <c r="J725" s="195">
        <v>1</v>
      </c>
      <c r="K725" s="202"/>
      <c r="L725" s="213"/>
      <c r="M725" s="197"/>
      <c r="N725" s="197"/>
      <c r="O725" s="197"/>
      <c r="P725" s="197"/>
      <c r="Q725" s="220"/>
      <c r="R725" s="220"/>
    </row>
    <row r="726" spans="2:18" s="190" customFormat="1" ht="12" hidden="1" customHeight="1" outlineLevel="1">
      <c r="B726" s="297" t="s">
        <v>12</v>
      </c>
      <c r="C726" s="17" t="s">
        <v>1757</v>
      </c>
      <c r="D726" s="664"/>
      <c r="E726" s="306" t="s">
        <v>1761</v>
      </c>
      <c r="F726" s="307"/>
      <c r="G726" s="297" t="s">
        <v>1141</v>
      </c>
      <c r="H726" s="308" t="str">
        <f t="shared" si="79"/>
        <v>ST-SDV-2</v>
      </c>
      <c r="I726" s="665">
        <v>2</v>
      </c>
      <c r="J726" s="195">
        <v>1</v>
      </c>
      <c r="K726" s="202"/>
      <c r="L726" s="213"/>
      <c r="M726" s="197"/>
      <c r="N726" s="197"/>
      <c r="O726" s="197"/>
      <c r="P726" s="197"/>
      <c r="Q726" s="220"/>
      <c r="R726" s="220"/>
    </row>
    <row r="727" spans="2:18" s="190" customFormat="1" ht="12" hidden="1" customHeight="1" outlineLevel="1">
      <c r="B727" s="297" t="s">
        <v>12</v>
      </c>
      <c r="C727" s="17" t="s">
        <v>1757</v>
      </c>
      <c r="D727" s="664"/>
      <c r="E727" s="306" t="s">
        <v>1762</v>
      </c>
      <c r="F727" s="307"/>
      <c r="G727" s="297" t="s">
        <v>1141</v>
      </c>
      <c r="H727" s="308" t="str">
        <f t="shared" si="79"/>
        <v>ST-SDV-2</v>
      </c>
      <c r="I727" s="665">
        <v>2</v>
      </c>
      <c r="J727" s="195">
        <v>1</v>
      </c>
      <c r="K727" s="202"/>
      <c r="L727" s="213"/>
      <c r="M727" s="197"/>
      <c r="N727" s="197"/>
      <c r="O727" s="197"/>
      <c r="P727" s="197"/>
      <c r="Q727" s="220"/>
      <c r="R727" s="220"/>
    </row>
    <row r="728" spans="2:18" s="190" customFormat="1" ht="12" hidden="1" customHeight="1" outlineLevel="1">
      <c r="B728" s="297" t="s">
        <v>12</v>
      </c>
      <c r="C728" s="17" t="s">
        <v>1757</v>
      </c>
      <c r="D728" s="664"/>
      <c r="E728" s="306" t="s">
        <v>1763</v>
      </c>
      <c r="F728" s="307"/>
      <c r="G728" s="297" t="s">
        <v>1141</v>
      </c>
      <c r="H728" s="308" t="str">
        <f t="shared" si="79"/>
        <v>ST-SDV-2</v>
      </c>
      <c r="I728" s="665">
        <v>2</v>
      </c>
      <c r="J728" s="195"/>
      <c r="K728" s="202"/>
      <c r="L728" s="203">
        <v>1</v>
      </c>
      <c r="M728" s="214">
        <v>1</v>
      </c>
      <c r="N728" s="197"/>
      <c r="O728" s="197"/>
      <c r="P728" s="197"/>
      <c r="Q728" s="220"/>
      <c r="R728" s="220"/>
    </row>
    <row r="729" spans="2:18" s="190" customFormat="1" ht="12" hidden="1" customHeight="1" outlineLevel="1">
      <c r="B729" s="297" t="s">
        <v>12</v>
      </c>
      <c r="C729" s="17" t="s">
        <v>1757</v>
      </c>
      <c r="D729" s="664"/>
      <c r="E729" s="306" t="s">
        <v>1764</v>
      </c>
      <c r="F729" s="307"/>
      <c r="G729" s="297" t="s">
        <v>1141</v>
      </c>
      <c r="H729" s="308" t="str">
        <f t="shared" ref="H729" si="81">CONCATENATE(B729,"-",G729,"-",I729)</f>
        <v>ST-SDV-2</v>
      </c>
      <c r="I729" s="665">
        <v>2</v>
      </c>
      <c r="J729" s="195"/>
      <c r="K729" s="202"/>
      <c r="L729" s="203">
        <v>1</v>
      </c>
      <c r="M729" s="214">
        <v>1</v>
      </c>
      <c r="N729" s="197"/>
      <c r="O729" s="197"/>
      <c r="P729" s="197"/>
      <c r="Q729" s="203">
        <v>1</v>
      </c>
      <c r="R729" s="214">
        <v>1</v>
      </c>
    </row>
    <row r="730" spans="2:18" s="190" customFormat="1" ht="12" hidden="1" customHeight="1" outlineLevel="1">
      <c r="B730" s="297" t="s">
        <v>12</v>
      </c>
      <c r="C730" s="17" t="s">
        <v>1757</v>
      </c>
      <c r="D730" s="664"/>
      <c r="E730" s="306" t="s">
        <v>1765</v>
      </c>
      <c r="F730" s="307"/>
      <c r="G730" s="297" t="s">
        <v>1141</v>
      </c>
      <c r="H730" s="308" t="str">
        <f t="shared" ref="H730:H736" si="82">CONCATENATE(B730,"-",G730,"-",I730)</f>
        <v>ST-SDV-2</v>
      </c>
      <c r="I730" s="665">
        <v>2</v>
      </c>
      <c r="J730" s="195"/>
      <c r="K730" s="202"/>
      <c r="L730" s="203">
        <v>1</v>
      </c>
      <c r="M730" s="214">
        <v>1</v>
      </c>
      <c r="N730" s="197"/>
      <c r="O730" s="197"/>
      <c r="P730" s="197"/>
      <c r="Q730" s="203">
        <v>1</v>
      </c>
      <c r="R730" s="214">
        <v>1</v>
      </c>
    </row>
    <row r="731" spans="2:18" s="190" customFormat="1" ht="12" hidden="1" customHeight="1" outlineLevel="1">
      <c r="B731" s="297" t="s">
        <v>12</v>
      </c>
      <c r="C731" s="17" t="s">
        <v>1757</v>
      </c>
      <c r="D731" s="664"/>
      <c r="E731" s="306" t="s">
        <v>1766</v>
      </c>
      <c r="F731" s="307"/>
      <c r="G731" s="297" t="s">
        <v>1141</v>
      </c>
      <c r="H731" s="308" t="str">
        <f t="shared" ref="H731:H732" si="83">CONCATENATE(B731,"-",G731,"-",I731)</f>
        <v>ST-SDV-2</v>
      </c>
      <c r="I731" s="665">
        <v>2</v>
      </c>
      <c r="J731" s="195">
        <v>1</v>
      </c>
      <c r="K731" s="202" t="s">
        <v>776</v>
      </c>
      <c r="L731" s="203"/>
      <c r="M731" s="214"/>
      <c r="N731" s="197"/>
      <c r="O731" s="197"/>
      <c r="P731" s="197"/>
      <c r="Q731" s="203"/>
      <c r="R731" s="214"/>
    </row>
    <row r="732" spans="2:18" s="190" customFormat="1" ht="12" hidden="1" customHeight="1" outlineLevel="1">
      <c r="B732" s="297" t="s">
        <v>12</v>
      </c>
      <c r="C732" s="17" t="s">
        <v>1757</v>
      </c>
      <c r="D732" s="664"/>
      <c r="E732" s="306" t="s">
        <v>1767</v>
      </c>
      <c r="F732" s="307"/>
      <c r="G732" s="297" t="s">
        <v>1141</v>
      </c>
      <c r="H732" s="308" t="str">
        <f t="shared" si="83"/>
        <v>ST-SDV-2</v>
      </c>
      <c r="I732" s="665">
        <v>2</v>
      </c>
      <c r="J732" s="195"/>
      <c r="K732" s="202"/>
      <c r="L732" s="203">
        <v>1</v>
      </c>
      <c r="M732" s="214">
        <v>1</v>
      </c>
      <c r="N732" s="197"/>
      <c r="O732" s="197"/>
      <c r="P732" s="197"/>
      <c r="Q732" s="203">
        <v>1</v>
      </c>
      <c r="R732" s="214">
        <v>1</v>
      </c>
    </row>
    <row r="733" spans="2:18" s="190" customFormat="1" ht="12" hidden="1" customHeight="1" outlineLevel="1">
      <c r="B733" s="297" t="s">
        <v>12</v>
      </c>
      <c r="C733" s="17" t="s">
        <v>1757</v>
      </c>
      <c r="D733" s="664"/>
      <c r="E733" s="306" t="s">
        <v>1768</v>
      </c>
      <c r="F733" s="307"/>
      <c r="G733" s="297" t="s">
        <v>1141</v>
      </c>
      <c r="H733" s="308" t="str">
        <f t="shared" si="82"/>
        <v>ST-SDV-2</v>
      </c>
      <c r="I733" s="665">
        <v>2</v>
      </c>
      <c r="J733" s="195"/>
      <c r="K733" s="202"/>
      <c r="L733" s="203">
        <v>1</v>
      </c>
      <c r="M733" s="214">
        <v>1</v>
      </c>
      <c r="N733" s="197"/>
      <c r="O733" s="197"/>
      <c r="P733" s="197"/>
      <c r="Q733" s="203">
        <v>1</v>
      </c>
      <c r="R733" s="214">
        <v>1</v>
      </c>
    </row>
    <row r="734" spans="2:18" s="190" customFormat="1" ht="12" hidden="1" customHeight="1" outlineLevel="1">
      <c r="B734" s="297" t="s">
        <v>12</v>
      </c>
      <c r="C734" s="17" t="s">
        <v>1757</v>
      </c>
      <c r="D734" s="664"/>
      <c r="E734" s="306" t="s">
        <v>1769</v>
      </c>
      <c r="F734" s="307"/>
      <c r="G734" s="297" t="s">
        <v>1141</v>
      </c>
      <c r="H734" s="308" t="str">
        <f t="shared" si="82"/>
        <v>ST-SDV-2</v>
      </c>
      <c r="I734" s="665">
        <v>2</v>
      </c>
      <c r="J734" s="195"/>
      <c r="K734" s="202"/>
      <c r="L734" s="203">
        <v>1</v>
      </c>
      <c r="M734" s="214">
        <v>1</v>
      </c>
      <c r="N734" s="197"/>
      <c r="O734" s="197"/>
      <c r="P734" s="197"/>
      <c r="Q734" s="203">
        <v>1</v>
      </c>
      <c r="R734" s="214">
        <v>1</v>
      </c>
    </row>
    <row r="735" spans="2:18" s="190" customFormat="1" ht="12" hidden="1" customHeight="1" outlineLevel="1">
      <c r="B735" s="297" t="s">
        <v>12</v>
      </c>
      <c r="C735" s="17" t="s">
        <v>1757</v>
      </c>
      <c r="D735" s="664"/>
      <c r="E735" s="306" t="s">
        <v>1770</v>
      </c>
      <c r="F735" s="307"/>
      <c r="G735" s="297" t="s">
        <v>1141</v>
      </c>
      <c r="H735" s="308" t="str">
        <f t="shared" si="82"/>
        <v>ST-SDV-2</v>
      </c>
      <c r="I735" s="665">
        <v>2</v>
      </c>
      <c r="J735" s="195"/>
      <c r="K735" s="202"/>
      <c r="L735" s="203">
        <v>1</v>
      </c>
      <c r="M735" s="214">
        <v>1</v>
      </c>
      <c r="N735" s="197"/>
      <c r="O735" s="197"/>
      <c r="P735" s="197"/>
      <c r="Q735" s="203">
        <v>1</v>
      </c>
      <c r="R735" s="214">
        <v>1</v>
      </c>
    </row>
    <row r="736" spans="2:18" s="190" customFormat="1" ht="12" hidden="1" customHeight="1" outlineLevel="1">
      <c r="B736" s="297" t="s">
        <v>12</v>
      </c>
      <c r="C736" s="17" t="s">
        <v>1757</v>
      </c>
      <c r="D736" s="664"/>
      <c r="E736" s="306" t="s">
        <v>1771</v>
      </c>
      <c r="F736" s="307"/>
      <c r="G736" s="297" t="s">
        <v>1141</v>
      </c>
      <c r="H736" s="308" t="str">
        <f t="shared" si="82"/>
        <v>ST-SDV-2</v>
      </c>
      <c r="I736" s="665">
        <v>2</v>
      </c>
      <c r="J736" s="195"/>
      <c r="K736" s="202"/>
      <c r="L736" s="203">
        <v>1</v>
      </c>
      <c r="M736" s="214">
        <v>1</v>
      </c>
      <c r="N736" s="197"/>
      <c r="O736" s="197"/>
      <c r="P736" s="197"/>
      <c r="Q736" s="203">
        <v>1</v>
      </c>
      <c r="R736" s="214">
        <v>1</v>
      </c>
    </row>
    <row r="737" spans="1:13" s="190" customFormat="1" ht="12" hidden="1" customHeight="1" outlineLevel="1">
      <c r="B737" s="297" t="s">
        <v>12</v>
      </c>
      <c r="C737" s="17" t="s">
        <v>1757</v>
      </c>
      <c r="D737" s="664"/>
      <c r="E737" s="306" t="s">
        <v>1772</v>
      </c>
      <c r="F737" s="307"/>
      <c r="G737" s="297" t="s">
        <v>1141</v>
      </c>
      <c r="H737" s="308" t="str">
        <f t="shared" si="79"/>
        <v>ST-SDV-3</v>
      </c>
      <c r="I737" s="665">
        <v>3</v>
      </c>
      <c r="J737" s="195">
        <v>1</v>
      </c>
      <c r="K737" s="202"/>
      <c r="L737" s="203"/>
      <c r="M737" s="214"/>
    </row>
    <row r="738" spans="1:13" s="190" customFormat="1" ht="12" hidden="1" customHeight="1" outlineLevel="1">
      <c r="B738" s="297" t="s">
        <v>12</v>
      </c>
      <c r="C738" s="17" t="s">
        <v>1757</v>
      </c>
      <c r="D738" s="664"/>
      <c r="E738" s="306" t="s">
        <v>1773</v>
      </c>
      <c r="F738" s="307"/>
      <c r="G738" s="297" t="s">
        <v>1141</v>
      </c>
      <c r="H738" s="308" t="str">
        <f>CONCATENATE(B738,"-",G738,"-",I738)</f>
        <v>ST-SDV-2</v>
      </c>
      <c r="I738" s="665">
        <v>2</v>
      </c>
      <c r="J738" s="195">
        <v>1</v>
      </c>
      <c r="K738" s="202"/>
      <c r="L738" s="213"/>
      <c r="M738" s="197"/>
    </row>
    <row r="739" spans="1:13" s="190" customFormat="1" ht="12" hidden="1" customHeight="1" outlineLevel="1">
      <c r="B739" s="297" t="s">
        <v>12</v>
      </c>
      <c r="C739" s="17" t="s">
        <v>1757</v>
      </c>
      <c r="D739" s="664"/>
      <c r="E739" s="306" t="s">
        <v>1326</v>
      </c>
      <c r="F739" s="307"/>
      <c r="G739" s="297" t="s">
        <v>1141</v>
      </c>
      <c r="H739" s="308" t="str">
        <f>CONCATENATE(B739,"-",G739,"-",I739)</f>
        <v>ST-SDV-2</v>
      </c>
      <c r="I739" s="665">
        <v>2</v>
      </c>
      <c r="J739" s="195">
        <v>1</v>
      </c>
      <c r="K739" s="202"/>
      <c r="L739" s="203"/>
      <c r="M739" s="197"/>
    </row>
    <row r="740" spans="1:13" s="190" customFormat="1" ht="12" hidden="1" customHeight="1" outlineLevel="1">
      <c r="B740" s="297" t="s">
        <v>12</v>
      </c>
      <c r="C740" s="17" t="s">
        <v>1757</v>
      </c>
      <c r="D740" s="664"/>
      <c r="E740" s="306" t="s">
        <v>1774</v>
      </c>
      <c r="F740" s="307"/>
      <c r="G740" s="297" t="s">
        <v>1141</v>
      </c>
      <c r="H740" s="308" t="str">
        <f>CONCATENATE(B740,"-",G740,"-",I740)</f>
        <v>ST-SDV-3</v>
      </c>
      <c r="I740" s="665">
        <v>3</v>
      </c>
      <c r="J740" s="195">
        <v>1</v>
      </c>
      <c r="K740" s="202"/>
      <c r="L740" s="202"/>
      <c r="M740" s="214"/>
    </row>
    <row r="741" spans="1:13" s="190" customFormat="1" ht="12" hidden="1" customHeight="1" outlineLevel="1">
      <c r="A741" s="200"/>
      <c r="B741" s="297"/>
      <c r="C741" s="17"/>
      <c r="D741" s="664" t="s">
        <v>1775</v>
      </c>
      <c r="E741" s="306"/>
      <c r="F741" s="307"/>
      <c r="G741" s="297"/>
      <c r="H741" s="308"/>
      <c r="I741" s="661"/>
      <c r="J741" s="195"/>
      <c r="K741" s="202"/>
      <c r="L741" s="189"/>
      <c r="M741" s="197"/>
    </row>
    <row r="742" spans="1:13" s="216" customFormat="1" ht="12" hidden="1" customHeight="1" outlineLevel="2">
      <c r="A742" s="215"/>
      <c r="B742" s="297" t="s">
        <v>12</v>
      </c>
      <c r="C742" s="17" t="s">
        <v>1776</v>
      </c>
      <c r="D742" s="664" t="s">
        <v>1497</v>
      </c>
      <c r="E742" s="306" t="s">
        <v>1498</v>
      </c>
      <c r="F742" s="307"/>
      <c r="G742" s="297" t="s">
        <v>1141</v>
      </c>
      <c r="H742" s="308" t="str">
        <f t="shared" ref="H742:H747" si="84">CONCATENATE(B742,"-",G742,"-",I742)</f>
        <v>ST-SDV-2</v>
      </c>
      <c r="I742" s="665">
        <v>2</v>
      </c>
      <c r="J742" s="195">
        <v>1</v>
      </c>
      <c r="K742" s="380"/>
      <c r="L742" s="381"/>
      <c r="M742" s="208"/>
    </row>
    <row r="743" spans="1:13" s="216" customFormat="1" ht="12" hidden="1" customHeight="1" outlineLevel="2">
      <c r="A743" s="215"/>
      <c r="B743" s="297" t="s">
        <v>12</v>
      </c>
      <c r="C743" s="17" t="s">
        <v>1776</v>
      </c>
      <c r="D743" s="664" t="s">
        <v>1500</v>
      </c>
      <c r="E743" s="306" t="s">
        <v>1501</v>
      </c>
      <c r="F743" s="307"/>
      <c r="G743" s="297" t="s">
        <v>1141</v>
      </c>
      <c r="H743" s="308" t="str">
        <f t="shared" si="84"/>
        <v>ST-SDV-2</v>
      </c>
      <c r="I743" s="665">
        <v>2</v>
      </c>
      <c r="J743" s="195">
        <v>1</v>
      </c>
      <c r="K743" s="380"/>
      <c r="L743" s="381"/>
      <c r="M743" s="208"/>
    </row>
    <row r="744" spans="1:13" s="216" customFormat="1" ht="12" hidden="1" customHeight="1" outlineLevel="2">
      <c r="A744" s="215"/>
      <c r="B744" s="297" t="s">
        <v>12</v>
      </c>
      <c r="C744" s="17" t="s">
        <v>1776</v>
      </c>
      <c r="D744" s="664" t="s">
        <v>1504</v>
      </c>
      <c r="E744" s="306" t="s">
        <v>1505</v>
      </c>
      <c r="F744" s="307"/>
      <c r="G744" s="297" t="s">
        <v>1141</v>
      </c>
      <c r="H744" s="308" t="str">
        <f t="shared" si="84"/>
        <v>ST-SDV-2</v>
      </c>
      <c r="I744" s="665">
        <v>2</v>
      </c>
      <c r="J744" s="195">
        <v>1</v>
      </c>
      <c r="K744" s="380"/>
      <c r="L744" s="381"/>
      <c r="M744" s="208"/>
    </row>
    <row r="745" spans="1:13" s="216" customFormat="1" ht="12" hidden="1" customHeight="1" outlineLevel="2">
      <c r="A745" s="215"/>
      <c r="B745" s="297" t="s">
        <v>12</v>
      </c>
      <c r="C745" s="17" t="s">
        <v>1776</v>
      </c>
      <c r="D745" s="664" t="s">
        <v>1506</v>
      </c>
      <c r="E745" s="306" t="s">
        <v>1740</v>
      </c>
      <c r="F745" s="307"/>
      <c r="G745" s="297" t="s">
        <v>1141</v>
      </c>
      <c r="H745" s="308" t="str">
        <f t="shared" si="84"/>
        <v>ST-SDV-2</v>
      </c>
      <c r="I745" s="665">
        <v>2</v>
      </c>
      <c r="J745" s="195">
        <v>1</v>
      </c>
      <c r="K745" s="380"/>
      <c r="L745" s="381"/>
      <c r="M745" s="208"/>
    </row>
    <row r="746" spans="1:13" s="216" customFormat="1" ht="12" hidden="1" customHeight="1" outlineLevel="2">
      <c r="A746" s="215"/>
      <c r="B746" s="297" t="s">
        <v>12</v>
      </c>
      <c r="C746" s="17" t="s">
        <v>1776</v>
      </c>
      <c r="D746" s="664" t="s">
        <v>1508</v>
      </c>
      <c r="E746" s="306" t="s">
        <v>1741</v>
      </c>
      <c r="F746" s="307"/>
      <c r="G746" s="297" t="s">
        <v>1141</v>
      </c>
      <c r="H746" s="308" t="str">
        <f t="shared" si="84"/>
        <v>ST-SDV-2</v>
      </c>
      <c r="I746" s="665">
        <v>2</v>
      </c>
      <c r="J746" s="195">
        <v>1</v>
      </c>
      <c r="K746" s="380"/>
      <c r="L746" s="381"/>
      <c r="M746" s="208"/>
    </row>
    <row r="747" spans="1:13" s="216" customFormat="1" ht="12" hidden="1" customHeight="1" outlineLevel="2">
      <c r="A747" s="215"/>
      <c r="B747" s="297" t="s">
        <v>12</v>
      </c>
      <c r="C747" s="17" t="s">
        <v>1776</v>
      </c>
      <c r="D747" s="664" t="s">
        <v>1623</v>
      </c>
      <c r="E747" s="306" t="s">
        <v>1777</v>
      </c>
      <c r="F747" s="307"/>
      <c r="G747" s="297" t="s">
        <v>1141</v>
      </c>
      <c r="H747" s="308" t="str">
        <f t="shared" si="84"/>
        <v>ST-SDV-2</v>
      </c>
      <c r="I747" s="665">
        <v>2</v>
      </c>
      <c r="J747" s="195">
        <v>1</v>
      </c>
      <c r="K747" s="380"/>
      <c r="L747" s="381"/>
      <c r="M747" s="208"/>
    </row>
    <row r="748" spans="1:13" s="190" customFormat="1" ht="12" hidden="1" customHeight="1" outlineLevel="1">
      <c r="A748" s="200"/>
      <c r="B748" s="297"/>
      <c r="C748" s="17"/>
      <c r="D748" s="664" t="s">
        <v>1778</v>
      </c>
      <c r="E748" s="306"/>
      <c r="F748" s="307"/>
      <c r="G748" s="297"/>
      <c r="H748" s="308"/>
      <c r="I748" s="661"/>
      <c r="J748" s="195"/>
      <c r="K748" s="202"/>
      <c r="L748" s="189"/>
      <c r="M748" s="197"/>
    </row>
    <row r="749" spans="1:13" s="182" customFormat="1" ht="12" hidden="1" customHeight="1" outlineLevel="2">
      <c r="A749" s="191"/>
      <c r="B749" s="297" t="s">
        <v>12</v>
      </c>
      <c r="C749" s="17" t="s">
        <v>1776</v>
      </c>
      <c r="D749" s="664" t="s">
        <v>1497</v>
      </c>
      <c r="E749" s="306" t="s">
        <v>1498</v>
      </c>
      <c r="F749" s="307"/>
      <c r="G749" s="297" t="s">
        <v>1141</v>
      </c>
      <c r="H749" s="308" t="str">
        <f t="shared" ref="H749:H754" si="85">CONCATENATE(B749,"-",G749,"-",I749)</f>
        <v>ST-SDV-2</v>
      </c>
      <c r="I749" s="665">
        <v>2</v>
      </c>
      <c r="J749" s="195">
        <v>1</v>
      </c>
      <c r="K749" s="202"/>
      <c r="L749" s="196"/>
      <c r="M749" s="197"/>
    </row>
    <row r="750" spans="1:13" s="182" customFormat="1" ht="12" hidden="1" customHeight="1" outlineLevel="2">
      <c r="A750" s="191"/>
      <c r="B750" s="297" t="s">
        <v>12</v>
      </c>
      <c r="C750" s="17" t="s">
        <v>1776</v>
      </c>
      <c r="D750" s="664" t="s">
        <v>1500</v>
      </c>
      <c r="E750" s="306" t="s">
        <v>1501</v>
      </c>
      <c r="F750" s="307"/>
      <c r="G750" s="297" t="s">
        <v>1141</v>
      </c>
      <c r="H750" s="308" t="str">
        <f t="shared" si="85"/>
        <v>ST-SDV-2</v>
      </c>
      <c r="I750" s="665">
        <v>2</v>
      </c>
      <c r="J750" s="195">
        <v>1</v>
      </c>
      <c r="K750" s="202"/>
      <c r="L750" s="196"/>
      <c r="M750" s="197"/>
    </row>
    <row r="751" spans="1:13" s="182" customFormat="1" ht="12" hidden="1" customHeight="1" outlineLevel="2">
      <c r="A751" s="191"/>
      <c r="B751" s="297" t="s">
        <v>12</v>
      </c>
      <c r="C751" s="17" t="s">
        <v>1776</v>
      </c>
      <c r="D751" s="664" t="s">
        <v>1504</v>
      </c>
      <c r="E751" s="306" t="s">
        <v>1505</v>
      </c>
      <c r="F751" s="307"/>
      <c r="G751" s="297" t="s">
        <v>1141</v>
      </c>
      <c r="H751" s="308" t="str">
        <f t="shared" si="85"/>
        <v>ST-SDV-2</v>
      </c>
      <c r="I751" s="665">
        <v>2</v>
      </c>
      <c r="J751" s="195">
        <v>1</v>
      </c>
      <c r="K751" s="202"/>
      <c r="L751" s="196"/>
      <c r="M751" s="197"/>
    </row>
    <row r="752" spans="1:13" s="182" customFormat="1" ht="12" hidden="1" customHeight="1" outlineLevel="2">
      <c r="A752" s="191"/>
      <c r="B752" s="297" t="s">
        <v>12</v>
      </c>
      <c r="C752" s="17" t="s">
        <v>1776</v>
      </c>
      <c r="D752" s="664" t="s">
        <v>1506</v>
      </c>
      <c r="E752" s="306" t="s">
        <v>1740</v>
      </c>
      <c r="F752" s="307"/>
      <c r="G752" s="297" t="s">
        <v>1141</v>
      </c>
      <c r="H752" s="308" t="str">
        <f t="shared" si="85"/>
        <v>ST-SDV-2</v>
      </c>
      <c r="I752" s="665">
        <v>2</v>
      </c>
      <c r="J752" s="195">
        <v>1</v>
      </c>
      <c r="K752" s="202"/>
      <c r="L752" s="196"/>
      <c r="M752" s="197"/>
    </row>
    <row r="753" spans="1:19" s="182" customFormat="1" ht="12" hidden="1" customHeight="1" outlineLevel="2">
      <c r="A753" s="191"/>
      <c r="B753" s="297" t="s">
        <v>12</v>
      </c>
      <c r="C753" s="17" t="s">
        <v>1776</v>
      </c>
      <c r="D753" s="664" t="s">
        <v>1508</v>
      </c>
      <c r="E753" s="306" t="s">
        <v>1741</v>
      </c>
      <c r="F753" s="307"/>
      <c r="G753" s="297" t="s">
        <v>1141</v>
      </c>
      <c r="H753" s="308" t="str">
        <f t="shared" si="85"/>
        <v>ST-SDV-2</v>
      </c>
      <c r="I753" s="665">
        <v>2</v>
      </c>
      <c r="J753" s="195">
        <v>1</v>
      </c>
      <c r="K753" s="202"/>
      <c r="L753" s="196"/>
      <c r="M753" s="197"/>
    </row>
    <row r="754" spans="1:19" s="182" customFormat="1" ht="12" hidden="1" customHeight="1" outlineLevel="2">
      <c r="A754" s="191"/>
      <c r="B754" s="297" t="s">
        <v>12</v>
      </c>
      <c r="C754" s="17" t="s">
        <v>1776</v>
      </c>
      <c r="D754" s="664" t="s">
        <v>1623</v>
      </c>
      <c r="E754" s="306" t="s">
        <v>1777</v>
      </c>
      <c r="F754" s="307"/>
      <c r="G754" s="297" t="s">
        <v>1141</v>
      </c>
      <c r="H754" s="308" t="str">
        <f t="shared" si="85"/>
        <v>ST-SDV-2</v>
      </c>
      <c r="I754" s="665">
        <v>2</v>
      </c>
      <c r="J754" s="195">
        <v>1</v>
      </c>
      <c r="K754" s="202"/>
      <c r="L754" s="196"/>
      <c r="M754" s="197"/>
    </row>
    <row r="755" spans="1:19" s="190" customFormat="1" ht="12" hidden="1" customHeight="1" outlineLevel="1">
      <c r="A755" s="200"/>
      <c r="B755" s="297"/>
      <c r="C755" s="17"/>
      <c r="D755" s="664" t="s">
        <v>1779</v>
      </c>
      <c r="E755" s="306"/>
      <c r="F755" s="307"/>
      <c r="G755" s="297"/>
      <c r="H755" s="308"/>
      <c r="I755" s="665"/>
      <c r="J755" s="195"/>
      <c r="K755" s="202"/>
      <c r="L755" s="189"/>
      <c r="M755" s="197"/>
    </row>
    <row r="756" spans="1:19" s="182" customFormat="1" ht="12" hidden="1" customHeight="1" outlineLevel="2">
      <c r="A756" s="191"/>
      <c r="B756" s="297" t="s">
        <v>12</v>
      </c>
      <c r="C756" s="17" t="s">
        <v>1780</v>
      </c>
      <c r="D756" s="664" t="s">
        <v>1497</v>
      </c>
      <c r="E756" s="306" t="s">
        <v>1498</v>
      </c>
      <c r="F756" s="307"/>
      <c r="G756" s="297" t="s">
        <v>1141</v>
      </c>
      <c r="H756" s="308" t="str">
        <f t="shared" ref="H756:H761" si="86">CONCATENATE(B756,"-",G756,"-",I756)</f>
        <v>ST-SDV-NA</v>
      </c>
      <c r="I756" s="665" t="s">
        <v>293</v>
      </c>
      <c r="J756" s="195"/>
      <c r="K756" s="202"/>
      <c r="L756" s="203"/>
      <c r="M756" s="197"/>
    </row>
    <row r="757" spans="1:19" s="182" customFormat="1" ht="12" hidden="1" customHeight="1" outlineLevel="2">
      <c r="A757" s="191"/>
      <c r="B757" s="297" t="s">
        <v>12</v>
      </c>
      <c r="C757" s="17" t="s">
        <v>1780</v>
      </c>
      <c r="D757" s="664" t="s">
        <v>1500</v>
      </c>
      <c r="E757" s="306" t="s">
        <v>1501</v>
      </c>
      <c r="F757" s="307"/>
      <c r="G757" s="297" t="s">
        <v>1141</v>
      </c>
      <c r="H757" s="308" t="str">
        <f t="shared" si="86"/>
        <v>ST-SDV-NA</v>
      </c>
      <c r="I757" s="665" t="s">
        <v>293</v>
      </c>
      <c r="J757" s="195"/>
      <c r="K757" s="202"/>
      <c r="L757" s="203"/>
      <c r="M757" s="197"/>
    </row>
    <row r="758" spans="1:19" s="182" customFormat="1" ht="12" hidden="1" customHeight="1" outlineLevel="2">
      <c r="A758" s="191"/>
      <c r="B758" s="297" t="s">
        <v>12</v>
      </c>
      <c r="C758" s="17" t="s">
        <v>1780</v>
      </c>
      <c r="D758" s="664" t="s">
        <v>1504</v>
      </c>
      <c r="E758" s="306" t="s">
        <v>1505</v>
      </c>
      <c r="F758" s="307"/>
      <c r="G758" s="297" t="s">
        <v>1141</v>
      </c>
      <c r="H758" s="308" t="str">
        <f t="shared" si="86"/>
        <v>ST-SDV-NA</v>
      </c>
      <c r="I758" s="665" t="s">
        <v>293</v>
      </c>
      <c r="J758" s="195"/>
      <c r="K758" s="202"/>
      <c r="L758" s="203"/>
      <c r="M758" s="197"/>
    </row>
    <row r="759" spans="1:19" s="182" customFormat="1" ht="12" hidden="1" customHeight="1" outlineLevel="2">
      <c r="A759" s="191"/>
      <c r="B759" s="297" t="s">
        <v>12</v>
      </c>
      <c r="C759" s="17" t="s">
        <v>1780</v>
      </c>
      <c r="D759" s="664" t="s">
        <v>1506</v>
      </c>
      <c r="E759" s="306" t="s">
        <v>1740</v>
      </c>
      <c r="F759" s="307"/>
      <c r="G759" s="297" t="s">
        <v>1141</v>
      </c>
      <c r="H759" s="308" t="str">
        <f t="shared" si="86"/>
        <v>ST-SDV-NA</v>
      </c>
      <c r="I759" s="665" t="s">
        <v>293</v>
      </c>
      <c r="J759" s="195"/>
      <c r="K759" s="202"/>
      <c r="L759" s="203"/>
      <c r="M759" s="197"/>
    </row>
    <row r="760" spans="1:19" s="182" customFormat="1" ht="12" hidden="1" customHeight="1" outlineLevel="2">
      <c r="A760" s="191"/>
      <c r="B760" s="297" t="s">
        <v>12</v>
      </c>
      <c r="C760" s="17" t="s">
        <v>1780</v>
      </c>
      <c r="D760" s="664" t="s">
        <v>1508</v>
      </c>
      <c r="E760" s="306" t="s">
        <v>1741</v>
      </c>
      <c r="F760" s="307"/>
      <c r="G760" s="297" t="s">
        <v>1141</v>
      </c>
      <c r="H760" s="308" t="str">
        <f t="shared" si="86"/>
        <v>ST-SDV-NA</v>
      </c>
      <c r="I760" s="665" t="s">
        <v>293</v>
      </c>
      <c r="J760" s="195"/>
      <c r="K760" s="202"/>
      <c r="L760" s="203"/>
      <c r="M760" s="197"/>
    </row>
    <row r="761" spans="1:19" s="182" customFormat="1" ht="12" hidden="1" customHeight="1" outlineLevel="2">
      <c r="A761" s="191"/>
      <c r="B761" s="297" t="s">
        <v>12</v>
      </c>
      <c r="C761" s="17" t="s">
        <v>1780</v>
      </c>
      <c r="D761" s="664" t="s">
        <v>1623</v>
      </c>
      <c r="E761" s="306" t="s">
        <v>1777</v>
      </c>
      <c r="F761" s="307"/>
      <c r="G761" s="297" t="s">
        <v>1141</v>
      </c>
      <c r="H761" s="308" t="str">
        <f t="shared" si="86"/>
        <v>ST-SDV-NA</v>
      </c>
      <c r="I761" s="665" t="s">
        <v>293</v>
      </c>
      <c r="J761" s="195"/>
      <c r="K761" s="202"/>
      <c r="L761" s="203"/>
      <c r="M761" s="197"/>
    </row>
    <row r="762" spans="1:19" s="190" customFormat="1" ht="12" hidden="1" customHeight="1" outlineLevel="1">
      <c r="A762" s="200"/>
      <c r="B762" s="297"/>
      <c r="C762" s="17"/>
      <c r="D762" s="664" t="s">
        <v>1781</v>
      </c>
      <c r="E762" s="306"/>
      <c r="F762" s="307"/>
      <c r="G762" s="297"/>
      <c r="H762" s="308"/>
      <c r="I762" s="661"/>
      <c r="J762" s="195"/>
      <c r="K762" s="202"/>
      <c r="L762" s="189"/>
      <c r="M762" s="197"/>
    </row>
    <row r="763" spans="1:19" s="182" customFormat="1" ht="12" hidden="1" customHeight="1" outlineLevel="2">
      <c r="A763" s="191"/>
      <c r="B763" s="297" t="s">
        <v>12</v>
      </c>
      <c r="C763" s="17" t="s">
        <v>1782</v>
      </c>
      <c r="D763" s="664" t="s">
        <v>1497</v>
      </c>
      <c r="E763" s="306" t="s">
        <v>1498</v>
      </c>
      <c r="F763" s="307"/>
      <c r="G763" s="297" t="s">
        <v>1141</v>
      </c>
      <c r="H763" s="308" t="str">
        <f>CONCATENATE(B763,"-",G763,"-",I763)</f>
        <v>ST-SDV-3</v>
      </c>
      <c r="I763" s="665">
        <v>3</v>
      </c>
      <c r="J763" s="195"/>
      <c r="K763" s="202"/>
      <c r="L763" s="203">
        <v>1</v>
      </c>
      <c r="M763" s="197">
        <v>1</v>
      </c>
      <c r="Q763" s="197">
        <v>1</v>
      </c>
      <c r="S763" s="197">
        <v>1</v>
      </c>
    </row>
    <row r="764" spans="1:19" s="182" customFormat="1" ht="12" hidden="1" customHeight="1" outlineLevel="2">
      <c r="A764" s="191"/>
      <c r="B764" s="297" t="s">
        <v>12</v>
      </c>
      <c r="C764" s="17" t="s">
        <v>1782</v>
      </c>
      <c r="D764" s="664" t="s">
        <v>1500</v>
      </c>
      <c r="E764" s="306" t="s">
        <v>1501</v>
      </c>
      <c r="F764" s="307"/>
      <c r="G764" s="297" t="s">
        <v>1141</v>
      </c>
      <c r="H764" s="308" t="str">
        <f>CONCATENATE(B764,"-",G764,"-",I764)</f>
        <v>ST-SDV-3</v>
      </c>
      <c r="I764" s="665">
        <v>3</v>
      </c>
      <c r="J764" s="195"/>
      <c r="K764" s="202"/>
      <c r="L764" s="203">
        <v>1</v>
      </c>
      <c r="M764" s="197">
        <v>1</v>
      </c>
      <c r="Q764" s="197">
        <v>1</v>
      </c>
      <c r="S764" s="197">
        <v>1</v>
      </c>
    </row>
    <row r="765" spans="1:19" s="182" customFormat="1" ht="12" hidden="1" customHeight="1" outlineLevel="2">
      <c r="A765" s="191"/>
      <c r="B765" s="297" t="s">
        <v>12</v>
      </c>
      <c r="C765" s="17" t="s">
        <v>1782</v>
      </c>
      <c r="D765" s="664" t="s">
        <v>1504</v>
      </c>
      <c r="E765" s="306" t="s">
        <v>1505</v>
      </c>
      <c r="F765" s="307"/>
      <c r="G765" s="297" t="s">
        <v>1141</v>
      </c>
      <c r="H765" s="308" t="str">
        <f>CONCATENATE(B765,"-",G765,"-",I765)</f>
        <v>ST-SDV-3</v>
      </c>
      <c r="I765" s="665">
        <v>3</v>
      </c>
      <c r="J765" s="195"/>
      <c r="K765" s="202"/>
      <c r="L765" s="203">
        <v>1</v>
      </c>
      <c r="M765" s="197">
        <v>1</v>
      </c>
      <c r="Q765" s="197">
        <v>1</v>
      </c>
      <c r="S765" s="197">
        <v>1</v>
      </c>
    </row>
    <row r="766" spans="1:19" s="182" customFormat="1" ht="12" hidden="1" customHeight="1" outlineLevel="2">
      <c r="A766" s="191"/>
      <c r="B766" s="297" t="s">
        <v>12</v>
      </c>
      <c r="C766" s="17" t="s">
        <v>1782</v>
      </c>
      <c r="D766" s="664" t="s">
        <v>1506</v>
      </c>
      <c r="E766" s="306" t="s">
        <v>1740</v>
      </c>
      <c r="F766" s="307"/>
      <c r="G766" s="297" t="s">
        <v>1141</v>
      </c>
      <c r="H766" s="308" t="str">
        <f>CONCATENATE(B766,"-",G766,"-",I766)</f>
        <v>ST-SDV-3</v>
      </c>
      <c r="I766" s="665">
        <v>3</v>
      </c>
      <c r="J766" s="195"/>
      <c r="K766" s="202"/>
      <c r="L766" s="203">
        <v>1</v>
      </c>
      <c r="M766" s="197">
        <v>1</v>
      </c>
      <c r="Q766" s="197">
        <v>1</v>
      </c>
      <c r="S766" s="197">
        <v>1</v>
      </c>
    </row>
    <row r="767" spans="1:19" s="182" customFormat="1" ht="12" hidden="1" customHeight="1" outlineLevel="2">
      <c r="A767" s="191"/>
      <c r="B767" s="297" t="s">
        <v>12</v>
      </c>
      <c r="C767" s="17" t="s">
        <v>1782</v>
      </c>
      <c r="D767" s="664" t="s">
        <v>1508</v>
      </c>
      <c r="E767" s="306" t="s">
        <v>1741</v>
      </c>
      <c r="F767" s="307"/>
      <c r="G767" s="297" t="s">
        <v>1141</v>
      </c>
      <c r="H767" s="308" t="str">
        <f>CONCATENATE(B767,"-",G767,"-",I767)</f>
        <v>ST-SDV-3</v>
      </c>
      <c r="I767" s="665">
        <v>3</v>
      </c>
      <c r="J767" s="195"/>
      <c r="K767" s="202"/>
      <c r="L767" s="203">
        <v>1</v>
      </c>
      <c r="M767" s="197">
        <v>1</v>
      </c>
      <c r="Q767" s="197">
        <v>1</v>
      </c>
      <c r="S767" s="197">
        <v>1</v>
      </c>
    </row>
    <row r="768" spans="1:19" s="190" customFormat="1" ht="12" hidden="1" customHeight="1" outlineLevel="1">
      <c r="A768" s="200"/>
      <c r="B768" s="297"/>
      <c r="C768" s="17"/>
      <c r="D768" s="664" t="s">
        <v>1280</v>
      </c>
      <c r="E768" s="306"/>
      <c r="F768" s="307"/>
      <c r="G768" s="297"/>
      <c r="H768" s="308"/>
      <c r="I768" s="661"/>
      <c r="J768" s="195"/>
      <c r="K768" s="202"/>
      <c r="L768" s="189"/>
      <c r="M768" s="197"/>
    </row>
    <row r="769" spans="1:21" s="182" customFormat="1" ht="12" hidden="1" customHeight="1" outlineLevel="2">
      <c r="A769" s="191"/>
      <c r="B769" s="297" t="s">
        <v>12</v>
      </c>
      <c r="C769" s="17" t="s">
        <v>1782</v>
      </c>
      <c r="D769" s="664" t="s">
        <v>1497</v>
      </c>
      <c r="E769" s="306" t="s">
        <v>1498</v>
      </c>
      <c r="F769" s="307"/>
      <c r="G769" s="297" t="s">
        <v>1141</v>
      </c>
      <c r="H769" s="308" t="str">
        <f>CONCATENATE(B769,"-",G769,"-",I769)</f>
        <v>ST-SDV-3</v>
      </c>
      <c r="I769" s="665">
        <v>3</v>
      </c>
      <c r="J769" s="195"/>
      <c r="K769" s="202"/>
      <c r="L769" s="203">
        <v>1</v>
      </c>
      <c r="M769" s="197">
        <v>1</v>
      </c>
      <c r="N769" s="214"/>
      <c r="O769" s="197"/>
      <c r="P769" s="197"/>
      <c r="Q769" s="220"/>
      <c r="R769" s="220"/>
      <c r="S769" s="197"/>
      <c r="T769" s="197"/>
      <c r="U769" s="197"/>
    </row>
    <row r="770" spans="1:21" s="182" customFormat="1" ht="12" hidden="1" customHeight="1" outlineLevel="2">
      <c r="A770" s="191"/>
      <c r="B770" s="297" t="s">
        <v>12</v>
      </c>
      <c r="C770" s="17" t="s">
        <v>1782</v>
      </c>
      <c r="D770" s="664" t="s">
        <v>1500</v>
      </c>
      <c r="E770" s="306" t="s">
        <v>1501</v>
      </c>
      <c r="F770" s="307"/>
      <c r="G770" s="297" t="s">
        <v>1141</v>
      </c>
      <c r="H770" s="308" t="str">
        <f>CONCATENATE(B770,"-",G770,"-",I770)</f>
        <v>ST-SDV-3</v>
      </c>
      <c r="I770" s="665">
        <v>3</v>
      </c>
      <c r="J770" s="195"/>
      <c r="K770" s="202"/>
      <c r="L770" s="203">
        <v>1</v>
      </c>
      <c r="M770" s="197">
        <v>1</v>
      </c>
      <c r="N770" s="214"/>
      <c r="O770" s="197"/>
      <c r="P770" s="197"/>
      <c r="Q770" s="220"/>
      <c r="R770" s="220"/>
      <c r="S770" s="197"/>
      <c r="T770" s="197"/>
      <c r="U770" s="197"/>
    </row>
    <row r="771" spans="1:21" s="182" customFormat="1" ht="12" hidden="1" customHeight="1" outlineLevel="2">
      <c r="A771" s="191"/>
      <c r="B771" s="297" t="s">
        <v>12</v>
      </c>
      <c r="C771" s="17" t="s">
        <v>1782</v>
      </c>
      <c r="D771" s="664" t="s">
        <v>1504</v>
      </c>
      <c r="E771" s="306" t="s">
        <v>1505</v>
      </c>
      <c r="F771" s="307"/>
      <c r="G771" s="297" t="s">
        <v>1141</v>
      </c>
      <c r="H771" s="308" t="str">
        <f>CONCATENATE(B771,"-",G771,"-",I771)</f>
        <v>ST-SDV-3</v>
      </c>
      <c r="I771" s="665">
        <v>3</v>
      </c>
      <c r="J771" s="195"/>
      <c r="K771" s="202"/>
      <c r="L771" s="203">
        <v>1</v>
      </c>
      <c r="M771" s="197">
        <v>1</v>
      </c>
      <c r="N771" s="214"/>
      <c r="O771" s="197"/>
      <c r="P771" s="197"/>
      <c r="Q771" s="220"/>
      <c r="R771" s="220"/>
      <c r="S771" s="197"/>
      <c r="T771" s="197"/>
      <c r="U771" s="197"/>
    </row>
    <row r="772" spans="1:21" s="182" customFormat="1" ht="12" hidden="1" customHeight="1" outlineLevel="2">
      <c r="A772" s="191"/>
      <c r="B772" s="297" t="s">
        <v>12</v>
      </c>
      <c r="C772" s="17" t="s">
        <v>1782</v>
      </c>
      <c r="D772" s="664" t="s">
        <v>1506</v>
      </c>
      <c r="E772" s="306" t="s">
        <v>1740</v>
      </c>
      <c r="F772" s="307"/>
      <c r="G772" s="297" t="s">
        <v>1141</v>
      </c>
      <c r="H772" s="308" t="str">
        <f>CONCATENATE(B772,"-",G772,"-",I772)</f>
        <v>ST-SDV-3</v>
      </c>
      <c r="I772" s="665">
        <v>3</v>
      </c>
      <c r="J772" s="195"/>
      <c r="K772" s="202"/>
      <c r="L772" s="203">
        <v>1</v>
      </c>
      <c r="M772" s="197">
        <v>1</v>
      </c>
      <c r="N772" s="214"/>
      <c r="O772" s="197"/>
      <c r="P772" s="197"/>
      <c r="Q772" s="220"/>
      <c r="R772" s="220"/>
      <c r="S772" s="197"/>
      <c r="T772" s="197"/>
      <c r="U772" s="197"/>
    </row>
    <row r="773" spans="1:21" s="182" customFormat="1" ht="12" hidden="1" customHeight="1" outlineLevel="2">
      <c r="A773" s="191"/>
      <c r="B773" s="297" t="s">
        <v>12</v>
      </c>
      <c r="C773" s="17" t="s">
        <v>1782</v>
      </c>
      <c r="D773" s="664" t="s">
        <v>1508</v>
      </c>
      <c r="E773" s="306" t="s">
        <v>1741</v>
      </c>
      <c r="F773" s="307"/>
      <c r="G773" s="297" t="s">
        <v>1141</v>
      </c>
      <c r="H773" s="308" t="str">
        <f t="shared" ref="H773:H776" si="87">CONCATENATE(B773,"-",G773,"-",I773)</f>
        <v>ST-SDV-3</v>
      </c>
      <c r="I773" s="665">
        <v>3</v>
      </c>
      <c r="J773" s="195"/>
      <c r="K773" s="202"/>
      <c r="L773" s="203">
        <v>1</v>
      </c>
      <c r="M773" s="197">
        <v>1</v>
      </c>
      <c r="N773" s="214"/>
      <c r="O773" s="197"/>
      <c r="P773" s="197"/>
      <c r="Q773" s="220"/>
      <c r="R773" s="220"/>
      <c r="S773" s="197"/>
      <c r="T773" s="197"/>
      <c r="U773" s="197"/>
    </row>
    <row r="774" spans="1:21" s="182" customFormat="1" ht="12" hidden="1" customHeight="1" outlineLevel="2">
      <c r="A774" s="191"/>
      <c r="B774" s="297" t="s">
        <v>12</v>
      </c>
      <c r="C774" s="17" t="s">
        <v>1782</v>
      </c>
      <c r="D774" s="664" t="s">
        <v>1508</v>
      </c>
      <c r="E774" s="306" t="s">
        <v>1783</v>
      </c>
      <c r="F774" s="307"/>
      <c r="G774" s="297" t="s">
        <v>1141</v>
      </c>
      <c r="H774" s="308" t="str">
        <f t="shared" si="87"/>
        <v>ST-SDV-3</v>
      </c>
      <c r="I774" s="665">
        <v>3</v>
      </c>
      <c r="J774" s="195"/>
      <c r="K774" s="202"/>
      <c r="L774" s="203">
        <v>1</v>
      </c>
      <c r="M774" s="197">
        <v>1</v>
      </c>
      <c r="N774" s="214"/>
      <c r="O774" s="197"/>
      <c r="P774" s="197"/>
      <c r="Q774" s="203">
        <v>1</v>
      </c>
      <c r="R774" s="220">
        <v>1</v>
      </c>
      <c r="S774" s="197"/>
      <c r="T774" s="197"/>
      <c r="U774" s="197"/>
    </row>
    <row r="775" spans="1:21" s="182" customFormat="1" ht="12" hidden="1" customHeight="1" outlineLevel="2">
      <c r="A775" s="191"/>
      <c r="B775" s="297" t="s">
        <v>12</v>
      </c>
      <c r="C775" s="17" t="s">
        <v>1782</v>
      </c>
      <c r="D775" s="664" t="s">
        <v>1508</v>
      </c>
      <c r="E775" s="306" t="s">
        <v>1784</v>
      </c>
      <c r="F775" s="307"/>
      <c r="G775" s="297" t="s">
        <v>1141</v>
      </c>
      <c r="H775" s="308" t="str">
        <f t="shared" si="87"/>
        <v>ST-SDV-3</v>
      </c>
      <c r="I775" s="665">
        <v>3</v>
      </c>
      <c r="J775" s="195"/>
      <c r="K775" s="202"/>
      <c r="L775" s="203">
        <v>1</v>
      </c>
      <c r="M775" s="197">
        <v>1</v>
      </c>
      <c r="N775" s="214"/>
      <c r="O775" s="197"/>
      <c r="P775" s="197"/>
      <c r="Q775" s="203">
        <v>1</v>
      </c>
      <c r="R775" s="220">
        <v>1</v>
      </c>
      <c r="S775" s="197"/>
      <c r="T775" s="197"/>
      <c r="U775" s="197"/>
    </row>
    <row r="776" spans="1:21" s="182" customFormat="1" ht="12" hidden="1" customHeight="1" outlineLevel="2">
      <c r="A776" s="191"/>
      <c r="B776" s="297" t="s">
        <v>12</v>
      </c>
      <c r="C776" s="17" t="s">
        <v>1782</v>
      </c>
      <c r="D776" s="664" t="s">
        <v>1508</v>
      </c>
      <c r="E776" s="306" t="s">
        <v>1785</v>
      </c>
      <c r="F776" s="307"/>
      <c r="G776" s="297" t="s">
        <v>1141</v>
      </c>
      <c r="H776" s="308" t="str">
        <f t="shared" si="87"/>
        <v>ST-SDV-3</v>
      </c>
      <c r="I776" s="665">
        <v>3</v>
      </c>
      <c r="J776" s="195"/>
      <c r="K776" s="202"/>
      <c r="L776" s="203">
        <v>1</v>
      </c>
      <c r="M776" s="197">
        <v>1</v>
      </c>
      <c r="N776" s="214"/>
      <c r="O776" s="197"/>
      <c r="P776" s="197"/>
      <c r="Q776" s="203">
        <v>1</v>
      </c>
      <c r="R776" s="220">
        <v>1</v>
      </c>
      <c r="S776" s="197"/>
      <c r="T776" s="197"/>
      <c r="U776" s="197"/>
    </row>
    <row r="777" spans="1:21" s="182" customFormat="1" ht="12" hidden="1" customHeight="1" outlineLevel="2">
      <c r="A777" s="191"/>
      <c r="B777" s="297" t="s">
        <v>12</v>
      </c>
      <c r="C777" s="17" t="s">
        <v>1782</v>
      </c>
      <c r="D777" s="664" t="s">
        <v>1508</v>
      </c>
      <c r="E777" s="306" t="s">
        <v>1786</v>
      </c>
      <c r="F777" s="307"/>
      <c r="G777" s="297" t="s">
        <v>1141</v>
      </c>
      <c r="H777" s="308" t="str">
        <f>CONCATENATE(B777,"-",G777,"-",I777)</f>
        <v>ST-SDV-3</v>
      </c>
      <c r="I777" s="665">
        <v>3</v>
      </c>
      <c r="J777" s="195"/>
      <c r="K777" s="202"/>
      <c r="L777" s="203">
        <v>1</v>
      </c>
      <c r="M777" s="197">
        <v>1</v>
      </c>
      <c r="N777" s="214"/>
      <c r="O777" s="197"/>
      <c r="P777" s="197"/>
      <c r="Q777" s="203">
        <v>1</v>
      </c>
      <c r="R777" s="220">
        <v>1</v>
      </c>
      <c r="S777" s="197"/>
      <c r="T777" s="197"/>
      <c r="U777" s="197"/>
    </row>
    <row r="778" spans="1:21" ht="3" customHeight="1">
      <c r="B778" s="297"/>
      <c r="C778" s="17"/>
      <c r="D778" s="664"/>
      <c r="E778" s="306"/>
      <c r="F778" s="307"/>
      <c r="G778" s="297"/>
      <c r="H778" s="308"/>
      <c r="I778" s="661"/>
      <c r="M778" s="197"/>
      <c r="N778" s="197"/>
      <c r="O778" s="197"/>
      <c r="P778" s="197"/>
      <c r="Q778" s="220"/>
      <c r="R778" s="220"/>
      <c r="S778" s="197"/>
      <c r="T778" s="197"/>
      <c r="U778" s="197"/>
    </row>
    <row r="779" spans="1:21" s="190" customFormat="1" ht="12" customHeight="1">
      <c r="A779" s="153" t="s">
        <v>29</v>
      </c>
      <c r="B779" s="297"/>
      <c r="C779" s="17"/>
      <c r="D779" s="664"/>
      <c r="E779" s="306"/>
      <c r="F779" s="307"/>
      <c r="G779" s="297" t="s">
        <v>257</v>
      </c>
      <c r="H779" s="308" t="s">
        <v>258</v>
      </c>
      <c r="I779" s="665" t="s">
        <v>259</v>
      </c>
      <c r="J779" s="188">
        <v>8</v>
      </c>
      <c r="K779" s="188"/>
      <c r="L779" s="188">
        <f>SUM(L780:L800)</f>
        <v>8</v>
      </c>
      <c r="M779" s="188"/>
      <c r="N779" s="188">
        <v>8</v>
      </c>
      <c r="O779" s="188">
        <f t="shared" ref="O779:U779" si="88">SUM(O780:O800)</f>
        <v>0</v>
      </c>
      <c r="P779" s="188">
        <f t="shared" si="88"/>
        <v>0</v>
      </c>
      <c r="Q779" s="188">
        <f t="shared" si="88"/>
        <v>0</v>
      </c>
      <c r="R779" s="188">
        <f t="shared" si="88"/>
        <v>0</v>
      </c>
      <c r="S779" s="188">
        <f t="shared" si="88"/>
        <v>0</v>
      </c>
      <c r="T779" s="188">
        <f t="shared" si="88"/>
        <v>0</v>
      </c>
      <c r="U779" s="188">
        <f t="shared" si="88"/>
        <v>0</v>
      </c>
    </row>
    <row r="780" spans="1:21" s="190" customFormat="1" ht="12" customHeight="1" outlineLevel="1">
      <c r="A780" s="200"/>
      <c r="B780" s="297"/>
      <c r="C780" s="17"/>
      <c r="D780" s="664" t="s">
        <v>1352</v>
      </c>
      <c r="E780" s="306"/>
      <c r="F780" s="307"/>
      <c r="G780" s="297"/>
      <c r="H780" s="308"/>
      <c r="I780" s="661"/>
      <c r="J780" s="195"/>
      <c r="K780" s="202"/>
      <c r="L780" s="189"/>
      <c r="M780" s="197"/>
      <c r="N780" s="197"/>
      <c r="O780" s="197"/>
      <c r="P780" s="197"/>
      <c r="Q780" s="199"/>
      <c r="R780" s="199"/>
      <c r="S780" s="197"/>
      <c r="T780" s="197"/>
      <c r="U780" s="197"/>
    </row>
    <row r="781" spans="1:21" s="182" customFormat="1" ht="12" customHeight="1" outlineLevel="2">
      <c r="A781" s="191"/>
      <c r="B781" s="297" t="s">
        <v>12</v>
      </c>
      <c r="C781" s="17" t="s">
        <v>1787</v>
      </c>
      <c r="D781" s="664" t="s">
        <v>1497</v>
      </c>
      <c r="E781" s="306" t="s">
        <v>1498</v>
      </c>
      <c r="F781" s="307"/>
      <c r="G781" s="297" t="s">
        <v>1353</v>
      </c>
      <c r="H781" s="308" t="str">
        <f t="shared" ref="H781:H788" si="89">CONCATENATE(B781,"-",G781,"-",I781)</f>
        <v>ST-AMN-1</v>
      </c>
      <c r="I781" s="665">
        <v>1</v>
      </c>
      <c r="J781" s="195">
        <v>1</v>
      </c>
      <c r="K781" s="202"/>
      <c r="L781" s="196"/>
      <c r="M781" s="197"/>
      <c r="N781" s="197"/>
      <c r="O781" s="197"/>
      <c r="P781" s="197"/>
      <c r="Q781" s="199"/>
      <c r="R781" s="199"/>
      <c r="S781" s="197"/>
      <c r="T781" s="197"/>
      <c r="U781" s="197"/>
    </row>
    <row r="782" spans="1:21" s="182" customFormat="1" ht="12" customHeight="1" outlineLevel="2">
      <c r="A782" s="191"/>
      <c r="B782" s="297" t="s">
        <v>12</v>
      </c>
      <c r="C782" s="17" t="s">
        <v>1787</v>
      </c>
      <c r="D782" s="664" t="s">
        <v>1500</v>
      </c>
      <c r="E782" s="306" t="s">
        <v>1501</v>
      </c>
      <c r="F782" s="307"/>
      <c r="G782" s="297" t="s">
        <v>1353</v>
      </c>
      <c r="H782" s="308" t="str">
        <f t="shared" si="89"/>
        <v>ST-AMN-1</v>
      </c>
      <c r="I782" s="665">
        <v>1</v>
      </c>
      <c r="J782" s="195">
        <v>1</v>
      </c>
      <c r="K782" s="202"/>
      <c r="L782" s="196"/>
      <c r="M782" s="197"/>
      <c r="N782" s="197"/>
      <c r="O782" s="197"/>
      <c r="P782" s="197"/>
      <c r="Q782" s="199"/>
      <c r="R782" s="199"/>
      <c r="S782" s="197"/>
      <c r="T782" s="197"/>
      <c r="U782" s="197"/>
    </row>
    <row r="783" spans="1:21" s="182" customFormat="1" ht="12" customHeight="1" outlineLevel="2">
      <c r="A783" s="191"/>
      <c r="B783" s="297" t="s">
        <v>12</v>
      </c>
      <c r="C783" s="17" t="s">
        <v>1787</v>
      </c>
      <c r="D783" s="664" t="s">
        <v>1502</v>
      </c>
      <c r="E783" s="306" t="s">
        <v>1788</v>
      </c>
      <c r="F783" s="307"/>
      <c r="G783" s="297" t="s">
        <v>1353</v>
      </c>
      <c r="H783" s="308" t="str">
        <f t="shared" si="89"/>
        <v>ST-AMN-1</v>
      </c>
      <c r="I783" s="665">
        <v>1</v>
      </c>
      <c r="J783" s="195">
        <v>1</v>
      </c>
      <c r="K783" s="202"/>
      <c r="L783" s="196"/>
      <c r="M783" s="197"/>
      <c r="N783" s="197"/>
      <c r="O783" s="197"/>
      <c r="P783" s="197"/>
      <c r="Q783" s="199"/>
      <c r="R783" s="199"/>
      <c r="S783" s="197"/>
      <c r="T783" s="197"/>
      <c r="U783" s="197"/>
    </row>
    <row r="784" spans="1:21" s="182" customFormat="1" ht="12" customHeight="1" outlineLevel="2">
      <c r="A784" s="191"/>
      <c r="B784" s="297" t="s">
        <v>12</v>
      </c>
      <c r="C784" s="17" t="s">
        <v>1787</v>
      </c>
      <c r="D784" s="664" t="s">
        <v>1504</v>
      </c>
      <c r="E784" s="306" t="s">
        <v>1505</v>
      </c>
      <c r="F784" s="307"/>
      <c r="G784" s="297" t="s">
        <v>1353</v>
      </c>
      <c r="H784" s="308" t="str">
        <f t="shared" si="89"/>
        <v>ST-AMN-1</v>
      </c>
      <c r="I784" s="665">
        <v>1</v>
      </c>
      <c r="J784" s="195">
        <v>1</v>
      </c>
      <c r="K784" s="202"/>
      <c r="L784" s="199"/>
      <c r="M784" s="197"/>
      <c r="N784" s="197"/>
      <c r="O784" s="197"/>
      <c r="P784" s="197"/>
      <c r="Q784" s="199"/>
      <c r="R784" s="199"/>
      <c r="S784" s="197"/>
      <c r="T784" s="197"/>
      <c r="U784" s="197"/>
    </row>
    <row r="785" spans="1:13" s="182" customFormat="1" ht="12" customHeight="1" outlineLevel="2">
      <c r="A785" s="191"/>
      <c r="B785" s="297" t="s">
        <v>12</v>
      </c>
      <c r="C785" s="17" t="s">
        <v>1787</v>
      </c>
      <c r="D785" s="664" t="s">
        <v>1506</v>
      </c>
      <c r="E785" s="306" t="s">
        <v>1740</v>
      </c>
      <c r="F785" s="307"/>
      <c r="G785" s="297" t="s">
        <v>1353</v>
      </c>
      <c r="H785" s="308" t="str">
        <f t="shared" si="89"/>
        <v>ST-AMN-1</v>
      </c>
      <c r="I785" s="665">
        <v>1</v>
      </c>
      <c r="J785" s="195">
        <v>1</v>
      </c>
      <c r="K785" s="202"/>
      <c r="L785" s="199"/>
      <c r="M785" s="197"/>
    </row>
    <row r="786" spans="1:13" s="182" customFormat="1" ht="12" customHeight="1" outlineLevel="2">
      <c r="A786" s="191"/>
      <c r="B786" s="297" t="s">
        <v>12</v>
      </c>
      <c r="C786" s="17" t="s">
        <v>1787</v>
      </c>
      <c r="D786" s="664" t="s">
        <v>1508</v>
      </c>
      <c r="E786" s="306" t="s">
        <v>1741</v>
      </c>
      <c r="F786" s="307"/>
      <c r="G786" s="297" t="s">
        <v>1353</v>
      </c>
      <c r="H786" s="308" t="str">
        <f t="shared" si="89"/>
        <v>ST-AMN-1</v>
      </c>
      <c r="I786" s="665">
        <v>1</v>
      </c>
      <c r="J786" s="195">
        <v>1</v>
      </c>
      <c r="K786" s="202"/>
      <c r="L786" s="199"/>
      <c r="M786" s="197"/>
    </row>
    <row r="787" spans="1:13" s="182" customFormat="1" ht="12" customHeight="1" outlineLevel="2">
      <c r="A787" s="191"/>
      <c r="B787" s="297" t="s">
        <v>12</v>
      </c>
      <c r="C787" s="17" t="s">
        <v>1787</v>
      </c>
      <c r="D787" s="664" t="s">
        <v>1506</v>
      </c>
      <c r="E787" s="306" t="s">
        <v>1789</v>
      </c>
      <c r="F787" s="307"/>
      <c r="G787" s="297" t="s">
        <v>1353</v>
      </c>
      <c r="H787" s="308" t="str">
        <f t="shared" si="89"/>
        <v>ST-AMN-1</v>
      </c>
      <c r="I787" s="665">
        <v>1</v>
      </c>
      <c r="J787" s="195">
        <v>1</v>
      </c>
      <c r="K787" s="202"/>
      <c r="L787" s="199"/>
      <c r="M787" s="197"/>
    </row>
    <row r="788" spans="1:13" s="182" customFormat="1" ht="12" customHeight="1" outlineLevel="2">
      <c r="A788" s="191"/>
      <c r="B788" s="297" t="s">
        <v>12</v>
      </c>
      <c r="C788" s="17" t="s">
        <v>1787</v>
      </c>
      <c r="D788" s="664" t="s">
        <v>1508</v>
      </c>
      <c r="E788" s="306" t="s">
        <v>1790</v>
      </c>
      <c r="F788" s="307"/>
      <c r="G788" s="297" t="s">
        <v>1353</v>
      </c>
      <c r="H788" s="308" t="str">
        <f t="shared" si="89"/>
        <v>ST-AMN-1</v>
      </c>
      <c r="I788" s="665">
        <v>1</v>
      </c>
      <c r="J788" s="195">
        <v>1</v>
      </c>
      <c r="K788" s="202"/>
      <c r="L788" s="199"/>
      <c r="M788" s="197"/>
    </row>
    <row r="789" spans="1:13" s="182" customFormat="1" ht="12" customHeight="1" outlineLevel="2">
      <c r="A789" s="191"/>
      <c r="B789" s="297" t="s">
        <v>12</v>
      </c>
      <c r="C789" s="17" t="s">
        <v>1787</v>
      </c>
      <c r="D789" s="664" t="s">
        <v>1508</v>
      </c>
      <c r="E789" s="306" t="s">
        <v>1791</v>
      </c>
      <c r="F789" s="307"/>
      <c r="G789" s="297" t="s">
        <v>1353</v>
      </c>
      <c r="H789" s="308" t="str">
        <f t="shared" ref="H789" si="90">CONCATENATE(B789,"-",G789,"-",I789)</f>
        <v>ST-AMN-1</v>
      </c>
      <c r="I789" s="665">
        <v>1</v>
      </c>
      <c r="J789" s="195">
        <v>1</v>
      </c>
      <c r="K789" s="202"/>
      <c r="L789" s="195"/>
      <c r="M789" s="195"/>
    </row>
    <row r="790" spans="1:13" s="182" customFormat="1" ht="12" customHeight="1" outlineLevel="2">
      <c r="A790" s="191"/>
      <c r="B790" s="297" t="s">
        <v>12</v>
      </c>
      <c r="C790" s="17" t="s">
        <v>1787</v>
      </c>
      <c r="D790" s="664" t="s">
        <v>1508</v>
      </c>
      <c r="E790" s="668" t="s">
        <v>1792</v>
      </c>
      <c r="F790" s="307"/>
      <c r="G790" s="297" t="s">
        <v>1353</v>
      </c>
      <c r="H790" s="308" t="str">
        <f>CONCATENATE(B790,"-",G790,"-",I790)</f>
        <v>ST-AMN-1</v>
      </c>
      <c r="I790" s="665">
        <v>1</v>
      </c>
      <c r="J790" s="195">
        <v>1</v>
      </c>
      <c r="K790" s="202"/>
      <c r="L790" s="195"/>
      <c r="M790" s="203"/>
    </row>
    <row r="791" spans="1:13" s="182" customFormat="1" ht="12" customHeight="1" outlineLevel="2">
      <c r="A791" s="191"/>
      <c r="B791" s="297" t="s">
        <v>12</v>
      </c>
      <c r="C791" s="17" t="s">
        <v>1787</v>
      </c>
      <c r="D791" s="664" t="s">
        <v>1508</v>
      </c>
      <c r="E791" s="306" t="s">
        <v>1793</v>
      </c>
      <c r="F791" s="307"/>
      <c r="G791" s="297" t="s">
        <v>1353</v>
      </c>
      <c r="H791" s="308" t="str">
        <f t="shared" ref="H791" si="91">CONCATENATE(B791,"-",G791,"-",I791)</f>
        <v>ST-AMN-3</v>
      </c>
      <c r="I791" s="665">
        <v>3</v>
      </c>
      <c r="J791" s="195">
        <v>1</v>
      </c>
      <c r="K791" s="202"/>
      <c r="L791" s="195"/>
      <c r="M791" s="195"/>
    </row>
    <row r="792" spans="1:13" s="190" customFormat="1" ht="12" customHeight="1" outlineLevel="1">
      <c r="A792" s="200"/>
      <c r="B792" s="297"/>
      <c r="C792" s="17"/>
      <c r="D792" s="664" t="s">
        <v>1794</v>
      </c>
      <c r="E792" s="306"/>
      <c r="F792" s="307"/>
      <c r="G792" s="297"/>
      <c r="H792" s="308"/>
      <c r="I792" s="661"/>
      <c r="J792" s="195"/>
      <c r="K792" s="202"/>
      <c r="L792" s="189"/>
      <c r="M792" s="197"/>
    </row>
    <row r="793" spans="1:13" s="182" customFormat="1" ht="12" customHeight="1" outlineLevel="2">
      <c r="A793" s="191"/>
      <c r="B793" s="297" t="s">
        <v>12</v>
      </c>
      <c r="C793" s="17" t="s">
        <v>1787</v>
      </c>
      <c r="D793" s="664" t="s">
        <v>1497</v>
      </c>
      <c r="E793" s="306" t="s">
        <v>1498</v>
      </c>
      <c r="F793" s="307"/>
      <c r="G793" s="297" t="s">
        <v>1353</v>
      </c>
      <c r="H793" s="308" t="str">
        <f t="shared" ref="H793:H799" si="92">CONCATENATE(B793,"-",G793,"-",I793)</f>
        <v>ST-AMN-5</v>
      </c>
      <c r="I793" s="665">
        <v>5</v>
      </c>
      <c r="J793" s="195"/>
      <c r="K793" s="202"/>
      <c r="L793" s="195">
        <v>1</v>
      </c>
      <c r="M793" s="203">
        <v>1</v>
      </c>
    </row>
    <row r="794" spans="1:13" s="182" customFormat="1" ht="12" customHeight="1" outlineLevel="2">
      <c r="A794" s="191"/>
      <c r="B794" s="297" t="s">
        <v>12</v>
      </c>
      <c r="C794" s="17" t="s">
        <v>1787</v>
      </c>
      <c r="D794" s="664" t="s">
        <v>1500</v>
      </c>
      <c r="E794" s="306" t="s">
        <v>1501</v>
      </c>
      <c r="F794" s="307"/>
      <c r="G794" s="297" t="s">
        <v>1353</v>
      </c>
      <c r="H794" s="308" t="str">
        <f t="shared" si="92"/>
        <v>ST-AMN-5</v>
      </c>
      <c r="I794" s="665">
        <v>5</v>
      </c>
      <c r="J794" s="195"/>
      <c r="K794" s="202"/>
      <c r="L794" s="195">
        <v>1</v>
      </c>
      <c r="M794" s="203">
        <v>1</v>
      </c>
    </row>
    <row r="795" spans="1:13" s="182" customFormat="1" ht="12" customHeight="1" outlineLevel="2">
      <c r="A795" s="191"/>
      <c r="B795" s="297" t="s">
        <v>12</v>
      </c>
      <c r="C795" s="17" t="s">
        <v>1787</v>
      </c>
      <c r="D795" s="664" t="s">
        <v>1502</v>
      </c>
      <c r="E795" s="306" t="s">
        <v>1788</v>
      </c>
      <c r="F795" s="307"/>
      <c r="G795" s="297" t="s">
        <v>1353</v>
      </c>
      <c r="H795" s="308" t="str">
        <f t="shared" si="92"/>
        <v>ST-AMN-5</v>
      </c>
      <c r="I795" s="665">
        <v>5</v>
      </c>
      <c r="J795" s="195"/>
      <c r="K795" s="202"/>
      <c r="L795" s="195">
        <v>1</v>
      </c>
      <c r="M795" s="203">
        <v>1</v>
      </c>
    </row>
    <row r="796" spans="1:13" s="182" customFormat="1" ht="12" customHeight="1" outlineLevel="2">
      <c r="A796" s="191"/>
      <c r="B796" s="297" t="s">
        <v>12</v>
      </c>
      <c r="C796" s="17" t="s">
        <v>1787</v>
      </c>
      <c r="D796" s="664" t="s">
        <v>1504</v>
      </c>
      <c r="E796" s="306" t="s">
        <v>1505</v>
      </c>
      <c r="F796" s="307"/>
      <c r="G796" s="297" t="s">
        <v>1353</v>
      </c>
      <c r="H796" s="308" t="str">
        <f t="shared" si="92"/>
        <v>ST-AMN-5</v>
      </c>
      <c r="I796" s="665">
        <v>5</v>
      </c>
      <c r="J796" s="195"/>
      <c r="K796" s="202"/>
      <c r="L796" s="195">
        <v>1</v>
      </c>
      <c r="M796" s="203">
        <v>1</v>
      </c>
    </row>
    <row r="797" spans="1:13" s="182" customFormat="1" ht="12" customHeight="1" outlineLevel="2">
      <c r="A797" s="191"/>
      <c r="B797" s="297" t="s">
        <v>12</v>
      </c>
      <c r="C797" s="17" t="s">
        <v>1787</v>
      </c>
      <c r="D797" s="664" t="s">
        <v>1506</v>
      </c>
      <c r="E797" s="306" t="s">
        <v>1740</v>
      </c>
      <c r="F797" s="307"/>
      <c r="G797" s="297" t="s">
        <v>1353</v>
      </c>
      <c r="H797" s="308" t="str">
        <f t="shared" si="92"/>
        <v>ST-AMN-5</v>
      </c>
      <c r="I797" s="665">
        <v>5</v>
      </c>
      <c r="J797" s="195"/>
      <c r="K797" s="202"/>
      <c r="L797" s="195">
        <v>1</v>
      </c>
      <c r="M797" s="203">
        <v>1</v>
      </c>
    </row>
    <row r="798" spans="1:13" s="182" customFormat="1" ht="12" customHeight="1" outlineLevel="2">
      <c r="A798" s="191"/>
      <c r="B798" s="297" t="s">
        <v>12</v>
      </c>
      <c r="C798" s="17" t="s">
        <v>1787</v>
      </c>
      <c r="D798" s="664" t="s">
        <v>1508</v>
      </c>
      <c r="E798" s="306" t="s">
        <v>1741</v>
      </c>
      <c r="F798" s="307"/>
      <c r="G798" s="297" t="s">
        <v>1353</v>
      </c>
      <c r="H798" s="308" t="str">
        <f t="shared" si="92"/>
        <v>ST-AMN-5</v>
      </c>
      <c r="I798" s="665">
        <v>5</v>
      </c>
      <c r="J798" s="195"/>
      <c r="K798" s="202"/>
      <c r="L798" s="195">
        <v>1</v>
      </c>
      <c r="M798" s="203">
        <v>1</v>
      </c>
    </row>
    <row r="799" spans="1:13" s="182" customFormat="1" ht="12" customHeight="1" outlineLevel="2">
      <c r="A799" s="191"/>
      <c r="B799" s="297" t="s">
        <v>12</v>
      </c>
      <c r="C799" s="17" t="s">
        <v>1787</v>
      </c>
      <c r="D799" s="664" t="s">
        <v>1506</v>
      </c>
      <c r="E799" s="306" t="s">
        <v>1789</v>
      </c>
      <c r="F799" s="307"/>
      <c r="G799" s="297" t="s">
        <v>1353</v>
      </c>
      <c r="H799" s="308" t="str">
        <f t="shared" si="92"/>
        <v>ST-AMN-5</v>
      </c>
      <c r="I799" s="665">
        <v>5</v>
      </c>
      <c r="J799" s="195"/>
      <c r="K799" s="202"/>
      <c r="L799" s="195">
        <v>1</v>
      </c>
      <c r="M799" s="203">
        <v>1</v>
      </c>
    </row>
    <row r="800" spans="1:13" s="182" customFormat="1" ht="12" customHeight="1" outlineLevel="2">
      <c r="A800" s="191"/>
      <c r="B800" s="297" t="s">
        <v>12</v>
      </c>
      <c r="C800" s="17" t="s">
        <v>1787</v>
      </c>
      <c r="D800" s="664" t="s">
        <v>1508</v>
      </c>
      <c r="E800" s="306" t="s">
        <v>1790</v>
      </c>
      <c r="F800" s="307"/>
      <c r="G800" s="297" t="s">
        <v>1353</v>
      </c>
      <c r="H800" s="308" t="str">
        <f t="shared" ref="H800" si="93">CONCATENATE(B800,"-",G800,"-",I800)</f>
        <v>ST-AMN-5</v>
      </c>
      <c r="I800" s="665">
        <v>5</v>
      </c>
      <c r="J800" s="195"/>
      <c r="K800" s="202"/>
      <c r="L800" s="195">
        <v>1</v>
      </c>
      <c r="M800" s="203">
        <v>1</v>
      </c>
    </row>
    <row r="801" spans="1:16384" ht="12" customHeight="1">
      <c r="B801" s="297" t="s">
        <v>12</v>
      </c>
      <c r="C801" s="17" t="s">
        <v>1787</v>
      </c>
      <c r="D801" s="664" t="s">
        <v>1508</v>
      </c>
      <c r="E801" s="306" t="s">
        <v>217</v>
      </c>
      <c r="F801" s="307"/>
      <c r="G801" s="297" t="s">
        <v>1353</v>
      </c>
      <c r="H801" s="308" t="str">
        <f t="shared" ref="H801" si="94">CONCATENATE(B801,"-",G801,"-",I801)</f>
        <v>ST-AMN-4</v>
      </c>
      <c r="I801" s="665">
        <v>4</v>
      </c>
      <c r="J801" s="195">
        <v>1</v>
      </c>
      <c r="K801" s="202"/>
      <c r="L801" s="195"/>
      <c r="M801" s="197"/>
      <c r="N801" s="197"/>
      <c r="O801" s="197"/>
      <c r="P801" s="197"/>
      <c r="X801" s="269"/>
      <c r="Y801" s="269"/>
    </row>
    <row r="802" spans="1:16384" ht="12" customHeight="1">
      <c r="B802" s="297"/>
      <c r="C802" s="17"/>
      <c r="D802" s="664"/>
      <c r="E802" s="306"/>
      <c r="F802" s="307"/>
      <c r="G802" s="297"/>
      <c r="H802" s="308"/>
      <c r="I802" s="661"/>
      <c r="M802" s="197"/>
      <c r="N802" s="197"/>
      <c r="O802" s="197"/>
      <c r="P802" s="197"/>
      <c r="Q802" s="203"/>
      <c r="R802" s="220"/>
    </row>
    <row r="803" spans="1:16384" ht="1.35" customHeight="1">
      <c r="A803" s="193" t="s">
        <v>1487</v>
      </c>
      <c r="B803" s="297" t="s">
        <v>1487</v>
      </c>
      <c r="C803" s="17" t="s">
        <v>1487</v>
      </c>
      <c r="D803" s="664" t="s">
        <v>1487</v>
      </c>
      <c r="E803" s="306" t="s">
        <v>1487</v>
      </c>
      <c r="F803" s="307" t="s">
        <v>1487</v>
      </c>
      <c r="G803" s="297" t="s">
        <v>1487</v>
      </c>
      <c r="H803" s="308" t="s">
        <v>1487</v>
      </c>
      <c r="I803" s="665" t="s">
        <v>1487</v>
      </c>
      <c r="J803" s="193" t="s">
        <v>1487</v>
      </c>
      <c r="K803" s="193" t="s">
        <v>1487</v>
      </c>
      <c r="L803" s="193" t="s">
        <v>1487</v>
      </c>
      <c r="M803" s="193" t="s">
        <v>1487</v>
      </c>
      <c r="N803" s="193" t="s">
        <v>1487</v>
      </c>
      <c r="O803" s="193" t="s">
        <v>1487</v>
      </c>
      <c r="P803" s="193" t="s">
        <v>1487</v>
      </c>
      <c r="Q803" s="193" t="s">
        <v>1487</v>
      </c>
      <c r="R803" s="193" t="s">
        <v>1487</v>
      </c>
      <c r="S803" s="193" t="s">
        <v>1487</v>
      </c>
      <c r="T803" s="193" t="s">
        <v>1487</v>
      </c>
      <c r="U803" s="193" t="s">
        <v>1487</v>
      </c>
      <c r="V803" s="193" t="s">
        <v>1487</v>
      </c>
      <c r="W803" s="193" t="s">
        <v>1487</v>
      </c>
      <c r="Z803" s="193" t="s">
        <v>1487</v>
      </c>
      <c r="AA803" s="193" t="s">
        <v>1487</v>
      </c>
      <c r="AB803" s="193" t="s">
        <v>1487</v>
      </c>
      <c r="AC803" s="193" t="s">
        <v>1487</v>
      </c>
      <c r="AD803" s="193" t="s">
        <v>1487</v>
      </c>
      <c r="AE803" s="193" t="s">
        <v>1487</v>
      </c>
      <c r="AF803" s="193" t="s">
        <v>1487</v>
      </c>
      <c r="AG803" s="193" t="s">
        <v>1487</v>
      </c>
      <c r="AH803" s="193" t="s">
        <v>1487</v>
      </c>
      <c r="AI803" s="193" t="s">
        <v>1487</v>
      </c>
      <c r="AJ803" s="193" t="s">
        <v>1487</v>
      </c>
      <c r="AK803" s="193" t="s">
        <v>1487</v>
      </c>
      <c r="AL803" s="193" t="s">
        <v>1487</v>
      </c>
      <c r="AM803" s="193" t="s">
        <v>1487</v>
      </c>
      <c r="AN803" s="193" t="s">
        <v>1487</v>
      </c>
      <c r="AO803" s="193" t="s">
        <v>1487</v>
      </c>
      <c r="AP803" s="193" t="s">
        <v>1487</v>
      </c>
      <c r="AQ803" s="193" t="s">
        <v>1487</v>
      </c>
      <c r="AR803" s="193" t="s">
        <v>1487</v>
      </c>
      <c r="AS803" s="193" t="s">
        <v>1487</v>
      </c>
      <c r="AT803" s="193" t="s">
        <v>1487</v>
      </c>
      <c r="AU803" s="193" t="s">
        <v>1487</v>
      </c>
      <c r="AV803" s="193" t="s">
        <v>1487</v>
      </c>
      <c r="AW803" s="193" t="s">
        <v>1487</v>
      </c>
      <c r="AX803" s="193" t="s">
        <v>1487</v>
      </c>
      <c r="AY803" s="193" t="s">
        <v>1487</v>
      </c>
      <c r="AZ803" s="193" t="s">
        <v>1487</v>
      </c>
      <c r="BA803" s="193" t="s">
        <v>1487</v>
      </c>
      <c r="BB803" s="193" t="s">
        <v>1487</v>
      </c>
      <c r="BC803" s="193" t="s">
        <v>1487</v>
      </c>
      <c r="BD803" s="193" t="s">
        <v>1487</v>
      </c>
      <c r="BE803" s="193" t="s">
        <v>1487</v>
      </c>
      <c r="BF803" s="193" t="s">
        <v>1487</v>
      </c>
      <c r="BG803" s="193" t="s">
        <v>1487</v>
      </c>
      <c r="BH803" s="193" t="s">
        <v>1487</v>
      </c>
      <c r="BI803" s="193" t="s">
        <v>1487</v>
      </c>
      <c r="BJ803" s="193" t="s">
        <v>1487</v>
      </c>
      <c r="BK803" s="193" t="s">
        <v>1487</v>
      </c>
      <c r="BL803" s="193" t="s">
        <v>1487</v>
      </c>
      <c r="BM803" s="193" t="s">
        <v>1487</v>
      </c>
      <c r="BN803" s="193" t="s">
        <v>1487</v>
      </c>
      <c r="BO803" s="193" t="s">
        <v>1487</v>
      </c>
      <c r="BP803" s="193" t="s">
        <v>1487</v>
      </c>
      <c r="BQ803" s="193" t="s">
        <v>1487</v>
      </c>
      <c r="BR803" s="193" t="s">
        <v>1487</v>
      </c>
      <c r="BS803" s="193" t="s">
        <v>1487</v>
      </c>
      <c r="BT803" s="193" t="s">
        <v>1487</v>
      </c>
      <c r="BU803" s="193" t="s">
        <v>1487</v>
      </c>
      <c r="BV803" s="193" t="s">
        <v>1487</v>
      </c>
      <c r="BW803" s="193" t="s">
        <v>1487</v>
      </c>
      <c r="BX803" s="193" t="s">
        <v>1487</v>
      </c>
      <c r="BY803" s="193" t="s">
        <v>1487</v>
      </c>
      <c r="BZ803" s="193" t="s">
        <v>1487</v>
      </c>
      <c r="CA803" s="193" t="s">
        <v>1487</v>
      </c>
      <c r="CB803" s="193" t="s">
        <v>1487</v>
      </c>
      <c r="CC803" s="193" t="s">
        <v>1487</v>
      </c>
      <c r="CD803" s="193" t="s">
        <v>1487</v>
      </c>
      <c r="CE803" s="193" t="s">
        <v>1487</v>
      </c>
      <c r="CF803" s="193" t="s">
        <v>1487</v>
      </c>
      <c r="CG803" s="193" t="s">
        <v>1487</v>
      </c>
      <c r="CH803" s="193" t="s">
        <v>1487</v>
      </c>
      <c r="CI803" s="193" t="s">
        <v>1487</v>
      </c>
      <c r="CJ803" s="193" t="s">
        <v>1487</v>
      </c>
      <c r="CK803" s="193" t="s">
        <v>1487</v>
      </c>
      <c r="CL803" s="193" t="s">
        <v>1487</v>
      </c>
      <c r="CM803" s="193" t="s">
        <v>1487</v>
      </c>
      <c r="CN803" s="193" t="s">
        <v>1487</v>
      </c>
      <c r="CO803" s="193" t="s">
        <v>1487</v>
      </c>
      <c r="CP803" s="193" t="s">
        <v>1487</v>
      </c>
      <c r="CQ803" s="193" t="s">
        <v>1487</v>
      </c>
      <c r="CR803" s="193" t="s">
        <v>1487</v>
      </c>
      <c r="CS803" s="193" t="s">
        <v>1487</v>
      </c>
      <c r="CT803" s="193" t="s">
        <v>1487</v>
      </c>
      <c r="CU803" s="193" t="s">
        <v>1487</v>
      </c>
      <c r="CV803" s="193" t="s">
        <v>1487</v>
      </c>
      <c r="CW803" s="193" t="s">
        <v>1487</v>
      </c>
      <c r="CX803" s="193" t="s">
        <v>1487</v>
      </c>
      <c r="CY803" s="193" t="s">
        <v>1487</v>
      </c>
      <c r="CZ803" s="193" t="s">
        <v>1487</v>
      </c>
      <c r="DA803" s="193" t="s">
        <v>1487</v>
      </c>
      <c r="DB803" s="193" t="s">
        <v>1487</v>
      </c>
      <c r="DC803" s="193" t="s">
        <v>1487</v>
      </c>
      <c r="DD803" s="193" t="s">
        <v>1487</v>
      </c>
      <c r="DE803" s="193" t="s">
        <v>1487</v>
      </c>
      <c r="DF803" s="193" t="s">
        <v>1487</v>
      </c>
      <c r="DG803" s="193" t="s">
        <v>1487</v>
      </c>
      <c r="DH803" s="193" t="s">
        <v>1487</v>
      </c>
      <c r="DI803" s="193" t="s">
        <v>1487</v>
      </c>
      <c r="DJ803" s="193" t="s">
        <v>1487</v>
      </c>
      <c r="DK803" s="193" t="s">
        <v>1487</v>
      </c>
      <c r="DL803" s="193" t="s">
        <v>1487</v>
      </c>
      <c r="DM803" s="193" t="s">
        <v>1487</v>
      </c>
      <c r="DN803" s="193" t="s">
        <v>1487</v>
      </c>
      <c r="DO803" s="193" t="s">
        <v>1487</v>
      </c>
      <c r="DP803" s="193" t="s">
        <v>1487</v>
      </c>
      <c r="DQ803" s="193" t="s">
        <v>1487</v>
      </c>
      <c r="DR803" s="193" t="s">
        <v>1487</v>
      </c>
      <c r="DS803" s="193" t="s">
        <v>1487</v>
      </c>
      <c r="DT803" s="193" t="s">
        <v>1487</v>
      </c>
      <c r="DU803" s="193" t="s">
        <v>1487</v>
      </c>
      <c r="DV803" s="193" t="s">
        <v>1487</v>
      </c>
      <c r="DW803" s="193" t="s">
        <v>1487</v>
      </c>
      <c r="DX803" s="193" t="s">
        <v>1487</v>
      </c>
      <c r="DY803" s="193" t="s">
        <v>1487</v>
      </c>
      <c r="DZ803" s="193" t="s">
        <v>1487</v>
      </c>
      <c r="EA803" s="193" t="s">
        <v>1487</v>
      </c>
      <c r="EB803" s="193" t="s">
        <v>1487</v>
      </c>
      <c r="EC803" s="193" t="s">
        <v>1487</v>
      </c>
      <c r="ED803" s="193" t="s">
        <v>1487</v>
      </c>
      <c r="EE803" s="193" t="s">
        <v>1487</v>
      </c>
      <c r="EF803" s="193" t="s">
        <v>1487</v>
      </c>
      <c r="EG803" s="193" t="s">
        <v>1487</v>
      </c>
      <c r="EH803" s="193" t="s">
        <v>1487</v>
      </c>
      <c r="EI803" s="193" t="s">
        <v>1487</v>
      </c>
      <c r="EJ803" s="193" t="s">
        <v>1487</v>
      </c>
      <c r="EK803" s="193" t="s">
        <v>1487</v>
      </c>
      <c r="EL803" s="193" t="s">
        <v>1487</v>
      </c>
      <c r="EM803" s="193" t="s">
        <v>1487</v>
      </c>
      <c r="EN803" s="193" t="s">
        <v>1487</v>
      </c>
      <c r="EO803" s="193" t="s">
        <v>1487</v>
      </c>
      <c r="EP803" s="193" t="s">
        <v>1487</v>
      </c>
      <c r="EQ803" s="193" t="s">
        <v>1487</v>
      </c>
      <c r="ER803" s="193" t="s">
        <v>1487</v>
      </c>
      <c r="ES803" s="193" t="s">
        <v>1487</v>
      </c>
      <c r="ET803" s="193" t="s">
        <v>1487</v>
      </c>
      <c r="EU803" s="193" t="s">
        <v>1487</v>
      </c>
      <c r="EV803" s="193" t="s">
        <v>1487</v>
      </c>
      <c r="EW803" s="193" t="s">
        <v>1487</v>
      </c>
      <c r="EX803" s="193" t="s">
        <v>1487</v>
      </c>
      <c r="EY803" s="193" t="s">
        <v>1487</v>
      </c>
      <c r="EZ803" s="193" t="s">
        <v>1487</v>
      </c>
      <c r="FA803" s="193" t="s">
        <v>1487</v>
      </c>
      <c r="FB803" s="193" t="s">
        <v>1487</v>
      </c>
      <c r="FC803" s="193" t="s">
        <v>1487</v>
      </c>
      <c r="FD803" s="193" t="s">
        <v>1487</v>
      </c>
      <c r="FE803" s="193" t="s">
        <v>1487</v>
      </c>
      <c r="FF803" s="193" t="s">
        <v>1487</v>
      </c>
      <c r="FG803" s="193" t="s">
        <v>1487</v>
      </c>
      <c r="FH803" s="193" t="s">
        <v>1487</v>
      </c>
      <c r="FI803" s="193" t="s">
        <v>1487</v>
      </c>
      <c r="FJ803" s="193" t="s">
        <v>1487</v>
      </c>
      <c r="FK803" s="193" t="s">
        <v>1487</v>
      </c>
      <c r="FL803" s="193" t="s">
        <v>1487</v>
      </c>
      <c r="FM803" s="193" t="s">
        <v>1487</v>
      </c>
      <c r="FN803" s="193" t="s">
        <v>1487</v>
      </c>
      <c r="FO803" s="193" t="s">
        <v>1487</v>
      </c>
      <c r="FP803" s="193" t="s">
        <v>1487</v>
      </c>
      <c r="FQ803" s="193" t="s">
        <v>1487</v>
      </c>
      <c r="FR803" s="193" t="s">
        <v>1487</v>
      </c>
      <c r="FS803" s="193" t="s">
        <v>1487</v>
      </c>
      <c r="FT803" s="193" t="s">
        <v>1487</v>
      </c>
      <c r="FU803" s="193" t="s">
        <v>1487</v>
      </c>
      <c r="FV803" s="193" t="s">
        <v>1487</v>
      </c>
      <c r="FW803" s="193" t="s">
        <v>1487</v>
      </c>
      <c r="FX803" s="193" t="s">
        <v>1487</v>
      </c>
      <c r="FY803" s="193" t="s">
        <v>1487</v>
      </c>
      <c r="FZ803" s="193" t="s">
        <v>1487</v>
      </c>
      <c r="GA803" s="193" t="s">
        <v>1487</v>
      </c>
      <c r="GB803" s="193" t="s">
        <v>1487</v>
      </c>
      <c r="GC803" s="193" t="s">
        <v>1487</v>
      </c>
      <c r="GD803" s="193" t="s">
        <v>1487</v>
      </c>
      <c r="GE803" s="193" t="s">
        <v>1487</v>
      </c>
      <c r="GF803" s="193" t="s">
        <v>1487</v>
      </c>
      <c r="GG803" s="193" t="s">
        <v>1487</v>
      </c>
      <c r="GH803" s="193" t="s">
        <v>1487</v>
      </c>
      <c r="GI803" s="193" t="s">
        <v>1487</v>
      </c>
      <c r="GJ803" s="193" t="s">
        <v>1487</v>
      </c>
      <c r="GK803" s="193" t="s">
        <v>1487</v>
      </c>
      <c r="GL803" s="193" t="s">
        <v>1487</v>
      </c>
      <c r="GM803" s="193" t="s">
        <v>1487</v>
      </c>
      <c r="GN803" s="193" t="s">
        <v>1487</v>
      </c>
      <c r="GO803" s="193" t="s">
        <v>1487</v>
      </c>
      <c r="GP803" s="193" t="s">
        <v>1487</v>
      </c>
      <c r="GQ803" s="193" t="s">
        <v>1487</v>
      </c>
      <c r="GR803" s="193" t="s">
        <v>1487</v>
      </c>
      <c r="GS803" s="193" t="s">
        <v>1487</v>
      </c>
      <c r="GT803" s="193" t="s">
        <v>1487</v>
      </c>
      <c r="GU803" s="193" t="s">
        <v>1487</v>
      </c>
      <c r="GV803" s="193" t="s">
        <v>1487</v>
      </c>
      <c r="GW803" s="193" t="s">
        <v>1487</v>
      </c>
      <c r="GX803" s="193" t="s">
        <v>1487</v>
      </c>
      <c r="GY803" s="193" t="s">
        <v>1487</v>
      </c>
      <c r="GZ803" s="193" t="s">
        <v>1487</v>
      </c>
      <c r="HA803" s="193" t="s">
        <v>1487</v>
      </c>
      <c r="HB803" s="193" t="s">
        <v>1487</v>
      </c>
      <c r="HC803" s="193" t="s">
        <v>1487</v>
      </c>
      <c r="HD803" s="193" t="s">
        <v>1487</v>
      </c>
      <c r="HE803" s="193" t="s">
        <v>1487</v>
      </c>
      <c r="HF803" s="193" t="s">
        <v>1487</v>
      </c>
      <c r="HG803" s="193" t="s">
        <v>1487</v>
      </c>
      <c r="HH803" s="193" t="s">
        <v>1487</v>
      </c>
      <c r="HI803" s="193" t="s">
        <v>1487</v>
      </c>
      <c r="HJ803" s="193" t="s">
        <v>1487</v>
      </c>
      <c r="HK803" s="193" t="s">
        <v>1487</v>
      </c>
      <c r="HL803" s="193" t="s">
        <v>1487</v>
      </c>
      <c r="HM803" s="193" t="s">
        <v>1487</v>
      </c>
      <c r="HN803" s="193" t="s">
        <v>1487</v>
      </c>
      <c r="HO803" s="193" t="s">
        <v>1487</v>
      </c>
      <c r="HP803" s="193" t="s">
        <v>1487</v>
      </c>
      <c r="HQ803" s="193" t="s">
        <v>1487</v>
      </c>
      <c r="HR803" s="193" t="s">
        <v>1487</v>
      </c>
      <c r="HS803" s="193" t="s">
        <v>1487</v>
      </c>
      <c r="HT803" s="193" t="s">
        <v>1487</v>
      </c>
      <c r="HU803" s="193" t="s">
        <v>1487</v>
      </c>
      <c r="HV803" s="193" t="s">
        <v>1487</v>
      </c>
      <c r="HW803" s="193" t="s">
        <v>1487</v>
      </c>
      <c r="HX803" s="193" t="s">
        <v>1487</v>
      </c>
      <c r="HY803" s="193" t="s">
        <v>1487</v>
      </c>
      <c r="HZ803" s="193" t="s">
        <v>1487</v>
      </c>
      <c r="IA803" s="193" t="s">
        <v>1487</v>
      </c>
      <c r="IB803" s="193" t="s">
        <v>1487</v>
      </c>
      <c r="IC803" s="193" t="s">
        <v>1487</v>
      </c>
      <c r="ID803" s="193" t="s">
        <v>1487</v>
      </c>
      <c r="IE803" s="193" t="s">
        <v>1487</v>
      </c>
      <c r="IF803" s="193" t="s">
        <v>1487</v>
      </c>
      <c r="IG803" s="193" t="s">
        <v>1487</v>
      </c>
      <c r="IH803" s="193" t="s">
        <v>1487</v>
      </c>
      <c r="II803" s="193" t="s">
        <v>1487</v>
      </c>
      <c r="IJ803" s="193" t="s">
        <v>1487</v>
      </c>
      <c r="IK803" s="193" t="s">
        <v>1487</v>
      </c>
      <c r="IL803" s="193" t="s">
        <v>1487</v>
      </c>
      <c r="IM803" s="193" t="s">
        <v>1487</v>
      </c>
      <c r="IN803" s="193" t="s">
        <v>1487</v>
      </c>
      <c r="IO803" s="193" t="s">
        <v>1487</v>
      </c>
      <c r="IP803" s="193" t="s">
        <v>1487</v>
      </c>
      <c r="IQ803" s="193" t="s">
        <v>1487</v>
      </c>
      <c r="IR803" s="193" t="s">
        <v>1487</v>
      </c>
      <c r="IS803" s="193" t="s">
        <v>1487</v>
      </c>
      <c r="IT803" s="193" t="s">
        <v>1487</v>
      </c>
      <c r="IU803" s="193" t="s">
        <v>1487</v>
      </c>
      <c r="IV803" s="193" t="s">
        <v>1487</v>
      </c>
      <c r="IW803" s="193" t="s">
        <v>1487</v>
      </c>
      <c r="IX803" s="193" t="s">
        <v>1487</v>
      </c>
      <c r="IY803" s="193" t="s">
        <v>1487</v>
      </c>
      <c r="IZ803" s="193" t="s">
        <v>1487</v>
      </c>
      <c r="JA803" s="193" t="s">
        <v>1487</v>
      </c>
      <c r="JB803" s="193" t="s">
        <v>1487</v>
      </c>
      <c r="JC803" s="193" t="s">
        <v>1487</v>
      </c>
      <c r="JD803" s="193" t="s">
        <v>1487</v>
      </c>
      <c r="JE803" s="193" t="s">
        <v>1487</v>
      </c>
      <c r="JF803" s="193" t="s">
        <v>1487</v>
      </c>
      <c r="JG803" s="193" t="s">
        <v>1487</v>
      </c>
      <c r="JH803" s="193" t="s">
        <v>1487</v>
      </c>
      <c r="JI803" s="193" t="s">
        <v>1487</v>
      </c>
      <c r="JJ803" s="193" t="s">
        <v>1487</v>
      </c>
      <c r="JK803" s="193" t="s">
        <v>1487</v>
      </c>
      <c r="JL803" s="193" t="s">
        <v>1487</v>
      </c>
      <c r="JM803" s="193" t="s">
        <v>1487</v>
      </c>
      <c r="JN803" s="193" t="s">
        <v>1487</v>
      </c>
      <c r="JO803" s="193" t="s">
        <v>1487</v>
      </c>
      <c r="JP803" s="193" t="s">
        <v>1487</v>
      </c>
      <c r="JQ803" s="193" t="s">
        <v>1487</v>
      </c>
      <c r="JR803" s="193" t="s">
        <v>1487</v>
      </c>
      <c r="JS803" s="193" t="s">
        <v>1487</v>
      </c>
      <c r="JT803" s="193" t="s">
        <v>1487</v>
      </c>
      <c r="JU803" s="193" t="s">
        <v>1487</v>
      </c>
      <c r="JV803" s="193" t="s">
        <v>1487</v>
      </c>
      <c r="JW803" s="193" t="s">
        <v>1487</v>
      </c>
      <c r="JX803" s="193" t="s">
        <v>1487</v>
      </c>
      <c r="JY803" s="193" t="s">
        <v>1487</v>
      </c>
      <c r="JZ803" s="193" t="s">
        <v>1487</v>
      </c>
      <c r="KA803" s="193" t="s">
        <v>1487</v>
      </c>
      <c r="KB803" s="193" t="s">
        <v>1487</v>
      </c>
      <c r="KC803" s="193" t="s">
        <v>1487</v>
      </c>
      <c r="KD803" s="193" t="s">
        <v>1487</v>
      </c>
      <c r="KE803" s="193" t="s">
        <v>1487</v>
      </c>
      <c r="KF803" s="193" t="s">
        <v>1487</v>
      </c>
      <c r="KG803" s="193" t="s">
        <v>1487</v>
      </c>
      <c r="KH803" s="193" t="s">
        <v>1487</v>
      </c>
      <c r="KI803" s="193" t="s">
        <v>1487</v>
      </c>
      <c r="KJ803" s="193" t="s">
        <v>1487</v>
      </c>
      <c r="KK803" s="193" t="s">
        <v>1487</v>
      </c>
      <c r="KL803" s="193" t="s">
        <v>1487</v>
      </c>
      <c r="KM803" s="193" t="s">
        <v>1487</v>
      </c>
      <c r="KN803" s="193" t="s">
        <v>1487</v>
      </c>
      <c r="KO803" s="193" t="s">
        <v>1487</v>
      </c>
      <c r="KP803" s="193" t="s">
        <v>1487</v>
      </c>
      <c r="KQ803" s="193" t="s">
        <v>1487</v>
      </c>
      <c r="KR803" s="193" t="s">
        <v>1487</v>
      </c>
      <c r="KS803" s="193" t="s">
        <v>1487</v>
      </c>
      <c r="KT803" s="193" t="s">
        <v>1487</v>
      </c>
      <c r="KU803" s="193" t="s">
        <v>1487</v>
      </c>
      <c r="KV803" s="193" t="s">
        <v>1487</v>
      </c>
      <c r="KW803" s="193" t="s">
        <v>1487</v>
      </c>
      <c r="KX803" s="193" t="s">
        <v>1487</v>
      </c>
      <c r="KY803" s="193" t="s">
        <v>1487</v>
      </c>
      <c r="KZ803" s="193" t="s">
        <v>1487</v>
      </c>
      <c r="LA803" s="193" t="s">
        <v>1487</v>
      </c>
      <c r="LB803" s="193" t="s">
        <v>1487</v>
      </c>
      <c r="LC803" s="193" t="s">
        <v>1487</v>
      </c>
      <c r="LD803" s="193" t="s">
        <v>1487</v>
      </c>
      <c r="LE803" s="193" t="s">
        <v>1487</v>
      </c>
      <c r="LF803" s="193" t="s">
        <v>1487</v>
      </c>
      <c r="LG803" s="193" t="s">
        <v>1487</v>
      </c>
      <c r="LH803" s="193" t="s">
        <v>1487</v>
      </c>
      <c r="LI803" s="193" t="s">
        <v>1487</v>
      </c>
      <c r="LJ803" s="193" t="s">
        <v>1487</v>
      </c>
      <c r="LK803" s="193" t="s">
        <v>1487</v>
      </c>
      <c r="LL803" s="193" t="s">
        <v>1487</v>
      </c>
      <c r="LM803" s="193" t="s">
        <v>1487</v>
      </c>
      <c r="LN803" s="193" t="s">
        <v>1487</v>
      </c>
      <c r="LO803" s="193" t="s">
        <v>1487</v>
      </c>
      <c r="LP803" s="193" t="s">
        <v>1487</v>
      </c>
      <c r="LQ803" s="193" t="s">
        <v>1487</v>
      </c>
      <c r="LR803" s="193" t="s">
        <v>1487</v>
      </c>
      <c r="LS803" s="193" t="s">
        <v>1487</v>
      </c>
      <c r="LT803" s="193" t="s">
        <v>1487</v>
      </c>
      <c r="LU803" s="193" t="s">
        <v>1487</v>
      </c>
      <c r="LV803" s="193" t="s">
        <v>1487</v>
      </c>
      <c r="LW803" s="193" t="s">
        <v>1487</v>
      </c>
      <c r="LX803" s="193" t="s">
        <v>1487</v>
      </c>
      <c r="LY803" s="193" t="s">
        <v>1487</v>
      </c>
      <c r="LZ803" s="193" t="s">
        <v>1487</v>
      </c>
      <c r="MA803" s="193" t="s">
        <v>1487</v>
      </c>
      <c r="MB803" s="193" t="s">
        <v>1487</v>
      </c>
      <c r="MC803" s="193" t="s">
        <v>1487</v>
      </c>
      <c r="MD803" s="193" t="s">
        <v>1487</v>
      </c>
      <c r="ME803" s="193" t="s">
        <v>1487</v>
      </c>
      <c r="MF803" s="193" t="s">
        <v>1487</v>
      </c>
      <c r="MG803" s="193" t="s">
        <v>1487</v>
      </c>
      <c r="MH803" s="193" t="s">
        <v>1487</v>
      </c>
      <c r="MI803" s="193" t="s">
        <v>1487</v>
      </c>
      <c r="MJ803" s="193" t="s">
        <v>1487</v>
      </c>
      <c r="MK803" s="193" t="s">
        <v>1487</v>
      </c>
      <c r="ML803" s="193" t="s">
        <v>1487</v>
      </c>
      <c r="MM803" s="193" t="s">
        <v>1487</v>
      </c>
      <c r="MN803" s="193" t="s">
        <v>1487</v>
      </c>
      <c r="MO803" s="193" t="s">
        <v>1487</v>
      </c>
      <c r="MP803" s="193" t="s">
        <v>1487</v>
      </c>
      <c r="MQ803" s="193" t="s">
        <v>1487</v>
      </c>
      <c r="MR803" s="193" t="s">
        <v>1487</v>
      </c>
      <c r="MS803" s="193" t="s">
        <v>1487</v>
      </c>
      <c r="MT803" s="193" t="s">
        <v>1487</v>
      </c>
      <c r="MU803" s="193" t="s">
        <v>1487</v>
      </c>
      <c r="MV803" s="193" t="s">
        <v>1487</v>
      </c>
      <c r="MW803" s="193" t="s">
        <v>1487</v>
      </c>
      <c r="MX803" s="193" t="s">
        <v>1487</v>
      </c>
      <c r="MY803" s="193" t="s">
        <v>1487</v>
      </c>
      <c r="MZ803" s="193" t="s">
        <v>1487</v>
      </c>
      <c r="NA803" s="193" t="s">
        <v>1487</v>
      </c>
      <c r="NB803" s="193" t="s">
        <v>1487</v>
      </c>
      <c r="NC803" s="193" t="s">
        <v>1487</v>
      </c>
      <c r="ND803" s="193" t="s">
        <v>1487</v>
      </c>
      <c r="NE803" s="193" t="s">
        <v>1487</v>
      </c>
      <c r="NF803" s="193" t="s">
        <v>1487</v>
      </c>
      <c r="NG803" s="193" t="s">
        <v>1487</v>
      </c>
      <c r="NH803" s="193" t="s">
        <v>1487</v>
      </c>
      <c r="NI803" s="193" t="s">
        <v>1487</v>
      </c>
      <c r="NJ803" s="193" t="s">
        <v>1487</v>
      </c>
      <c r="NK803" s="193" t="s">
        <v>1487</v>
      </c>
      <c r="NL803" s="193" t="s">
        <v>1487</v>
      </c>
      <c r="NM803" s="193" t="s">
        <v>1487</v>
      </c>
      <c r="NN803" s="193" t="s">
        <v>1487</v>
      </c>
      <c r="NO803" s="193" t="s">
        <v>1487</v>
      </c>
      <c r="NP803" s="193" t="s">
        <v>1487</v>
      </c>
      <c r="NQ803" s="193" t="s">
        <v>1487</v>
      </c>
      <c r="NR803" s="193" t="s">
        <v>1487</v>
      </c>
      <c r="NS803" s="193" t="s">
        <v>1487</v>
      </c>
      <c r="NT803" s="193" t="s">
        <v>1487</v>
      </c>
      <c r="NU803" s="193" t="s">
        <v>1487</v>
      </c>
      <c r="NV803" s="193" t="s">
        <v>1487</v>
      </c>
      <c r="NW803" s="193" t="s">
        <v>1487</v>
      </c>
      <c r="NX803" s="193" t="s">
        <v>1487</v>
      </c>
      <c r="NY803" s="193" t="s">
        <v>1487</v>
      </c>
      <c r="NZ803" s="193" t="s">
        <v>1487</v>
      </c>
      <c r="OA803" s="193" t="s">
        <v>1487</v>
      </c>
      <c r="OB803" s="193" t="s">
        <v>1487</v>
      </c>
      <c r="OC803" s="193" t="s">
        <v>1487</v>
      </c>
      <c r="OD803" s="193" t="s">
        <v>1487</v>
      </c>
      <c r="OE803" s="193" t="s">
        <v>1487</v>
      </c>
      <c r="OF803" s="193" t="s">
        <v>1487</v>
      </c>
      <c r="OG803" s="193" t="s">
        <v>1487</v>
      </c>
      <c r="OH803" s="193" t="s">
        <v>1487</v>
      </c>
      <c r="OI803" s="193" t="s">
        <v>1487</v>
      </c>
      <c r="OJ803" s="193" t="s">
        <v>1487</v>
      </c>
      <c r="OK803" s="193" t="s">
        <v>1487</v>
      </c>
      <c r="OL803" s="193" t="s">
        <v>1487</v>
      </c>
      <c r="OM803" s="193" t="s">
        <v>1487</v>
      </c>
      <c r="ON803" s="193" t="s">
        <v>1487</v>
      </c>
      <c r="OO803" s="193" t="s">
        <v>1487</v>
      </c>
      <c r="OP803" s="193" t="s">
        <v>1487</v>
      </c>
      <c r="OQ803" s="193" t="s">
        <v>1487</v>
      </c>
      <c r="OR803" s="193" t="s">
        <v>1487</v>
      </c>
      <c r="OS803" s="193" t="s">
        <v>1487</v>
      </c>
      <c r="OT803" s="193" t="s">
        <v>1487</v>
      </c>
      <c r="OU803" s="193" t="s">
        <v>1487</v>
      </c>
      <c r="OV803" s="193" t="s">
        <v>1487</v>
      </c>
      <c r="OW803" s="193" t="s">
        <v>1487</v>
      </c>
      <c r="OX803" s="193" t="s">
        <v>1487</v>
      </c>
      <c r="OY803" s="193" t="s">
        <v>1487</v>
      </c>
      <c r="OZ803" s="193" t="s">
        <v>1487</v>
      </c>
      <c r="PA803" s="193" t="s">
        <v>1487</v>
      </c>
      <c r="PB803" s="193" t="s">
        <v>1487</v>
      </c>
      <c r="PC803" s="193" t="s">
        <v>1487</v>
      </c>
      <c r="PD803" s="193" t="s">
        <v>1487</v>
      </c>
      <c r="PE803" s="193" t="s">
        <v>1487</v>
      </c>
      <c r="PF803" s="193" t="s">
        <v>1487</v>
      </c>
      <c r="PG803" s="193" t="s">
        <v>1487</v>
      </c>
      <c r="PH803" s="193" t="s">
        <v>1487</v>
      </c>
      <c r="PI803" s="193" t="s">
        <v>1487</v>
      </c>
      <c r="PJ803" s="193" t="s">
        <v>1487</v>
      </c>
      <c r="PK803" s="193" t="s">
        <v>1487</v>
      </c>
      <c r="PL803" s="193" t="s">
        <v>1487</v>
      </c>
      <c r="PM803" s="193" t="s">
        <v>1487</v>
      </c>
      <c r="PN803" s="193" t="s">
        <v>1487</v>
      </c>
      <c r="PO803" s="193" t="s">
        <v>1487</v>
      </c>
      <c r="PP803" s="193" t="s">
        <v>1487</v>
      </c>
      <c r="PQ803" s="193" t="s">
        <v>1487</v>
      </c>
      <c r="PR803" s="193" t="s">
        <v>1487</v>
      </c>
      <c r="PS803" s="193" t="s">
        <v>1487</v>
      </c>
      <c r="PT803" s="193" t="s">
        <v>1487</v>
      </c>
      <c r="PU803" s="193" t="s">
        <v>1487</v>
      </c>
      <c r="PV803" s="193" t="s">
        <v>1487</v>
      </c>
      <c r="PW803" s="193" t="s">
        <v>1487</v>
      </c>
      <c r="PX803" s="193" t="s">
        <v>1487</v>
      </c>
      <c r="PY803" s="193" t="s">
        <v>1487</v>
      </c>
      <c r="PZ803" s="193" t="s">
        <v>1487</v>
      </c>
      <c r="QA803" s="193" t="s">
        <v>1487</v>
      </c>
      <c r="QB803" s="193" t="s">
        <v>1487</v>
      </c>
      <c r="QC803" s="193" t="s">
        <v>1487</v>
      </c>
      <c r="QD803" s="193" t="s">
        <v>1487</v>
      </c>
      <c r="QE803" s="193" t="s">
        <v>1487</v>
      </c>
      <c r="QF803" s="193" t="s">
        <v>1487</v>
      </c>
      <c r="QG803" s="193" t="s">
        <v>1487</v>
      </c>
      <c r="QH803" s="193" t="s">
        <v>1487</v>
      </c>
      <c r="QI803" s="193" t="s">
        <v>1487</v>
      </c>
      <c r="QJ803" s="193" t="s">
        <v>1487</v>
      </c>
      <c r="QK803" s="193" t="s">
        <v>1487</v>
      </c>
      <c r="QL803" s="193" t="s">
        <v>1487</v>
      </c>
      <c r="QM803" s="193" t="s">
        <v>1487</v>
      </c>
      <c r="QN803" s="193" t="s">
        <v>1487</v>
      </c>
      <c r="QO803" s="193" t="s">
        <v>1487</v>
      </c>
      <c r="QP803" s="193" t="s">
        <v>1487</v>
      </c>
      <c r="QQ803" s="193" t="s">
        <v>1487</v>
      </c>
      <c r="QR803" s="193" t="s">
        <v>1487</v>
      </c>
      <c r="QS803" s="193" t="s">
        <v>1487</v>
      </c>
      <c r="QT803" s="193" t="s">
        <v>1487</v>
      </c>
      <c r="QU803" s="193" t="s">
        <v>1487</v>
      </c>
      <c r="QV803" s="193" t="s">
        <v>1487</v>
      </c>
      <c r="QW803" s="193" t="s">
        <v>1487</v>
      </c>
      <c r="QX803" s="193" t="s">
        <v>1487</v>
      </c>
      <c r="QY803" s="193" t="s">
        <v>1487</v>
      </c>
      <c r="QZ803" s="193" t="s">
        <v>1487</v>
      </c>
      <c r="RA803" s="193" t="s">
        <v>1487</v>
      </c>
      <c r="RB803" s="193" t="s">
        <v>1487</v>
      </c>
      <c r="RC803" s="193" t="s">
        <v>1487</v>
      </c>
      <c r="RD803" s="193" t="s">
        <v>1487</v>
      </c>
      <c r="RE803" s="193" t="s">
        <v>1487</v>
      </c>
      <c r="RF803" s="193" t="s">
        <v>1487</v>
      </c>
      <c r="RG803" s="193" t="s">
        <v>1487</v>
      </c>
      <c r="RH803" s="193" t="s">
        <v>1487</v>
      </c>
      <c r="RI803" s="193" t="s">
        <v>1487</v>
      </c>
      <c r="RJ803" s="193" t="s">
        <v>1487</v>
      </c>
      <c r="RK803" s="193" t="s">
        <v>1487</v>
      </c>
      <c r="RL803" s="193" t="s">
        <v>1487</v>
      </c>
      <c r="RM803" s="193" t="s">
        <v>1487</v>
      </c>
      <c r="RN803" s="193" t="s">
        <v>1487</v>
      </c>
      <c r="RO803" s="193" t="s">
        <v>1487</v>
      </c>
      <c r="RP803" s="193" t="s">
        <v>1487</v>
      </c>
      <c r="RQ803" s="193" t="s">
        <v>1487</v>
      </c>
      <c r="RR803" s="193" t="s">
        <v>1487</v>
      </c>
      <c r="RS803" s="193" t="s">
        <v>1487</v>
      </c>
      <c r="RT803" s="193" t="s">
        <v>1487</v>
      </c>
      <c r="RU803" s="193" t="s">
        <v>1487</v>
      </c>
      <c r="RV803" s="193" t="s">
        <v>1487</v>
      </c>
      <c r="RW803" s="193" t="s">
        <v>1487</v>
      </c>
      <c r="RX803" s="193" t="s">
        <v>1487</v>
      </c>
      <c r="RY803" s="193" t="s">
        <v>1487</v>
      </c>
      <c r="RZ803" s="193" t="s">
        <v>1487</v>
      </c>
      <c r="SA803" s="193" t="s">
        <v>1487</v>
      </c>
      <c r="SB803" s="193" t="s">
        <v>1487</v>
      </c>
      <c r="SC803" s="193" t="s">
        <v>1487</v>
      </c>
      <c r="SD803" s="193" t="s">
        <v>1487</v>
      </c>
      <c r="SE803" s="193" t="s">
        <v>1487</v>
      </c>
      <c r="SF803" s="193" t="s">
        <v>1487</v>
      </c>
      <c r="SG803" s="193" t="s">
        <v>1487</v>
      </c>
      <c r="SH803" s="193" t="s">
        <v>1487</v>
      </c>
      <c r="SI803" s="193" t="s">
        <v>1487</v>
      </c>
      <c r="SJ803" s="193" t="s">
        <v>1487</v>
      </c>
      <c r="SK803" s="193" t="s">
        <v>1487</v>
      </c>
      <c r="SL803" s="193" t="s">
        <v>1487</v>
      </c>
      <c r="SM803" s="193" t="s">
        <v>1487</v>
      </c>
      <c r="SN803" s="193" t="s">
        <v>1487</v>
      </c>
      <c r="SO803" s="193" t="s">
        <v>1487</v>
      </c>
      <c r="SP803" s="193" t="s">
        <v>1487</v>
      </c>
      <c r="SQ803" s="193" t="s">
        <v>1487</v>
      </c>
      <c r="SR803" s="193" t="s">
        <v>1487</v>
      </c>
      <c r="SS803" s="193" t="s">
        <v>1487</v>
      </c>
      <c r="ST803" s="193" t="s">
        <v>1487</v>
      </c>
      <c r="SU803" s="193" t="s">
        <v>1487</v>
      </c>
      <c r="SV803" s="193" t="s">
        <v>1487</v>
      </c>
      <c r="SW803" s="193" t="s">
        <v>1487</v>
      </c>
      <c r="SX803" s="193" t="s">
        <v>1487</v>
      </c>
      <c r="SY803" s="193" t="s">
        <v>1487</v>
      </c>
      <c r="SZ803" s="193" t="s">
        <v>1487</v>
      </c>
      <c r="TA803" s="193" t="s">
        <v>1487</v>
      </c>
      <c r="TB803" s="193" t="s">
        <v>1487</v>
      </c>
      <c r="TC803" s="193" t="s">
        <v>1487</v>
      </c>
      <c r="TD803" s="193" t="s">
        <v>1487</v>
      </c>
      <c r="TE803" s="193" t="s">
        <v>1487</v>
      </c>
      <c r="TF803" s="193" t="s">
        <v>1487</v>
      </c>
      <c r="TG803" s="193" t="s">
        <v>1487</v>
      </c>
      <c r="TH803" s="193" t="s">
        <v>1487</v>
      </c>
      <c r="TI803" s="193" t="s">
        <v>1487</v>
      </c>
      <c r="TJ803" s="193" t="s">
        <v>1487</v>
      </c>
      <c r="TK803" s="193" t="s">
        <v>1487</v>
      </c>
      <c r="TL803" s="193" t="s">
        <v>1487</v>
      </c>
      <c r="TM803" s="193" t="s">
        <v>1487</v>
      </c>
      <c r="TN803" s="193" t="s">
        <v>1487</v>
      </c>
      <c r="TO803" s="193" t="s">
        <v>1487</v>
      </c>
      <c r="TP803" s="193" t="s">
        <v>1487</v>
      </c>
      <c r="TQ803" s="193" t="s">
        <v>1487</v>
      </c>
      <c r="TR803" s="193" t="s">
        <v>1487</v>
      </c>
      <c r="TS803" s="193" t="s">
        <v>1487</v>
      </c>
      <c r="TT803" s="193" t="s">
        <v>1487</v>
      </c>
      <c r="TU803" s="193" t="s">
        <v>1487</v>
      </c>
      <c r="TV803" s="193" t="s">
        <v>1487</v>
      </c>
      <c r="TW803" s="193" t="s">
        <v>1487</v>
      </c>
      <c r="TX803" s="193" t="s">
        <v>1487</v>
      </c>
      <c r="TY803" s="193" t="s">
        <v>1487</v>
      </c>
      <c r="TZ803" s="193" t="s">
        <v>1487</v>
      </c>
      <c r="UA803" s="193" t="s">
        <v>1487</v>
      </c>
      <c r="UB803" s="193" t="s">
        <v>1487</v>
      </c>
      <c r="UC803" s="193" t="s">
        <v>1487</v>
      </c>
      <c r="UD803" s="193" t="s">
        <v>1487</v>
      </c>
      <c r="UE803" s="193" t="s">
        <v>1487</v>
      </c>
      <c r="UF803" s="193" t="s">
        <v>1487</v>
      </c>
      <c r="UG803" s="193" t="s">
        <v>1487</v>
      </c>
      <c r="UH803" s="193" t="s">
        <v>1487</v>
      </c>
      <c r="UI803" s="193" t="s">
        <v>1487</v>
      </c>
      <c r="UJ803" s="193" t="s">
        <v>1487</v>
      </c>
      <c r="UK803" s="193" t="s">
        <v>1487</v>
      </c>
      <c r="UL803" s="193" t="s">
        <v>1487</v>
      </c>
      <c r="UM803" s="193" t="s">
        <v>1487</v>
      </c>
      <c r="UN803" s="193" t="s">
        <v>1487</v>
      </c>
      <c r="UO803" s="193" t="s">
        <v>1487</v>
      </c>
      <c r="UP803" s="193" t="s">
        <v>1487</v>
      </c>
      <c r="UQ803" s="193" t="s">
        <v>1487</v>
      </c>
      <c r="UR803" s="193" t="s">
        <v>1487</v>
      </c>
      <c r="US803" s="193" t="s">
        <v>1487</v>
      </c>
      <c r="UT803" s="193" t="s">
        <v>1487</v>
      </c>
      <c r="UU803" s="193" t="s">
        <v>1487</v>
      </c>
      <c r="UV803" s="193" t="s">
        <v>1487</v>
      </c>
      <c r="UW803" s="193" t="s">
        <v>1487</v>
      </c>
      <c r="UX803" s="193" t="s">
        <v>1487</v>
      </c>
      <c r="UY803" s="193" t="s">
        <v>1487</v>
      </c>
      <c r="UZ803" s="193" t="s">
        <v>1487</v>
      </c>
      <c r="VA803" s="193" t="s">
        <v>1487</v>
      </c>
      <c r="VB803" s="193" t="s">
        <v>1487</v>
      </c>
      <c r="VC803" s="193" t="s">
        <v>1487</v>
      </c>
      <c r="VD803" s="193" t="s">
        <v>1487</v>
      </c>
      <c r="VE803" s="193" t="s">
        <v>1487</v>
      </c>
      <c r="VF803" s="193" t="s">
        <v>1487</v>
      </c>
      <c r="VG803" s="193" t="s">
        <v>1487</v>
      </c>
      <c r="VH803" s="193" t="s">
        <v>1487</v>
      </c>
      <c r="VI803" s="193" t="s">
        <v>1487</v>
      </c>
      <c r="VJ803" s="193" t="s">
        <v>1487</v>
      </c>
      <c r="VK803" s="193" t="s">
        <v>1487</v>
      </c>
      <c r="VL803" s="193" t="s">
        <v>1487</v>
      </c>
      <c r="VM803" s="193" t="s">
        <v>1487</v>
      </c>
      <c r="VN803" s="193" t="s">
        <v>1487</v>
      </c>
      <c r="VO803" s="193" t="s">
        <v>1487</v>
      </c>
      <c r="VP803" s="193" t="s">
        <v>1487</v>
      </c>
      <c r="VQ803" s="193" t="s">
        <v>1487</v>
      </c>
      <c r="VR803" s="193" t="s">
        <v>1487</v>
      </c>
      <c r="VS803" s="193" t="s">
        <v>1487</v>
      </c>
      <c r="VT803" s="193" t="s">
        <v>1487</v>
      </c>
      <c r="VU803" s="193" t="s">
        <v>1487</v>
      </c>
      <c r="VV803" s="193" t="s">
        <v>1487</v>
      </c>
      <c r="VW803" s="193" t="s">
        <v>1487</v>
      </c>
      <c r="VX803" s="193" t="s">
        <v>1487</v>
      </c>
      <c r="VY803" s="193" t="s">
        <v>1487</v>
      </c>
      <c r="VZ803" s="193" t="s">
        <v>1487</v>
      </c>
      <c r="WA803" s="193" t="s">
        <v>1487</v>
      </c>
      <c r="WB803" s="193" t="s">
        <v>1487</v>
      </c>
      <c r="WC803" s="193" t="s">
        <v>1487</v>
      </c>
      <c r="WD803" s="193" t="s">
        <v>1487</v>
      </c>
      <c r="WE803" s="193" t="s">
        <v>1487</v>
      </c>
      <c r="WF803" s="193" t="s">
        <v>1487</v>
      </c>
      <c r="WG803" s="193" t="s">
        <v>1487</v>
      </c>
      <c r="WH803" s="193" t="s">
        <v>1487</v>
      </c>
      <c r="WI803" s="193" t="s">
        <v>1487</v>
      </c>
      <c r="WJ803" s="193" t="s">
        <v>1487</v>
      </c>
      <c r="WK803" s="193" t="s">
        <v>1487</v>
      </c>
      <c r="WL803" s="193" t="s">
        <v>1487</v>
      </c>
      <c r="WM803" s="193" t="s">
        <v>1487</v>
      </c>
      <c r="WN803" s="193" t="s">
        <v>1487</v>
      </c>
      <c r="WO803" s="193" t="s">
        <v>1487</v>
      </c>
      <c r="WP803" s="193" t="s">
        <v>1487</v>
      </c>
      <c r="WQ803" s="193" t="s">
        <v>1487</v>
      </c>
      <c r="WR803" s="193" t="s">
        <v>1487</v>
      </c>
      <c r="WS803" s="193" t="s">
        <v>1487</v>
      </c>
      <c r="WT803" s="193" t="s">
        <v>1487</v>
      </c>
      <c r="WU803" s="193" t="s">
        <v>1487</v>
      </c>
      <c r="WV803" s="193" t="s">
        <v>1487</v>
      </c>
      <c r="WW803" s="193" t="s">
        <v>1487</v>
      </c>
      <c r="WX803" s="193" t="s">
        <v>1487</v>
      </c>
      <c r="WY803" s="193" t="s">
        <v>1487</v>
      </c>
      <c r="WZ803" s="193" t="s">
        <v>1487</v>
      </c>
      <c r="XA803" s="193" t="s">
        <v>1487</v>
      </c>
      <c r="XB803" s="193" t="s">
        <v>1487</v>
      </c>
      <c r="XC803" s="193" t="s">
        <v>1487</v>
      </c>
      <c r="XD803" s="193" t="s">
        <v>1487</v>
      </c>
      <c r="XE803" s="193" t="s">
        <v>1487</v>
      </c>
      <c r="XF803" s="193" t="s">
        <v>1487</v>
      </c>
      <c r="XG803" s="193" t="s">
        <v>1487</v>
      </c>
      <c r="XH803" s="193" t="s">
        <v>1487</v>
      </c>
      <c r="XI803" s="193" t="s">
        <v>1487</v>
      </c>
      <c r="XJ803" s="193" t="s">
        <v>1487</v>
      </c>
      <c r="XK803" s="193" t="s">
        <v>1487</v>
      </c>
      <c r="XL803" s="193" t="s">
        <v>1487</v>
      </c>
      <c r="XM803" s="193" t="s">
        <v>1487</v>
      </c>
      <c r="XN803" s="193" t="s">
        <v>1487</v>
      </c>
      <c r="XO803" s="193" t="s">
        <v>1487</v>
      </c>
      <c r="XP803" s="193" t="s">
        <v>1487</v>
      </c>
      <c r="XQ803" s="193" t="s">
        <v>1487</v>
      </c>
      <c r="XR803" s="193" t="s">
        <v>1487</v>
      </c>
      <c r="XS803" s="193" t="s">
        <v>1487</v>
      </c>
      <c r="XT803" s="193" t="s">
        <v>1487</v>
      </c>
      <c r="XU803" s="193" t="s">
        <v>1487</v>
      </c>
      <c r="XV803" s="193" t="s">
        <v>1487</v>
      </c>
      <c r="XW803" s="193" t="s">
        <v>1487</v>
      </c>
      <c r="XX803" s="193" t="s">
        <v>1487</v>
      </c>
      <c r="XY803" s="193" t="s">
        <v>1487</v>
      </c>
      <c r="XZ803" s="193" t="s">
        <v>1487</v>
      </c>
      <c r="YA803" s="193" t="s">
        <v>1487</v>
      </c>
      <c r="YB803" s="193" t="s">
        <v>1487</v>
      </c>
      <c r="YC803" s="193" t="s">
        <v>1487</v>
      </c>
      <c r="YD803" s="193" t="s">
        <v>1487</v>
      </c>
      <c r="YE803" s="193" t="s">
        <v>1487</v>
      </c>
      <c r="YF803" s="193" t="s">
        <v>1487</v>
      </c>
      <c r="YG803" s="193" t="s">
        <v>1487</v>
      </c>
      <c r="YH803" s="193" t="s">
        <v>1487</v>
      </c>
      <c r="YI803" s="193" t="s">
        <v>1487</v>
      </c>
      <c r="YJ803" s="193" t="s">
        <v>1487</v>
      </c>
      <c r="YK803" s="193" t="s">
        <v>1487</v>
      </c>
      <c r="YL803" s="193" t="s">
        <v>1487</v>
      </c>
      <c r="YM803" s="193" t="s">
        <v>1487</v>
      </c>
      <c r="YN803" s="193" t="s">
        <v>1487</v>
      </c>
      <c r="YO803" s="193" t="s">
        <v>1487</v>
      </c>
      <c r="YP803" s="193" t="s">
        <v>1487</v>
      </c>
      <c r="YQ803" s="193" t="s">
        <v>1487</v>
      </c>
      <c r="YR803" s="193" t="s">
        <v>1487</v>
      </c>
      <c r="YS803" s="193" t="s">
        <v>1487</v>
      </c>
      <c r="YT803" s="193" t="s">
        <v>1487</v>
      </c>
      <c r="YU803" s="193" t="s">
        <v>1487</v>
      </c>
      <c r="YV803" s="193" t="s">
        <v>1487</v>
      </c>
      <c r="YW803" s="193" t="s">
        <v>1487</v>
      </c>
      <c r="YX803" s="193" t="s">
        <v>1487</v>
      </c>
      <c r="YY803" s="193" t="s">
        <v>1487</v>
      </c>
      <c r="YZ803" s="193" t="s">
        <v>1487</v>
      </c>
      <c r="ZA803" s="193" t="s">
        <v>1487</v>
      </c>
      <c r="ZB803" s="193" t="s">
        <v>1487</v>
      </c>
      <c r="ZC803" s="193" t="s">
        <v>1487</v>
      </c>
      <c r="ZD803" s="193" t="s">
        <v>1487</v>
      </c>
      <c r="ZE803" s="193" t="s">
        <v>1487</v>
      </c>
      <c r="ZF803" s="193" t="s">
        <v>1487</v>
      </c>
      <c r="ZG803" s="193" t="s">
        <v>1487</v>
      </c>
      <c r="ZH803" s="193" t="s">
        <v>1487</v>
      </c>
      <c r="ZI803" s="193" t="s">
        <v>1487</v>
      </c>
      <c r="ZJ803" s="193" t="s">
        <v>1487</v>
      </c>
      <c r="ZK803" s="193" t="s">
        <v>1487</v>
      </c>
      <c r="ZL803" s="193" t="s">
        <v>1487</v>
      </c>
      <c r="ZM803" s="193" t="s">
        <v>1487</v>
      </c>
      <c r="ZN803" s="193" t="s">
        <v>1487</v>
      </c>
      <c r="ZO803" s="193" t="s">
        <v>1487</v>
      </c>
      <c r="ZP803" s="193" t="s">
        <v>1487</v>
      </c>
      <c r="ZQ803" s="193" t="s">
        <v>1487</v>
      </c>
      <c r="ZR803" s="193" t="s">
        <v>1487</v>
      </c>
      <c r="ZS803" s="193" t="s">
        <v>1487</v>
      </c>
      <c r="ZT803" s="193" t="s">
        <v>1487</v>
      </c>
      <c r="ZU803" s="193" t="s">
        <v>1487</v>
      </c>
      <c r="ZV803" s="193" t="s">
        <v>1487</v>
      </c>
      <c r="ZW803" s="193" t="s">
        <v>1487</v>
      </c>
      <c r="ZX803" s="193" t="s">
        <v>1487</v>
      </c>
      <c r="ZY803" s="193" t="s">
        <v>1487</v>
      </c>
      <c r="ZZ803" s="193" t="s">
        <v>1487</v>
      </c>
      <c r="AAA803" s="193" t="s">
        <v>1487</v>
      </c>
      <c r="AAB803" s="193" t="s">
        <v>1487</v>
      </c>
      <c r="AAC803" s="193" t="s">
        <v>1487</v>
      </c>
      <c r="AAD803" s="193" t="s">
        <v>1487</v>
      </c>
      <c r="AAE803" s="193" t="s">
        <v>1487</v>
      </c>
      <c r="AAF803" s="193" t="s">
        <v>1487</v>
      </c>
      <c r="AAG803" s="193" t="s">
        <v>1487</v>
      </c>
      <c r="AAH803" s="193" t="s">
        <v>1487</v>
      </c>
      <c r="AAI803" s="193" t="s">
        <v>1487</v>
      </c>
      <c r="AAJ803" s="193" t="s">
        <v>1487</v>
      </c>
      <c r="AAK803" s="193" t="s">
        <v>1487</v>
      </c>
      <c r="AAL803" s="193" t="s">
        <v>1487</v>
      </c>
      <c r="AAM803" s="193" t="s">
        <v>1487</v>
      </c>
      <c r="AAN803" s="193" t="s">
        <v>1487</v>
      </c>
      <c r="AAO803" s="193" t="s">
        <v>1487</v>
      </c>
      <c r="AAP803" s="193" t="s">
        <v>1487</v>
      </c>
      <c r="AAQ803" s="193" t="s">
        <v>1487</v>
      </c>
      <c r="AAR803" s="193" t="s">
        <v>1487</v>
      </c>
      <c r="AAS803" s="193" t="s">
        <v>1487</v>
      </c>
      <c r="AAT803" s="193" t="s">
        <v>1487</v>
      </c>
      <c r="AAU803" s="193" t="s">
        <v>1487</v>
      </c>
      <c r="AAV803" s="193" t="s">
        <v>1487</v>
      </c>
      <c r="AAW803" s="193" t="s">
        <v>1487</v>
      </c>
      <c r="AAX803" s="193" t="s">
        <v>1487</v>
      </c>
      <c r="AAY803" s="193" t="s">
        <v>1487</v>
      </c>
      <c r="AAZ803" s="193" t="s">
        <v>1487</v>
      </c>
      <c r="ABA803" s="193" t="s">
        <v>1487</v>
      </c>
      <c r="ABB803" s="193" t="s">
        <v>1487</v>
      </c>
      <c r="ABC803" s="193" t="s">
        <v>1487</v>
      </c>
      <c r="ABD803" s="193" t="s">
        <v>1487</v>
      </c>
      <c r="ABE803" s="193" t="s">
        <v>1487</v>
      </c>
      <c r="ABF803" s="193" t="s">
        <v>1487</v>
      </c>
      <c r="ABG803" s="193" t="s">
        <v>1487</v>
      </c>
      <c r="ABH803" s="193" t="s">
        <v>1487</v>
      </c>
      <c r="ABI803" s="193" t="s">
        <v>1487</v>
      </c>
      <c r="ABJ803" s="193" t="s">
        <v>1487</v>
      </c>
      <c r="ABK803" s="193" t="s">
        <v>1487</v>
      </c>
      <c r="ABL803" s="193" t="s">
        <v>1487</v>
      </c>
      <c r="ABM803" s="193" t="s">
        <v>1487</v>
      </c>
      <c r="ABN803" s="193" t="s">
        <v>1487</v>
      </c>
      <c r="ABO803" s="193" t="s">
        <v>1487</v>
      </c>
      <c r="ABP803" s="193" t="s">
        <v>1487</v>
      </c>
      <c r="ABQ803" s="193" t="s">
        <v>1487</v>
      </c>
      <c r="ABR803" s="193" t="s">
        <v>1487</v>
      </c>
      <c r="ABS803" s="193" t="s">
        <v>1487</v>
      </c>
      <c r="ABT803" s="193" t="s">
        <v>1487</v>
      </c>
      <c r="ABU803" s="193" t="s">
        <v>1487</v>
      </c>
      <c r="ABV803" s="193" t="s">
        <v>1487</v>
      </c>
      <c r="ABW803" s="193" t="s">
        <v>1487</v>
      </c>
      <c r="ABX803" s="193" t="s">
        <v>1487</v>
      </c>
      <c r="ABY803" s="193" t="s">
        <v>1487</v>
      </c>
      <c r="ABZ803" s="193" t="s">
        <v>1487</v>
      </c>
      <c r="ACA803" s="193" t="s">
        <v>1487</v>
      </c>
      <c r="ACB803" s="193" t="s">
        <v>1487</v>
      </c>
      <c r="ACC803" s="193" t="s">
        <v>1487</v>
      </c>
      <c r="ACD803" s="193" t="s">
        <v>1487</v>
      </c>
      <c r="ACE803" s="193" t="s">
        <v>1487</v>
      </c>
      <c r="ACF803" s="193" t="s">
        <v>1487</v>
      </c>
      <c r="ACG803" s="193" t="s">
        <v>1487</v>
      </c>
      <c r="ACH803" s="193" t="s">
        <v>1487</v>
      </c>
      <c r="ACI803" s="193" t="s">
        <v>1487</v>
      </c>
      <c r="ACJ803" s="193" t="s">
        <v>1487</v>
      </c>
      <c r="ACK803" s="193" t="s">
        <v>1487</v>
      </c>
      <c r="ACL803" s="193" t="s">
        <v>1487</v>
      </c>
      <c r="ACM803" s="193" t="s">
        <v>1487</v>
      </c>
      <c r="ACN803" s="193" t="s">
        <v>1487</v>
      </c>
      <c r="ACO803" s="193" t="s">
        <v>1487</v>
      </c>
      <c r="ACP803" s="193" t="s">
        <v>1487</v>
      </c>
      <c r="ACQ803" s="193" t="s">
        <v>1487</v>
      </c>
      <c r="ACR803" s="193" t="s">
        <v>1487</v>
      </c>
      <c r="ACS803" s="193" t="s">
        <v>1487</v>
      </c>
      <c r="ACT803" s="193" t="s">
        <v>1487</v>
      </c>
      <c r="ACU803" s="193" t="s">
        <v>1487</v>
      </c>
      <c r="ACV803" s="193" t="s">
        <v>1487</v>
      </c>
      <c r="ACW803" s="193" t="s">
        <v>1487</v>
      </c>
      <c r="ACX803" s="193" t="s">
        <v>1487</v>
      </c>
      <c r="ACY803" s="193" t="s">
        <v>1487</v>
      </c>
      <c r="ACZ803" s="193" t="s">
        <v>1487</v>
      </c>
      <c r="ADA803" s="193" t="s">
        <v>1487</v>
      </c>
      <c r="ADB803" s="193" t="s">
        <v>1487</v>
      </c>
      <c r="ADC803" s="193" t="s">
        <v>1487</v>
      </c>
      <c r="ADD803" s="193" t="s">
        <v>1487</v>
      </c>
      <c r="ADE803" s="193" t="s">
        <v>1487</v>
      </c>
      <c r="ADF803" s="193" t="s">
        <v>1487</v>
      </c>
      <c r="ADG803" s="193" t="s">
        <v>1487</v>
      </c>
      <c r="ADH803" s="193" t="s">
        <v>1487</v>
      </c>
      <c r="ADI803" s="193" t="s">
        <v>1487</v>
      </c>
      <c r="ADJ803" s="193" t="s">
        <v>1487</v>
      </c>
      <c r="ADK803" s="193" t="s">
        <v>1487</v>
      </c>
      <c r="ADL803" s="193" t="s">
        <v>1487</v>
      </c>
      <c r="ADM803" s="193" t="s">
        <v>1487</v>
      </c>
      <c r="ADN803" s="193" t="s">
        <v>1487</v>
      </c>
      <c r="ADO803" s="193" t="s">
        <v>1487</v>
      </c>
      <c r="ADP803" s="193" t="s">
        <v>1487</v>
      </c>
      <c r="ADQ803" s="193" t="s">
        <v>1487</v>
      </c>
      <c r="ADR803" s="193" t="s">
        <v>1487</v>
      </c>
      <c r="ADS803" s="193" t="s">
        <v>1487</v>
      </c>
      <c r="ADT803" s="193" t="s">
        <v>1487</v>
      </c>
      <c r="ADU803" s="193" t="s">
        <v>1487</v>
      </c>
      <c r="ADV803" s="193" t="s">
        <v>1487</v>
      </c>
      <c r="ADW803" s="193" t="s">
        <v>1487</v>
      </c>
      <c r="ADX803" s="193" t="s">
        <v>1487</v>
      </c>
      <c r="ADY803" s="193" t="s">
        <v>1487</v>
      </c>
      <c r="ADZ803" s="193" t="s">
        <v>1487</v>
      </c>
      <c r="AEA803" s="193" t="s">
        <v>1487</v>
      </c>
      <c r="AEB803" s="193" t="s">
        <v>1487</v>
      </c>
      <c r="AEC803" s="193" t="s">
        <v>1487</v>
      </c>
      <c r="AED803" s="193" t="s">
        <v>1487</v>
      </c>
      <c r="AEE803" s="193" t="s">
        <v>1487</v>
      </c>
      <c r="AEF803" s="193" t="s">
        <v>1487</v>
      </c>
      <c r="AEG803" s="193" t="s">
        <v>1487</v>
      </c>
      <c r="AEH803" s="193" t="s">
        <v>1487</v>
      </c>
      <c r="AEI803" s="193" t="s">
        <v>1487</v>
      </c>
      <c r="AEJ803" s="193" t="s">
        <v>1487</v>
      </c>
      <c r="AEK803" s="193" t="s">
        <v>1487</v>
      </c>
      <c r="AEL803" s="193" t="s">
        <v>1487</v>
      </c>
      <c r="AEM803" s="193" t="s">
        <v>1487</v>
      </c>
      <c r="AEN803" s="193" t="s">
        <v>1487</v>
      </c>
      <c r="AEO803" s="193" t="s">
        <v>1487</v>
      </c>
      <c r="AEP803" s="193" t="s">
        <v>1487</v>
      </c>
      <c r="AEQ803" s="193" t="s">
        <v>1487</v>
      </c>
      <c r="AER803" s="193" t="s">
        <v>1487</v>
      </c>
      <c r="AES803" s="193" t="s">
        <v>1487</v>
      </c>
      <c r="AET803" s="193" t="s">
        <v>1487</v>
      </c>
      <c r="AEU803" s="193" t="s">
        <v>1487</v>
      </c>
      <c r="AEV803" s="193" t="s">
        <v>1487</v>
      </c>
      <c r="AEW803" s="193" t="s">
        <v>1487</v>
      </c>
      <c r="AEX803" s="193" t="s">
        <v>1487</v>
      </c>
      <c r="AEY803" s="193" t="s">
        <v>1487</v>
      </c>
      <c r="AEZ803" s="193" t="s">
        <v>1487</v>
      </c>
      <c r="AFA803" s="193" t="s">
        <v>1487</v>
      </c>
      <c r="AFB803" s="193" t="s">
        <v>1487</v>
      </c>
      <c r="AFC803" s="193" t="s">
        <v>1487</v>
      </c>
      <c r="AFD803" s="193" t="s">
        <v>1487</v>
      </c>
      <c r="AFE803" s="193" t="s">
        <v>1487</v>
      </c>
      <c r="AFF803" s="193" t="s">
        <v>1487</v>
      </c>
      <c r="AFG803" s="193" t="s">
        <v>1487</v>
      </c>
      <c r="AFH803" s="193" t="s">
        <v>1487</v>
      </c>
      <c r="AFI803" s="193" t="s">
        <v>1487</v>
      </c>
      <c r="AFJ803" s="193" t="s">
        <v>1487</v>
      </c>
      <c r="AFK803" s="193" t="s">
        <v>1487</v>
      </c>
      <c r="AFL803" s="193" t="s">
        <v>1487</v>
      </c>
      <c r="AFM803" s="193" t="s">
        <v>1487</v>
      </c>
      <c r="AFN803" s="193" t="s">
        <v>1487</v>
      </c>
      <c r="AFO803" s="193" t="s">
        <v>1487</v>
      </c>
      <c r="AFP803" s="193" t="s">
        <v>1487</v>
      </c>
      <c r="AFQ803" s="193" t="s">
        <v>1487</v>
      </c>
      <c r="AFR803" s="193" t="s">
        <v>1487</v>
      </c>
      <c r="AFS803" s="193" t="s">
        <v>1487</v>
      </c>
      <c r="AFT803" s="193" t="s">
        <v>1487</v>
      </c>
      <c r="AFU803" s="193" t="s">
        <v>1487</v>
      </c>
      <c r="AFV803" s="193" t="s">
        <v>1487</v>
      </c>
      <c r="AFW803" s="193" t="s">
        <v>1487</v>
      </c>
      <c r="AFX803" s="193" t="s">
        <v>1487</v>
      </c>
      <c r="AFY803" s="193" t="s">
        <v>1487</v>
      </c>
      <c r="AFZ803" s="193" t="s">
        <v>1487</v>
      </c>
      <c r="AGA803" s="193" t="s">
        <v>1487</v>
      </c>
      <c r="AGB803" s="193" t="s">
        <v>1487</v>
      </c>
      <c r="AGC803" s="193" t="s">
        <v>1487</v>
      </c>
      <c r="AGD803" s="193" t="s">
        <v>1487</v>
      </c>
      <c r="AGE803" s="193" t="s">
        <v>1487</v>
      </c>
      <c r="AGF803" s="193" t="s">
        <v>1487</v>
      </c>
      <c r="AGG803" s="193" t="s">
        <v>1487</v>
      </c>
      <c r="AGH803" s="193" t="s">
        <v>1487</v>
      </c>
      <c r="AGI803" s="193" t="s">
        <v>1487</v>
      </c>
      <c r="AGJ803" s="193" t="s">
        <v>1487</v>
      </c>
      <c r="AGK803" s="193" t="s">
        <v>1487</v>
      </c>
      <c r="AGL803" s="193" t="s">
        <v>1487</v>
      </c>
      <c r="AGM803" s="193" t="s">
        <v>1487</v>
      </c>
      <c r="AGN803" s="193" t="s">
        <v>1487</v>
      </c>
      <c r="AGO803" s="193" t="s">
        <v>1487</v>
      </c>
      <c r="AGP803" s="193" t="s">
        <v>1487</v>
      </c>
      <c r="AGQ803" s="193" t="s">
        <v>1487</v>
      </c>
      <c r="AGR803" s="193" t="s">
        <v>1487</v>
      </c>
      <c r="AGS803" s="193" t="s">
        <v>1487</v>
      </c>
      <c r="AGT803" s="193" t="s">
        <v>1487</v>
      </c>
      <c r="AGU803" s="193" t="s">
        <v>1487</v>
      </c>
      <c r="AGV803" s="193" t="s">
        <v>1487</v>
      </c>
      <c r="AGW803" s="193" t="s">
        <v>1487</v>
      </c>
      <c r="AGX803" s="193" t="s">
        <v>1487</v>
      </c>
      <c r="AGY803" s="193" t="s">
        <v>1487</v>
      </c>
      <c r="AGZ803" s="193" t="s">
        <v>1487</v>
      </c>
      <c r="AHA803" s="193" t="s">
        <v>1487</v>
      </c>
      <c r="AHB803" s="193" t="s">
        <v>1487</v>
      </c>
      <c r="AHC803" s="193" t="s">
        <v>1487</v>
      </c>
      <c r="AHD803" s="193" t="s">
        <v>1487</v>
      </c>
      <c r="AHE803" s="193" t="s">
        <v>1487</v>
      </c>
      <c r="AHF803" s="193" t="s">
        <v>1487</v>
      </c>
      <c r="AHG803" s="193" t="s">
        <v>1487</v>
      </c>
      <c r="AHH803" s="193" t="s">
        <v>1487</v>
      </c>
      <c r="AHI803" s="193" t="s">
        <v>1487</v>
      </c>
      <c r="AHJ803" s="193" t="s">
        <v>1487</v>
      </c>
      <c r="AHK803" s="193" t="s">
        <v>1487</v>
      </c>
      <c r="AHL803" s="193" t="s">
        <v>1487</v>
      </c>
      <c r="AHM803" s="193" t="s">
        <v>1487</v>
      </c>
      <c r="AHN803" s="193" t="s">
        <v>1487</v>
      </c>
      <c r="AHO803" s="193" t="s">
        <v>1487</v>
      </c>
      <c r="AHP803" s="193" t="s">
        <v>1487</v>
      </c>
      <c r="AHQ803" s="193" t="s">
        <v>1487</v>
      </c>
      <c r="AHR803" s="193" t="s">
        <v>1487</v>
      </c>
      <c r="AHS803" s="193" t="s">
        <v>1487</v>
      </c>
      <c r="AHT803" s="193" t="s">
        <v>1487</v>
      </c>
      <c r="AHU803" s="193" t="s">
        <v>1487</v>
      </c>
      <c r="AHV803" s="193" t="s">
        <v>1487</v>
      </c>
      <c r="AHW803" s="193" t="s">
        <v>1487</v>
      </c>
      <c r="AHX803" s="193" t="s">
        <v>1487</v>
      </c>
      <c r="AHY803" s="193" t="s">
        <v>1487</v>
      </c>
      <c r="AHZ803" s="193" t="s">
        <v>1487</v>
      </c>
      <c r="AIA803" s="193" t="s">
        <v>1487</v>
      </c>
      <c r="AIB803" s="193" t="s">
        <v>1487</v>
      </c>
      <c r="AIC803" s="193" t="s">
        <v>1487</v>
      </c>
      <c r="AID803" s="193" t="s">
        <v>1487</v>
      </c>
      <c r="AIE803" s="193" t="s">
        <v>1487</v>
      </c>
      <c r="AIF803" s="193" t="s">
        <v>1487</v>
      </c>
      <c r="AIG803" s="193" t="s">
        <v>1487</v>
      </c>
      <c r="AIH803" s="193" t="s">
        <v>1487</v>
      </c>
      <c r="AII803" s="193" t="s">
        <v>1487</v>
      </c>
      <c r="AIJ803" s="193" t="s">
        <v>1487</v>
      </c>
      <c r="AIK803" s="193" t="s">
        <v>1487</v>
      </c>
      <c r="AIL803" s="193" t="s">
        <v>1487</v>
      </c>
      <c r="AIM803" s="193" t="s">
        <v>1487</v>
      </c>
      <c r="AIN803" s="193" t="s">
        <v>1487</v>
      </c>
      <c r="AIO803" s="193" t="s">
        <v>1487</v>
      </c>
      <c r="AIP803" s="193" t="s">
        <v>1487</v>
      </c>
      <c r="AIQ803" s="193" t="s">
        <v>1487</v>
      </c>
      <c r="AIR803" s="193" t="s">
        <v>1487</v>
      </c>
      <c r="AIS803" s="193" t="s">
        <v>1487</v>
      </c>
      <c r="AIT803" s="193" t="s">
        <v>1487</v>
      </c>
      <c r="AIU803" s="193" t="s">
        <v>1487</v>
      </c>
      <c r="AIV803" s="193" t="s">
        <v>1487</v>
      </c>
      <c r="AIW803" s="193" t="s">
        <v>1487</v>
      </c>
      <c r="AIX803" s="193" t="s">
        <v>1487</v>
      </c>
      <c r="AIY803" s="193" t="s">
        <v>1487</v>
      </c>
      <c r="AIZ803" s="193" t="s">
        <v>1487</v>
      </c>
      <c r="AJA803" s="193" t="s">
        <v>1487</v>
      </c>
      <c r="AJB803" s="193" t="s">
        <v>1487</v>
      </c>
      <c r="AJC803" s="193" t="s">
        <v>1487</v>
      </c>
      <c r="AJD803" s="193" t="s">
        <v>1487</v>
      </c>
      <c r="AJE803" s="193" t="s">
        <v>1487</v>
      </c>
      <c r="AJF803" s="193" t="s">
        <v>1487</v>
      </c>
      <c r="AJG803" s="193" t="s">
        <v>1487</v>
      </c>
      <c r="AJH803" s="193" t="s">
        <v>1487</v>
      </c>
      <c r="AJI803" s="193" t="s">
        <v>1487</v>
      </c>
      <c r="AJJ803" s="193" t="s">
        <v>1487</v>
      </c>
      <c r="AJK803" s="193" t="s">
        <v>1487</v>
      </c>
      <c r="AJL803" s="193" t="s">
        <v>1487</v>
      </c>
      <c r="AJM803" s="193" t="s">
        <v>1487</v>
      </c>
      <c r="AJN803" s="193" t="s">
        <v>1487</v>
      </c>
      <c r="AJO803" s="193" t="s">
        <v>1487</v>
      </c>
      <c r="AJP803" s="193" t="s">
        <v>1487</v>
      </c>
      <c r="AJQ803" s="193" t="s">
        <v>1487</v>
      </c>
      <c r="AJR803" s="193" t="s">
        <v>1487</v>
      </c>
      <c r="AJS803" s="193" t="s">
        <v>1487</v>
      </c>
      <c r="AJT803" s="193" t="s">
        <v>1487</v>
      </c>
      <c r="AJU803" s="193" t="s">
        <v>1487</v>
      </c>
      <c r="AJV803" s="193" t="s">
        <v>1487</v>
      </c>
      <c r="AJW803" s="193" t="s">
        <v>1487</v>
      </c>
      <c r="AJX803" s="193" t="s">
        <v>1487</v>
      </c>
      <c r="AJY803" s="193" t="s">
        <v>1487</v>
      </c>
      <c r="AJZ803" s="193" t="s">
        <v>1487</v>
      </c>
      <c r="AKA803" s="193" t="s">
        <v>1487</v>
      </c>
      <c r="AKB803" s="193" t="s">
        <v>1487</v>
      </c>
      <c r="AKC803" s="193" t="s">
        <v>1487</v>
      </c>
      <c r="AKD803" s="193" t="s">
        <v>1487</v>
      </c>
      <c r="AKE803" s="193" t="s">
        <v>1487</v>
      </c>
      <c r="AKF803" s="193" t="s">
        <v>1487</v>
      </c>
      <c r="AKG803" s="193" t="s">
        <v>1487</v>
      </c>
      <c r="AKH803" s="193" t="s">
        <v>1487</v>
      </c>
      <c r="AKI803" s="193" t="s">
        <v>1487</v>
      </c>
      <c r="AKJ803" s="193" t="s">
        <v>1487</v>
      </c>
      <c r="AKK803" s="193" t="s">
        <v>1487</v>
      </c>
      <c r="AKL803" s="193" t="s">
        <v>1487</v>
      </c>
      <c r="AKM803" s="193" t="s">
        <v>1487</v>
      </c>
      <c r="AKN803" s="193" t="s">
        <v>1487</v>
      </c>
      <c r="AKO803" s="193" t="s">
        <v>1487</v>
      </c>
      <c r="AKP803" s="193" t="s">
        <v>1487</v>
      </c>
      <c r="AKQ803" s="193" t="s">
        <v>1487</v>
      </c>
      <c r="AKR803" s="193" t="s">
        <v>1487</v>
      </c>
      <c r="AKS803" s="193" t="s">
        <v>1487</v>
      </c>
      <c r="AKT803" s="193" t="s">
        <v>1487</v>
      </c>
      <c r="AKU803" s="193" t="s">
        <v>1487</v>
      </c>
      <c r="AKV803" s="193" t="s">
        <v>1487</v>
      </c>
      <c r="AKW803" s="193" t="s">
        <v>1487</v>
      </c>
      <c r="AKX803" s="193" t="s">
        <v>1487</v>
      </c>
      <c r="AKY803" s="193" t="s">
        <v>1487</v>
      </c>
      <c r="AKZ803" s="193" t="s">
        <v>1487</v>
      </c>
      <c r="ALA803" s="193" t="s">
        <v>1487</v>
      </c>
      <c r="ALB803" s="193" t="s">
        <v>1487</v>
      </c>
      <c r="ALC803" s="193" t="s">
        <v>1487</v>
      </c>
      <c r="ALD803" s="193" t="s">
        <v>1487</v>
      </c>
      <c r="ALE803" s="193" t="s">
        <v>1487</v>
      </c>
      <c r="ALF803" s="193" t="s">
        <v>1487</v>
      </c>
      <c r="ALG803" s="193" t="s">
        <v>1487</v>
      </c>
      <c r="ALH803" s="193" t="s">
        <v>1487</v>
      </c>
      <c r="ALI803" s="193" t="s">
        <v>1487</v>
      </c>
      <c r="ALJ803" s="193" t="s">
        <v>1487</v>
      </c>
      <c r="ALK803" s="193" t="s">
        <v>1487</v>
      </c>
      <c r="ALL803" s="193" t="s">
        <v>1487</v>
      </c>
      <c r="ALM803" s="193" t="s">
        <v>1487</v>
      </c>
      <c r="ALN803" s="193" t="s">
        <v>1487</v>
      </c>
      <c r="ALO803" s="193" t="s">
        <v>1487</v>
      </c>
      <c r="ALP803" s="193" t="s">
        <v>1487</v>
      </c>
      <c r="ALQ803" s="193" t="s">
        <v>1487</v>
      </c>
      <c r="ALR803" s="193" t="s">
        <v>1487</v>
      </c>
      <c r="ALS803" s="193" t="s">
        <v>1487</v>
      </c>
      <c r="ALT803" s="193" t="s">
        <v>1487</v>
      </c>
      <c r="ALU803" s="193" t="s">
        <v>1487</v>
      </c>
      <c r="ALV803" s="193" t="s">
        <v>1487</v>
      </c>
      <c r="ALW803" s="193" t="s">
        <v>1487</v>
      </c>
      <c r="ALX803" s="193" t="s">
        <v>1487</v>
      </c>
      <c r="ALY803" s="193" t="s">
        <v>1487</v>
      </c>
      <c r="ALZ803" s="193" t="s">
        <v>1487</v>
      </c>
      <c r="AMA803" s="193" t="s">
        <v>1487</v>
      </c>
      <c r="AMB803" s="193" t="s">
        <v>1487</v>
      </c>
      <c r="AMC803" s="193" t="s">
        <v>1487</v>
      </c>
      <c r="AMD803" s="193" t="s">
        <v>1487</v>
      </c>
      <c r="AME803" s="193" t="s">
        <v>1487</v>
      </c>
      <c r="AMF803" s="193" t="s">
        <v>1487</v>
      </c>
      <c r="AMG803" s="193" t="s">
        <v>1487</v>
      </c>
      <c r="AMH803" s="193" t="s">
        <v>1487</v>
      </c>
      <c r="AMI803" s="193" t="s">
        <v>1487</v>
      </c>
      <c r="AMJ803" s="193" t="s">
        <v>1487</v>
      </c>
      <c r="AMK803" s="193" t="s">
        <v>1487</v>
      </c>
      <c r="AML803" s="193" t="s">
        <v>1487</v>
      </c>
      <c r="AMM803" s="193" t="s">
        <v>1487</v>
      </c>
      <c r="AMN803" s="193" t="s">
        <v>1487</v>
      </c>
      <c r="AMO803" s="193" t="s">
        <v>1487</v>
      </c>
      <c r="AMP803" s="193" t="s">
        <v>1487</v>
      </c>
      <c r="AMQ803" s="193" t="s">
        <v>1487</v>
      </c>
      <c r="AMR803" s="193" t="s">
        <v>1487</v>
      </c>
      <c r="AMS803" s="193" t="s">
        <v>1487</v>
      </c>
      <c r="AMT803" s="193" t="s">
        <v>1487</v>
      </c>
      <c r="AMU803" s="193" t="s">
        <v>1487</v>
      </c>
      <c r="AMV803" s="193" t="s">
        <v>1487</v>
      </c>
      <c r="AMW803" s="193" t="s">
        <v>1487</v>
      </c>
      <c r="AMX803" s="193" t="s">
        <v>1487</v>
      </c>
      <c r="AMY803" s="193" t="s">
        <v>1487</v>
      </c>
      <c r="AMZ803" s="193" t="s">
        <v>1487</v>
      </c>
      <c r="ANA803" s="193" t="s">
        <v>1487</v>
      </c>
      <c r="ANB803" s="193" t="s">
        <v>1487</v>
      </c>
      <c r="ANC803" s="193" t="s">
        <v>1487</v>
      </c>
      <c r="AND803" s="193" t="s">
        <v>1487</v>
      </c>
      <c r="ANE803" s="193" t="s">
        <v>1487</v>
      </c>
      <c r="ANF803" s="193" t="s">
        <v>1487</v>
      </c>
      <c r="ANG803" s="193" t="s">
        <v>1487</v>
      </c>
      <c r="ANH803" s="193" t="s">
        <v>1487</v>
      </c>
      <c r="ANI803" s="193" t="s">
        <v>1487</v>
      </c>
      <c r="ANJ803" s="193" t="s">
        <v>1487</v>
      </c>
      <c r="ANK803" s="193" t="s">
        <v>1487</v>
      </c>
      <c r="ANL803" s="193" t="s">
        <v>1487</v>
      </c>
      <c r="ANM803" s="193" t="s">
        <v>1487</v>
      </c>
      <c r="ANN803" s="193" t="s">
        <v>1487</v>
      </c>
      <c r="ANO803" s="193" t="s">
        <v>1487</v>
      </c>
      <c r="ANP803" s="193" t="s">
        <v>1487</v>
      </c>
      <c r="ANQ803" s="193" t="s">
        <v>1487</v>
      </c>
      <c r="ANR803" s="193" t="s">
        <v>1487</v>
      </c>
      <c r="ANS803" s="193" t="s">
        <v>1487</v>
      </c>
      <c r="ANT803" s="193" t="s">
        <v>1487</v>
      </c>
      <c r="ANU803" s="193" t="s">
        <v>1487</v>
      </c>
      <c r="ANV803" s="193" t="s">
        <v>1487</v>
      </c>
      <c r="ANW803" s="193" t="s">
        <v>1487</v>
      </c>
      <c r="ANX803" s="193" t="s">
        <v>1487</v>
      </c>
      <c r="ANY803" s="193" t="s">
        <v>1487</v>
      </c>
      <c r="ANZ803" s="193" t="s">
        <v>1487</v>
      </c>
      <c r="AOA803" s="193" t="s">
        <v>1487</v>
      </c>
      <c r="AOB803" s="193" t="s">
        <v>1487</v>
      </c>
      <c r="AOC803" s="193" t="s">
        <v>1487</v>
      </c>
      <c r="AOD803" s="193" t="s">
        <v>1487</v>
      </c>
      <c r="AOE803" s="193" t="s">
        <v>1487</v>
      </c>
      <c r="AOF803" s="193" t="s">
        <v>1487</v>
      </c>
      <c r="AOG803" s="193" t="s">
        <v>1487</v>
      </c>
      <c r="AOH803" s="193" t="s">
        <v>1487</v>
      </c>
      <c r="AOI803" s="193" t="s">
        <v>1487</v>
      </c>
      <c r="AOJ803" s="193" t="s">
        <v>1487</v>
      </c>
      <c r="AOK803" s="193" t="s">
        <v>1487</v>
      </c>
      <c r="AOL803" s="193" t="s">
        <v>1487</v>
      </c>
      <c r="AOM803" s="193" t="s">
        <v>1487</v>
      </c>
      <c r="AON803" s="193" t="s">
        <v>1487</v>
      </c>
      <c r="AOO803" s="193" t="s">
        <v>1487</v>
      </c>
      <c r="AOP803" s="193" t="s">
        <v>1487</v>
      </c>
      <c r="AOQ803" s="193" t="s">
        <v>1487</v>
      </c>
      <c r="AOR803" s="193" t="s">
        <v>1487</v>
      </c>
      <c r="AOS803" s="193" t="s">
        <v>1487</v>
      </c>
      <c r="AOT803" s="193" t="s">
        <v>1487</v>
      </c>
      <c r="AOU803" s="193" t="s">
        <v>1487</v>
      </c>
      <c r="AOV803" s="193" t="s">
        <v>1487</v>
      </c>
      <c r="AOW803" s="193" t="s">
        <v>1487</v>
      </c>
      <c r="AOX803" s="193" t="s">
        <v>1487</v>
      </c>
      <c r="AOY803" s="193" t="s">
        <v>1487</v>
      </c>
      <c r="AOZ803" s="193" t="s">
        <v>1487</v>
      </c>
      <c r="APA803" s="193" t="s">
        <v>1487</v>
      </c>
      <c r="APB803" s="193" t="s">
        <v>1487</v>
      </c>
      <c r="APC803" s="193" t="s">
        <v>1487</v>
      </c>
      <c r="APD803" s="193" t="s">
        <v>1487</v>
      </c>
      <c r="APE803" s="193" t="s">
        <v>1487</v>
      </c>
      <c r="APF803" s="193" t="s">
        <v>1487</v>
      </c>
      <c r="APG803" s="193" t="s">
        <v>1487</v>
      </c>
      <c r="APH803" s="193" t="s">
        <v>1487</v>
      </c>
      <c r="API803" s="193" t="s">
        <v>1487</v>
      </c>
      <c r="APJ803" s="193" t="s">
        <v>1487</v>
      </c>
      <c r="APK803" s="193" t="s">
        <v>1487</v>
      </c>
      <c r="APL803" s="193" t="s">
        <v>1487</v>
      </c>
      <c r="APM803" s="193" t="s">
        <v>1487</v>
      </c>
      <c r="APN803" s="193" t="s">
        <v>1487</v>
      </c>
      <c r="APO803" s="193" t="s">
        <v>1487</v>
      </c>
      <c r="APP803" s="193" t="s">
        <v>1487</v>
      </c>
      <c r="APQ803" s="193" t="s">
        <v>1487</v>
      </c>
      <c r="APR803" s="193" t="s">
        <v>1487</v>
      </c>
      <c r="APS803" s="193" t="s">
        <v>1487</v>
      </c>
      <c r="APT803" s="193" t="s">
        <v>1487</v>
      </c>
      <c r="APU803" s="193" t="s">
        <v>1487</v>
      </c>
      <c r="APV803" s="193" t="s">
        <v>1487</v>
      </c>
      <c r="APW803" s="193" t="s">
        <v>1487</v>
      </c>
      <c r="APX803" s="193" t="s">
        <v>1487</v>
      </c>
      <c r="APY803" s="193" t="s">
        <v>1487</v>
      </c>
      <c r="APZ803" s="193" t="s">
        <v>1487</v>
      </c>
      <c r="AQA803" s="193" t="s">
        <v>1487</v>
      </c>
      <c r="AQB803" s="193" t="s">
        <v>1487</v>
      </c>
      <c r="AQC803" s="193" t="s">
        <v>1487</v>
      </c>
      <c r="AQD803" s="193" t="s">
        <v>1487</v>
      </c>
      <c r="AQE803" s="193" t="s">
        <v>1487</v>
      </c>
      <c r="AQF803" s="193" t="s">
        <v>1487</v>
      </c>
      <c r="AQG803" s="193" t="s">
        <v>1487</v>
      </c>
      <c r="AQH803" s="193" t="s">
        <v>1487</v>
      </c>
      <c r="AQI803" s="193" t="s">
        <v>1487</v>
      </c>
      <c r="AQJ803" s="193" t="s">
        <v>1487</v>
      </c>
      <c r="AQK803" s="193" t="s">
        <v>1487</v>
      </c>
      <c r="AQL803" s="193" t="s">
        <v>1487</v>
      </c>
      <c r="AQM803" s="193" t="s">
        <v>1487</v>
      </c>
      <c r="AQN803" s="193" t="s">
        <v>1487</v>
      </c>
      <c r="AQO803" s="193" t="s">
        <v>1487</v>
      </c>
      <c r="AQP803" s="193" t="s">
        <v>1487</v>
      </c>
      <c r="AQQ803" s="193" t="s">
        <v>1487</v>
      </c>
      <c r="AQR803" s="193" t="s">
        <v>1487</v>
      </c>
      <c r="AQS803" s="193" t="s">
        <v>1487</v>
      </c>
      <c r="AQT803" s="193" t="s">
        <v>1487</v>
      </c>
      <c r="AQU803" s="193" t="s">
        <v>1487</v>
      </c>
      <c r="AQV803" s="193" t="s">
        <v>1487</v>
      </c>
      <c r="AQW803" s="193" t="s">
        <v>1487</v>
      </c>
      <c r="AQX803" s="193" t="s">
        <v>1487</v>
      </c>
      <c r="AQY803" s="193" t="s">
        <v>1487</v>
      </c>
      <c r="AQZ803" s="193" t="s">
        <v>1487</v>
      </c>
      <c r="ARA803" s="193" t="s">
        <v>1487</v>
      </c>
      <c r="ARB803" s="193" t="s">
        <v>1487</v>
      </c>
      <c r="ARC803" s="193" t="s">
        <v>1487</v>
      </c>
      <c r="ARD803" s="193" t="s">
        <v>1487</v>
      </c>
      <c r="ARE803" s="193" t="s">
        <v>1487</v>
      </c>
      <c r="ARF803" s="193" t="s">
        <v>1487</v>
      </c>
      <c r="ARG803" s="193" t="s">
        <v>1487</v>
      </c>
      <c r="ARH803" s="193" t="s">
        <v>1487</v>
      </c>
      <c r="ARI803" s="193" t="s">
        <v>1487</v>
      </c>
      <c r="ARJ803" s="193" t="s">
        <v>1487</v>
      </c>
      <c r="ARK803" s="193" t="s">
        <v>1487</v>
      </c>
      <c r="ARL803" s="193" t="s">
        <v>1487</v>
      </c>
      <c r="ARM803" s="193" t="s">
        <v>1487</v>
      </c>
      <c r="ARN803" s="193" t="s">
        <v>1487</v>
      </c>
      <c r="ARO803" s="193" t="s">
        <v>1487</v>
      </c>
      <c r="ARP803" s="193" t="s">
        <v>1487</v>
      </c>
      <c r="ARQ803" s="193" t="s">
        <v>1487</v>
      </c>
      <c r="ARR803" s="193" t="s">
        <v>1487</v>
      </c>
      <c r="ARS803" s="193" t="s">
        <v>1487</v>
      </c>
      <c r="ART803" s="193" t="s">
        <v>1487</v>
      </c>
      <c r="ARU803" s="193" t="s">
        <v>1487</v>
      </c>
      <c r="ARV803" s="193" t="s">
        <v>1487</v>
      </c>
      <c r="ARW803" s="193" t="s">
        <v>1487</v>
      </c>
      <c r="ARX803" s="193" t="s">
        <v>1487</v>
      </c>
      <c r="ARY803" s="193" t="s">
        <v>1487</v>
      </c>
      <c r="ARZ803" s="193" t="s">
        <v>1487</v>
      </c>
      <c r="ASA803" s="193" t="s">
        <v>1487</v>
      </c>
      <c r="ASB803" s="193" t="s">
        <v>1487</v>
      </c>
      <c r="ASC803" s="193" t="s">
        <v>1487</v>
      </c>
      <c r="ASD803" s="193" t="s">
        <v>1487</v>
      </c>
      <c r="ASE803" s="193" t="s">
        <v>1487</v>
      </c>
      <c r="ASF803" s="193" t="s">
        <v>1487</v>
      </c>
      <c r="ASG803" s="193" t="s">
        <v>1487</v>
      </c>
      <c r="ASH803" s="193" t="s">
        <v>1487</v>
      </c>
      <c r="ASI803" s="193" t="s">
        <v>1487</v>
      </c>
      <c r="ASJ803" s="193" t="s">
        <v>1487</v>
      </c>
      <c r="ASK803" s="193" t="s">
        <v>1487</v>
      </c>
      <c r="ASL803" s="193" t="s">
        <v>1487</v>
      </c>
      <c r="ASM803" s="193" t="s">
        <v>1487</v>
      </c>
      <c r="ASN803" s="193" t="s">
        <v>1487</v>
      </c>
      <c r="ASO803" s="193" t="s">
        <v>1487</v>
      </c>
      <c r="ASP803" s="193" t="s">
        <v>1487</v>
      </c>
      <c r="ASQ803" s="193" t="s">
        <v>1487</v>
      </c>
      <c r="ASR803" s="193" t="s">
        <v>1487</v>
      </c>
      <c r="ASS803" s="193" t="s">
        <v>1487</v>
      </c>
      <c r="AST803" s="193" t="s">
        <v>1487</v>
      </c>
      <c r="ASU803" s="193" t="s">
        <v>1487</v>
      </c>
      <c r="ASV803" s="193" t="s">
        <v>1487</v>
      </c>
      <c r="ASW803" s="193" t="s">
        <v>1487</v>
      </c>
      <c r="ASX803" s="193" t="s">
        <v>1487</v>
      </c>
      <c r="ASY803" s="193" t="s">
        <v>1487</v>
      </c>
      <c r="ASZ803" s="193" t="s">
        <v>1487</v>
      </c>
      <c r="ATA803" s="193" t="s">
        <v>1487</v>
      </c>
      <c r="ATB803" s="193" t="s">
        <v>1487</v>
      </c>
      <c r="ATC803" s="193" t="s">
        <v>1487</v>
      </c>
      <c r="ATD803" s="193" t="s">
        <v>1487</v>
      </c>
      <c r="ATE803" s="193" t="s">
        <v>1487</v>
      </c>
      <c r="ATF803" s="193" t="s">
        <v>1487</v>
      </c>
      <c r="ATG803" s="193" t="s">
        <v>1487</v>
      </c>
      <c r="ATH803" s="193" t="s">
        <v>1487</v>
      </c>
      <c r="ATI803" s="193" t="s">
        <v>1487</v>
      </c>
      <c r="ATJ803" s="193" t="s">
        <v>1487</v>
      </c>
      <c r="ATK803" s="193" t="s">
        <v>1487</v>
      </c>
      <c r="ATL803" s="193" t="s">
        <v>1487</v>
      </c>
      <c r="ATM803" s="193" t="s">
        <v>1487</v>
      </c>
      <c r="ATN803" s="193" t="s">
        <v>1487</v>
      </c>
      <c r="ATO803" s="193" t="s">
        <v>1487</v>
      </c>
      <c r="ATP803" s="193" t="s">
        <v>1487</v>
      </c>
      <c r="ATQ803" s="193" t="s">
        <v>1487</v>
      </c>
      <c r="ATR803" s="193" t="s">
        <v>1487</v>
      </c>
      <c r="ATS803" s="193" t="s">
        <v>1487</v>
      </c>
      <c r="ATT803" s="193" t="s">
        <v>1487</v>
      </c>
      <c r="ATU803" s="193" t="s">
        <v>1487</v>
      </c>
      <c r="ATV803" s="193" t="s">
        <v>1487</v>
      </c>
      <c r="ATW803" s="193" t="s">
        <v>1487</v>
      </c>
      <c r="ATX803" s="193" t="s">
        <v>1487</v>
      </c>
      <c r="ATY803" s="193" t="s">
        <v>1487</v>
      </c>
      <c r="ATZ803" s="193" t="s">
        <v>1487</v>
      </c>
      <c r="AUA803" s="193" t="s">
        <v>1487</v>
      </c>
      <c r="AUB803" s="193" t="s">
        <v>1487</v>
      </c>
      <c r="AUC803" s="193" t="s">
        <v>1487</v>
      </c>
      <c r="AUD803" s="193" t="s">
        <v>1487</v>
      </c>
      <c r="AUE803" s="193" t="s">
        <v>1487</v>
      </c>
      <c r="AUF803" s="193" t="s">
        <v>1487</v>
      </c>
      <c r="AUG803" s="193" t="s">
        <v>1487</v>
      </c>
      <c r="AUH803" s="193" t="s">
        <v>1487</v>
      </c>
      <c r="AUI803" s="193" t="s">
        <v>1487</v>
      </c>
      <c r="AUJ803" s="193" t="s">
        <v>1487</v>
      </c>
      <c r="AUK803" s="193" t="s">
        <v>1487</v>
      </c>
      <c r="AUL803" s="193" t="s">
        <v>1487</v>
      </c>
      <c r="AUM803" s="193" t="s">
        <v>1487</v>
      </c>
      <c r="AUN803" s="193" t="s">
        <v>1487</v>
      </c>
      <c r="AUO803" s="193" t="s">
        <v>1487</v>
      </c>
      <c r="AUP803" s="193" t="s">
        <v>1487</v>
      </c>
      <c r="AUQ803" s="193" t="s">
        <v>1487</v>
      </c>
      <c r="AUR803" s="193" t="s">
        <v>1487</v>
      </c>
      <c r="AUS803" s="193" t="s">
        <v>1487</v>
      </c>
      <c r="AUT803" s="193" t="s">
        <v>1487</v>
      </c>
      <c r="AUU803" s="193" t="s">
        <v>1487</v>
      </c>
      <c r="AUV803" s="193" t="s">
        <v>1487</v>
      </c>
      <c r="AUW803" s="193" t="s">
        <v>1487</v>
      </c>
      <c r="AUX803" s="193" t="s">
        <v>1487</v>
      </c>
      <c r="AUY803" s="193" t="s">
        <v>1487</v>
      </c>
      <c r="AUZ803" s="193" t="s">
        <v>1487</v>
      </c>
      <c r="AVA803" s="193" t="s">
        <v>1487</v>
      </c>
      <c r="AVB803" s="193" t="s">
        <v>1487</v>
      </c>
      <c r="AVC803" s="193" t="s">
        <v>1487</v>
      </c>
      <c r="AVD803" s="193" t="s">
        <v>1487</v>
      </c>
      <c r="AVE803" s="193" t="s">
        <v>1487</v>
      </c>
      <c r="AVF803" s="193" t="s">
        <v>1487</v>
      </c>
      <c r="AVG803" s="193" t="s">
        <v>1487</v>
      </c>
      <c r="AVH803" s="193" t="s">
        <v>1487</v>
      </c>
      <c r="AVI803" s="193" t="s">
        <v>1487</v>
      </c>
      <c r="AVJ803" s="193" t="s">
        <v>1487</v>
      </c>
      <c r="AVK803" s="193" t="s">
        <v>1487</v>
      </c>
      <c r="AVL803" s="193" t="s">
        <v>1487</v>
      </c>
      <c r="AVM803" s="193" t="s">
        <v>1487</v>
      </c>
      <c r="AVN803" s="193" t="s">
        <v>1487</v>
      </c>
      <c r="AVO803" s="193" t="s">
        <v>1487</v>
      </c>
      <c r="AVP803" s="193" t="s">
        <v>1487</v>
      </c>
      <c r="AVQ803" s="193" t="s">
        <v>1487</v>
      </c>
      <c r="AVR803" s="193" t="s">
        <v>1487</v>
      </c>
      <c r="AVS803" s="193" t="s">
        <v>1487</v>
      </c>
      <c r="AVT803" s="193" t="s">
        <v>1487</v>
      </c>
      <c r="AVU803" s="193" t="s">
        <v>1487</v>
      </c>
      <c r="AVV803" s="193" t="s">
        <v>1487</v>
      </c>
      <c r="AVW803" s="193" t="s">
        <v>1487</v>
      </c>
      <c r="AVX803" s="193" t="s">
        <v>1487</v>
      </c>
      <c r="AVY803" s="193" t="s">
        <v>1487</v>
      </c>
      <c r="AVZ803" s="193" t="s">
        <v>1487</v>
      </c>
      <c r="AWA803" s="193" t="s">
        <v>1487</v>
      </c>
      <c r="AWB803" s="193" t="s">
        <v>1487</v>
      </c>
      <c r="AWC803" s="193" t="s">
        <v>1487</v>
      </c>
      <c r="AWD803" s="193" t="s">
        <v>1487</v>
      </c>
      <c r="AWE803" s="193" t="s">
        <v>1487</v>
      </c>
      <c r="AWF803" s="193" t="s">
        <v>1487</v>
      </c>
      <c r="AWG803" s="193" t="s">
        <v>1487</v>
      </c>
      <c r="AWH803" s="193" t="s">
        <v>1487</v>
      </c>
      <c r="AWI803" s="193" t="s">
        <v>1487</v>
      </c>
      <c r="AWJ803" s="193" t="s">
        <v>1487</v>
      </c>
      <c r="AWK803" s="193" t="s">
        <v>1487</v>
      </c>
      <c r="AWL803" s="193" t="s">
        <v>1487</v>
      </c>
      <c r="AWM803" s="193" t="s">
        <v>1487</v>
      </c>
      <c r="AWN803" s="193" t="s">
        <v>1487</v>
      </c>
      <c r="AWO803" s="193" t="s">
        <v>1487</v>
      </c>
      <c r="AWP803" s="193" t="s">
        <v>1487</v>
      </c>
      <c r="AWQ803" s="193" t="s">
        <v>1487</v>
      </c>
      <c r="AWR803" s="193" t="s">
        <v>1487</v>
      </c>
      <c r="AWS803" s="193" t="s">
        <v>1487</v>
      </c>
      <c r="AWT803" s="193" t="s">
        <v>1487</v>
      </c>
      <c r="AWU803" s="193" t="s">
        <v>1487</v>
      </c>
      <c r="AWV803" s="193" t="s">
        <v>1487</v>
      </c>
      <c r="AWW803" s="193" t="s">
        <v>1487</v>
      </c>
      <c r="AWX803" s="193" t="s">
        <v>1487</v>
      </c>
      <c r="AWY803" s="193" t="s">
        <v>1487</v>
      </c>
      <c r="AWZ803" s="193" t="s">
        <v>1487</v>
      </c>
      <c r="AXA803" s="193" t="s">
        <v>1487</v>
      </c>
      <c r="AXB803" s="193" t="s">
        <v>1487</v>
      </c>
      <c r="AXC803" s="193" t="s">
        <v>1487</v>
      </c>
      <c r="AXD803" s="193" t="s">
        <v>1487</v>
      </c>
      <c r="AXE803" s="193" t="s">
        <v>1487</v>
      </c>
      <c r="AXF803" s="193" t="s">
        <v>1487</v>
      </c>
      <c r="AXG803" s="193" t="s">
        <v>1487</v>
      </c>
      <c r="AXH803" s="193" t="s">
        <v>1487</v>
      </c>
      <c r="AXI803" s="193" t="s">
        <v>1487</v>
      </c>
      <c r="AXJ803" s="193" t="s">
        <v>1487</v>
      </c>
      <c r="AXK803" s="193" t="s">
        <v>1487</v>
      </c>
      <c r="AXL803" s="193" t="s">
        <v>1487</v>
      </c>
      <c r="AXM803" s="193" t="s">
        <v>1487</v>
      </c>
      <c r="AXN803" s="193" t="s">
        <v>1487</v>
      </c>
      <c r="AXO803" s="193" t="s">
        <v>1487</v>
      </c>
      <c r="AXP803" s="193" t="s">
        <v>1487</v>
      </c>
      <c r="AXQ803" s="193" t="s">
        <v>1487</v>
      </c>
      <c r="AXR803" s="193" t="s">
        <v>1487</v>
      </c>
      <c r="AXS803" s="193" t="s">
        <v>1487</v>
      </c>
      <c r="AXT803" s="193" t="s">
        <v>1487</v>
      </c>
      <c r="AXU803" s="193" t="s">
        <v>1487</v>
      </c>
      <c r="AXV803" s="193" t="s">
        <v>1487</v>
      </c>
      <c r="AXW803" s="193" t="s">
        <v>1487</v>
      </c>
      <c r="AXX803" s="193" t="s">
        <v>1487</v>
      </c>
      <c r="AXY803" s="193" t="s">
        <v>1487</v>
      </c>
      <c r="AXZ803" s="193" t="s">
        <v>1487</v>
      </c>
      <c r="AYA803" s="193" t="s">
        <v>1487</v>
      </c>
      <c r="AYB803" s="193" t="s">
        <v>1487</v>
      </c>
      <c r="AYC803" s="193" t="s">
        <v>1487</v>
      </c>
      <c r="AYD803" s="193" t="s">
        <v>1487</v>
      </c>
      <c r="AYE803" s="193" t="s">
        <v>1487</v>
      </c>
      <c r="AYF803" s="193" t="s">
        <v>1487</v>
      </c>
      <c r="AYG803" s="193" t="s">
        <v>1487</v>
      </c>
      <c r="AYH803" s="193" t="s">
        <v>1487</v>
      </c>
      <c r="AYI803" s="193" t="s">
        <v>1487</v>
      </c>
      <c r="AYJ803" s="193" t="s">
        <v>1487</v>
      </c>
      <c r="AYK803" s="193" t="s">
        <v>1487</v>
      </c>
      <c r="AYL803" s="193" t="s">
        <v>1487</v>
      </c>
      <c r="AYM803" s="193" t="s">
        <v>1487</v>
      </c>
      <c r="AYN803" s="193" t="s">
        <v>1487</v>
      </c>
      <c r="AYO803" s="193" t="s">
        <v>1487</v>
      </c>
      <c r="AYP803" s="193" t="s">
        <v>1487</v>
      </c>
      <c r="AYQ803" s="193" t="s">
        <v>1487</v>
      </c>
      <c r="AYR803" s="193" t="s">
        <v>1487</v>
      </c>
      <c r="AYS803" s="193" t="s">
        <v>1487</v>
      </c>
      <c r="AYT803" s="193" t="s">
        <v>1487</v>
      </c>
      <c r="AYU803" s="193" t="s">
        <v>1487</v>
      </c>
      <c r="AYV803" s="193" t="s">
        <v>1487</v>
      </c>
      <c r="AYW803" s="193" t="s">
        <v>1487</v>
      </c>
      <c r="AYX803" s="193" t="s">
        <v>1487</v>
      </c>
      <c r="AYY803" s="193" t="s">
        <v>1487</v>
      </c>
      <c r="AYZ803" s="193" t="s">
        <v>1487</v>
      </c>
      <c r="AZA803" s="193" t="s">
        <v>1487</v>
      </c>
      <c r="AZB803" s="193" t="s">
        <v>1487</v>
      </c>
      <c r="AZC803" s="193" t="s">
        <v>1487</v>
      </c>
      <c r="AZD803" s="193" t="s">
        <v>1487</v>
      </c>
      <c r="AZE803" s="193" t="s">
        <v>1487</v>
      </c>
      <c r="AZF803" s="193" t="s">
        <v>1487</v>
      </c>
      <c r="AZG803" s="193" t="s">
        <v>1487</v>
      </c>
      <c r="AZH803" s="193" t="s">
        <v>1487</v>
      </c>
      <c r="AZI803" s="193" t="s">
        <v>1487</v>
      </c>
      <c r="AZJ803" s="193" t="s">
        <v>1487</v>
      </c>
      <c r="AZK803" s="193" t="s">
        <v>1487</v>
      </c>
      <c r="AZL803" s="193" t="s">
        <v>1487</v>
      </c>
      <c r="AZM803" s="193" t="s">
        <v>1487</v>
      </c>
      <c r="AZN803" s="193" t="s">
        <v>1487</v>
      </c>
      <c r="AZO803" s="193" t="s">
        <v>1487</v>
      </c>
      <c r="AZP803" s="193" t="s">
        <v>1487</v>
      </c>
      <c r="AZQ803" s="193" t="s">
        <v>1487</v>
      </c>
      <c r="AZR803" s="193" t="s">
        <v>1487</v>
      </c>
      <c r="AZS803" s="193" t="s">
        <v>1487</v>
      </c>
      <c r="AZT803" s="193" t="s">
        <v>1487</v>
      </c>
      <c r="AZU803" s="193" t="s">
        <v>1487</v>
      </c>
      <c r="AZV803" s="193" t="s">
        <v>1487</v>
      </c>
      <c r="AZW803" s="193" t="s">
        <v>1487</v>
      </c>
      <c r="AZX803" s="193" t="s">
        <v>1487</v>
      </c>
      <c r="AZY803" s="193" t="s">
        <v>1487</v>
      </c>
      <c r="AZZ803" s="193" t="s">
        <v>1487</v>
      </c>
      <c r="BAA803" s="193" t="s">
        <v>1487</v>
      </c>
      <c r="BAB803" s="193" t="s">
        <v>1487</v>
      </c>
      <c r="BAC803" s="193" t="s">
        <v>1487</v>
      </c>
      <c r="BAD803" s="193" t="s">
        <v>1487</v>
      </c>
      <c r="BAE803" s="193" t="s">
        <v>1487</v>
      </c>
      <c r="BAF803" s="193" t="s">
        <v>1487</v>
      </c>
      <c r="BAG803" s="193" t="s">
        <v>1487</v>
      </c>
      <c r="BAH803" s="193" t="s">
        <v>1487</v>
      </c>
      <c r="BAI803" s="193" t="s">
        <v>1487</v>
      </c>
      <c r="BAJ803" s="193" t="s">
        <v>1487</v>
      </c>
      <c r="BAK803" s="193" t="s">
        <v>1487</v>
      </c>
      <c r="BAL803" s="193" t="s">
        <v>1487</v>
      </c>
      <c r="BAM803" s="193" t="s">
        <v>1487</v>
      </c>
      <c r="BAN803" s="193" t="s">
        <v>1487</v>
      </c>
      <c r="BAO803" s="193" t="s">
        <v>1487</v>
      </c>
      <c r="BAP803" s="193" t="s">
        <v>1487</v>
      </c>
      <c r="BAQ803" s="193" t="s">
        <v>1487</v>
      </c>
      <c r="BAR803" s="193" t="s">
        <v>1487</v>
      </c>
      <c r="BAS803" s="193" t="s">
        <v>1487</v>
      </c>
      <c r="BAT803" s="193" t="s">
        <v>1487</v>
      </c>
      <c r="BAU803" s="193" t="s">
        <v>1487</v>
      </c>
      <c r="BAV803" s="193" t="s">
        <v>1487</v>
      </c>
      <c r="BAW803" s="193" t="s">
        <v>1487</v>
      </c>
      <c r="BAX803" s="193" t="s">
        <v>1487</v>
      </c>
      <c r="BAY803" s="193" t="s">
        <v>1487</v>
      </c>
      <c r="BAZ803" s="193" t="s">
        <v>1487</v>
      </c>
      <c r="BBA803" s="193" t="s">
        <v>1487</v>
      </c>
      <c r="BBB803" s="193" t="s">
        <v>1487</v>
      </c>
      <c r="BBC803" s="193" t="s">
        <v>1487</v>
      </c>
      <c r="BBD803" s="193" t="s">
        <v>1487</v>
      </c>
      <c r="BBE803" s="193" t="s">
        <v>1487</v>
      </c>
      <c r="BBF803" s="193" t="s">
        <v>1487</v>
      </c>
      <c r="BBG803" s="193" t="s">
        <v>1487</v>
      </c>
      <c r="BBH803" s="193" t="s">
        <v>1487</v>
      </c>
      <c r="BBI803" s="193" t="s">
        <v>1487</v>
      </c>
      <c r="BBJ803" s="193" t="s">
        <v>1487</v>
      </c>
      <c r="BBK803" s="193" t="s">
        <v>1487</v>
      </c>
      <c r="BBL803" s="193" t="s">
        <v>1487</v>
      </c>
      <c r="BBM803" s="193" t="s">
        <v>1487</v>
      </c>
      <c r="BBN803" s="193" t="s">
        <v>1487</v>
      </c>
      <c r="BBO803" s="193" t="s">
        <v>1487</v>
      </c>
      <c r="BBP803" s="193" t="s">
        <v>1487</v>
      </c>
      <c r="BBQ803" s="193" t="s">
        <v>1487</v>
      </c>
      <c r="BBR803" s="193" t="s">
        <v>1487</v>
      </c>
      <c r="BBS803" s="193" t="s">
        <v>1487</v>
      </c>
      <c r="BBT803" s="193" t="s">
        <v>1487</v>
      </c>
      <c r="BBU803" s="193" t="s">
        <v>1487</v>
      </c>
      <c r="BBV803" s="193" t="s">
        <v>1487</v>
      </c>
      <c r="BBW803" s="193" t="s">
        <v>1487</v>
      </c>
      <c r="BBX803" s="193" t="s">
        <v>1487</v>
      </c>
      <c r="BBY803" s="193" t="s">
        <v>1487</v>
      </c>
      <c r="BBZ803" s="193" t="s">
        <v>1487</v>
      </c>
      <c r="BCA803" s="193" t="s">
        <v>1487</v>
      </c>
      <c r="BCB803" s="193" t="s">
        <v>1487</v>
      </c>
      <c r="BCC803" s="193" t="s">
        <v>1487</v>
      </c>
      <c r="BCD803" s="193" t="s">
        <v>1487</v>
      </c>
      <c r="BCE803" s="193" t="s">
        <v>1487</v>
      </c>
      <c r="BCF803" s="193" t="s">
        <v>1487</v>
      </c>
      <c r="BCG803" s="193" t="s">
        <v>1487</v>
      </c>
      <c r="BCH803" s="193" t="s">
        <v>1487</v>
      </c>
      <c r="BCI803" s="193" t="s">
        <v>1487</v>
      </c>
      <c r="BCJ803" s="193" t="s">
        <v>1487</v>
      </c>
      <c r="BCK803" s="193" t="s">
        <v>1487</v>
      </c>
      <c r="BCL803" s="193" t="s">
        <v>1487</v>
      </c>
      <c r="BCM803" s="193" t="s">
        <v>1487</v>
      </c>
      <c r="BCN803" s="193" t="s">
        <v>1487</v>
      </c>
      <c r="BCO803" s="193" t="s">
        <v>1487</v>
      </c>
      <c r="BCP803" s="193" t="s">
        <v>1487</v>
      </c>
      <c r="BCQ803" s="193" t="s">
        <v>1487</v>
      </c>
      <c r="BCR803" s="193" t="s">
        <v>1487</v>
      </c>
      <c r="BCS803" s="193" t="s">
        <v>1487</v>
      </c>
      <c r="BCT803" s="193" t="s">
        <v>1487</v>
      </c>
      <c r="BCU803" s="193" t="s">
        <v>1487</v>
      </c>
      <c r="BCV803" s="193" t="s">
        <v>1487</v>
      </c>
      <c r="BCW803" s="193" t="s">
        <v>1487</v>
      </c>
      <c r="BCX803" s="193" t="s">
        <v>1487</v>
      </c>
      <c r="BCY803" s="193" t="s">
        <v>1487</v>
      </c>
      <c r="BCZ803" s="193" t="s">
        <v>1487</v>
      </c>
      <c r="BDA803" s="193" t="s">
        <v>1487</v>
      </c>
      <c r="BDB803" s="193" t="s">
        <v>1487</v>
      </c>
      <c r="BDC803" s="193" t="s">
        <v>1487</v>
      </c>
      <c r="BDD803" s="193" t="s">
        <v>1487</v>
      </c>
      <c r="BDE803" s="193" t="s">
        <v>1487</v>
      </c>
      <c r="BDF803" s="193" t="s">
        <v>1487</v>
      </c>
      <c r="BDG803" s="193" t="s">
        <v>1487</v>
      </c>
      <c r="BDH803" s="193" t="s">
        <v>1487</v>
      </c>
      <c r="BDI803" s="193" t="s">
        <v>1487</v>
      </c>
      <c r="BDJ803" s="193" t="s">
        <v>1487</v>
      </c>
      <c r="BDK803" s="193" t="s">
        <v>1487</v>
      </c>
      <c r="BDL803" s="193" t="s">
        <v>1487</v>
      </c>
      <c r="BDM803" s="193" t="s">
        <v>1487</v>
      </c>
      <c r="BDN803" s="193" t="s">
        <v>1487</v>
      </c>
      <c r="BDO803" s="193" t="s">
        <v>1487</v>
      </c>
      <c r="BDP803" s="193" t="s">
        <v>1487</v>
      </c>
      <c r="BDQ803" s="193" t="s">
        <v>1487</v>
      </c>
      <c r="BDR803" s="193" t="s">
        <v>1487</v>
      </c>
      <c r="BDS803" s="193" t="s">
        <v>1487</v>
      </c>
      <c r="BDT803" s="193" t="s">
        <v>1487</v>
      </c>
      <c r="BDU803" s="193" t="s">
        <v>1487</v>
      </c>
      <c r="BDV803" s="193" t="s">
        <v>1487</v>
      </c>
      <c r="BDW803" s="193" t="s">
        <v>1487</v>
      </c>
      <c r="BDX803" s="193" t="s">
        <v>1487</v>
      </c>
      <c r="BDY803" s="193" t="s">
        <v>1487</v>
      </c>
      <c r="BDZ803" s="193" t="s">
        <v>1487</v>
      </c>
      <c r="BEA803" s="193" t="s">
        <v>1487</v>
      </c>
      <c r="BEB803" s="193" t="s">
        <v>1487</v>
      </c>
      <c r="BEC803" s="193" t="s">
        <v>1487</v>
      </c>
      <c r="BED803" s="193" t="s">
        <v>1487</v>
      </c>
      <c r="BEE803" s="193" t="s">
        <v>1487</v>
      </c>
      <c r="BEF803" s="193" t="s">
        <v>1487</v>
      </c>
      <c r="BEG803" s="193" t="s">
        <v>1487</v>
      </c>
      <c r="BEH803" s="193" t="s">
        <v>1487</v>
      </c>
      <c r="BEI803" s="193" t="s">
        <v>1487</v>
      </c>
      <c r="BEJ803" s="193" t="s">
        <v>1487</v>
      </c>
      <c r="BEK803" s="193" t="s">
        <v>1487</v>
      </c>
      <c r="BEL803" s="193" t="s">
        <v>1487</v>
      </c>
      <c r="BEM803" s="193" t="s">
        <v>1487</v>
      </c>
      <c r="BEN803" s="193" t="s">
        <v>1487</v>
      </c>
      <c r="BEO803" s="193" t="s">
        <v>1487</v>
      </c>
      <c r="BEP803" s="193" t="s">
        <v>1487</v>
      </c>
      <c r="BEQ803" s="193" t="s">
        <v>1487</v>
      </c>
      <c r="BER803" s="193" t="s">
        <v>1487</v>
      </c>
      <c r="BES803" s="193" t="s">
        <v>1487</v>
      </c>
      <c r="BET803" s="193" t="s">
        <v>1487</v>
      </c>
      <c r="BEU803" s="193" t="s">
        <v>1487</v>
      </c>
      <c r="BEV803" s="193" t="s">
        <v>1487</v>
      </c>
      <c r="BEW803" s="193" t="s">
        <v>1487</v>
      </c>
      <c r="BEX803" s="193" t="s">
        <v>1487</v>
      </c>
      <c r="BEY803" s="193" t="s">
        <v>1487</v>
      </c>
      <c r="BEZ803" s="193" t="s">
        <v>1487</v>
      </c>
      <c r="BFA803" s="193" t="s">
        <v>1487</v>
      </c>
      <c r="BFB803" s="193" t="s">
        <v>1487</v>
      </c>
      <c r="BFC803" s="193" t="s">
        <v>1487</v>
      </c>
      <c r="BFD803" s="193" t="s">
        <v>1487</v>
      </c>
      <c r="BFE803" s="193" t="s">
        <v>1487</v>
      </c>
      <c r="BFF803" s="193" t="s">
        <v>1487</v>
      </c>
      <c r="BFG803" s="193" t="s">
        <v>1487</v>
      </c>
      <c r="BFH803" s="193" t="s">
        <v>1487</v>
      </c>
      <c r="BFI803" s="193" t="s">
        <v>1487</v>
      </c>
      <c r="BFJ803" s="193" t="s">
        <v>1487</v>
      </c>
      <c r="BFK803" s="193" t="s">
        <v>1487</v>
      </c>
      <c r="BFL803" s="193" t="s">
        <v>1487</v>
      </c>
      <c r="BFM803" s="193" t="s">
        <v>1487</v>
      </c>
      <c r="BFN803" s="193" t="s">
        <v>1487</v>
      </c>
      <c r="BFO803" s="193" t="s">
        <v>1487</v>
      </c>
      <c r="BFP803" s="193" t="s">
        <v>1487</v>
      </c>
      <c r="BFQ803" s="193" t="s">
        <v>1487</v>
      </c>
      <c r="BFR803" s="193" t="s">
        <v>1487</v>
      </c>
      <c r="BFS803" s="193" t="s">
        <v>1487</v>
      </c>
      <c r="BFT803" s="193" t="s">
        <v>1487</v>
      </c>
      <c r="BFU803" s="193" t="s">
        <v>1487</v>
      </c>
      <c r="BFV803" s="193" t="s">
        <v>1487</v>
      </c>
      <c r="BFW803" s="193" t="s">
        <v>1487</v>
      </c>
      <c r="BFX803" s="193" t="s">
        <v>1487</v>
      </c>
      <c r="BFY803" s="193" t="s">
        <v>1487</v>
      </c>
      <c r="BFZ803" s="193" t="s">
        <v>1487</v>
      </c>
      <c r="BGA803" s="193" t="s">
        <v>1487</v>
      </c>
      <c r="BGB803" s="193" t="s">
        <v>1487</v>
      </c>
      <c r="BGC803" s="193" t="s">
        <v>1487</v>
      </c>
      <c r="BGD803" s="193" t="s">
        <v>1487</v>
      </c>
      <c r="BGE803" s="193" t="s">
        <v>1487</v>
      </c>
      <c r="BGF803" s="193" t="s">
        <v>1487</v>
      </c>
      <c r="BGG803" s="193" t="s">
        <v>1487</v>
      </c>
      <c r="BGH803" s="193" t="s">
        <v>1487</v>
      </c>
      <c r="BGI803" s="193" t="s">
        <v>1487</v>
      </c>
      <c r="BGJ803" s="193" t="s">
        <v>1487</v>
      </c>
      <c r="BGK803" s="193" t="s">
        <v>1487</v>
      </c>
      <c r="BGL803" s="193" t="s">
        <v>1487</v>
      </c>
      <c r="BGM803" s="193" t="s">
        <v>1487</v>
      </c>
      <c r="BGN803" s="193" t="s">
        <v>1487</v>
      </c>
      <c r="BGO803" s="193" t="s">
        <v>1487</v>
      </c>
      <c r="BGP803" s="193" t="s">
        <v>1487</v>
      </c>
      <c r="BGQ803" s="193" t="s">
        <v>1487</v>
      </c>
      <c r="BGR803" s="193" t="s">
        <v>1487</v>
      </c>
      <c r="BGS803" s="193" t="s">
        <v>1487</v>
      </c>
      <c r="BGT803" s="193" t="s">
        <v>1487</v>
      </c>
      <c r="BGU803" s="193" t="s">
        <v>1487</v>
      </c>
      <c r="BGV803" s="193" t="s">
        <v>1487</v>
      </c>
      <c r="BGW803" s="193" t="s">
        <v>1487</v>
      </c>
      <c r="BGX803" s="193" t="s">
        <v>1487</v>
      </c>
      <c r="BGY803" s="193" t="s">
        <v>1487</v>
      </c>
      <c r="BGZ803" s="193" t="s">
        <v>1487</v>
      </c>
      <c r="BHA803" s="193" t="s">
        <v>1487</v>
      </c>
      <c r="BHB803" s="193" t="s">
        <v>1487</v>
      </c>
      <c r="BHC803" s="193" t="s">
        <v>1487</v>
      </c>
      <c r="BHD803" s="193" t="s">
        <v>1487</v>
      </c>
      <c r="BHE803" s="193" t="s">
        <v>1487</v>
      </c>
      <c r="BHF803" s="193" t="s">
        <v>1487</v>
      </c>
      <c r="BHG803" s="193" t="s">
        <v>1487</v>
      </c>
      <c r="BHH803" s="193" t="s">
        <v>1487</v>
      </c>
      <c r="BHI803" s="193" t="s">
        <v>1487</v>
      </c>
      <c r="BHJ803" s="193" t="s">
        <v>1487</v>
      </c>
      <c r="BHK803" s="193" t="s">
        <v>1487</v>
      </c>
      <c r="BHL803" s="193" t="s">
        <v>1487</v>
      </c>
      <c r="BHM803" s="193" t="s">
        <v>1487</v>
      </c>
      <c r="BHN803" s="193" t="s">
        <v>1487</v>
      </c>
      <c r="BHO803" s="193" t="s">
        <v>1487</v>
      </c>
      <c r="BHP803" s="193" t="s">
        <v>1487</v>
      </c>
      <c r="BHQ803" s="193" t="s">
        <v>1487</v>
      </c>
      <c r="BHR803" s="193" t="s">
        <v>1487</v>
      </c>
      <c r="BHS803" s="193" t="s">
        <v>1487</v>
      </c>
      <c r="BHT803" s="193" t="s">
        <v>1487</v>
      </c>
      <c r="BHU803" s="193" t="s">
        <v>1487</v>
      </c>
      <c r="BHV803" s="193" t="s">
        <v>1487</v>
      </c>
      <c r="BHW803" s="193" t="s">
        <v>1487</v>
      </c>
      <c r="BHX803" s="193" t="s">
        <v>1487</v>
      </c>
      <c r="BHY803" s="193" t="s">
        <v>1487</v>
      </c>
      <c r="BHZ803" s="193" t="s">
        <v>1487</v>
      </c>
      <c r="BIA803" s="193" t="s">
        <v>1487</v>
      </c>
      <c r="BIB803" s="193" t="s">
        <v>1487</v>
      </c>
      <c r="BIC803" s="193" t="s">
        <v>1487</v>
      </c>
      <c r="BID803" s="193" t="s">
        <v>1487</v>
      </c>
      <c r="BIE803" s="193" t="s">
        <v>1487</v>
      </c>
      <c r="BIF803" s="193" t="s">
        <v>1487</v>
      </c>
      <c r="BIG803" s="193" t="s">
        <v>1487</v>
      </c>
      <c r="BIH803" s="193" t="s">
        <v>1487</v>
      </c>
      <c r="BII803" s="193" t="s">
        <v>1487</v>
      </c>
      <c r="BIJ803" s="193" t="s">
        <v>1487</v>
      </c>
      <c r="BIK803" s="193" t="s">
        <v>1487</v>
      </c>
      <c r="BIL803" s="193" t="s">
        <v>1487</v>
      </c>
      <c r="BIM803" s="193" t="s">
        <v>1487</v>
      </c>
      <c r="BIN803" s="193" t="s">
        <v>1487</v>
      </c>
      <c r="BIO803" s="193" t="s">
        <v>1487</v>
      </c>
      <c r="BIP803" s="193" t="s">
        <v>1487</v>
      </c>
      <c r="BIQ803" s="193" t="s">
        <v>1487</v>
      </c>
      <c r="BIR803" s="193" t="s">
        <v>1487</v>
      </c>
      <c r="BIS803" s="193" t="s">
        <v>1487</v>
      </c>
      <c r="BIT803" s="193" t="s">
        <v>1487</v>
      </c>
      <c r="BIU803" s="193" t="s">
        <v>1487</v>
      </c>
      <c r="BIV803" s="193" t="s">
        <v>1487</v>
      </c>
      <c r="BIW803" s="193" t="s">
        <v>1487</v>
      </c>
      <c r="BIX803" s="193" t="s">
        <v>1487</v>
      </c>
      <c r="BIY803" s="193" t="s">
        <v>1487</v>
      </c>
      <c r="BIZ803" s="193" t="s">
        <v>1487</v>
      </c>
      <c r="BJA803" s="193" t="s">
        <v>1487</v>
      </c>
      <c r="BJB803" s="193" t="s">
        <v>1487</v>
      </c>
      <c r="BJC803" s="193" t="s">
        <v>1487</v>
      </c>
      <c r="BJD803" s="193" t="s">
        <v>1487</v>
      </c>
      <c r="BJE803" s="193" t="s">
        <v>1487</v>
      </c>
      <c r="BJF803" s="193" t="s">
        <v>1487</v>
      </c>
      <c r="BJG803" s="193" t="s">
        <v>1487</v>
      </c>
      <c r="BJH803" s="193" t="s">
        <v>1487</v>
      </c>
      <c r="BJI803" s="193" t="s">
        <v>1487</v>
      </c>
      <c r="BJJ803" s="193" t="s">
        <v>1487</v>
      </c>
      <c r="BJK803" s="193" t="s">
        <v>1487</v>
      </c>
      <c r="BJL803" s="193" t="s">
        <v>1487</v>
      </c>
      <c r="BJM803" s="193" t="s">
        <v>1487</v>
      </c>
      <c r="BJN803" s="193" t="s">
        <v>1487</v>
      </c>
      <c r="BJO803" s="193" t="s">
        <v>1487</v>
      </c>
      <c r="BJP803" s="193" t="s">
        <v>1487</v>
      </c>
      <c r="BJQ803" s="193" t="s">
        <v>1487</v>
      </c>
      <c r="BJR803" s="193" t="s">
        <v>1487</v>
      </c>
      <c r="BJS803" s="193" t="s">
        <v>1487</v>
      </c>
      <c r="BJT803" s="193" t="s">
        <v>1487</v>
      </c>
      <c r="BJU803" s="193" t="s">
        <v>1487</v>
      </c>
      <c r="BJV803" s="193" t="s">
        <v>1487</v>
      </c>
      <c r="BJW803" s="193" t="s">
        <v>1487</v>
      </c>
      <c r="BJX803" s="193" t="s">
        <v>1487</v>
      </c>
      <c r="BJY803" s="193" t="s">
        <v>1487</v>
      </c>
      <c r="BJZ803" s="193" t="s">
        <v>1487</v>
      </c>
      <c r="BKA803" s="193" t="s">
        <v>1487</v>
      </c>
      <c r="BKB803" s="193" t="s">
        <v>1487</v>
      </c>
      <c r="BKC803" s="193" t="s">
        <v>1487</v>
      </c>
      <c r="BKD803" s="193" t="s">
        <v>1487</v>
      </c>
      <c r="BKE803" s="193" t="s">
        <v>1487</v>
      </c>
      <c r="BKF803" s="193" t="s">
        <v>1487</v>
      </c>
      <c r="BKG803" s="193" t="s">
        <v>1487</v>
      </c>
      <c r="BKH803" s="193" t="s">
        <v>1487</v>
      </c>
      <c r="BKI803" s="193" t="s">
        <v>1487</v>
      </c>
      <c r="BKJ803" s="193" t="s">
        <v>1487</v>
      </c>
      <c r="BKK803" s="193" t="s">
        <v>1487</v>
      </c>
      <c r="BKL803" s="193" t="s">
        <v>1487</v>
      </c>
      <c r="BKM803" s="193" t="s">
        <v>1487</v>
      </c>
      <c r="BKN803" s="193" t="s">
        <v>1487</v>
      </c>
      <c r="BKO803" s="193" t="s">
        <v>1487</v>
      </c>
      <c r="BKP803" s="193" t="s">
        <v>1487</v>
      </c>
      <c r="BKQ803" s="193" t="s">
        <v>1487</v>
      </c>
      <c r="BKR803" s="193" t="s">
        <v>1487</v>
      </c>
      <c r="BKS803" s="193" t="s">
        <v>1487</v>
      </c>
      <c r="BKT803" s="193" t="s">
        <v>1487</v>
      </c>
      <c r="BKU803" s="193" t="s">
        <v>1487</v>
      </c>
      <c r="BKV803" s="193" t="s">
        <v>1487</v>
      </c>
      <c r="BKW803" s="193" t="s">
        <v>1487</v>
      </c>
      <c r="BKX803" s="193" t="s">
        <v>1487</v>
      </c>
      <c r="BKY803" s="193" t="s">
        <v>1487</v>
      </c>
      <c r="BKZ803" s="193" t="s">
        <v>1487</v>
      </c>
      <c r="BLA803" s="193" t="s">
        <v>1487</v>
      </c>
      <c r="BLB803" s="193" t="s">
        <v>1487</v>
      </c>
      <c r="BLC803" s="193" t="s">
        <v>1487</v>
      </c>
      <c r="BLD803" s="193" t="s">
        <v>1487</v>
      </c>
      <c r="BLE803" s="193" t="s">
        <v>1487</v>
      </c>
      <c r="BLF803" s="193" t="s">
        <v>1487</v>
      </c>
      <c r="BLG803" s="193" t="s">
        <v>1487</v>
      </c>
      <c r="BLH803" s="193" t="s">
        <v>1487</v>
      </c>
      <c r="BLI803" s="193" t="s">
        <v>1487</v>
      </c>
      <c r="BLJ803" s="193" t="s">
        <v>1487</v>
      </c>
      <c r="BLK803" s="193" t="s">
        <v>1487</v>
      </c>
      <c r="BLL803" s="193" t="s">
        <v>1487</v>
      </c>
      <c r="BLM803" s="193" t="s">
        <v>1487</v>
      </c>
      <c r="BLN803" s="193" t="s">
        <v>1487</v>
      </c>
      <c r="BLO803" s="193" t="s">
        <v>1487</v>
      </c>
      <c r="BLP803" s="193" t="s">
        <v>1487</v>
      </c>
      <c r="BLQ803" s="193" t="s">
        <v>1487</v>
      </c>
      <c r="BLR803" s="193" t="s">
        <v>1487</v>
      </c>
      <c r="BLS803" s="193" t="s">
        <v>1487</v>
      </c>
      <c r="BLT803" s="193" t="s">
        <v>1487</v>
      </c>
      <c r="BLU803" s="193" t="s">
        <v>1487</v>
      </c>
      <c r="BLV803" s="193" t="s">
        <v>1487</v>
      </c>
      <c r="BLW803" s="193" t="s">
        <v>1487</v>
      </c>
      <c r="BLX803" s="193" t="s">
        <v>1487</v>
      </c>
      <c r="BLY803" s="193" t="s">
        <v>1487</v>
      </c>
      <c r="BLZ803" s="193" t="s">
        <v>1487</v>
      </c>
      <c r="BMA803" s="193" t="s">
        <v>1487</v>
      </c>
      <c r="BMB803" s="193" t="s">
        <v>1487</v>
      </c>
      <c r="BMC803" s="193" t="s">
        <v>1487</v>
      </c>
      <c r="BMD803" s="193" t="s">
        <v>1487</v>
      </c>
      <c r="BME803" s="193" t="s">
        <v>1487</v>
      </c>
      <c r="BMF803" s="193" t="s">
        <v>1487</v>
      </c>
      <c r="BMG803" s="193" t="s">
        <v>1487</v>
      </c>
      <c r="BMH803" s="193" t="s">
        <v>1487</v>
      </c>
      <c r="BMI803" s="193" t="s">
        <v>1487</v>
      </c>
      <c r="BMJ803" s="193" t="s">
        <v>1487</v>
      </c>
      <c r="BMK803" s="193" t="s">
        <v>1487</v>
      </c>
      <c r="BML803" s="193" t="s">
        <v>1487</v>
      </c>
      <c r="BMM803" s="193" t="s">
        <v>1487</v>
      </c>
      <c r="BMN803" s="193" t="s">
        <v>1487</v>
      </c>
      <c r="BMO803" s="193" t="s">
        <v>1487</v>
      </c>
      <c r="BMP803" s="193" t="s">
        <v>1487</v>
      </c>
      <c r="BMQ803" s="193" t="s">
        <v>1487</v>
      </c>
      <c r="BMR803" s="193" t="s">
        <v>1487</v>
      </c>
      <c r="BMS803" s="193" t="s">
        <v>1487</v>
      </c>
      <c r="BMT803" s="193" t="s">
        <v>1487</v>
      </c>
      <c r="BMU803" s="193" t="s">
        <v>1487</v>
      </c>
      <c r="BMV803" s="193" t="s">
        <v>1487</v>
      </c>
      <c r="BMW803" s="193" t="s">
        <v>1487</v>
      </c>
      <c r="BMX803" s="193" t="s">
        <v>1487</v>
      </c>
      <c r="BMY803" s="193" t="s">
        <v>1487</v>
      </c>
      <c r="BMZ803" s="193" t="s">
        <v>1487</v>
      </c>
      <c r="BNA803" s="193" t="s">
        <v>1487</v>
      </c>
      <c r="BNB803" s="193" t="s">
        <v>1487</v>
      </c>
      <c r="BNC803" s="193" t="s">
        <v>1487</v>
      </c>
      <c r="BND803" s="193" t="s">
        <v>1487</v>
      </c>
      <c r="BNE803" s="193" t="s">
        <v>1487</v>
      </c>
      <c r="BNF803" s="193" t="s">
        <v>1487</v>
      </c>
      <c r="BNG803" s="193" t="s">
        <v>1487</v>
      </c>
      <c r="BNH803" s="193" t="s">
        <v>1487</v>
      </c>
      <c r="BNI803" s="193" t="s">
        <v>1487</v>
      </c>
      <c r="BNJ803" s="193" t="s">
        <v>1487</v>
      </c>
      <c r="BNK803" s="193" t="s">
        <v>1487</v>
      </c>
      <c r="BNL803" s="193" t="s">
        <v>1487</v>
      </c>
      <c r="BNM803" s="193" t="s">
        <v>1487</v>
      </c>
      <c r="BNN803" s="193" t="s">
        <v>1487</v>
      </c>
      <c r="BNO803" s="193" t="s">
        <v>1487</v>
      </c>
      <c r="BNP803" s="193" t="s">
        <v>1487</v>
      </c>
      <c r="BNQ803" s="193" t="s">
        <v>1487</v>
      </c>
      <c r="BNR803" s="193" t="s">
        <v>1487</v>
      </c>
      <c r="BNS803" s="193" t="s">
        <v>1487</v>
      </c>
      <c r="BNT803" s="193" t="s">
        <v>1487</v>
      </c>
      <c r="BNU803" s="193" t="s">
        <v>1487</v>
      </c>
      <c r="BNV803" s="193" t="s">
        <v>1487</v>
      </c>
      <c r="BNW803" s="193" t="s">
        <v>1487</v>
      </c>
      <c r="BNX803" s="193" t="s">
        <v>1487</v>
      </c>
      <c r="BNY803" s="193" t="s">
        <v>1487</v>
      </c>
      <c r="BNZ803" s="193" t="s">
        <v>1487</v>
      </c>
      <c r="BOA803" s="193" t="s">
        <v>1487</v>
      </c>
      <c r="BOB803" s="193" t="s">
        <v>1487</v>
      </c>
      <c r="BOC803" s="193" t="s">
        <v>1487</v>
      </c>
      <c r="BOD803" s="193" t="s">
        <v>1487</v>
      </c>
      <c r="BOE803" s="193" t="s">
        <v>1487</v>
      </c>
      <c r="BOF803" s="193" t="s">
        <v>1487</v>
      </c>
      <c r="BOG803" s="193" t="s">
        <v>1487</v>
      </c>
      <c r="BOH803" s="193" t="s">
        <v>1487</v>
      </c>
      <c r="BOI803" s="193" t="s">
        <v>1487</v>
      </c>
      <c r="BOJ803" s="193" t="s">
        <v>1487</v>
      </c>
      <c r="BOK803" s="193" t="s">
        <v>1487</v>
      </c>
      <c r="BOL803" s="193" t="s">
        <v>1487</v>
      </c>
      <c r="BOM803" s="193" t="s">
        <v>1487</v>
      </c>
      <c r="BON803" s="193" t="s">
        <v>1487</v>
      </c>
      <c r="BOO803" s="193" t="s">
        <v>1487</v>
      </c>
      <c r="BOP803" s="193" t="s">
        <v>1487</v>
      </c>
      <c r="BOQ803" s="193" t="s">
        <v>1487</v>
      </c>
      <c r="BOR803" s="193" t="s">
        <v>1487</v>
      </c>
      <c r="BOS803" s="193" t="s">
        <v>1487</v>
      </c>
      <c r="BOT803" s="193" t="s">
        <v>1487</v>
      </c>
      <c r="BOU803" s="193" t="s">
        <v>1487</v>
      </c>
      <c r="BOV803" s="193" t="s">
        <v>1487</v>
      </c>
      <c r="BOW803" s="193" t="s">
        <v>1487</v>
      </c>
      <c r="BOX803" s="193" t="s">
        <v>1487</v>
      </c>
      <c r="BOY803" s="193" t="s">
        <v>1487</v>
      </c>
      <c r="BOZ803" s="193" t="s">
        <v>1487</v>
      </c>
      <c r="BPA803" s="193" t="s">
        <v>1487</v>
      </c>
      <c r="BPB803" s="193" t="s">
        <v>1487</v>
      </c>
      <c r="BPC803" s="193" t="s">
        <v>1487</v>
      </c>
      <c r="BPD803" s="193" t="s">
        <v>1487</v>
      </c>
      <c r="BPE803" s="193" t="s">
        <v>1487</v>
      </c>
      <c r="BPF803" s="193" t="s">
        <v>1487</v>
      </c>
      <c r="BPG803" s="193" t="s">
        <v>1487</v>
      </c>
      <c r="BPH803" s="193" t="s">
        <v>1487</v>
      </c>
      <c r="BPI803" s="193" t="s">
        <v>1487</v>
      </c>
      <c r="BPJ803" s="193" t="s">
        <v>1487</v>
      </c>
      <c r="BPK803" s="193" t="s">
        <v>1487</v>
      </c>
      <c r="BPL803" s="193" t="s">
        <v>1487</v>
      </c>
      <c r="BPM803" s="193" t="s">
        <v>1487</v>
      </c>
      <c r="BPN803" s="193" t="s">
        <v>1487</v>
      </c>
      <c r="BPO803" s="193" t="s">
        <v>1487</v>
      </c>
      <c r="BPP803" s="193" t="s">
        <v>1487</v>
      </c>
      <c r="BPQ803" s="193" t="s">
        <v>1487</v>
      </c>
      <c r="BPR803" s="193" t="s">
        <v>1487</v>
      </c>
      <c r="BPS803" s="193" t="s">
        <v>1487</v>
      </c>
      <c r="BPT803" s="193" t="s">
        <v>1487</v>
      </c>
      <c r="BPU803" s="193" t="s">
        <v>1487</v>
      </c>
      <c r="BPV803" s="193" t="s">
        <v>1487</v>
      </c>
      <c r="BPW803" s="193" t="s">
        <v>1487</v>
      </c>
      <c r="BPX803" s="193" t="s">
        <v>1487</v>
      </c>
      <c r="BPY803" s="193" t="s">
        <v>1487</v>
      </c>
      <c r="BPZ803" s="193" t="s">
        <v>1487</v>
      </c>
      <c r="BQA803" s="193" t="s">
        <v>1487</v>
      </c>
      <c r="BQB803" s="193" t="s">
        <v>1487</v>
      </c>
      <c r="BQC803" s="193" t="s">
        <v>1487</v>
      </c>
      <c r="BQD803" s="193" t="s">
        <v>1487</v>
      </c>
      <c r="BQE803" s="193" t="s">
        <v>1487</v>
      </c>
      <c r="BQF803" s="193" t="s">
        <v>1487</v>
      </c>
      <c r="BQG803" s="193" t="s">
        <v>1487</v>
      </c>
      <c r="BQH803" s="193" t="s">
        <v>1487</v>
      </c>
      <c r="BQI803" s="193" t="s">
        <v>1487</v>
      </c>
      <c r="BQJ803" s="193" t="s">
        <v>1487</v>
      </c>
      <c r="BQK803" s="193" t="s">
        <v>1487</v>
      </c>
      <c r="BQL803" s="193" t="s">
        <v>1487</v>
      </c>
      <c r="BQM803" s="193" t="s">
        <v>1487</v>
      </c>
      <c r="BQN803" s="193" t="s">
        <v>1487</v>
      </c>
      <c r="BQO803" s="193" t="s">
        <v>1487</v>
      </c>
      <c r="BQP803" s="193" t="s">
        <v>1487</v>
      </c>
      <c r="BQQ803" s="193" t="s">
        <v>1487</v>
      </c>
      <c r="BQR803" s="193" t="s">
        <v>1487</v>
      </c>
      <c r="BQS803" s="193" t="s">
        <v>1487</v>
      </c>
      <c r="BQT803" s="193" t="s">
        <v>1487</v>
      </c>
      <c r="BQU803" s="193" t="s">
        <v>1487</v>
      </c>
      <c r="BQV803" s="193" t="s">
        <v>1487</v>
      </c>
      <c r="BQW803" s="193" t="s">
        <v>1487</v>
      </c>
      <c r="BQX803" s="193" t="s">
        <v>1487</v>
      </c>
      <c r="BQY803" s="193" t="s">
        <v>1487</v>
      </c>
      <c r="BQZ803" s="193" t="s">
        <v>1487</v>
      </c>
      <c r="BRA803" s="193" t="s">
        <v>1487</v>
      </c>
      <c r="BRB803" s="193" t="s">
        <v>1487</v>
      </c>
      <c r="BRC803" s="193" t="s">
        <v>1487</v>
      </c>
      <c r="BRD803" s="193" t="s">
        <v>1487</v>
      </c>
      <c r="BRE803" s="193" t="s">
        <v>1487</v>
      </c>
      <c r="BRF803" s="193" t="s">
        <v>1487</v>
      </c>
      <c r="BRG803" s="193" t="s">
        <v>1487</v>
      </c>
      <c r="BRH803" s="193" t="s">
        <v>1487</v>
      </c>
      <c r="BRI803" s="193" t="s">
        <v>1487</v>
      </c>
      <c r="BRJ803" s="193" t="s">
        <v>1487</v>
      </c>
      <c r="BRK803" s="193" t="s">
        <v>1487</v>
      </c>
      <c r="BRL803" s="193" t="s">
        <v>1487</v>
      </c>
      <c r="BRM803" s="193" t="s">
        <v>1487</v>
      </c>
      <c r="BRN803" s="193" t="s">
        <v>1487</v>
      </c>
      <c r="BRO803" s="193" t="s">
        <v>1487</v>
      </c>
      <c r="BRP803" s="193" t="s">
        <v>1487</v>
      </c>
      <c r="BRQ803" s="193" t="s">
        <v>1487</v>
      </c>
      <c r="BRR803" s="193" t="s">
        <v>1487</v>
      </c>
      <c r="BRS803" s="193" t="s">
        <v>1487</v>
      </c>
      <c r="BRT803" s="193" t="s">
        <v>1487</v>
      </c>
      <c r="BRU803" s="193" t="s">
        <v>1487</v>
      </c>
      <c r="BRV803" s="193" t="s">
        <v>1487</v>
      </c>
      <c r="BRW803" s="193" t="s">
        <v>1487</v>
      </c>
      <c r="BRX803" s="193" t="s">
        <v>1487</v>
      </c>
      <c r="BRY803" s="193" t="s">
        <v>1487</v>
      </c>
      <c r="BRZ803" s="193" t="s">
        <v>1487</v>
      </c>
      <c r="BSA803" s="193" t="s">
        <v>1487</v>
      </c>
      <c r="BSB803" s="193" t="s">
        <v>1487</v>
      </c>
      <c r="BSC803" s="193" t="s">
        <v>1487</v>
      </c>
      <c r="BSD803" s="193" t="s">
        <v>1487</v>
      </c>
      <c r="BSE803" s="193" t="s">
        <v>1487</v>
      </c>
      <c r="BSF803" s="193" t="s">
        <v>1487</v>
      </c>
      <c r="BSG803" s="193" t="s">
        <v>1487</v>
      </c>
      <c r="BSH803" s="193" t="s">
        <v>1487</v>
      </c>
      <c r="BSI803" s="193" t="s">
        <v>1487</v>
      </c>
      <c r="BSJ803" s="193" t="s">
        <v>1487</v>
      </c>
      <c r="BSK803" s="193" t="s">
        <v>1487</v>
      </c>
      <c r="BSL803" s="193" t="s">
        <v>1487</v>
      </c>
      <c r="BSM803" s="193" t="s">
        <v>1487</v>
      </c>
      <c r="BSN803" s="193" t="s">
        <v>1487</v>
      </c>
      <c r="BSO803" s="193" t="s">
        <v>1487</v>
      </c>
      <c r="BSP803" s="193" t="s">
        <v>1487</v>
      </c>
      <c r="BSQ803" s="193" t="s">
        <v>1487</v>
      </c>
      <c r="BSR803" s="193" t="s">
        <v>1487</v>
      </c>
      <c r="BSS803" s="193" t="s">
        <v>1487</v>
      </c>
      <c r="BST803" s="193" t="s">
        <v>1487</v>
      </c>
      <c r="BSU803" s="193" t="s">
        <v>1487</v>
      </c>
      <c r="BSV803" s="193" t="s">
        <v>1487</v>
      </c>
      <c r="BSW803" s="193" t="s">
        <v>1487</v>
      </c>
      <c r="BSX803" s="193" t="s">
        <v>1487</v>
      </c>
      <c r="BSY803" s="193" t="s">
        <v>1487</v>
      </c>
      <c r="BSZ803" s="193" t="s">
        <v>1487</v>
      </c>
      <c r="BTA803" s="193" t="s">
        <v>1487</v>
      </c>
      <c r="BTB803" s="193" t="s">
        <v>1487</v>
      </c>
      <c r="BTC803" s="193" t="s">
        <v>1487</v>
      </c>
      <c r="BTD803" s="193" t="s">
        <v>1487</v>
      </c>
      <c r="BTE803" s="193" t="s">
        <v>1487</v>
      </c>
      <c r="BTF803" s="193" t="s">
        <v>1487</v>
      </c>
      <c r="BTG803" s="193" t="s">
        <v>1487</v>
      </c>
      <c r="BTH803" s="193" t="s">
        <v>1487</v>
      </c>
      <c r="BTI803" s="193" t="s">
        <v>1487</v>
      </c>
      <c r="BTJ803" s="193" t="s">
        <v>1487</v>
      </c>
      <c r="BTK803" s="193" t="s">
        <v>1487</v>
      </c>
      <c r="BTL803" s="193" t="s">
        <v>1487</v>
      </c>
      <c r="BTM803" s="193" t="s">
        <v>1487</v>
      </c>
      <c r="BTN803" s="193" t="s">
        <v>1487</v>
      </c>
      <c r="BTO803" s="193" t="s">
        <v>1487</v>
      </c>
      <c r="BTP803" s="193" t="s">
        <v>1487</v>
      </c>
      <c r="BTQ803" s="193" t="s">
        <v>1487</v>
      </c>
      <c r="BTR803" s="193" t="s">
        <v>1487</v>
      </c>
      <c r="BTS803" s="193" t="s">
        <v>1487</v>
      </c>
      <c r="BTT803" s="193" t="s">
        <v>1487</v>
      </c>
      <c r="BTU803" s="193" t="s">
        <v>1487</v>
      </c>
      <c r="BTV803" s="193" t="s">
        <v>1487</v>
      </c>
      <c r="BTW803" s="193" t="s">
        <v>1487</v>
      </c>
      <c r="BTX803" s="193" t="s">
        <v>1487</v>
      </c>
      <c r="BTY803" s="193" t="s">
        <v>1487</v>
      </c>
      <c r="BTZ803" s="193" t="s">
        <v>1487</v>
      </c>
      <c r="BUA803" s="193" t="s">
        <v>1487</v>
      </c>
      <c r="BUB803" s="193" t="s">
        <v>1487</v>
      </c>
      <c r="BUC803" s="193" t="s">
        <v>1487</v>
      </c>
      <c r="BUD803" s="193" t="s">
        <v>1487</v>
      </c>
      <c r="BUE803" s="193" t="s">
        <v>1487</v>
      </c>
      <c r="BUF803" s="193" t="s">
        <v>1487</v>
      </c>
      <c r="BUG803" s="193" t="s">
        <v>1487</v>
      </c>
      <c r="BUH803" s="193" t="s">
        <v>1487</v>
      </c>
      <c r="BUI803" s="193" t="s">
        <v>1487</v>
      </c>
      <c r="BUJ803" s="193" t="s">
        <v>1487</v>
      </c>
      <c r="BUK803" s="193" t="s">
        <v>1487</v>
      </c>
      <c r="BUL803" s="193" t="s">
        <v>1487</v>
      </c>
      <c r="BUM803" s="193" t="s">
        <v>1487</v>
      </c>
      <c r="BUN803" s="193" t="s">
        <v>1487</v>
      </c>
      <c r="BUO803" s="193" t="s">
        <v>1487</v>
      </c>
      <c r="BUP803" s="193" t="s">
        <v>1487</v>
      </c>
      <c r="BUQ803" s="193" t="s">
        <v>1487</v>
      </c>
      <c r="BUR803" s="193" t="s">
        <v>1487</v>
      </c>
      <c r="BUS803" s="193" t="s">
        <v>1487</v>
      </c>
      <c r="BUT803" s="193" t="s">
        <v>1487</v>
      </c>
      <c r="BUU803" s="193" t="s">
        <v>1487</v>
      </c>
      <c r="BUV803" s="193" t="s">
        <v>1487</v>
      </c>
      <c r="BUW803" s="193" t="s">
        <v>1487</v>
      </c>
      <c r="BUX803" s="193" t="s">
        <v>1487</v>
      </c>
      <c r="BUY803" s="193" t="s">
        <v>1487</v>
      </c>
      <c r="BUZ803" s="193" t="s">
        <v>1487</v>
      </c>
      <c r="BVA803" s="193" t="s">
        <v>1487</v>
      </c>
      <c r="BVB803" s="193" t="s">
        <v>1487</v>
      </c>
      <c r="BVC803" s="193" t="s">
        <v>1487</v>
      </c>
      <c r="BVD803" s="193" t="s">
        <v>1487</v>
      </c>
      <c r="BVE803" s="193" t="s">
        <v>1487</v>
      </c>
      <c r="BVF803" s="193" t="s">
        <v>1487</v>
      </c>
      <c r="BVG803" s="193" t="s">
        <v>1487</v>
      </c>
      <c r="BVH803" s="193" t="s">
        <v>1487</v>
      </c>
      <c r="BVI803" s="193" t="s">
        <v>1487</v>
      </c>
      <c r="BVJ803" s="193" t="s">
        <v>1487</v>
      </c>
      <c r="BVK803" s="193" t="s">
        <v>1487</v>
      </c>
      <c r="BVL803" s="193" t="s">
        <v>1487</v>
      </c>
      <c r="BVM803" s="193" t="s">
        <v>1487</v>
      </c>
      <c r="BVN803" s="193" t="s">
        <v>1487</v>
      </c>
      <c r="BVO803" s="193" t="s">
        <v>1487</v>
      </c>
      <c r="BVP803" s="193" t="s">
        <v>1487</v>
      </c>
      <c r="BVQ803" s="193" t="s">
        <v>1487</v>
      </c>
      <c r="BVR803" s="193" t="s">
        <v>1487</v>
      </c>
      <c r="BVS803" s="193" t="s">
        <v>1487</v>
      </c>
      <c r="BVT803" s="193" t="s">
        <v>1487</v>
      </c>
      <c r="BVU803" s="193" t="s">
        <v>1487</v>
      </c>
      <c r="BVV803" s="193" t="s">
        <v>1487</v>
      </c>
      <c r="BVW803" s="193" t="s">
        <v>1487</v>
      </c>
      <c r="BVX803" s="193" t="s">
        <v>1487</v>
      </c>
      <c r="BVY803" s="193" t="s">
        <v>1487</v>
      </c>
      <c r="BVZ803" s="193" t="s">
        <v>1487</v>
      </c>
      <c r="BWA803" s="193" t="s">
        <v>1487</v>
      </c>
      <c r="BWB803" s="193" t="s">
        <v>1487</v>
      </c>
      <c r="BWC803" s="193" t="s">
        <v>1487</v>
      </c>
      <c r="BWD803" s="193" t="s">
        <v>1487</v>
      </c>
      <c r="BWE803" s="193" t="s">
        <v>1487</v>
      </c>
      <c r="BWF803" s="193" t="s">
        <v>1487</v>
      </c>
      <c r="BWG803" s="193" t="s">
        <v>1487</v>
      </c>
      <c r="BWH803" s="193" t="s">
        <v>1487</v>
      </c>
      <c r="BWI803" s="193" t="s">
        <v>1487</v>
      </c>
      <c r="BWJ803" s="193" t="s">
        <v>1487</v>
      </c>
      <c r="BWK803" s="193" t="s">
        <v>1487</v>
      </c>
      <c r="BWL803" s="193" t="s">
        <v>1487</v>
      </c>
      <c r="BWM803" s="193" t="s">
        <v>1487</v>
      </c>
      <c r="BWN803" s="193" t="s">
        <v>1487</v>
      </c>
      <c r="BWO803" s="193" t="s">
        <v>1487</v>
      </c>
      <c r="BWP803" s="193" t="s">
        <v>1487</v>
      </c>
      <c r="BWQ803" s="193" t="s">
        <v>1487</v>
      </c>
      <c r="BWR803" s="193" t="s">
        <v>1487</v>
      </c>
      <c r="BWS803" s="193" t="s">
        <v>1487</v>
      </c>
      <c r="BWT803" s="193" t="s">
        <v>1487</v>
      </c>
      <c r="BWU803" s="193" t="s">
        <v>1487</v>
      </c>
      <c r="BWV803" s="193" t="s">
        <v>1487</v>
      </c>
      <c r="BWW803" s="193" t="s">
        <v>1487</v>
      </c>
      <c r="BWX803" s="193" t="s">
        <v>1487</v>
      </c>
      <c r="BWY803" s="193" t="s">
        <v>1487</v>
      </c>
      <c r="BWZ803" s="193" t="s">
        <v>1487</v>
      </c>
      <c r="BXA803" s="193" t="s">
        <v>1487</v>
      </c>
      <c r="BXB803" s="193" t="s">
        <v>1487</v>
      </c>
      <c r="BXC803" s="193" t="s">
        <v>1487</v>
      </c>
      <c r="BXD803" s="193" t="s">
        <v>1487</v>
      </c>
      <c r="BXE803" s="193" t="s">
        <v>1487</v>
      </c>
      <c r="BXF803" s="193" t="s">
        <v>1487</v>
      </c>
      <c r="BXG803" s="193" t="s">
        <v>1487</v>
      </c>
      <c r="BXH803" s="193" t="s">
        <v>1487</v>
      </c>
      <c r="BXI803" s="193" t="s">
        <v>1487</v>
      </c>
      <c r="BXJ803" s="193" t="s">
        <v>1487</v>
      </c>
      <c r="BXK803" s="193" t="s">
        <v>1487</v>
      </c>
      <c r="BXL803" s="193" t="s">
        <v>1487</v>
      </c>
      <c r="BXM803" s="193" t="s">
        <v>1487</v>
      </c>
      <c r="BXN803" s="193" t="s">
        <v>1487</v>
      </c>
      <c r="BXO803" s="193" t="s">
        <v>1487</v>
      </c>
      <c r="BXP803" s="193" t="s">
        <v>1487</v>
      </c>
      <c r="BXQ803" s="193" t="s">
        <v>1487</v>
      </c>
      <c r="BXR803" s="193" t="s">
        <v>1487</v>
      </c>
      <c r="BXS803" s="193" t="s">
        <v>1487</v>
      </c>
      <c r="BXT803" s="193" t="s">
        <v>1487</v>
      </c>
      <c r="BXU803" s="193" t="s">
        <v>1487</v>
      </c>
      <c r="BXV803" s="193" t="s">
        <v>1487</v>
      </c>
      <c r="BXW803" s="193" t="s">
        <v>1487</v>
      </c>
      <c r="BXX803" s="193" t="s">
        <v>1487</v>
      </c>
      <c r="BXY803" s="193" t="s">
        <v>1487</v>
      </c>
      <c r="BXZ803" s="193" t="s">
        <v>1487</v>
      </c>
      <c r="BYA803" s="193" t="s">
        <v>1487</v>
      </c>
      <c r="BYB803" s="193" t="s">
        <v>1487</v>
      </c>
      <c r="BYC803" s="193" t="s">
        <v>1487</v>
      </c>
      <c r="BYD803" s="193" t="s">
        <v>1487</v>
      </c>
      <c r="BYE803" s="193" t="s">
        <v>1487</v>
      </c>
      <c r="BYF803" s="193" t="s">
        <v>1487</v>
      </c>
      <c r="BYG803" s="193" t="s">
        <v>1487</v>
      </c>
      <c r="BYH803" s="193" t="s">
        <v>1487</v>
      </c>
      <c r="BYI803" s="193" t="s">
        <v>1487</v>
      </c>
      <c r="BYJ803" s="193" t="s">
        <v>1487</v>
      </c>
      <c r="BYK803" s="193" t="s">
        <v>1487</v>
      </c>
      <c r="BYL803" s="193" t="s">
        <v>1487</v>
      </c>
      <c r="BYM803" s="193" t="s">
        <v>1487</v>
      </c>
      <c r="BYN803" s="193" t="s">
        <v>1487</v>
      </c>
      <c r="BYO803" s="193" t="s">
        <v>1487</v>
      </c>
      <c r="BYP803" s="193" t="s">
        <v>1487</v>
      </c>
      <c r="BYQ803" s="193" t="s">
        <v>1487</v>
      </c>
      <c r="BYR803" s="193" t="s">
        <v>1487</v>
      </c>
      <c r="BYS803" s="193" t="s">
        <v>1487</v>
      </c>
      <c r="BYT803" s="193" t="s">
        <v>1487</v>
      </c>
      <c r="BYU803" s="193" t="s">
        <v>1487</v>
      </c>
      <c r="BYV803" s="193" t="s">
        <v>1487</v>
      </c>
      <c r="BYW803" s="193" t="s">
        <v>1487</v>
      </c>
      <c r="BYX803" s="193" t="s">
        <v>1487</v>
      </c>
      <c r="BYY803" s="193" t="s">
        <v>1487</v>
      </c>
      <c r="BYZ803" s="193" t="s">
        <v>1487</v>
      </c>
      <c r="BZA803" s="193" t="s">
        <v>1487</v>
      </c>
      <c r="BZB803" s="193" t="s">
        <v>1487</v>
      </c>
      <c r="BZC803" s="193" t="s">
        <v>1487</v>
      </c>
      <c r="BZD803" s="193" t="s">
        <v>1487</v>
      </c>
      <c r="BZE803" s="193" t="s">
        <v>1487</v>
      </c>
      <c r="BZF803" s="193" t="s">
        <v>1487</v>
      </c>
      <c r="BZG803" s="193" t="s">
        <v>1487</v>
      </c>
      <c r="BZH803" s="193" t="s">
        <v>1487</v>
      </c>
      <c r="BZI803" s="193" t="s">
        <v>1487</v>
      </c>
      <c r="BZJ803" s="193" t="s">
        <v>1487</v>
      </c>
      <c r="BZK803" s="193" t="s">
        <v>1487</v>
      </c>
      <c r="BZL803" s="193" t="s">
        <v>1487</v>
      </c>
      <c r="BZM803" s="193" t="s">
        <v>1487</v>
      </c>
      <c r="BZN803" s="193" t="s">
        <v>1487</v>
      </c>
      <c r="BZO803" s="193" t="s">
        <v>1487</v>
      </c>
      <c r="BZP803" s="193" t="s">
        <v>1487</v>
      </c>
      <c r="BZQ803" s="193" t="s">
        <v>1487</v>
      </c>
      <c r="BZR803" s="193" t="s">
        <v>1487</v>
      </c>
      <c r="BZS803" s="193" t="s">
        <v>1487</v>
      </c>
      <c r="BZT803" s="193" t="s">
        <v>1487</v>
      </c>
      <c r="BZU803" s="193" t="s">
        <v>1487</v>
      </c>
      <c r="BZV803" s="193" t="s">
        <v>1487</v>
      </c>
      <c r="BZW803" s="193" t="s">
        <v>1487</v>
      </c>
      <c r="BZX803" s="193" t="s">
        <v>1487</v>
      </c>
      <c r="BZY803" s="193" t="s">
        <v>1487</v>
      </c>
      <c r="BZZ803" s="193" t="s">
        <v>1487</v>
      </c>
      <c r="CAA803" s="193" t="s">
        <v>1487</v>
      </c>
      <c r="CAB803" s="193" t="s">
        <v>1487</v>
      </c>
      <c r="CAC803" s="193" t="s">
        <v>1487</v>
      </c>
      <c r="CAD803" s="193" t="s">
        <v>1487</v>
      </c>
      <c r="CAE803" s="193" t="s">
        <v>1487</v>
      </c>
      <c r="CAF803" s="193" t="s">
        <v>1487</v>
      </c>
      <c r="CAG803" s="193" t="s">
        <v>1487</v>
      </c>
      <c r="CAH803" s="193" t="s">
        <v>1487</v>
      </c>
      <c r="CAI803" s="193" t="s">
        <v>1487</v>
      </c>
      <c r="CAJ803" s="193" t="s">
        <v>1487</v>
      </c>
      <c r="CAK803" s="193" t="s">
        <v>1487</v>
      </c>
      <c r="CAL803" s="193" t="s">
        <v>1487</v>
      </c>
      <c r="CAM803" s="193" t="s">
        <v>1487</v>
      </c>
      <c r="CAN803" s="193" t="s">
        <v>1487</v>
      </c>
      <c r="CAO803" s="193" t="s">
        <v>1487</v>
      </c>
      <c r="CAP803" s="193" t="s">
        <v>1487</v>
      </c>
      <c r="CAQ803" s="193" t="s">
        <v>1487</v>
      </c>
      <c r="CAR803" s="193" t="s">
        <v>1487</v>
      </c>
      <c r="CAS803" s="193" t="s">
        <v>1487</v>
      </c>
      <c r="CAT803" s="193" t="s">
        <v>1487</v>
      </c>
      <c r="CAU803" s="193" t="s">
        <v>1487</v>
      </c>
      <c r="CAV803" s="193" t="s">
        <v>1487</v>
      </c>
      <c r="CAW803" s="193" t="s">
        <v>1487</v>
      </c>
      <c r="CAX803" s="193" t="s">
        <v>1487</v>
      </c>
      <c r="CAY803" s="193" t="s">
        <v>1487</v>
      </c>
      <c r="CAZ803" s="193" t="s">
        <v>1487</v>
      </c>
      <c r="CBA803" s="193" t="s">
        <v>1487</v>
      </c>
      <c r="CBB803" s="193" t="s">
        <v>1487</v>
      </c>
      <c r="CBC803" s="193" t="s">
        <v>1487</v>
      </c>
      <c r="CBD803" s="193" t="s">
        <v>1487</v>
      </c>
      <c r="CBE803" s="193" t="s">
        <v>1487</v>
      </c>
      <c r="CBF803" s="193" t="s">
        <v>1487</v>
      </c>
      <c r="CBG803" s="193" t="s">
        <v>1487</v>
      </c>
      <c r="CBH803" s="193" t="s">
        <v>1487</v>
      </c>
      <c r="CBI803" s="193" t="s">
        <v>1487</v>
      </c>
      <c r="CBJ803" s="193" t="s">
        <v>1487</v>
      </c>
      <c r="CBK803" s="193" t="s">
        <v>1487</v>
      </c>
      <c r="CBL803" s="193" t="s">
        <v>1487</v>
      </c>
      <c r="CBM803" s="193" t="s">
        <v>1487</v>
      </c>
      <c r="CBN803" s="193" t="s">
        <v>1487</v>
      </c>
      <c r="CBO803" s="193" t="s">
        <v>1487</v>
      </c>
      <c r="CBP803" s="193" t="s">
        <v>1487</v>
      </c>
      <c r="CBQ803" s="193" t="s">
        <v>1487</v>
      </c>
      <c r="CBR803" s="193" t="s">
        <v>1487</v>
      </c>
      <c r="CBS803" s="193" t="s">
        <v>1487</v>
      </c>
      <c r="CBT803" s="193" t="s">
        <v>1487</v>
      </c>
      <c r="CBU803" s="193" t="s">
        <v>1487</v>
      </c>
      <c r="CBV803" s="193" t="s">
        <v>1487</v>
      </c>
      <c r="CBW803" s="193" t="s">
        <v>1487</v>
      </c>
      <c r="CBX803" s="193" t="s">
        <v>1487</v>
      </c>
      <c r="CBY803" s="193" t="s">
        <v>1487</v>
      </c>
      <c r="CBZ803" s="193" t="s">
        <v>1487</v>
      </c>
      <c r="CCA803" s="193" t="s">
        <v>1487</v>
      </c>
      <c r="CCB803" s="193" t="s">
        <v>1487</v>
      </c>
      <c r="CCC803" s="193" t="s">
        <v>1487</v>
      </c>
      <c r="CCD803" s="193" t="s">
        <v>1487</v>
      </c>
      <c r="CCE803" s="193" t="s">
        <v>1487</v>
      </c>
      <c r="CCF803" s="193" t="s">
        <v>1487</v>
      </c>
      <c r="CCG803" s="193" t="s">
        <v>1487</v>
      </c>
      <c r="CCH803" s="193" t="s">
        <v>1487</v>
      </c>
      <c r="CCI803" s="193" t="s">
        <v>1487</v>
      </c>
      <c r="CCJ803" s="193" t="s">
        <v>1487</v>
      </c>
      <c r="CCK803" s="193" t="s">
        <v>1487</v>
      </c>
      <c r="CCL803" s="193" t="s">
        <v>1487</v>
      </c>
      <c r="CCM803" s="193" t="s">
        <v>1487</v>
      </c>
      <c r="CCN803" s="193" t="s">
        <v>1487</v>
      </c>
      <c r="CCO803" s="193" t="s">
        <v>1487</v>
      </c>
      <c r="CCP803" s="193" t="s">
        <v>1487</v>
      </c>
      <c r="CCQ803" s="193" t="s">
        <v>1487</v>
      </c>
      <c r="CCR803" s="193" t="s">
        <v>1487</v>
      </c>
      <c r="CCS803" s="193" t="s">
        <v>1487</v>
      </c>
      <c r="CCT803" s="193" t="s">
        <v>1487</v>
      </c>
      <c r="CCU803" s="193" t="s">
        <v>1487</v>
      </c>
      <c r="CCV803" s="193" t="s">
        <v>1487</v>
      </c>
      <c r="CCW803" s="193" t="s">
        <v>1487</v>
      </c>
      <c r="CCX803" s="193" t="s">
        <v>1487</v>
      </c>
      <c r="CCY803" s="193" t="s">
        <v>1487</v>
      </c>
      <c r="CCZ803" s="193" t="s">
        <v>1487</v>
      </c>
      <c r="CDA803" s="193" t="s">
        <v>1487</v>
      </c>
      <c r="CDB803" s="193" t="s">
        <v>1487</v>
      </c>
      <c r="CDC803" s="193" t="s">
        <v>1487</v>
      </c>
      <c r="CDD803" s="193" t="s">
        <v>1487</v>
      </c>
      <c r="CDE803" s="193" t="s">
        <v>1487</v>
      </c>
      <c r="CDF803" s="193" t="s">
        <v>1487</v>
      </c>
      <c r="CDG803" s="193" t="s">
        <v>1487</v>
      </c>
      <c r="CDH803" s="193" t="s">
        <v>1487</v>
      </c>
      <c r="CDI803" s="193" t="s">
        <v>1487</v>
      </c>
      <c r="CDJ803" s="193" t="s">
        <v>1487</v>
      </c>
      <c r="CDK803" s="193" t="s">
        <v>1487</v>
      </c>
      <c r="CDL803" s="193" t="s">
        <v>1487</v>
      </c>
      <c r="CDM803" s="193" t="s">
        <v>1487</v>
      </c>
      <c r="CDN803" s="193" t="s">
        <v>1487</v>
      </c>
      <c r="CDO803" s="193" t="s">
        <v>1487</v>
      </c>
      <c r="CDP803" s="193" t="s">
        <v>1487</v>
      </c>
      <c r="CDQ803" s="193" t="s">
        <v>1487</v>
      </c>
      <c r="CDR803" s="193" t="s">
        <v>1487</v>
      </c>
      <c r="CDS803" s="193" t="s">
        <v>1487</v>
      </c>
      <c r="CDT803" s="193" t="s">
        <v>1487</v>
      </c>
      <c r="CDU803" s="193" t="s">
        <v>1487</v>
      </c>
      <c r="CDV803" s="193" t="s">
        <v>1487</v>
      </c>
      <c r="CDW803" s="193" t="s">
        <v>1487</v>
      </c>
      <c r="CDX803" s="193" t="s">
        <v>1487</v>
      </c>
      <c r="CDY803" s="193" t="s">
        <v>1487</v>
      </c>
      <c r="CDZ803" s="193" t="s">
        <v>1487</v>
      </c>
      <c r="CEA803" s="193" t="s">
        <v>1487</v>
      </c>
      <c r="CEB803" s="193" t="s">
        <v>1487</v>
      </c>
      <c r="CEC803" s="193" t="s">
        <v>1487</v>
      </c>
      <c r="CED803" s="193" t="s">
        <v>1487</v>
      </c>
      <c r="CEE803" s="193" t="s">
        <v>1487</v>
      </c>
      <c r="CEF803" s="193" t="s">
        <v>1487</v>
      </c>
      <c r="CEG803" s="193" t="s">
        <v>1487</v>
      </c>
      <c r="CEH803" s="193" t="s">
        <v>1487</v>
      </c>
      <c r="CEI803" s="193" t="s">
        <v>1487</v>
      </c>
      <c r="CEJ803" s="193" t="s">
        <v>1487</v>
      </c>
      <c r="CEK803" s="193" t="s">
        <v>1487</v>
      </c>
      <c r="CEL803" s="193" t="s">
        <v>1487</v>
      </c>
      <c r="CEM803" s="193" t="s">
        <v>1487</v>
      </c>
      <c r="CEN803" s="193" t="s">
        <v>1487</v>
      </c>
      <c r="CEO803" s="193" t="s">
        <v>1487</v>
      </c>
      <c r="CEP803" s="193" t="s">
        <v>1487</v>
      </c>
      <c r="CEQ803" s="193" t="s">
        <v>1487</v>
      </c>
      <c r="CER803" s="193" t="s">
        <v>1487</v>
      </c>
      <c r="CES803" s="193" t="s">
        <v>1487</v>
      </c>
      <c r="CET803" s="193" t="s">
        <v>1487</v>
      </c>
      <c r="CEU803" s="193" t="s">
        <v>1487</v>
      </c>
      <c r="CEV803" s="193" t="s">
        <v>1487</v>
      </c>
      <c r="CEW803" s="193" t="s">
        <v>1487</v>
      </c>
      <c r="CEX803" s="193" t="s">
        <v>1487</v>
      </c>
      <c r="CEY803" s="193" t="s">
        <v>1487</v>
      </c>
      <c r="CEZ803" s="193" t="s">
        <v>1487</v>
      </c>
      <c r="CFA803" s="193" t="s">
        <v>1487</v>
      </c>
      <c r="CFB803" s="193" t="s">
        <v>1487</v>
      </c>
      <c r="CFC803" s="193" t="s">
        <v>1487</v>
      </c>
      <c r="CFD803" s="193" t="s">
        <v>1487</v>
      </c>
      <c r="CFE803" s="193" t="s">
        <v>1487</v>
      </c>
      <c r="CFF803" s="193" t="s">
        <v>1487</v>
      </c>
      <c r="CFG803" s="193" t="s">
        <v>1487</v>
      </c>
      <c r="CFH803" s="193" t="s">
        <v>1487</v>
      </c>
      <c r="CFI803" s="193" t="s">
        <v>1487</v>
      </c>
      <c r="CFJ803" s="193" t="s">
        <v>1487</v>
      </c>
      <c r="CFK803" s="193" t="s">
        <v>1487</v>
      </c>
      <c r="CFL803" s="193" t="s">
        <v>1487</v>
      </c>
      <c r="CFM803" s="193" t="s">
        <v>1487</v>
      </c>
      <c r="CFN803" s="193" t="s">
        <v>1487</v>
      </c>
      <c r="CFO803" s="193" t="s">
        <v>1487</v>
      </c>
      <c r="CFP803" s="193" t="s">
        <v>1487</v>
      </c>
      <c r="CFQ803" s="193" t="s">
        <v>1487</v>
      </c>
      <c r="CFR803" s="193" t="s">
        <v>1487</v>
      </c>
      <c r="CFS803" s="193" t="s">
        <v>1487</v>
      </c>
      <c r="CFT803" s="193" t="s">
        <v>1487</v>
      </c>
      <c r="CFU803" s="193" t="s">
        <v>1487</v>
      </c>
      <c r="CFV803" s="193" t="s">
        <v>1487</v>
      </c>
      <c r="CFW803" s="193" t="s">
        <v>1487</v>
      </c>
      <c r="CFX803" s="193" t="s">
        <v>1487</v>
      </c>
      <c r="CFY803" s="193" t="s">
        <v>1487</v>
      </c>
      <c r="CFZ803" s="193" t="s">
        <v>1487</v>
      </c>
      <c r="CGA803" s="193" t="s">
        <v>1487</v>
      </c>
      <c r="CGB803" s="193" t="s">
        <v>1487</v>
      </c>
      <c r="CGC803" s="193" t="s">
        <v>1487</v>
      </c>
      <c r="CGD803" s="193" t="s">
        <v>1487</v>
      </c>
      <c r="CGE803" s="193" t="s">
        <v>1487</v>
      </c>
      <c r="CGF803" s="193" t="s">
        <v>1487</v>
      </c>
      <c r="CGG803" s="193" t="s">
        <v>1487</v>
      </c>
      <c r="CGH803" s="193" t="s">
        <v>1487</v>
      </c>
      <c r="CGI803" s="193" t="s">
        <v>1487</v>
      </c>
      <c r="CGJ803" s="193" t="s">
        <v>1487</v>
      </c>
      <c r="CGK803" s="193" t="s">
        <v>1487</v>
      </c>
      <c r="CGL803" s="193" t="s">
        <v>1487</v>
      </c>
      <c r="CGM803" s="193" t="s">
        <v>1487</v>
      </c>
      <c r="CGN803" s="193" t="s">
        <v>1487</v>
      </c>
      <c r="CGO803" s="193" t="s">
        <v>1487</v>
      </c>
      <c r="CGP803" s="193" t="s">
        <v>1487</v>
      </c>
      <c r="CGQ803" s="193" t="s">
        <v>1487</v>
      </c>
      <c r="CGR803" s="193" t="s">
        <v>1487</v>
      </c>
      <c r="CGS803" s="193" t="s">
        <v>1487</v>
      </c>
      <c r="CGT803" s="193" t="s">
        <v>1487</v>
      </c>
      <c r="CGU803" s="193" t="s">
        <v>1487</v>
      </c>
      <c r="CGV803" s="193" t="s">
        <v>1487</v>
      </c>
      <c r="CGW803" s="193" t="s">
        <v>1487</v>
      </c>
      <c r="CGX803" s="193" t="s">
        <v>1487</v>
      </c>
      <c r="CGY803" s="193" t="s">
        <v>1487</v>
      </c>
      <c r="CGZ803" s="193" t="s">
        <v>1487</v>
      </c>
      <c r="CHA803" s="193" t="s">
        <v>1487</v>
      </c>
      <c r="CHB803" s="193" t="s">
        <v>1487</v>
      </c>
      <c r="CHC803" s="193" t="s">
        <v>1487</v>
      </c>
      <c r="CHD803" s="193" t="s">
        <v>1487</v>
      </c>
      <c r="CHE803" s="193" t="s">
        <v>1487</v>
      </c>
      <c r="CHF803" s="193" t="s">
        <v>1487</v>
      </c>
      <c r="CHG803" s="193" t="s">
        <v>1487</v>
      </c>
      <c r="CHH803" s="193" t="s">
        <v>1487</v>
      </c>
      <c r="CHI803" s="193" t="s">
        <v>1487</v>
      </c>
      <c r="CHJ803" s="193" t="s">
        <v>1487</v>
      </c>
      <c r="CHK803" s="193" t="s">
        <v>1487</v>
      </c>
      <c r="CHL803" s="193" t="s">
        <v>1487</v>
      </c>
      <c r="CHM803" s="193" t="s">
        <v>1487</v>
      </c>
      <c r="CHN803" s="193" t="s">
        <v>1487</v>
      </c>
      <c r="CHO803" s="193" t="s">
        <v>1487</v>
      </c>
      <c r="CHP803" s="193" t="s">
        <v>1487</v>
      </c>
      <c r="CHQ803" s="193" t="s">
        <v>1487</v>
      </c>
      <c r="CHR803" s="193" t="s">
        <v>1487</v>
      </c>
      <c r="CHS803" s="193" t="s">
        <v>1487</v>
      </c>
      <c r="CHT803" s="193" t="s">
        <v>1487</v>
      </c>
      <c r="CHU803" s="193" t="s">
        <v>1487</v>
      </c>
      <c r="CHV803" s="193" t="s">
        <v>1487</v>
      </c>
      <c r="CHW803" s="193" t="s">
        <v>1487</v>
      </c>
      <c r="CHX803" s="193" t="s">
        <v>1487</v>
      </c>
      <c r="CHY803" s="193" t="s">
        <v>1487</v>
      </c>
      <c r="CHZ803" s="193" t="s">
        <v>1487</v>
      </c>
      <c r="CIA803" s="193" t="s">
        <v>1487</v>
      </c>
      <c r="CIB803" s="193" t="s">
        <v>1487</v>
      </c>
      <c r="CIC803" s="193" t="s">
        <v>1487</v>
      </c>
      <c r="CID803" s="193" t="s">
        <v>1487</v>
      </c>
      <c r="CIE803" s="193" t="s">
        <v>1487</v>
      </c>
      <c r="CIF803" s="193" t="s">
        <v>1487</v>
      </c>
      <c r="CIG803" s="193" t="s">
        <v>1487</v>
      </c>
      <c r="CIH803" s="193" t="s">
        <v>1487</v>
      </c>
      <c r="CII803" s="193" t="s">
        <v>1487</v>
      </c>
      <c r="CIJ803" s="193" t="s">
        <v>1487</v>
      </c>
      <c r="CIK803" s="193" t="s">
        <v>1487</v>
      </c>
      <c r="CIL803" s="193" t="s">
        <v>1487</v>
      </c>
      <c r="CIM803" s="193" t="s">
        <v>1487</v>
      </c>
      <c r="CIN803" s="193" t="s">
        <v>1487</v>
      </c>
      <c r="CIO803" s="193" t="s">
        <v>1487</v>
      </c>
      <c r="CIP803" s="193" t="s">
        <v>1487</v>
      </c>
      <c r="CIQ803" s="193" t="s">
        <v>1487</v>
      </c>
      <c r="CIR803" s="193" t="s">
        <v>1487</v>
      </c>
      <c r="CIS803" s="193" t="s">
        <v>1487</v>
      </c>
      <c r="CIT803" s="193" t="s">
        <v>1487</v>
      </c>
      <c r="CIU803" s="193" t="s">
        <v>1487</v>
      </c>
      <c r="CIV803" s="193" t="s">
        <v>1487</v>
      </c>
      <c r="CIW803" s="193" t="s">
        <v>1487</v>
      </c>
      <c r="CIX803" s="193" t="s">
        <v>1487</v>
      </c>
      <c r="CIY803" s="193" t="s">
        <v>1487</v>
      </c>
      <c r="CIZ803" s="193" t="s">
        <v>1487</v>
      </c>
      <c r="CJA803" s="193" t="s">
        <v>1487</v>
      </c>
      <c r="CJB803" s="193" t="s">
        <v>1487</v>
      </c>
      <c r="CJC803" s="193" t="s">
        <v>1487</v>
      </c>
      <c r="CJD803" s="193" t="s">
        <v>1487</v>
      </c>
      <c r="CJE803" s="193" t="s">
        <v>1487</v>
      </c>
      <c r="CJF803" s="193" t="s">
        <v>1487</v>
      </c>
      <c r="CJG803" s="193" t="s">
        <v>1487</v>
      </c>
      <c r="CJH803" s="193" t="s">
        <v>1487</v>
      </c>
      <c r="CJI803" s="193" t="s">
        <v>1487</v>
      </c>
      <c r="CJJ803" s="193" t="s">
        <v>1487</v>
      </c>
      <c r="CJK803" s="193" t="s">
        <v>1487</v>
      </c>
      <c r="CJL803" s="193" t="s">
        <v>1487</v>
      </c>
      <c r="CJM803" s="193" t="s">
        <v>1487</v>
      </c>
      <c r="CJN803" s="193" t="s">
        <v>1487</v>
      </c>
      <c r="CJO803" s="193" t="s">
        <v>1487</v>
      </c>
      <c r="CJP803" s="193" t="s">
        <v>1487</v>
      </c>
      <c r="CJQ803" s="193" t="s">
        <v>1487</v>
      </c>
      <c r="CJR803" s="193" t="s">
        <v>1487</v>
      </c>
      <c r="CJS803" s="193" t="s">
        <v>1487</v>
      </c>
      <c r="CJT803" s="193" t="s">
        <v>1487</v>
      </c>
      <c r="CJU803" s="193" t="s">
        <v>1487</v>
      </c>
      <c r="CJV803" s="193" t="s">
        <v>1487</v>
      </c>
      <c r="CJW803" s="193" t="s">
        <v>1487</v>
      </c>
      <c r="CJX803" s="193" t="s">
        <v>1487</v>
      </c>
      <c r="CJY803" s="193" t="s">
        <v>1487</v>
      </c>
      <c r="CJZ803" s="193" t="s">
        <v>1487</v>
      </c>
      <c r="CKA803" s="193" t="s">
        <v>1487</v>
      </c>
      <c r="CKB803" s="193" t="s">
        <v>1487</v>
      </c>
      <c r="CKC803" s="193" t="s">
        <v>1487</v>
      </c>
      <c r="CKD803" s="193" t="s">
        <v>1487</v>
      </c>
      <c r="CKE803" s="193" t="s">
        <v>1487</v>
      </c>
      <c r="CKF803" s="193" t="s">
        <v>1487</v>
      </c>
      <c r="CKG803" s="193" t="s">
        <v>1487</v>
      </c>
      <c r="CKH803" s="193" t="s">
        <v>1487</v>
      </c>
      <c r="CKI803" s="193" t="s">
        <v>1487</v>
      </c>
      <c r="CKJ803" s="193" t="s">
        <v>1487</v>
      </c>
      <c r="CKK803" s="193" t="s">
        <v>1487</v>
      </c>
      <c r="CKL803" s="193" t="s">
        <v>1487</v>
      </c>
      <c r="CKM803" s="193" t="s">
        <v>1487</v>
      </c>
      <c r="CKN803" s="193" t="s">
        <v>1487</v>
      </c>
      <c r="CKO803" s="193" t="s">
        <v>1487</v>
      </c>
      <c r="CKP803" s="193" t="s">
        <v>1487</v>
      </c>
      <c r="CKQ803" s="193" t="s">
        <v>1487</v>
      </c>
      <c r="CKR803" s="193" t="s">
        <v>1487</v>
      </c>
      <c r="CKS803" s="193" t="s">
        <v>1487</v>
      </c>
      <c r="CKT803" s="193" t="s">
        <v>1487</v>
      </c>
      <c r="CKU803" s="193" t="s">
        <v>1487</v>
      </c>
      <c r="CKV803" s="193" t="s">
        <v>1487</v>
      </c>
      <c r="CKW803" s="193" t="s">
        <v>1487</v>
      </c>
      <c r="CKX803" s="193" t="s">
        <v>1487</v>
      </c>
      <c r="CKY803" s="193" t="s">
        <v>1487</v>
      </c>
      <c r="CKZ803" s="193" t="s">
        <v>1487</v>
      </c>
      <c r="CLA803" s="193" t="s">
        <v>1487</v>
      </c>
      <c r="CLB803" s="193" t="s">
        <v>1487</v>
      </c>
      <c r="CLC803" s="193" t="s">
        <v>1487</v>
      </c>
      <c r="CLD803" s="193" t="s">
        <v>1487</v>
      </c>
      <c r="CLE803" s="193" t="s">
        <v>1487</v>
      </c>
      <c r="CLF803" s="193" t="s">
        <v>1487</v>
      </c>
      <c r="CLG803" s="193" t="s">
        <v>1487</v>
      </c>
      <c r="CLH803" s="193" t="s">
        <v>1487</v>
      </c>
      <c r="CLI803" s="193" t="s">
        <v>1487</v>
      </c>
      <c r="CLJ803" s="193" t="s">
        <v>1487</v>
      </c>
      <c r="CLK803" s="193" t="s">
        <v>1487</v>
      </c>
      <c r="CLL803" s="193" t="s">
        <v>1487</v>
      </c>
      <c r="CLM803" s="193" t="s">
        <v>1487</v>
      </c>
      <c r="CLN803" s="193" t="s">
        <v>1487</v>
      </c>
      <c r="CLO803" s="193" t="s">
        <v>1487</v>
      </c>
      <c r="CLP803" s="193" t="s">
        <v>1487</v>
      </c>
      <c r="CLQ803" s="193" t="s">
        <v>1487</v>
      </c>
      <c r="CLR803" s="193" t="s">
        <v>1487</v>
      </c>
      <c r="CLS803" s="193" t="s">
        <v>1487</v>
      </c>
      <c r="CLT803" s="193" t="s">
        <v>1487</v>
      </c>
      <c r="CLU803" s="193" t="s">
        <v>1487</v>
      </c>
      <c r="CLV803" s="193" t="s">
        <v>1487</v>
      </c>
      <c r="CLW803" s="193" t="s">
        <v>1487</v>
      </c>
      <c r="CLX803" s="193" t="s">
        <v>1487</v>
      </c>
      <c r="CLY803" s="193" t="s">
        <v>1487</v>
      </c>
      <c r="CLZ803" s="193" t="s">
        <v>1487</v>
      </c>
      <c r="CMA803" s="193" t="s">
        <v>1487</v>
      </c>
      <c r="CMB803" s="193" t="s">
        <v>1487</v>
      </c>
      <c r="CMC803" s="193" t="s">
        <v>1487</v>
      </c>
      <c r="CMD803" s="193" t="s">
        <v>1487</v>
      </c>
      <c r="CME803" s="193" t="s">
        <v>1487</v>
      </c>
      <c r="CMF803" s="193" t="s">
        <v>1487</v>
      </c>
      <c r="CMG803" s="193" t="s">
        <v>1487</v>
      </c>
      <c r="CMH803" s="193" t="s">
        <v>1487</v>
      </c>
      <c r="CMI803" s="193" t="s">
        <v>1487</v>
      </c>
      <c r="CMJ803" s="193" t="s">
        <v>1487</v>
      </c>
      <c r="CMK803" s="193" t="s">
        <v>1487</v>
      </c>
      <c r="CML803" s="193" t="s">
        <v>1487</v>
      </c>
      <c r="CMM803" s="193" t="s">
        <v>1487</v>
      </c>
      <c r="CMN803" s="193" t="s">
        <v>1487</v>
      </c>
      <c r="CMO803" s="193" t="s">
        <v>1487</v>
      </c>
      <c r="CMP803" s="193" t="s">
        <v>1487</v>
      </c>
      <c r="CMQ803" s="193" t="s">
        <v>1487</v>
      </c>
      <c r="CMR803" s="193" t="s">
        <v>1487</v>
      </c>
      <c r="CMS803" s="193" t="s">
        <v>1487</v>
      </c>
      <c r="CMT803" s="193" t="s">
        <v>1487</v>
      </c>
      <c r="CMU803" s="193" t="s">
        <v>1487</v>
      </c>
      <c r="CMV803" s="193" t="s">
        <v>1487</v>
      </c>
      <c r="CMW803" s="193" t="s">
        <v>1487</v>
      </c>
      <c r="CMX803" s="193" t="s">
        <v>1487</v>
      </c>
      <c r="CMY803" s="193" t="s">
        <v>1487</v>
      </c>
      <c r="CMZ803" s="193" t="s">
        <v>1487</v>
      </c>
      <c r="CNA803" s="193" t="s">
        <v>1487</v>
      </c>
      <c r="CNB803" s="193" t="s">
        <v>1487</v>
      </c>
      <c r="CNC803" s="193" t="s">
        <v>1487</v>
      </c>
      <c r="CND803" s="193" t="s">
        <v>1487</v>
      </c>
      <c r="CNE803" s="193" t="s">
        <v>1487</v>
      </c>
      <c r="CNF803" s="193" t="s">
        <v>1487</v>
      </c>
      <c r="CNG803" s="193" t="s">
        <v>1487</v>
      </c>
      <c r="CNH803" s="193" t="s">
        <v>1487</v>
      </c>
      <c r="CNI803" s="193" t="s">
        <v>1487</v>
      </c>
      <c r="CNJ803" s="193" t="s">
        <v>1487</v>
      </c>
      <c r="CNK803" s="193" t="s">
        <v>1487</v>
      </c>
      <c r="CNL803" s="193" t="s">
        <v>1487</v>
      </c>
      <c r="CNM803" s="193" t="s">
        <v>1487</v>
      </c>
      <c r="CNN803" s="193" t="s">
        <v>1487</v>
      </c>
      <c r="CNO803" s="193" t="s">
        <v>1487</v>
      </c>
      <c r="CNP803" s="193" t="s">
        <v>1487</v>
      </c>
      <c r="CNQ803" s="193" t="s">
        <v>1487</v>
      </c>
      <c r="CNR803" s="193" t="s">
        <v>1487</v>
      </c>
      <c r="CNS803" s="193" t="s">
        <v>1487</v>
      </c>
      <c r="CNT803" s="193" t="s">
        <v>1487</v>
      </c>
      <c r="CNU803" s="193" t="s">
        <v>1487</v>
      </c>
      <c r="CNV803" s="193" t="s">
        <v>1487</v>
      </c>
      <c r="CNW803" s="193" t="s">
        <v>1487</v>
      </c>
      <c r="CNX803" s="193" t="s">
        <v>1487</v>
      </c>
      <c r="CNY803" s="193" t="s">
        <v>1487</v>
      </c>
      <c r="CNZ803" s="193" t="s">
        <v>1487</v>
      </c>
      <c r="COA803" s="193" t="s">
        <v>1487</v>
      </c>
      <c r="COB803" s="193" t="s">
        <v>1487</v>
      </c>
      <c r="COC803" s="193" t="s">
        <v>1487</v>
      </c>
      <c r="COD803" s="193" t="s">
        <v>1487</v>
      </c>
      <c r="COE803" s="193" t="s">
        <v>1487</v>
      </c>
      <c r="COF803" s="193" t="s">
        <v>1487</v>
      </c>
      <c r="COG803" s="193" t="s">
        <v>1487</v>
      </c>
      <c r="COH803" s="193" t="s">
        <v>1487</v>
      </c>
      <c r="COI803" s="193" t="s">
        <v>1487</v>
      </c>
      <c r="COJ803" s="193" t="s">
        <v>1487</v>
      </c>
      <c r="COK803" s="193" t="s">
        <v>1487</v>
      </c>
      <c r="COL803" s="193" t="s">
        <v>1487</v>
      </c>
      <c r="COM803" s="193" t="s">
        <v>1487</v>
      </c>
      <c r="CON803" s="193" t="s">
        <v>1487</v>
      </c>
      <c r="COO803" s="193" t="s">
        <v>1487</v>
      </c>
      <c r="COP803" s="193" t="s">
        <v>1487</v>
      </c>
      <c r="COQ803" s="193" t="s">
        <v>1487</v>
      </c>
      <c r="COR803" s="193" t="s">
        <v>1487</v>
      </c>
      <c r="COS803" s="193" t="s">
        <v>1487</v>
      </c>
      <c r="COT803" s="193" t="s">
        <v>1487</v>
      </c>
      <c r="COU803" s="193" t="s">
        <v>1487</v>
      </c>
      <c r="COV803" s="193" t="s">
        <v>1487</v>
      </c>
      <c r="COW803" s="193" t="s">
        <v>1487</v>
      </c>
      <c r="COX803" s="193" t="s">
        <v>1487</v>
      </c>
      <c r="COY803" s="193" t="s">
        <v>1487</v>
      </c>
      <c r="COZ803" s="193" t="s">
        <v>1487</v>
      </c>
      <c r="CPA803" s="193" t="s">
        <v>1487</v>
      </c>
      <c r="CPB803" s="193" t="s">
        <v>1487</v>
      </c>
      <c r="CPC803" s="193" t="s">
        <v>1487</v>
      </c>
      <c r="CPD803" s="193" t="s">
        <v>1487</v>
      </c>
      <c r="CPE803" s="193" t="s">
        <v>1487</v>
      </c>
      <c r="CPF803" s="193" t="s">
        <v>1487</v>
      </c>
      <c r="CPG803" s="193" t="s">
        <v>1487</v>
      </c>
      <c r="CPH803" s="193" t="s">
        <v>1487</v>
      </c>
      <c r="CPI803" s="193" t="s">
        <v>1487</v>
      </c>
      <c r="CPJ803" s="193" t="s">
        <v>1487</v>
      </c>
      <c r="CPK803" s="193" t="s">
        <v>1487</v>
      </c>
      <c r="CPL803" s="193" t="s">
        <v>1487</v>
      </c>
      <c r="CPM803" s="193" t="s">
        <v>1487</v>
      </c>
      <c r="CPN803" s="193" t="s">
        <v>1487</v>
      </c>
      <c r="CPO803" s="193" t="s">
        <v>1487</v>
      </c>
      <c r="CPP803" s="193" t="s">
        <v>1487</v>
      </c>
      <c r="CPQ803" s="193" t="s">
        <v>1487</v>
      </c>
      <c r="CPR803" s="193" t="s">
        <v>1487</v>
      </c>
      <c r="CPS803" s="193" t="s">
        <v>1487</v>
      </c>
      <c r="CPT803" s="193" t="s">
        <v>1487</v>
      </c>
      <c r="CPU803" s="193" t="s">
        <v>1487</v>
      </c>
      <c r="CPV803" s="193" t="s">
        <v>1487</v>
      </c>
      <c r="CPW803" s="193" t="s">
        <v>1487</v>
      </c>
      <c r="CPX803" s="193" t="s">
        <v>1487</v>
      </c>
      <c r="CPY803" s="193" t="s">
        <v>1487</v>
      </c>
      <c r="CPZ803" s="193" t="s">
        <v>1487</v>
      </c>
      <c r="CQA803" s="193" t="s">
        <v>1487</v>
      </c>
      <c r="CQB803" s="193" t="s">
        <v>1487</v>
      </c>
      <c r="CQC803" s="193" t="s">
        <v>1487</v>
      </c>
      <c r="CQD803" s="193" t="s">
        <v>1487</v>
      </c>
      <c r="CQE803" s="193" t="s">
        <v>1487</v>
      </c>
      <c r="CQF803" s="193" t="s">
        <v>1487</v>
      </c>
      <c r="CQG803" s="193" t="s">
        <v>1487</v>
      </c>
      <c r="CQH803" s="193" t="s">
        <v>1487</v>
      </c>
      <c r="CQI803" s="193" t="s">
        <v>1487</v>
      </c>
      <c r="CQJ803" s="193" t="s">
        <v>1487</v>
      </c>
      <c r="CQK803" s="193" t="s">
        <v>1487</v>
      </c>
      <c r="CQL803" s="193" t="s">
        <v>1487</v>
      </c>
      <c r="CQM803" s="193" t="s">
        <v>1487</v>
      </c>
      <c r="CQN803" s="193" t="s">
        <v>1487</v>
      </c>
      <c r="CQO803" s="193" t="s">
        <v>1487</v>
      </c>
      <c r="CQP803" s="193" t="s">
        <v>1487</v>
      </c>
      <c r="CQQ803" s="193" t="s">
        <v>1487</v>
      </c>
      <c r="CQR803" s="193" t="s">
        <v>1487</v>
      </c>
      <c r="CQS803" s="193" t="s">
        <v>1487</v>
      </c>
      <c r="CQT803" s="193" t="s">
        <v>1487</v>
      </c>
      <c r="CQU803" s="193" t="s">
        <v>1487</v>
      </c>
      <c r="CQV803" s="193" t="s">
        <v>1487</v>
      </c>
      <c r="CQW803" s="193" t="s">
        <v>1487</v>
      </c>
      <c r="CQX803" s="193" t="s">
        <v>1487</v>
      </c>
      <c r="CQY803" s="193" t="s">
        <v>1487</v>
      </c>
      <c r="CQZ803" s="193" t="s">
        <v>1487</v>
      </c>
      <c r="CRA803" s="193" t="s">
        <v>1487</v>
      </c>
      <c r="CRB803" s="193" t="s">
        <v>1487</v>
      </c>
      <c r="CRC803" s="193" t="s">
        <v>1487</v>
      </c>
      <c r="CRD803" s="193" t="s">
        <v>1487</v>
      </c>
      <c r="CRE803" s="193" t="s">
        <v>1487</v>
      </c>
      <c r="CRF803" s="193" t="s">
        <v>1487</v>
      </c>
      <c r="CRG803" s="193" t="s">
        <v>1487</v>
      </c>
      <c r="CRH803" s="193" t="s">
        <v>1487</v>
      </c>
      <c r="CRI803" s="193" t="s">
        <v>1487</v>
      </c>
      <c r="CRJ803" s="193" t="s">
        <v>1487</v>
      </c>
      <c r="CRK803" s="193" t="s">
        <v>1487</v>
      </c>
      <c r="CRL803" s="193" t="s">
        <v>1487</v>
      </c>
      <c r="CRM803" s="193" t="s">
        <v>1487</v>
      </c>
      <c r="CRN803" s="193" t="s">
        <v>1487</v>
      </c>
      <c r="CRO803" s="193" t="s">
        <v>1487</v>
      </c>
      <c r="CRP803" s="193" t="s">
        <v>1487</v>
      </c>
      <c r="CRQ803" s="193" t="s">
        <v>1487</v>
      </c>
      <c r="CRR803" s="193" t="s">
        <v>1487</v>
      </c>
      <c r="CRS803" s="193" t="s">
        <v>1487</v>
      </c>
      <c r="CRT803" s="193" t="s">
        <v>1487</v>
      </c>
      <c r="CRU803" s="193" t="s">
        <v>1487</v>
      </c>
      <c r="CRV803" s="193" t="s">
        <v>1487</v>
      </c>
      <c r="CRW803" s="193" t="s">
        <v>1487</v>
      </c>
      <c r="CRX803" s="193" t="s">
        <v>1487</v>
      </c>
      <c r="CRY803" s="193" t="s">
        <v>1487</v>
      </c>
      <c r="CRZ803" s="193" t="s">
        <v>1487</v>
      </c>
      <c r="CSA803" s="193" t="s">
        <v>1487</v>
      </c>
      <c r="CSB803" s="193" t="s">
        <v>1487</v>
      </c>
      <c r="CSC803" s="193" t="s">
        <v>1487</v>
      </c>
      <c r="CSD803" s="193" t="s">
        <v>1487</v>
      </c>
      <c r="CSE803" s="193" t="s">
        <v>1487</v>
      </c>
      <c r="CSF803" s="193" t="s">
        <v>1487</v>
      </c>
      <c r="CSG803" s="193" t="s">
        <v>1487</v>
      </c>
      <c r="CSH803" s="193" t="s">
        <v>1487</v>
      </c>
      <c r="CSI803" s="193" t="s">
        <v>1487</v>
      </c>
      <c r="CSJ803" s="193" t="s">
        <v>1487</v>
      </c>
      <c r="CSK803" s="193" t="s">
        <v>1487</v>
      </c>
      <c r="CSL803" s="193" t="s">
        <v>1487</v>
      </c>
      <c r="CSM803" s="193" t="s">
        <v>1487</v>
      </c>
      <c r="CSN803" s="193" t="s">
        <v>1487</v>
      </c>
      <c r="CSO803" s="193" t="s">
        <v>1487</v>
      </c>
      <c r="CSP803" s="193" t="s">
        <v>1487</v>
      </c>
      <c r="CSQ803" s="193" t="s">
        <v>1487</v>
      </c>
      <c r="CSR803" s="193" t="s">
        <v>1487</v>
      </c>
      <c r="CSS803" s="193" t="s">
        <v>1487</v>
      </c>
      <c r="CST803" s="193" t="s">
        <v>1487</v>
      </c>
      <c r="CSU803" s="193" t="s">
        <v>1487</v>
      </c>
      <c r="CSV803" s="193" t="s">
        <v>1487</v>
      </c>
      <c r="CSW803" s="193" t="s">
        <v>1487</v>
      </c>
      <c r="CSX803" s="193" t="s">
        <v>1487</v>
      </c>
      <c r="CSY803" s="193" t="s">
        <v>1487</v>
      </c>
      <c r="CSZ803" s="193" t="s">
        <v>1487</v>
      </c>
      <c r="CTA803" s="193" t="s">
        <v>1487</v>
      </c>
      <c r="CTB803" s="193" t="s">
        <v>1487</v>
      </c>
      <c r="CTC803" s="193" t="s">
        <v>1487</v>
      </c>
      <c r="CTD803" s="193" t="s">
        <v>1487</v>
      </c>
      <c r="CTE803" s="193" t="s">
        <v>1487</v>
      </c>
      <c r="CTF803" s="193" t="s">
        <v>1487</v>
      </c>
      <c r="CTG803" s="193" t="s">
        <v>1487</v>
      </c>
      <c r="CTH803" s="193" t="s">
        <v>1487</v>
      </c>
      <c r="CTI803" s="193" t="s">
        <v>1487</v>
      </c>
      <c r="CTJ803" s="193" t="s">
        <v>1487</v>
      </c>
      <c r="CTK803" s="193" t="s">
        <v>1487</v>
      </c>
      <c r="CTL803" s="193" t="s">
        <v>1487</v>
      </c>
      <c r="CTM803" s="193" t="s">
        <v>1487</v>
      </c>
      <c r="CTN803" s="193" t="s">
        <v>1487</v>
      </c>
      <c r="CTO803" s="193" t="s">
        <v>1487</v>
      </c>
      <c r="CTP803" s="193" t="s">
        <v>1487</v>
      </c>
      <c r="CTQ803" s="193" t="s">
        <v>1487</v>
      </c>
      <c r="CTR803" s="193" t="s">
        <v>1487</v>
      </c>
      <c r="CTS803" s="193" t="s">
        <v>1487</v>
      </c>
      <c r="CTT803" s="193" t="s">
        <v>1487</v>
      </c>
      <c r="CTU803" s="193" t="s">
        <v>1487</v>
      </c>
      <c r="CTV803" s="193" t="s">
        <v>1487</v>
      </c>
      <c r="CTW803" s="193" t="s">
        <v>1487</v>
      </c>
      <c r="CTX803" s="193" t="s">
        <v>1487</v>
      </c>
      <c r="CTY803" s="193" t="s">
        <v>1487</v>
      </c>
      <c r="CTZ803" s="193" t="s">
        <v>1487</v>
      </c>
      <c r="CUA803" s="193" t="s">
        <v>1487</v>
      </c>
      <c r="CUB803" s="193" t="s">
        <v>1487</v>
      </c>
      <c r="CUC803" s="193" t="s">
        <v>1487</v>
      </c>
      <c r="CUD803" s="193" t="s">
        <v>1487</v>
      </c>
      <c r="CUE803" s="193" t="s">
        <v>1487</v>
      </c>
      <c r="CUF803" s="193" t="s">
        <v>1487</v>
      </c>
      <c r="CUG803" s="193" t="s">
        <v>1487</v>
      </c>
      <c r="CUH803" s="193" t="s">
        <v>1487</v>
      </c>
      <c r="CUI803" s="193" t="s">
        <v>1487</v>
      </c>
      <c r="CUJ803" s="193" t="s">
        <v>1487</v>
      </c>
      <c r="CUK803" s="193" t="s">
        <v>1487</v>
      </c>
      <c r="CUL803" s="193" t="s">
        <v>1487</v>
      </c>
      <c r="CUM803" s="193" t="s">
        <v>1487</v>
      </c>
      <c r="CUN803" s="193" t="s">
        <v>1487</v>
      </c>
      <c r="CUO803" s="193" t="s">
        <v>1487</v>
      </c>
      <c r="CUP803" s="193" t="s">
        <v>1487</v>
      </c>
      <c r="CUQ803" s="193" t="s">
        <v>1487</v>
      </c>
      <c r="CUR803" s="193" t="s">
        <v>1487</v>
      </c>
      <c r="CUS803" s="193" t="s">
        <v>1487</v>
      </c>
      <c r="CUT803" s="193" t="s">
        <v>1487</v>
      </c>
      <c r="CUU803" s="193" t="s">
        <v>1487</v>
      </c>
      <c r="CUV803" s="193" t="s">
        <v>1487</v>
      </c>
      <c r="CUW803" s="193" t="s">
        <v>1487</v>
      </c>
      <c r="CUX803" s="193" t="s">
        <v>1487</v>
      </c>
      <c r="CUY803" s="193" t="s">
        <v>1487</v>
      </c>
      <c r="CUZ803" s="193" t="s">
        <v>1487</v>
      </c>
      <c r="CVA803" s="193" t="s">
        <v>1487</v>
      </c>
      <c r="CVB803" s="193" t="s">
        <v>1487</v>
      </c>
      <c r="CVC803" s="193" t="s">
        <v>1487</v>
      </c>
      <c r="CVD803" s="193" t="s">
        <v>1487</v>
      </c>
      <c r="CVE803" s="193" t="s">
        <v>1487</v>
      </c>
      <c r="CVF803" s="193" t="s">
        <v>1487</v>
      </c>
      <c r="CVG803" s="193" t="s">
        <v>1487</v>
      </c>
      <c r="CVH803" s="193" t="s">
        <v>1487</v>
      </c>
      <c r="CVI803" s="193" t="s">
        <v>1487</v>
      </c>
      <c r="CVJ803" s="193" t="s">
        <v>1487</v>
      </c>
      <c r="CVK803" s="193" t="s">
        <v>1487</v>
      </c>
      <c r="CVL803" s="193" t="s">
        <v>1487</v>
      </c>
      <c r="CVM803" s="193" t="s">
        <v>1487</v>
      </c>
      <c r="CVN803" s="193" t="s">
        <v>1487</v>
      </c>
      <c r="CVO803" s="193" t="s">
        <v>1487</v>
      </c>
      <c r="CVP803" s="193" t="s">
        <v>1487</v>
      </c>
      <c r="CVQ803" s="193" t="s">
        <v>1487</v>
      </c>
      <c r="CVR803" s="193" t="s">
        <v>1487</v>
      </c>
      <c r="CVS803" s="193" t="s">
        <v>1487</v>
      </c>
      <c r="CVT803" s="193" t="s">
        <v>1487</v>
      </c>
      <c r="CVU803" s="193" t="s">
        <v>1487</v>
      </c>
      <c r="CVV803" s="193" t="s">
        <v>1487</v>
      </c>
      <c r="CVW803" s="193" t="s">
        <v>1487</v>
      </c>
      <c r="CVX803" s="193" t="s">
        <v>1487</v>
      </c>
      <c r="CVY803" s="193" t="s">
        <v>1487</v>
      </c>
      <c r="CVZ803" s="193" t="s">
        <v>1487</v>
      </c>
      <c r="CWA803" s="193" t="s">
        <v>1487</v>
      </c>
      <c r="CWB803" s="193" t="s">
        <v>1487</v>
      </c>
      <c r="CWC803" s="193" t="s">
        <v>1487</v>
      </c>
      <c r="CWD803" s="193" t="s">
        <v>1487</v>
      </c>
      <c r="CWE803" s="193" t="s">
        <v>1487</v>
      </c>
      <c r="CWF803" s="193" t="s">
        <v>1487</v>
      </c>
      <c r="CWG803" s="193" t="s">
        <v>1487</v>
      </c>
      <c r="CWH803" s="193" t="s">
        <v>1487</v>
      </c>
      <c r="CWI803" s="193" t="s">
        <v>1487</v>
      </c>
      <c r="CWJ803" s="193" t="s">
        <v>1487</v>
      </c>
      <c r="CWK803" s="193" t="s">
        <v>1487</v>
      </c>
      <c r="CWL803" s="193" t="s">
        <v>1487</v>
      </c>
      <c r="CWM803" s="193" t="s">
        <v>1487</v>
      </c>
      <c r="CWN803" s="193" t="s">
        <v>1487</v>
      </c>
      <c r="CWO803" s="193" t="s">
        <v>1487</v>
      </c>
      <c r="CWP803" s="193" t="s">
        <v>1487</v>
      </c>
      <c r="CWQ803" s="193" t="s">
        <v>1487</v>
      </c>
      <c r="CWR803" s="193" t="s">
        <v>1487</v>
      </c>
      <c r="CWS803" s="193" t="s">
        <v>1487</v>
      </c>
      <c r="CWT803" s="193" t="s">
        <v>1487</v>
      </c>
      <c r="CWU803" s="193" t="s">
        <v>1487</v>
      </c>
      <c r="CWV803" s="193" t="s">
        <v>1487</v>
      </c>
      <c r="CWW803" s="193" t="s">
        <v>1487</v>
      </c>
      <c r="CWX803" s="193" t="s">
        <v>1487</v>
      </c>
      <c r="CWY803" s="193" t="s">
        <v>1487</v>
      </c>
      <c r="CWZ803" s="193" t="s">
        <v>1487</v>
      </c>
      <c r="CXA803" s="193" t="s">
        <v>1487</v>
      </c>
      <c r="CXB803" s="193" t="s">
        <v>1487</v>
      </c>
      <c r="CXC803" s="193" t="s">
        <v>1487</v>
      </c>
      <c r="CXD803" s="193" t="s">
        <v>1487</v>
      </c>
      <c r="CXE803" s="193" t="s">
        <v>1487</v>
      </c>
      <c r="CXF803" s="193" t="s">
        <v>1487</v>
      </c>
      <c r="CXG803" s="193" t="s">
        <v>1487</v>
      </c>
      <c r="CXH803" s="193" t="s">
        <v>1487</v>
      </c>
      <c r="CXI803" s="193" t="s">
        <v>1487</v>
      </c>
      <c r="CXJ803" s="193" t="s">
        <v>1487</v>
      </c>
      <c r="CXK803" s="193" t="s">
        <v>1487</v>
      </c>
      <c r="CXL803" s="193" t="s">
        <v>1487</v>
      </c>
      <c r="CXM803" s="193" t="s">
        <v>1487</v>
      </c>
      <c r="CXN803" s="193" t="s">
        <v>1487</v>
      </c>
      <c r="CXO803" s="193" t="s">
        <v>1487</v>
      </c>
      <c r="CXP803" s="193" t="s">
        <v>1487</v>
      </c>
      <c r="CXQ803" s="193" t="s">
        <v>1487</v>
      </c>
      <c r="CXR803" s="193" t="s">
        <v>1487</v>
      </c>
      <c r="CXS803" s="193" t="s">
        <v>1487</v>
      </c>
      <c r="CXT803" s="193" t="s">
        <v>1487</v>
      </c>
      <c r="CXU803" s="193" t="s">
        <v>1487</v>
      </c>
      <c r="CXV803" s="193" t="s">
        <v>1487</v>
      </c>
      <c r="CXW803" s="193" t="s">
        <v>1487</v>
      </c>
      <c r="CXX803" s="193" t="s">
        <v>1487</v>
      </c>
      <c r="CXY803" s="193" t="s">
        <v>1487</v>
      </c>
      <c r="CXZ803" s="193" t="s">
        <v>1487</v>
      </c>
      <c r="CYA803" s="193" t="s">
        <v>1487</v>
      </c>
      <c r="CYB803" s="193" t="s">
        <v>1487</v>
      </c>
      <c r="CYC803" s="193" t="s">
        <v>1487</v>
      </c>
      <c r="CYD803" s="193" t="s">
        <v>1487</v>
      </c>
      <c r="CYE803" s="193" t="s">
        <v>1487</v>
      </c>
      <c r="CYF803" s="193" t="s">
        <v>1487</v>
      </c>
      <c r="CYG803" s="193" t="s">
        <v>1487</v>
      </c>
      <c r="CYH803" s="193" t="s">
        <v>1487</v>
      </c>
      <c r="CYI803" s="193" t="s">
        <v>1487</v>
      </c>
      <c r="CYJ803" s="193" t="s">
        <v>1487</v>
      </c>
      <c r="CYK803" s="193" t="s">
        <v>1487</v>
      </c>
      <c r="CYL803" s="193" t="s">
        <v>1487</v>
      </c>
      <c r="CYM803" s="193" t="s">
        <v>1487</v>
      </c>
      <c r="CYN803" s="193" t="s">
        <v>1487</v>
      </c>
      <c r="CYO803" s="193" t="s">
        <v>1487</v>
      </c>
      <c r="CYP803" s="193" t="s">
        <v>1487</v>
      </c>
      <c r="CYQ803" s="193" t="s">
        <v>1487</v>
      </c>
      <c r="CYR803" s="193" t="s">
        <v>1487</v>
      </c>
      <c r="CYS803" s="193" t="s">
        <v>1487</v>
      </c>
      <c r="CYT803" s="193" t="s">
        <v>1487</v>
      </c>
      <c r="CYU803" s="193" t="s">
        <v>1487</v>
      </c>
      <c r="CYV803" s="193" t="s">
        <v>1487</v>
      </c>
      <c r="CYW803" s="193" t="s">
        <v>1487</v>
      </c>
      <c r="CYX803" s="193" t="s">
        <v>1487</v>
      </c>
      <c r="CYY803" s="193" t="s">
        <v>1487</v>
      </c>
      <c r="CYZ803" s="193" t="s">
        <v>1487</v>
      </c>
      <c r="CZA803" s="193" t="s">
        <v>1487</v>
      </c>
      <c r="CZB803" s="193" t="s">
        <v>1487</v>
      </c>
      <c r="CZC803" s="193" t="s">
        <v>1487</v>
      </c>
      <c r="CZD803" s="193" t="s">
        <v>1487</v>
      </c>
      <c r="CZE803" s="193" t="s">
        <v>1487</v>
      </c>
      <c r="CZF803" s="193" t="s">
        <v>1487</v>
      </c>
      <c r="CZG803" s="193" t="s">
        <v>1487</v>
      </c>
      <c r="CZH803" s="193" t="s">
        <v>1487</v>
      </c>
      <c r="CZI803" s="193" t="s">
        <v>1487</v>
      </c>
      <c r="CZJ803" s="193" t="s">
        <v>1487</v>
      </c>
      <c r="CZK803" s="193" t="s">
        <v>1487</v>
      </c>
      <c r="CZL803" s="193" t="s">
        <v>1487</v>
      </c>
      <c r="CZM803" s="193" t="s">
        <v>1487</v>
      </c>
      <c r="CZN803" s="193" t="s">
        <v>1487</v>
      </c>
      <c r="CZO803" s="193" t="s">
        <v>1487</v>
      </c>
      <c r="CZP803" s="193" t="s">
        <v>1487</v>
      </c>
      <c r="CZQ803" s="193" t="s">
        <v>1487</v>
      </c>
      <c r="CZR803" s="193" t="s">
        <v>1487</v>
      </c>
      <c r="CZS803" s="193" t="s">
        <v>1487</v>
      </c>
      <c r="CZT803" s="193" t="s">
        <v>1487</v>
      </c>
      <c r="CZU803" s="193" t="s">
        <v>1487</v>
      </c>
      <c r="CZV803" s="193" t="s">
        <v>1487</v>
      </c>
      <c r="CZW803" s="193" t="s">
        <v>1487</v>
      </c>
      <c r="CZX803" s="193" t="s">
        <v>1487</v>
      </c>
      <c r="CZY803" s="193" t="s">
        <v>1487</v>
      </c>
      <c r="CZZ803" s="193" t="s">
        <v>1487</v>
      </c>
      <c r="DAA803" s="193" t="s">
        <v>1487</v>
      </c>
      <c r="DAB803" s="193" t="s">
        <v>1487</v>
      </c>
      <c r="DAC803" s="193" t="s">
        <v>1487</v>
      </c>
      <c r="DAD803" s="193" t="s">
        <v>1487</v>
      </c>
      <c r="DAE803" s="193" t="s">
        <v>1487</v>
      </c>
      <c r="DAF803" s="193" t="s">
        <v>1487</v>
      </c>
      <c r="DAG803" s="193" t="s">
        <v>1487</v>
      </c>
      <c r="DAH803" s="193" t="s">
        <v>1487</v>
      </c>
      <c r="DAI803" s="193" t="s">
        <v>1487</v>
      </c>
      <c r="DAJ803" s="193" t="s">
        <v>1487</v>
      </c>
      <c r="DAK803" s="193" t="s">
        <v>1487</v>
      </c>
      <c r="DAL803" s="193" t="s">
        <v>1487</v>
      </c>
      <c r="DAM803" s="193" t="s">
        <v>1487</v>
      </c>
      <c r="DAN803" s="193" t="s">
        <v>1487</v>
      </c>
      <c r="DAO803" s="193" t="s">
        <v>1487</v>
      </c>
      <c r="DAP803" s="193" t="s">
        <v>1487</v>
      </c>
      <c r="DAQ803" s="193" t="s">
        <v>1487</v>
      </c>
      <c r="DAR803" s="193" t="s">
        <v>1487</v>
      </c>
      <c r="DAS803" s="193" t="s">
        <v>1487</v>
      </c>
      <c r="DAT803" s="193" t="s">
        <v>1487</v>
      </c>
      <c r="DAU803" s="193" t="s">
        <v>1487</v>
      </c>
      <c r="DAV803" s="193" t="s">
        <v>1487</v>
      </c>
      <c r="DAW803" s="193" t="s">
        <v>1487</v>
      </c>
      <c r="DAX803" s="193" t="s">
        <v>1487</v>
      </c>
      <c r="DAY803" s="193" t="s">
        <v>1487</v>
      </c>
      <c r="DAZ803" s="193" t="s">
        <v>1487</v>
      </c>
      <c r="DBA803" s="193" t="s">
        <v>1487</v>
      </c>
      <c r="DBB803" s="193" t="s">
        <v>1487</v>
      </c>
      <c r="DBC803" s="193" t="s">
        <v>1487</v>
      </c>
      <c r="DBD803" s="193" t="s">
        <v>1487</v>
      </c>
      <c r="DBE803" s="193" t="s">
        <v>1487</v>
      </c>
      <c r="DBF803" s="193" t="s">
        <v>1487</v>
      </c>
      <c r="DBG803" s="193" t="s">
        <v>1487</v>
      </c>
      <c r="DBH803" s="193" t="s">
        <v>1487</v>
      </c>
      <c r="DBI803" s="193" t="s">
        <v>1487</v>
      </c>
      <c r="DBJ803" s="193" t="s">
        <v>1487</v>
      </c>
      <c r="DBK803" s="193" t="s">
        <v>1487</v>
      </c>
      <c r="DBL803" s="193" t="s">
        <v>1487</v>
      </c>
      <c r="DBM803" s="193" t="s">
        <v>1487</v>
      </c>
      <c r="DBN803" s="193" t="s">
        <v>1487</v>
      </c>
      <c r="DBO803" s="193" t="s">
        <v>1487</v>
      </c>
      <c r="DBP803" s="193" t="s">
        <v>1487</v>
      </c>
      <c r="DBQ803" s="193" t="s">
        <v>1487</v>
      </c>
      <c r="DBR803" s="193" t="s">
        <v>1487</v>
      </c>
      <c r="DBS803" s="193" t="s">
        <v>1487</v>
      </c>
      <c r="DBT803" s="193" t="s">
        <v>1487</v>
      </c>
      <c r="DBU803" s="193" t="s">
        <v>1487</v>
      </c>
      <c r="DBV803" s="193" t="s">
        <v>1487</v>
      </c>
      <c r="DBW803" s="193" t="s">
        <v>1487</v>
      </c>
      <c r="DBX803" s="193" t="s">
        <v>1487</v>
      </c>
      <c r="DBY803" s="193" t="s">
        <v>1487</v>
      </c>
      <c r="DBZ803" s="193" t="s">
        <v>1487</v>
      </c>
      <c r="DCA803" s="193" t="s">
        <v>1487</v>
      </c>
      <c r="DCB803" s="193" t="s">
        <v>1487</v>
      </c>
      <c r="DCC803" s="193" t="s">
        <v>1487</v>
      </c>
      <c r="DCD803" s="193" t="s">
        <v>1487</v>
      </c>
      <c r="DCE803" s="193" t="s">
        <v>1487</v>
      </c>
      <c r="DCF803" s="193" t="s">
        <v>1487</v>
      </c>
      <c r="DCG803" s="193" t="s">
        <v>1487</v>
      </c>
      <c r="DCH803" s="193" t="s">
        <v>1487</v>
      </c>
      <c r="DCI803" s="193" t="s">
        <v>1487</v>
      </c>
      <c r="DCJ803" s="193" t="s">
        <v>1487</v>
      </c>
      <c r="DCK803" s="193" t="s">
        <v>1487</v>
      </c>
      <c r="DCL803" s="193" t="s">
        <v>1487</v>
      </c>
      <c r="DCM803" s="193" t="s">
        <v>1487</v>
      </c>
      <c r="DCN803" s="193" t="s">
        <v>1487</v>
      </c>
      <c r="DCO803" s="193" t="s">
        <v>1487</v>
      </c>
      <c r="DCP803" s="193" t="s">
        <v>1487</v>
      </c>
      <c r="DCQ803" s="193" t="s">
        <v>1487</v>
      </c>
      <c r="DCR803" s="193" t="s">
        <v>1487</v>
      </c>
      <c r="DCS803" s="193" t="s">
        <v>1487</v>
      </c>
      <c r="DCT803" s="193" t="s">
        <v>1487</v>
      </c>
      <c r="DCU803" s="193" t="s">
        <v>1487</v>
      </c>
      <c r="DCV803" s="193" t="s">
        <v>1487</v>
      </c>
      <c r="DCW803" s="193" t="s">
        <v>1487</v>
      </c>
      <c r="DCX803" s="193" t="s">
        <v>1487</v>
      </c>
      <c r="DCY803" s="193" t="s">
        <v>1487</v>
      </c>
      <c r="DCZ803" s="193" t="s">
        <v>1487</v>
      </c>
      <c r="DDA803" s="193" t="s">
        <v>1487</v>
      </c>
      <c r="DDB803" s="193" t="s">
        <v>1487</v>
      </c>
      <c r="DDC803" s="193" t="s">
        <v>1487</v>
      </c>
      <c r="DDD803" s="193" t="s">
        <v>1487</v>
      </c>
      <c r="DDE803" s="193" t="s">
        <v>1487</v>
      </c>
      <c r="DDF803" s="193" t="s">
        <v>1487</v>
      </c>
      <c r="DDG803" s="193" t="s">
        <v>1487</v>
      </c>
      <c r="DDH803" s="193" t="s">
        <v>1487</v>
      </c>
      <c r="DDI803" s="193" t="s">
        <v>1487</v>
      </c>
      <c r="DDJ803" s="193" t="s">
        <v>1487</v>
      </c>
      <c r="DDK803" s="193" t="s">
        <v>1487</v>
      </c>
      <c r="DDL803" s="193" t="s">
        <v>1487</v>
      </c>
      <c r="DDM803" s="193" t="s">
        <v>1487</v>
      </c>
      <c r="DDN803" s="193" t="s">
        <v>1487</v>
      </c>
      <c r="DDO803" s="193" t="s">
        <v>1487</v>
      </c>
      <c r="DDP803" s="193" t="s">
        <v>1487</v>
      </c>
      <c r="DDQ803" s="193" t="s">
        <v>1487</v>
      </c>
      <c r="DDR803" s="193" t="s">
        <v>1487</v>
      </c>
      <c r="DDS803" s="193" t="s">
        <v>1487</v>
      </c>
      <c r="DDT803" s="193" t="s">
        <v>1487</v>
      </c>
      <c r="DDU803" s="193" t="s">
        <v>1487</v>
      </c>
      <c r="DDV803" s="193" t="s">
        <v>1487</v>
      </c>
      <c r="DDW803" s="193" t="s">
        <v>1487</v>
      </c>
      <c r="DDX803" s="193" t="s">
        <v>1487</v>
      </c>
      <c r="DDY803" s="193" t="s">
        <v>1487</v>
      </c>
      <c r="DDZ803" s="193" t="s">
        <v>1487</v>
      </c>
      <c r="DEA803" s="193" t="s">
        <v>1487</v>
      </c>
      <c r="DEB803" s="193" t="s">
        <v>1487</v>
      </c>
      <c r="DEC803" s="193" t="s">
        <v>1487</v>
      </c>
      <c r="DED803" s="193" t="s">
        <v>1487</v>
      </c>
      <c r="DEE803" s="193" t="s">
        <v>1487</v>
      </c>
      <c r="DEF803" s="193" t="s">
        <v>1487</v>
      </c>
      <c r="DEG803" s="193" t="s">
        <v>1487</v>
      </c>
      <c r="DEH803" s="193" t="s">
        <v>1487</v>
      </c>
      <c r="DEI803" s="193" t="s">
        <v>1487</v>
      </c>
      <c r="DEJ803" s="193" t="s">
        <v>1487</v>
      </c>
      <c r="DEK803" s="193" t="s">
        <v>1487</v>
      </c>
      <c r="DEL803" s="193" t="s">
        <v>1487</v>
      </c>
      <c r="DEM803" s="193" t="s">
        <v>1487</v>
      </c>
      <c r="DEN803" s="193" t="s">
        <v>1487</v>
      </c>
      <c r="DEO803" s="193" t="s">
        <v>1487</v>
      </c>
      <c r="DEP803" s="193" t="s">
        <v>1487</v>
      </c>
      <c r="DEQ803" s="193" t="s">
        <v>1487</v>
      </c>
      <c r="DER803" s="193" t="s">
        <v>1487</v>
      </c>
      <c r="DES803" s="193" t="s">
        <v>1487</v>
      </c>
      <c r="DET803" s="193" t="s">
        <v>1487</v>
      </c>
      <c r="DEU803" s="193" t="s">
        <v>1487</v>
      </c>
      <c r="DEV803" s="193" t="s">
        <v>1487</v>
      </c>
      <c r="DEW803" s="193" t="s">
        <v>1487</v>
      </c>
      <c r="DEX803" s="193" t="s">
        <v>1487</v>
      </c>
      <c r="DEY803" s="193" t="s">
        <v>1487</v>
      </c>
      <c r="DEZ803" s="193" t="s">
        <v>1487</v>
      </c>
      <c r="DFA803" s="193" t="s">
        <v>1487</v>
      </c>
      <c r="DFB803" s="193" t="s">
        <v>1487</v>
      </c>
      <c r="DFC803" s="193" t="s">
        <v>1487</v>
      </c>
      <c r="DFD803" s="193" t="s">
        <v>1487</v>
      </c>
      <c r="DFE803" s="193" t="s">
        <v>1487</v>
      </c>
      <c r="DFF803" s="193" t="s">
        <v>1487</v>
      </c>
      <c r="DFG803" s="193" t="s">
        <v>1487</v>
      </c>
      <c r="DFH803" s="193" t="s">
        <v>1487</v>
      </c>
      <c r="DFI803" s="193" t="s">
        <v>1487</v>
      </c>
      <c r="DFJ803" s="193" t="s">
        <v>1487</v>
      </c>
      <c r="DFK803" s="193" t="s">
        <v>1487</v>
      </c>
      <c r="DFL803" s="193" t="s">
        <v>1487</v>
      </c>
      <c r="DFM803" s="193" t="s">
        <v>1487</v>
      </c>
      <c r="DFN803" s="193" t="s">
        <v>1487</v>
      </c>
      <c r="DFO803" s="193" t="s">
        <v>1487</v>
      </c>
      <c r="DFP803" s="193" t="s">
        <v>1487</v>
      </c>
      <c r="DFQ803" s="193" t="s">
        <v>1487</v>
      </c>
      <c r="DFR803" s="193" t="s">
        <v>1487</v>
      </c>
      <c r="DFS803" s="193" t="s">
        <v>1487</v>
      </c>
      <c r="DFT803" s="193" t="s">
        <v>1487</v>
      </c>
      <c r="DFU803" s="193" t="s">
        <v>1487</v>
      </c>
      <c r="DFV803" s="193" t="s">
        <v>1487</v>
      </c>
      <c r="DFW803" s="193" t="s">
        <v>1487</v>
      </c>
      <c r="DFX803" s="193" t="s">
        <v>1487</v>
      </c>
      <c r="DFY803" s="193" t="s">
        <v>1487</v>
      </c>
      <c r="DFZ803" s="193" t="s">
        <v>1487</v>
      </c>
      <c r="DGA803" s="193" t="s">
        <v>1487</v>
      </c>
      <c r="DGB803" s="193" t="s">
        <v>1487</v>
      </c>
      <c r="DGC803" s="193" t="s">
        <v>1487</v>
      </c>
      <c r="DGD803" s="193" t="s">
        <v>1487</v>
      </c>
      <c r="DGE803" s="193" t="s">
        <v>1487</v>
      </c>
      <c r="DGF803" s="193" t="s">
        <v>1487</v>
      </c>
      <c r="DGG803" s="193" t="s">
        <v>1487</v>
      </c>
      <c r="DGH803" s="193" t="s">
        <v>1487</v>
      </c>
      <c r="DGI803" s="193" t="s">
        <v>1487</v>
      </c>
      <c r="DGJ803" s="193" t="s">
        <v>1487</v>
      </c>
      <c r="DGK803" s="193" t="s">
        <v>1487</v>
      </c>
      <c r="DGL803" s="193" t="s">
        <v>1487</v>
      </c>
      <c r="DGM803" s="193" t="s">
        <v>1487</v>
      </c>
      <c r="DGN803" s="193" t="s">
        <v>1487</v>
      </c>
      <c r="DGO803" s="193" t="s">
        <v>1487</v>
      </c>
      <c r="DGP803" s="193" t="s">
        <v>1487</v>
      </c>
      <c r="DGQ803" s="193" t="s">
        <v>1487</v>
      </c>
      <c r="DGR803" s="193" t="s">
        <v>1487</v>
      </c>
      <c r="DGS803" s="193" t="s">
        <v>1487</v>
      </c>
      <c r="DGT803" s="193" t="s">
        <v>1487</v>
      </c>
      <c r="DGU803" s="193" t="s">
        <v>1487</v>
      </c>
      <c r="DGV803" s="193" t="s">
        <v>1487</v>
      </c>
      <c r="DGW803" s="193" t="s">
        <v>1487</v>
      </c>
      <c r="DGX803" s="193" t="s">
        <v>1487</v>
      </c>
      <c r="DGY803" s="193" t="s">
        <v>1487</v>
      </c>
      <c r="DGZ803" s="193" t="s">
        <v>1487</v>
      </c>
      <c r="DHA803" s="193" t="s">
        <v>1487</v>
      </c>
      <c r="DHB803" s="193" t="s">
        <v>1487</v>
      </c>
      <c r="DHC803" s="193" t="s">
        <v>1487</v>
      </c>
      <c r="DHD803" s="193" t="s">
        <v>1487</v>
      </c>
      <c r="DHE803" s="193" t="s">
        <v>1487</v>
      </c>
      <c r="DHF803" s="193" t="s">
        <v>1487</v>
      </c>
      <c r="DHG803" s="193" t="s">
        <v>1487</v>
      </c>
      <c r="DHH803" s="193" t="s">
        <v>1487</v>
      </c>
      <c r="DHI803" s="193" t="s">
        <v>1487</v>
      </c>
      <c r="DHJ803" s="193" t="s">
        <v>1487</v>
      </c>
      <c r="DHK803" s="193" t="s">
        <v>1487</v>
      </c>
      <c r="DHL803" s="193" t="s">
        <v>1487</v>
      </c>
      <c r="DHM803" s="193" t="s">
        <v>1487</v>
      </c>
      <c r="DHN803" s="193" t="s">
        <v>1487</v>
      </c>
      <c r="DHO803" s="193" t="s">
        <v>1487</v>
      </c>
      <c r="DHP803" s="193" t="s">
        <v>1487</v>
      </c>
      <c r="DHQ803" s="193" t="s">
        <v>1487</v>
      </c>
      <c r="DHR803" s="193" t="s">
        <v>1487</v>
      </c>
      <c r="DHS803" s="193" t="s">
        <v>1487</v>
      </c>
      <c r="DHT803" s="193" t="s">
        <v>1487</v>
      </c>
      <c r="DHU803" s="193" t="s">
        <v>1487</v>
      </c>
      <c r="DHV803" s="193" t="s">
        <v>1487</v>
      </c>
      <c r="DHW803" s="193" t="s">
        <v>1487</v>
      </c>
      <c r="DHX803" s="193" t="s">
        <v>1487</v>
      </c>
      <c r="DHY803" s="193" t="s">
        <v>1487</v>
      </c>
      <c r="DHZ803" s="193" t="s">
        <v>1487</v>
      </c>
      <c r="DIA803" s="193" t="s">
        <v>1487</v>
      </c>
      <c r="DIB803" s="193" t="s">
        <v>1487</v>
      </c>
      <c r="DIC803" s="193" t="s">
        <v>1487</v>
      </c>
      <c r="DID803" s="193" t="s">
        <v>1487</v>
      </c>
      <c r="DIE803" s="193" t="s">
        <v>1487</v>
      </c>
      <c r="DIF803" s="193" t="s">
        <v>1487</v>
      </c>
      <c r="DIG803" s="193" t="s">
        <v>1487</v>
      </c>
      <c r="DIH803" s="193" t="s">
        <v>1487</v>
      </c>
      <c r="DII803" s="193" t="s">
        <v>1487</v>
      </c>
      <c r="DIJ803" s="193" t="s">
        <v>1487</v>
      </c>
      <c r="DIK803" s="193" t="s">
        <v>1487</v>
      </c>
      <c r="DIL803" s="193" t="s">
        <v>1487</v>
      </c>
      <c r="DIM803" s="193" t="s">
        <v>1487</v>
      </c>
      <c r="DIN803" s="193" t="s">
        <v>1487</v>
      </c>
      <c r="DIO803" s="193" t="s">
        <v>1487</v>
      </c>
      <c r="DIP803" s="193" t="s">
        <v>1487</v>
      </c>
      <c r="DIQ803" s="193" t="s">
        <v>1487</v>
      </c>
      <c r="DIR803" s="193" t="s">
        <v>1487</v>
      </c>
      <c r="DIS803" s="193" t="s">
        <v>1487</v>
      </c>
      <c r="DIT803" s="193" t="s">
        <v>1487</v>
      </c>
      <c r="DIU803" s="193" t="s">
        <v>1487</v>
      </c>
      <c r="DIV803" s="193" t="s">
        <v>1487</v>
      </c>
      <c r="DIW803" s="193" t="s">
        <v>1487</v>
      </c>
      <c r="DIX803" s="193" t="s">
        <v>1487</v>
      </c>
      <c r="DIY803" s="193" t="s">
        <v>1487</v>
      </c>
      <c r="DIZ803" s="193" t="s">
        <v>1487</v>
      </c>
      <c r="DJA803" s="193" t="s">
        <v>1487</v>
      </c>
      <c r="DJB803" s="193" t="s">
        <v>1487</v>
      </c>
      <c r="DJC803" s="193" t="s">
        <v>1487</v>
      </c>
      <c r="DJD803" s="193" t="s">
        <v>1487</v>
      </c>
      <c r="DJE803" s="193" t="s">
        <v>1487</v>
      </c>
      <c r="DJF803" s="193" t="s">
        <v>1487</v>
      </c>
      <c r="DJG803" s="193" t="s">
        <v>1487</v>
      </c>
      <c r="DJH803" s="193" t="s">
        <v>1487</v>
      </c>
      <c r="DJI803" s="193" t="s">
        <v>1487</v>
      </c>
      <c r="DJJ803" s="193" t="s">
        <v>1487</v>
      </c>
      <c r="DJK803" s="193" t="s">
        <v>1487</v>
      </c>
      <c r="DJL803" s="193" t="s">
        <v>1487</v>
      </c>
      <c r="DJM803" s="193" t="s">
        <v>1487</v>
      </c>
      <c r="DJN803" s="193" t="s">
        <v>1487</v>
      </c>
      <c r="DJO803" s="193" t="s">
        <v>1487</v>
      </c>
      <c r="DJP803" s="193" t="s">
        <v>1487</v>
      </c>
      <c r="DJQ803" s="193" t="s">
        <v>1487</v>
      </c>
      <c r="DJR803" s="193" t="s">
        <v>1487</v>
      </c>
      <c r="DJS803" s="193" t="s">
        <v>1487</v>
      </c>
      <c r="DJT803" s="193" t="s">
        <v>1487</v>
      </c>
      <c r="DJU803" s="193" t="s">
        <v>1487</v>
      </c>
      <c r="DJV803" s="193" t="s">
        <v>1487</v>
      </c>
      <c r="DJW803" s="193" t="s">
        <v>1487</v>
      </c>
      <c r="DJX803" s="193" t="s">
        <v>1487</v>
      </c>
      <c r="DJY803" s="193" t="s">
        <v>1487</v>
      </c>
      <c r="DJZ803" s="193" t="s">
        <v>1487</v>
      </c>
      <c r="DKA803" s="193" t="s">
        <v>1487</v>
      </c>
      <c r="DKB803" s="193" t="s">
        <v>1487</v>
      </c>
      <c r="DKC803" s="193" t="s">
        <v>1487</v>
      </c>
      <c r="DKD803" s="193" t="s">
        <v>1487</v>
      </c>
      <c r="DKE803" s="193" t="s">
        <v>1487</v>
      </c>
      <c r="DKF803" s="193" t="s">
        <v>1487</v>
      </c>
      <c r="DKG803" s="193" t="s">
        <v>1487</v>
      </c>
      <c r="DKH803" s="193" t="s">
        <v>1487</v>
      </c>
      <c r="DKI803" s="193" t="s">
        <v>1487</v>
      </c>
      <c r="DKJ803" s="193" t="s">
        <v>1487</v>
      </c>
      <c r="DKK803" s="193" t="s">
        <v>1487</v>
      </c>
      <c r="DKL803" s="193" t="s">
        <v>1487</v>
      </c>
      <c r="DKM803" s="193" t="s">
        <v>1487</v>
      </c>
      <c r="DKN803" s="193" t="s">
        <v>1487</v>
      </c>
      <c r="DKO803" s="193" t="s">
        <v>1487</v>
      </c>
      <c r="DKP803" s="193" t="s">
        <v>1487</v>
      </c>
      <c r="DKQ803" s="193" t="s">
        <v>1487</v>
      </c>
      <c r="DKR803" s="193" t="s">
        <v>1487</v>
      </c>
      <c r="DKS803" s="193" t="s">
        <v>1487</v>
      </c>
      <c r="DKT803" s="193" t="s">
        <v>1487</v>
      </c>
      <c r="DKU803" s="193" t="s">
        <v>1487</v>
      </c>
      <c r="DKV803" s="193" t="s">
        <v>1487</v>
      </c>
      <c r="DKW803" s="193" t="s">
        <v>1487</v>
      </c>
      <c r="DKX803" s="193" t="s">
        <v>1487</v>
      </c>
      <c r="DKY803" s="193" t="s">
        <v>1487</v>
      </c>
      <c r="DKZ803" s="193" t="s">
        <v>1487</v>
      </c>
      <c r="DLA803" s="193" t="s">
        <v>1487</v>
      </c>
      <c r="DLB803" s="193" t="s">
        <v>1487</v>
      </c>
      <c r="DLC803" s="193" t="s">
        <v>1487</v>
      </c>
      <c r="DLD803" s="193" t="s">
        <v>1487</v>
      </c>
      <c r="DLE803" s="193" t="s">
        <v>1487</v>
      </c>
      <c r="DLF803" s="193" t="s">
        <v>1487</v>
      </c>
      <c r="DLG803" s="193" t="s">
        <v>1487</v>
      </c>
      <c r="DLH803" s="193" t="s">
        <v>1487</v>
      </c>
      <c r="DLI803" s="193" t="s">
        <v>1487</v>
      </c>
      <c r="DLJ803" s="193" t="s">
        <v>1487</v>
      </c>
      <c r="DLK803" s="193" t="s">
        <v>1487</v>
      </c>
      <c r="DLL803" s="193" t="s">
        <v>1487</v>
      </c>
      <c r="DLM803" s="193" t="s">
        <v>1487</v>
      </c>
      <c r="DLN803" s="193" t="s">
        <v>1487</v>
      </c>
      <c r="DLO803" s="193" t="s">
        <v>1487</v>
      </c>
      <c r="DLP803" s="193" t="s">
        <v>1487</v>
      </c>
      <c r="DLQ803" s="193" t="s">
        <v>1487</v>
      </c>
      <c r="DLR803" s="193" t="s">
        <v>1487</v>
      </c>
      <c r="DLS803" s="193" t="s">
        <v>1487</v>
      </c>
      <c r="DLT803" s="193" t="s">
        <v>1487</v>
      </c>
      <c r="DLU803" s="193" t="s">
        <v>1487</v>
      </c>
      <c r="DLV803" s="193" t="s">
        <v>1487</v>
      </c>
      <c r="DLW803" s="193" t="s">
        <v>1487</v>
      </c>
      <c r="DLX803" s="193" t="s">
        <v>1487</v>
      </c>
      <c r="DLY803" s="193" t="s">
        <v>1487</v>
      </c>
      <c r="DLZ803" s="193" t="s">
        <v>1487</v>
      </c>
      <c r="DMA803" s="193" t="s">
        <v>1487</v>
      </c>
      <c r="DMB803" s="193" t="s">
        <v>1487</v>
      </c>
      <c r="DMC803" s="193" t="s">
        <v>1487</v>
      </c>
      <c r="DMD803" s="193" t="s">
        <v>1487</v>
      </c>
      <c r="DME803" s="193" t="s">
        <v>1487</v>
      </c>
      <c r="DMF803" s="193" t="s">
        <v>1487</v>
      </c>
      <c r="DMG803" s="193" t="s">
        <v>1487</v>
      </c>
      <c r="DMH803" s="193" t="s">
        <v>1487</v>
      </c>
      <c r="DMI803" s="193" t="s">
        <v>1487</v>
      </c>
      <c r="DMJ803" s="193" t="s">
        <v>1487</v>
      </c>
      <c r="DMK803" s="193" t="s">
        <v>1487</v>
      </c>
      <c r="DML803" s="193" t="s">
        <v>1487</v>
      </c>
      <c r="DMM803" s="193" t="s">
        <v>1487</v>
      </c>
      <c r="DMN803" s="193" t="s">
        <v>1487</v>
      </c>
      <c r="DMO803" s="193" t="s">
        <v>1487</v>
      </c>
      <c r="DMP803" s="193" t="s">
        <v>1487</v>
      </c>
      <c r="DMQ803" s="193" t="s">
        <v>1487</v>
      </c>
      <c r="DMR803" s="193" t="s">
        <v>1487</v>
      </c>
      <c r="DMS803" s="193" t="s">
        <v>1487</v>
      </c>
      <c r="DMT803" s="193" t="s">
        <v>1487</v>
      </c>
      <c r="DMU803" s="193" t="s">
        <v>1487</v>
      </c>
      <c r="DMV803" s="193" t="s">
        <v>1487</v>
      </c>
      <c r="DMW803" s="193" t="s">
        <v>1487</v>
      </c>
      <c r="DMX803" s="193" t="s">
        <v>1487</v>
      </c>
      <c r="DMY803" s="193" t="s">
        <v>1487</v>
      </c>
      <c r="DMZ803" s="193" t="s">
        <v>1487</v>
      </c>
      <c r="DNA803" s="193" t="s">
        <v>1487</v>
      </c>
      <c r="DNB803" s="193" t="s">
        <v>1487</v>
      </c>
      <c r="DNC803" s="193" t="s">
        <v>1487</v>
      </c>
      <c r="DND803" s="193" t="s">
        <v>1487</v>
      </c>
      <c r="DNE803" s="193" t="s">
        <v>1487</v>
      </c>
      <c r="DNF803" s="193" t="s">
        <v>1487</v>
      </c>
      <c r="DNG803" s="193" t="s">
        <v>1487</v>
      </c>
      <c r="DNH803" s="193" t="s">
        <v>1487</v>
      </c>
      <c r="DNI803" s="193" t="s">
        <v>1487</v>
      </c>
      <c r="DNJ803" s="193" t="s">
        <v>1487</v>
      </c>
      <c r="DNK803" s="193" t="s">
        <v>1487</v>
      </c>
      <c r="DNL803" s="193" t="s">
        <v>1487</v>
      </c>
      <c r="DNM803" s="193" t="s">
        <v>1487</v>
      </c>
      <c r="DNN803" s="193" t="s">
        <v>1487</v>
      </c>
      <c r="DNO803" s="193" t="s">
        <v>1487</v>
      </c>
      <c r="DNP803" s="193" t="s">
        <v>1487</v>
      </c>
      <c r="DNQ803" s="193" t="s">
        <v>1487</v>
      </c>
      <c r="DNR803" s="193" t="s">
        <v>1487</v>
      </c>
      <c r="DNS803" s="193" t="s">
        <v>1487</v>
      </c>
      <c r="DNT803" s="193" t="s">
        <v>1487</v>
      </c>
      <c r="DNU803" s="193" t="s">
        <v>1487</v>
      </c>
      <c r="DNV803" s="193" t="s">
        <v>1487</v>
      </c>
      <c r="DNW803" s="193" t="s">
        <v>1487</v>
      </c>
      <c r="DNX803" s="193" t="s">
        <v>1487</v>
      </c>
      <c r="DNY803" s="193" t="s">
        <v>1487</v>
      </c>
      <c r="DNZ803" s="193" t="s">
        <v>1487</v>
      </c>
      <c r="DOA803" s="193" t="s">
        <v>1487</v>
      </c>
      <c r="DOB803" s="193" t="s">
        <v>1487</v>
      </c>
      <c r="DOC803" s="193" t="s">
        <v>1487</v>
      </c>
      <c r="DOD803" s="193" t="s">
        <v>1487</v>
      </c>
      <c r="DOE803" s="193" t="s">
        <v>1487</v>
      </c>
      <c r="DOF803" s="193" t="s">
        <v>1487</v>
      </c>
      <c r="DOG803" s="193" t="s">
        <v>1487</v>
      </c>
      <c r="DOH803" s="193" t="s">
        <v>1487</v>
      </c>
      <c r="DOI803" s="193" t="s">
        <v>1487</v>
      </c>
      <c r="DOJ803" s="193" t="s">
        <v>1487</v>
      </c>
      <c r="DOK803" s="193" t="s">
        <v>1487</v>
      </c>
      <c r="DOL803" s="193" t="s">
        <v>1487</v>
      </c>
      <c r="DOM803" s="193" t="s">
        <v>1487</v>
      </c>
      <c r="DON803" s="193" t="s">
        <v>1487</v>
      </c>
      <c r="DOO803" s="193" t="s">
        <v>1487</v>
      </c>
      <c r="DOP803" s="193" t="s">
        <v>1487</v>
      </c>
      <c r="DOQ803" s="193" t="s">
        <v>1487</v>
      </c>
      <c r="DOR803" s="193" t="s">
        <v>1487</v>
      </c>
      <c r="DOS803" s="193" t="s">
        <v>1487</v>
      </c>
      <c r="DOT803" s="193" t="s">
        <v>1487</v>
      </c>
      <c r="DOU803" s="193" t="s">
        <v>1487</v>
      </c>
      <c r="DOV803" s="193" t="s">
        <v>1487</v>
      </c>
      <c r="DOW803" s="193" t="s">
        <v>1487</v>
      </c>
      <c r="DOX803" s="193" t="s">
        <v>1487</v>
      </c>
      <c r="DOY803" s="193" t="s">
        <v>1487</v>
      </c>
      <c r="DOZ803" s="193" t="s">
        <v>1487</v>
      </c>
      <c r="DPA803" s="193" t="s">
        <v>1487</v>
      </c>
      <c r="DPB803" s="193" t="s">
        <v>1487</v>
      </c>
      <c r="DPC803" s="193" t="s">
        <v>1487</v>
      </c>
      <c r="DPD803" s="193" t="s">
        <v>1487</v>
      </c>
      <c r="DPE803" s="193" t="s">
        <v>1487</v>
      </c>
      <c r="DPF803" s="193" t="s">
        <v>1487</v>
      </c>
      <c r="DPG803" s="193" t="s">
        <v>1487</v>
      </c>
      <c r="DPH803" s="193" t="s">
        <v>1487</v>
      </c>
      <c r="DPI803" s="193" t="s">
        <v>1487</v>
      </c>
      <c r="DPJ803" s="193" t="s">
        <v>1487</v>
      </c>
      <c r="DPK803" s="193" t="s">
        <v>1487</v>
      </c>
      <c r="DPL803" s="193" t="s">
        <v>1487</v>
      </c>
      <c r="DPM803" s="193" t="s">
        <v>1487</v>
      </c>
      <c r="DPN803" s="193" t="s">
        <v>1487</v>
      </c>
      <c r="DPO803" s="193" t="s">
        <v>1487</v>
      </c>
      <c r="DPP803" s="193" t="s">
        <v>1487</v>
      </c>
      <c r="DPQ803" s="193" t="s">
        <v>1487</v>
      </c>
      <c r="DPR803" s="193" t="s">
        <v>1487</v>
      </c>
      <c r="DPS803" s="193" t="s">
        <v>1487</v>
      </c>
      <c r="DPT803" s="193" t="s">
        <v>1487</v>
      </c>
      <c r="DPU803" s="193" t="s">
        <v>1487</v>
      </c>
      <c r="DPV803" s="193" t="s">
        <v>1487</v>
      </c>
      <c r="DPW803" s="193" t="s">
        <v>1487</v>
      </c>
      <c r="DPX803" s="193" t="s">
        <v>1487</v>
      </c>
      <c r="DPY803" s="193" t="s">
        <v>1487</v>
      </c>
      <c r="DPZ803" s="193" t="s">
        <v>1487</v>
      </c>
      <c r="DQA803" s="193" t="s">
        <v>1487</v>
      </c>
      <c r="DQB803" s="193" t="s">
        <v>1487</v>
      </c>
      <c r="DQC803" s="193" t="s">
        <v>1487</v>
      </c>
      <c r="DQD803" s="193" t="s">
        <v>1487</v>
      </c>
      <c r="DQE803" s="193" t="s">
        <v>1487</v>
      </c>
      <c r="DQF803" s="193" t="s">
        <v>1487</v>
      </c>
      <c r="DQG803" s="193" t="s">
        <v>1487</v>
      </c>
      <c r="DQH803" s="193" t="s">
        <v>1487</v>
      </c>
      <c r="DQI803" s="193" t="s">
        <v>1487</v>
      </c>
      <c r="DQJ803" s="193" t="s">
        <v>1487</v>
      </c>
      <c r="DQK803" s="193" t="s">
        <v>1487</v>
      </c>
      <c r="DQL803" s="193" t="s">
        <v>1487</v>
      </c>
      <c r="DQM803" s="193" t="s">
        <v>1487</v>
      </c>
      <c r="DQN803" s="193" t="s">
        <v>1487</v>
      </c>
      <c r="DQO803" s="193" t="s">
        <v>1487</v>
      </c>
      <c r="DQP803" s="193" t="s">
        <v>1487</v>
      </c>
      <c r="DQQ803" s="193" t="s">
        <v>1487</v>
      </c>
      <c r="DQR803" s="193" t="s">
        <v>1487</v>
      </c>
      <c r="DQS803" s="193" t="s">
        <v>1487</v>
      </c>
      <c r="DQT803" s="193" t="s">
        <v>1487</v>
      </c>
      <c r="DQU803" s="193" t="s">
        <v>1487</v>
      </c>
      <c r="DQV803" s="193" t="s">
        <v>1487</v>
      </c>
      <c r="DQW803" s="193" t="s">
        <v>1487</v>
      </c>
      <c r="DQX803" s="193" t="s">
        <v>1487</v>
      </c>
      <c r="DQY803" s="193" t="s">
        <v>1487</v>
      </c>
      <c r="DQZ803" s="193" t="s">
        <v>1487</v>
      </c>
      <c r="DRA803" s="193" t="s">
        <v>1487</v>
      </c>
      <c r="DRB803" s="193" t="s">
        <v>1487</v>
      </c>
      <c r="DRC803" s="193" t="s">
        <v>1487</v>
      </c>
      <c r="DRD803" s="193" t="s">
        <v>1487</v>
      </c>
      <c r="DRE803" s="193" t="s">
        <v>1487</v>
      </c>
      <c r="DRF803" s="193" t="s">
        <v>1487</v>
      </c>
      <c r="DRG803" s="193" t="s">
        <v>1487</v>
      </c>
      <c r="DRH803" s="193" t="s">
        <v>1487</v>
      </c>
      <c r="DRI803" s="193" t="s">
        <v>1487</v>
      </c>
      <c r="DRJ803" s="193" t="s">
        <v>1487</v>
      </c>
      <c r="DRK803" s="193" t="s">
        <v>1487</v>
      </c>
      <c r="DRL803" s="193" t="s">
        <v>1487</v>
      </c>
      <c r="DRM803" s="193" t="s">
        <v>1487</v>
      </c>
      <c r="DRN803" s="193" t="s">
        <v>1487</v>
      </c>
      <c r="DRO803" s="193" t="s">
        <v>1487</v>
      </c>
      <c r="DRP803" s="193" t="s">
        <v>1487</v>
      </c>
      <c r="DRQ803" s="193" t="s">
        <v>1487</v>
      </c>
      <c r="DRR803" s="193" t="s">
        <v>1487</v>
      </c>
      <c r="DRS803" s="193" t="s">
        <v>1487</v>
      </c>
      <c r="DRT803" s="193" t="s">
        <v>1487</v>
      </c>
      <c r="DRU803" s="193" t="s">
        <v>1487</v>
      </c>
      <c r="DRV803" s="193" t="s">
        <v>1487</v>
      </c>
      <c r="DRW803" s="193" t="s">
        <v>1487</v>
      </c>
      <c r="DRX803" s="193" t="s">
        <v>1487</v>
      </c>
      <c r="DRY803" s="193" t="s">
        <v>1487</v>
      </c>
      <c r="DRZ803" s="193" t="s">
        <v>1487</v>
      </c>
      <c r="DSA803" s="193" t="s">
        <v>1487</v>
      </c>
      <c r="DSB803" s="193" t="s">
        <v>1487</v>
      </c>
      <c r="DSC803" s="193" t="s">
        <v>1487</v>
      </c>
      <c r="DSD803" s="193" t="s">
        <v>1487</v>
      </c>
      <c r="DSE803" s="193" t="s">
        <v>1487</v>
      </c>
      <c r="DSF803" s="193" t="s">
        <v>1487</v>
      </c>
      <c r="DSG803" s="193" t="s">
        <v>1487</v>
      </c>
      <c r="DSH803" s="193" t="s">
        <v>1487</v>
      </c>
      <c r="DSI803" s="193" t="s">
        <v>1487</v>
      </c>
      <c r="DSJ803" s="193" t="s">
        <v>1487</v>
      </c>
      <c r="DSK803" s="193" t="s">
        <v>1487</v>
      </c>
      <c r="DSL803" s="193" t="s">
        <v>1487</v>
      </c>
      <c r="DSM803" s="193" t="s">
        <v>1487</v>
      </c>
      <c r="DSN803" s="193" t="s">
        <v>1487</v>
      </c>
      <c r="DSO803" s="193" t="s">
        <v>1487</v>
      </c>
      <c r="DSP803" s="193" t="s">
        <v>1487</v>
      </c>
      <c r="DSQ803" s="193" t="s">
        <v>1487</v>
      </c>
      <c r="DSR803" s="193" t="s">
        <v>1487</v>
      </c>
      <c r="DSS803" s="193" t="s">
        <v>1487</v>
      </c>
      <c r="DST803" s="193" t="s">
        <v>1487</v>
      </c>
      <c r="DSU803" s="193" t="s">
        <v>1487</v>
      </c>
      <c r="DSV803" s="193" t="s">
        <v>1487</v>
      </c>
      <c r="DSW803" s="193" t="s">
        <v>1487</v>
      </c>
      <c r="DSX803" s="193" t="s">
        <v>1487</v>
      </c>
      <c r="DSY803" s="193" t="s">
        <v>1487</v>
      </c>
      <c r="DSZ803" s="193" t="s">
        <v>1487</v>
      </c>
      <c r="DTA803" s="193" t="s">
        <v>1487</v>
      </c>
      <c r="DTB803" s="193" t="s">
        <v>1487</v>
      </c>
      <c r="DTC803" s="193" t="s">
        <v>1487</v>
      </c>
      <c r="DTD803" s="193" t="s">
        <v>1487</v>
      </c>
      <c r="DTE803" s="193" t="s">
        <v>1487</v>
      </c>
      <c r="DTF803" s="193" t="s">
        <v>1487</v>
      </c>
      <c r="DTG803" s="193" t="s">
        <v>1487</v>
      </c>
      <c r="DTH803" s="193" t="s">
        <v>1487</v>
      </c>
      <c r="DTI803" s="193" t="s">
        <v>1487</v>
      </c>
      <c r="DTJ803" s="193" t="s">
        <v>1487</v>
      </c>
      <c r="DTK803" s="193" t="s">
        <v>1487</v>
      </c>
      <c r="DTL803" s="193" t="s">
        <v>1487</v>
      </c>
      <c r="DTM803" s="193" t="s">
        <v>1487</v>
      </c>
      <c r="DTN803" s="193" t="s">
        <v>1487</v>
      </c>
      <c r="DTO803" s="193" t="s">
        <v>1487</v>
      </c>
      <c r="DTP803" s="193" t="s">
        <v>1487</v>
      </c>
      <c r="DTQ803" s="193" t="s">
        <v>1487</v>
      </c>
      <c r="DTR803" s="193" t="s">
        <v>1487</v>
      </c>
      <c r="DTS803" s="193" t="s">
        <v>1487</v>
      </c>
      <c r="DTT803" s="193" t="s">
        <v>1487</v>
      </c>
      <c r="DTU803" s="193" t="s">
        <v>1487</v>
      </c>
      <c r="DTV803" s="193" t="s">
        <v>1487</v>
      </c>
      <c r="DTW803" s="193" t="s">
        <v>1487</v>
      </c>
      <c r="DTX803" s="193" t="s">
        <v>1487</v>
      </c>
      <c r="DTY803" s="193" t="s">
        <v>1487</v>
      </c>
      <c r="DTZ803" s="193" t="s">
        <v>1487</v>
      </c>
      <c r="DUA803" s="193" t="s">
        <v>1487</v>
      </c>
      <c r="DUB803" s="193" t="s">
        <v>1487</v>
      </c>
      <c r="DUC803" s="193" t="s">
        <v>1487</v>
      </c>
      <c r="DUD803" s="193" t="s">
        <v>1487</v>
      </c>
      <c r="DUE803" s="193" t="s">
        <v>1487</v>
      </c>
      <c r="DUF803" s="193" t="s">
        <v>1487</v>
      </c>
      <c r="DUG803" s="193" t="s">
        <v>1487</v>
      </c>
      <c r="DUH803" s="193" t="s">
        <v>1487</v>
      </c>
      <c r="DUI803" s="193" t="s">
        <v>1487</v>
      </c>
      <c r="DUJ803" s="193" t="s">
        <v>1487</v>
      </c>
      <c r="DUK803" s="193" t="s">
        <v>1487</v>
      </c>
      <c r="DUL803" s="193" t="s">
        <v>1487</v>
      </c>
      <c r="DUM803" s="193" t="s">
        <v>1487</v>
      </c>
      <c r="DUN803" s="193" t="s">
        <v>1487</v>
      </c>
      <c r="DUO803" s="193" t="s">
        <v>1487</v>
      </c>
      <c r="DUP803" s="193" t="s">
        <v>1487</v>
      </c>
      <c r="DUQ803" s="193" t="s">
        <v>1487</v>
      </c>
      <c r="DUR803" s="193" t="s">
        <v>1487</v>
      </c>
      <c r="DUS803" s="193" t="s">
        <v>1487</v>
      </c>
      <c r="DUT803" s="193" t="s">
        <v>1487</v>
      </c>
      <c r="DUU803" s="193" t="s">
        <v>1487</v>
      </c>
      <c r="DUV803" s="193" t="s">
        <v>1487</v>
      </c>
      <c r="DUW803" s="193" t="s">
        <v>1487</v>
      </c>
      <c r="DUX803" s="193" t="s">
        <v>1487</v>
      </c>
      <c r="DUY803" s="193" t="s">
        <v>1487</v>
      </c>
      <c r="DUZ803" s="193" t="s">
        <v>1487</v>
      </c>
      <c r="DVA803" s="193" t="s">
        <v>1487</v>
      </c>
      <c r="DVB803" s="193" t="s">
        <v>1487</v>
      </c>
      <c r="DVC803" s="193" t="s">
        <v>1487</v>
      </c>
      <c r="DVD803" s="193" t="s">
        <v>1487</v>
      </c>
      <c r="DVE803" s="193" t="s">
        <v>1487</v>
      </c>
      <c r="DVF803" s="193" t="s">
        <v>1487</v>
      </c>
      <c r="DVG803" s="193" t="s">
        <v>1487</v>
      </c>
      <c r="DVH803" s="193" t="s">
        <v>1487</v>
      </c>
      <c r="DVI803" s="193" t="s">
        <v>1487</v>
      </c>
      <c r="DVJ803" s="193" t="s">
        <v>1487</v>
      </c>
      <c r="DVK803" s="193" t="s">
        <v>1487</v>
      </c>
      <c r="DVL803" s="193" t="s">
        <v>1487</v>
      </c>
      <c r="DVM803" s="193" t="s">
        <v>1487</v>
      </c>
      <c r="DVN803" s="193" t="s">
        <v>1487</v>
      </c>
      <c r="DVO803" s="193" t="s">
        <v>1487</v>
      </c>
      <c r="DVP803" s="193" t="s">
        <v>1487</v>
      </c>
      <c r="DVQ803" s="193" t="s">
        <v>1487</v>
      </c>
      <c r="DVR803" s="193" t="s">
        <v>1487</v>
      </c>
      <c r="DVS803" s="193" t="s">
        <v>1487</v>
      </c>
      <c r="DVT803" s="193" t="s">
        <v>1487</v>
      </c>
      <c r="DVU803" s="193" t="s">
        <v>1487</v>
      </c>
      <c r="DVV803" s="193" t="s">
        <v>1487</v>
      </c>
      <c r="DVW803" s="193" t="s">
        <v>1487</v>
      </c>
      <c r="DVX803" s="193" t="s">
        <v>1487</v>
      </c>
      <c r="DVY803" s="193" t="s">
        <v>1487</v>
      </c>
      <c r="DVZ803" s="193" t="s">
        <v>1487</v>
      </c>
      <c r="DWA803" s="193" t="s">
        <v>1487</v>
      </c>
      <c r="DWB803" s="193" t="s">
        <v>1487</v>
      </c>
      <c r="DWC803" s="193" t="s">
        <v>1487</v>
      </c>
      <c r="DWD803" s="193" t="s">
        <v>1487</v>
      </c>
      <c r="DWE803" s="193" t="s">
        <v>1487</v>
      </c>
      <c r="DWF803" s="193" t="s">
        <v>1487</v>
      </c>
      <c r="DWG803" s="193" t="s">
        <v>1487</v>
      </c>
      <c r="DWH803" s="193" t="s">
        <v>1487</v>
      </c>
      <c r="DWI803" s="193" t="s">
        <v>1487</v>
      </c>
      <c r="DWJ803" s="193" t="s">
        <v>1487</v>
      </c>
      <c r="DWK803" s="193" t="s">
        <v>1487</v>
      </c>
      <c r="DWL803" s="193" t="s">
        <v>1487</v>
      </c>
      <c r="DWM803" s="193" t="s">
        <v>1487</v>
      </c>
      <c r="DWN803" s="193" t="s">
        <v>1487</v>
      </c>
      <c r="DWO803" s="193" t="s">
        <v>1487</v>
      </c>
      <c r="DWP803" s="193" t="s">
        <v>1487</v>
      </c>
      <c r="DWQ803" s="193" t="s">
        <v>1487</v>
      </c>
      <c r="DWR803" s="193" t="s">
        <v>1487</v>
      </c>
      <c r="DWS803" s="193" t="s">
        <v>1487</v>
      </c>
      <c r="DWT803" s="193" t="s">
        <v>1487</v>
      </c>
      <c r="DWU803" s="193" t="s">
        <v>1487</v>
      </c>
      <c r="DWV803" s="193" t="s">
        <v>1487</v>
      </c>
      <c r="DWW803" s="193" t="s">
        <v>1487</v>
      </c>
      <c r="DWX803" s="193" t="s">
        <v>1487</v>
      </c>
      <c r="DWY803" s="193" t="s">
        <v>1487</v>
      </c>
      <c r="DWZ803" s="193" t="s">
        <v>1487</v>
      </c>
      <c r="DXA803" s="193" t="s">
        <v>1487</v>
      </c>
      <c r="DXB803" s="193" t="s">
        <v>1487</v>
      </c>
      <c r="DXC803" s="193" t="s">
        <v>1487</v>
      </c>
      <c r="DXD803" s="193" t="s">
        <v>1487</v>
      </c>
      <c r="DXE803" s="193" t="s">
        <v>1487</v>
      </c>
      <c r="DXF803" s="193" t="s">
        <v>1487</v>
      </c>
      <c r="DXG803" s="193" t="s">
        <v>1487</v>
      </c>
      <c r="DXH803" s="193" t="s">
        <v>1487</v>
      </c>
      <c r="DXI803" s="193" t="s">
        <v>1487</v>
      </c>
      <c r="DXJ803" s="193" t="s">
        <v>1487</v>
      </c>
      <c r="DXK803" s="193" t="s">
        <v>1487</v>
      </c>
      <c r="DXL803" s="193" t="s">
        <v>1487</v>
      </c>
      <c r="DXM803" s="193" t="s">
        <v>1487</v>
      </c>
      <c r="DXN803" s="193" t="s">
        <v>1487</v>
      </c>
      <c r="DXO803" s="193" t="s">
        <v>1487</v>
      </c>
      <c r="DXP803" s="193" t="s">
        <v>1487</v>
      </c>
      <c r="DXQ803" s="193" t="s">
        <v>1487</v>
      </c>
      <c r="DXR803" s="193" t="s">
        <v>1487</v>
      </c>
      <c r="DXS803" s="193" t="s">
        <v>1487</v>
      </c>
      <c r="DXT803" s="193" t="s">
        <v>1487</v>
      </c>
      <c r="DXU803" s="193" t="s">
        <v>1487</v>
      </c>
      <c r="DXV803" s="193" t="s">
        <v>1487</v>
      </c>
      <c r="DXW803" s="193" t="s">
        <v>1487</v>
      </c>
      <c r="DXX803" s="193" t="s">
        <v>1487</v>
      </c>
      <c r="DXY803" s="193" t="s">
        <v>1487</v>
      </c>
      <c r="DXZ803" s="193" t="s">
        <v>1487</v>
      </c>
      <c r="DYA803" s="193" t="s">
        <v>1487</v>
      </c>
      <c r="DYB803" s="193" t="s">
        <v>1487</v>
      </c>
      <c r="DYC803" s="193" t="s">
        <v>1487</v>
      </c>
      <c r="DYD803" s="193" t="s">
        <v>1487</v>
      </c>
      <c r="DYE803" s="193" t="s">
        <v>1487</v>
      </c>
      <c r="DYF803" s="193" t="s">
        <v>1487</v>
      </c>
      <c r="DYG803" s="193" t="s">
        <v>1487</v>
      </c>
      <c r="DYH803" s="193" t="s">
        <v>1487</v>
      </c>
      <c r="DYI803" s="193" t="s">
        <v>1487</v>
      </c>
      <c r="DYJ803" s="193" t="s">
        <v>1487</v>
      </c>
      <c r="DYK803" s="193" t="s">
        <v>1487</v>
      </c>
      <c r="DYL803" s="193" t="s">
        <v>1487</v>
      </c>
      <c r="DYM803" s="193" t="s">
        <v>1487</v>
      </c>
      <c r="DYN803" s="193" t="s">
        <v>1487</v>
      </c>
      <c r="DYO803" s="193" t="s">
        <v>1487</v>
      </c>
      <c r="DYP803" s="193" t="s">
        <v>1487</v>
      </c>
      <c r="DYQ803" s="193" t="s">
        <v>1487</v>
      </c>
      <c r="DYR803" s="193" t="s">
        <v>1487</v>
      </c>
      <c r="DYS803" s="193" t="s">
        <v>1487</v>
      </c>
      <c r="DYT803" s="193" t="s">
        <v>1487</v>
      </c>
      <c r="DYU803" s="193" t="s">
        <v>1487</v>
      </c>
      <c r="DYV803" s="193" t="s">
        <v>1487</v>
      </c>
      <c r="DYW803" s="193" t="s">
        <v>1487</v>
      </c>
      <c r="DYX803" s="193" t="s">
        <v>1487</v>
      </c>
      <c r="DYY803" s="193" t="s">
        <v>1487</v>
      </c>
      <c r="DYZ803" s="193" t="s">
        <v>1487</v>
      </c>
      <c r="DZA803" s="193" t="s">
        <v>1487</v>
      </c>
      <c r="DZB803" s="193" t="s">
        <v>1487</v>
      </c>
      <c r="DZC803" s="193" t="s">
        <v>1487</v>
      </c>
      <c r="DZD803" s="193" t="s">
        <v>1487</v>
      </c>
      <c r="DZE803" s="193" t="s">
        <v>1487</v>
      </c>
      <c r="DZF803" s="193" t="s">
        <v>1487</v>
      </c>
      <c r="DZG803" s="193" t="s">
        <v>1487</v>
      </c>
      <c r="DZH803" s="193" t="s">
        <v>1487</v>
      </c>
      <c r="DZI803" s="193" t="s">
        <v>1487</v>
      </c>
      <c r="DZJ803" s="193" t="s">
        <v>1487</v>
      </c>
      <c r="DZK803" s="193" t="s">
        <v>1487</v>
      </c>
      <c r="DZL803" s="193" t="s">
        <v>1487</v>
      </c>
      <c r="DZM803" s="193" t="s">
        <v>1487</v>
      </c>
      <c r="DZN803" s="193" t="s">
        <v>1487</v>
      </c>
      <c r="DZO803" s="193" t="s">
        <v>1487</v>
      </c>
      <c r="DZP803" s="193" t="s">
        <v>1487</v>
      </c>
      <c r="DZQ803" s="193" t="s">
        <v>1487</v>
      </c>
      <c r="DZR803" s="193" t="s">
        <v>1487</v>
      </c>
      <c r="DZS803" s="193" t="s">
        <v>1487</v>
      </c>
      <c r="DZT803" s="193" t="s">
        <v>1487</v>
      </c>
      <c r="DZU803" s="193" t="s">
        <v>1487</v>
      </c>
      <c r="DZV803" s="193" t="s">
        <v>1487</v>
      </c>
      <c r="DZW803" s="193" t="s">
        <v>1487</v>
      </c>
      <c r="DZX803" s="193" t="s">
        <v>1487</v>
      </c>
      <c r="DZY803" s="193" t="s">
        <v>1487</v>
      </c>
      <c r="DZZ803" s="193" t="s">
        <v>1487</v>
      </c>
      <c r="EAA803" s="193" t="s">
        <v>1487</v>
      </c>
      <c r="EAB803" s="193" t="s">
        <v>1487</v>
      </c>
      <c r="EAC803" s="193" t="s">
        <v>1487</v>
      </c>
      <c r="EAD803" s="193" t="s">
        <v>1487</v>
      </c>
      <c r="EAE803" s="193" t="s">
        <v>1487</v>
      </c>
      <c r="EAF803" s="193" t="s">
        <v>1487</v>
      </c>
      <c r="EAG803" s="193" t="s">
        <v>1487</v>
      </c>
      <c r="EAH803" s="193" t="s">
        <v>1487</v>
      </c>
      <c r="EAI803" s="193" t="s">
        <v>1487</v>
      </c>
      <c r="EAJ803" s="193" t="s">
        <v>1487</v>
      </c>
      <c r="EAK803" s="193" t="s">
        <v>1487</v>
      </c>
      <c r="EAL803" s="193" t="s">
        <v>1487</v>
      </c>
      <c r="EAM803" s="193" t="s">
        <v>1487</v>
      </c>
      <c r="EAN803" s="193" t="s">
        <v>1487</v>
      </c>
      <c r="EAO803" s="193" t="s">
        <v>1487</v>
      </c>
      <c r="EAP803" s="193" t="s">
        <v>1487</v>
      </c>
      <c r="EAQ803" s="193" t="s">
        <v>1487</v>
      </c>
      <c r="EAR803" s="193" t="s">
        <v>1487</v>
      </c>
      <c r="EAS803" s="193" t="s">
        <v>1487</v>
      </c>
      <c r="EAT803" s="193" t="s">
        <v>1487</v>
      </c>
      <c r="EAU803" s="193" t="s">
        <v>1487</v>
      </c>
      <c r="EAV803" s="193" t="s">
        <v>1487</v>
      </c>
      <c r="EAW803" s="193" t="s">
        <v>1487</v>
      </c>
      <c r="EAX803" s="193" t="s">
        <v>1487</v>
      </c>
      <c r="EAY803" s="193" t="s">
        <v>1487</v>
      </c>
      <c r="EAZ803" s="193" t="s">
        <v>1487</v>
      </c>
      <c r="EBA803" s="193" t="s">
        <v>1487</v>
      </c>
      <c r="EBB803" s="193" t="s">
        <v>1487</v>
      </c>
      <c r="EBC803" s="193" t="s">
        <v>1487</v>
      </c>
      <c r="EBD803" s="193" t="s">
        <v>1487</v>
      </c>
      <c r="EBE803" s="193" t="s">
        <v>1487</v>
      </c>
      <c r="EBF803" s="193" t="s">
        <v>1487</v>
      </c>
      <c r="EBG803" s="193" t="s">
        <v>1487</v>
      </c>
      <c r="EBH803" s="193" t="s">
        <v>1487</v>
      </c>
      <c r="EBI803" s="193" t="s">
        <v>1487</v>
      </c>
      <c r="EBJ803" s="193" t="s">
        <v>1487</v>
      </c>
      <c r="EBK803" s="193" t="s">
        <v>1487</v>
      </c>
      <c r="EBL803" s="193" t="s">
        <v>1487</v>
      </c>
      <c r="EBM803" s="193" t="s">
        <v>1487</v>
      </c>
      <c r="EBN803" s="193" t="s">
        <v>1487</v>
      </c>
      <c r="EBO803" s="193" t="s">
        <v>1487</v>
      </c>
      <c r="EBP803" s="193" t="s">
        <v>1487</v>
      </c>
      <c r="EBQ803" s="193" t="s">
        <v>1487</v>
      </c>
      <c r="EBR803" s="193" t="s">
        <v>1487</v>
      </c>
      <c r="EBS803" s="193" t="s">
        <v>1487</v>
      </c>
      <c r="EBT803" s="193" t="s">
        <v>1487</v>
      </c>
      <c r="EBU803" s="193" t="s">
        <v>1487</v>
      </c>
      <c r="EBV803" s="193" t="s">
        <v>1487</v>
      </c>
      <c r="EBW803" s="193" t="s">
        <v>1487</v>
      </c>
      <c r="EBX803" s="193" t="s">
        <v>1487</v>
      </c>
      <c r="EBY803" s="193" t="s">
        <v>1487</v>
      </c>
      <c r="EBZ803" s="193" t="s">
        <v>1487</v>
      </c>
      <c r="ECA803" s="193" t="s">
        <v>1487</v>
      </c>
      <c r="ECB803" s="193" t="s">
        <v>1487</v>
      </c>
      <c r="ECC803" s="193" t="s">
        <v>1487</v>
      </c>
      <c r="ECD803" s="193" t="s">
        <v>1487</v>
      </c>
      <c r="ECE803" s="193" t="s">
        <v>1487</v>
      </c>
      <c r="ECF803" s="193" t="s">
        <v>1487</v>
      </c>
      <c r="ECG803" s="193" t="s">
        <v>1487</v>
      </c>
      <c r="ECH803" s="193" t="s">
        <v>1487</v>
      </c>
      <c r="ECI803" s="193" t="s">
        <v>1487</v>
      </c>
      <c r="ECJ803" s="193" t="s">
        <v>1487</v>
      </c>
      <c r="ECK803" s="193" t="s">
        <v>1487</v>
      </c>
      <c r="ECL803" s="193" t="s">
        <v>1487</v>
      </c>
      <c r="ECM803" s="193" t="s">
        <v>1487</v>
      </c>
      <c r="ECN803" s="193" t="s">
        <v>1487</v>
      </c>
      <c r="ECO803" s="193" t="s">
        <v>1487</v>
      </c>
      <c r="ECP803" s="193" t="s">
        <v>1487</v>
      </c>
      <c r="ECQ803" s="193" t="s">
        <v>1487</v>
      </c>
      <c r="ECR803" s="193" t="s">
        <v>1487</v>
      </c>
      <c r="ECS803" s="193" t="s">
        <v>1487</v>
      </c>
      <c r="ECT803" s="193" t="s">
        <v>1487</v>
      </c>
      <c r="ECU803" s="193" t="s">
        <v>1487</v>
      </c>
      <c r="ECV803" s="193" t="s">
        <v>1487</v>
      </c>
      <c r="ECW803" s="193" t="s">
        <v>1487</v>
      </c>
      <c r="ECX803" s="193" t="s">
        <v>1487</v>
      </c>
      <c r="ECY803" s="193" t="s">
        <v>1487</v>
      </c>
      <c r="ECZ803" s="193" t="s">
        <v>1487</v>
      </c>
      <c r="EDA803" s="193" t="s">
        <v>1487</v>
      </c>
      <c r="EDB803" s="193" t="s">
        <v>1487</v>
      </c>
      <c r="EDC803" s="193" t="s">
        <v>1487</v>
      </c>
      <c r="EDD803" s="193" t="s">
        <v>1487</v>
      </c>
      <c r="EDE803" s="193" t="s">
        <v>1487</v>
      </c>
      <c r="EDF803" s="193" t="s">
        <v>1487</v>
      </c>
      <c r="EDG803" s="193" t="s">
        <v>1487</v>
      </c>
      <c r="EDH803" s="193" t="s">
        <v>1487</v>
      </c>
      <c r="EDI803" s="193" t="s">
        <v>1487</v>
      </c>
      <c r="EDJ803" s="193" t="s">
        <v>1487</v>
      </c>
      <c r="EDK803" s="193" t="s">
        <v>1487</v>
      </c>
      <c r="EDL803" s="193" t="s">
        <v>1487</v>
      </c>
      <c r="EDM803" s="193" t="s">
        <v>1487</v>
      </c>
      <c r="EDN803" s="193" t="s">
        <v>1487</v>
      </c>
      <c r="EDO803" s="193" t="s">
        <v>1487</v>
      </c>
      <c r="EDP803" s="193" t="s">
        <v>1487</v>
      </c>
      <c r="EDQ803" s="193" t="s">
        <v>1487</v>
      </c>
      <c r="EDR803" s="193" t="s">
        <v>1487</v>
      </c>
      <c r="EDS803" s="193" t="s">
        <v>1487</v>
      </c>
      <c r="EDT803" s="193" t="s">
        <v>1487</v>
      </c>
      <c r="EDU803" s="193" t="s">
        <v>1487</v>
      </c>
      <c r="EDV803" s="193" t="s">
        <v>1487</v>
      </c>
      <c r="EDW803" s="193" t="s">
        <v>1487</v>
      </c>
      <c r="EDX803" s="193" t="s">
        <v>1487</v>
      </c>
      <c r="EDY803" s="193" t="s">
        <v>1487</v>
      </c>
      <c r="EDZ803" s="193" t="s">
        <v>1487</v>
      </c>
      <c r="EEA803" s="193" t="s">
        <v>1487</v>
      </c>
      <c r="EEB803" s="193" t="s">
        <v>1487</v>
      </c>
      <c r="EEC803" s="193" t="s">
        <v>1487</v>
      </c>
      <c r="EED803" s="193" t="s">
        <v>1487</v>
      </c>
      <c r="EEE803" s="193" t="s">
        <v>1487</v>
      </c>
      <c r="EEF803" s="193" t="s">
        <v>1487</v>
      </c>
      <c r="EEG803" s="193" t="s">
        <v>1487</v>
      </c>
      <c r="EEH803" s="193" t="s">
        <v>1487</v>
      </c>
      <c r="EEI803" s="193" t="s">
        <v>1487</v>
      </c>
      <c r="EEJ803" s="193" t="s">
        <v>1487</v>
      </c>
      <c r="EEK803" s="193" t="s">
        <v>1487</v>
      </c>
      <c r="EEL803" s="193" t="s">
        <v>1487</v>
      </c>
      <c r="EEM803" s="193" t="s">
        <v>1487</v>
      </c>
      <c r="EEN803" s="193" t="s">
        <v>1487</v>
      </c>
      <c r="EEO803" s="193" t="s">
        <v>1487</v>
      </c>
      <c r="EEP803" s="193" t="s">
        <v>1487</v>
      </c>
      <c r="EEQ803" s="193" t="s">
        <v>1487</v>
      </c>
      <c r="EER803" s="193" t="s">
        <v>1487</v>
      </c>
      <c r="EES803" s="193" t="s">
        <v>1487</v>
      </c>
      <c r="EET803" s="193" t="s">
        <v>1487</v>
      </c>
      <c r="EEU803" s="193" t="s">
        <v>1487</v>
      </c>
      <c r="EEV803" s="193" t="s">
        <v>1487</v>
      </c>
      <c r="EEW803" s="193" t="s">
        <v>1487</v>
      </c>
      <c r="EEX803" s="193" t="s">
        <v>1487</v>
      </c>
      <c r="EEY803" s="193" t="s">
        <v>1487</v>
      </c>
      <c r="EEZ803" s="193" t="s">
        <v>1487</v>
      </c>
      <c r="EFA803" s="193" t="s">
        <v>1487</v>
      </c>
      <c r="EFB803" s="193" t="s">
        <v>1487</v>
      </c>
      <c r="EFC803" s="193" t="s">
        <v>1487</v>
      </c>
      <c r="EFD803" s="193" t="s">
        <v>1487</v>
      </c>
      <c r="EFE803" s="193" t="s">
        <v>1487</v>
      </c>
      <c r="EFF803" s="193" t="s">
        <v>1487</v>
      </c>
      <c r="EFG803" s="193" t="s">
        <v>1487</v>
      </c>
      <c r="EFH803" s="193" t="s">
        <v>1487</v>
      </c>
      <c r="EFI803" s="193" t="s">
        <v>1487</v>
      </c>
      <c r="EFJ803" s="193" t="s">
        <v>1487</v>
      </c>
      <c r="EFK803" s="193" t="s">
        <v>1487</v>
      </c>
      <c r="EFL803" s="193" t="s">
        <v>1487</v>
      </c>
      <c r="EFM803" s="193" t="s">
        <v>1487</v>
      </c>
      <c r="EFN803" s="193" t="s">
        <v>1487</v>
      </c>
      <c r="EFO803" s="193" t="s">
        <v>1487</v>
      </c>
      <c r="EFP803" s="193" t="s">
        <v>1487</v>
      </c>
      <c r="EFQ803" s="193" t="s">
        <v>1487</v>
      </c>
      <c r="EFR803" s="193" t="s">
        <v>1487</v>
      </c>
      <c r="EFS803" s="193" t="s">
        <v>1487</v>
      </c>
      <c r="EFT803" s="193" t="s">
        <v>1487</v>
      </c>
      <c r="EFU803" s="193" t="s">
        <v>1487</v>
      </c>
      <c r="EFV803" s="193" t="s">
        <v>1487</v>
      </c>
      <c r="EFW803" s="193" t="s">
        <v>1487</v>
      </c>
      <c r="EFX803" s="193" t="s">
        <v>1487</v>
      </c>
      <c r="EFY803" s="193" t="s">
        <v>1487</v>
      </c>
      <c r="EFZ803" s="193" t="s">
        <v>1487</v>
      </c>
      <c r="EGA803" s="193" t="s">
        <v>1487</v>
      </c>
      <c r="EGB803" s="193" t="s">
        <v>1487</v>
      </c>
      <c r="EGC803" s="193" t="s">
        <v>1487</v>
      </c>
      <c r="EGD803" s="193" t="s">
        <v>1487</v>
      </c>
      <c r="EGE803" s="193" t="s">
        <v>1487</v>
      </c>
      <c r="EGF803" s="193" t="s">
        <v>1487</v>
      </c>
      <c r="EGG803" s="193" t="s">
        <v>1487</v>
      </c>
      <c r="EGH803" s="193" t="s">
        <v>1487</v>
      </c>
      <c r="EGI803" s="193" t="s">
        <v>1487</v>
      </c>
      <c r="EGJ803" s="193" t="s">
        <v>1487</v>
      </c>
      <c r="EGK803" s="193" t="s">
        <v>1487</v>
      </c>
      <c r="EGL803" s="193" t="s">
        <v>1487</v>
      </c>
      <c r="EGM803" s="193" t="s">
        <v>1487</v>
      </c>
      <c r="EGN803" s="193" t="s">
        <v>1487</v>
      </c>
      <c r="EGO803" s="193" t="s">
        <v>1487</v>
      </c>
      <c r="EGP803" s="193" t="s">
        <v>1487</v>
      </c>
      <c r="EGQ803" s="193" t="s">
        <v>1487</v>
      </c>
      <c r="EGR803" s="193" t="s">
        <v>1487</v>
      </c>
      <c r="EGS803" s="193" t="s">
        <v>1487</v>
      </c>
      <c r="EGT803" s="193" t="s">
        <v>1487</v>
      </c>
      <c r="EGU803" s="193" t="s">
        <v>1487</v>
      </c>
      <c r="EGV803" s="193" t="s">
        <v>1487</v>
      </c>
      <c r="EGW803" s="193" t="s">
        <v>1487</v>
      </c>
      <c r="EGX803" s="193" t="s">
        <v>1487</v>
      </c>
      <c r="EGY803" s="193" t="s">
        <v>1487</v>
      </c>
      <c r="EGZ803" s="193" t="s">
        <v>1487</v>
      </c>
      <c r="EHA803" s="193" t="s">
        <v>1487</v>
      </c>
      <c r="EHB803" s="193" t="s">
        <v>1487</v>
      </c>
      <c r="EHC803" s="193" t="s">
        <v>1487</v>
      </c>
      <c r="EHD803" s="193" t="s">
        <v>1487</v>
      </c>
      <c r="EHE803" s="193" t="s">
        <v>1487</v>
      </c>
      <c r="EHF803" s="193" t="s">
        <v>1487</v>
      </c>
      <c r="EHG803" s="193" t="s">
        <v>1487</v>
      </c>
      <c r="EHH803" s="193" t="s">
        <v>1487</v>
      </c>
      <c r="EHI803" s="193" t="s">
        <v>1487</v>
      </c>
      <c r="EHJ803" s="193" t="s">
        <v>1487</v>
      </c>
      <c r="EHK803" s="193" t="s">
        <v>1487</v>
      </c>
      <c r="EHL803" s="193" t="s">
        <v>1487</v>
      </c>
      <c r="EHM803" s="193" t="s">
        <v>1487</v>
      </c>
      <c r="EHN803" s="193" t="s">
        <v>1487</v>
      </c>
      <c r="EHO803" s="193" t="s">
        <v>1487</v>
      </c>
      <c r="EHP803" s="193" t="s">
        <v>1487</v>
      </c>
      <c r="EHQ803" s="193" t="s">
        <v>1487</v>
      </c>
      <c r="EHR803" s="193" t="s">
        <v>1487</v>
      </c>
      <c r="EHS803" s="193" t="s">
        <v>1487</v>
      </c>
      <c r="EHT803" s="193" t="s">
        <v>1487</v>
      </c>
      <c r="EHU803" s="193" t="s">
        <v>1487</v>
      </c>
      <c r="EHV803" s="193" t="s">
        <v>1487</v>
      </c>
      <c r="EHW803" s="193" t="s">
        <v>1487</v>
      </c>
      <c r="EHX803" s="193" t="s">
        <v>1487</v>
      </c>
      <c r="EHY803" s="193" t="s">
        <v>1487</v>
      </c>
      <c r="EHZ803" s="193" t="s">
        <v>1487</v>
      </c>
      <c r="EIA803" s="193" t="s">
        <v>1487</v>
      </c>
      <c r="EIB803" s="193" t="s">
        <v>1487</v>
      </c>
      <c r="EIC803" s="193" t="s">
        <v>1487</v>
      </c>
      <c r="EID803" s="193" t="s">
        <v>1487</v>
      </c>
      <c r="EIE803" s="193" t="s">
        <v>1487</v>
      </c>
      <c r="EIF803" s="193" t="s">
        <v>1487</v>
      </c>
      <c r="EIG803" s="193" t="s">
        <v>1487</v>
      </c>
      <c r="EIH803" s="193" t="s">
        <v>1487</v>
      </c>
      <c r="EII803" s="193" t="s">
        <v>1487</v>
      </c>
      <c r="EIJ803" s="193" t="s">
        <v>1487</v>
      </c>
      <c r="EIK803" s="193" t="s">
        <v>1487</v>
      </c>
      <c r="EIL803" s="193" t="s">
        <v>1487</v>
      </c>
      <c r="EIM803" s="193" t="s">
        <v>1487</v>
      </c>
      <c r="EIN803" s="193" t="s">
        <v>1487</v>
      </c>
      <c r="EIO803" s="193" t="s">
        <v>1487</v>
      </c>
      <c r="EIP803" s="193" t="s">
        <v>1487</v>
      </c>
      <c r="EIQ803" s="193" t="s">
        <v>1487</v>
      </c>
      <c r="EIR803" s="193" t="s">
        <v>1487</v>
      </c>
      <c r="EIS803" s="193" t="s">
        <v>1487</v>
      </c>
      <c r="EIT803" s="193" t="s">
        <v>1487</v>
      </c>
      <c r="EIU803" s="193" t="s">
        <v>1487</v>
      </c>
      <c r="EIV803" s="193" t="s">
        <v>1487</v>
      </c>
      <c r="EIW803" s="193" t="s">
        <v>1487</v>
      </c>
      <c r="EIX803" s="193" t="s">
        <v>1487</v>
      </c>
      <c r="EIY803" s="193" t="s">
        <v>1487</v>
      </c>
      <c r="EIZ803" s="193" t="s">
        <v>1487</v>
      </c>
      <c r="EJA803" s="193" t="s">
        <v>1487</v>
      </c>
      <c r="EJB803" s="193" t="s">
        <v>1487</v>
      </c>
      <c r="EJC803" s="193" t="s">
        <v>1487</v>
      </c>
      <c r="EJD803" s="193" t="s">
        <v>1487</v>
      </c>
      <c r="EJE803" s="193" t="s">
        <v>1487</v>
      </c>
      <c r="EJF803" s="193" t="s">
        <v>1487</v>
      </c>
      <c r="EJG803" s="193" t="s">
        <v>1487</v>
      </c>
      <c r="EJH803" s="193" t="s">
        <v>1487</v>
      </c>
      <c r="EJI803" s="193" t="s">
        <v>1487</v>
      </c>
      <c r="EJJ803" s="193" t="s">
        <v>1487</v>
      </c>
      <c r="EJK803" s="193" t="s">
        <v>1487</v>
      </c>
      <c r="EJL803" s="193" t="s">
        <v>1487</v>
      </c>
      <c r="EJM803" s="193" t="s">
        <v>1487</v>
      </c>
      <c r="EJN803" s="193" t="s">
        <v>1487</v>
      </c>
      <c r="EJO803" s="193" t="s">
        <v>1487</v>
      </c>
      <c r="EJP803" s="193" t="s">
        <v>1487</v>
      </c>
      <c r="EJQ803" s="193" t="s">
        <v>1487</v>
      </c>
      <c r="EJR803" s="193" t="s">
        <v>1487</v>
      </c>
      <c r="EJS803" s="193" t="s">
        <v>1487</v>
      </c>
      <c r="EJT803" s="193" t="s">
        <v>1487</v>
      </c>
      <c r="EJU803" s="193" t="s">
        <v>1487</v>
      </c>
      <c r="EJV803" s="193" t="s">
        <v>1487</v>
      </c>
      <c r="EJW803" s="193" t="s">
        <v>1487</v>
      </c>
      <c r="EJX803" s="193" t="s">
        <v>1487</v>
      </c>
      <c r="EJY803" s="193" t="s">
        <v>1487</v>
      </c>
      <c r="EJZ803" s="193" t="s">
        <v>1487</v>
      </c>
      <c r="EKA803" s="193" t="s">
        <v>1487</v>
      </c>
      <c r="EKB803" s="193" t="s">
        <v>1487</v>
      </c>
      <c r="EKC803" s="193" t="s">
        <v>1487</v>
      </c>
      <c r="EKD803" s="193" t="s">
        <v>1487</v>
      </c>
      <c r="EKE803" s="193" t="s">
        <v>1487</v>
      </c>
      <c r="EKF803" s="193" t="s">
        <v>1487</v>
      </c>
      <c r="EKG803" s="193" t="s">
        <v>1487</v>
      </c>
      <c r="EKH803" s="193" t="s">
        <v>1487</v>
      </c>
      <c r="EKI803" s="193" t="s">
        <v>1487</v>
      </c>
      <c r="EKJ803" s="193" t="s">
        <v>1487</v>
      </c>
      <c r="EKK803" s="193" t="s">
        <v>1487</v>
      </c>
      <c r="EKL803" s="193" t="s">
        <v>1487</v>
      </c>
      <c r="EKM803" s="193" t="s">
        <v>1487</v>
      </c>
      <c r="EKN803" s="193" t="s">
        <v>1487</v>
      </c>
      <c r="EKO803" s="193" t="s">
        <v>1487</v>
      </c>
      <c r="EKP803" s="193" t="s">
        <v>1487</v>
      </c>
      <c r="EKQ803" s="193" t="s">
        <v>1487</v>
      </c>
      <c r="EKR803" s="193" t="s">
        <v>1487</v>
      </c>
      <c r="EKS803" s="193" t="s">
        <v>1487</v>
      </c>
      <c r="EKT803" s="193" t="s">
        <v>1487</v>
      </c>
      <c r="EKU803" s="193" t="s">
        <v>1487</v>
      </c>
      <c r="EKV803" s="193" t="s">
        <v>1487</v>
      </c>
      <c r="EKW803" s="193" t="s">
        <v>1487</v>
      </c>
      <c r="EKX803" s="193" t="s">
        <v>1487</v>
      </c>
      <c r="EKY803" s="193" t="s">
        <v>1487</v>
      </c>
      <c r="EKZ803" s="193" t="s">
        <v>1487</v>
      </c>
      <c r="ELA803" s="193" t="s">
        <v>1487</v>
      </c>
      <c r="ELB803" s="193" t="s">
        <v>1487</v>
      </c>
      <c r="ELC803" s="193" t="s">
        <v>1487</v>
      </c>
      <c r="ELD803" s="193" t="s">
        <v>1487</v>
      </c>
      <c r="ELE803" s="193" t="s">
        <v>1487</v>
      </c>
      <c r="ELF803" s="193" t="s">
        <v>1487</v>
      </c>
      <c r="ELG803" s="193" t="s">
        <v>1487</v>
      </c>
      <c r="ELH803" s="193" t="s">
        <v>1487</v>
      </c>
      <c r="ELI803" s="193" t="s">
        <v>1487</v>
      </c>
      <c r="ELJ803" s="193" t="s">
        <v>1487</v>
      </c>
      <c r="ELK803" s="193" t="s">
        <v>1487</v>
      </c>
      <c r="ELL803" s="193" t="s">
        <v>1487</v>
      </c>
      <c r="ELM803" s="193" t="s">
        <v>1487</v>
      </c>
      <c r="ELN803" s="193" t="s">
        <v>1487</v>
      </c>
      <c r="ELO803" s="193" t="s">
        <v>1487</v>
      </c>
      <c r="ELP803" s="193" t="s">
        <v>1487</v>
      </c>
      <c r="ELQ803" s="193" t="s">
        <v>1487</v>
      </c>
      <c r="ELR803" s="193" t="s">
        <v>1487</v>
      </c>
      <c r="ELS803" s="193" t="s">
        <v>1487</v>
      </c>
      <c r="ELT803" s="193" t="s">
        <v>1487</v>
      </c>
      <c r="ELU803" s="193" t="s">
        <v>1487</v>
      </c>
      <c r="ELV803" s="193" t="s">
        <v>1487</v>
      </c>
      <c r="ELW803" s="193" t="s">
        <v>1487</v>
      </c>
      <c r="ELX803" s="193" t="s">
        <v>1487</v>
      </c>
      <c r="ELY803" s="193" t="s">
        <v>1487</v>
      </c>
      <c r="ELZ803" s="193" t="s">
        <v>1487</v>
      </c>
      <c r="EMA803" s="193" t="s">
        <v>1487</v>
      </c>
      <c r="EMB803" s="193" t="s">
        <v>1487</v>
      </c>
      <c r="EMC803" s="193" t="s">
        <v>1487</v>
      </c>
      <c r="EMD803" s="193" t="s">
        <v>1487</v>
      </c>
      <c r="EME803" s="193" t="s">
        <v>1487</v>
      </c>
      <c r="EMF803" s="193" t="s">
        <v>1487</v>
      </c>
      <c r="EMG803" s="193" t="s">
        <v>1487</v>
      </c>
      <c r="EMH803" s="193" t="s">
        <v>1487</v>
      </c>
      <c r="EMI803" s="193" t="s">
        <v>1487</v>
      </c>
      <c r="EMJ803" s="193" t="s">
        <v>1487</v>
      </c>
      <c r="EMK803" s="193" t="s">
        <v>1487</v>
      </c>
      <c r="EML803" s="193" t="s">
        <v>1487</v>
      </c>
      <c r="EMM803" s="193" t="s">
        <v>1487</v>
      </c>
      <c r="EMN803" s="193" t="s">
        <v>1487</v>
      </c>
      <c r="EMO803" s="193" t="s">
        <v>1487</v>
      </c>
      <c r="EMP803" s="193" t="s">
        <v>1487</v>
      </c>
      <c r="EMQ803" s="193" t="s">
        <v>1487</v>
      </c>
      <c r="EMR803" s="193" t="s">
        <v>1487</v>
      </c>
      <c r="EMS803" s="193" t="s">
        <v>1487</v>
      </c>
      <c r="EMT803" s="193" t="s">
        <v>1487</v>
      </c>
      <c r="EMU803" s="193" t="s">
        <v>1487</v>
      </c>
      <c r="EMV803" s="193" t="s">
        <v>1487</v>
      </c>
      <c r="EMW803" s="193" t="s">
        <v>1487</v>
      </c>
      <c r="EMX803" s="193" t="s">
        <v>1487</v>
      </c>
      <c r="EMY803" s="193" t="s">
        <v>1487</v>
      </c>
      <c r="EMZ803" s="193" t="s">
        <v>1487</v>
      </c>
      <c r="ENA803" s="193" t="s">
        <v>1487</v>
      </c>
      <c r="ENB803" s="193" t="s">
        <v>1487</v>
      </c>
      <c r="ENC803" s="193" t="s">
        <v>1487</v>
      </c>
      <c r="END803" s="193" t="s">
        <v>1487</v>
      </c>
      <c r="ENE803" s="193" t="s">
        <v>1487</v>
      </c>
      <c r="ENF803" s="193" t="s">
        <v>1487</v>
      </c>
      <c r="ENG803" s="193" t="s">
        <v>1487</v>
      </c>
      <c r="ENH803" s="193" t="s">
        <v>1487</v>
      </c>
      <c r="ENI803" s="193" t="s">
        <v>1487</v>
      </c>
      <c r="ENJ803" s="193" t="s">
        <v>1487</v>
      </c>
      <c r="ENK803" s="193" t="s">
        <v>1487</v>
      </c>
      <c r="ENL803" s="193" t="s">
        <v>1487</v>
      </c>
      <c r="ENM803" s="193" t="s">
        <v>1487</v>
      </c>
      <c r="ENN803" s="193" t="s">
        <v>1487</v>
      </c>
      <c r="ENO803" s="193" t="s">
        <v>1487</v>
      </c>
      <c r="ENP803" s="193" t="s">
        <v>1487</v>
      </c>
      <c r="ENQ803" s="193" t="s">
        <v>1487</v>
      </c>
      <c r="ENR803" s="193" t="s">
        <v>1487</v>
      </c>
      <c r="ENS803" s="193" t="s">
        <v>1487</v>
      </c>
      <c r="ENT803" s="193" t="s">
        <v>1487</v>
      </c>
      <c r="ENU803" s="193" t="s">
        <v>1487</v>
      </c>
      <c r="ENV803" s="193" t="s">
        <v>1487</v>
      </c>
      <c r="ENW803" s="193" t="s">
        <v>1487</v>
      </c>
      <c r="ENX803" s="193" t="s">
        <v>1487</v>
      </c>
      <c r="ENY803" s="193" t="s">
        <v>1487</v>
      </c>
      <c r="ENZ803" s="193" t="s">
        <v>1487</v>
      </c>
      <c r="EOA803" s="193" t="s">
        <v>1487</v>
      </c>
      <c r="EOB803" s="193" t="s">
        <v>1487</v>
      </c>
      <c r="EOC803" s="193" t="s">
        <v>1487</v>
      </c>
      <c r="EOD803" s="193" t="s">
        <v>1487</v>
      </c>
      <c r="EOE803" s="193" t="s">
        <v>1487</v>
      </c>
      <c r="EOF803" s="193" t="s">
        <v>1487</v>
      </c>
      <c r="EOG803" s="193" t="s">
        <v>1487</v>
      </c>
      <c r="EOH803" s="193" t="s">
        <v>1487</v>
      </c>
      <c r="EOI803" s="193" t="s">
        <v>1487</v>
      </c>
      <c r="EOJ803" s="193" t="s">
        <v>1487</v>
      </c>
      <c r="EOK803" s="193" t="s">
        <v>1487</v>
      </c>
      <c r="EOL803" s="193" t="s">
        <v>1487</v>
      </c>
      <c r="EOM803" s="193" t="s">
        <v>1487</v>
      </c>
      <c r="EON803" s="193" t="s">
        <v>1487</v>
      </c>
      <c r="EOO803" s="193" t="s">
        <v>1487</v>
      </c>
      <c r="EOP803" s="193" t="s">
        <v>1487</v>
      </c>
      <c r="EOQ803" s="193" t="s">
        <v>1487</v>
      </c>
      <c r="EOR803" s="193" t="s">
        <v>1487</v>
      </c>
      <c r="EOS803" s="193" t="s">
        <v>1487</v>
      </c>
      <c r="EOT803" s="193" t="s">
        <v>1487</v>
      </c>
      <c r="EOU803" s="193" t="s">
        <v>1487</v>
      </c>
      <c r="EOV803" s="193" t="s">
        <v>1487</v>
      </c>
      <c r="EOW803" s="193" t="s">
        <v>1487</v>
      </c>
      <c r="EOX803" s="193" t="s">
        <v>1487</v>
      </c>
      <c r="EOY803" s="193" t="s">
        <v>1487</v>
      </c>
      <c r="EOZ803" s="193" t="s">
        <v>1487</v>
      </c>
      <c r="EPA803" s="193" t="s">
        <v>1487</v>
      </c>
      <c r="EPB803" s="193" t="s">
        <v>1487</v>
      </c>
      <c r="EPC803" s="193" t="s">
        <v>1487</v>
      </c>
      <c r="EPD803" s="193" t="s">
        <v>1487</v>
      </c>
      <c r="EPE803" s="193" t="s">
        <v>1487</v>
      </c>
      <c r="EPF803" s="193" t="s">
        <v>1487</v>
      </c>
      <c r="EPG803" s="193" t="s">
        <v>1487</v>
      </c>
      <c r="EPH803" s="193" t="s">
        <v>1487</v>
      </c>
      <c r="EPI803" s="193" t="s">
        <v>1487</v>
      </c>
      <c r="EPJ803" s="193" t="s">
        <v>1487</v>
      </c>
      <c r="EPK803" s="193" t="s">
        <v>1487</v>
      </c>
      <c r="EPL803" s="193" t="s">
        <v>1487</v>
      </c>
      <c r="EPM803" s="193" t="s">
        <v>1487</v>
      </c>
      <c r="EPN803" s="193" t="s">
        <v>1487</v>
      </c>
      <c r="EPO803" s="193" t="s">
        <v>1487</v>
      </c>
      <c r="EPP803" s="193" t="s">
        <v>1487</v>
      </c>
      <c r="EPQ803" s="193" t="s">
        <v>1487</v>
      </c>
      <c r="EPR803" s="193" t="s">
        <v>1487</v>
      </c>
      <c r="EPS803" s="193" t="s">
        <v>1487</v>
      </c>
      <c r="EPT803" s="193" t="s">
        <v>1487</v>
      </c>
      <c r="EPU803" s="193" t="s">
        <v>1487</v>
      </c>
      <c r="EPV803" s="193" t="s">
        <v>1487</v>
      </c>
      <c r="EPW803" s="193" t="s">
        <v>1487</v>
      </c>
      <c r="EPX803" s="193" t="s">
        <v>1487</v>
      </c>
      <c r="EPY803" s="193" t="s">
        <v>1487</v>
      </c>
      <c r="EPZ803" s="193" t="s">
        <v>1487</v>
      </c>
      <c r="EQA803" s="193" t="s">
        <v>1487</v>
      </c>
      <c r="EQB803" s="193" t="s">
        <v>1487</v>
      </c>
      <c r="EQC803" s="193" t="s">
        <v>1487</v>
      </c>
      <c r="EQD803" s="193" t="s">
        <v>1487</v>
      </c>
      <c r="EQE803" s="193" t="s">
        <v>1487</v>
      </c>
      <c r="EQF803" s="193" t="s">
        <v>1487</v>
      </c>
      <c r="EQG803" s="193" t="s">
        <v>1487</v>
      </c>
      <c r="EQH803" s="193" t="s">
        <v>1487</v>
      </c>
      <c r="EQI803" s="193" t="s">
        <v>1487</v>
      </c>
      <c r="EQJ803" s="193" t="s">
        <v>1487</v>
      </c>
      <c r="EQK803" s="193" t="s">
        <v>1487</v>
      </c>
      <c r="EQL803" s="193" t="s">
        <v>1487</v>
      </c>
      <c r="EQM803" s="193" t="s">
        <v>1487</v>
      </c>
      <c r="EQN803" s="193" t="s">
        <v>1487</v>
      </c>
      <c r="EQO803" s="193" t="s">
        <v>1487</v>
      </c>
      <c r="EQP803" s="193" t="s">
        <v>1487</v>
      </c>
      <c r="EQQ803" s="193" t="s">
        <v>1487</v>
      </c>
      <c r="EQR803" s="193" t="s">
        <v>1487</v>
      </c>
      <c r="EQS803" s="193" t="s">
        <v>1487</v>
      </c>
      <c r="EQT803" s="193" t="s">
        <v>1487</v>
      </c>
      <c r="EQU803" s="193" t="s">
        <v>1487</v>
      </c>
      <c r="EQV803" s="193" t="s">
        <v>1487</v>
      </c>
      <c r="EQW803" s="193" t="s">
        <v>1487</v>
      </c>
      <c r="EQX803" s="193" t="s">
        <v>1487</v>
      </c>
      <c r="EQY803" s="193" t="s">
        <v>1487</v>
      </c>
      <c r="EQZ803" s="193" t="s">
        <v>1487</v>
      </c>
      <c r="ERA803" s="193" t="s">
        <v>1487</v>
      </c>
      <c r="ERB803" s="193" t="s">
        <v>1487</v>
      </c>
      <c r="ERC803" s="193" t="s">
        <v>1487</v>
      </c>
      <c r="ERD803" s="193" t="s">
        <v>1487</v>
      </c>
      <c r="ERE803" s="193" t="s">
        <v>1487</v>
      </c>
      <c r="ERF803" s="193" t="s">
        <v>1487</v>
      </c>
      <c r="ERG803" s="193" t="s">
        <v>1487</v>
      </c>
      <c r="ERH803" s="193" t="s">
        <v>1487</v>
      </c>
      <c r="ERI803" s="193" t="s">
        <v>1487</v>
      </c>
      <c r="ERJ803" s="193" t="s">
        <v>1487</v>
      </c>
      <c r="ERK803" s="193" t="s">
        <v>1487</v>
      </c>
      <c r="ERL803" s="193" t="s">
        <v>1487</v>
      </c>
      <c r="ERM803" s="193" t="s">
        <v>1487</v>
      </c>
      <c r="ERN803" s="193" t="s">
        <v>1487</v>
      </c>
      <c r="ERO803" s="193" t="s">
        <v>1487</v>
      </c>
      <c r="ERP803" s="193" t="s">
        <v>1487</v>
      </c>
      <c r="ERQ803" s="193" t="s">
        <v>1487</v>
      </c>
      <c r="ERR803" s="193" t="s">
        <v>1487</v>
      </c>
      <c r="ERS803" s="193" t="s">
        <v>1487</v>
      </c>
      <c r="ERT803" s="193" t="s">
        <v>1487</v>
      </c>
      <c r="ERU803" s="193" t="s">
        <v>1487</v>
      </c>
      <c r="ERV803" s="193" t="s">
        <v>1487</v>
      </c>
      <c r="ERW803" s="193" t="s">
        <v>1487</v>
      </c>
      <c r="ERX803" s="193" t="s">
        <v>1487</v>
      </c>
      <c r="ERY803" s="193" t="s">
        <v>1487</v>
      </c>
      <c r="ERZ803" s="193" t="s">
        <v>1487</v>
      </c>
      <c r="ESA803" s="193" t="s">
        <v>1487</v>
      </c>
      <c r="ESB803" s="193" t="s">
        <v>1487</v>
      </c>
      <c r="ESC803" s="193" t="s">
        <v>1487</v>
      </c>
      <c r="ESD803" s="193" t="s">
        <v>1487</v>
      </c>
      <c r="ESE803" s="193" t="s">
        <v>1487</v>
      </c>
      <c r="ESF803" s="193" t="s">
        <v>1487</v>
      </c>
      <c r="ESG803" s="193" t="s">
        <v>1487</v>
      </c>
      <c r="ESH803" s="193" t="s">
        <v>1487</v>
      </c>
      <c r="ESI803" s="193" t="s">
        <v>1487</v>
      </c>
      <c r="ESJ803" s="193" t="s">
        <v>1487</v>
      </c>
      <c r="ESK803" s="193" t="s">
        <v>1487</v>
      </c>
      <c r="ESL803" s="193" t="s">
        <v>1487</v>
      </c>
      <c r="ESM803" s="193" t="s">
        <v>1487</v>
      </c>
      <c r="ESN803" s="193" t="s">
        <v>1487</v>
      </c>
      <c r="ESO803" s="193" t="s">
        <v>1487</v>
      </c>
      <c r="ESP803" s="193" t="s">
        <v>1487</v>
      </c>
      <c r="ESQ803" s="193" t="s">
        <v>1487</v>
      </c>
      <c r="ESR803" s="193" t="s">
        <v>1487</v>
      </c>
      <c r="ESS803" s="193" t="s">
        <v>1487</v>
      </c>
      <c r="EST803" s="193" t="s">
        <v>1487</v>
      </c>
      <c r="ESU803" s="193" t="s">
        <v>1487</v>
      </c>
      <c r="ESV803" s="193" t="s">
        <v>1487</v>
      </c>
      <c r="ESW803" s="193" t="s">
        <v>1487</v>
      </c>
      <c r="ESX803" s="193" t="s">
        <v>1487</v>
      </c>
      <c r="ESY803" s="193" t="s">
        <v>1487</v>
      </c>
      <c r="ESZ803" s="193" t="s">
        <v>1487</v>
      </c>
      <c r="ETA803" s="193" t="s">
        <v>1487</v>
      </c>
      <c r="ETB803" s="193" t="s">
        <v>1487</v>
      </c>
      <c r="ETC803" s="193" t="s">
        <v>1487</v>
      </c>
      <c r="ETD803" s="193" t="s">
        <v>1487</v>
      </c>
      <c r="ETE803" s="193" t="s">
        <v>1487</v>
      </c>
      <c r="ETF803" s="193" t="s">
        <v>1487</v>
      </c>
      <c r="ETG803" s="193" t="s">
        <v>1487</v>
      </c>
      <c r="ETH803" s="193" t="s">
        <v>1487</v>
      </c>
      <c r="ETI803" s="193" t="s">
        <v>1487</v>
      </c>
      <c r="ETJ803" s="193" t="s">
        <v>1487</v>
      </c>
      <c r="ETK803" s="193" t="s">
        <v>1487</v>
      </c>
      <c r="ETL803" s="193" t="s">
        <v>1487</v>
      </c>
      <c r="ETM803" s="193" t="s">
        <v>1487</v>
      </c>
      <c r="ETN803" s="193" t="s">
        <v>1487</v>
      </c>
      <c r="ETO803" s="193" t="s">
        <v>1487</v>
      </c>
      <c r="ETP803" s="193" t="s">
        <v>1487</v>
      </c>
      <c r="ETQ803" s="193" t="s">
        <v>1487</v>
      </c>
      <c r="ETR803" s="193" t="s">
        <v>1487</v>
      </c>
      <c r="ETS803" s="193" t="s">
        <v>1487</v>
      </c>
      <c r="ETT803" s="193" t="s">
        <v>1487</v>
      </c>
      <c r="ETU803" s="193" t="s">
        <v>1487</v>
      </c>
      <c r="ETV803" s="193" t="s">
        <v>1487</v>
      </c>
      <c r="ETW803" s="193" t="s">
        <v>1487</v>
      </c>
      <c r="ETX803" s="193" t="s">
        <v>1487</v>
      </c>
      <c r="ETY803" s="193" t="s">
        <v>1487</v>
      </c>
      <c r="ETZ803" s="193" t="s">
        <v>1487</v>
      </c>
      <c r="EUA803" s="193" t="s">
        <v>1487</v>
      </c>
      <c r="EUB803" s="193" t="s">
        <v>1487</v>
      </c>
      <c r="EUC803" s="193" t="s">
        <v>1487</v>
      </c>
      <c r="EUD803" s="193" t="s">
        <v>1487</v>
      </c>
      <c r="EUE803" s="193" t="s">
        <v>1487</v>
      </c>
      <c r="EUF803" s="193" t="s">
        <v>1487</v>
      </c>
      <c r="EUG803" s="193" t="s">
        <v>1487</v>
      </c>
      <c r="EUH803" s="193" t="s">
        <v>1487</v>
      </c>
      <c r="EUI803" s="193" t="s">
        <v>1487</v>
      </c>
      <c r="EUJ803" s="193" t="s">
        <v>1487</v>
      </c>
      <c r="EUK803" s="193" t="s">
        <v>1487</v>
      </c>
      <c r="EUL803" s="193" t="s">
        <v>1487</v>
      </c>
      <c r="EUM803" s="193" t="s">
        <v>1487</v>
      </c>
      <c r="EUN803" s="193" t="s">
        <v>1487</v>
      </c>
      <c r="EUO803" s="193" t="s">
        <v>1487</v>
      </c>
      <c r="EUP803" s="193" t="s">
        <v>1487</v>
      </c>
      <c r="EUQ803" s="193" t="s">
        <v>1487</v>
      </c>
      <c r="EUR803" s="193" t="s">
        <v>1487</v>
      </c>
      <c r="EUS803" s="193" t="s">
        <v>1487</v>
      </c>
      <c r="EUT803" s="193" t="s">
        <v>1487</v>
      </c>
      <c r="EUU803" s="193" t="s">
        <v>1487</v>
      </c>
      <c r="EUV803" s="193" t="s">
        <v>1487</v>
      </c>
      <c r="EUW803" s="193" t="s">
        <v>1487</v>
      </c>
      <c r="EUX803" s="193" t="s">
        <v>1487</v>
      </c>
      <c r="EUY803" s="193" t="s">
        <v>1487</v>
      </c>
      <c r="EUZ803" s="193" t="s">
        <v>1487</v>
      </c>
      <c r="EVA803" s="193" t="s">
        <v>1487</v>
      </c>
      <c r="EVB803" s="193" t="s">
        <v>1487</v>
      </c>
      <c r="EVC803" s="193" t="s">
        <v>1487</v>
      </c>
      <c r="EVD803" s="193" t="s">
        <v>1487</v>
      </c>
      <c r="EVE803" s="193" t="s">
        <v>1487</v>
      </c>
      <c r="EVF803" s="193" t="s">
        <v>1487</v>
      </c>
      <c r="EVG803" s="193" t="s">
        <v>1487</v>
      </c>
      <c r="EVH803" s="193" t="s">
        <v>1487</v>
      </c>
      <c r="EVI803" s="193" t="s">
        <v>1487</v>
      </c>
      <c r="EVJ803" s="193" t="s">
        <v>1487</v>
      </c>
      <c r="EVK803" s="193" t="s">
        <v>1487</v>
      </c>
      <c r="EVL803" s="193" t="s">
        <v>1487</v>
      </c>
      <c r="EVM803" s="193" t="s">
        <v>1487</v>
      </c>
      <c r="EVN803" s="193" t="s">
        <v>1487</v>
      </c>
      <c r="EVO803" s="193" t="s">
        <v>1487</v>
      </c>
      <c r="EVP803" s="193" t="s">
        <v>1487</v>
      </c>
      <c r="EVQ803" s="193" t="s">
        <v>1487</v>
      </c>
      <c r="EVR803" s="193" t="s">
        <v>1487</v>
      </c>
      <c r="EVS803" s="193" t="s">
        <v>1487</v>
      </c>
      <c r="EVT803" s="193" t="s">
        <v>1487</v>
      </c>
      <c r="EVU803" s="193" t="s">
        <v>1487</v>
      </c>
      <c r="EVV803" s="193" t="s">
        <v>1487</v>
      </c>
      <c r="EVW803" s="193" t="s">
        <v>1487</v>
      </c>
      <c r="EVX803" s="193" t="s">
        <v>1487</v>
      </c>
      <c r="EVY803" s="193" t="s">
        <v>1487</v>
      </c>
      <c r="EVZ803" s="193" t="s">
        <v>1487</v>
      </c>
      <c r="EWA803" s="193" t="s">
        <v>1487</v>
      </c>
      <c r="EWB803" s="193" t="s">
        <v>1487</v>
      </c>
      <c r="EWC803" s="193" t="s">
        <v>1487</v>
      </c>
      <c r="EWD803" s="193" t="s">
        <v>1487</v>
      </c>
      <c r="EWE803" s="193" t="s">
        <v>1487</v>
      </c>
      <c r="EWF803" s="193" t="s">
        <v>1487</v>
      </c>
      <c r="EWG803" s="193" t="s">
        <v>1487</v>
      </c>
      <c r="EWH803" s="193" t="s">
        <v>1487</v>
      </c>
      <c r="EWI803" s="193" t="s">
        <v>1487</v>
      </c>
      <c r="EWJ803" s="193" t="s">
        <v>1487</v>
      </c>
      <c r="EWK803" s="193" t="s">
        <v>1487</v>
      </c>
      <c r="EWL803" s="193" t="s">
        <v>1487</v>
      </c>
      <c r="EWM803" s="193" t="s">
        <v>1487</v>
      </c>
      <c r="EWN803" s="193" t="s">
        <v>1487</v>
      </c>
      <c r="EWO803" s="193" t="s">
        <v>1487</v>
      </c>
      <c r="EWP803" s="193" t="s">
        <v>1487</v>
      </c>
      <c r="EWQ803" s="193" t="s">
        <v>1487</v>
      </c>
      <c r="EWR803" s="193" t="s">
        <v>1487</v>
      </c>
      <c r="EWS803" s="193" t="s">
        <v>1487</v>
      </c>
      <c r="EWT803" s="193" t="s">
        <v>1487</v>
      </c>
      <c r="EWU803" s="193" t="s">
        <v>1487</v>
      </c>
      <c r="EWV803" s="193" t="s">
        <v>1487</v>
      </c>
      <c r="EWW803" s="193" t="s">
        <v>1487</v>
      </c>
      <c r="EWX803" s="193" t="s">
        <v>1487</v>
      </c>
      <c r="EWY803" s="193" t="s">
        <v>1487</v>
      </c>
      <c r="EWZ803" s="193" t="s">
        <v>1487</v>
      </c>
      <c r="EXA803" s="193" t="s">
        <v>1487</v>
      </c>
      <c r="EXB803" s="193" t="s">
        <v>1487</v>
      </c>
      <c r="EXC803" s="193" t="s">
        <v>1487</v>
      </c>
      <c r="EXD803" s="193" t="s">
        <v>1487</v>
      </c>
      <c r="EXE803" s="193" t="s">
        <v>1487</v>
      </c>
      <c r="EXF803" s="193" t="s">
        <v>1487</v>
      </c>
      <c r="EXG803" s="193" t="s">
        <v>1487</v>
      </c>
      <c r="EXH803" s="193" t="s">
        <v>1487</v>
      </c>
      <c r="EXI803" s="193" t="s">
        <v>1487</v>
      </c>
      <c r="EXJ803" s="193" t="s">
        <v>1487</v>
      </c>
      <c r="EXK803" s="193" t="s">
        <v>1487</v>
      </c>
      <c r="EXL803" s="193" t="s">
        <v>1487</v>
      </c>
      <c r="EXM803" s="193" t="s">
        <v>1487</v>
      </c>
      <c r="EXN803" s="193" t="s">
        <v>1487</v>
      </c>
      <c r="EXO803" s="193" t="s">
        <v>1487</v>
      </c>
      <c r="EXP803" s="193" t="s">
        <v>1487</v>
      </c>
      <c r="EXQ803" s="193" t="s">
        <v>1487</v>
      </c>
      <c r="EXR803" s="193" t="s">
        <v>1487</v>
      </c>
      <c r="EXS803" s="193" t="s">
        <v>1487</v>
      </c>
      <c r="EXT803" s="193" t="s">
        <v>1487</v>
      </c>
      <c r="EXU803" s="193" t="s">
        <v>1487</v>
      </c>
      <c r="EXV803" s="193" t="s">
        <v>1487</v>
      </c>
      <c r="EXW803" s="193" t="s">
        <v>1487</v>
      </c>
      <c r="EXX803" s="193" t="s">
        <v>1487</v>
      </c>
      <c r="EXY803" s="193" t="s">
        <v>1487</v>
      </c>
      <c r="EXZ803" s="193" t="s">
        <v>1487</v>
      </c>
      <c r="EYA803" s="193" t="s">
        <v>1487</v>
      </c>
      <c r="EYB803" s="193" t="s">
        <v>1487</v>
      </c>
      <c r="EYC803" s="193" t="s">
        <v>1487</v>
      </c>
      <c r="EYD803" s="193" t="s">
        <v>1487</v>
      </c>
      <c r="EYE803" s="193" t="s">
        <v>1487</v>
      </c>
      <c r="EYF803" s="193" t="s">
        <v>1487</v>
      </c>
      <c r="EYG803" s="193" t="s">
        <v>1487</v>
      </c>
      <c r="EYH803" s="193" t="s">
        <v>1487</v>
      </c>
      <c r="EYI803" s="193" t="s">
        <v>1487</v>
      </c>
      <c r="EYJ803" s="193" t="s">
        <v>1487</v>
      </c>
      <c r="EYK803" s="193" t="s">
        <v>1487</v>
      </c>
      <c r="EYL803" s="193" t="s">
        <v>1487</v>
      </c>
      <c r="EYM803" s="193" t="s">
        <v>1487</v>
      </c>
      <c r="EYN803" s="193" t="s">
        <v>1487</v>
      </c>
      <c r="EYO803" s="193" t="s">
        <v>1487</v>
      </c>
      <c r="EYP803" s="193" t="s">
        <v>1487</v>
      </c>
      <c r="EYQ803" s="193" t="s">
        <v>1487</v>
      </c>
      <c r="EYR803" s="193" t="s">
        <v>1487</v>
      </c>
      <c r="EYS803" s="193" t="s">
        <v>1487</v>
      </c>
      <c r="EYT803" s="193" t="s">
        <v>1487</v>
      </c>
      <c r="EYU803" s="193" t="s">
        <v>1487</v>
      </c>
      <c r="EYV803" s="193" t="s">
        <v>1487</v>
      </c>
      <c r="EYW803" s="193" t="s">
        <v>1487</v>
      </c>
      <c r="EYX803" s="193" t="s">
        <v>1487</v>
      </c>
      <c r="EYY803" s="193" t="s">
        <v>1487</v>
      </c>
      <c r="EYZ803" s="193" t="s">
        <v>1487</v>
      </c>
      <c r="EZA803" s="193" t="s">
        <v>1487</v>
      </c>
      <c r="EZB803" s="193" t="s">
        <v>1487</v>
      </c>
      <c r="EZC803" s="193" t="s">
        <v>1487</v>
      </c>
      <c r="EZD803" s="193" t="s">
        <v>1487</v>
      </c>
      <c r="EZE803" s="193" t="s">
        <v>1487</v>
      </c>
      <c r="EZF803" s="193" t="s">
        <v>1487</v>
      </c>
      <c r="EZG803" s="193" t="s">
        <v>1487</v>
      </c>
      <c r="EZH803" s="193" t="s">
        <v>1487</v>
      </c>
      <c r="EZI803" s="193" t="s">
        <v>1487</v>
      </c>
      <c r="EZJ803" s="193" t="s">
        <v>1487</v>
      </c>
      <c r="EZK803" s="193" t="s">
        <v>1487</v>
      </c>
      <c r="EZL803" s="193" t="s">
        <v>1487</v>
      </c>
      <c r="EZM803" s="193" t="s">
        <v>1487</v>
      </c>
      <c r="EZN803" s="193" t="s">
        <v>1487</v>
      </c>
      <c r="EZO803" s="193" t="s">
        <v>1487</v>
      </c>
      <c r="EZP803" s="193" t="s">
        <v>1487</v>
      </c>
      <c r="EZQ803" s="193" t="s">
        <v>1487</v>
      </c>
      <c r="EZR803" s="193" t="s">
        <v>1487</v>
      </c>
      <c r="EZS803" s="193" t="s">
        <v>1487</v>
      </c>
      <c r="EZT803" s="193" t="s">
        <v>1487</v>
      </c>
      <c r="EZU803" s="193" t="s">
        <v>1487</v>
      </c>
      <c r="EZV803" s="193" t="s">
        <v>1487</v>
      </c>
      <c r="EZW803" s="193" t="s">
        <v>1487</v>
      </c>
      <c r="EZX803" s="193" t="s">
        <v>1487</v>
      </c>
      <c r="EZY803" s="193" t="s">
        <v>1487</v>
      </c>
      <c r="EZZ803" s="193" t="s">
        <v>1487</v>
      </c>
      <c r="FAA803" s="193" t="s">
        <v>1487</v>
      </c>
      <c r="FAB803" s="193" t="s">
        <v>1487</v>
      </c>
      <c r="FAC803" s="193" t="s">
        <v>1487</v>
      </c>
      <c r="FAD803" s="193" t="s">
        <v>1487</v>
      </c>
      <c r="FAE803" s="193" t="s">
        <v>1487</v>
      </c>
      <c r="FAF803" s="193" t="s">
        <v>1487</v>
      </c>
      <c r="FAG803" s="193" t="s">
        <v>1487</v>
      </c>
      <c r="FAH803" s="193" t="s">
        <v>1487</v>
      </c>
      <c r="FAI803" s="193" t="s">
        <v>1487</v>
      </c>
      <c r="FAJ803" s="193" t="s">
        <v>1487</v>
      </c>
      <c r="FAK803" s="193" t="s">
        <v>1487</v>
      </c>
      <c r="FAL803" s="193" t="s">
        <v>1487</v>
      </c>
      <c r="FAM803" s="193" t="s">
        <v>1487</v>
      </c>
      <c r="FAN803" s="193" t="s">
        <v>1487</v>
      </c>
      <c r="FAO803" s="193" t="s">
        <v>1487</v>
      </c>
      <c r="FAP803" s="193" t="s">
        <v>1487</v>
      </c>
      <c r="FAQ803" s="193" t="s">
        <v>1487</v>
      </c>
      <c r="FAR803" s="193" t="s">
        <v>1487</v>
      </c>
      <c r="FAS803" s="193" t="s">
        <v>1487</v>
      </c>
      <c r="FAT803" s="193" t="s">
        <v>1487</v>
      </c>
      <c r="FAU803" s="193" t="s">
        <v>1487</v>
      </c>
      <c r="FAV803" s="193" t="s">
        <v>1487</v>
      </c>
      <c r="FAW803" s="193" t="s">
        <v>1487</v>
      </c>
      <c r="FAX803" s="193" t="s">
        <v>1487</v>
      </c>
      <c r="FAY803" s="193" t="s">
        <v>1487</v>
      </c>
      <c r="FAZ803" s="193" t="s">
        <v>1487</v>
      </c>
      <c r="FBA803" s="193" t="s">
        <v>1487</v>
      </c>
      <c r="FBB803" s="193" t="s">
        <v>1487</v>
      </c>
      <c r="FBC803" s="193" t="s">
        <v>1487</v>
      </c>
      <c r="FBD803" s="193" t="s">
        <v>1487</v>
      </c>
      <c r="FBE803" s="193" t="s">
        <v>1487</v>
      </c>
      <c r="FBF803" s="193" t="s">
        <v>1487</v>
      </c>
      <c r="FBG803" s="193" t="s">
        <v>1487</v>
      </c>
      <c r="FBH803" s="193" t="s">
        <v>1487</v>
      </c>
      <c r="FBI803" s="193" t="s">
        <v>1487</v>
      </c>
      <c r="FBJ803" s="193" t="s">
        <v>1487</v>
      </c>
      <c r="FBK803" s="193" t="s">
        <v>1487</v>
      </c>
      <c r="FBL803" s="193" t="s">
        <v>1487</v>
      </c>
      <c r="FBM803" s="193" t="s">
        <v>1487</v>
      </c>
      <c r="FBN803" s="193" t="s">
        <v>1487</v>
      </c>
      <c r="FBO803" s="193" t="s">
        <v>1487</v>
      </c>
      <c r="FBP803" s="193" t="s">
        <v>1487</v>
      </c>
      <c r="FBQ803" s="193" t="s">
        <v>1487</v>
      </c>
      <c r="FBR803" s="193" t="s">
        <v>1487</v>
      </c>
      <c r="FBS803" s="193" t="s">
        <v>1487</v>
      </c>
      <c r="FBT803" s="193" t="s">
        <v>1487</v>
      </c>
      <c r="FBU803" s="193" t="s">
        <v>1487</v>
      </c>
      <c r="FBV803" s="193" t="s">
        <v>1487</v>
      </c>
      <c r="FBW803" s="193" t="s">
        <v>1487</v>
      </c>
      <c r="FBX803" s="193" t="s">
        <v>1487</v>
      </c>
      <c r="FBY803" s="193" t="s">
        <v>1487</v>
      </c>
      <c r="FBZ803" s="193" t="s">
        <v>1487</v>
      </c>
      <c r="FCA803" s="193" t="s">
        <v>1487</v>
      </c>
      <c r="FCB803" s="193" t="s">
        <v>1487</v>
      </c>
      <c r="FCC803" s="193" t="s">
        <v>1487</v>
      </c>
      <c r="FCD803" s="193" t="s">
        <v>1487</v>
      </c>
      <c r="FCE803" s="193" t="s">
        <v>1487</v>
      </c>
      <c r="FCF803" s="193" t="s">
        <v>1487</v>
      </c>
      <c r="FCG803" s="193" t="s">
        <v>1487</v>
      </c>
      <c r="FCH803" s="193" t="s">
        <v>1487</v>
      </c>
      <c r="FCI803" s="193" t="s">
        <v>1487</v>
      </c>
      <c r="FCJ803" s="193" t="s">
        <v>1487</v>
      </c>
      <c r="FCK803" s="193" t="s">
        <v>1487</v>
      </c>
      <c r="FCL803" s="193" t="s">
        <v>1487</v>
      </c>
      <c r="FCM803" s="193" t="s">
        <v>1487</v>
      </c>
      <c r="FCN803" s="193" t="s">
        <v>1487</v>
      </c>
      <c r="FCO803" s="193" t="s">
        <v>1487</v>
      </c>
      <c r="FCP803" s="193" t="s">
        <v>1487</v>
      </c>
      <c r="FCQ803" s="193" t="s">
        <v>1487</v>
      </c>
      <c r="FCR803" s="193" t="s">
        <v>1487</v>
      </c>
      <c r="FCS803" s="193" t="s">
        <v>1487</v>
      </c>
      <c r="FCT803" s="193" t="s">
        <v>1487</v>
      </c>
      <c r="FCU803" s="193" t="s">
        <v>1487</v>
      </c>
      <c r="FCV803" s="193" t="s">
        <v>1487</v>
      </c>
      <c r="FCW803" s="193" t="s">
        <v>1487</v>
      </c>
      <c r="FCX803" s="193" t="s">
        <v>1487</v>
      </c>
      <c r="FCY803" s="193" t="s">
        <v>1487</v>
      </c>
      <c r="FCZ803" s="193" t="s">
        <v>1487</v>
      </c>
      <c r="FDA803" s="193" t="s">
        <v>1487</v>
      </c>
      <c r="FDB803" s="193" t="s">
        <v>1487</v>
      </c>
      <c r="FDC803" s="193" t="s">
        <v>1487</v>
      </c>
      <c r="FDD803" s="193" t="s">
        <v>1487</v>
      </c>
      <c r="FDE803" s="193" t="s">
        <v>1487</v>
      </c>
      <c r="FDF803" s="193" t="s">
        <v>1487</v>
      </c>
      <c r="FDG803" s="193" t="s">
        <v>1487</v>
      </c>
      <c r="FDH803" s="193" t="s">
        <v>1487</v>
      </c>
      <c r="FDI803" s="193" t="s">
        <v>1487</v>
      </c>
      <c r="FDJ803" s="193" t="s">
        <v>1487</v>
      </c>
      <c r="FDK803" s="193" t="s">
        <v>1487</v>
      </c>
      <c r="FDL803" s="193" t="s">
        <v>1487</v>
      </c>
      <c r="FDM803" s="193" t="s">
        <v>1487</v>
      </c>
      <c r="FDN803" s="193" t="s">
        <v>1487</v>
      </c>
      <c r="FDO803" s="193" t="s">
        <v>1487</v>
      </c>
      <c r="FDP803" s="193" t="s">
        <v>1487</v>
      </c>
      <c r="FDQ803" s="193" t="s">
        <v>1487</v>
      </c>
      <c r="FDR803" s="193" t="s">
        <v>1487</v>
      </c>
      <c r="FDS803" s="193" t="s">
        <v>1487</v>
      </c>
      <c r="FDT803" s="193" t="s">
        <v>1487</v>
      </c>
      <c r="FDU803" s="193" t="s">
        <v>1487</v>
      </c>
      <c r="FDV803" s="193" t="s">
        <v>1487</v>
      </c>
      <c r="FDW803" s="193" t="s">
        <v>1487</v>
      </c>
      <c r="FDX803" s="193" t="s">
        <v>1487</v>
      </c>
      <c r="FDY803" s="193" t="s">
        <v>1487</v>
      </c>
      <c r="FDZ803" s="193" t="s">
        <v>1487</v>
      </c>
      <c r="FEA803" s="193" t="s">
        <v>1487</v>
      </c>
      <c r="FEB803" s="193" t="s">
        <v>1487</v>
      </c>
      <c r="FEC803" s="193" t="s">
        <v>1487</v>
      </c>
      <c r="FED803" s="193" t="s">
        <v>1487</v>
      </c>
      <c r="FEE803" s="193" t="s">
        <v>1487</v>
      </c>
      <c r="FEF803" s="193" t="s">
        <v>1487</v>
      </c>
      <c r="FEG803" s="193" t="s">
        <v>1487</v>
      </c>
      <c r="FEH803" s="193" t="s">
        <v>1487</v>
      </c>
      <c r="FEI803" s="193" t="s">
        <v>1487</v>
      </c>
      <c r="FEJ803" s="193" t="s">
        <v>1487</v>
      </c>
      <c r="FEK803" s="193" t="s">
        <v>1487</v>
      </c>
      <c r="FEL803" s="193" t="s">
        <v>1487</v>
      </c>
      <c r="FEM803" s="193" t="s">
        <v>1487</v>
      </c>
      <c r="FEN803" s="193" t="s">
        <v>1487</v>
      </c>
      <c r="FEO803" s="193" t="s">
        <v>1487</v>
      </c>
      <c r="FEP803" s="193" t="s">
        <v>1487</v>
      </c>
      <c r="FEQ803" s="193" t="s">
        <v>1487</v>
      </c>
      <c r="FER803" s="193" t="s">
        <v>1487</v>
      </c>
      <c r="FES803" s="193" t="s">
        <v>1487</v>
      </c>
      <c r="FET803" s="193" t="s">
        <v>1487</v>
      </c>
      <c r="FEU803" s="193" t="s">
        <v>1487</v>
      </c>
      <c r="FEV803" s="193" t="s">
        <v>1487</v>
      </c>
      <c r="FEW803" s="193" t="s">
        <v>1487</v>
      </c>
      <c r="FEX803" s="193" t="s">
        <v>1487</v>
      </c>
      <c r="FEY803" s="193" t="s">
        <v>1487</v>
      </c>
      <c r="FEZ803" s="193" t="s">
        <v>1487</v>
      </c>
      <c r="FFA803" s="193" t="s">
        <v>1487</v>
      </c>
      <c r="FFB803" s="193" t="s">
        <v>1487</v>
      </c>
      <c r="FFC803" s="193" t="s">
        <v>1487</v>
      </c>
      <c r="FFD803" s="193" t="s">
        <v>1487</v>
      </c>
      <c r="FFE803" s="193" t="s">
        <v>1487</v>
      </c>
      <c r="FFF803" s="193" t="s">
        <v>1487</v>
      </c>
      <c r="FFG803" s="193" t="s">
        <v>1487</v>
      </c>
      <c r="FFH803" s="193" t="s">
        <v>1487</v>
      </c>
      <c r="FFI803" s="193" t="s">
        <v>1487</v>
      </c>
      <c r="FFJ803" s="193" t="s">
        <v>1487</v>
      </c>
      <c r="FFK803" s="193" t="s">
        <v>1487</v>
      </c>
      <c r="FFL803" s="193" t="s">
        <v>1487</v>
      </c>
      <c r="FFM803" s="193" t="s">
        <v>1487</v>
      </c>
      <c r="FFN803" s="193" t="s">
        <v>1487</v>
      </c>
      <c r="FFO803" s="193" t="s">
        <v>1487</v>
      </c>
      <c r="FFP803" s="193" t="s">
        <v>1487</v>
      </c>
      <c r="FFQ803" s="193" t="s">
        <v>1487</v>
      </c>
      <c r="FFR803" s="193" t="s">
        <v>1487</v>
      </c>
      <c r="FFS803" s="193" t="s">
        <v>1487</v>
      </c>
      <c r="FFT803" s="193" t="s">
        <v>1487</v>
      </c>
      <c r="FFU803" s="193" t="s">
        <v>1487</v>
      </c>
      <c r="FFV803" s="193" t="s">
        <v>1487</v>
      </c>
      <c r="FFW803" s="193" t="s">
        <v>1487</v>
      </c>
      <c r="FFX803" s="193" t="s">
        <v>1487</v>
      </c>
      <c r="FFY803" s="193" t="s">
        <v>1487</v>
      </c>
      <c r="FFZ803" s="193" t="s">
        <v>1487</v>
      </c>
      <c r="FGA803" s="193" t="s">
        <v>1487</v>
      </c>
      <c r="FGB803" s="193" t="s">
        <v>1487</v>
      </c>
      <c r="FGC803" s="193" t="s">
        <v>1487</v>
      </c>
      <c r="FGD803" s="193" t="s">
        <v>1487</v>
      </c>
      <c r="FGE803" s="193" t="s">
        <v>1487</v>
      </c>
      <c r="FGF803" s="193" t="s">
        <v>1487</v>
      </c>
      <c r="FGG803" s="193" t="s">
        <v>1487</v>
      </c>
      <c r="FGH803" s="193" t="s">
        <v>1487</v>
      </c>
      <c r="FGI803" s="193" t="s">
        <v>1487</v>
      </c>
      <c r="FGJ803" s="193" t="s">
        <v>1487</v>
      </c>
      <c r="FGK803" s="193" t="s">
        <v>1487</v>
      </c>
      <c r="FGL803" s="193" t="s">
        <v>1487</v>
      </c>
      <c r="FGM803" s="193" t="s">
        <v>1487</v>
      </c>
      <c r="FGN803" s="193" t="s">
        <v>1487</v>
      </c>
      <c r="FGO803" s="193" t="s">
        <v>1487</v>
      </c>
      <c r="FGP803" s="193" t="s">
        <v>1487</v>
      </c>
      <c r="FGQ803" s="193" t="s">
        <v>1487</v>
      </c>
      <c r="FGR803" s="193" t="s">
        <v>1487</v>
      </c>
      <c r="FGS803" s="193" t="s">
        <v>1487</v>
      </c>
      <c r="FGT803" s="193" t="s">
        <v>1487</v>
      </c>
      <c r="FGU803" s="193" t="s">
        <v>1487</v>
      </c>
      <c r="FGV803" s="193" t="s">
        <v>1487</v>
      </c>
      <c r="FGW803" s="193" t="s">
        <v>1487</v>
      </c>
      <c r="FGX803" s="193" t="s">
        <v>1487</v>
      </c>
      <c r="FGY803" s="193" t="s">
        <v>1487</v>
      </c>
      <c r="FGZ803" s="193" t="s">
        <v>1487</v>
      </c>
      <c r="FHA803" s="193" t="s">
        <v>1487</v>
      </c>
      <c r="FHB803" s="193" t="s">
        <v>1487</v>
      </c>
      <c r="FHC803" s="193" t="s">
        <v>1487</v>
      </c>
      <c r="FHD803" s="193" t="s">
        <v>1487</v>
      </c>
      <c r="FHE803" s="193" t="s">
        <v>1487</v>
      </c>
      <c r="FHF803" s="193" t="s">
        <v>1487</v>
      </c>
      <c r="FHG803" s="193" t="s">
        <v>1487</v>
      </c>
      <c r="FHH803" s="193" t="s">
        <v>1487</v>
      </c>
      <c r="FHI803" s="193" t="s">
        <v>1487</v>
      </c>
      <c r="FHJ803" s="193" t="s">
        <v>1487</v>
      </c>
      <c r="FHK803" s="193" t="s">
        <v>1487</v>
      </c>
      <c r="FHL803" s="193" t="s">
        <v>1487</v>
      </c>
      <c r="FHM803" s="193" t="s">
        <v>1487</v>
      </c>
      <c r="FHN803" s="193" t="s">
        <v>1487</v>
      </c>
      <c r="FHO803" s="193" t="s">
        <v>1487</v>
      </c>
      <c r="FHP803" s="193" t="s">
        <v>1487</v>
      </c>
      <c r="FHQ803" s="193" t="s">
        <v>1487</v>
      </c>
      <c r="FHR803" s="193" t="s">
        <v>1487</v>
      </c>
      <c r="FHS803" s="193" t="s">
        <v>1487</v>
      </c>
      <c r="FHT803" s="193" t="s">
        <v>1487</v>
      </c>
      <c r="FHU803" s="193" t="s">
        <v>1487</v>
      </c>
      <c r="FHV803" s="193" t="s">
        <v>1487</v>
      </c>
      <c r="FHW803" s="193" t="s">
        <v>1487</v>
      </c>
      <c r="FHX803" s="193" t="s">
        <v>1487</v>
      </c>
      <c r="FHY803" s="193" t="s">
        <v>1487</v>
      </c>
      <c r="FHZ803" s="193" t="s">
        <v>1487</v>
      </c>
      <c r="FIA803" s="193" t="s">
        <v>1487</v>
      </c>
      <c r="FIB803" s="193" t="s">
        <v>1487</v>
      </c>
      <c r="FIC803" s="193" t="s">
        <v>1487</v>
      </c>
      <c r="FID803" s="193" t="s">
        <v>1487</v>
      </c>
      <c r="FIE803" s="193" t="s">
        <v>1487</v>
      </c>
      <c r="FIF803" s="193" t="s">
        <v>1487</v>
      </c>
      <c r="FIG803" s="193" t="s">
        <v>1487</v>
      </c>
      <c r="FIH803" s="193" t="s">
        <v>1487</v>
      </c>
      <c r="FII803" s="193" t="s">
        <v>1487</v>
      </c>
      <c r="FIJ803" s="193" t="s">
        <v>1487</v>
      </c>
      <c r="FIK803" s="193" t="s">
        <v>1487</v>
      </c>
      <c r="FIL803" s="193" t="s">
        <v>1487</v>
      </c>
      <c r="FIM803" s="193" t="s">
        <v>1487</v>
      </c>
      <c r="FIN803" s="193" t="s">
        <v>1487</v>
      </c>
      <c r="FIO803" s="193" t="s">
        <v>1487</v>
      </c>
      <c r="FIP803" s="193" t="s">
        <v>1487</v>
      </c>
      <c r="FIQ803" s="193" t="s">
        <v>1487</v>
      </c>
      <c r="FIR803" s="193" t="s">
        <v>1487</v>
      </c>
      <c r="FIS803" s="193" t="s">
        <v>1487</v>
      </c>
      <c r="FIT803" s="193" t="s">
        <v>1487</v>
      </c>
      <c r="FIU803" s="193" t="s">
        <v>1487</v>
      </c>
      <c r="FIV803" s="193" t="s">
        <v>1487</v>
      </c>
      <c r="FIW803" s="193" t="s">
        <v>1487</v>
      </c>
      <c r="FIX803" s="193" t="s">
        <v>1487</v>
      </c>
      <c r="FIY803" s="193" t="s">
        <v>1487</v>
      </c>
      <c r="FIZ803" s="193" t="s">
        <v>1487</v>
      </c>
      <c r="FJA803" s="193" t="s">
        <v>1487</v>
      </c>
      <c r="FJB803" s="193" t="s">
        <v>1487</v>
      </c>
      <c r="FJC803" s="193" t="s">
        <v>1487</v>
      </c>
      <c r="FJD803" s="193" t="s">
        <v>1487</v>
      </c>
      <c r="FJE803" s="193" t="s">
        <v>1487</v>
      </c>
      <c r="FJF803" s="193" t="s">
        <v>1487</v>
      </c>
      <c r="FJG803" s="193" t="s">
        <v>1487</v>
      </c>
      <c r="FJH803" s="193" t="s">
        <v>1487</v>
      </c>
      <c r="FJI803" s="193" t="s">
        <v>1487</v>
      </c>
      <c r="FJJ803" s="193" t="s">
        <v>1487</v>
      </c>
      <c r="FJK803" s="193" t="s">
        <v>1487</v>
      </c>
      <c r="FJL803" s="193" t="s">
        <v>1487</v>
      </c>
      <c r="FJM803" s="193" t="s">
        <v>1487</v>
      </c>
      <c r="FJN803" s="193" t="s">
        <v>1487</v>
      </c>
      <c r="FJO803" s="193" t="s">
        <v>1487</v>
      </c>
      <c r="FJP803" s="193" t="s">
        <v>1487</v>
      </c>
      <c r="FJQ803" s="193" t="s">
        <v>1487</v>
      </c>
      <c r="FJR803" s="193" t="s">
        <v>1487</v>
      </c>
      <c r="FJS803" s="193" t="s">
        <v>1487</v>
      </c>
      <c r="FJT803" s="193" t="s">
        <v>1487</v>
      </c>
      <c r="FJU803" s="193" t="s">
        <v>1487</v>
      </c>
      <c r="FJV803" s="193" t="s">
        <v>1487</v>
      </c>
      <c r="FJW803" s="193" t="s">
        <v>1487</v>
      </c>
      <c r="FJX803" s="193" t="s">
        <v>1487</v>
      </c>
      <c r="FJY803" s="193" t="s">
        <v>1487</v>
      </c>
      <c r="FJZ803" s="193" t="s">
        <v>1487</v>
      </c>
      <c r="FKA803" s="193" t="s">
        <v>1487</v>
      </c>
      <c r="FKB803" s="193" t="s">
        <v>1487</v>
      </c>
      <c r="FKC803" s="193" t="s">
        <v>1487</v>
      </c>
      <c r="FKD803" s="193" t="s">
        <v>1487</v>
      </c>
      <c r="FKE803" s="193" t="s">
        <v>1487</v>
      </c>
      <c r="FKF803" s="193" t="s">
        <v>1487</v>
      </c>
      <c r="FKG803" s="193" t="s">
        <v>1487</v>
      </c>
      <c r="FKH803" s="193" t="s">
        <v>1487</v>
      </c>
      <c r="FKI803" s="193" t="s">
        <v>1487</v>
      </c>
      <c r="FKJ803" s="193" t="s">
        <v>1487</v>
      </c>
      <c r="FKK803" s="193" t="s">
        <v>1487</v>
      </c>
      <c r="FKL803" s="193" t="s">
        <v>1487</v>
      </c>
      <c r="FKM803" s="193" t="s">
        <v>1487</v>
      </c>
      <c r="FKN803" s="193" t="s">
        <v>1487</v>
      </c>
      <c r="FKO803" s="193" t="s">
        <v>1487</v>
      </c>
      <c r="FKP803" s="193" t="s">
        <v>1487</v>
      </c>
      <c r="FKQ803" s="193" t="s">
        <v>1487</v>
      </c>
      <c r="FKR803" s="193" t="s">
        <v>1487</v>
      </c>
      <c r="FKS803" s="193" t="s">
        <v>1487</v>
      </c>
      <c r="FKT803" s="193" t="s">
        <v>1487</v>
      </c>
      <c r="FKU803" s="193" t="s">
        <v>1487</v>
      </c>
      <c r="FKV803" s="193" t="s">
        <v>1487</v>
      </c>
      <c r="FKW803" s="193" t="s">
        <v>1487</v>
      </c>
      <c r="FKX803" s="193" t="s">
        <v>1487</v>
      </c>
      <c r="FKY803" s="193" t="s">
        <v>1487</v>
      </c>
      <c r="FKZ803" s="193" t="s">
        <v>1487</v>
      </c>
      <c r="FLA803" s="193" t="s">
        <v>1487</v>
      </c>
      <c r="FLB803" s="193" t="s">
        <v>1487</v>
      </c>
      <c r="FLC803" s="193" t="s">
        <v>1487</v>
      </c>
      <c r="FLD803" s="193" t="s">
        <v>1487</v>
      </c>
      <c r="FLE803" s="193" t="s">
        <v>1487</v>
      </c>
      <c r="FLF803" s="193" t="s">
        <v>1487</v>
      </c>
      <c r="FLG803" s="193" t="s">
        <v>1487</v>
      </c>
      <c r="FLH803" s="193" t="s">
        <v>1487</v>
      </c>
      <c r="FLI803" s="193" t="s">
        <v>1487</v>
      </c>
      <c r="FLJ803" s="193" t="s">
        <v>1487</v>
      </c>
      <c r="FLK803" s="193" t="s">
        <v>1487</v>
      </c>
      <c r="FLL803" s="193" t="s">
        <v>1487</v>
      </c>
      <c r="FLM803" s="193" t="s">
        <v>1487</v>
      </c>
      <c r="FLN803" s="193" t="s">
        <v>1487</v>
      </c>
      <c r="FLO803" s="193" t="s">
        <v>1487</v>
      </c>
      <c r="FLP803" s="193" t="s">
        <v>1487</v>
      </c>
      <c r="FLQ803" s="193" t="s">
        <v>1487</v>
      </c>
      <c r="FLR803" s="193" t="s">
        <v>1487</v>
      </c>
      <c r="FLS803" s="193" t="s">
        <v>1487</v>
      </c>
      <c r="FLT803" s="193" t="s">
        <v>1487</v>
      </c>
      <c r="FLU803" s="193" t="s">
        <v>1487</v>
      </c>
      <c r="FLV803" s="193" t="s">
        <v>1487</v>
      </c>
      <c r="FLW803" s="193" t="s">
        <v>1487</v>
      </c>
      <c r="FLX803" s="193" t="s">
        <v>1487</v>
      </c>
      <c r="FLY803" s="193" t="s">
        <v>1487</v>
      </c>
      <c r="FLZ803" s="193" t="s">
        <v>1487</v>
      </c>
      <c r="FMA803" s="193" t="s">
        <v>1487</v>
      </c>
      <c r="FMB803" s="193" t="s">
        <v>1487</v>
      </c>
      <c r="FMC803" s="193" t="s">
        <v>1487</v>
      </c>
      <c r="FMD803" s="193" t="s">
        <v>1487</v>
      </c>
      <c r="FME803" s="193" t="s">
        <v>1487</v>
      </c>
      <c r="FMF803" s="193" t="s">
        <v>1487</v>
      </c>
      <c r="FMG803" s="193" t="s">
        <v>1487</v>
      </c>
      <c r="FMH803" s="193" t="s">
        <v>1487</v>
      </c>
      <c r="FMI803" s="193" t="s">
        <v>1487</v>
      </c>
      <c r="FMJ803" s="193" t="s">
        <v>1487</v>
      </c>
      <c r="FMK803" s="193" t="s">
        <v>1487</v>
      </c>
      <c r="FML803" s="193" t="s">
        <v>1487</v>
      </c>
      <c r="FMM803" s="193" t="s">
        <v>1487</v>
      </c>
      <c r="FMN803" s="193" t="s">
        <v>1487</v>
      </c>
      <c r="FMO803" s="193" t="s">
        <v>1487</v>
      </c>
      <c r="FMP803" s="193" t="s">
        <v>1487</v>
      </c>
      <c r="FMQ803" s="193" t="s">
        <v>1487</v>
      </c>
      <c r="FMR803" s="193" t="s">
        <v>1487</v>
      </c>
      <c r="FMS803" s="193" t="s">
        <v>1487</v>
      </c>
      <c r="FMT803" s="193" t="s">
        <v>1487</v>
      </c>
      <c r="FMU803" s="193" t="s">
        <v>1487</v>
      </c>
      <c r="FMV803" s="193" t="s">
        <v>1487</v>
      </c>
      <c r="FMW803" s="193" t="s">
        <v>1487</v>
      </c>
      <c r="FMX803" s="193" t="s">
        <v>1487</v>
      </c>
      <c r="FMY803" s="193" t="s">
        <v>1487</v>
      </c>
      <c r="FMZ803" s="193" t="s">
        <v>1487</v>
      </c>
      <c r="FNA803" s="193" t="s">
        <v>1487</v>
      </c>
      <c r="FNB803" s="193" t="s">
        <v>1487</v>
      </c>
      <c r="FNC803" s="193" t="s">
        <v>1487</v>
      </c>
      <c r="FND803" s="193" t="s">
        <v>1487</v>
      </c>
      <c r="FNE803" s="193" t="s">
        <v>1487</v>
      </c>
      <c r="FNF803" s="193" t="s">
        <v>1487</v>
      </c>
      <c r="FNG803" s="193" t="s">
        <v>1487</v>
      </c>
      <c r="FNH803" s="193" t="s">
        <v>1487</v>
      </c>
      <c r="FNI803" s="193" t="s">
        <v>1487</v>
      </c>
      <c r="FNJ803" s="193" t="s">
        <v>1487</v>
      </c>
      <c r="FNK803" s="193" t="s">
        <v>1487</v>
      </c>
      <c r="FNL803" s="193" t="s">
        <v>1487</v>
      </c>
      <c r="FNM803" s="193" t="s">
        <v>1487</v>
      </c>
      <c r="FNN803" s="193" t="s">
        <v>1487</v>
      </c>
      <c r="FNO803" s="193" t="s">
        <v>1487</v>
      </c>
      <c r="FNP803" s="193" t="s">
        <v>1487</v>
      </c>
      <c r="FNQ803" s="193" t="s">
        <v>1487</v>
      </c>
      <c r="FNR803" s="193" t="s">
        <v>1487</v>
      </c>
      <c r="FNS803" s="193" t="s">
        <v>1487</v>
      </c>
      <c r="FNT803" s="193" t="s">
        <v>1487</v>
      </c>
      <c r="FNU803" s="193" t="s">
        <v>1487</v>
      </c>
      <c r="FNV803" s="193" t="s">
        <v>1487</v>
      </c>
      <c r="FNW803" s="193" t="s">
        <v>1487</v>
      </c>
      <c r="FNX803" s="193" t="s">
        <v>1487</v>
      </c>
      <c r="FNY803" s="193" t="s">
        <v>1487</v>
      </c>
      <c r="FNZ803" s="193" t="s">
        <v>1487</v>
      </c>
      <c r="FOA803" s="193" t="s">
        <v>1487</v>
      </c>
      <c r="FOB803" s="193" t="s">
        <v>1487</v>
      </c>
      <c r="FOC803" s="193" t="s">
        <v>1487</v>
      </c>
      <c r="FOD803" s="193" t="s">
        <v>1487</v>
      </c>
      <c r="FOE803" s="193" t="s">
        <v>1487</v>
      </c>
      <c r="FOF803" s="193" t="s">
        <v>1487</v>
      </c>
      <c r="FOG803" s="193" t="s">
        <v>1487</v>
      </c>
      <c r="FOH803" s="193" t="s">
        <v>1487</v>
      </c>
      <c r="FOI803" s="193" t="s">
        <v>1487</v>
      </c>
      <c r="FOJ803" s="193" t="s">
        <v>1487</v>
      </c>
      <c r="FOK803" s="193" t="s">
        <v>1487</v>
      </c>
      <c r="FOL803" s="193" t="s">
        <v>1487</v>
      </c>
      <c r="FOM803" s="193" t="s">
        <v>1487</v>
      </c>
      <c r="FON803" s="193" t="s">
        <v>1487</v>
      </c>
      <c r="FOO803" s="193" t="s">
        <v>1487</v>
      </c>
      <c r="FOP803" s="193" t="s">
        <v>1487</v>
      </c>
      <c r="FOQ803" s="193" t="s">
        <v>1487</v>
      </c>
      <c r="FOR803" s="193" t="s">
        <v>1487</v>
      </c>
      <c r="FOS803" s="193" t="s">
        <v>1487</v>
      </c>
      <c r="FOT803" s="193" t="s">
        <v>1487</v>
      </c>
      <c r="FOU803" s="193" t="s">
        <v>1487</v>
      </c>
      <c r="FOV803" s="193" t="s">
        <v>1487</v>
      </c>
      <c r="FOW803" s="193" t="s">
        <v>1487</v>
      </c>
      <c r="FOX803" s="193" t="s">
        <v>1487</v>
      </c>
      <c r="FOY803" s="193" t="s">
        <v>1487</v>
      </c>
      <c r="FOZ803" s="193" t="s">
        <v>1487</v>
      </c>
      <c r="FPA803" s="193" t="s">
        <v>1487</v>
      </c>
      <c r="FPB803" s="193" t="s">
        <v>1487</v>
      </c>
      <c r="FPC803" s="193" t="s">
        <v>1487</v>
      </c>
      <c r="FPD803" s="193" t="s">
        <v>1487</v>
      </c>
      <c r="FPE803" s="193" t="s">
        <v>1487</v>
      </c>
      <c r="FPF803" s="193" t="s">
        <v>1487</v>
      </c>
      <c r="FPG803" s="193" t="s">
        <v>1487</v>
      </c>
      <c r="FPH803" s="193" t="s">
        <v>1487</v>
      </c>
      <c r="FPI803" s="193" t="s">
        <v>1487</v>
      </c>
      <c r="FPJ803" s="193" t="s">
        <v>1487</v>
      </c>
      <c r="FPK803" s="193" t="s">
        <v>1487</v>
      </c>
      <c r="FPL803" s="193" t="s">
        <v>1487</v>
      </c>
      <c r="FPM803" s="193" t="s">
        <v>1487</v>
      </c>
      <c r="FPN803" s="193" t="s">
        <v>1487</v>
      </c>
      <c r="FPO803" s="193" t="s">
        <v>1487</v>
      </c>
      <c r="FPP803" s="193" t="s">
        <v>1487</v>
      </c>
      <c r="FPQ803" s="193" t="s">
        <v>1487</v>
      </c>
      <c r="FPR803" s="193" t="s">
        <v>1487</v>
      </c>
      <c r="FPS803" s="193" t="s">
        <v>1487</v>
      </c>
      <c r="FPT803" s="193" t="s">
        <v>1487</v>
      </c>
      <c r="FPU803" s="193" t="s">
        <v>1487</v>
      </c>
      <c r="FPV803" s="193" t="s">
        <v>1487</v>
      </c>
      <c r="FPW803" s="193" t="s">
        <v>1487</v>
      </c>
      <c r="FPX803" s="193" t="s">
        <v>1487</v>
      </c>
      <c r="FPY803" s="193" t="s">
        <v>1487</v>
      </c>
      <c r="FPZ803" s="193" t="s">
        <v>1487</v>
      </c>
      <c r="FQA803" s="193" t="s">
        <v>1487</v>
      </c>
      <c r="FQB803" s="193" t="s">
        <v>1487</v>
      </c>
      <c r="FQC803" s="193" t="s">
        <v>1487</v>
      </c>
      <c r="FQD803" s="193" t="s">
        <v>1487</v>
      </c>
      <c r="FQE803" s="193" t="s">
        <v>1487</v>
      </c>
      <c r="FQF803" s="193" t="s">
        <v>1487</v>
      </c>
      <c r="FQG803" s="193" t="s">
        <v>1487</v>
      </c>
      <c r="FQH803" s="193" t="s">
        <v>1487</v>
      </c>
      <c r="FQI803" s="193" t="s">
        <v>1487</v>
      </c>
      <c r="FQJ803" s="193" t="s">
        <v>1487</v>
      </c>
      <c r="FQK803" s="193" t="s">
        <v>1487</v>
      </c>
      <c r="FQL803" s="193" t="s">
        <v>1487</v>
      </c>
      <c r="FQM803" s="193" t="s">
        <v>1487</v>
      </c>
      <c r="FQN803" s="193" t="s">
        <v>1487</v>
      </c>
      <c r="FQO803" s="193" t="s">
        <v>1487</v>
      </c>
      <c r="FQP803" s="193" t="s">
        <v>1487</v>
      </c>
      <c r="FQQ803" s="193" t="s">
        <v>1487</v>
      </c>
      <c r="FQR803" s="193" t="s">
        <v>1487</v>
      </c>
      <c r="FQS803" s="193" t="s">
        <v>1487</v>
      </c>
      <c r="FQT803" s="193" t="s">
        <v>1487</v>
      </c>
      <c r="FQU803" s="193" t="s">
        <v>1487</v>
      </c>
      <c r="FQV803" s="193" t="s">
        <v>1487</v>
      </c>
      <c r="FQW803" s="193" t="s">
        <v>1487</v>
      </c>
      <c r="FQX803" s="193" t="s">
        <v>1487</v>
      </c>
      <c r="FQY803" s="193" t="s">
        <v>1487</v>
      </c>
      <c r="FQZ803" s="193" t="s">
        <v>1487</v>
      </c>
      <c r="FRA803" s="193" t="s">
        <v>1487</v>
      </c>
      <c r="FRB803" s="193" t="s">
        <v>1487</v>
      </c>
      <c r="FRC803" s="193" t="s">
        <v>1487</v>
      </c>
      <c r="FRD803" s="193" t="s">
        <v>1487</v>
      </c>
      <c r="FRE803" s="193" t="s">
        <v>1487</v>
      </c>
      <c r="FRF803" s="193" t="s">
        <v>1487</v>
      </c>
      <c r="FRG803" s="193" t="s">
        <v>1487</v>
      </c>
      <c r="FRH803" s="193" t="s">
        <v>1487</v>
      </c>
      <c r="FRI803" s="193" t="s">
        <v>1487</v>
      </c>
      <c r="FRJ803" s="193" t="s">
        <v>1487</v>
      </c>
      <c r="FRK803" s="193" t="s">
        <v>1487</v>
      </c>
      <c r="FRL803" s="193" t="s">
        <v>1487</v>
      </c>
      <c r="FRM803" s="193" t="s">
        <v>1487</v>
      </c>
      <c r="FRN803" s="193" t="s">
        <v>1487</v>
      </c>
      <c r="FRO803" s="193" t="s">
        <v>1487</v>
      </c>
      <c r="FRP803" s="193" t="s">
        <v>1487</v>
      </c>
      <c r="FRQ803" s="193" t="s">
        <v>1487</v>
      </c>
      <c r="FRR803" s="193" t="s">
        <v>1487</v>
      </c>
      <c r="FRS803" s="193" t="s">
        <v>1487</v>
      </c>
      <c r="FRT803" s="193" t="s">
        <v>1487</v>
      </c>
      <c r="FRU803" s="193" t="s">
        <v>1487</v>
      </c>
      <c r="FRV803" s="193" t="s">
        <v>1487</v>
      </c>
      <c r="FRW803" s="193" t="s">
        <v>1487</v>
      </c>
      <c r="FRX803" s="193" t="s">
        <v>1487</v>
      </c>
      <c r="FRY803" s="193" t="s">
        <v>1487</v>
      </c>
      <c r="FRZ803" s="193" t="s">
        <v>1487</v>
      </c>
      <c r="FSA803" s="193" t="s">
        <v>1487</v>
      </c>
      <c r="FSB803" s="193" t="s">
        <v>1487</v>
      </c>
      <c r="FSC803" s="193" t="s">
        <v>1487</v>
      </c>
      <c r="FSD803" s="193" t="s">
        <v>1487</v>
      </c>
      <c r="FSE803" s="193" t="s">
        <v>1487</v>
      </c>
      <c r="FSF803" s="193" t="s">
        <v>1487</v>
      </c>
      <c r="FSG803" s="193" t="s">
        <v>1487</v>
      </c>
      <c r="FSH803" s="193" t="s">
        <v>1487</v>
      </c>
      <c r="FSI803" s="193" t="s">
        <v>1487</v>
      </c>
      <c r="FSJ803" s="193" t="s">
        <v>1487</v>
      </c>
      <c r="FSK803" s="193" t="s">
        <v>1487</v>
      </c>
      <c r="FSL803" s="193" t="s">
        <v>1487</v>
      </c>
      <c r="FSM803" s="193" t="s">
        <v>1487</v>
      </c>
      <c r="FSN803" s="193" t="s">
        <v>1487</v>
      </c>
      <c r="FSO803" s="193" t="s">
        <v>1487</v>
      </c>
      <c r="FSP803" s="193" t="s">
        <v>1487</v>
      </c>
      <c r="FSQ803" s="193" t="s">
        <v>1487</v>
      </c>
      <c r="FSR803" s="193" t="s">
        <v>1487</v>
      </c>
      <c r="FSS803" s="193" t="s">
        <v>1487</v>
      </c>
      <c r="FST803" s="193" t="s">
        <v>1487</v>
      </c>
      <c r="FSU803" s="193" t="s">
        <v>1487</v>
      </c>
      <c r="FSV803" s="193" t="s">
        <v>1487</v>
      </c>
      <c r="FSW803" s="193" t="s">
        <v>1487</v>
      </c>
      <c r="FSX803" s="193" t="s">
        <v>1487</v>
      </c>
      <c r="FSY803" s="193" t="s">
        <v>1487</v>
      </c>
      <c r="FSZ803" s="193" t="s">
        <v>1487</v>
      </c>
      <c r="FTA803" s="193" t="s">
        <v>1487</v>
      </c>
      <c r="FTB803" s="193" t="s">
        <v>1487</v>
      </c>
      <c r="FTC803" s="193" t="s">
        <v>1487</v>
      </c>
      <c r="FTD803" s="193" t="s">
        <v>1487</v>
      </c>
      <c r="FTE803" s="193" t="s">
        <v>1487</v>
      </c>
      <c r="FTF803" s="193" t="s">
        <v>1487</v>
      </c>
      <c r="FTG803" s="193" t="s">
        <v>1487</v>
      </c>
      <c r="FTH803" s="193" t="s">
        <v>1487</v>
      </c>
      <c r="FTI803" s="193" t="s">
        <v>1487</v>
      </c>
      <c r="FTJ803" s="193" t="s">
        <v>1487</v>
      </c>
      <c r="FTK803" s="193" t="s">
        <v>1487</v>
      </c>
      <c r="FTL803" s="193" t="s">
        <v>1487</v>
      </c>
      <c r="FTM803" s="193" t="s">
        <v>1487</v>
      </c>
      <c r="FTN803" s="193" t="s">
        <v>1487</v>
      </c>
      <c r="FTO803" s="193" t="s">
        <v>1487</v>
      </c>
      <c r="FTP803" s="193" t="s">
        <v>1487</v>
      </c>
      <c r="FTQ803" s="193" t="s">
        <v>1487</v>
      </c>
      <c r="FTR803" s="193" t="s">
        <v>1487</v>
      </c>
      <c r="FTS803" s="193" t="s">
        <v>1487</v>
      </c>
      <c r="FTT803" s="193" t="s">
        <v>1487</v>
      </c>
      <c r="FTU803" s="193" t="s">
        <v>1487</v>
      </c>
      <c r="FTV803" s="193" t="s">
        <v>1487</v>
      </c>
      <c r="FTW803" s="193" t="s">
        <v>1487</v>
      </c>
      <c r="FTX803" s="193" t="s">
        <v>1487</v>
      </c>
      <c r="FTY803" s="193" t="s">
        <v>1487</v>
      </c>
      <c r="FTZ803" s="193" t="s">
        <v>1487</v>
      </c>
      <c r="FUA803" s="193" t="s">
        <v>1487</v>
      </c>
      <c r="FUB803" s="193" t="s">
        <v>1487</v>
      </c>
      <c r="FUC803" s="193" t="s">
        <v>1487</v>
      </c>
      <c r="FUD803" s="193" t="s">
        <v>1487</v>
      </c>
      <c r="FUE803" s="193" t="s">
        <v>1487</v>
      </c>
      <c r="FUF803" s="193" t="s">
        <v>1487</v>
      </c>
      <c r="FUG803" s="193" t="s">
        <v>1487</v>
      </c>
      <c r="FUH803" s="193" t="s">
        <v>1487</v>
      </c>
      <c r="FUI803" s="193" t="s">
        <v>1487</v>
      </c>
      <c r="FUJ803" s="193" t="s">
        <v>1487</v>
      </c>
      <c r="FUK803" s="193" t="s">
        <v>1487</v>
      </c>
      <c r="FUL803" s="193" t="s">
        <v>1487</v>
      </c>
      <c r="FUM803" s="193" t="s">
        <v>1487</v>
      </c>
      <c r="FUN803" s="193" t="s">
        <v>1487</v>
      </c>
      <c r="FUO803" s="193" t="s">
        <v>1487</v>
      </c>
      <c r="FUP803" s="193" t="s">
        <v>1487</v>
      </c>
      <c r="FUQ803" s="193" t="s">
        <v>1487</v>
      </c>
      <c r="FUR803" s="193" t="s">
        <v>1487</v>
      </c>
      <c r="FUS803" s="193" t="s">
        <v>1487</v>
      </c>
      <c r="FUT803" s="193" t="s">
        <v>1487</v>
      </c>
      <c r="FUU803" s="193" t="s">
        <v>1487</v>
      </c>
      <c r="FUV803" s="193" t="s">
        <v>1487</v>
      </c>
      <c r="FUW803" s="193" t="s">
        <v>1487</v>
      </c>
      <c r="FUX803" s="193" t="s">
        <v>1487</v>
      </c>
      <c r="FUY803" s="193" t="s">
        <v>1487</v>
      </c>
      <c r="FUZ803" s="193" t="s">
        <v>1487</v>
      </c>
      <c r="FVA803" s="193" t="s">
        <v>1487</v>
      </c>
      <c r="FVB803" s="193" t="s">
        <v>1487</v>
      </c>
      <c r="FVC803" s="193" t="s">
        <v>1487</v>
      </c>
      <c r="FVD803" s="193" t="s">
        <v>1487</v>
      </c>
      <c r="FVE803" s="193" t="s">
        <v>1487</v>
      </c>
      <c r="FVF803" s="193" t="s">
        <v>1487</v>
      </c>
      <c r="FVG803" s="193" t="s">
        <v>1487</v>
      </c>
      <c r="FVH803" s="193" t="s">
        <v>1487</v>
      </c>
      <c r="FVI803" s="193" t="s">
        <v>1487</v>
      </c>
      <c r="FVJ803" s="193" t="s">
        <v>1487</v>
      </c>
      <c r="FVK803" s="193" t="s">
        <v>1487</v>
      </c>
      <c r="FVL803" s="193" t="s">
        <v>1487</v>
      </c>
      <c r="FVM803" s="193" t="s">
        <v>1487</v>
      </c>
      <c r="FVN803" s="193" t="s">
        <v>1487</v>
      </c>
      <c r="FVO803" s="193" t="s">
        <v>1487</v>
      </c>
      <c r="FVP803" s="193" t="s">
        <v>1487</v>
      </c>
      <c r="FVQ803" s="193" t="s">
        <v>1487</v>
      </c>
      <c r="FVR803" s="193" t="s">
        <v>1487</v>
      </c>
      <c r="FVS803" s="193" t="s">
        <v>1487</v>
      </c>
      <c r="FVT803" s="193" t="s">
        <v>1487</v>
      </c>
      <c r="FVU803" s="193" t="s">
        <v>1487</v>
      </c>
      <c r="FVV803" s="193" t="s">
        <v>1487</v>
      </c>
      <c r="FVW803" s="193" t="s">
        <v>1487</v>
      </c>
      <c r="FVX803" s="193" t="s">
        <v>1487</v>
      </c>
      <c r="FVY803" s="193" t="s">
        <v>1487</v>
      </c>
      <c r="FVZ803" s="193" t="s">
        <v>1487</v>
      </c>
      <c r="FWA803" s="193" t="s">
        <v>1487</v>
      </c>
      <c r="FWB803" s="193" t="s">
        <v>1487</v>
      </c>
      <c r="FWC803" s="193" t="s">
        <v>1487</v>
      </c>
      <c r="FWD803" s="193" t="s">
        <v>1487</v>
      </c>
      <c r="FWE803" s="193" t="s">
        <v>1487</v>
      </c>
      <c r="FWF803" s="193" t="s">
        <v>1487</v>
      </c>
      <c r="FWG803" s="193" t="s">
        <v>1487</v>
      </c>
      <c r="FWH803" s="193" t="s">
        <v>1487</v>
      </c>
      <c r="FWI803" s="193" t="s">
        <v>1487</v>
      </c>
      <c r="FWJ803" s="193" t="s">
        <v>1487</v>
      </c>
      <c r="FWK803" s="193" t="s">
        <v>1487</v>
      </c>
      <c r="FWL803" s="193" t="s">
        <v>1487</v>
      </c>
      <c r="FWM803" s="193" t="s">
        <v>1487</v>
      </c>
      <c r="FWN803" s="193" t="s">
        <v>1487</v>
      </c>
      <c r="FWO803" s="193" t="s">
        <v>1487</v>
      </c>
      <c r="FWP803" s="193" t="s">
        <v>1487</v>
      </c>
      <c r="FWQ803" s="193" t="s">
        <v>1487</v>
      </c>
      <c r="FWR803" s="193" t="s">
        <v>1487</v>
      </c>
      <c r="FWS803" s="193" t="s">
        <v>1487</v>
      </c>
      <c r="FWT803" s="193" t="s">
        <v>1487</v>
      </c>
      <c r="FWU803" s="193" t="s">
        <v>1487</v>
      </c>
      <c r="FWV803" s="193" t="s">
        <v>1487</v>
      </c>
      <c r="FWW803" s="193" t="s">
        <v>1487</v>
      </c>
      <c r="FWX803" s="193" t="s">
        <v>1487</v>
      </c>
      <c r="FWY803" s="193" t="s">
        <v>1487</v>
      </c>
      <c r="FWZ803" s="193" t="s">
        <v>1487</v>
      </c>
      <c r="FXA803" s="193" t="s">
        <v>1487</v>
      </c>
      <c r="FXB803" s="193" t="s">
        <v>1487</v>
      </c>
      <c r="FXC803" s="193" t="s">
        <v>1487</v>
      </c>
      <c r="FXD803" s="193" t="s">
        <v>1487</v>
      </c>
      <c r="FXE803" s="193" t="s">
        <v>1487</v>
      </c>
      <c r="FXF803" s="193" t="s">
        <v>1487</v>
      </c>
      <c r="FXG803" s="193" t="s">
        <v>1487</v>
      </c>
      <c r="FXH803" s="193" t="s">
        <v>1487</v>
      </c>
      <c r="FXI803" s="193" t="s">
        <v>1487</v>
      </c>
      <c r="FXJ803" s="193" t="s">
        <v>1487</v>
      </c>
      <c r="FXK803" s="193" t="s">
        <v>1487</v>
      </c>
      <c r="FXL803" s="193" t="s">
        <v>1487</v>
      </c>
      <c r="FXM803" s="193" t="s">
        <v>1487</v>
      </c>
      <c r="FXN803" s="193" t="s">
        <v>1487</v>
      </c>
      <c r="FXO803" s="193" t="s">
        <v>1487</v>
      </c>
      <c r="FXP803" s="193" t="s">
        <v>1487</v>
      </c>
      <c r="FXQ803" s="193" t="s">
        <v>1487</v>
      </c>
      <c r="FXR803" s="193" t="s">
        <v>1487</v>
      </c>
      <c r="FXS803" s="193" t="s">
        <v>1487</v>
      </c>
      <c r="FXT803" s="193" t="s">
        <v>1487</v>
      </c>
      <c r="FXU803" s="193" t="s">
        <v>1487</v>
      </c>
      <c r="FXV803" s="193" t="s">
        <v>1487</v>
      </c>
      <c r="FXW803" s="193" t="s">
        <v>1487</v>
      </c>
      <c r="FXX803" s="193" t="s">
        <v>1487</v>
      </c>
      <c r="FXY803" s="193" t="s">
        <v>1487</v>
      </c>
      <c r="FXZ803" s="193" t="s">
        <v>1487</v>
      </c>
      <c r="FYA803" s="193" t="s">
        <v>1487</v>
      </c>
      <c r="FYB803" s="193" t="s">
        <v>1487</v>
      </c>
      <c r="FYC803" s="193" t="s">
        <v>1487</v>
      </c>
      <c r="FYD803" s="193" t="s">
        <v>1487</v>
      </c>
      <c r="FYE803" s="193" t="s">
        <v>1487</v>
      </c>
      <c r="FYF803" s="193" t="s">
        <v>1487</v>
      </c>
      <c r="FYG803" s="193" t="s">
        <v>1487</v>
      </c>
      <c r="FYH803" s="193" t="s">
        <v>1487</v>
      </c>
      <c r="FYI803" s="193" t="s">
        <v>1487</v>
      </c>
      <c r="FYJ803" s="193" t="s">
        <v>1487</v>
      </c>
      <c r="FYK803" s="193" t="s">
        <v>1487</v>
      </c>
      <c r="FYL803" s="193" t="s">
        <v>1487</v>
      </c>
      <c r="FYM803" s="193" t="s">
        <v>1487</v>
      </c>
      <c r="FYN803" s="193" t="s">
        <v>1487</v>
      </c>
      <c r="FYO803" s="193" t="s">
        <v>1487</v>
      </c>
      <c r="FYP803" s="193" t="s">
        <v>1487</v>
      </c>
      <c r="FYQ803" s="193" t="s">
        <v>1487</v>
      </c>
      <c r="FYR803" s="193" t="s">
        <v>1487</v>
      </c>
      <c r="FYS803" s="193" t="s">
        <v>1487</v>
      </c>
      <c r="FYT803" s="193" t="s">
        <v>1487</v>
      </c>
      <c r="FYU803" s="193" t="s">
        <v>1487</v>
      </c>
      <c r="FYV803" s="193" t="s">
        <v>1487</v>
      </c>
      <c r="FYW803" s="193" t="s">
        <v>1487</v>
      </c>
      <c r="FYX803" s="193" t="s">
        <v>1487</v>
      </c>
      <c r="FYY803" s="193" t="s">
        <v>1487</v>
      </c>
      <c r="FYZ803" s="193" t="s">
        <v>1487</v>
      </c>
      <c r="FZA803" s="193" t="s">
        <v>1487</v>
      </c>
      <c r="FZB803" s="193" t="s">
        <v>1487</v>
      </c>
      <c r="FZC803" s="193" t="s">
        <v>1487</v>
      </c>
      <c r="FZD803" s="193" t="s">
        <v>1487</v>
      </c>
      <c r="FZE803" s="193" t="s">
        <v>1487</v>
      </c>
      <c r="FZF803" s="193" t="s">
        <v>1487</v>
      </c>
      <c r="FZG803" s="193" t="s">
        <v>1487</v>
      </c>
      <c r="FZH803" s="193" t="s">
        <v>1487</v>
      </c>
      <c r="FZI803" s="193" t="s">
        <v>1487</v>
      </c>
      <c r="FZJ803" s="193" t="s">
        <v>1487</v>
      </c>
      <c r="FZK803" s="193" t="s">
        <v>1487</v>
      </c>
      <c r="FZL803" s="193" t="s">
        <v>1487</v>
      </c>
      <c r="FZM803" s="193" t="s">
        <v>1487</v>
      </c>
      <c r="FZN803" s="193" t="s">
        <v>1487</v>
      </c>
      <c r="FZO803" s="193" t="s">
        <v>1487</v>
      </c>
      <c r="FZP803" s="193" t="s">
        <v>1487</v>
      </c>
      <c r="FZQ803" s="193" t="s">
        <v>1487</v>
      </c>
      <c r="FZR803" s="193" t="s">
        <v>1487</v>
      </c>
      <c r="FZS803" s="193" t="s">
        <v>1487</v>
      </c>
      <c r="FZT803" s="193" t="s">
        <v>1487</v>
      </c>
      <c r="FZU803" s="193" t="s">
        <v>1487</v>
      </c>
      <c r="FZV803" s="193" t="s">
        <v>1487</v>
      </c>
      <c r="FZW803" s="193" t="s">
        <v>1487</v>
      </c>
      <c r="FZX803" s="193" t="s">
        <v>1487</v>
      </c>
      <c r="FZY803" s="193" t="s">
        <v>1487</v>
      </c>
      <c r="FZZ803" s="193" t="s">
        <v>1487</v>
      </c>
      <c r="GAA803" s="193" t="s">
        <v>1487</v>
      </c>
      <c r="GAB803" s="193" t="s">
        <v>1487</v>
      </c>
      <c r="GAC803" s="193" t="s">
        <v>1487</v>
      </c>
      <c r="GAD803" s="193" t="s">
        <v>1487</v>
      </c>
      <c r="GAE803" s="193" t="s">
        <v>1487</v>
      </c>
      <c r="GAF803" s="193" t="s">
        <v>1487</v>
      </c>
      <c r="GAG803" s="193" t="s">
        <v>1487</v>
      </c>
      <c r="GAH803" s="193" t="s">
        <v>1487</v>
      </c>
      <c r="GAI803" s="193" t="s">
        <v>1487</v>
      </c>
      <c r="GAJ803" s="193" t="s">
        <v>1487</v>
      </c>
      <c r="GAK803" s="193" t="s">
        <v>1487</v>
      </c>
      <c r="GAL803" s="193" t="s">
        <v>1487</v>
      </c>
      <c r="GAM803" s="193" t="s">
        <v>1487</v>
      </c>
      <c r="GAN803" s="193" t="s">
        <v>1487</v>
      </c>
      <c r="GAO803" s="193" t="s">
        <v>1487</v>
      </c>
      <c r="GAP803" s="193" t="s">
        <v>1487</v>
      </c>
      <c r="GAQ803" s="193" t="s">
        <v>1487</v>
      </c>
      <c r="GAR803" s="193" t="s">
        <v>1487</v>
      </c>
      <c r="GAS803" s="193" t="s">
        <v>1487</v>
      </c>
      <c r="GAT803" s="193" t="s">
        <v>1487</v>
      </c>
      <c r="GAU803" s="193" t="s">
        <v>1487</v>
      </c>
      <c r="GAV803" s="193" t="s">
        <v>1487</v>
      </c>
      <c r="GAW803" s="193" t="s">
        <v>1487</v>
      </c>
      <c r="GAX803" s="193" t="s">
        <v>1487</v>
      </c>
      <c r="GAY803" s="193" t="s">
        <v>1487</v>
      </c>
      <c r="GAZ803" s="193" t="s">
        <v>1487</v>
      </c>
      <c r="GBA803" s="193" t="s">
        <v>1487</v>
      </c>
      <c r="GBB803" s="193" t="s">
        <v>1487</v>
      </c>
      <c r="GBC803" s="193" t="s">
        <v>1487</v>
      </c>
      <c r="GBD803" s="193" t="s">
        <v>1487</v>
      </c>
      <c r="GBE803" s="193" t="s">
        <v>1487</v>
      </c>
      <c r="GBF803" s="193" t="s">
        <v>1487</v>
      </c>
      <c r="GBG803" s="193" t="s">
        <v>1487</v>
      </c>
      <c r="GBH803" s="193" t="s">
        <v>1487</v>
      </c>
      <c r="GBI803" s="193" t="s">
        <v>1487</v>
      </c>
      <c r="GBJ803" s="193" t="s">
        <v>1487</v>
      </c>
      <c r="GBK803" s="193" t="s">
        <v>1487</v>
      </c>
      <c r="GBL803" s="193" t="s">
        <v>1487</v>
      </c>
      <c r="GBM803" s="193" t="s">
        <v>1487</v>
      </c>
      <c r="GBN803" s="193" t="s">
        <v>1487</v>
      </c>
      <c r="GBO803" s="193" t="s">
        <v>1487</v>
      </c>
      <c r="GBP803" s="193" t="s">
        <v>1487</v>
      </c>
      <c r="GBQ803" s="193" t="s">
        <v>1487</v>
      </c>
      <c r="GBR803" s="193" t="s">
        <v>1487</v>
      </c>
      <c r="GBS803" s="193" t="s">
        <v>1487</v>
      </c>
      <c r="GBT803" s="193" t="s">
        <v>1487</v>
      </c>
      <c r="GBU803" s="193" t="s">
        <v>1487</v>
      </c>
      <c r="GBV803" s="193" t="s">
        <v>1487</v>
      </c>
      <c r="GBW803" s="193" t="s">
        <v>1487</v>
      </c>
      <c r="GBX803" s="193" t="s">
        <v>1487</v>
      </c>
      <c r="GBY803" s="193" t="s">
        <v>1487</v>
      </c>
      <c r="GBZ803" s="193" t="s">
        <v>1487</v>
      </c>
      <c r="GCA803" s="193" t="s">
        <v>1487</v>
      </c>
      <c r="GCB803" s="193" t="s">
        <v>1487</v>
      </c>
      <c r="GCC803" s="193" t="s">
        <v>1487</v>
      </c>
      <c r="GCD803" s="193" t="s">
        <v>1487</v>
      </c>
      <c r="GCE803" s="193" t="s">
        <v>1487</v>
      </c>
      <c r="GCF803" s="193" t="s">
        <v>1487</v>
      </c>
      <c r="GCG803" s="193" t="s">
        <v>1487</v>
      </c>
      <c r="GCH803" s="193" t="s">
        <v>1487</v>
      </c>
      <c r="GCI803" s="193" t="s">
        <v>1487</v>
      </c>
      <c r="GCJ803" s="193" t="s">
        <v>1487</v>
      </c>
      <c r="GCK803" s="193" t="s">
        <v>1487</v>
      </c>
      <c r="GCL803" s="193" t="s">
        <v>1487</v>
      </c>
      <c r="GCM803" s="193" t="s">
        <v>1487</v>
      </c>
      <c r="GCN803" s="193" t="s">
        <v>1487</v>
      </c>
      <c r="GCO803" s="193" t="s">
        <v>1487</v>
      </c>
      <c r="GCP803" s="193" t="s">
        <v>1487</v>
      </c>
      <c r="GCQ803" s="193" t="s">
        <v>1487</v>
      </c>
      <c r="GCR803" s="193" t="s">
        <v>1487</v>
      </c>
      <c r="GCS803" s="193" t="s">
        <v>1487</v>
      </c>
      <c r="GCT803" s="193" t="s">
        <v>1487</v>
      </c>
      <c r="GCU803" s="193" t="s">
        <v>1487</v>
      </c>
      <c r="GCV803" s="193" t="s">
        <v>1487</v>
      </c>
      <c r="GCW803" s="193" t="s">
        <v>1487</v>
      </c>
      <c r="GCX803" s="193" t="s">
        <v>1487</v>
      </c>
      <c r="GCY803" s="193" t="s">
        <v>1487</v>
      </c>
      <c r="GCZ803" s="193" t="s">
        <v>1487</v>
      </c>
      <c r="GDA803" s="193" t="s">
        <v>1487</v>
      </c>
      <c r="GDB803" s="193" t="s">
        <v>1487</v>
      </c>
      <c r="GDC803" s="193" t="s">
        <v>1487</v>
      </c>
      <c r="GDD803" s="193" t="s">
        <v>1487</v>
      </c>
      <c r="GDE803" s="193" t="s">
        <v>1487</v>
      </c>
      <c r="GDF803" s="193" t="s">
        <v>1487</v>
      </c>
      <c r="GDG803" s="193" t="s">
        <v>1487</v>
      </c>
      <c r="GDH803" s="193" t="s">
        <v>1487</v>
      </c>
      <c r="GDI803" s="193" t="s">
        <v>1487</v>
      </c>
      <c r="GDJ803" s="193" t="s">
        <v>1487</v>
      </c>
      <c r="GDK803" s="193" t="s">
        <v>1487</v>
      </c>
      <c r="GDL803" s="193" t="s">
        <v>1487</v>
      </c>
      <c r="GDM803" s="193" t="s">
        <v>1487</v>
      </c>
      <c r="GDN803" s="193" t="s">
        <v>1487</v>
      </c>
      <c r="GDO803" s="193" t="s">
        <v>1487</v>
      </c>
      <c r="GDP803" s="193" t="s">
        <v>1487</v>
      </c>
      <c r="GDQ803" s="193" t="s">
        <v>1487</v>
      </c>
      <c r="GDR803" s="193" t="s">
        <v>1487</v>
      </c>
      <c r="GDS803" s="193" t="s">
        <v>1487</v>
      </c>
      <c r="GDT803" s="193" t="s">
        <v>1487</v>
      </c>
      <c r="GDU803" s="193" t="s">
        <v>1487</v>
      </c>
      <c r="GDV803" s="193" t="s">
        <v>1487</v>
      </c>
      <c r="GDW803" s="193" t="s">
        <v>1487</v>
      </c>
      <c r="GDX803" s="193" t="s">
        <v>1487</v>
      </c>
      <c r="GDY803" s="193" t="s">
        <v>1487</v>
      </c>
      <c r="GDZ803" s="193" t="s">
        <v>1487</v>
      </c>
      <c r="GEA803" s="193" t="s">
        <v>1487</v>
      </c>
      <c r="GEB803" s="193" t="s">
        <v>1487</v>
      </c>
      <c r="GEC803" s="193" t="s">
        <v>1487</v>
      </c>
      <c r="GED803" s="193" t="s">
        <v>1487</v>
      </c>
      <c r="GEE803" s="193" t="s">
        <v>1487</v>
      </c>
      <c r="GEF803" s="193" t="s">
        <v>1487</v>
      </c>
      <c r="GEG803" s="193" t="s">
        <v>1487</v>
      </c>
      <c r="GEH803" s="193" t="s">
        <v>1487</v>
      </c>
      <c r="GEI803" s="193" t="s">
        <v>1487</v>
      </c>
      <c r="GEJ803" s="193" t="s">
        <v>1487</v>
      </c>
      <c r="GEK803" s="193" t="s">
        <v>1487</v>
      </c>
      <c r="GEL803" s="193" t="s">
        <v>1487</v>
      </c>
      <c r="GEM803" s="193" t="s">
        <v>1487</v>
      </c>
      <c r="GEN803" s="193" t="s">
        <v>1487</v>
      </c>
      <c r="GEO803" s="193" t="s">
        <v>1487</v>
      </c>
      <c r="GEP803" s="193" t="s">
        <v>1487</v>
      </c>
      <c r="GEQ803" s="193" t="s">
        <v>1487</v>
      </c>
      <c r="GER803" s="193" t="s">
        <v>1487</v>
      </c>
      <c r="GES803" s="193" t="s">
        <v>1487</v>
      </c>
      <c r="GET803" s="193" t="s">
        <v>1487</v>
      </c>
      <c r="GEU803" s="193" t="s">
        <v>1487</v>
      </c>
      <c r="GEV803" s="193" t="s">
        <v>1487</v>
      </c>
      <c r="GEW803" s="193" t="s">
        <v>1487</v>
      </c>
      <c r="GEX803" s="193" t="s">
        <v>1487</v>
      </c>
      <c r="GEY803" s="193" t="s">
        <v>1487</v>
      </c>
      <c r="GEZ803" s="193" t="s">
        <v>1487</v>
      </c>
      <c r="GFA803" s="193" t="s">
        <v>1487</v>
      </c>
      <c r="GFB803" s="193" t="s">
        <v>1487</v>
      </c>
      <c r="GFC803" s="193" t="s">
        <v>1487</v>
      </c>
      <c r="GFD803" s="193" t="s">
        <v>1487</v>
      </c>
      <c r="GFE803" s="193" t="s">
        <v>1487</v>
      </c>
      <c r="GFF803" s="193" t="s">
        <v>1487</v>
      </c>
      <c r="GFG803" s="193" t="s">
        <v>1487</v>
      </c>
      <c r="GFH803" s="193" t="s">
        <v>1487</v>
      </c>
      <c r="GFI803" s="193" t="s">
        <v>1487</v>
      </c>
      <c r="GFJ803" s="193" t="s">
        <v>1487</v>
      </c>
      <c r="GFK803" s="193" t="s">
        <v>1487</v>
      </c>
      <c r="GFL803" s="193" t="s">
        <v>1487</v>
      </c>
      <c r="GFM803" s="193" t="s">
        <v>1487</v>
      </c>
      <c r="GFN803" s="193" t="s">
        <v>1487</v>
      </c>
      <c r="GFO803" s="193" t="s">
        <v>1487</v>
      </c>
      <c r="GFP803" s="193" t="s">
        <v>1487</v>
      </c>
      <c r="GFQ803" s="193" t="s">
        <v>1487</v>
      </c>
      <c r="GFR803" s="193" t="s">
        <v>1487</v>
      </c>
      <c r="GFS803" s="193" t="s">
        <v>1487</v>
      </c>
      <c r="GFT803" s="193" t="s">
        <v>1487</v>
      </c>
      <c r="GFU803" s="193" t="s">
        <v>1487</v>
      </c>
      <c r="GFV803" s="193" t="s">
        <v>1487</v>
      </c>
      <c r="GFW803" s="193" t="s">
        <v>1487</v>
      </c>
      <c r="GFX803" s="193" t="s">
        <v>1487</v>
      </c>
      <c r="GFY803" s="193" t="s">
        <v>1487</v>
      </c>
      <c r="GFZ803" s="193" t="s">
        <v>1487</v>
      </c>
      <c r="GGA803" s="193" t="s">
        <v>1487</v>
      </c>
      <c r="GGB803" s="193" t="s">
        <v>1487</v>
      </c>
      <c r="GGC803" s="193" t="s">
        <v>1487</v>
      </c>
      <c r="GGD803" s="193" t="s">
        <v>1487</v>
      </c>
      <c r="GGE803" s="193" t="s">
        <v>1487</v>
      </c>
      <c r="GGF803" s="193" t="s">
        <v>1487</v>
      </c>
      <c r="GGG803" s="193" t="s">
        <v>1487</v>
      </c>
      <c r="GGH803" s="193" t="s">
        <v>1487</v>
      </c>
      <c r="GGI803" s="193" t="s">
        <v>1487</v>
      </c>
      <c r="GGJ803" s="193" t="s">
        <v>1487</v>
      </c>
      <c r="GGK803" s="193" t="s">
        <v>1487</v>
      </c>
      <c r="GGL803" s="193" t="s">
        <v>1487</v>
      </c>
      <c r="GGM803" s="193" t="s">
        <v>1487</v>
      </c>
      <c r="GGN803" s="193" t="s">
        <v>1487</v>
      </c>
      <c r="GGO803" s="193" t="s">
        <v>1487</v>
      </c>
      <c r="GGP803" s="193" t="s">
        <v>1487</v>
      </c>
      <c r="GGQ803" s="193" t="s">
        <v>1487</v>
      </c>
      <c r="GGR803" s="193" t="s">
        <v>1487</v>
      </c>
      <c r="GGS803" s="193" t="s">
        <v>1487</v>
      </c>
      <c r="GGT803" s="193" t="s">
        <v>1487</v>
      </c>
      <c r="GGU803" s="193" t="s">
        <v>1487</v>
      </c>
      <c r="GGV803" s="193" t="s">
        <v>1487</v>
      </c>
      <c r="GGW803" s="193" t="s">
        <v>1487</v>
      </c>
      <c r="GGX803" s="193" t="s">
        <v>1487</v>
      </c>
      <c r="GGY803" s="193" t="s">
        <v>1487</v>
      </c>
      <c r="GGZ803" s="193" t="s">
        <v>1487</v>
      </c>
      <c r="GHA803" s="193" t="s">
        <v>1487</v>
      </c>
      <c r="GHB803" s="193" t="s">
        <v>1487</v>
      </c>
      <c r="GHC803" s="193" t="s">
        <v>1487</v>
      </c>
      <c r="GHD803" s="193" t="s">
        <v>1487</v>
      </c>
      <c r="GHE803" s="193" t="s">
        <v>1487</v>
      </c>
      <c r="GHF803" s="193" t="s">
        <v>1487</v>
      </c>
      <c r="GHG803" s="193" t="s">
        <v>1487</v>
      </c>
      <c r="GHH803" s="193" t="s">
        <v>1487</v>
      </c>
      <c r="GHI803" s="193" t="s">
        <v>1487</v>
      </c>
      <c r="GHJ803" s="193" t="s">
        <v>1487</v>
      </c>
      <c r="GHK803" s="193" t="s">
        <v>1487</v>
      </c>
      <c r="GHL803" s="193" t="s">
        <v>1487</v>
      </c>
      <c r="GHM803" s="193" t="s">
        <v>1487</v>
      </c>
      <c r="GHN803" s="193" t="s">
        <v>1487</v>
      </c>
      <c r="GHO803" s="193" t="s">
        <v>1487</v>
      </c>
      <c r="GHP803" s="193" t="s">
        <v>1487</v>
      </c>
      <c r="GHQ803" s="193" t="s">
        <v>1487</v>
      </c>
      <c r="GHR803" s="193" t="s">
        <v>1487</v>
      </c>
      <c r="GHS803" s="193" t="s">
        <v>1487</v>
      </c>
      <c r="GHT803" s="193" t="s">
        <v>1487</v>
      </c>
      <c r="GHU803" s="193" t="s">
        <v>1487</v>
      </c>
      <c r="GHV803" s="193" t="s">
        <v>1487</v>
      </c>
      <c r="GHW803" s="193" t="s">
        <v>1487</v>
      </c>
      <c r="GHX803" s="193" t="s">
        <v>1487</v>
      </c>
      <c r="GHY803" s="193" t="s">
        <v>1487</v>
      </c>
      <c r="GHZ803" s="193" t="s">
        <v>1487</v>
      </c>
      <c r="GIA803" s="193" t="s">
        <v>1487</v>
      </c>
      <c r="GIB803" s="193" t="s">
        <v>1487</v>
      </c>
      <c r="GIC803" s="193" t="s">
        <v>1487</v>
      </c>
      <c r="GID803" s="193" t="s">
        <v>1487</v>
      </c>
      <c r="GIE803" s="193" t="s">
        <v>1487</v>
      </c>
      <c r="GIF803" s="193" t="s">
        <v>1487</v>
      </c>
      <c r="GIG803" s="193" t="s">
        <v>1487</v>
      </c>
      <c r="GIH803" s="193" t="s">
        <v>1487</v>
      </c>
      <c r="GII803" s="193" t="s">
        <v>1487</v>
      </c>
      <c r="GIJ803" s="193" t="s">
        <v>1487</v>
      </c>
      <c r="GIK803" s="193" t="s">
        <v>1487</v>
      </c>
      <c r="GIL803" s="193" t="s">
        <v>1487</v>
      </c>
      <c r="GIM803" s="193" t="s">
        <v>1487</v>
      </c>
      <c r="GIN803" s="193" t="s">
        <v>1487</v>
      </c>
      <c r="GIO803" s="193" t="s">
        <v>1487</v>
      </c>
      <c r="GIP803" s="193" t="s">
        <v>1487</v>
      </c>
      <c r="GIQ803" s="193" t="s">
        <v>1487</v>
      </c>
      <c r="GIR803" s="193" t="s">
        <v>1487</v>
      </c>
      <c r="GIS803" s="193" t="s">
        <v>1487</v>
      </c>
      <c r="GIT803" s="193" t="s">
        <v>1487</v>
      </c>
      <c r="GIU803" s="193" t="s">
        <v>1487</v>
      </c>
      <c r="GIV803" s="193" t="s">
        <v>1487</v>
      </c>
      <c r="GIW803" s="193" t="s">
        <v>1487</v>
      </c>
      <c r="GIX803" s="193" t="s">
        <v>1487</v>
      </c>
      <c r="GIY803" s="193" t="s">
        <v>1487</v>
      </c>
      <c r="GIZ803" s="193" t="s">
        <v>1487</v>
      </c>
      <c r="GJA803" s="193" t="s">
        <v>1487</v>
      </c>
      <c r="GJB803" s="193" t="s">
        <v>1487</v>
      </c>
      <c r="GJC803" s="193" t="s">
        <v>1487</v>
      </c>
      <c r="GJD803" s="193" t="s">
        <v>1487</v>
      </c>
      <c r="GJE803" s="193" t="s">
        <v>1487</v>
      </c>
      <c r="GJF803" s="193" t="s">
        <v>1487</v>
      </c>
      <c r="GJG803" s="193" t="s">
        <v>1487</v>
      </c>
      <c r="GJH803" s="193" t="s">
        <v>1487</v>
      </c>
      <c r="GJI803" s="193" t="s">
        <v>1487</v>
      </c>
      <c r="GJJ803" s="193" t="s">
        <v>1487</v>
      </c>
      <c r="GJK803" s="193" t="s">
        <v>1487</v>
      </c>
      <c r="GJL803" s="193" t="s">
        <v>1487</v>
      </c>
      <c r="GJM803" s="193" t="s">
        <v>1487</v>
      </c>
      <c r="GJN803" s="193" t="s">
        <v>1487</v>
      </c>
      <c r="GJO803" s="193" t="s">
        <v>1487</v>
      </c>
      <c r="GJP803" s="193" t="s">
        <v>1487</v>
      </c>
      <c r="GJQ803" s="193" t="s">
        <v>1487</v>
      </c>
      <c r="GJR803" s="193" t="s">
        <v>1487</v>
      </c>
      <c r="GJS803" s="193" t="s">
        <v>1487</v>
      </c>
      <c r="GJT803" s="193" t="s">
        <v>1487</v>
      </c>
      <c r="GJU803" s="193" t="s">
        <v>1487</v>
      </c>
      <c r="GJV803" s="193" t="s">
        <v>1487</v>
      </c>
      <c r="GJW803" s="193" t="s">
        <v>1487</v>
      </c>
      <c r="GJX803" s="193" t="s">
        <v>1487</v>
      </c>
      <c r="GJY803" s="193" t="s">
        <v>1487</v>
      </c>
      <c r="GJZ803" s="193" t="s">
        <v>1487</v>
      </c>
      <c r="GKA803" s="193" t="s">
        <v>1487</v>
      </c>
      <c r="GKB803" s="193" t="s">
        <v>1487</v>
      </c>
      <c r="GKC803" s="193" t="s">
        <v>1487</v>
      </c>
      <c r="GKD803" s="193" t="s">
        <v>1487</v>
      </c>
      <c r="GKE803" s="193" t="s">
        <v>1487</v>
      </c>
      <c r="GKF803" s="193" t="s">
        <v>1487</v>
      </c>
      <c r="GKG803" s="193" t="s">
        <v>1487</v>
      </c>
      <c r="GKH803" s="193" t="s">
        <v>1487</v>
      </c>
      <c r="GKI803" s="193" t="s">
        <v>1487</v>
      </c>
      <c r="GKJ803" s="193" t="s">
        <v>1487</v>
      </c>
      <c r="GKK803" s="193" t="s">
        <v>1487</v>
      </c>
      <c r="GKL803" s="193" t="s">
        <v>1487</v>
      </c>
      <c r="GKM803" s="193" t="s">
        <v>1487</v>
      </c>
      <c r="GKN803" s="193" t="s">
        <v>1487</v>
      </c>
      <c r="GKO803" s="193" t="s">
        <v>1487</v>
      </c>
      <c r="GKP803" s="193" t="s">
        <v>1487</v>
      </c>
      <c r="GKQ803" s="193" t="s">
        <v>1487</v>
      </c>
      <c r="GKR803" s="193" t="s">
        <v>1487</v>
      </c>
      <c r="GKS803" s="193" t="s">
        <v>1487</v>
      </c>
      <c r="GKT803" s="193" t="s">
        <v>1487</v>
      </c>
      <c r="GKU803" s="193" t="s">
        <v>1487</v>
      </c>
      <c r="GKV803" s="193" t="s">
        <v>1487</v>
      </c>
      <c r="GKW803" s="193" t="s">
        <v>1487</v>
      </c>
      <c r="GKX803" s="193" t="s">
        <v>1487</v>
      </c>
      <c r="GKY803" s="193" t="s">
        <v>1487</v>
      </c>
      <c r="GKZ803" s="193" t="s">
        <v>1487</v>
      </c>
      <c r="GLA803" s="193" t="s">
        <v>1487</v>
      </c>
      <c r="GLB803" s="193" t="s">
        <v>1487</v>
      </c>
      <c r="GLC803" s="193" t="s">
        <v>1487</v>
      </c>
      <c r="GLD803" s="193" t="s">
        <v>1487</v>
      </c>
      <c r="GLE803" s="193" t="s">
        <v>1487</v>
      </c>
      <c r="GLF803" s="193" t="s">
        <v>1487</v>
      </c>
      <c r="GLG803" s="193" t="s">
        <v>1487</v>
      </c>
      <c r="GLH803" s="193" t="s">
        <v>1487</v>
      </c>
      <c r="GLI803" s="193" t="s">
        <v>1487</v>
      </c>
      <c r="GLJ803" s="193" t="s">
        <v>1487</v>
      </c>
      <c r="GLK803" s="193" t="s">
        <v>1487</v>
      </c>
      <c r="GLL803" s="193" t="s">
        <v>1487</v>
      </c>
      <c r="GLM803" s="193" t="s">
        <v>1487</v>
      </c>
      <c r="GLN803" s="193" t="s">
        <v>1487</v>
      </c>
      <c r="GLO803" s="193" t="s">
        <v>1487</v>
      </c>
      <c r="GLP803" s="193" t="s">
        <v>1487</v>
      </c>
      <c r="GLQ803" s="193" t="s">
        <v>1487</v>
      </c>
      <c r="GLR803" s="193" t="s">
        <v>1487</v>
      </c>
      <c r="GLS803" s="193" t="s">
        <v>1487</v>
      </c>
      <c r="GLT803" s="193" t="s">
        <v>1487</v>
      </c>
      <c r="GLU803" s="193" t="s">
        <v>1487</v>
      </c>
      <c r="GLV803" s="193" t="s">
        <v>1487</v>
      </c>
      <c r="GLW803" s="193" t="s">
        <v>1487</v>
      </c>
      <c r="GLX803" s="193" t="s">
        <v>1487</v>
      </c>
      <c r="GLY803" s="193" t="s">
        <v>1487</v>
      </c>
      <c r="GLZ803" s="193" t="s">
        <v>1487</v>
      </c>
      <c r="GMA803" s="193" t="s">
        <v>1487</v>
      </c>
      <c r="GMB803" s="193" t="s">
        <v>1487</v>
      </c>
      <c r="GMC803" s="193" t="s">
        <v>1487</v>
      </c>
      <c r="GMD803" s="193" t="s">
        <v>1487</v>
      </c>
      <c r="GME803" s="193" t="s">
        <v>1487</v>
      </c>
      <c r="GMF803" s="193" t="s">
        <v>1487</v>
      </c>
      <c r="GMG803" s="193" t="s">
        <v>1487</v>
      </c>
      <c r="GMH803" s="193" t="s">
        <v>1487</v>
      </c>
      <c r="GMI803" s="193" t="s">
        <v>1487</v>
      </c>
      <c r="GMJ803" s="193" t="s">
        <v>1487</v>
      </c>
      <c r="GMK803" s="193" t="s">
        <v>1487</v>
      </c>
      <c r="GML803" s="193" t="s">
        <v>1487</v>
      </c>
      <c r="GMM803" s="193" t="s">
        <v>1487</v>
      </c>
      <c r="GMN803" s="193" t="s">
        <v>1487</v>
      </c>
      <c r="GMO803" s="193" t="s">
        <v>1487</v>
      </c>
      <c r="GMP803" s="193" t="s">
        <v>1487</v>
      </c>
      <c r="GMQ803" s="193" t="s">
        <v>1487</v>
      </c>
      <c r="GMR803" s="193" t="s">
        <v>1487</v>
      </c>
      <c r="GMS803" s="193" t="s">
        <v>1487</v>
      </c>
      <c r="GMT803" s="193" t="s">
        <v>1487</v>
      </c>
      <c r="GMU803" s="193" t="s">
        <v>1487</v>
      </c>
      <c r="GMV803" s="193" t="s">
        <v>1487</v>
      </c>
      <c r="GMW803" s="193" t="s">
        <v>1487</v>
      </c>
      <c r="GMX803" s="193" t="s">
        <v>1487</v>
      </c>
      <c r="GMY803" s="193" t="s">
        <v>1487</v>
      </c>
      <c r="GMZ803" s="193" t="s">
        <v>1487</v>
      </c>
      <c r="GNA803" s="193" t="s">
        <v>1487</v>
      </c>
      <c r="GNB803" s="193" t="s">
        <v>1487</v>
      </c>
      <c r="GNC803" s="193" t="s">
        <v>1487</v>
      </c>
      <c r="GND803" s="193" t="s">
        <v>1487</v>
      </c>
      <c r="GNE803" s="193" t="s">
        <v>1487</v>
      </c>
      <c r="GNF803" s="193" t="s">
        <v>1487</v>
      </c>
      <c r="GNG803" s="193" t="s">
        <v>1487</v>
      </c>
      <c r="GNH803" s="193" t="s">
        <v>1487</v>
      </c>
      <c r="GNI803" s="193" t="s">
        <v>1487</v>
      </c>
      <c r="GNJ803" s="193" t="s">
        <v>1487</v>
      </c>
      <c r="GNK803" s="193" t="s">
        <v>1487</v>
      </c>
      <c r="GNL803" s="193" t="s">
        <v>1487</v>
      </c>
      <c r="GNM803" s="193" t="s">
        <v>1487</v>
      </c>
      <c r="GNN803" s="193" t="s">
        <v>1487</v>
      </c>
      <c r="GNO803" s="193" t="s">
        <v>1487</v>
      </c>
      <c r="GNP803" s="193" t="s">
        <v>1487</v>
      </c>
      <c r="GNQ803" s="193" t="s">
        <v>1487</v>
      </c>
      <c r="GNR803" s="193" t="s">
        <v>1487</v>
      </c>
      <c r="GNS803" s="193" t="s">
        <v>1487</v>
      </c>
      <c r="GNT803" s="193" t="s">
        <v>1487</v>
      </c>
      <c r="GNU803" s="193" t="s">
        <v>1487</v>
      </c>
      <c r="GNV803" s="193" t="s">
        <v>1487</v>
      </c>
      <c r="GNW803" s="193" t="s">
        <v>1487</v>
      </c>
      <c r="GNX803" s="193" t="s">
        <v>1487</v>
      </c>
      <c r="GNY803" s="193" t="s">
        <v>1487</v>
      </c>
      <c r="GNZ803" s="193" t="s">
        <v>1487</v>
      </c>
      <c r="GOA803" s="193" t="s">
        <v>1487</v>
      </c>
      <c r="GOB803" s="193" t="s">
        <v>1487</v>
      </c>
      <c r="GOC803" s="193" t="s">
        <v>1487</v>
      </c>
      <c r="GOD803" s="193" t="s">
        <v>1487</v>
      </c>
      <c r="GOE803" s="193" t="s">
        <v>1487</v>
      </c>
      <c r="GOF803" s="193" t="s">
        <v>1487</v>
      </c>
      <c r="GOG803" s="193" t="s">
        <v>1487</v>
      </c>
      <c r="GOH803" s="193" t="s">
        <v>1487</v>
      </c>
      <c r="GOI803" s="193" t="s">
        <v>1487</v>
      </c>
      <c r="GOJ803" s="193" t="s">
        <v>1487</v>
      </c>
      <c r="GOK803" s="193" t="s">
        <v>1487</v>
      </c>
      <c r="GOL803" s="193" t="s">
        <v>1487</v>
      </c>
      <c r="GOM803" s="193" t="s">
        <v>1487</v>
      </c>
      <c r="GON803" s="193" t="s">
        <v>1487</v>
      </c>
      <c r="GOO803" s="193" t="s">
        <v>1487</v>
      </c>
      <c r="GOP803" s="193" t="s">
        <v>1487</v>
      </c>
      <c r="GOQ803" s="193" t="s">
        <v>1487</v>
      </c>
      <c r="GOR803" s="193" t="s">
        <v>1487</v>
      </c>
      <c r="GOS803" s="193" t="s">
        <v>1487</v>
      </c>
      <c r="GOT803" s="193" t="s">
        <v>1487</v>
      </c>
      <c r="GOU803" s="193" t="s">
        <v>1487</v>
      </c>
      <c r="GOV803" s="193" t="s">
        <v>1487</v>
      </c>
      <c r="GOW803" s="193" t="s">
        <v>1487</v>
      </c>
      <c r="GOX803" s="193" t="s">
        <v>1487</v>
      </c>
      <c r="GOY803" s="193" t="s">
        <v>1487</v>
      </c>
      <c r="GOZ803" s="193" t="s">
        <v>1487</v>
      </c>
      <c r="GPA803" s="193" t="s">
        <v>1487</v>
      </c>
      <c r="GPB803" s="193" t="s">
        <v>1487</v>
      </c>
      <c r="GPC803" s="193" t="s">
        <v>1487</v>
      </c>
      <c r="GPD803" s="193" t="s">
        <v>1487</v>
      </c>
      <c r="GPE803" s="193" t="s">
        <v>1487</v>
      </c>
      <c r="GPF803" s="193" t="s">
        <v>1487</v>
      </c>
      <c r="GPG803" s="193" t="s">
        <v>1487</v>
      </c>
      <c r="GPH803" s="193" t="s">
        <v>1487</v>
      </c>
      <c r="GPI803" s="193" t="s">
        <v>1487</v>
      </c>
      <c r="GPJ803" s="193" t="s">
        <v>1487</v>
      </c>
      <c r="GPK803" s="193" t="s">
        <v>1487</v>
      </c>
      <c r="GPL803" s="193" t="s">
        <v>1487</v>
      </c>
      <c r="GPM803" s="193" t="s">
        <v>1487</v>
      </c>
      <c r="GPN803" s="193" t="s">
        <v>1487</v>
      </c>
      <c r="GPO803" s="193" t="s">
        <v>1487</v>
      </c>
      <c r="GPP803" s="193" t="s">
        <v>1487</v>
      </c>
      <c r="GPQ803" s="193" t="s">
        <v>1487</v>
      </c>
      <c r="GPR803" s="193" t="s">
        <v>1487</v>
      </c>
      <c r="GPS803" s="193" t="s">
        <v>1487</v>
      </c>
      <c r="GPT803" s="193" t="s">
        <v>1487</v>
      </c>
      <c r="GPU803" s="193" t="s">
        <v>1487</v>
      </c>
      <c r="GPV803" s="193" t="s">
        <v>1487</v>
      </c>
      <c r="GPW803" s="193" t="s">
        <v>1487</v>
      </c>
      <c r="GPX803" s="193" t="s">
        <v>1487</v>
      </c>
      <c r="GPY803" s="193" t="s">
        <v>1487</v>
      </c>
      <c r="GPZ803" s="193" t="s">
        <v>1487</v>
      </c>
      <c r="GQA803" s="193" t="s">
        <v>1487</v>
      </c>
      <c r="GQB803" s="193" t="s">
        <v>1487</v>
      </c>
      <c r="GQC803" s="193" t="s">
        <v>1487</v>
      </c>
      <c r="GQD803" s="193" t="s">
        <v>1487</v>
      </c>
      <c r="GQE803" s="193" t="s">
        <v>1487</v>
      </c>
      <c r="GQF803" s="193" t="s">
        <v>1487</v>
      </c>
      <c r="GQG803" s="193" t="s">
        <v>1487</v>
      </c>
      <c r="GQH803" s="193" t="s">
        <v>1487</v>
      </c>
      <c r="GQI803" s="193" t="s">
        <v>1487</v>
      </c>
      <c r="GQJ803" s="193" t="s">
        <v>1487</v>
      </c>
      <c r="GQK803" s="193" t="s">
        <v>1487</v>
      </c>
      <c r="GQL803" s="193" t="s">
        <v>1487</v>
      </c>
      <c r="GQM803" s="193" t="s">
        <v>1487</v>
      </c>
      <c r="GQN803" s="193" t="s">
        <v>1487</v>
      </c>
      <c r="GQO803" s="193" t="s">
        <v>1487</v>
      </c>
      <c r="GQP803" s="193" t="s">
        <v>1487</v>
      </c>
      <c r="GQQ803" s="193" t="s">
        <v>1487</v>
      </c>
      <c r="GQR803" s="193" t="s">
        <v>1487</v>
      </c>
      <c r="GQS803" s="193" t="s">
        <v>1487</v>
      </c>
      <c r="GQT803" s="193" t="s">
        <v>1487</v>
      </c>
      <c r="GQU803" s="193" t="s">
        <v>1487</v>
      </c>
      <c r="GQV803" s="193" t="s">
        <v>1487</v>
      </c>
      <c r="GQW803" s="193" t="s">
        <v>1487</v>
      </c>
      <c r="GQX803" s="193" t="s">
        <v>1487</v>
      </c>
      <c r="GQY803" s="193" t="s">
        <v>1487</v>
      </c>
      <c r="GQZ803" s="193" t="s">
        <v>1487</v>
      </c>
      <c r="GRA803" s="193" t="s">
        <v>1487</v>
      </c>
      <c r="GRB803" s="193" t="s">
        <v>1487</v>
      </c>
      <c r="GRC803" s="193" t="s">
        <v>1487</v>
      </c>
      <c r="GRD803" s="193" t="s">
        <v>1487</v>
      </c>
      <c r="GRE803" s="193" t="s">
        <v>1487</v>
      </c>
      <c r="GRF803" s="193" t="s">
        <v>1487</v>
      </c>
      <c r="GRG803" s="193" t="s">
        <v>1487</v>
      </c>
      <c r="GRH803" s="193" t="s">
        <v>1487</v>
      </c>
      <c r="GRI803" s="193" t="s">
        <v>1487</v>
      </c>
      <c r="GRJ803" s="193" t="s">
        <v>1487</v>
      </c>
      <c r="GRK803" s="193" t="s">
        <v>1487</v>
      </c>
      <c r="GRL803" s="193" t="s">
        <v>1487</v>
      </c>
      <c r="GRM803" s="193" t="s">
        <v>1487</v>
      </c>
      <c r="GRN803" s="193" t="s">
        <v>1487</v>
      </c>
      <c r="GRO803" s="193" t="s">
        <v>1487</v>
      </c>
      <c r="GRP803" s="193" t="s">
        <v>1487</v>
      </c>
      <c r="GRQ803" s="193" t="s">
        <v>1487</v>
      </c>
      <c r="GRR803" s="193" t="s">
        <v>1487</v>
      </c>
      <c r="GRS803" s="193" t="s">
        <v>1487</v>
      </c>
      <c r="GRT803" s="193" t="s">
        <v>1487</v>
      </c>
      <c r="GRU803" s="193" t="s">
        <v>1487</v>
      </c>
      <c r="GRV803" s="193" t="s">
        <v>1487</v>
      </c>
      <c r="GRW803" s="193" t="s">
        <v>1487</v>
      </c>
      <c r="GRX803" s="193" t="s">
        <v>1487</v>
      </c>
      <c r="GRY803" s="193" t="s">
        <v>1487</v>
      </c>
      <c r="GRZ803" s="193" t="s">
        <v>1487</v>
      </c>
      <c r="GSA803" s="193" t="s">
        <v>1487</v>
      </c>
      <c r="GSB803" s="193" t="s">
        <v>1487</v>
      </c>
      <c r="GSC803" s="193" t="s">
        <v>1487</v>
      </c>
      <c r="GSD803" s="193" t="s">
        <v>1487</v>
      </c>
      <c r="GSE803" s="193" t="s">
        <v>1487</v>
      </c>
      <c r="GSF803" s="193" t="s">
        <v>1487</v>
      </c>
      <c r="GSG803" s="193" t="s">
        <v>1487</v>
      </c>
      <c r="GSH803" s="193" t="s">
        <v>1487</v>
      </c>
      <c r="GSI803" s="193" t="s">
        <v>1487</v>
      </c>
      <c r="GSJ803" s="193" t="s">
        <v>1487</v>
      </c>
      <c r="GSK803" s="193" t="s">
        <v>1487</v>
      </c>
      <c r="GSL803" s="193" t="s">
        <v>1487</v>
      </c>
      <c r="GSM803" s="193" t="s">
        <v>1487</v>
      </c>
      <c r="GSN803" s="193" t="s">
        <v>1487</v>
      </c>
      <c r="GSO803" s="193" t="s">
        <v>1487</v>
      </c>
      <c r="GSP803" s="193" t="s">
        <v>1487</v>
      </c>
      <c r="GSQ803" s="193" t="s">
        <v>1487</v>
      </c>
      <c r="GSR803" s="193" t="s">
        <v>1487</v>
      </c>
      <c r="GSS803" s="193" t="s">
        <v>1487</v>
      </c>
      <c r="GST803" s="193" t="s">
        <v>1487</v>
      </c>
      <c r="GSU803" s="193" t="s">
        <v>1487</v>
      </c>
      <c r="GSV803" s="193" t="s">
        <v>1487</v>
      </c>
      <c r="GSW803" s="193" t="s">
        <v>1487</v>
      </c>
      <c r="GSX803" s="193" t="s">
        <v>1487</v>
      </c>
      <c r="GSY803" s="193" t="s">
        <v>1487</v>
      </c>
      <c r="GSZ803" s="193" t="s">
        <v>1487</v>
      </c>
      <c r="GTA803" s="193" t="s">
        <v>1487</v>
      </c>
      <c r="GTB803" s="193" t="s">
        <v>1487</v>
      </c>
      <c r="GTC803" s="193" t="s">
        <v>1487</v>
      </c>
      <c r="GTD803" s="193" t="s">
        <v>1487</v>
      </c>
      <c r="GTE803" s="193" t="s">
        <v>1487</v>
      </c>
      <c r="GTF803" s="193" t="s">
        <v>1487</v>
      </c>
      <c r="GTG803" s="193" t="s">
        <v>1487</v>
      </c>
      <c r="GTH803" s="193" t="s">
        <v>1487</v>
      </c>
      <c r="GTI803" s="193" t="s">
        <v>1487</v>
      </c>
      <c r="GTJ803" s="193" t="s">
        <v>1487</v>
      </c>
      <c r="GTK803" s="193" t="s">
        <v>1487</v>
      </c>
      <c r="GTL803" s="193" t="s">
        <v>1487</v>
      </c>
      <c r="GTM803" s="193" t="s">
        <v>1487</v>
      </c>
      <c r="GTN803" s="193" t="s">
        <v>1487</v>
      </c>
      <c r="GTO803" s="193" t="s">
        <v>1487</v>
      </c>
      <c r="GTP803" s="193" t="s">
        <v>1487</v>
      </c>
      <c r="GTQ803" s="193" t="s">
        <v>1487</v>
      </c>
      <c r="GTR803" s="193" t="s">
        <v>1487</v>
      </c>
      <c r="GTS803" s="193" t="s">
        <v>1487</v>
      </c>
      <c r="GTT803" s="193" t="s">
        <v>1487</v>
      </c>
      <c r="GTU803" s="193" t="s">
        <v>1487</v>
      </c>
      <c r="GTV803" s="193" t="s">
        <v>1487</v>
      </c>
      <c r="GTW803" s="193" t="s">
        <v>1487</v>
      </c>
      <c r="GTX803" s="193" t="s">
        <v>1487</v>
      </c>
      <c r="GTY803" s="193" t="s">
        <v>1487</v>
      </c>
      <c r="GTZ803" s="193" t="s">
        <v>1487</v>
      </c>
      <c r="GUA803" s="193" t="s">
        <v>1487</v>
      </c>
      <c r="GUB803" s="193" t="s">
        <v>1487</v>
      </c>
      <c r="GUC803" s="193" t="s">
        <v>1487</v>
      </c>
      <c r="GUD803" s="193" t="s">
        <v>1487</v>
      </c>
      <c r="GUE803" s="193" t="s">
        <v>1487</v>
      </c>
      <c r="GUF803" s="193" t="s">
        <v>1487</v>
      </c>
      <c r="GUG803" s="193" t="s">
        <v>1487</v>
      </c>
      <c r="GUH803" s="193" t="s">
        <v>1487</v>
      </c>
      <c r="GUI803" s="193" t="s">
        <v>1487</v>
      </c>
      <c r="GUJ803" s="193" t="s">
        <v>1487</v>
      </c>
      <c r="GUK803" s="193" t="s">
        <v>1487</v>
      </c>
      <c r="GUL803" s="193" t="s">
        <v>1487</v>
      </c>
      <c r="GUM803" s="193" t="s">
        <v>1487</v>
      </c>
      <c r="GUN803" s="193" t="s">
        <v>1487</v>
      </c>
      <c r="GUO803" s="193" t="s">
        <v>1487</v>
      </c>
      <c r="GUP803" s="193" t="s">
        <v>1487</v>
      </c>
      <c r="GUQ803" s="193" t="s">
        <v>1487</v>
      </c>
      <c r="GUR803" s="193" t="s">
        <v>1487</v>
      </c>
      <c r="GUS803" s="193" t="s">
        <v>1487</v>
      </c>
      <c r="GUT803" s="193" t="s">
        <v>1487</v>
      </c>
      <c r="GUU803" s="193" t="s">
        <v>1487</v>
      </c>
      <c r="GUV803" s="193" t="s">
        <v>1487</v>
      </c>
      <c r="GUW803" s="193" t="s">
        <v>1487</v>
      </c>
      <c r="GUX803" s="193" t="s">
        <v>1487</v>
      </c>
      <c r="GUY803" s="193" t="s">
        <v>1487</v>
      </c>
      <c r="GUZ803" s="193" t="s">
        <v>1487</v>
      </c>
      <c r="GVA803" s="193" t="s">
        <v>1487</v>
      </c>
      <c r="GVB803" s="193" t="s">
        <v>1487</v>
      </c>
      <c r="GVC803" s="193" t="s">
        <v>1487</v>
      </c>
      <c r="GVD803" s="193" t="s">
        <v>1487</v>
      </c>
      <c r="GVE803" s="193" t="s">
        <v>1487</v>
      </c>
      <c r="GVF803" s="193" t="s">
        <v>1487</v>
      </c>
      <c r="GVG803" s="193" t="s">
        <v>1487</v>
      </c>
      <c r="GVH803" s="193" t="s">
        <v>1487</v>
      </c>
      <c r="GVI803" s="193" t="s">
        <v>1487</v>
      </c>
      <c r="GVJ803" s="193" t="s">
        <v>1487</v>
      </c>
      <c r="GVK803" s="193" t="s">
        <v>1487</v>
      </c>
      <c r="GVL803" s="193" t="s">
        <v>1487</v>
      </c>
      <c r="GVM803" s="193" t="s">
        <v>1487</v>
      </c>
      <c r="GVN803" s="193" t="s">
        <v>1487</v>
      </c>
      <c r="GVO803" s="193" t="s">
        <v>1487</v>
      </c>
      <c r="GVP803" s="193" t="s">
        <v>1487</v>
      </c>
      <c r="GVQ803" s="193" t="s">
        <v>1487</v>
      </c>
      <c r="GVR803" s="193" t="s">
        <v>1487</v>
      </c>
      <c r="GVS803" s="193" t="s">
        <v>1487</v>
      </c>
      <c r="GVT803" s="193" t="s">
        <v>1487</v>
      </c>
      <c r="GVU803" s="193" t="s">
        <v>1487</v>
      </c>
      <c r="GVV803" s="193" t="s">
        <v>1487</v>
      </c>
      <c r="GVW803" s="193" t="s">
        <v>1487</v>
      </c>
      <c r="GVX803" s="193" t="s">
        <v>1487</v>
      </c>
      <c r="GVY803" s="193" t="s">
        <v>1487</v>
      </c>
      <c r="GVZ803" s="193" t="s">
        <v>1487</v>
      </c>
      <c r="GWA803" s="193" t="s">
        <v>1487</v>
      </c>
      <c r="GWB803" s="193" t="s">
        <v>1487</v>
      </c>
      <c r="GWC803" s="193" t="s">
        <v>1487</v>
      </c>
      <c r="GWD803" s="193" t="s">
        <v>1487</v>
      </c>
      <c r="GWE803" s="193" t="s">
        <v>1487</v>
      </c>
      <c r="GWF803" s="193" t="s">
        <v>1487</v>
      </c>
      <c r="GWG803" s="193" t="s">
        <v>1487</v>
      </c>
      <c r="GWH803" s="193" t="s">
        <v>1487</v>
      </c>
      <c r="GWI803" s="193" t="s">
        <v>1487</v>
      </c>
      <c r="GWJ803" s="193" t="s">
        <v>1487</v>
      </c>
      <c r="GWK803" s="193" t="s">
        <v>1487</v>
      </c>
      <c r="GWL803" s="193" t="s">
        <v>1487</v>
      </c>
      <c r="GWM803" s="193" t="s">
        <v>1487</v>
      </c>
      <c r="GWN803" s="193" t="s">
        <v>1487</v>
      </c>
      <c r="GWO803" s="193" t="s">
        <v>1487</v>
      </c>
      <c r="GWP803" s="193" t="s">
        <v>1487</v>
      </c>
      <c r="GWQ803" s="193" t="s">
        <v>1487</v>
      </c>
      <c r="GWR803" s="193" t="s">
        <v>1487</v>
      </c>
      <c r="GWS803" s="193" t="s">
        <v>1487</v>
      </c>
      <c r="GWT803" s="193" t="s">
        <v>1487</v>
      </c>
      <c r="GWU803" s="193" t="s">
        <v>1487</v>
      </c>
      <c r="GWV803" s="193" t="s">
        <v>1487</v>
      </c>
      <c r="GWW803" s="193" t="s">
        <v>1487</v>
      </c>
      <c r="GWX803" s="193" t="s">
        <v>1487</v>
      </c>
      <c r="GWY803" s="193" t="s">
        <v>1487</v>
      </c>
      <c r="GWZ803" s="193" t="s">
        <v>1487</v>
      </c>
      <c r="GXA803" s="193" t="s">
        <v>1487</v>
      </c>
      <c r="GXB803" s="193" t="s">
        <v>1487</v>
      </c>
      <c r="GXC803" s="193" t="s">
        <v>1487</v>
      </c>
      <c r="GXD803" s="193" t="s">
        <v>1487</v>
      </c>
      <c r="GXE803" s="193" t="s">
        <v>1487</v>
      </c>
      <c r="GXF803" s="193" t="s">
        <v>1487</v>
      </c>
      <c r="GXG803" s="193" t="s">
        <v>1487</v>
      </c>
      <c r="GXH803" s="193" t="s">
        <v>1487</v>
      </c>
      <c r="GXI803" s="193" t="s">
        <v>1487</v>
      </c>
      <c r="GXJ803" s="193" t="s">
        <v>1487</v>
      </c>
      <c r="GXK803" s="193" t="s">
        <v>1487</v>
      </c>
      <c r="GXL803" s="193" t="s">
        <v>1487</v>
      </c>
      <c r="GXM803" s="193" t="s">
        <v>1487</v>
      </c>
      <c r="GXN803" s="193" t="s">
        <v>1487</v>
      </c>
      <c r="GXO803" s="193" t="s">
        <v>1487</v>
      </c>
      <c r="GXP803" s="193" t="s">
        <v>1487</v>
      </c>
      <c r="GXQ803" s="193" t="s">
        <v>1487</v>
      </c>
      <c r="GXR803" s="193" t="s">
        <v>1487</v>
      </c>
      <c r="GXS803" s="193" t="s">
        <v>1487</v>
      </c>
      <c r="GXT803" s="193" t="s">
        <v>1487</v>
      </c>
      <c r="GXU803" s="193" t="s">
        <v>1487</v>
      </c>
      <c r="GXV803" s="193" t="s">
        <v>1487</v>
      </c>
      <c r="GXW803" s="193" t="s">
        <v>1487</v>
      </c>
      <c r="GXX803" s="193" t="s">
        <v>1487</v>
      </c>
      <c r="GXY803" s="193" t="s">
        <v>1487</v>
      </c>
      <c r="GXZ803" s="193" t="s">
        <v>1487</v>
      </c>
      <c r="GYA803" s="193" t="s">
        <v>1487</v>
      </c>
      <c r="GYB803" s="193" t="s">
        <v>1487</v>
      </c>
      <c r="GYC803" s="193" t="s">
        <v>1487</v>
      </c>
      <c r="GYD803" s="193" t="s">
        <v>1487</v>
      </c>
      <c r="GYE803" s="193" t="s">
        <v>1487</v>
      </c>
      <c r="GYF803" s="193" t="s">
        <v>1487</v>
      </c>
      <c r="GYG803" s="193" t="s">
        <v>1487</v>
      </c>
      <c r="GYH803" s="193" t="s">
        <v>1487</v>
      </c>
      <c r="GYI803" s="193" t="s">
        <v>1487</v>
      </c>
      <c r="GYJ803" s="193" t="s">
        <v>1487</v>
      </c>
      <c r="GYK803" s="193" t="s">
        <v>1487</v>
      </c>
      <c r="GYL803" s="193" t="s">
        <v>1487</v>
      </c>
      <c r="GYM803" s="193" t="s">
        <v>1487</v>
      </c>
      <c r="GYN803" s="193" t="s">
        <v>1487</v>
      </c>
      <c r="GYO803" s="193" t="s">
        <v>1487</v>
      </c>
      <c r="GYP803" s="193" t="s">
        <v>1487</v>
      </c>
      <c r="GYQ803" s="193" t="s">
        <v>1487</v>
      </c>
      <c r="GYR803" s="193" t="s">
        <v>1487</v>
      </c>
      <c r="GYS803" s="193" t="s">
        <v>1487</v>
      </c>
      <c r="GYT803" s="193" t="s">
        <v>1487</v>
      </c>
      <c r="GYU803" s="193" t="s">
        <v>1487</v>
      </c>
      <c r="GYV803" s="193" t="s">
        <v>1487</v>
      </c>
      <c r="GYW803" s="193" t="s">
        <v>1487</v>
      </c>
      <c r="GYX803" s="193" t="s">
        <v>1487</v>
      </c>
      <c r="GYY803" s="193" t="s">
        <v>1487</v>
      </c>
      <c r="GYZ803" s="193" t="s">
        <v>1487</v>
      </c>
      <c r="GZA803" s="193" t="s">
        <v>1487</v>
      </c>
      <c r="GZB803" s="193" t="s">
        <v>1487</v>
      </c>
      <c r="GZC803" s="193" t="s">
        <v>1487</v>
      </c>
      <c r="GZD803" s="193" t="s">
        <v>1487</v>
      </c>
      <c r="GZE803" s="193" t="s">
        <v>1487</v>
      </c>
      <c r="GZF803" s="193" t="s">
        <v>1487</v>
      </c>
      <c r="GZG803" s="193" t="s">
        <v>1487</v>
      </c>
      <c r="GZH803" s="193" t="s">
        <v>1487</v>
      </c>
      <c r="GZI803" s="193" t="s">
        <v>1487</v>
      </c>
      <c r="GZJ803" s="193" t="s">
        <v>1487</v>
      </c>
      <c r="GZK803" s="193" t="s">
        <v>1487</v>
      </c>
      <c r="GZL803" s="193" t="s">
        <v>1487</v>
      </c>
      <c r="GZM803" s="193" t="s">
        <v>1487</v>
      </c>
      <c r="GZN803" s="193" t="s">
        <v>1487</v>
      </c>
      <c r="GZO803" s="193" t="s">
        <v>1487</v>
      </c>
      <c r="GZP803" s="193" t="s">
        <v>1487</v>
      </c>
      <c r="GZQ803" s="193" t="s">
        <v>1487</v>
      </c>
      <c r="GZR803" s="193" t="s">
        <v>1487</v>
      </c>
      <c r="GZS803" s="193" t="s">
        <v>1487</v>
      </c>
      <c r="GZT803" s="193" t="s">
        <v>1487</v>
      </c>
      <c r="GZU803" s="193" t="s">
        <v>1487</v>
      </c>
      <c r="GZV803" s="193" t="s">
        <v>1487</v>
      </c>
      <c r="GZW803" s="193" t="s">
        <v>1487</v>
      </c>
      <c r="GZX803" s="193" t="s">
        <v>1487</v>
      </c>
      <c r="GZY803" s="193" t="s">
        <v>1487</v>
      </c>
      <c r="GZZ803" s="193" t="s">
        <v>1487</v>
      </c>
      <c r="HAA803" s="193" t="s">
        <v>1487</v>
      </c>
      <c r="HAB803" s="193" t="s">
        <v>1487</v>
      </c>
      <c r="HAC803" s="193" t="s">
        <v>1487</v>
      </c>
      <c r="HAD803" s="193" t="s">
        <v>1487</v>
      </c>
      <c r="HAE803" s="193" t="s">
        <v>1487</v>
      </c>
      <c r="HAF803" s="193" t="s">
        <v>1487</v>
      </c>
      <c r="HAG803" s="193" t="s">
        <v>1487</v>
      </c>
      <c r="HAH803" s="193" t="s">
        <v>1487</v>
      </c>
      <c r="HAI803" s="193" t="s">
        <v>1487</v>
      </c>
      <c r="HAJ803" s="193" t="s">
        <v>1487</v>
      </c>
      <c r="HAK803" s="193" t="s">
        <v>1487</v>
      </c>
      <c r="HAL803" s="193" t="s">
        <v>1487</v>
      </c>
      <c r="HAM803" s="193" t="s">
        <v>1487</v>
      </c>
      <c r="HAN803" s="193" t="s">
        <v>1487</v>
      </c>
      <c r="HAO803" s="193" t="s">
        <v>1487</v>
      </c>
      <c r="HAP803" s="193" t="s">
        <v>1487</v>
      </c>
      <c r="HAQ803" s="193" t="s">
        <v>1487</v>
      </c>
      <c r="HAR803" s="193" t="s">
        <v>1487</v>
      </c>
      <c r="HAS803" s="193" t="s">
        <v>1487</v>
      </c>
      <c r="HAT803" s="193" t="s">
        <v>1487</v>
      </c>
      <c r="HAU803" s="193" t="s">
        <v>1487</v>
      </c>
      <c r="HAV803" s="193" t="s">
        <v>1487</v>
      </c>
      <c r="HAW803" s="193" t="s">
        <v>1487</v>
      </c>
      <c r="HAX803" s="193" t="s">
        <v>1487</v>
      </c>
      <c r="HAY803" s="193" t="s">
        <v>1487</v>
      </c>
      <c r="HAZ803" s="193" t="s">
        <v>1487</v>
      </c>
      <c r="HBA803" s="193" t="s">
        <v>1487</v>
      </c>
      <c r="HBB803" s="193" t="s">
        <v>1487</v>
      </c>
      <c r="HBC803" s="193" t="s">
        <v>1487</v>
      </c>
      <c r="HBD803" s="193" t="s">
        <v>1487</v>
      </c>
      <c r="HBE803" s="193" t="s">
        <v>1487</v>
      </c>
      <c r="HBF803" s="193" t="s">
        <v>1487</v>
      </c>
      <c r="HBG803" s="193" t="s">
        <v>1487</v>
      </c>
      <c r="HBH803" s="193" t="s">
        <v>1487</v>
      </c>
      <c r="HBI803" s="193" t="s">
        <v>1487</v>
      </c>
      <c r="HBJ803" s="193" t="s">
        <v>1487</v>
      </c>
      <c r="HBK803" s="193" t="s">
        <v>1487</v>
      </c>
      <c r="HBL803" s="193" t="s">
        <v>1487</v>
      </c>
      <c r="HBM803" s="193" t="s">
        <v>1487</v>
      </c>
      <c r="HBN803" s="193" t="s">
        <v>1487</v>
      </c>
      <c r="HBO803" s="193" t="s">
        <v>1487</v>
      </c>
      <c r="HBP803" s="193" t="s">
        <v>1487</v>
      </c>
      <c r="HBQ803" s="193" t="s">
        <v>1487</v>
      </c>
      <c r="HBR803" s="193" t="s">
        <v>1487</v>
      </c>
      <c r="HBS803" s="193" t="s">
        <v>1487</v>
      </c>
      <c r="HBT803" s="193" t="s">
        <v>1487</v>
      </c>
      <c r="HBU803" s="193" t="s">
        <v>1487</v>
      </c>
      <c r="HBV803" s="193" t="s">
        <v>1487</v>
      </c>
      <c r="HBW803" s="193" t="s">
        <v>1487</v>
      </c>
      <c r="HBX803" s="193" t="s">
        <v>1487</v>
      </c>
      <c r="HBY803" s="193" t="s">
        <v>1487</v>
      </c>
      <c r="HBZ803" s="193" t="s">
        <v>1487</v>
      </c>
      <c r="HCA803" s="193" t="s">
        <v>1487</v>
      </c>
      <c r="HCB803" s="193" t="s">
        <v>1487</v>
      </c>
      <c r="HCC803" s="193" t="s">
        <v>1487</v>
      </c>
      <c r="HCD803" s="193" t="s">
        <v>1487</v>
      </c>
      <c r="HCE803" s="193" t="s">
        <v>1487</v>
      </c>
      <c r="HCF803" s="193" t="s">
        <v>1487</v>
      </c>
      <c r="HCG803" s="193" t="s">
        <v>1487</v>
      </c>
      <c r="HCH803" s="193" t="s">
        <v>1487</v>
      </c>
      <c r="HCI803" s="193" t="s">
        <v>1487</v>
      </c>
      <c r="HCJ803" s="193" t="s">
        <v>1487</v>
      </c>
      <c r="HCK803" s="193" t="s">
        <v>1487</v>
      </c>
      <c r="HCL803" s="193" t="s">
        <v>1487</v>
      </c>
      <c r="HCM803" s="193" t="s">
        <v>1487</v>
      </c>
      <c r="HCN803" s="193" t="s">
        <v>1487</v>
      </c>
      <c r="HCO803" s="193" t="s">
        <v>1487</v>
      </c>
      <c r="HCP803" s="193" t="s">
        <v>1487</v>
      </c>
      <c r="HCQ803" s="193" t="s">
        <v>1487</v>
      </c>
      <c r="HCR803" s="193" t="s">
        <v>1487</v>
      </c>
      <c r="HCS803" s="193" t="s">
        <v>1487</v>
      </c>
      <c r="HCT803" s="193" t="s">
        <v>1487</v>
      </c>
      <c r="HCU803" s="193" t="s">
        <v>1487</v>
      </c>
      <c r="HCV803" s="193" t="s">
        <v>1487</v>
      </c>
      <c r="HCW803" s="193" t="s">
        <v>1487</v>
      </c>
      <c r="HCX803" s="193" t="s">
        <v>1487</v>
      </c>
      <c r="HCY803" s="193" t="s">
        <v>1487</v>
      </c>
      <c r="HCZ803" s="193" t="s">
        <v>1487</v>
      </c>
      <c r="HDA803" s="193" t="s">
        <v>1487</v>
      </c>
      <c r="HDB803" s="193" t="s">
        <v>1487</v>
      </c>
      <c r="HDC803" s="193" t="s">
        <v>1487</v>
      </c>
      <c r="HDD803" s="193" t="s">
        <v>1487</v>
      </c>
      <c r="HDE803" s="193" t="s">
        <v>1487</v>
      </c>
      <c r="HDF803" s="193" t="s">
        <v>1487</v>
      </c>
      <c r="HDG803" s="193" t="s">
        <v>1487</v>
      </c>
      <c r="HDH803" s="193" t="s">
        <v>1487</v>
      </c>
      <c r="HDI803" s="193" t="s">
        <v>1487</v>
      </c>
      <c r="HDJ803" s="193" t="s">
        <v>1487</v>
      </c>
      <c r="HDK803" s="193" t="s">
        <v>1487</v>
      </c>
      <c r="HDL803" s="193" t="s">
        <v>1487</v>
      </c>
      <c r="HDM803" s="193" t="s">
        <v>1487</v>
      </c>
      <c r="HDN803" s="193" t="s">
        <v>1487</v>
      </c>
      <c r="HDO803" s="193" t="s">
        <v>1487</v>
      </c>
      <c r="HDP803" s="193" t="s">
        <v>1487</v>
      </c>
      <c r="HDQ803" s="193" t="s">
        <v>1487</v>
      </c>
      <c r="HDR803" s="193" t="s">
        <v>1487</v>
      </c>
      <c r="HDS803" s="193" t="s">
        <v>1487</v>
      </c>
      <c r="HDT803" s="193" t="s">
        <v>1487</v>
      </c>
      <c r="HDU803" s="193" t="s">
        <v>1487</v>
      </c>
      <c r="HDV803" s="193" t="s">
        <v>1487</v>
      </c>
      <c r="HDW803" s="193" t="s">
        <v>1487</v>
      </c>
      <c r="HDX803" s="193" t="s">
        <v>1487</v>
      </c>
      <c r="HDY803" s="193" t="s">
        <v>1487</v>
      </c>
      <c r="HDZ803" s="193" t="s">
        <v>1487</v>
      </c>
      <c r="HEA803" s="193" t="s">
        <v>1487</v>
      </c>
      <c r="HEB803" s="193" t="s">
        <v>1487</v>
      </c>
      <c r="HEC803" s="193" t="s">
        <v>1487</v>
      </c>
      <c r="HED803" s="193" t="s">
        <v>1487</v>
      </c>
      <c r="HEE803" s="193" t="s">
        <v>1487</v>
      </c>
      <c r="HEF803" s="193" t="s">
        <v>1487</v>
      </c>
      <c r="HEG803" s="193" t="s">
        <v>1487</v>
      </c>
      <c r="HEH803" s="193" t="s">
        <v>1487</v>
      </c>
      <c r="HEI803" s="193" t="s">
        <v>1487</v>
      </c>
      <c r="HEJ803" s="193" t="s">
        <v>1487</v>
      </c>
      <c r="HEK803" s="193" t="s">
        <v>1487</v>
      </c>
      <c r="HEL803" s="193" t="s">
        <v>1487</v>
      </c>
      <c r="HEM803" s="193" t="s">
        <v>1487</v>
      </c>
      <c r="HEN803" s="193" t="s">
        <v>1487</v>
      </c>
      <c r="HEO803" s="193" t="s">
        <v>1487</v>
      </c>
      <c r="HEP803" s="193" t="s">
        <v>1487</v>
      </c>
      <c r="HEQ803" s="193" t="s">
        <v>1487</v>
      </c>
      <c r="HER803" s="193" t="s">
        <v>1487</v>
      </c>
      <c r="HES803" s="193" t="s">
        <v>1487</v>
      </c>
      <c r="HET803" s="193" t="s">
        <v>1487</v>
      </c>
      <c r="HEU803" s="193" t="s">
        <v>1487</v>
      </c>
      <c r="HEV803" s="193" t="s">
        <v>1487</v>
      </c>
      <c r="HEW803" s="193" t="s">
        <v>1487</v>
      </c>
      <c r="HEX803" s="193" t="s">
        <v>1487</v>
      </c>
      <c r="HEY803" s="193" t="s">
        <v>1487</v>
      </c>
      <c r="HEZ803" s="193" t="s">
        <v>1487</v>
      </c>
      <c r="HFA803" s="193" t="s">
        <v>1487</v>
      </c>
      <c r="HFB803" s="193" t="s">
        <v>1487</v>
      </c>
      <c r="HFC803" s="193" t="s">
        <v>1487</v>
      </c>
      <c r="HFD803" s="193" t="s">
        <v>1487</v>
      </c>
      <c r="HFE803" s="193" t="s">
        <v>1487</v>
      </c>
      <c r="HFF803" s="193" t="s">
        <v>1487</v>
      </c>
      <c r="HFG803" s="193" t="s">
        <v>1487</v>
      </c>
      <c r="HFH803" s="193" t="s">
        <v>1487</v>
      </c>
      <c r="HFI803" s="193" t="s">
        <v>1487</v>
      </c>
      <c r="HFJ803" s="193" t="s">
        <v>1487</v>
      </c>
      <c r="HFK803" s="193" t="s">
        <v>1487</v>
      </c>
      <c r="HFL803" s="193" t="s">
        <v>1487</v>
      </c>
      <c r="HFM803" s="193" t="s">
        <v>1487</v>
      </c>
      <c r="HFN803" s="193" t="s">
        <v>1487</v>
      </c>
      <c r="HFO803" s="193" t="s">
        <v>1487</v>
      </c>
      <c r="HFP803" s="193" t="s">
        <v>1487</v>
      </c>
      <c r="HFQ803" s="193" t="s">
        <v>1487</v>
      </c>
      <c r="HFR803" s="193" t="s">
        <v>1487</v>
      </c>
      <c r="HFS803" s="193" t="s">
        <v>1487</v>
      </c>
      <c r="HFT803" s="193" t="s">
        <v>1487</v>
      </c>
      <c r="HFU803" s="193" t="s">
        <v>1487</v>
      </c>
      <c r="HFV803" s="193" t="s">
        <v>1487</v>
      </c>
      <c r="HFW803" s="193" t="s">
        <v>1487</v>
      </c>
      <c r="HFX803" s="193" t="s">
        <v>1487</v>
      </c>
      <c r="HFY803" s="193" t="s">
        <v>1487</v>
      </c>
      <c r="HFZ803" s="193" t="s">
        <v>1487</v>
      </c>
      <c r="HGA803" s="193" t="s">
        <v>1487</v>
      </c>
      <c r="HGB803" s="193" t="s">
        <v>1487</v>
      </c>
      <c r="HGC803" s="193" t="s">
        <v>1487</v>
      </c>
      <c r="HGD803" s="193" t="s">
        <v>1487</v>
      </c>
      <c r="HGE803" s="193" t="s">
        <v>1487</v>
      </c>
      <c r="HGF803" s="193" t="s">
        <v>1487</v>
      </c>
      <c r="HGG803" s="193" t="s">
        <v>1487</v>
      </c>
      <c r="HGH803" s="193" t="s">
        <v>1487</v>
      </c>
      <c r="HGI803" s="193" t="s">
        <v>1487</v>
      </c>
      <c r="HGJ803" s="193" t="s">
        <v>1487</v>
      </c>
      <c r="HGK803" s="193" t="s">
        <v>1487</v>
      </c>
      <c r="HGL803" s="193" t="s">
        <v>1487</v>
      </c>
      <c r="HGM803" s="193" t="s">
        <v>1487</v>
      </c>
      <c r="HGN803" s="193" t="s">
        <v>1487</v>
      </c>
      <c r="HGO803" s="193" t="s">
        <v>1487</v>
      </c>
      <c r="HGP803" s="193" t="s">
        <v>1487</v>
      </c>
      <c r="HGQ803" s="193" t="s">
        <v>1487</v>
      </c>
      <c r="HGR803" s="193" t="s">
        <v>1487</v>
      </c>
      <c r="HGS803" s="193" t="s">
        <v>1487</v>
      </c>
      <c r="HGT803" s="193" t="s">
        <v>1487</v>
      </c>
      <c r="HGU803" s="193" t="s">
        <v>1487</v>
      </c>
      <c r="HGV803" s="193" t="s">
        <v>1487</v>
      </c>
      <c r="HGW803" s="193" t="s">
        <v>1487</v>
      </c>
      <c r="HGX803" s="193" t="s">
        <v>1487</v>
      </c>
      <c r="HGY803" s="193" t="s">
        <v>1487</v>
      </c>
      <c r="HGZ803" s="193" t="s">
        <v>1487</v>
      </c>
      <c r="HHA803" s="193" t="s">
        <v>1487</v>
      </c>
      <c r="HHB803" s="193" t="s">
        <v>1487</v>
      </c>
      <c r="HHC803" s="193" t="s">
        <v>1487</v>
      </c>
      <c r="HHD803" s="193" t="s">
        <v>1487</v>
      </c>
      <c r="HHE803" s="193" t="s">
        <v>1487</v>
      </c>
      <c r="HHF803" s="193" t="s">
        <v>1487</v>
      </c>
      <c r="HHG803" s="193" t="s">
        <v>1487</v>
      </c>
      <c r="HHH803" s="193" t="s">
        <v>1487</v>
      </c>
      <c r="HHI803" s="193" t="s">
        <v>1487</v>
      </c>
      <c r="HHJ803" s="193" t="s">
        <v>1487</v>
      </c>
      <c r="HHK803" s="193" t="s">
        <v>1487</v>
      </c>
      <c r="HHL803" s="193" t="s">
        <v>1487</v>
      </c>
      <c r="HHM803" s="193" t="s">
        <v>1487</v>
      </c>
      <c r="HHN803" s="193" t="s">
        <v>1487</v>
      </c>
      <c r="HHO803" s="193" t="s">
        <v>1487</v>
      </c>
      <c r="HHP803" s="193" t="s">
        <v>1487</v>
      </c>
      <c r="HHQ803" s="193" t="s">
        <v>1487</v>
      </c>
      <c r="HHR803" s="193" t="s">
        <v>1487</v>
      </c>
      <c r="HHS803" s="193" t="s">
        <v>1487</v>
      </c>
      <c r="HHT803" s="193" t="s">
        <v>1487</v>
      </c>
      <c r="HHU803" s="193" t="s">
        <v>1487</v>
      </c>
      <c r="HHV803" s="193" t="s">
        <v>1487</v>
      </c>
      <c r="HHW803" s="193" t="s">
        <v>1487</v>
      </c>
      <c r="HHX803" s="193" t="s">
        <v>1487</v>
      </c>
      <c r="HHY803" s="193" t="s">
        <v>1487</v>
      </c>
      <c r="HHZ803" s="193" t="s">
        <v>1487</v>
      </c>
      <c r="HIA803" s="193" t="s">
        <v>1487</v>
      </c>
      <c r="HIB803" s="193" t="s">
        <v>1487</v>
      </c>
      <c r="HIC803" s="193" t="s">
        <v>1487</v>
      </c>
      <c r="HID803" s="193" t="s">
        <v>1487</v>
      </c>
      <c r="HIE803" s="193" t="s">
        <v>1487</v>
      </c>
      <c r="HIF803" s="193" t="s">
        <v>1487</v>
      </c>
      <c r="HIG803" s="193" t="s">
        <v>1487</v>
      </c>
      <c r="HIH803" s="193" t="s">
        <v>1487</v>
      </c>
      <c r="HII803" s="193" t="s">
        <v>1487</v>
      </c>
      <c r="HIJ803" s="193" t="s">
        <v>1487</v>
      </c>
      <c r="HIK803" s="193" t="s">
        <v>1487</v>
      </c>
      <c r="HIL803" s="193" t="s">
        <v>1487</v>
      </c>
      <c r="HIM803" s="193" t="s">
        <v>1487</v>
      </c>
      <c r="HIN803" s="193" t="s">
        <v>1487</v>
      </c>
      <c r="HIO803" s="193" t="s">
        <v>1487</v>
      </c>
      <c r="HIP803" s="193" t="s">
        <v>1487</v>
      </c>
      <c r="HIQ803" s="193" t="s">
        <v>1487</v>
      </c>
      <c r="HIR803" s="193" t="s">
        <v>1487</v>
      </c>
      <c r="HIS803" s="193" t="s">
        <v>1487</v>
      </c>
      <c r="HIT803" s="193" t="s">
        <v>1487</v>
      </c>
      <c r="HIU803" s="193" t="s">
        <v>1487</v>
      </c>
      <c r="HIV803" s="193" t="s">
        <v>1487</v>
      </c>
      <c r="HIW803" s="193" t="s">
        <v>1487</v>
      </c>
      <c r="HIX803" s="193" t="s">
        <v>1487</v>
      </c>
      <c r="HIY803" s="193" t="s">
        <v>1487</v>
      </c>
      <c r="HIZ803" s="193" t="s">
        <v>1487</v>
      </c>
      <c r="HJA803" s="193" t="s">
        <v>1487</v>
      </c>
      <c r="HJB803" s="193" t="s">
        <v>1487</v>
      </c>
      <c r="HJC803" s="193" t="s">
        <v>1487</v>
      </c>
      <c r="HJD803" s="193" t="s">
        <v>1487</v>
      </c>
      <c r="HJE803" s="193" t="s">
        <v>1487</v>
      </c>
      <c r="HJF803" s="193" t="s">
        <v>1487</v>
      </c>
      <c r="HJG803" s="193" t="s">
        <v>1487</v>
      </c>
      <c r="HJH803" s="193" t="s">
        <v>1487</v>
      </c>
      <c r="HJI803" s="193" t="s">
        <v>1487</v>
      </c>
      <c r="HJJ803" s="193" t="s">
        <v>1487</v>
      </c>
      <c r="HJK803" s="193" t="s">
        <v>1487</v>
      </c>
      <c r="HJL803" s="193" t="s">
        <v>1487</v>
      </c>
      <c r="HJM803" s="193" t="s">
        <v>1487</v>
      </c>
      <c r="HJN803" s="193" t="s">
        <v>1487</v>
      </c>
      <c r="HJO803" s="193" t="s">
        <v>1487</v>
      </c>
      <c r="HJP803" s="193" t="s">
        <v>1487</v>
      </c>
      <c r="HJQ803" s="193" t="s">
        <v>1487</v>
      </c>
      <c r="HJR803" s="193" t="s">
        <v>1487</v>
      </c>
      <c r="HJS803" s="193" t="s">
        <v>1487</v>
      </c>
      <c r="HJT803" s="193" t="s">
        <v>1487</v>
      </c>
      <c r="HJU803" s="193" t="s">
        <v>1487</v>
      </c>
      <c r="HJV803" s="193" t="s">
        <v>1487</v>
      </c>
      <c r="HJW803" s="193" t="s">
        <v>1487</v>
      </c>
      <c r="HJX803" s="193" t="s">
        <v>1487</v>
      </c>
      <c r="HJY803" s="193" t="s">
        <v>1487</v>
      </c>
      <c r="HJZ803" s="193" t="s">
        <v>1487</v>
      </c>
      <c r="HKA803" s="193" t="s">
        <v>1487</v>
      </c>
      <c r="HKB803" s="193" t="s">
        <v>1487</v>
      </c>
      <c r="HKC803" s="193" t="s">
        <v>1487</v>
      </c>
      <c r="HKD803" s="193" t="s">
        <v>1487</v>
      </c>
      <c r="HKE803" s="193" t="s">
        <v>1487</v>
      </c>
      <c r="HKF803" s="193" t="s">
        <v>1487</v>
      </c>
      <c r="HKG803" s="193" t="s">
        <v>1487</v>
      </c>
      <c r="HKH803" s="193" t="s">
        <v>1487</v>
      </c>
      <c r="HKI803" s="193" t="s">
        <v>1487</v>
      </c>
      <c r="HKJ803" s="193" t="s">
        <v>1487</v>
      </c>
      <c r="HKK803" s="193" t="s">
        <v>1487</v>
      </c>
      <c r="HKL803" s="193" t="s">
        <v>1487</v>
      </c>
      <c r="HKM803" s="193" t="s">
        <v>1487</v>
      </c>
      <c r="HKN803" s="193" t="s">
        <v>1487</v>
      </c>
      <c r="HKO803" s="193" t="s">
        <v>1487</v>
      </c>
      <c r="HKP803" s="193" t="s">
        <v>1487</v>
      </c>
      <c r="HKQ803" s="193" t="s">
        <v>1487</v>
      </c>
      <c r="HKR803" s="193" t="s">
        <v>1487</v>
      </c>
      <c r="HKS803" s="193" t="s">
        <v>1487</v>
      </c>
      <c r="HKT803" s="193" t="s">
        <v>1487</v>
      </c>
      <c r="HKU803" s="193" t="s">
        <v>1487</v>
      </c>
      <c r="HKV803" s="193" t="s">
        <v>1487</v>
      </c>
      <c r="HKW803" s="193" t="s">
        <v>1487</v>
      </c>
      <c r="HKX803" s="193" t="s">
        <v>1487</v>
      </c>
      <c r="HKY803" s="193" t="s">
        <v>1487</v>
      </c>
      <c r="HKZ803" s="193" t="s">
        <v>1487</v>
      </c>
      <c r="HLA803" s="193" t="s">
        <v>1487</v>
      </c>
      <c r="HLB803" s="193" t="s">
        <v>1487</v>
      </c>
      <c r="HLC803" s="193" t="s">
        <v>1487</v>
      </c>
      <c r="HLD803" s="193" t="s">
        <v>1487</v>
      </c>
      <c r="HLE803" s="193" t="s">
        <v>1487</v>
      </c>
      <c r="HLF803" s="193" t="s">
        <v>1487</v>
      </c>
      <c r="HLG803" s="193" t="s">
        <v>1487</v>
      </c>
      <c r="HLH803" s="193" t="s">
        <v>1487</v>
      </c>
      <c r="HLI803" s="193" t="s">
        <v>1487</v>
      </c>
      <c r="HLJ803" s="193" t="s">
        <v>1487</v>
      </c>
      <c r="HLK803" s="193" t="s">
        <v>1487</v>
      </c>
      <c r="HLL803" s="193" t="s">
        <v>1487</v>
      </c>
      <c r="HLM803" s="193" t="s">
        <v>1487</v>
      </c>
      <c r="HLN803" s="193" t="s">
        <v>1487</v>
      </c>
      <c r="HLO803" s="193" t="s">
        <v>1487</v>
      </c>
      <c r="HLP803" s="193" t="s">
        <v>1487</v>
      </c>
      <c r="HLQ803" s="193" t="s">
        <v>1487</v>
      </c>
      <c r="HLR803" s="193" t="s">
        <v>1487</v>
      </c>
      <c r="HLS803" s="193" t="s">
        <v>1487</v>
      </c>
      <c r="HLT803" s="193" t="s">
        <v>1487</v>
      </c>
      <c r="HLU803" s="193" t="s">
        <v>1487</v>
      </c>
      <c r="HLV803" s="193" t="s">
        <v>1487</v>
      </c>
      <c r="HLW803" s="193" t="s">
        <v>1487</v>
      </c>
      <c r="HLX803" s="193" t="s">
        <v>1487</v>
      </c>
      <c r="HLY803" s="193" t="s">
        <v>1487</v>
      </c>
      <c r="HLZ803" s="193" t="s">
        <v>1487</v>
      </c>
      <c r="HMA803" s="193" t="s">
        <v>1487</v>
      </c>
      <c r="HMB803" s="193" t="s">
        <v>1487</v>
      </c>
      <c r="HMC803" s="193" t="s">
        <v>1487</v>
      </c>
      <c r="HMD803" s="193" t="s">
        <v>1487</v>
      </c>
      <c r="HME803" s="193" t="s">
        <v>1487</v>
      </c>
      <c r="HMF803" s="193" t="s">
        <v>1487</v>
      </c>
      <c r="HMG803" s="193" t="s">
        <v>1487</v>
      </c>
      <c r="HMH803" s="193" t="s">
        <v>1487</v>
      </c>
      <c r="HMI803" s="193" t="s">
        <v>1487</v>
      </c>
      <c r="HMJ803" s="193" t="s">
        <v>1487</v>
      </c>
      <c r="HMK803" s="193" t="s">
        <v>1487</v>
      </c>
      <c r="HML803" s="193" t="s">
        <v>1487</v>
      </c>
      <c r="HMM803" s="193" t="s">
        <v>1487</v>
      </c>
      <c r="HMN803" s="193" t="s">
        <v>1487</v>
      </c>
      <c r="HMO803" s="193" t="s">
        <v>1487</v>
      </c>
      <c r="HMP803" s="193" t="s">
        <v>1487</v>
      </c>
      <c r="HMQ803" s="193" t="s">
        <v>1487</v>
      </c>
      <c r="HMR803" s="193" t="s">
        <v>1487</v>
      </c>
      <c r="HMS803" s="193" t="s">
        <v>1487</v>
      </c>
      <c r="HMT803" s="193" t="s">
        <v>1487</v>
      </c>
      <c r="HMU803" s="193" t="s">
        <v>1487</v>
      </c>
      <c r="HMV803" s="193" t="s">
        <v>1487</v>
      </c>
      <c r="HMW803" s="193" t="s">
        <v>1487</v>
      </c>
      <c r="HMX803" s="193" t="s">
        <v>1487</v>
      </c>
      <c r="HMY803" s="193" t="s">
        <v>1487</v>
      </c>
      <c r="HMZ803" s="193" t="s">
        <v>1487</v>
      </c>
      <c r="HNA803" s="193" t="s">
        <v>1487</v>
      </c>
      <c r="HNB803" s="193" t="s">
        <v>1487</v>
      </c>
      <c r="HNC803" s="193" t="s">
        <v>1487</v>
      </c>
      <c r="HND803" s="193" t="s">
        <v>1487</v>
      </c>
      <c r="HNE803" s="193" t="s">
        <v>1487</v>
      </c>
      <c r="HNF803" s="193" t="s">
        <v>1487</v>
      </c>
      <c r="HNG803" s="193" t="s">
        <v>1487</v>
      </c>
      <c r="HNH803" s="193" t="s">
        <v>1487</v>
      </c>
      <c r="HNI803" s="193" t="s">
        <v>1487</v>
      </c>
      <c r="HNJ803" s="193" t="s">
        <v>1487</v>
      </c>
      <c r="HNK803" s="193" t="s">
        <v>1487</v>
      </c>
      <c r="HNL803" s="193" t="s">
        <v>1487</v>
      </c>
      <c r="HNM803" s="193" t="s">
        <v>1487</v>
      </c>
      <c r="HNN803" s="193" t="s">
        <v>1487</v>
      </c>
      <c r="HNO803" s="193" t="s">
        <v>1487</v>
      </c>
      <c r="HNP803" s="193" t="s">
        <v>1487</v>
      </c>
      <c r="HNQ803" s="193" t="s">
        <v>1487</v>
      </c>
      <c r="HNR803" s="193" t="s">
        <v>1487</v>
      </c>
      <c r="HNS803" s="193" t="s">
        <v>1487</v>
      </c>
      <c r="HNT803" s="193" t="s">
        <v>1487</v>
      </c>
      <c r="HNU803" s="193" t="s">
        <v>1487</v>
      </c>
      <c r="HNV803" s="193" t="s">
        <v>1487</v>
      </c>
      <c r="HNW803" s="193" t="s">
        <v>1487</v>
      </c>
      <c r="HNX803" s="193" t="s">
        <v>1487</v>
      </c>
      <c r="HNY803" s="193" t="s">
        <v>1487</v>
      </c>
      <c r="HNZ803" s="193" t="s">
        <v>1487</v>
      </c>
      <c r="HOA803" s="193" t="s">
        <v>1487</v>
      </c>
      <c r="HOB803" s="193" t="s">
        <v>1487</v>
      </c>
      <c r="HOC803" s="193" t="s">
        <v>1487</v>
      </c>
      <c r="HOD803" s="193" t="s">
        <v>1487</v>
      </c>
      <c r="HOE803" s="193" t="s">
        <v>1487</v>
      </c>
      <c r="HOF803" s="193" t="s">
        <v>1487</v>
      </c>
      <c r="HOG803" s="193" t="s">
        <v>1487</v>
      </c>
      <c r="HOH803" s="193" t="s">
        <v>1487</v>
      </c>
      <c r="HOI803" s="193" t="s">
        <v>1487</v>
      </c>
      <c r="HOJ803" s="193" t="s">
        <v>1487</v>
      </c>
      <c r="HOK803" s="193" t="s">
        <v>1487</v>
      </c>
      <c r="HOL803" s="193" t="s">
        <v>1487</v>
      </c>
      <c r="HOM803" s="193" t="s">
        <v>1487</v>
      </c>
      <c r="HON803" s="193" t="s">
        <v>1487</v>
      </c>
      <c r="HOO803" s="193" t="s">
        <v>1487</v>
      </c>
      <c r="HOP803" s="193" t="s">
        <v>1487</v>
      </c>
      <c r="HOQ803" s="193" t="s">
        <v>1487</v>
      </c>
      <c r="HOR803" s="193" t="s">
        <v>1487</v>
      </c>
      <c r="HOS803" s="193" t="s">
        <v>1487</v>
      </c>
      <c r="HOT803" s="193" t="s">
        <v>1487</v>
      </c>
      <c r="HOU803" s="193" t="s">
        <v>1487</v>
      </c>
      <c r="HOV803" s="193" t="s">
        <v>1487</v>
      </c>
      <c r="HOW803" s="193" t="s">
        <v>1487</v>
      </c>
      <c r="HOX803" s="193" t="s">
        <v>1487</v>
      </c>
      <c r="HOY803" s="193" t="s">
        <v>1487</v>
      </c>
      <c r="HOZ803" s="193" t="s">
        <v>1487</v>
      </c>
      <c r="HPA803" s="193" t="s">
        <v>1487</v>
      </c>
      <c r="HPB803" s="193" t="s">
        <v>1487</v>
      </c>
      <c r="HPC803" s="193" t="s">
        <v>1487</v>
      </c>
      <c r="HPD803" s="193" t="s">
        <v>1487</v>
      </c>
      <c r="HPE803" s="193" t="s">
        <v>1487</v>
      </c>
      <c r="HPF803" s="193" t="s">
        <v>1487</v>
      </c>
      <c r="HPG803" s="193" t="s">
        <v>1487</v>
      </c>
      <c r="HPH803" s="193" t="s">
        <v>1487</v>
      </c>
      <c r="HPI803" s="193" t="s">
        <v>1487</v>
      </c>
      <c r="HPJ803" s="193" t="s">
        <v>1487</v>
      </c>
      <c r="HPK803" s="193" t="s">
        <v>1487</v>
      </c>
      <c r="HPL803" s="193" t="s">
        <v>1487</v>
      </c>
      <c r="HPM803" s="193" t="s">
        <v>1487</v>
      </c>
      <c r="HPN803" s="193" t="s">
        <v>1487</v>
      </c>
      <c r="HPO803" s="193" t="s">
        <v>1487</v>
      </c>
      <c r="HPP803" s="193" t="s">
        <v>1487</v>
      </c>
      <c r="HPQ803" s="193" t="s">
        <v>1487</v>
      </c>
      <c r="HPR803" s="193" t="s">
        <v>1487</v>
      </c>
      <c r="HPS803" s="193" t="s">
        <v>1487</v>
      </c>
      <c r="HPT803" s="193" t="s">
        <v>1487</v>
      </c>
      <c r="HPU803" s="193" t="s">
        <v>1487</v>
      </c>
      <c r="HPV803" s="193" t="s">
        <v>1487</v>
      </c>
      <c r="HPW803" s="193" t="s">
        <v>1487</v>
      </c>
      <c r="HPX803" s="193" t="s">
        <v>1487</v>
      </c>
      <c r="HPY803" s="193" t="s">
        <v>1487</v>
      </c>
      <c r="HPZ803" s="193" t="s">
        <v>1487</v>
      </c>
      <c r="HQA803" s="193" t="s">
        <v>1487</v>
      </c>
      <c r="HQB803" s="193" t="s">
        <v>1487</v>
      </c>
      <c r="HQC803" s="193" t="s">
        <v>1487</v>
      </c>
      <c r="HQD803" s="193" t="s">
        <v>1487</v>
      </c>
      <c r="HQE803" s="193" t="s">
        <v>1487</v>
      </c>
      <c r="HQF803" s="193" t="s">
        <v>1487</v>
      </c>
      <c r="HQG803" s="193" t="s">
        <v>1487</v>
      </c>
      <c r="HQH803" s="193" t="s">
        <v>1487</v>
      </c>
      <c r="HQI803" s="193" t="s">
        <v>1487</v>
      </c>
      <c r="HQJ803" s="193" t="s">
        <v>1487</v>
      </c>
      <c r="HQK803" s="193" t="s">
        <v>1487</v>
      </c>
      <c r="HQL803" s="193" t="s">
        <v>1487</v>
      </c>
      <c r="HQM803" s="193" t="s">
        <v>1487</v>
      </c>
      <c r="HQN803" s="193" t="s">
        <v>1487</v>
      </c>
      <c r="HQO803" s="193" t="s">
        <v>1487</v>
      </c>
      <c r="HQP803" s="193" t="s">
        <v>1487</v>
      </c>
      <c r="HQQ803" s="193" t="s">
        <v>1487</v>
      </c>
      <c r="HQR803" s="193" t="s">
        <v>1487</v>
      </c>
      <c r="HQS803" s="193" t="s">
        <v>1487</v>
      </c>
      <c r="HQT803" s="193" t="s">
        <v>1487</v>
      </c>
      <c r="HQU803" s="193" t="s">
        <v>1487</v>
      </c>
      <c r="HQV803" s="193" t="s">
        <v>1487</v>
      </c>
      <c r="HQW803" s="193" t="s">
        <v>1487</v>
      </c>
      <c r="HQX803" s="193" t="s">
        <v>1487</v>
      </c>
      <c r="HQY803" s="193" t="s">
        <v>1487</v>
      </c>
      <c r="HQZ803" s="193" t="s">
        <v>1487</v>
      </c>
      <c r="HRA803" s="193" t="s">
        <v>1487</v>
      </c>
      <c r="HRB803" s="193" t="s">
        <v>1487</v>
      </c>
      <c r="HRC803" s="193" t="s">
        <v>1487</v>
      </c>
      <c r="HRD803" s="193" t="s">
        <v>1487</v>
      </c>
      <c r="HRE803" s="193" t="s">
        <v>1487</v>
      </c>
      <c r="HRF803" s="193" t="s">
        <v>1487</v>
      </c>
      <c r="HRG803" s="193" t="s">
        <v>1487</v>
      </c>
      <c r="HRH803" s="193" t="s">
        <v>1487</v>
      </c>
      <c r="HRI803" s="193" t="s">
        <v>1487</v>
      </c>
      <c r="HRJ803" s="193" t="s">
        <v>1487</v>
      </c>
      <c r="HRK803" s="193" t="s">
        <v>1487</v>
      </c>
      <c r="HRL803" s="193" t="s">
        <v>1487</v>
      </c>
      <c r="HRM803" s="193" t="s">
        <v>1487</v>
      </c>
      <c r="HRN803" s="193" t="s">
        <v>1487</v>
      </c>
      <c r="HRO803" s="193" t="s">
        <v>1487</v>
      </c>
      <c r="HRP803" s="193" t="s">
        <v>1487</v>
      </c>
      <c r="HRQ803" s="193" t="s">
        <v>1487</v>
      </c>
      <c r="HRR803" s="193" t="s">
        <v>1487</v>
      </c>
      <c r="HRS803" s="193" t="s">
        <v>1487</v>
      </c>
      <c r="HRT803" s="193" t="s">
        <v>1487</v>
      </c>
      <c r="HRU803" s="193" t="s">
        <v>1487</v>
      </c>
      <c r="HRV803" s="193" t="s">
        <v>1487</v>
      </c>
      <c r="HRW803" s="193" t="s">
        <v>1487</v>
      </c>
      <c r="HRX803" s="193" t="s">
        <v>1487</v>
      </c>
      <c r="HRY803" s="193" t="s">
        <v>1487</v>
      </c>
      <c r="HRZ803" s="193" t="s">
        <v>1487</v>
      </c>
      <c r="HSA803" s="193" t="s">
        <v>1487</v>
      </c>
      <c r="HSB803" s="193" t="s">
        <v>1487</v>
      </c>
      <c r="HSC803" s="193" t="s">
        <v>1487</v>
      </c>
      <c r="HSD803" s="193" t="s">
        <v>1487</v>
      </c>
      <c r="HSE803" s="193" t="s">
        <v>1487</v>
      </c>
      <c r="HSF803" s="193" t="s">
        <v>1487</v>
      </c>
      <c r="HSG803" s="193" t="s">
        <v>1487</v>
      </c>
      <c r="HSH803" s="193" t="s">
        <v>1487</v>
      </c>
      <c r="HSI803" s="193" t="s">
        <v>1487</v>
      </c>
      <c r="HSJ803" s="193" t="s">
        <v>1487</v>
      </c>
      <c r="HSK803" s="193" t="s">
        <v>1487</v>
      </c>
      <c r="HSL803" s="193" t="s">
        <v>1487</v>
      </c>
      <c r="HSM803" s="193" t="s">
        <v>1487</v>
      </c>
      <c r="HSN803" s="193" t="s">
        <v>1487</v>
      </c>
      <c r="HSO803" s="193" t="s">
        <v>1487</v>
      </c>
      <c r="HSP803" s="193" t="s">
        <v>1487</v>
      </c>
      <c r="HSQ803" s="193" t="s">
        <v>1487</v>
      </c>
      <c r="HSR803" s="193" t="s">
        <v>1487</v>
      </c>
      <c r="HSS803" s="193" t="s">
        <v>1487</v>
      </c>
      <c r="HST803" s="193" t="s">
        <v>1487</v>
      </c>
      <c r="HSU803" s="193" t="s">
        <v>1487</v>
      </c>
      <c r="HSV803" s="193" t="s">
        <v>1487</v>
      </c>
      <c r="HSW803" s="193" t="s">
        <v>1487</v>
      </c>
      <c r="HSX803" s="193" t="s">
        <v>1487</v>
      </c>
      <c r="HSY803" s="193" t="s">
        <v>1487</v>
      </c>
      <c r="HSZ803" s="193" t="s">
        <v>1487</v>
      </c>
      <c r="HTA803" s="193" t="s">
        <v>1487</v>
      </c>
      <c r="HTB803" s="193" t="s">
        <v>1487</v>
      </c>
      <c r="HTC803" s="193" t="s">
        <v>1487</v>
      </c>
      <c r="HTD803" s="193" t="s">
        <v>1487</v>
      </c>
      <c r="HTE803" s="193" t="s">
        <v>1487</v>
      </c>
      <c r="HTF803" s="193" t="s">
        <v>1487</v>
      </c>
      <c r="HTG803" s="193" t="s">
        <v>1487</v>
      </c>
      <c r="HTH803" s="193" t="s">
        <v>1487</v>
      </c>
      <c r="HTI803" s="193" t="s">
        <v>1487</v>
      </c>
      <c r="HTJ803" s="193" t="s">
        <v>1487</v>
      </c>
      <c r="HTK803" s="193" t="s">
        <v>1487</v>
      </c>
      <c r="HTL803" s="193" t="s">
        <v>1487</v>
      </c>
      <c r="HTM803" s="193" t="s">
        <v>1487</v>
      </c>
      <c r="HTN803" s="193" t="s">
        <v>1487</v>
      </c>
      <c r="HTO803" s="193" t="s">
        <v>1487</v>
      </c>
      <c r="HTP803" s="193" t="s">
        <v>1487</v>
      </c>
      <c r="HTQ803" s="193" t="s">
        <v>1487</v>
      </c>
      <c r="HTR803" s="193" t="s">
        <v>1487</v>
      </c>
      <c r="HTS803" s="193" t="s">
        <v>1487</v>
      </c>
      <c r="HTT803" s="193" t="s">
        <v>1487</v>
      </c>
      <c r="HTU803" s="193" t="s">
        <v>1487</v>
      </c>
      <c r="HTV803" s="193" t="s">
        <v>1487</v>
      </c>
      <c r="HTW803" s="193" t="s">
        <v>1487</v>
      </c>
      <c r="HTX803" s="193" t="s">
        <v>1487</v>
      </c>
      <c r="HTY803" s="193" t="s">
        <v>1487</v>
      </c>
      <c r="HTZ803" s="193" t="s">
        <v>1487</v>
      </c>
      <c r="HUA803" s="193" t="s">
        <v>1487</v>
      </c>
      <c r="HUB803" s="193" t="s">
        <v>1487</v>
      </c>
      <c r="HUC803" s="193" t="s">
        <v>1487</v>
      </c>
      <c r="HUD803" s="193" t="s">
        <v>1487</v>
      </c>
      <c r="HUE803" s="193" t="s">
        <v>1487</v>
      </c>
      <c r="HUF803" s="193" t="s">
        <v>1487</v>
      </c>
      <c r="HUG803" s="193" t="s">
        <v>1487</v>
      </c>
      <c r="HUH803" s="193" t="s">
        <v>1487</v>
      </c>
      <c r="HUI803" s="193" t="s">
        <v>1487</v>
      </c>
      <c r="HUJ803" s="193" t="s">
        <v>1487</v>
      </c>
      <c r="HUK803" s="193" t="s">
        <v>1487</v>
      </c>
      <c r="HUL803" s="193" t="s">
        <v>1487</v>
      </c>
      <c r="HUM803" s="193" t="s">
        <v>1487</v>
      </c>
      <c r="HUN803" s="193" t="s">
        <v>1487</v>
      </c>
      <c r="HUO803" s="193" t="s">
        <v>1487</v>
      </c>
      <c r="HUP803" s="193" t="s">
        <v>1487</v>
      </c>
      <c r="HUQ803" s="193" t="s">
        <v>1487</v>
      </c>
      <c r="HUR803" s="193" t="s">
        <v>1487</v>
      </c>
      <c r="HUS803" s="193" t="s">
        <v>1487</v>
      </c>
      <c r="HUT803" s="193" t="s">
        <v>1487</v>
      </c>
      <c r="HUU803" s="193" t="s">
        <v>1487</v>
      </c>
      <c r="HUV803" s="193" t="s">
        <v>1487</v>
      </c>
      <c r="HUW803" s="193" t="s">
        <v>1487</v>
      </c>
      <c r="HUX803" s="193" t="s">
        <v>1487</v>
      </c>
      <c r="HUY803" s="193" t="s">
        <v>1487</v>
      </c>
      <c r="HUZ803" s="193" t="s">
        <v>1487</v>
      </c>
      <c r="HVA803" s="193" t="s">
        <v>1487</v>
      </c>
      <c r="HVB803" s="193" t="s">
        <v>1487</v>
      </c>
      <c r="HVC803" s="193" t="s">
        <v>1487</v>
      </c>
      <c r="HVD803" s="193" t="s">
        <v>1487</v>
      </c>
      <c r="HVE803" s="193" t="s">
        <v>1487</v>
      </c>
      <c r="HVF803" s="193" t="s">
        <v>1487</v>
      </c>
      <c r="HVG803" s="193" t="s">
        <v>1487</v>
      </c>
      <c r="HVH803" s="193" t="s">
        <v>1487</v>
      </c>
      <c r="HVI803" s="193" t="s">
        <v>1487</v>
      </c>
      <c r="HVJ803" s="193" t="s">
        <v>1487</v>
      </c>
      <c r="HVK803" s="193" t="s">
        <v>1487</v>
      </c>
      <c r="HVL803" s="193" t="s">
        <v>1487</v>
      </c>
      <c r="HVM803" s="193" t="s">
        <v>1487</v>
      </c>
      <c r="HVN803" s="193" t="s">
        <v>1487</v>
      </c>
      <c r="HVO803" s="193" t="s">
        <v>1487</v>
      </c>
      <c r="HVP803" s="193" t="s">
        <v>1487</v>
      </c>
      <c r="HVQ803" s="193" t="s">
        <v>1487</v>
      </c>
      <c r="HVR803" s="193" t="s">
        <v>1487</v>
      </c>
      <c r="HVS803" s="193" t="s">
        <v>1487</v>
      </c>
      <c r="HVT803" s="193" t="s">
        <v>1487</v>
      </c>
      <c r="HVU803" s="193" t="s">
        <v>1487</v>
      </c>
      <c r="HVV803" s="193" t="s">
        <v>1487</v>
      </c>
      <c r="HVW803" s="193" t="s">
        <v>1487</v>
      </c>
      <c r="HVX803" s="193" t="s">
        <v>1487</v>
      </c>
      <c r="HVY803" s="193" t="s">
        <v>1487</v>
      </c>
      <c r="HVZ803" s="193" t="s">
        <v>1487</v>
      </c>
      <c r="HWA803" s="193" t="s">
        <v>1487</v>
      </c>
      <c r="HWB803" s="193" t="s">
        <v>1487</v>
      </c>
      <c r="HWC803" s="193" t="s">
        <v>1487</v>
      </c>
      <c r="HWD803" s="193" t="s">
        <v>1487</v>
      </c>
      <c r="HWE803" s="193" t="s">
        <v>1487</v>
      </c>
      <c r="HWF803" s="193" t="s">
        <v>1487</v>
      </c>
      <c r="HWG803" s="193" t="s">
        <v>1487</v>
      </c>
      <c r="HWH803" s="193" t="s">
        <v>1487</v>
      </c>
      <c r="HWI803" s="193" t="s">
        <v>1487</v>
      </c>
      <c r="HWJ803" s="193" t="s">
        <v>1487</v>
      </c>
      <c r="HWK803" s="193" t="s">
        <v>1487</v>
      </c>
      <c r="HWL803" s="193" t="s">
        <v>1487</v>
      </c>
      <c r="HWM803" s="193" t="s">
        <v>1487</v>
      </c>
      <c r="HWN803" s="193" t="s">
        <v>1487</v>
      </c>
      <c r="HWO803" s="193" t="s">
        <v>1487</v>
      </c>
      <c r="HWP803" s="193" t="s">
        <v>1487</v>
      </c>
      <c r="HWQ803" s="193" t="s">
        <v>1487</v>
      </c>
      <c r="HWR803" s="193" t="s">
        <v>1487</v>
      </c>
      <c r="HWS803" s="193" t="s">
        <v>1487</v>
      </c>
      <c r="HWT803" s="193" t="s">
        <v>1487</v>
      </c>
      <c r="HWU803" s="193" t="s">
        <v>1487</v>
      </c>
      <c r="HWV803" s="193" t="s">
        <v>1487</v>
      </c>
      <c r="HWW803" s="193" t="s">
        <v>1487</v>
      </c>
      <c r="HWX803" s="193" t="s">
        <v>1487</v>
      </c>
      <c r="HWY803" s="193" t="s">
        <v>1487</v>
      </c>
      <c r="HWZ803" s="193" t="s">
        <v>1487</v>
      </c>
      <c r="HXA803" s="193" t="s">
        <v>1487</v>
      </c>
      <c r="HXB803" s="193" t="s">
        <v>1487</v>
      </c>
      <c r="HXC803" s="193" t="s">
        <v>1487</v>
      </c>
      <c r="HXD803" s="193" t="s">
        <v>1487</v>
      </c>
      <c r="HXE803" s="193" t="s">
        <v>1487</v>
      </c>
      <c r="HXF803" s="193" t="s">
        <v>1487</v>
      </c>
      <c r="HXG803" s="193" t="s">
        <v>1487</v>
      </c>
      <c r="HXH803" s="193" t="s">
        <v>1487</v>
      </c>
      <c r="HXI803" s="193" t="s">
        <v>1487</v>
      </c>
      <c r="HXJ803" s="193" t="s">
        <v>1487</v>
      </c>
      <c r="HXK803" s="193" t="s">
        <v>1487</v>
      </c>
      <c r="HXL803" s="193" t="s">
        <v>1487</v>
      </c>
      <c r="HXM803" s="193" t="s">
        <v>1487</v>
      </c>
      <c r="HXN803" s="193" t="s">
        <v>1487</v>
      </c>
      <c r="HXO803" s="193" t="s">
        <v>1487</v>
      </c>
      <c r="HXP803" s="193" t="s">
        <v>1487</v>
      </c>
      <c r="HXQ803" s="193" t="s">
        <v>1487</v>
      </c>
      <c r="HXR803" s="193" t="s">
        <v>1487</v>
      </c>
      <c r="HXS803" s="193" t="s">
        <v>1487</v>
      </c>
      <c r="HXT803" s="193" t="s">
        <v>1487</v>
      </c>
      <c r="HXU803" s="193" t="s">
        <v>1487</v>
      </c>
      <c r="HXV803" s="193" t="s">
        <v>1487</v>
      </c>
      <c r="HXW803" s="193" t="s">
        <v>1487</v>
      </c>
      <c r="HXX803" s="193" t="s">
        <v>1487</v>
      </c>
      <c r="HXY803" s="193" t="s">
        <v>1487</v>
      </c>
      <c r="HXZ803" s="193" t="s">
        <v>1487</v>
      </c>
      <c r="HYA803" s="193" t="s">
        <v>1487</v>
      </c>
      <c r="HYB803" s="193" t="s">
        <v>1487</v>
      </c>
      <c r="HYC803" s="193" t="s">
        <v>1487</v>
      </c>
      <c r="HYD803" s="193" t="s">
        <v>1487</v>
      </c>
      <c r="HYE803" s="193" t="s">
        <v>1487</v>
      </c>
      <c r="HYF803" s="193" t="s">
        <v>1487</v>
      </c>
      <c r="HYG803" s="193" t="s">
        <v>1487</v>
      </c>
      <c r="HYH803" s="193" t="s">
        <v>1487</v>
      </c>
      <c r="HYI803" s="193" t="s">
        <v>1487</v>
      </c>
      <c r="HYJ803" s="193" t="s">
        <v>1487</v>
      </c>
      <c r="HYK803" s="193" t="s">
        <v>1487</v>
      </c>
      <c r="HYL803" s="193" t="s">
        <v>1487</v>
      </c>
      <c r="HYM803" s="193" t="s">
        <v>1487</v>
      </c>
      <c r="HYN803" s="193" t="s">
        <v>1487</v>
      </c>
      <c r="HYO803" s="193" t="s">
        <v>1487</v>
      </c>
      <c r="HYP803" s="193" t="s">
        <v>1487</v>
      </c>
      <c r="HYQ803" s="193" t="s">
        <v>1487</v>
      </c>
      <c r="HYR803" s="193" t="s">
        <v>1487</v>
      </c>
      <c r="HYS803" s="193" t="s">
        <v>1487</v>
      </c>
      <c r="HYT803" s="193" t="s">
        <v>1487</v>
      </c>
      <c r="HYU803" s="193" t="s">
        <v>1487</v>
      </c>
      <c r="HYV803" s="193" t="s">
        <v>1487</v>
      </c>
      <c r="HYW803" s="193" t="s">
        <v>1487</v>
      </c>
      <c r="HYX803" s="193" t="s">
        <v>1487</v>
      </c>
      <c r="HYY803" s="193" t="s">
        <v>1487</v>
      </c>
      <c r="HYZ803" s="193" t="s">
        <v>1487</v>
      </c>
      <c r="HZA803" s="193" t="s">
        <v>1487</v>
      </c>
      <c r="HZB803" s="193" t="s">
        <v>1487</v>
      </c>
      <c r="HZC803" s="193" t="s">
        <v>1487</v>
      </c>
      <c r="HZD803" s="193" t="s">
        <v>1487</v>
      </c>
      <c r="HZE803" s="193" t="s">
        <v>1487</v>
      </c>
      <c r="HZF803" s="193" t="s">
        <v>1487</v>
      </c>
      <c r="HZG803" s="193" t="s">
        <v>1487</v>
      </c>
      <c r="HZH803" s="193" t="s">
        <v>1487</v>
      </c>
      <c r="HZI803" s="193" t="s">
        <v>1487</v>
      </c>
      <c r="HZJ803" s="193" t="s">
        <v>1487</v>
      </c>
      <c r="HZK803" s="193" t="s">
        <v>1487</v>
      </c>
      <c r="HZL803" s="193" t="s">
        <v>1487</v>
      </c>
      <c r="HZM803" s="193" t="s">
        <v>1487</v>
      </c>
      <c r="HZN803" s="193" t="s">
        <v>1487</v>
      </c>
      <c r="HZO803" s="193" t="s">
        <v>1487</v>
      </c>
      <c r="HZP803" s="193" t="s">
        <v>1487</v>
      </c>
      <c r="HZQ803" s="193" t="s">
        <v>1487</v>
      </c>
      <c r="HZR803" s="193" t="s">
        <v>1487</v>
      </c>
      <c r="HZS803" s="193" t="s">
        <v>1487</v>
      </c>
      <c r="HZT803" s="193" t="s">
        <v>1487</v>
      </c>
      <c r="HZU803" s="193" t="s">
        <v>1487</v>
      </c>
      <c r="HZV803" s="193" t="s">
        <v>1487</v>
      </c>
      <c r="HZW803" s="193" t="s">
        <v>1487</v>
      </c>
      <c r="HZX803" s="193" t="s">
        <v>1487</v>
      </c>
      <c r="HZY803" s="193" t="s">
        <v>1487</v>
      </c>
      <c r="HZZ803" s="193" t="s">
        <v>1487</v>
      </c>
      <c r="IAA803" s="193" t="s">
        <v>1487</v>
      </c>
      <c r="IAB803" s="193" t="s">
        <v>1487</v>
      </c>
      <c r="IAC803" s="193" t="s">
        <v>1487</v>
      </c>
      <c r="IAD803" s="193" t="s">
        <v>1487</v>
      </c>
      <c r="IAE803" s="193" t="s">
        <v>1487</v>
      </c>
      <c r="IAF803" s="193" t="s">
        <v>1487</v>
      </c>
      <c r="IAG803" s="193" t="s">
        <v>1487</v>
      </c>
      <c r="IAH803" s="193" t="s">
        <v>1487</v>
      </c>
      <c r="IAI803" s="193" t="s">
        <v>1487</v>
      </c>
      <c r="IAJ803" s="193" t="s">
        <v>1487</v>
      </c>
      <c r="IAK803" s="193" t="s">
        <v>1487</v>
      </c>
      <c r="IAL803" s="193" t="s">
        <v>1487</v>
      </c>
      <c r="IAM803" s="193" t="s">
        <v>1487</v>
      </c>
      <c r="IAN803" s="193" t="s">
        <v>1487</v>
      </c>
      <c r="IAO803" s="193" t="s">
        <v>1487</v>
      </c>
      <c r="IAP803" s="193" t="s">
        <v>1487</v>
      </c>
      <c r="IAQ803" s="193" t="s">
        <v>1487</v>
      </c>
      <c r="IAR803" s="193" t="s">
        <v>1487</v>
      </c>
      <c r="IAS803" s="193" t="s">
        <v>1487</v>
      </c>
      <c r="IAT803" s="193" t="s">
        <v>1487</v>
      </c>
      <c r="IAU803" s="193" t="s">
        <v>1487</v>
      </c>
      <c r="IAV803" s="193" t="s">
        <v>1487</v>
      </c>
      <c r="IAW803" s="193" t="s">
        <v>1487</v>
      </c>
      <c r="IAX803" s="193" t="s">
        <v>1487</v>
      </c>
      <c r="IAY803" s="193" t="s">
        <v>1487</v>
      </c>
      <c r="IAZ803" s="193" t="s">
        <v>1487</v>
      </c>
      <c r="IBA803" s="193" t="s">
        <v>1487</v>
      </c>
      <c r="IBB803" s="193" t="s">
        <v>1487</v>
      </c>
      <c r="IBC803" s="193" t="s">
        <v>1487</v>
      </c>
      <c r="IBD803" s="193" t="s">
        <v>1487</v>
      </c>
      <c r="IBE803" s="193" t="s">
        <v>1487</v>
      </c>
      <c r="IBF803" s="193" t="s">
        <v>1487</v>
      </c>
      <c r="IBG803" s="193" t="s">
        <v>1487</v>
      </c>
      <c r="IBH803" s="193" t="s">
        <v>1487</v>
      </c>
      <c r="IBI803" s="193" t="s">
        <v>1487</v>
      </c>
      <c r="IBJ803" s="193" t="s">
        <v>1487</v>
      </c>
      <c r="IBK803" s="193" t="s">
        <v>1487</v>
      </c>
      <c r="IBL803" s="193" t="s">
        <v>1487</v>
      </c>
      <c r="IBM803" s="193" t="s">
        <v>1487</v>
      </c>
      <c r="IBN803" s="193" t="s">
        <v>1487</v>
      </c>
      <c r="IBO803" s="193" t="s">
        <v>1487</v>
      </c>
      <c r="IBP803" s="193" t="s">
        <v>1487</v>
      </c>
      <c r="IBQ803" s="193" t="s">
        <v>1487</v>
      </c>
      <c r="IBR803" s="193" t="s">
        <v>1487</v>
      </c>
      <c r="IBS803" s="193" t="s">
        <v>1487</v>
      </c>
      <c r="IBT803" s="193" t="s">
        <v>1487</v>
      </c>
      <c r="IBU803" s="193" t="s">
        <v>1487</v>
      </c>
      <c r="IBV803" s="193" t="s">
        <v>1487</v>
      </c>
      <c r="IBW803" s="193" t="s">
        <v>1487</v>
      </c>
      <c r="IBX803" s="193" t="s">
        <v>1487</v>
      </c>
      <c r="IBY803" s="193" t="s">
        <v>1487</v>
      </c>
      <c r="IBZ803" s="193" t="s">
        <v>1487</v>
      </c>
      <c r="ICA803" s="193" t="s">
        <v>1487</v>
      </c>
      <c r="ICB803" s="193" t="s">
        <v>1487</v>
      </c>
      <c r="ICC803" s="193" t="s">
        <v>1487</v>
      </c>
      <c r="ICD803" s="193" t="s">
        <v>1487</v>
      </c>
      <c r="ICE803" s="193" t="s">
        <v>1487</v>
      </c>
      <c r="ICF803" s="193" t="s">
        <v>1487</v>
      </c>
      <c r="ICG803" s="193" t="s">
        <v>1487</v>
      </c>
      <c r="ICH803" s="193" t="s">
        <v>1487</v>
      </c>
      <c r="ICI803" s="193" t="s">
        <v>1487</v>
      </c>
      <c r="ICJ803" s="193" t="s">
        <v>1487</v>
      </c>
      <c r="ICK803" s="193" t="s">
        <v>1487</v>
      </c>
      <c r="ICL803" s="193" t="s">
        <v>1487</v>
      </c>
      <c r="ICM803" s="193" t="s">
        <v>1487</v>
      </c>
      <c r="ICN803" s="193" t="s">
        <v>1487</v>
      </c>
      <c r="ICO803" s="193" t="s">
        <v>1487</v>
      </c>
      <c r="ICP803" s="193" t="s">
        <v>1487</v>
      </c>
      <c r="ICQ803" s="193" t="s">
        <v>1487</v>
      </c>
      <c r="ICR803" s="193" t="s">
        <v>1487</v>
      </c>
      <c r="ICS803" s="193" t="s">
        <v>1487</v>
      </c>
      <c r="ICT803" s="193" t="s">
        <v>1487</v>
      </c>
      <c r="ICU803" s="193" t="s">
        <v>1487</v>
      </c>
      <c r="ICV803" s="193" t="s">
        <v>1487</v>
      </c>
      <c r="ICW803" s="193" t="s">
        <v>1487</v>
      </c>
      <c r="ICX803" s="193" t="s">
        <v>1487</v>
      </c>
      <c r="ICY803" s="193" t="s">
        <v>1487</v>
      </c>
      <c r="ICZ803" s="193" t="s">
        <v>1487</v>
      </c>
      <c r="IDA803" s="193" t="s">
        <v>1487</v>
      </c>
      <c r="IDB803" s="193" t="s">
        <v>1487</v>
      </c>
      <c r="IDC803" s="193" t="s">
        <v>1487</v>
      </c>
      <c r="IDD803" s="193" t="s">
        <v>1487</v>
      </c>
      <c r="IDE803" s="193" t="s">
        <v>1487</v>
      </c>
      <c r="IDF803" s="193" t="s">
        <v>1487</v>
      </c>
      <c r="IDG803" s="193" t="s">
        <v>1487</v>
      </c>
      <c r="IDH803" s="193" t="s">
        <v>1487</v>
      </c>
      <c r="IDI803" s="193" t="s">
        <v>1487</v>
      </c>
      <c r="IDJ803" s="193" t="s">
        <v>1487</v>
      </c>
      <c r="IDK803" s="193" t="s">
        <v>1487</v>
      </c>
      <c r="IDL803" s="193" t="s">
        <v>1487</v>
      </c>
      <c r="IDM803" s="193" t="s">
        <v>1487</v>
      </c>
      <c r="IDN803" s="193" t="s">
        <v>1487</v>
      </c>
      <c r="IDO803" s="193" t="s">
        <v>1487</v>
      </c>
      <c r="IDP803" s="193" t="s">
        <v>1487</v>
      </c>
      <c r="IDQ803" s="193" t="s">
        <v>1487</v>
      </c>
      <c r="IDR803" s="193" t="s">
        <v>1487</v>
      </c>
      <c r="IDS803" s="193" t="s">
        <v>1487</v>
      </c>
      <c r="IDT803" s="193" t="s">
        <v>1487</v>
      </c>
      <c r="IDU803" s="193" t="s">
        <v>1487</v>
      </c>
      <c r="IDV803" s="193" t="s">
        <v>1487</v>
      </c>
      <c r="IDW803" s="193" t="s">
        <v>1487</v>
      </c>
      <c r="IDX803" s="193" t="s">
        <v>1487</v>
      </c>
      <c r="IDY803" s="193" t="s">
        <v>1487</v>
      </c>
      <c r="IDZ803" s="193" t="s">
        <v>1487</v>
      </c>
      <c r="IEA803" s="193" t="s">
        <v>1487</v>
      </c>
      <c r="IEB803" s="193" t="s">
        <v>1487</v>
      </c>
      <c r="IEC803" s="193" t="s">
        <v>1487</v>
      </c>
      <c r="IED803" s="193" t="s">
        <v>1487</v>
      </c>
      <c r="IEE803" s="193" t="s">
        <v>1487</v>
      </c>
      <c r="IEF803" s="193" t="s">
        <v>1487</v>
      </c>
      <c r="IEG803" s="193" t="s">
        <v>1487</v>
      </c>
      <c r="IEH803" s="193" t="s">
        <v>1487</v>
      </c>
      <c r="IEI803" s="193" t="s">
        <v>1487</v>
      </c>
      <c r="IEJ803" s="193" t="s">
        <v>1487</v>
      </c>
      <c r="IEK803" s="193" t="s">
        <v>1487</v>
      </c>
      <c r="IEL803" s="193" t="s">
        <v>1487</v>
      </c>
      <c r="IEM803" s="193" t="s">
        <v>1487</v>
      </c>
      <c r="IEN803" s="193" t="s">
        <v>1487</v>
      </c>
      <c r="IEO803" s="193" t="s">
        <v>1487</v>
      </c>
      <c r="IEP803" s="193" t="s">
        <v>1487</v>
      </c>
      <c r="IEQ803" s="193" t="s">
        <v>1487</v>
      </c>
      <c r="IER803" s="193" t="s">
        <v>1487</v>
      </c>
      <c r="IES803" s="193" t="s">
        <v>1487</v>
      </c>
      <c r="IET803" s="193" t="s">
        <v>1487</v>
      </c>
      <c r="IEU803" s="193" t="s">
        <v>1487</v>
      </c>
      <c r="IEV803" s="193" t="s">
        <v>1487</v>
      </c>
      <c r="IEW803" s="193" t="s">
        <v>1487</v>
      </c>
      <c r="IEX803" s="193" t="s">
        <v>1487</v>
      </c>
      <c r="IEY803" s="193" t="s">
        <v>1487</v>
      </c>
      <c r="IEZ803" s="193" t="s">
        <v>1487</v>
      </c>
      <c r="IFA803" s="193" t="s">
        <v>1487</v>
      </c>
      <c r="IFB803" s="193" t="s">
        <v>1487</v>
      </c>
      <c r="IFC803" s="193" t="s">
        <v>1487</v>
      </c>
      <c r="IFD803" s="193" t="s">
        <v>1487</v>
      </c>
      <c r="IFE803" s="193" t="s">
        <v>1487</v>
      </c>
      <c r="IFF803" s="193" t="s">
        <v>1487</v>
      </c>
      <c r="IFG803" s="193" t="s">
        <v>1487</v>
      </c>
      <c r="IFH803" s="193" t="s">
        <v>1487</v>
      </c>
      <c r="IFI803" s="193" t="s">
        <v>1487</v>
      </c>
      <c r="IFJ803" s="193" t="s">
        <v>1487</v>
      </c>
      <c r="IFK803" s="193" t="s">
        <v>1487</v>
      </c>
      <c r="IFL803" s="193" t="s">
        <v>1487</v>
      </c>
      <c r="IFM803" s="193" t="s">
        <v>1487</v>
      </c>
      <c r="IFN803" s="193" t="s">
        <v>1487</v>
      </c>
      <c r="IFO803" s="193" t="s">
        <v>1487</v>
      </c>
      <c r="IFP803" s="193" t="s">
        <v>1487</v>
      </c>
      <c r="IFQ803" s="193" t="s">
        <v>1487</v>
      </c>
      <c r="IFR803" s="193" t="s">
        <v>1487</v>
      </c>
      <c r="IFS803" s="193" t="s">
        <v>1487</v>
      </c>
      <c r="IFT803" s="193" t="s">
        <v>1487</v>
      </c>
      <c r="IFU803" s="193" t="s">
        <v>1487</v>
      </c>
      <c r="IFV803" s="193" t="s">
        <v>1487</v>
      </c>
      <c r="IFW803" s="193" t="s">
        <v>1487</v>
      </c>
      <c r="IFX803" s="193" t="s">
        <v>1487</v>
      </c>
      <c r="IFY803" s="193" t="s">
        <v>1487</v>
      </c>
      <c r="IFZ803" s="193" t="s">
        <v>1487</v>
      </c>
      <c r="IGA803" s="193" t="s">
        <v>1487</v>
      </c>
      <c r="IGB803" s="193" t="s">
        <v>1487</v>
      </c>
      <c r="IGC803" s="193" t="s">
        <v>1487</v>
      </c>
      <c r="IGD803" s="193" t="s">
        <v>1487</v>
      </c>
      <c r="IGE803" s="193" t="s">
        <v>1487</v>
      </c>
      <c r="IGF803" s="193" t="s">
        <v>1487</v>
      </c>
      <c r="IGG803" s="193" t="s">
        <v>1487</v>
      </c>
      <c r="IGH803" s="193" t="s">
        <v>1487</v>
      </c>
      <c r="IGI803" s="193" t="s">
        <v>1487</v>
      </c>
      <c r="IGJ803" s="193" t="s">
        <v>1487</v>
      </c>
      <c r="IGK803" s="193" t="s">
        <v>1487</v>
      </c>
      <c r="IGL803" s="193" t="s">
        <v>1487</v>
      </c>
      <c r="IGM803" s="193" t="s">
        <v>1487</v>
      </c>
      <c r="IGN803" s="193" t="s">
        <v>1487</v>
      </c>
      <c r="IGO803" s="193" t="s">
        <v>1487</v>
      </c>
      <c r="IGP803" s="193" t="s">
        <v>1487</v>
      </c>
      <c r="IGQ803" s="193" t="s">
        <v>1487</v>
      </c>
      <c r="IGR803" s="193" t="s">
        <v>1487</v>
      </c>
      <c r="IGS803" s="193" t="s">
        <v>1487</v>
      </c>
      <c r="IGT803" s="193" t="s">
        <v>1487</v>
      </c>
      <c r="IGU803" s="193" t="s">
        <v>1487</v>
      </c>
      <c r="IGV803" s="193" t="s">
        <v>1487</v>
      </c>
      <c r="IGW803" s="193" t="s">
        <v>1487</v>
      </c>
      <c r="IGX803" s="193" t="s">
        <v>1487</v>
      </c>
      <c r="IGY803" s="193" t="s">
        <v>1487</v>
      </c>
      <c r="IGZ803" s="193" t="s">
        <v>1487</v>
      </c>
      <c r="IHA803" s="193" t="s">
        <v>1487</v>
      </c>
      <c r="IHB803" s="193" t="s">
        <v>1487</v>
      </c>
      <c r="IHC803" s="193" t="s">
        <v>1487</v>
      </c>
      <c r="IHD803" s="193" t="s">
        <v>1487</v>
      </c>
      <c r="IHE803" s="193" t="s">
        <v>1487</v>
      </c>
      <c r="IHF803" s="193" t="s">
        <v>1487</v>
      </c>
      <c r="IHG803" s="193" t="s">
        <v>1487</v>
      </c>
      <c r="IHH803" s="193" t="s">
        <v>1487</v>
      </c>
      <c r="IHI803" s="193" t="s">
        <v>1487</v>
      </c>
      <c r="IHJ803" s="193" t="s">
        <v>1487</v>
      </c>
      <c r="IHK803" s="193" t="s">
        <v>1487</v>
      </c>
      <c r="IHL803" s="193" t="s">
        <v>1487</v>
      </c>
      <c r="IHM803" s="193" t="s">
        <v>1487</v>
      </c>
      <c r="IHN803" s="193" t="s">
        <v>1487</v>
      </c>
      <c r="IHO803" s="193" t="s">
        <v>1487</v>
      </c>
      <c r="IHP803" s="193" t="s">
        <v>1487</v>
      </c>
      <c r="IHQ803" s="193" t="s">
        <v>1487</v>
      </c>
      <c r="IHR803" s="193" t="s">
        <v>1487</v>
      </c>
      <c r="IHS803" s="193" t="s">
        <v>1487</v>
      </c>
      <c r="IHT803" s="193" t="s">
        <v>1487</v>
      </c>
      <c r="IHU803" s="193" t="s">
        <v>1487</v>
      </c>
      <c r="IHV803" s="193" t="s">
        <v>1487</v>
      </c>
      <c r="IHW803" s="193" t="s">
        <v>1487</v>
      </c>
      <c r="IHX803" s="193" t="s">
        <v>1487</v>
      </c>
      <c r="IHY803" s="193" t="s">
        <v>1487</v>
      </c>
      <c r="IHZ803" s="193" t="s">
        <v>1487</v>
      </c>
      <c r="IIA803" s="193" t="s">
        <v>1487</v>
      </c>
      <c r="IIB803" s="193" t="s">
        <v>1487</v>
      </c>
      <c r="IIC803" s="193" t="s">
        <v>1487</v>
      </c>
      <c r="IID803" s="193" t="s">
        <v>1487</v>
      </c>
      <c r="IIE803" s="193" t="s">
        <v>1487</v>
      </c>
      <c r="IIF803" s="193" t="s">
        <v>1487</v>
      </c>
      <c r="IIG803" s="193" t="s">
        <v>1487</v>
      </c>
      <c r="IIH803" s="193" t="s">
        <v>1487</v>
      </c>
      <c r="III803" s="193" t="s">
        <v>1487</v>
      </c>
      <c r="IIJ803" s="193" t="s">
        <v>1487</v>
      </c>
      <c r="IIK803" s="193" t="s">
        <v>1487</v>
      </c>
      <c r="IIL803" s="193" t="s">
        <v>1487</v>
      </c>
      <c r="IIM803" s="193" t="s">
        <v>1487</v>
      </c>
      <c r="IIN803" s="193" t="s">
        <v>1487</v>
      </c>
      <c r="IIO803" s="193" t="s">
        <v>1487</v>
      </c>
      <c r="IIP803" s="193" t="s">
        <v>1487</v>
      </c>
      <c r="IIQ803" s="193" t="s">
        <v>1487</v>
      </c>
      <c r="IIR803" s="193" t="s">
        <v>1487</v>
      </c>
      <c r="IIS803" s="193" t="s">
        <v>1487</v>
      </c>
      <c r="IIT803" s="193" t="s">
        <v>1487</v>
      </c>
      <c r="IIU803" s="193" t="s">
        <v>1487</v>
      </c>
      <c r="IIV803" s="193" t="s">
        <v>1487</v>
      </c>
      <c r="IIW803" s="193" t="s">
        <v>1487</v>
      </c>
      <c r="IIX803" s="193" t="s">
        <v>1487</v>
      </c>
      <c r="IIY803" s="193" t="s">
        <v>1487</v>
      </c>
      <c r="IIZ803" s="193" t="s">
        <v>1487</v>
      </c>
      <c r="IJA803" s="193" t="s">
        <v>1487</v>
      </c>
      <c r="IJB803" s="193" t="s">
        <v>1487</v>
      </c>
      <c r="IJC803" s="193" t="s">
        <v>1487</v>
      </c>
      <c r="IJD803" s="193" t="s">
        <v>1487</v>
      </c>
      <c r="IJE803" s="193" t="s">
        <v>1487</v>
      </c>
      <c r="IJF803" s="193" t="s">
        <v>1487</v>
      </c>
      <c r="IJG803" s="193" t="s">
        <v>1487</v>
      </c>
      <c r="IJH803" s="193" t="s">
        <v>1487</v>
      </c>
      <c r="IJI803" s="193" t="s">
        <v>1487</v>
      </c>
      <c r="IJJ803" s="193" t="s">
        <v>1487</v>
      </c>
      <c r="IJK803" s="193" t="s">
        <v>1487</v>
      </c>
      <c r="IJL803" s="193" t="s">
        <v>1487</v>
      </c>
      <c r="IJM803" s="193" t="s">
        <v>1487</v>
      </c>
      <c r="IJN803" s="193" t="s">
        <v>1487</v>
      </c>
      <c r="IJO803" s="193" t="s">
        <v>1487</v>
      </c>
      <c r="IJP803" s="193" t="s">
        <v>1487</v>
      </c>
      <c r="IJQ803" s="193" t="s">
        <v>1487</v>
      </c>
      <c r="IJR803" s="193" t="s">
        <v>1487</v>
      </c>
      <c r="IJS803" s="193" t="s">
        <v>1487</v>
      </c>
      <c r="IJT803" s="193" t="s">
        <v>1487</v>
      </c>
      <c r="IJU803" s="193" t="s">
        <v>1487</v>
      </c>
      <c r="IJV803" s="193" t="s">
        <v>1487</v>
      </c>
      <c r="IJW803" s="193" t="s">
        <v>1487</v>
      </c>
      <c r="IJX803" s="193" t="s">
        <v>1487</v>
      </c>
      <c r="IJY803" s="193" t="s">
        <v>1487</v>
      </c>
      <c r="IJZ803" s="193" t="s">
        <v>1487</v>
      </c>
      <c r="IKA803" s="193" t="s">
        <v>1487</v>
      </c>
      <c r="IKB803" s="193" t="s">
        <v>1487</v>
      </c>
      <c r="IKC803" s="193" t="s">
        <v>1487</v>
      </c>
      <c r="IKD803" s="193" t="s">
        <v>1487</v>
      </c>
      <c r="IKE803" s="193" t="s">
        <v>1487</v>
      </c>
      <c r="IKF803" s="193" t="s">
        <v>1487</v>
      </c>
      <c r="IKG803" s="193" t="s">
        <v>1487</v>
      </c>
      <c r="IKH803" s="193" t="s">
        <v>1487</v>
      </c>
      <c r="IKI803" s="193" t="s">
        <v>1487</v>
      </c>
      <c r="IKJ803" s="193" t="s">
        <v>1487</v>
      </c>
      <c r="IKK803" s="193" t="s">
        <v>1487</v>
      </c>
      <c r="IKL803" s="193" t="s">
        <v>1487</v>
      </c>
      <c r="IKM803" s="193" t="s">
        <v>1487</v>
      </c>
      <c r="IKN803" s="193" t="s">
        <v>1487</v>
      </c>
      <c r="IKO803" s="193" t="s">
        <v>1487</v>
      </c>
      <c r="IKP803" s="193" t="s">
        <v>1487</v>
      </c>
      <c r="IKQ803" s="193" t="s">
        <v>1487</v>
      </c>
      <c r="IKR803" s="193" t="s">
        <v>1487</v>
      </c>
      <c r="IKS803" s="193" t="s">
        <v>1487</v>
      </c>
      <c r="IKT803" s="193" t="s">
        <v>1487</v>
      </c>
      <c r="IKU803" s="193" t="s">
        <v>1487</v>
      </c>
      <c r="IKV803" s="193" t="s">
        <v>1487</v>
      </c>
      <c r="IKW803" s="193" t="s">
        <v>1487</v>
      </c>
      <c r="IKX803" s="193" t="s">
        <v>1487</v>
      </c>
      <c r="IKY803" s="193" t="s">
        <v>1487</v>
      </c>
      <c r="IKZ803" s="193" t="s">
        <v>1487</v>
      </c>
      <c r="ILA803" s="193" t="s">
        <v>1487</v>
      </c>
      <c r="ILB803" s="193" t="s">
        <v>1487</v>
      </c>
      <c r="ILC803" s="193" t="s">
        <v>1487</v>
      </c>
      <c r="ILD803" s="193" t="s">
        <v>1487</v>
      </c>
      <c r="ILE803" s="193" t="s">
        <v>1487</v>
      </c>
      <c r="ILF803" s="193" t="s">
        <v>1487</v>
      </c>
      <c r="ILG803" s="193" t="s">
        <v>1487</v>
      </c>
      <c r="ILH803" s="193" t="s">
        <v>1487</v>
      </c>
      <c r="ILI803" s="193" t="s">
        <v>1487</v>
      </c>
      <c r="ILJ803" s="193" t="s">
        <v>1487</v>
      </c>
      <c r="ILK803" s="193" t="s">
        <v>1487</v>
      </c>
      <c r="ILL803" s="193" t="s">
        <v>1487</v>
      </c>
      <c r="ILM803" s="193" t="s">
        <v>1487</v>
      </c>
      <c r="ILN803" s="193" t="s">
        <v>1487</v>
      </c>
      <c r="ILO803" s="193" t="s">
        <v>1487</v>
      </c>
      <c r="ILP803" s="193" t="s">
        <v>1487</v>
      </c>
      <c r="ILQ803" s="193" t="s">
        <v>1487</v>
      </c>
      <c r="ILR803" s="193" t="s">
        <v>1487</v>
      </c>
      <c r="ILS803" s="193" t="s">
        <v>1487</v>
      </c>
      <c r="ILT803" s="193" t="s">
        <v>1487</v>
      </c>
      <c r="ILU803" s="193" t="s">
        <v>1487</v>
      </c>
      <c r="ILV803" s="193" t="s">
        <v>1487</v>
      </c>
      <c r="ILW803" s="193" t="s">
        <v>1487</v>
      </c>
      <c r="ILX803" s="193" t="s">
        <v>1487</v>
      </c>
      <c r="ILY803" s="193" t="s">
        <v>1487</v>
      </c>
      <c r="ILZ803" s="193" t="s">
        <v>1487</v>
      </c>
      <c r="IMA803" s="193" t="s">
        <v>1487</v>
      </c>
      <c r="IMB803" s="193" t="s">
        <v>1487</v>
      </c>
      <c r="IMC803" s="193" t="s">
        <v>1487</v>
      </c>
      <c r="IMD803" s="193" t="s">
        <v>1487</v>
      </c>
      <c r="IME803" s="193" t="s">
        <v>1487</v>
      </c>
      <c r="IMF803" s="193" t="s">
        <v>1487</v>
      </c>
      <c r="IMG803" s="193" t="s">
        <v>1487</v>
      </c>
      <c r="IMH803" s="193" t="s">
        <v>1487</v>
      </c>
      <c r="IMI803" s="193" t="s">
        <v>1487</v>
      </c>
      <c r="IMJ803" s="193" t="s">
        <v>1487</v>
      </c>
      <c r="IMK803" s="193" t="s">
        <v>1487</v>
      </c>
      <c r="IML803" s="193" t="s">
        <v>1487</v>
      </c>
      <c r="IMM803" s="193" t="s">
        <v>1487</v>
      </c>
      <c r="IMN803" s="193" t="s">
        <v>1487</v>
      </c>
      <c r="IMO803" s="193" t="s">
        <v>1487</v>
      </c>
      <c r="IMP803" s="193" t="s">
        <v>1487</v>
      </c>
      <c r="IMQ803" s="193" t="s">
        <v>1487</v>
      </c>
      <c r="IMR803" s="193" t="s">
        <v>1487</v>
      </c>
      <c r="IMS803" s="193" t="s">
        <v>1487</v>
      </c>
      <c r="IMT803" s="193" t="s">
        <v>1487</v>
      </c>
      <c r="IMU803" s="193" t="s">
        <v>1487</v>
      </c>
      <c r="IMV803" s="193" t="s">
        <v>1487</v>
      </c>
      <c r="IMW803" s="193" t="s">
        <v>1487</v>
      </c>
      <c r="IMX803" s="193" t="s">
        <v>1487</v>
      </c>
      <c r="IMY803" s="193" t="s">
        <v>1487</v>
      </c>
      <c r="IMZ803" s="193" t="s">
        <v>1487</v>
      </c>
      <c r="INA803" s="193" t="s">
        <v>1487</v>
      </c>
      <c r="INB803" s="193" t="s">
        <v>1487</v>
      </c>
      <c r="INC803" s="193" t="s">
        <v>1487</v>
      </c>
      <c r="IND803" s="193" t="s">
        <v>1487</v>
      </c>
      <c r="INE803" s="193" t="s">
        <v>1487</v>
      </c>
      <c r="INF803" s="193" t="s">
        <v>1487</v>
      </c>
      <c r="ING803" s="193" t="s">
        <v>1487</v>
      </c>
      <c r="INH803" s="193" t="s">
        <v>1487</v>
      </c>
      <c r="INI803" s="193" t="s">
        <v>1487</v>
      </c>
      <c r="INJ803" s="193" t="s">
        <v>1487</v>
      </c>
      <c r="INK803" s="193" t="s">
        <v>1487</v>
      </c>
      <c r="INL803" s="193" t="s">
        <v>1487</v>
      </c>
      <c r="INM803" s="193" t="s">
        <v>1487</v>
      </c>
      <c r="INN803" s="193" t="s">
        <v>1487</v>
      </c>
      <c r="INO803" s="193" t="s">
        <v>1487</v>
      </c>
      <c r="INP803" s="193" t="s">
        <v>1487</v>
      </c>
      <c r="INQ803" s="193" t="s">
        <v>1487</v>
      </c>
      <c r="INR803" s="193" t="s">
        <v>1487</v>
      </c>
      <c r="INS803" s="193" t="s">
        <v>1487</v>
      </c>
      <c r="INT803" s="193" t="s">
        <v>1487</v>
      </c>
      <c r="INU803" s="193" t="s">
        <v>1487</v>
      </c>
      <c r="INV803" s="193" t="s">
        <v>1487</v>
      </c>
      <c r="INW803" s="193" t="s">
        <v>1487</v>
      </c>
      <c r="INX803" s="193" t="s">
        <v>1487</v>
      </c>
      <c r="INY803" s="193" t="s">
        <v>1487</v>
      </c>
      <c r="INZ803" s="193" t="s">
        <v>1487</v>
      </c>
      <c r="IOA803" s="193" t="s">
        <v>1487</v>
      </c>
      <c r="IOB803" s="193" t="s">
        <v>1487</v>
      </c>
      <c r="IOC803" s="193" t="s">
        <v>1487</v>
      </c>
      <c r="IOD803" s="193" t="s">
        <v>1487</v>
      </c>
      <c r="IOE803" s="193" t="s">
        <v>1487</v>
      </c>
      <c r="IOF803" s="193" t="s">
        <v>1487</v>
      </c>
      <c r="IOG803" s="193" t="s">
        <v>1487</v>
      </c>
      <c r="IOH803" s="193" t="s">
        <v>1487</v>
      </c>
      <c r="IOI803" s="193" t="s">
        <v>1487</v>
      </c>
      <c r="IOJ803" s="193" t="s">
        <v>1487</v>
      </c>
      <c r="IOK803" s="193" t="s">
        <v>1487</v>
      </c>
      <c r="IOL803" s="193" t="s">
        <v>1487</v>
      </c>
      <c r="IOM803" s="193" t="s">
        <v>1487</v>
      </c>
      <c r="ION803" s="193" t="s">
        <v>1487</v>
      </c>
      <c r="IOO803" s="193" t="s">
        <v>1487</v>
      </c>
      <c r="IOP803" s="193" t="s">
        <v>1487</v>
      </c>
      <c r="IOQ803" s="193" t="s">
        <v>1487</v>
      </c>
      <c r="IOR803" s="193" t="s">
        <v>1487</v>
      </c>
      <c r="IOS803" s="193" t="s">
        <v>1487</v>
      </c>
      <c r="IOT803" s="193" t="s">
        <v>1487</v>
      </c>
      <c r="IOU803" s="193" t="s">
        <v>1487</v>
      </c>
      <c r="IOV803" s="193" t="s">
        <v>1487</v>
      </c>
      <c r="IOW803" s="193" t="s">
        <v>1487</v>
      </c>
      <c r="IOX803" s="193" t="s">
        <v>1487</v>
      </c>
      <c r="IOY803" s="193" t="s">
        <v>1487</v>
      </c>
      <c r="IOZ803" s="193" t="s">
        <v>1487</v>
      </c>
      <c r="IPA803" s="193" t="s">
        <v>1487</v>
      </c>
      <c r="IPB803" s="193" t="s">
        <v>1487</v>
      </c>
      <c r="IPC803" s="193" t="s">
        <v>1487</v>
      </c>
      <c r="IPD803" s="193" t="s">
        <v>1487</v>
      </c>
      <c r="IPE803" s="193" t="s">
        <v>1487</v>
      </c>
      <c r="IPF803" s="193" t="s">
        <v>1487</v>
      </c>
      <c r="IPG803" s="193" t="s">
        <v>1487</v>
      </c>
      <c r="IPH803" s="193" t="s">
        <v>1487</v>
      </c>
      <c r="IPI803" s="193" t="s">
        <v>1487</v>
      </c>
      <c r="IPJ803" s="193" t="s">
        <v>1487</v>
      </c>
      <c r="IPK803" s="193" t="s">
        <v>1487</v>
      </c>
      <c r="IPL803" s="193" t="s">
        <v>1487</v>
      </c>
      <c r="IPM803" s="193" t="s">
        <v>1487</v>
      </c>
      <c r="IPN803" s="193" t="s">
        <v>1487</v>
      </c>
      <c r="IPO803" s="193" t="s">
        <v>1487</v>
      </c>
      <c r="IPP803" s="193" t="s">
        <v>1487</v>
      </c>
      <c r="IPQ803" s="193" t="s">
        <v>1487</v>
      </c>
      <c r="IPR803" s="193" t="s">
        <v>1487</v>
      </c>
      <c r="IPS803" s="193" t="s">
        <v>1487</v>
      </c>
      <c r="IPT803" s="193" t="s">
        <v>1487</v>
      </c>
      <c r="IPU803" s="193" t="s">
        <v>1487</v>
      </c>
      <c r="IPV803" s="193" t="s">
        <v>1487</v>
      </c>
      <c r="IPW803" s="193" t="s">
        <v>1487</v>
      </c>
      <c r="IPX803" s="193" t="s">
        <v>1487</v>
      </c>
      <c r="IPY803" s="193" t="s">
        <v>1487</v>
      </c>
      <c r="IPZ803" s="193" t="s">
        <v>1487</v>
      </c>
      <c r="IQA803" s="193" t="s">
        <v>1487</v>
      </c>
      <c r="IQB803" s="193" t="s">
        <v>1487</v>
      </c>
      <c r="IQC803" s="193" t="s">
        <v>1487</v>
      </c>
      <c r="IQD803" s="193" t="s">
        <v>1487</v>
      </c>
      <c r="IQE803" s="193" t="s">
        <v>1487</v>
      </c>
      <c r="IQF803" s="193" t="s">
        <v>1487</v>
      </c>
      <c r="IQG803" s="193" t="s">
        <v>1487</v>
      </c>
      <c r="IQH803" s="193" t="s">
        <v>1487</v>
      </c>
      <c r="IQI803" s="193" t="s">
        <v>1487</v>
      </c>
      <c r="IQJ803" s="193" t="s">
        <v>1487</v>
      </c>
      <c r="IQK803" s="193" t="s">
        <v>1487</v>
      </c>
      <c r="IQL803" s="193" t="s">
        <v>1487</v>
      </c>
      <c r="IQM803" s="193" t="s">
        <v>1487</v>
      </c>
      <c r="IQN803" s="193" t="s">
        <v>1487</v>
      </c>
      <c r="IQO803" s="193" t="s">
        <v>1487</v>
      </c>
      <c r="IQP803" s="193" t="s">
        <v>1487</v>
      </c>
      <c r="IQQ803" s="193" t="s">
        <v>1487</v>
      </c>
      <c r="IQR803" s="193" t="s">
        <v>1487</v>
      </c>
      <c r="IQS803" s="193" t="s">
        <v>1487</v>
      </c>
      <c r="IQT803" s="193" t="s">
        <v>1487</v>
      </c>
      <c r="IQU803" s="193" t="s">
        <v>1487</v>
      </c>
      <c r="IQV803" s="193" t="s">
        <v>1487</v>
      </c>
      <c r="IQW803" s="193" t="s">
        <v>1487</v>
      </c>
      <c r="IQX803" s="193" t="s">
        <v>1487</v>
      </c>
      <c r="IQY803" s="193" t="s">
        <v>1487</v>
      </c>
      <c r="IQZ803" s="193" t="s">
        <v>1487</v>
      </c>
      <c r="IRA803" s="193" t="s">
        <v>1487</v>
      </c>
      <c r="IRB803" s="193" t="s">
        <v>1487</v>
      </c>
      <c r="IRC803" s="193" t="s">
        <v>1487</v>
      </c>
      <c r="IRD803" s="193" t="s">
        <v>1487</v>
      </c>
      <c r="IRE803" s="193" t="s">
        <v>1487</v>
      </c>
      <c r="IRF803" s="193" t="s">
        <v>1487</v>
      </c>
      <c r="IRG803" s="193" t="s">
        <v>1487</v>
      </c>
      <c r="IRH803" s="193" t="s">
        <v>1487</v>
      </c>
      <c r="IRI803" s="193" t="s">
        <v>1487</v>
      </c>
      <c r="IRJ803" s="193" t="s">
        <v>1487</v>
      </c>
      <c r="IRK803" s="193" t="s">
        <v>1487</v>
      </c>
      <c r="IRL803" s="193" t="s">
        <v>1487</v>
      </c>
      <c r="IRM803" s="193" t="s">
        <v>1487</v>
      </c>
      <c r="IRN803" s="193" t="s">
        <v>1487</v>
      </c>
      <c r="IRO803" s="193" t="s">
        <v>1487</v>
      </c>
      <c r="IRP803" s="193" t="s">
        <v>1487</v>
      </c>
      <c r="IRQ803" s="193" t="s">
        <v>1487</v>
      </c>
      <c r="IRR803" s="193" t="s">
        <v>1487</v>
      </c>
      <c r="IRS803" s="193" t="s">
        <v>1487</v>
      </c>
      <c r="IRT803" s="193" t="s">
        <v>1487</v>
      </c>
      <c r="IRU803" s="193" t="s">
        <v>1487</v>
      </c>
      <c r="IRV803" s="193" t="s">
        <v>1487</v>
      </c>
      <c r="IRW803" s="193" t="s">
        <v>1487</v>
      </c>
      <c r="IRX803" s="193" t="s">
        <v>1487</v>
      </c>
      <c r="IRY803" s="193" t="s">
        <v>1487</v>
      </c>
      <c r="IRZ803" s="193" t="s">
        <v>1487</v>
      </c>
      <c r="ISA803" s="193" t="s">
        <v>1487</v>
      </c>
      <c r="ISB803" s="193" t="s">
        <v>1487</v>
      </c>
      <c r="ISC803" s="193" t="s">
        <v>1487</v>
      </c>
      <c r="ISD803" s="193" t="s">
        <v>1487</v>
      </c>
      <c r="ISE803" s="193" t="s">
        <v>1487</v>
      </c>
      <c r="ISF803" s="193" t="s">
        <v>1487</v>
      </c>
      <c r="ISG803" s="193" t="s">
        <v>1487</v>
      </c>
      <c r="ISH803" s="193" t="s">
        <v>1487</v>
      </c>
      <c r="ISI803" s="193" t="s">
        <v>1487</v>
      </c>
      <c r="ISJ803" s="193" t="s">
        <v>1487</v>
      </c>
      <c r="ISK803" s="193" t="s">
        <v>1487</v>
      </c>
      <c r="ISL803" s="193" t="s">
        <v>1487</v>
      </c>
      <c r="ISM803" s="193" t="s">
        <v>1487</v>
      </c>
      <c r="ISN803" s="193" t="s">
        <v>1487</v>
      </c>
      <c r="ISO803" s="193" t="s">
        <v>1487</v>
      </c>
      <c r="ISP803" s="193" t="s">
        <v>1487</v>
      </c>
      <c r="ISQ803" s="193" t="s">
        <v>1487</v>
      </c>
      <c r="ISR803" s="193" t="s">
        <v>1487</v>
      </c>
      <c r="ISS803" s="193" t="s">
        <v>1487</v>
      </c>
      <c r="IST803" s="193" t="s">
        <v>1487</v>
      </c>
      <c r="ISU803" s="193" t="s">
        <v>1487</v>
      </c>
      <c r="ISV803" s="193" t="s">
        <v>1487</v>
      </c>
      <c r="ISW803" s="193" t="s">
        <v>1487</v>
      </c>
      <c r="ISX803" s="193" t="s">
        <v>1487</v>
      </c>
      <c r="ISY803" s="193" t="s">
        <v>1487</v>
      </c>
      <c r="ISZ803" s="193" t="s">
        <v>1487</v>
      </c>
      <c r="ITA803" s="193" t="s">
        <v>1487</v>
      </c>
      <c r="ITB803" s="193" t="s">
        <v>1487</v>
      </c>
      <c r="ITC803" s="193" t="s">
        <v>1487</v>
      </c>
      <c r="ITD803" s="193" t="s">
        <v>1487</v>
      </c>
      <c r="ITE803" s="193" t="s">
        <v>1487</v>
      </c>
      <c r="ITF803" s="193" t="s">
        <v>1487</v>
      </c>
      <c r="ITG803" s="193" t="s">
        <v>1487</v>
      </c>
      <c r="ITH803" s="193" t="s">
        <v>1487</v>
      </c>
      <c r="ITI803" s="193" t="s">
        <v>1487</v>
      </c>
      <c r="ITJ803" s="193" t="s">
        <v>1487</v>
      </c>
      <c r="ITK803" s="193" t="s">
        <v>1487</v>
      </c>
      <c r="ITL803" s="193" t="s">
        <v>1487</v>
      </c>
      <c r="ITM803" s="193" t="s">
        <v>1487</v>
      </c>
      <c r="ITN803" s="193" t="s">
        <v>1487</v>
      </c>
      <c r="ITO803" s="193" t="s">
        <v>1487</v>
      </c>
      <c r="ITP803" s="193" t="s">
        <v>1487</v>
      </c>
      <c r="ITQ803" s="193" t="s">
        <v>1487</v>
      </c>
      <c r="ITR803" s="193" t="s">
        <v>1487</v>
      </c>
      <c r="ITS803" s="193" t="s">
        <v>1487</v>
      </c>
      <c r="ITT803" s="193" t="s">
        <v>1487</v>
      </c>
      <c r="ITU803" s="193" t="s">
        <v>1487</v>
      </c>
      <c r="ITV803" s="193" t="s">
        <v>1487</v>
      </c>
      <c r="ITW803" s="193" t="s">
        <v>1487</v>
      </c>
      <c r="ITX803" s="193" t="s">
        <v>1487</v>
      </c>
      <c r="ITY803" s="193" t="s">
        <v>1487</v>
      </c>
      <c r="ITZ803" s="193" t="s">
        <v>1487</v>
      </c>
      <c r="IUA803" s="193" t="s">
        <v>1487</v>
      </c>
      <c r="IUB803" s="193" t="s">
        <v>1487</v>
      </c>
      <c r="IUC803" s="193" t="s">
        <v>1487</v>
      </c>
      <c r="IUD803" s="193" t="s">
        <v>1487</v>
      </c>
      <c r="IUE803" s="193" t="s">
        <v>1487</v>
      </c>
      <c r="IUF803" s="193" t="s">
        <v>1487</v>
      </c>
      <c r="IUG803" s="193" t="s">
        <v>1487</v>
      </c>
      <c r="IUH803" s="193" t="s">
        <v>1487</v>
      </c>
      <c r="IUI803" s="193" t="s">
        <v>1487</v>
      </c>
      <c r="IUJ803" s="193" t="s">
        <v>1487</v>
      </c>
      <c r="IUK803" s="193" t="s">
        <v>1487</v>
      </c>
      <c r="IUL803" s="193" t="s">
        <v>1487</v>
      </c>
      <c r="IUM803" s="193" t="s">
        <v>1487</v>
      </c>
      <c r="IUN803" s="193" t="s">
        <v>1487</v>
      </c>
      <c r="IUO803" s="193" t="s">
        <v>1487</v>
      </c>
      <c r="IUP803" s="193" t="s">
        <v>1487</v>
      </c>
      <c r="IUQ803" s="193" t="s">
        <v>1487</v>
      </c>
      <c r="IUR803" s="193" t="s">
        <v>1487</v>
      </c>
      <c r="IUS803" s="193" t="s">
        <v>1487</v>
      </c>
      <c r="IUT803" s="193" t="s">
        <v>1487</v>
      </c>
      <c r="IUU803" s="193" t="s">
        <v>1487</v>
      </c>
      <c r="IUV803" s="193" t="s">
        <v>1487</v>
      </c>
      <c r="IUW803" s="193" t="s">
        <v>1487</v>
      </c>
      <c r="IUX803" s="193" t="s">
        <v>1487</v>
      </c>
      <c r="IUY803" s="193" t="s">
        <v>1487</v>
      </c>
      <c r="IUZ803" s="193" t="s">
        <v>1487</v>
      </c>
      <c r="IVA803" s="193" t="s">
        <v>1487</v>
      </c>
      <c r="IVB803" s="193" t="s">
        <v>1487</v>
      </c>
      <c r="IVC803" s="193" t="s">
        <v>1487</v>
      </c>
      <c r="IVD803" s="193" t="s">
        <v>1487</v>
      </c>
      <c r="IVE803" s="193" t="s">
        <v>1487</v>
      </c>
      <c r="IVF803" s="193" t="s">
        <v>1487</v>
      </c>
      <c r="IVG803" s="193" t="s">
        <v>1487</v>
      </c>
      <c r="IVH803" s="193" t="s">
        <v>1487</v>
      </c>
      <c r="IVI803" s="193" t="s">
        <v>1487</v>
      </c>
      <c r="IVJ803" s="193" t="s">
        <v>1487</v>
      </c>
      <c r="IVK803" s="193" t="s">
        <v>1487</v>
      </c>
      <c r="IVL803" s="193" t="s">
        <v>1487</v>
      </c>
      <c r="IVM803" s="193" t="s">
        <v>1487</v>
      </c>
      <c r="IVN803" s="193" t="s">
        <v>1487</v>
      </c>
      <c r="IVO803" s="193" t="s">
        <v>1487</v>
      </c>
      <c r="IVP803" s="193" t="s">
        <v>1487</v>
      </c>
      <c r="IVQ803" s="193" t="s">
        <v>1487</v>
      </c>
      <c r="IVR803" s="193" t="s">
        <v>1487</v>
      </c>
      <c r="IVS803" s="193" t="s">
        <v>1487</v>
      </c>
      <c r="IVT803" s="193" t="s">
        <v>1487</v>
      </c>
      <c r="IVU803" s="193" t="s">
        <v>1487</v>
      </c>
      <c r="IVV803" s="193" t="s">
        <v>1487</v>
      </c>
      <c r="IVW803" s="193" t="s">
        <v>1487</v>
      </c>
      <c r="IVX803" s="193" t="s">
        <v>1487</v>
      </c>
      <c r="IVY803" s="193" t="s">
        <v>1487</v>
      </c>
      <c r="IVZ803" s="193" t="s">
        <v>1487</v>
      </c>
      <c r="IWA803" s="193" t="s">
        <v>1487</v>
      </c>
      <c r="IWB803" s="193" t="s">
        <v>1487</v>
      </c>
      <c r="IWC803" s="193" t="s">
        <v>1487</v>
      </c>
      <c r="IWD803" s="193" t="s">
        <v>1487</v>
      </c>
      <c r="IWE803" s="193" t="s">
        <v>1487</v>
      </c>
      <c r="IWF803" s="193" t="s">
        <v>1487</v>
      </c>
      <c r="IWG803" s="193" t="s">
        <v>1487</v>
      </c>
      <c r="IWH803" s="193" t="s">
        <v>1487</v>
      </c>
      <c r="IWI803" s="193" t="s">
        <v>1487</v>
      </c>
      <c r="IWJ803" s="193" t="s">
        <v>1487</v>
      </c>
      <c r="IWK803" s="193" t="s">
        <v>1487</v>
      </c>
      <c r="IWL803" s="193" t="s">
        <v>1487</v>
      </c>
      <c r="IWM803" s="193" t="s">
        <v>1487</v>
      </c>
      <c r="IWN803" s="193" t="s">
        <v>1487</v>
      </c>
      <c r="IWO803" s="193" t="s">
        <v>1487</v>
      </c>
      <c r="IWP803" s="193" t="s">
        <v>1487</v>
      </c>
      <c r="IWQ803" s="193" t="s">
        <v>1487</v>
      </c>
      <c r="IWR803" s="193" t="s">
        <v>1487</v>
      </c>
      <c r="IWS803" s="193" t="s">
        <v>1487</v>
      </c>
      <c r="IWT803" s="193" t="s">
        <v>1487</v>
      </c>
      <c r="IWU803" s="193" t="s">
        <v>1487</v>
      </c>
      <c r="IWV803" s="193" t="s">
        <v>1487</v>
      </c>
      <c r="IWW803" s="193" t="s">
        <v>1487</v>
      </c>
      <c r="IWX803" s="193" t="s">
        <v>1487</v>
      </c>
      <c r="IWY803" s="193" t="s">
        <v>1487</v>
      </c>
      <c r="IWZ803" s="193" t="s">
        <v>1487</v>
      </c>
      <c r="IXA803" s="193" t="s">
        <v>1487</v>
      </c>
      <c r="IXB803" s="193" t="s">
        <v>1487</v>
      </c>
      <c r="IXC803" s="193" t="s">
        <v>1487</v>
      </c>
      <c r="IXD803" s="193" t="s">
        <v>1487</v>
      </c>
      <c r="IXE803" s="193" t="s">
        <v>1487</v>
      </c>
      <c r="IXF803" s="193" t="s">
        <v>1487</v>
      </c>
      <c r="IXG803" s="193" t="s">
        <v>1487</v>
      </c>
      <c r="IXH803" s="193" t="s">
        <v>1487</v>
      </c>
      <c r="IXI803" s="193" t="s">
        <v>1487</v>
      </c>
      <c r="IXJ803" s="193" t="s">
        <v>1487</v>
      </c>
      <c r="IXK803" s="193" t="s">
        <v>1487</v>
      </c>
      <c r="IXL803" s="193" t="s">
        <v>1487</v>
      </c>
      <c r="IXM803" s="193" t="s">
        <v>1487</v>
      </c>
      <c r="IXN803" s="193" t="s">
        <v>1487</v>
      </c>
      <c r="IXO803" s="193" t="s">
        <v>1487</v>
      </c>
      <c r="IXP803" s="193" t="s">
        <v>1487</v>
      </c>
      <c r="IXQ803" s="193" t="s">
        <v>1487</v>
      </c>
      <c r="IXR803" s="193" t="s">
        <v>1487</v>
      </c>
      <c r="IXS803" s="193" t="s">
        <v>1487</v>
      </c>
      <c r="IXT803" s="193" t="s">
        <v>1487</v>
      </c>
      <c r="IXU803" s="193" t="s">
        <v>1487</v>
      </c>
      <c r="IXV803" s="193" t="s">
        <v>1487</v>
      </c>
      <c r="IXW803" s="193" t="s">
        <v>1487</v>
      </c>
      <c r="IXX803" s="193" t="s">
        <v>1487</v>
      </c>
      <c r="IXY803" s="193" t="s">
        <v>1487</v>
      </c>
      <c r="IXZ803" s="193" t="s">
        <v>1487</v>
      </c>
      <c r="IYA803" s="193" t="s">
        <v>1487</v>
      </c>
      <c r="IYB803" s="193" t="s">
        <v>1487</v>
      </c>
      <c r="IYC803" s="193" t="s">
        <v>1487</v>
      </c>
      <c r="IYD803" s="193" t="s">
        <v>1487</v>
      </c>
      <c r="IYE803" s="193" t="s">
        <v>1487</v>
      </c>
      <c r="IYF803" s="193" t="s">
        <v>1487</v>
      </c>
      <c r="IYG803" s="193" t="s">
        <v>1487</v>
      </c>
      <c r="IYH803" s="193" t="s">
        <v>1487</v>
      </c>
      <c r="IYI803" s="193" t="s">
        <v>1487</v>
      </c>
      <c r="IYJ803" s="193" t="s">
        <v>1487</v>
      </c>
      <c r="IYK803" s="193" t="s">
        <v>1487</v>
      </c>
      <c r="IYL803" s="193" t="s">
        <v>1487</v>
      </c>
      <c r="IYM803" s="193" t="s">
        <v>1487</v>
      </c>
      <c r="IYN803" s="193" t="s">
        <v>1487</v>
      </c>
      <c r="IYO803" s="193" t="s">
        <v>1487</v>
      </c>
      <c r="IYP803" s="193" t="s">
        <v>1487</v>
      </c>
      <c r="IYQ803" s="193" t="s">
        <v>1487</v>
      </c>
      <c r="IYR803" s="193" t="s">
        <v>1487</v>
      </c>
      <c r="IYS803" s="193" t="s">
        <v>1487</v>
      </c>
      <c r="IYT803" s="193" t="s">
        <v>1487</v>
      </c>
      <c r="IYU803" s="193" t="s">
        <v>1487</v>
      </c>
      <c r="IYV803" s="193" t="s">
        <v>1487</v>
      </c>
      <c r="IYW803" s="193" t="s">
        <v>1487</v>
      </c>
      <c r="IYX803" s="193" t="s">
        <v>1487</v>
      </c>
      <c r="IYY803" s="193" t="s">
        <v>1487</v>
      </c>
      <c r="IYZ803" s="193" t="s">
        <v>1487</v>
      </c>
      <c r="IZA803" s="193" t="s">
        <v>1487</v>
      </c>
      <c r="IZB803" s="193" t="s">
        <v>1487</v>
      </c>
      <c r="IZC803" s="193" t="s">
        <v>1487</v>
      </c>
      <c r="IZD803" s="193" t="s">
        <v>1487</v>
      </c>
      <c r="IZE803" s="193" t="s">
        <v>1487</v>
      </c>
      <c r="IZF803" s="193" t="s">
        <v>1487</v>
      </c>
      <c r="IZG803" s="193" t="s">
        <v>1487</v>
      </c>
      <c r="IZH803" s="193" t="s">
        <v>1487</v>
      </c>
      <c r="IZI803" s="193" t="s">
        <v>1487</v>
      </c>
      <c r="IZJ803" s="193" t="s">
        <v>1487</v>
      </c>
      <c r="IZK803" s="193" t="s">
        <v>1487</v>
      </c>
      <c r="IZL803" s="193" t="s">
        <v>1487</v>
      </c>
      <c r="IZM803" s="193" t="s">
        <v>1487</v>
      </c>
      <c r="IZN803" s="193" t="s">
        <v>1487</v>
      </c>
      <c r="IZO803" s="193" t="s">
        <v>1487</v>
      </c>
      <c r="IZP803" s="193" t="s">
        <v>1487</v>
      </c>
      <c r="IZQ803" s="193" t="s">
        <v>1487</v>
      </c>
      <c r="IZR803" s="193" t="s">
        <v>1487</v>
      </c>
      <c r="IZS803" s="193" t="s">
        <v>1487</v>
      </c>
      <c r="IZT803" s="193" t="s">
        <v>1487</v>
      </c>
      <c r="IZU803" s="193" t="s">
        <v>1487</v>
      </c>
      <c r="IZV803" s="193" t="s">
        <v>1487</v>
      </c>
      <c r="IZW803" s="193" t="s">
        <v>1487</v>
      </c>
      <c r="IZX803" s="193" t="s">
        <v>1487</v>
      </c>
      <c r="IZY803" s="193" t="s">
        <v>1487</v>
      </c>
      <c r="IZZ803" s="193" t="s">
        <v>1487</v>
      </c>
      <c r="JAA803" s="193" t="s">
        <v>1487</v>
      </c>
      <c r="JAB803" s="193" t="s">
        <v>1487</v>
      </c>
      <c r="JAC803" s="193" t="s">
        <v>1487</v>
      </c>
      <c r="JAD803" s="193" t="s">
        <v>1487</v>
      </c>
      <c r="JAE803" s="193" t="s">
        <v>1487</v>
      </c>
      <c r="JAF803" s="193" t="s">
        <v>1487</v>
      </c>
      <c r="JAG803" s="193" t="s">
        <v>1487</v>
      </c>
      <c r="JAH803" s="193" t="s">
        <v>1487</v>
      </c>
      <c r="JAI803" s="193" t="s">
        <v>1487</v>
      </c>
      <c r="JAJ803" s="193" t="s">
        <v>1487</v>
      </c>
      <c r="JAK803" s="193" t="s">
        <v>1487</v>
      </c>
      <c r="JAL803" s="193" t="s">
        <v>1487</v>
      </c>
      <c r="JAM803" s="193" t="s">
        <v>1487</v>
      </c>
      <c r="JAN803" s="193" t="s">
        <v>1487</v>
      </c>
      <c r="JAO803" s="193" t="s">
        <v>1487</v>
      </c>
      <c r="JAP803" s="193" t="s">
        <v>1487</v>
      </c>
      <c r="JAQ803" s="193" t="s">
        <v>1487</v>
      </c>
      <c r="JAR803" s="193" t="s">
        <v>1487</v>
      </c>
      <c r="JAS803" s="193" t="s">
        <v>1487</v>
      </c>
      <c r="JAT803" s="193" t="s">
        <v>1487</v>
      </c>
      <c r="JAU803" s="193" t="s">
        <v>1487</v>
      </c>
      <c r="JAV803" s="193" t="s">
        <v>1487</v>
      </c>
      <c r="JAW803" s="193" t="s">
        <v>1487</v>
      </c>
      <c r="JAX803" s="193" t="s">
        <v>1487</v>
      </c>
      <c r="JAY803" s="193" t="s">
        <v>1487</v>
      </c>
      <c r="JAZ803" s="193" t="s">
        <v>1487</v>
      </c>
      <c r="JBA803" s="193" t="s">
        <v>1487</v>
      </c>
      <c r="JBB803" s="193" t="s">
        <v>1487</v>
      </c>
      <c r="JBC803" s="193" t="s">
        <v>1487</v>
      </c>
      <c r="JBD803" s="193" t="s">
        <v>1487</v>
      </c>
      <c r="JBE803" s="193" t="s">
        <v>1487</v>
      </c>
      <c r="JBF803" s="193" t="s">
        <v>1487</v>
      </c>
      <c r="JBG803" s="193" t="s">
        <v>1487</v>
      </c>
      <c r="JBH803" s="193" t="s">
        <v>1487</v>
      </c>
      <c r="JBI803" s="193" t="s">
        <v>1487</v>
      </c>
      <c r="JBJ803" s="193" t="s">
        <v>1487</v>
      </c>
      <c r="JBK803" s="193" t="s">
        <v>1487</v>
      </c>
      <c r="JBL803" s="193" t="s">
        <v>1487</v>
      </c>
      <c r="JBM803" s="193" t="s">
        <v>1487</v>
      </c>
      <c r="JBN803" s="193" t="s">
        <v>1487</v>
      </c>
      <c r="JBO803" s="193" t="s">
        <v>1487</v>
      </c>
      <c r="JBP803" s="193" t="s">
        <v>1487</v>
      </c>
      <c r="JBQ803" s="193" t="s">
        <v>1487</v>
      </c>
      <c r="JBR803" s="193" t="s">
        <v>1487</v>
      </c>
      <c r="JBS803" s="193" t="s">
        <v>1487</v>
      </c>
      <c r="JBT803" s="193" t="s">
        <v>1487</v>
      </c>
      <c r="JBU803" s="193" t="s">
        <v>1487</v>
      </c>
      <c r="JBV803" s="193" t="s">
        <v>1487</v>
      </c>
      <c r="JBW803" s="193" t="s">
        <v>1487</v>
      </c>
      <c r="JBX803" s="193" t="s">
        <v>1487</v>
      </c>
      <c r="JBY803" s="193" t="s">
        <v>1487</v>
      </c>
      <c r="JBZ803" s="193" t="s">
        <v>1487</v>
      </c>
      <c r="JCA803" s="193" t="s">
        <v>1487</v>
      </c>
      <c r="JCB803" s="193" t="s">
        <v>1487</v>
      </c>
      <c r="JCC803" s="193" t="s">
        <v>1487</v>
      </c>
      <c r="JCD803" s="193" t="s">
        <v>1487</v>
      </c>
      <c r="JCE803" s="193" t="s">
        <v>1487</v>
      </c>
      <c r="JCF803" s="193" t="s">
        <v>1487</v>
      </c>
      <c r="JCG803" s="193" t="s">
        <v>1487</v>
      </c>
      <c r="JCH803" s="193" t="s">
        <v>1487</v>
      </c>
      <c r="JCI803" s="193" t="s">
        <v>1487</v>
      </c>
      <c r="JCJ803" s="193" t="s">
        <v>1487</v>
      </c>
      <c r="JCK803" s="193" t="s">
        <v>1487</v>
      </c>
      <c r="JCL803" s="193" t="s">
        <v>1487</v>
      </c>
      <c r="JCM803" s="193" t="s">
        <v>1487</v>
      </c>
      <c r="JCN803" s="193" t="s">
        <v>1487</v>
      </c>
      <c r="JCO803" s="193" t="s">
        <v>1487</v>
      </c>
      <c r="JCP803" s="193" t="s">
        <v>1487</v>
      </c>
      <c r="JCQ803" s="193" t="s">
        <v>1487</v>
      </c>
      <c r="JCR803" s="193" t="s">
        <v>1487</v>
      </c>
      <c r="JCS803" s="193" t="s">
        <v>1487</v>
      </c>
      <c r="JCT803" s="193" t="s">
        <v>1487</v>
      </c>
      <c r="JCU803" s="193" t="s">
        <v>1487</v>
      </c>
      <c r="JCV803" s="193" t="s">
        <v>1487</v>
      </c>
      <c r="JCW803" s="193" t="s">
        <v>1487</v>
      </c>
      <c r="JCX803" s="193" t="s">
        <v>1487</v>
      </c>
      <c r="JCY803" s="193" t="s">
        <v>1487</v>
      </c>
      <c r="JCZ803" s="193" t="s">
        <v>1487</v>
      </c>
      <c r="JDA803" s="193" t="s">
        <v>1487</v>
      </c>
      <c r="JDB803" s="193" t="s">
        <v>1487</v>
      </c>
      <c r="JDC803" s="193" t="s">
        <v>1487</v>
      </c>
      <c r="JDD803" s="193" t="s">
        <v>1487</v>
      </c>
      <c r="JDE803" s="193" t="s">
        <v>1487</v>
      </c>
      <c r="JDF803" s="193" t="s">
        <v>1487</v>
      </c>
      <c r="JDG803" s="193" t="s">
        <v>1487</v>
      </c>
      <c r="JDH803" s="193" t="s">
        <v>1487</v>
      </c>
      <c r="JDI803" s="193" t="s">
        <v>1487</v>
      </c>
      <c r="JDJ803" s="193" t="s">
        <v>1487</v>
      </c>
      <c r="JDK803" s="193" t="s">
        <v>1487</v>
      </c>
      <c r="JDL803" s="193" t="s">
        <v>1487</v>
      </c>
      <c r="JDM803" s="193" t="s">
        <v>1487</v>
      </c>
      <c r="JDN803" s="193" t="s">
        <v>1487</v>
      </c>
      <c r="JDO803" s="193" t="s">
        <v>1487</v>
      </c>
      <c r="JDP803" s="193" t="s">
        <v>1487</v>
      </c>
      <c r="JDQ803" s="193" t="s">
        <v>1487</v>
      </c>
      <c r="JDR803" s="193" t="s">
        <v>1487</v>
      </c>
      <c r="JDS803" s="193" t="s">
        <v>1487</v>
      </c>
      <c r="JDT803" s="193" t="s">
        <v>1487</v>
      </c>
      <c r="JDU803" s="193" t="s">
        <v>1487</v>
      </c>
      <c r="JDV803" s="193" t="s">
        <v>1487</v>
      </c>
      <c r="JDW803" s="193" t="s">
        <v>1487</v>
      </c>
      <c r="JDX803" s="193" t="s">
        <v>1487</v>
      </c>
      <c r="JDY803" s="193" t="s">
        <v>1487</v>
      </c>
      <c r="JDZ803" s="193" t="s">
        <v>1487</v>
      </c>
      <c r="JEA803" s="193" t="s">
        <v>1487</v>
      </c>
      <c r="JEB803" s="193" t="s">
        <v>1487</v>
      </c>
      <c r="JEC803" s="193" t="s">
        <v>1487</v>
      </c>
      <c r="JED803" s="193" t="s">
        <v>1487</v>
      </c>
      <c r="JEE803" s="193" t="s">
        <v>1487</v>
      </c>
      <c r="JEF803" s="193" t="s">
        <v>1487</v>
      </c>
      <c r="JEG803" s="193" t="s">
        <v>1487</v>
      </c>
      <c r="JEH803" s="193" t="s">
        <v>1487</v>
      </c>
      <c r="JEI803" s="193" t="s">
        <v>1487</v>
      </c>
      <c r="JEJ803" s="193" t="s">
        <v>1487</v>
      </c>
      <c r="JEK803" s="193" t="s">
        <v>1487</v>
      </c>
      <c r="JEL803" s="193" t="s">
        <v>1487</v>
      </c>
      <c r="JEM803" s="193" t="s">
        <v>1487</v>
      </c>
      <c r="JEN803" s="193" t="s">
        <v>1487</v>
      </c>
      <c r="JEO803" s="193" t="s">
        <v>1487</v>
      </c>
      <c r="JEP803" s="193" t="s">
        <v>1487</v>
      </c>
      <c r="JEQ803" s="193" t="s">
        <v>1487</v>
      </c>
      <c r="JER803" s="193" t="s">
        <v>1487</v>
      </c>
      <c r="JES803" s="193" t="s">
        <v>1487</v>
      </c>
      <c r="JET803" s="193" t="s">
        <v>1487</v>
      </c>
      <c r="JEU803" s="193" t="s">
        <v>1487</v>
      </c>
      <c r="JEV803" s="193" t="s">
        <v>1487</v>
      </c>
      <c r="JEW803" s="193" t="s">
        <v>1487</v>
      </c>
      <c r="JEX803" s="193" t="s">
        <v>1487</v>
      </c>
      <c r="JEY803" s="193" t="s">
        <v>1487</v>
      </c>
      <c r="JEZ803" s="193" t="s">
        <v>1487</v>
      </c>
      <c r="JFA803" s="193" t="s">
        <v>1487</v>
      </c>
      <c r="JFB803" s="193" t="s">
        <v>1487</v>
      </c>
      <c r="JFC803" s="193" t="s">
        <v>1487</v>
      </c>
      <c r="JFD803" s="193" t="s">
        <v>1487</v>
      </c>
      <c r="JFE803" s="193" t="s">
        <v>1487</v>
      </c>
      <c r="JFF803" s="193" t="s">
        <v>1487</v>
      </c>
      <c r="JFG803" s="193" t="s">
        <v>1487</v>
      </c>
      <c r="JFH803" s="193" t="s">
        <v>1487</v>
      </c>
      <c r="JFI803" s="193" t="s">
        <v>1487</v>
      </c>
      <c r="JFJ803" s="193" t="s">
        <v>1487</v>
      </c>
      <c r="JFK803" s="193" t="s">
        <v>1487</v>
      </c>
      <c r="JFL803" s="193" t="s">
        <v>1487</v>
      </c>
      <c r="JFM803" s="193" t="s">
        <v>1487</v>
      </c>
      <c r="JFN803" s="193" t="s">
        <v>1487</v>
      </c>
      <c r="JFO803" s="193" t="s">
        <v>1487</v>
      </c>
      <c r="JFP803" s="193" t="s">
        <v>1487</v>
      </c>
      <c r="JFQ803" s="193" t="s">
        <v>1487</v>
      </c>
      <c r="JFR803" s="193" t="s">
        <v>1487</v>
      </c>
      <c r="JFS803" s="193" t="s">
        <v>1487</v>
      </c>
      <c r="JFT803" s="193" t="s">
        <v>1487</v>
      </c>
      <c r="JFU803" s="193" t="s">
        <v>1487</v>
      </c>
      <c r="JFV803" s="193" t="s">
        <v>1487</v>
      </c>
      <c r="JFW803" s="193" t="s">
        <v>1487</v>
      </c>
      <c r="JFX803" s="193" t="s">
        <v>1487</v>
      </c>
      <c r="JFY803" s="193" t="s">
        <v>1487</v>
      </c>
      <c r="JFZ803" s="193" t="s">
        <v>1487</v>
      </c>
      <c r="JGA803" s="193" t="s">
        <v>1487</v>
      </c>
      <c r="JGB803" s="193" t="s">
        <v>1487</v>
      </c>
      <c r="JGC803" s="193" t="s">
        <v>1487</v>
      </c>
      <c r="JGD803" s="193" t="s">
        <v>1487</v>
      </c>
      <c r="JGE803" s="193" t="s">
        <v>1487</v>
      </c>
      <c r="JGF803" s="193" t="s">
        <v>1487</v>
      </c>
      <c r="JGG803" s="193" t="s">
        <v>1487</v>
      </c>
      <c r="JGH803" s="193" t="s">
        <v>1487</v>
      </c>
      <c r="JGI803" s="193" t="s">
        <v>1487</v>
      </c>
      <c r="JGJ803" s="193" t="s">
        <v>1487</v>
      </c>
      <c r="JGK803" s="193" t="s">
        <v>1487</v>
      </c>
      <c r="JGL803" s="193" t="s">
        <v>1487</v>
      </c>
      <c r="JGM803" s="193" t="s">
        <v>1487</v>
      </c>
      <c r="JGN803" s="193" t="s">
        <v>1487</v>
      </c>
      <c r="JGO803" s="193" t="s">
        <v>1487</v>
      </c>
      <c r="JGP803" s="193" t="s">
        <v>1487</v>
      </c>
      <c r="JGQ803" s="193" t="s">
        <v>1487</v>
      </c>
      <c r="JGR803" s="193" t="s">
        <v>1487</v>
      </c>
      <c r="JGS803" s="193" t="s">
        <v>1487</v>
      </c>
      <c r="JGT803" s="193" t="s">
        <v>1487</v>
      </c>
      <c r="JGU803" s="193" t="s">
        <v>1487</v>
      </c>
      <c r="JGV803" s="193" t="s">
        <v>1487</v>
      </c>
      <c r="JGW803" s="193" t="s">
        <v>1487</v>
      </c>
      <c r="JGX803" s="193" t="s">
        <v>1487</v>
      </c>
      <c r="JGY803" s="193" t="s">
        <v>1487</v>
      </c>
      <c r="JGZ803" s="193" t="s">
        <v>1487</v>
      </c>
      <c r="JHA803" s="193" t="s">
        <v>1487</v>
      </c>
      <c r="JHB803" s="193" t="s">
        <v>1487</v>
      </c>
      <c r="JHC803" s="193" t="s">
        <v>1487</v>
      </c>
      <c r="JHD803" s="193" t="s">
        <v>1487</v>
      </c>
      <c r="JHE803" s="193" t="s">
        <v>1487</v>
      </c>
      <c r="JHF803" s="193" t="s">
        <v>1487</v>
      </c>
      <c r="JHG803" s="193" t="s">
        <v>1487</v>
      </c>
      <c r="JHH803" s="193" t="s">
        <v>1487</v>
      </c>
      <c r="JHI803" s="193" t="s">
        <v>1487</v>
      </c>
      <c r="JHJ803" s="193" t="s">
        <v>1487</v>
      </c>
      <c r="JHK803" s="193" t="s">
        <v>1487</v>
      </c>
      <c r="JHL803" s="193" t="s">
        <v>1487</v>
      </c>
      <c r="JHM803" s="193" t="s">
        <v>1487</v>
      </c>
      <c r="JHN803" s="193" t="s">
        <v>1487</v>
      </c>
      <c r="JHO803" s="193" t="s">
        <v>1487</v>
      </c>
      <c r="JHP803" s="193" t="s">
        <v>1487</v>
      </c>
      <c r="JHQ803" s="193" t="s">
        <v>1487</v>
      </c>
      <c r="JHR803" s="193" t="s">
        <v>1487</v>
      </c>
      <c r="JHS803" s="193" t="s">
        <v>1487</v>
      </c>
      <c r="JHT803" s="193" t="s">
        <v>1487</v>
      </c>
      <c r="JHU803" s="193" t="s">
        <v>1487</v>
      </c>
      <c r="JHV803" s="193" t="s">
        <v>1487</v>
      </c>
      <c r="JHW803" s="193" t="s">
        <v>1487</v>
      </c>
      <c r="JHX803" s="193" t="s">
        <v>1487</v>
      </c>
      <c r="JHY803" s="193" t="s">
        <v>1487</v>
      </c>
      <c r="JHZ803" s="193" t="s">
        <v>1487</v>
      </c>
      <c r="JIA803" s="193" t="s">
        <v>1487</v>
      </c>
      <c r="JIB803" s="193" t="s">
        <v>1487</v>
      </c>
      <c r="JIC803" s="193" t="s">
        <v>1487</v>
      </c>
      <c r="JID803" s="193" t="s">
        <v>1487</v>
      </c>
      <c r="JIE803" s="193" t="s">
        <v>1487</v>
      </c>
      <c r="JIF803" s="193" t="s">
        <v>1487</v>
      </c>
      <c r="JIG803" s="193" t="s">
        <v>1487</v>
      </c>
      <c r="JIH803" s="193" t="s">
        <v>1487</v>
      </c>
      <c r="JII803" s="193" t="s">
        <v>1487</v>
      </c>
      <c r="JIJ803" s="193" t="s">
        <v>1487</v>
      </c>
      <c r="JIK803" s="193" t="s">
        <v>1487</v>
      </c>
      <c r="JIL803" s="193" t="s">
        <v>1487</v>
      </c>
      <c r="JIM803" s="193" t="s">
        <v>1487</v>
      </c>
      <c r="JIN803" s="193" t="s">
        <v>1487</v>
      </c>
      <c r="JIO803" s="193" t="s">
        <v>1487</v>
      </c>
      <c r="JIP803" s="193" t="s">
        <v>1487</v>
      </c>
      <c r="JIQ803" s="193" t="s">
        <v>1487</v>
      </c>
      <c r="JIR803" s="193" t="s">
        <v>1487</v>
      </c>
      <c r="JIS803" s="193" t="s">
        <v>1487</v>
      </c>
      <c r="JIT803" s="193" t="s">
        <v>1487</v>
      </c>
      <c r="JIU803" s="193" t="s">
        <v>1487</v>
      </c>
      <c r="JIV803" s="193" t="s">
        <v>1487</v>
      </c>
      <c r="JIW803" s="193" t="s">
        <v>1487</v>
      </c>
      <c r="JIX803" s="193" t="s">
        <v>1487</v>
      </c>
      <c r="JIY803" s="193" t="s">
        <v>1487</v>
      </c>
      <c r="JIZ803" s="193" t="s">
        <v>1487</v>
      </c>
      <c r="JJA803" s="193" t="s">
        <v>1487</v>
      </c>
      <c r="JJB803" s="193" t="s">
        <v>1487</v>
      </c>
      <c r="JJC803" s="193" t="s">
        <v>1487</v>
      </c>
      <c r="JJD803" s="193" t="s">
        <v>1487</v>
      </c>
      <c r="JJE803" s="193" t="s">
        <v>1487</v>
      </c>
      <c r="JJF803" s="193" t="s">
        <v>1487</v>
      </c>
      <c r="JJG803" s="193" t="s">
        <v>1487</v>
      </c>
      <c r="JJH803" s="193" t="s">
        <v>1487</v>
      </c>
      <c r="JJI803" s="193" t="s">
        <v>1487</v>
      </c>
      <c r="JJJ803" s="193" t="s">
        <v>1487</v>
      </c>
      <c r="JJK803" s="193" t="s">
        <v>1487</v>
      </c>
      <c r="JJL803" s="193" t="s">
        <v>1487</v>
      </c>
      <c r="JJM803" s="193" t="s">
        <v>1487</v>
      </c>
      <c r="JJN803" s="193" t="s">
        <v>1487</v>
      </c>
      <c r="JJO803" s="193" t="s">
        <v>1487</v>
      </c>
      <c r="JJP803" s="193" t="s">
        <v>1487</v>
      </c>
      <c r="JJQ803" s="193" t="s">
        <v>1487</v>
      </c>
      <c r="JJR803" s="193" t="s">
        <v>1487</v>
      </c>
      <c r="JJS803" s="193" t="s">
        <v>1487</v>
      </c>
      <c r="JJT803" s="193" t="s">
        <v>1487</v>
      </c>
      <c r="JJU803" s="193" t="s">
        <v>1487</v>
      </c>
      <c r="JJV803" s="193" t="s">
        <v>1487</v>
      </c>
      <c r="JJW803" s="193" t="s">
        <v>1487</v>
      </c>
      <c r="JJX803" s="193" t="s">
        <v>1487</v>
      </c>
      <c r="JJY803" s="193" t="s">
        <v>1487</v>
      </c>
      <c r="JJZ803" s="193" t="s">
        <v>1487</v>
      </c>
      <c r="JKA803" s="193" t="s">
        <v>1487</v>
      </c>
      <c r="JKB803" s="193" t="s">
        <v>1487</v>
      </c>
      <c r="JKC803" s="193" t="s">
        <v>1487</v>
      </c>
      <c r="JKD803" s="193" t="s">
        <v>1487</v>
      </c>
      <c r="JKE803" s="193" t="s">
        <v>1487</v>
      </c>
      <c r="JKF803" s="193" t="s">
        <v>1487</v>
      </c>
      <c r="JKG803" s="193" t="s">
        <v>1487</v>
      </c>
      <c r="JKH803" s="193" t="s">
        <v>1487</v>
      </c>
      <c r="JKI803" s="193" t="s">
        <v>1487</v>
      </c>
      <c r="JKJ803" s="193" t="s">
        <v>1487</v>
      </c>
      <c r="JKK803" s="193" t="s">
        <v>1487</v>
      </c>
      <c r="JKL803" s="193" t="s">
        <v>1487</v>
      </c>
      <c r="JKM803" s="193" t="s">
        <v>1487</v>
      </c>
      <c r="JKN803" s="193" t="s">
        <v>1487</v>
      </c>
      <c r="JKO803" s="193" t="s">
        <v>1487</v>
      </c>
      <c r="JKP803" s="193" t="s">
        <v>1487</v>
      </c>
      <c r="JKQ803" s="193" t="s">
        <v>1487</v>
      </c>
      <c r="JKR803" s="193" t="s">
        <v>1487</v>
      </c>
      <c r="JKS803" s="193" t="s">
        <v>1487</v>
      </c>
      <c r="JKT803" s="193" t="s">
        <v>1487</v>
      </c>
      <c r="JKU803" s="193" t="s">
        <v>1487</v>
      </c>
      <c r="JKV803" s="193" t="s">
        <v>1487</v>
      </c>
      <c r="JKW803" s="193" t="s">
        <v>1487</v>
      </c>
      <c r="JKX803" s="193" t="s">
        <v>1487</v>
      </c>
      <c r="JKY803" s="193" t="s">
        <v>1487</v>
      </c>
      <c r="JKZ803" s="193" t="s">
        <v>1487</v>
      </c>
      <c r="JLA803" s="193" t="s">
        <v>1487</v>
      </c>
      <c r="JLB803" s="193" t="s">
        <v>1487</v>
      </c>
      <c r="JLC803" s="193" t="s">
        <v>1487</v>
      </c>
      <c r="JLD803" s="193" t="s">
        <v>1487</v>
      </c>
      <c r="JLE803" s="193" t="s">
        <v>1487</v>
      </c>
      <c r="JLF803" s="193" t="s">
        <v>1487</v>
      </c>
      <c r="JLG803" s="193" t="s">
        <v>1487</v>
      </c>
      <c r="JLH803" s="193" t="s">
        <v>1487</v>
      </c>
      <c r="JLI803" s="193" t="s">
        <v>1487</v>
      </c>
      <c r="JLJ803" s="193" t="s">
        <v>1487</v>
      </c>
      <c r="JLK803" s="193" t="s">
        <v>1487</v>
      </c>
      <c r="JLL803" s="193" t="s">
        <v>1487</v>
      </c>
      <c r="JLM803" s="193" t="s">
        <v>1487</v>
      </c>
      <c r="JLN803" s="193" t="s">
        <v>1487</v>
      </c>
      <c r="JLO803" s="193" t="s">
        <v>1487</v>
      </c>
      <c r="JLP803" s="193" t="s">
        <v>1487</v>
      </c>
      <c r="JLQ803" s="193" t="s">
        <v>1487</v>
      </c>
      <c r="JLR803" s="193" t="s">
        <v>1487</v>
      </c>
      <c r="JLS803" s="193" t="s">
        <v>1487</v>
      </c>
      <c r="JLT803" s="193" t="s">
        <v>1487</v>
      </c>
      <c r="JLU803" s="193" t="s">
        <v>1487</v>
      </c>
      <c r="JLV803" s="193" t="s">
        <v>1487</v>
      </c>
      <c r="JLW803" s="193" t="s">
        <v>1487</v>
      </c>
      <c r="JLX803" s="193" t="s">
        <v>1487</v>
      </c>
      <c r="JLY803" s="193" t="s">
        <v>1487</v>
      </c>
      <c r="JLZ803" s="193" t="s">
        <v>1487</v>
      </c>
      <c r="JMA803" s="193" t="s">
        <v>1487</v>
      </c>
      <c r="JMB803" s="193" t="s">
        <v>1487</v>
      </c>
      <c r="JMC803" s="193" t="s">
        <v>1487</v>
      </c>
      <c r="JMD803" s="193" t="s">
        <v>1487</v>
      </c>
      <c r="JME803" s="193" t="s">
        <v>1487</v>
      </c>
      <c r="JMF803" s="193" t="s">
        <v>1487</v>
      </c>
      <c r="JMG803" s="193" t="s">
        <v>1487</v>
      </c>
      <c r="JMH803" s="193" t="s">
        <v>1487</v>
      </c>
      <c r="JMI803" s="193" t="s">
        <v>1487</v>
      </c>
      <c r="JMJ803" s="193" t="s">
        <v>1487</v>
      </c>
      <c r="JMK803" s="193" t="s">
        <v>1487</v>
      </c>
      <c r="JML803" s="193" t="s">
        <v>1487</v>
      </c>
      <c r="JMM803" s="193" t="s">
        <v>1487</v>
      </c>
      <c r="JMN803" s="193" t="s">
        <v>1487</v>
      </c>
      <c r="JMO803" s="193" t="s">
        <v>1487</v>
      </c>
      <c r="JMP803" s="193" t="s">
        <v>1487</v>
      </c>
      <c r="JMQ803" s="193" t="s">
        <v>1487</v>
      </c>
      <c r="JMR803" s="193" t="s">
        <v>1487</v>
      </c>
      <c r="JMS803" s="193" t="s">
        <v>1487</v>
      </c>
      <c r="JMT803" s="193" t="s">
        <v>1487</v>
      </c>
      <c r="JMU803" s="193" t="s">
        <v>1487</v>
      </c>
      <c r="JMV803" s="193" t="s">
        <v>1487</v>
      </c>
      <c r="JMW803" s="193" t="s">
        <v>1487</v>
      </c>
      <c r="JMX803" s="193" t="s">
        <v>1487</v>
      </c>
      <c r="JMY803" s="193" t="s">
        <v>1487</v>
      </c>
      <c r="JMZ803" s="193" t="s">
        <v>1487</v>
      </c>
      <c r="JNA803" s="193" t="s">
        <v>1487</v>
      </c>
      <c r="JNB803" s="193" t="s">
        <v>1487</v>
      </c>
      <c r="JNC803" s="193" t="s">
        <v>1487</v>
      </c>
      <c r="JND803" s="193" t="s">
        <v>1487</v>
      </c>
      <c r="JNE803" s="193" t="s">
        <v>1487</v>
      </c>
      <c r="JNF803" s="193" t="s">
        <v>1487</v>
      </c>
      <c r="JNG803" s="193" t="s">
        <v>1487</v>
      </c>
      <c r="JNH803" s="193" t="s">
        <v>1487</v>
      </c>
      <c r="JNI803" s="193" t="s">
        <v>1487</v>
      </c>
      <c r="JNJ803" s="193" t="s">
        <v>1487</v>
      </c>
      <c r="JNK803" s="193" t="s">
        <v>1487</v>
      </c>
      <c r="JNL803" s="193" t="s">
        <v>1487</v>
      </c>
      <c r="JNM803" s="193" t="s">
        <v>1487</v>
      </c>
      <c r="JNN803" s="193" t="s">
        <v>1487</v>
      </c>
      <c r="JNO803" s="193" t="s">
        <v>1487</v>
      </c>
      <c r="JNP803" s="193" t="s">
        <v>1487</v>
      </c>
      <c r="JNQ803" s="193" t="s">
        <v>1487</v>
      </c>
      <c r="JNR803" s="193" t="s">
        <v>1487</v>
      </c>
      <c r="JNS803" s="193" t="s">
        <v>1487</v>
      </c>
      <c r="JNT803" s="193" t="s">
        <v>1487</v>
      </c>
      <c r="JNU803" s="193" t="s">
        <v>1487</v>
      </c>
      <c r="JNV803" s="193" t="s">
        <v>1487</v>
      </c>
      <c r="JNW803" s="193" t="s">
        <v>1487</v>
      </c>
      <c r="JNX803" s="193" t="s">
        <v>1487</v>
      </c>
      <c r="JNY803" s="193" t="s">
        <v>1487</v>
      </c>
      <c r="JNZ803" s="193" t="s">
        <v>1487</v>
      </c>
      <c r="JOA803" s="193" t="s">
        <v>1487</v>
      </c>
      <c r="JOB803" s="193" t="s">
        <v>1487</v>
      </c>
      <c r="JOC803" s="193" t="s">
        <v>1487</v>
      </c>
      <c r="JOD803" s="193" t="s">
        <v>1487</v>
      </c>
      <c r="JOE803" s="193" t="s">
        <v>1487</v>
      </c>
      <c r="JOF803" s="193" t="s">
        <v>1487</v>
      </c>
      <c r="JOG803" s="193" t="s">
        <v>1487</v>
      </c>
      <c r="JOH803" s="193" t="s">
        <v>1487</v>
      </c>
      <c r="JOI803" s="193" t="s">
        <v>1487</v>
      </c>
      <c r="JOJ803" s="193" t="s">
        <v>1487</v>
      </c>
      <c r="JOK803" s="193" t="s">
        <v>1487</v>
      </c>
      <c r="JOL803" s="193" t="s">
        <v>1487</v>
      </c>
      <c r="JOM803" s="193" t="s">
        <v>1487</v>
      </c>
      <c r="JON803" s="193" t="s">
        <v>1487</v>
      </c>
      <c r="JOO803" s="193" t="s">
        <v>1487</v>
      </c>
      <c r="JOP803" s="193" t="s">
        <v>1487</v>
      </c>
      <c r="JOQ803" s="193" t="s">
        <v>1487</v>
      </c>
      <c r="JOR803" s="193" t="s">
        <v>1487</v>
      </c>
      <c r="JOS803" s="193" t="s">
        <v>1487</v>
      </c>
      <c r="JOT803" s="193" t="s">
        <v>1487</v>
      </c>
      <c r="JOU803" s="193" t="s">
        <v>1487</v>
      </c>
      <c r="JOV803" s="193" t="s">
        <v>1487</v>
      </c>
      <c r="JOW803" s="193" t="s">
        <v>1487</v>
      </c>
      <c r="JOX803" s="193" t="s">
        <v>1487</v>
      </c>
      <c r="JOY803" s="193" t="s">
        <v>1487</v>
      </c>
      <c r="JOZ803" s="193" t="s">
        <v>1487</v>
      </c>
      <c r="JPA803" s="193" t="s">
        <v>1487</v>
      </c>
      <c r="JPB803" s="193" t="s">
        <v>1487</v>
      </c>
      <c r="JPC803" s="193" t="s">
        <v>1487</v>
      </c>
      <c r="JPD803" s="193" t="s">
        <v>1487</v>
      </c>
      <c r="JPE803" s="193" t="s">
        <v>1487</v>
      </c>
      <c r="JPF803" s="193" t="s">
        <v>1487</v>
      </c>
      <c r="JPG803" s="193" t="s">
        <v>1487</v>
      </c>
      <c r="JPH803" s="193" t="s">
        <v>1487</v>
      </c>
      <c r="JPI803" s="193" t="s">
        <v>1487</v>
      </c>
      <c r="JPJ803" s="193" t="s">
        <v>1487</v>
      </c>
      <c r="JPK803" s="193" t="s">
        <v>1487</v>
      </c>
      <c r="JPL803" s="193" t="s">
        <v>1487</v>
      </c>
      <c r="JPM803" s="193" t="s">
        <v>1487</v>
      </c>
      <c r="JPN803" s="193" t="s">
        <v>1487</v>
      </c>
      <c r="JPO803" s="193" t="s">
        <v>1487</v>
      </c>
      <c r="JPP803" s="193" t="s">
        <v>1487</v>
      </c>
      <c r="JPQ803" s="193" t="s">
        <v>1487</v>
      </c>
      <c r="JPR803" s="193" t="s">
        <v>1487</v>
      </c>
      <c r="JPS803" s="193" t="s">
        <v>1487</v>
      </c>
      <c r="JPT803" s="193" t="s">
        <v>1487</v>
      </c>
      <c r="JPU803" s="193" t="s">
        <v>1487</v>
      </c>
      <c r="JPV803" s="193" t="s">
        <v>1487</v>
      </c>
      <c r="JPW803" s="193" t="s">
        <v>1487</v>
      </c>
      <c r="JPX803" s="193" t="s">
        <v>1487</v>
      </c>
      <c r="JPY803" s="193" t="s">
        <v>1487</v>
      </c>
      <c r="JPZ803" s="193" t="s">
        <v>1487</v>
      </c>
      <c r="JQA803" s="193" t="s">
        <v>1487</v>
      </c>
      <c r="JQB803" s="193" t="s">
        <v>1487</v>
      </c>
      <c r="JQC803" s="193" t="s">
        <v>1487</v>
      </c>
      <c r="JQD803" s="193" t="s">
        <v>1487</v>
      </c>
      <c r="JQE803" s="193" t="s">
        <v>1487</v>
      </c>
      <c r="JQF803" s="193" t="s">
        <v>1487</v>
      </c>
      <c r="JQG803" s="193" t="s">
        <v>1487</v>
      </c>
      <c r="JQH803" s="193" t="s">
        <v>1487</v>
      </c>
      <c r="JQI803" s="193" t="s">
        <v>1487</v>
      </c>
      <c r="JQJ803" s="193" t="s">
        <v>1487</v>
      </c>
      <c r="JQK803" s="193" t="s">
        <v>1487</v>
      </c>
      <c r="JQL803" s="193" t="s">
        <v>1487</v>
      </c>
      <c r="JQM803" s="193" t="s">
        <v>1487</v>
      </c>
      <c r="JQN803" s="193" t="s">
        <v>1487</v>
      </c>
      <c r="JQO803" s="193" t="s">
        <v>1487</v>
      </c>
      <c r="JQP803" s="193" t="s">
        <v>1487</v>
      </c>
      <c r="JQQ803" s="193" t="s">
        <v>1487</v>
      </c>
      <c r="JQR803" s="193" t="s">
        <v>1487</v>
      </c>
      <c r="JQS803" s="193" t="s">
        <v>1487</v>
      </c>
      <c r="JQT803" s="193" t="s">
        <v>1487</v>
      </c>
      <c r="JQU803" s="193" t="s">
        <v>1487</v>
      </c>
      <c r="JQV803" s="193" t="s">
        <v>1487</v>
      </c>
      <c r="JQW803" s="193" t="s">
        <v>1487</v>
      </c>
      <c r="JQX803" s="193" t="s">
        <v>1487</v>
      </c>
      <c r="JQY803" s="193" t="s">
        <v>1487</v>
      </c>
      <c r="JQZ803" s="193" t="s">
        <v>1487</v>
      </c>
      <c r="JRA803" s="193" t="s">
        <v>1487</v>
      </c>
      <c r="JRB803" s="193" t="s">
        <v>1487</v>
      </c>
      <c r="JRC803" s="193" t="s">
        <v>1487</v>
      </c>
      <c r="JRD803" s="193" t="s">
        <v>1487</v>
      </c>
      <c r="JRE803" s="193" t="s">
        <v>1487</v>
      </c>
      <c r="JRF803" s="193" t="s">
        <v>1487</v>
      </c>
      <c r="JRG803" s="193" t="s">
        <v>1487</v>
      </c>
      <c r="JRH803" s="193" t="s">
        <v>1487</v>
      </c>
      <c r="JRI803" s="193" t="s">
        <v>1487</v>
      </c>
      <c r="JRJ803" s="193" t="s">
        <v>1487</v>
      </c>
      <c r="JRK803" s="193" t="s">
        <v>1487</v>
      </c>
      <c r="JRL803" s="193" t="s">
        <v>1487</v>
      </c>
      <c r="JRM803" s="193" t="s">
        <v>1487</v>
      </c>
      <c r="JRN803" s="193" t="s">
        <v>1487</v>
      </c>
      <c r="JRO803" s="193" t="s">
        <v>1487</v>
      </c>
      <c r="JRP803" s="193" t="s">
        <v>1487</v>
      </c>
      <c r="JRQ803" s="193" t="s">
        <v>1487</v>
      </c>
      <c r="JRR803" s="193" t="s">
        <v>1487</v>
      </c>
      <c r="JRS803" s="193" t="s">
        <v>1487</v>
      </c>
      <c r="JRT803" s="193" t="s">
        <v>1487</v>
      </c>
      <c r="JRU803" s="193" t="s">
        <v>1487</v>
      </c>
      <c r="JRV803" s="193" t="s">
        <v>1487</v>
      </c>
      <c r="JRW803" s="193" t="s">
        <v>1487</v>
      </c>
      <c r="JRX803" s="193" t="s">
        <v>1487</v>
      </c>
      <c r="JRY803" s="193" t="s">
        <v>1487</v>
      </c>
      <c r="JRZ803" s="193" t="s">
        <v>1487</v>
      </c>
      <c r="JSA803" s="193" t="s">
        <v>1487</v>
      </c>
      <c r="JSB803" s="193" t="s">
        <v>1487</v>
      </c>
      <c r="JSC803" s="193" t="s">
        <v>1487</v>
      </c>
      <c r="JSD803" s="193" t="s">
        <v>1487</v>
      </c>
      <c r="JSE803" s="193" t="s">
        <v>1487</v>
      </c>
      <c r="JSF803" s="193" t="s">
        <v>1487</v>
      </c>
      <c r="JSG803" s="193" t="s">
        <v>1487</v>
      </c>
      <c r="JSH803" s="193" t="s">
        <v>1487</v>
      </c>
      <c r="JSI803" s="193" t="s">
        <v>1487</v>
      </c>
      <c r="JSJ803" s="193" t="s">
        <v>1487</v>
      </c>
      <c r="JSK803" s="193" t="s">
        <v>1487</v>
      </c>
      <c r="JSL803" s="193" t="s">
        <v>1487</v>
      </c>
      <c r="JSM803" s="193" t="s">
        <v>1487</v>
      </c>
      <c r="JSN803" s="193" t="s">
        <v>1487</v>
      </c>
      <c r="JSO803" s="193" t="s">
        <v>1487</v>
      </c>
      <c r="JSP803" s="193" t="s">
        <v>1487</v>
      </c>
      <c r="JSQ803" s="193" t="s">
        <v>1487</v>
      </c>
      <c r="JSR803" s="193" t="s">
        <v>1487</v>
      </c>
      <c r="JSS803" s="193" t="s">
        <v>1487</v>
      </c>
      <c r="JST803" s="193" t="s">
        <v>1487</v>
      </c>
      <c r="JSU803" s="193" t="s">
        <v>1487</v>
      </c>
      <c r="JSV803" s="193" t="s">
        <v>1487</v>
      </c>
      <c r="JSW803" s="193" t="s">
        <v>1487</v>
      </c>
      <c r="JSX803" s="193" t="s">
        <v>1487</v>
      </c>
      <c r="JSY803" s="193" t="s">
        <v>1487</v>
      </c>
      <c r="JSZ803" s="193" t="s">
        <v>1487</v>
      </c>
      <c r="JTA803" s="193" t="s">
        <v>1487</v>
      </c>
      <c r="JTB803" s="193" t="s">
        <v>1487</v>
      </c>
      <c r="JTC803" s="193" t="s">
        <v>1487</v>
      </c>
      <c r="JTD803" s="193" t="s">
        <v>1487</v>
      </c>
      <c r="JTE803" s="193" t="s">
        <v>1487</v>
      </c>
      <c r="JTF803" s="193" t="s">
        <v>1487</v>
      </c>
      <c r="JTG803" s="193" t="s">
        <v>1487</v>
      </c>
      <c r="JTH803" s="193" t="s">
        <v>1487</v>
      </c>
      <c r="JTI803" s="193" t="s">
        <v>1487</v>
      </c>
      <c r="JTJ803" s="193" t="s">
        <v>1487</v>
      </c>
      <c r="JTK803" s="193" t="s">
        <v>1487</v>
      </c>
      <c r="JTL803" s="193" t="s">
        <v>1487</v>
      </c>
      <c r="JTM803" s="193" t="s">
        <v>1487</v>
      </c>
      <c r="JTN803" s="193" t="s">
        <v>1487</v>
      </c>
      <c r="JTO803" s="193" t="s">
        <v>1487</v>
      </c>
      <c r="JTP803" s="193" t="s">
        <v>1487</v>
      </c>
      <c r="JTQ803" s="193" t="s">
        <v>1487</v>
      </c>
      <c r="JTR803" s="193" t="s">
        <v>1487</v>
      </c>
      <c r="JTS803" s="193" t="s">
        <v>1487</v>
      </c>
      <c r="JTT803" s="193" t="s">
        <v>1487</v>
      </c>
      <c r="JTU803" s="193" t="s">
        <v>1487</v>
      </c>
      <c r="JTV803" s="193" t="s">
        <v>1487</v>
      </c>
      <c r="JTW803" s="193" t="s">
        <v>1487</v>
      </c>
      <c r="JTX803" s="193" t="s">
        <v>1487</v>
      </c>
      <c r="JTY803" s="193" t="s">
        <v>1487</v>
      </c>
      <c r="JTZ803" s="193" t="s">
        <v>1487</v>
      </c>
      <c r="JUA803" s="193" t="s">
        <v>1487</v>
      </c>
      <c r="JUB803" s="193" t="s">
        <v>1487</v>
      </c>
      <c r="JUC803" s="193" t="s">
        <v>1487</v>
      </c>
      <c r="JUD803" s="193" t="s">
        <v>1487</v>
      </c>
      <c r="JUE803" s="193" t="s">
        <v>1487</v>
      </c>
      <c r="JUF803" s="193" t="s">
        <v>1487</v>
      </c>
      <c r="JUG803" s="193" t="s">
        <v>1487</v>
      </c>
      <c r="JUH803" s="193" t="s">
        <v>1487</v>
      </c>
      <c r="JUI803" s="193" t="s">
        <v>1487</v>
      </c>
      <c r="JUJ803" s="193" t="s">
        <v>1487</v>
      </c>
      <c r="JUK803" s="193" t="s">
        <v>1487</v>
      </c>
      <c r="JUL803" s="193" t="s">
        <v>1487</v>
      </c>
      <c r="JUM803" s="193" t="s">
        <v>1487</v>
      </c>
      <c r="JUN803" s="193" t="s">
        <v>1487</v>
      </c>
      <c r="JUO803" s="193" t="s">
        <v>1487</v>
      </c>
      <c r="JUP803" s="193" t="s">
        <v>1487</v>
      </c>
      <c r="JUQ803" s="193" t="s">
        <v>1487</v>
      </c>
      <c r="JUR803" s="193" t="s">
        <v>1487</v>
      </c>
      <c r="JUS803" s="193" t="s">
        <v>1487</v>
      </c>
      <c r="JUT803" s="193" t="s">
        <v>1487</v>
      </c>
      <c r="JUU803" s="193" t="s">
        <v>1487</v>
      </c>
      <c r="JUV803" s="193" t="s">
        <v>1487</v>
      </c>
      <c r="JUW803" s="193" t="s">
        <v>1487</v>
      </c>
      <c r="JUX803" s="193" t="s">
        <v>1487</v>
      </c>
      <c r="JUY803" s="193" t="s">
        <v>1487</v>
      </c>
      <c r="JUZ803" s="193" t="s">
        <v>1487</v>
      </c>
      <c r="JVA803" s="193" t="s">
        <v>1487</v>
      </c>
      <c r="JVB803" s="193" t="s">
        <v>1487</v>
      </c>
      <c r="JVC803" s="193" t="s">
        <v>1487</v>
      </c>
      <c r="JVD803" s="193" t="s">
        <v>1487</v>
      </c>
      <c r="JVE803" s="193" t="s">
        <v>1487</v>
      </c>
      <c r="JVF803" s="193" t="s">
        <v>1487</v>
      </c>
      <c r="JVG803" s="193" t="s">
        <v>1487</v>
      </c>
      <c r="JVH803" s="193" t="s">
        <v>1487</v>
      </c>
      <c r="JVI803" s="193" t="s">
        <v>1487</v>
      </c>
      <c r="JVJ803" s="193" t="s">
        <v>1487</v>
      </c>
      <c r="JVK803" s="193" t="s">
        <v>1487</v>
      </c>
      <c r="JVL803" s="193" t="s">
        <v>1487</v>
      </c>
      <c r="JVM803" s="193" t="s">
        <v>1487</v>
      </c>
      <c r="JVN803" s="193" t="s">
        <v>1487</v>
      </c>
      <c r="JVO803" s="193" t="s">
        <v>1487</v>
      </c>
      <c r="JVP803" s="193" t="s">
        <v>1487</v>
      </c>
      <c r="JVQ803" s="193" t="s">
        <v>1487</v>
      </c>
      <c r="JVR803" s="193" t="s">
        <v>1487</v>
      </c>
      <c r="JVS803" s="193" t="s">
        <v>1487</v>
      </c>
      <c r="JVT803" s="193" t="s">
        <v>1487</v>
      </c>
      <c r="JVU803" s="193" t="s">
        <v>1487</v>
      </c>
      <c r="JVV803" s="193" t="s">
        <v>1487</v>
      </c>
      <c r="JVW803" s="193" t="s">
        <v>1487</v>
      </c>
      <c r="JVX803" s="193" t="s">
        <v>1487</v>
      </c>
      <c r="JVY803" s="193" t="s">
        <v>1487</v>
      </c>
      <c r="JVZ803" s="193" t="s">
        <v>1487</v>
      </c>
      <c r="JWA803" s="193" t="s">
        <v>1487</v>
      </c>
      <c r="JWB803" s="193" t="s">
        <v>1487</v>
      </c>
      <c r="JWC803" s="193" t="s">
        <v>1487</v>
      </c>
      <c r="JWD803" s="193" t="s">
        <v>1487</v>
      </c>
      <c r="JWE803" s="193" t="s">
        <v>1487</v>
      </c>
      <c r="JWF803" s="193" t="s">
        <v>1487</v>
      </c>
      <c r="JWG803" s="193" t="s">
        <v>1487</v>
      </c>
      <c r="JWH803" s="193" t="s">
        <v>1487</v>
      </c>
      <c r="JWI803" s="193" t="s">
        <v>1487</v>
      </c>
      <c r="JWJ803" s="193" t="s">
        <v>1487</v>
      </c>
      <c r="JWK803" s="193" t="s">
        <v>1487</v>
      </c>
      <c r="JWL803" s="193" t="s">
        <v>1487</v>
      </c>
      <c r="JWM803" s="193" t="s">
        <v>1487</v>
      </c>
      <c r="JWN803" s="193" t="s">
        <v>1487</v>
      </c>
      <c r="JWO803" s="193" t="s">
        <v>1487</v>
      </c>
      <c r="JWP803" s="193" t="s">
        <v>1487</v>
      </c>
      <c r="JWQ803" s="193" t="s">
        <v>1487</v>
      </c>
      <c r="JWR803" s="193" t="s">
        <v>1487</v>
      </c>
      <c r="JWS803" s="193" t="s">
        <v>1487</v>
      </c>
      <c r="JWT803" s="193" t="s">
        <v>1487</v>
      </c>
      <c r="JWU803" s="193" t="s">
        <v>1487</v>
      </c>
      <c r="JWV803" s="193" t="s">
        <v>1487</v>
      </c>
      <c r="JWW803" s="193" t="s">
        <v>1487</v>
      </c>
      <c r="JWX803" s="193" t="s">
        <v>1487</v>
      </c>
      <c r="JWY803" s="193" t="s">
        <v>1487</v>
      </c>
      <c r="JWZ803" s="193" t="s">
        <v>1487</v>
      </c>
      <c r="JXA803" s="193" t="s">
        <v>1487</v>
      </c>
      <c r="JXB803" s="193" t="s">
        <v>1487</v>
      </c>
      <c r="JXC803" s="193" t="s">
        <v>1487</v>
      </c>
      <c r="JXD803" s="193" t="s">
        <v>1487</v>
      </c>
      <c r="JXE803" s="193" t="s">
        <v>1487</v>
      </c>
      <c r="JXF803" s="193" t="s">
        <v>1487</v>
      </c>
      <c r="JXG803" s="193" t="s">
        <v>1487</v>
      </c>
      <c r="JXH803" s="193" t="s">
        <v>1487</v>
      </c>
      <c r="JXI803" s="193" t="s">
        <v>1487</v>
      </c>
      <c r="JXJ803" s="193" t="s">
        <v>1487</v>
      </c>
      <c r="JXK803" s="193" t="s">
        <v>1487</v>
      </c>
      <c r="JXL803" s="193" t="s">
        <v>1487</v>
      </c>
      <c r="JXM803" s="193" t="s">
        <v>1487</v>
      </c>
      <c r="JXN803" s="193" t="s">
        <v>1487</v>
      </c>
      <c r="JXO803" s="193" t="s">
        <v>1487</v>
      </c>
      <c r="JXP803" s="193" t="s">
        <v>1487</v>
      </c>
      <c r="JXQ803" s="193" t="s">
        <v>1487</v>
      </c>
      <c r="JXR803" s="193" t="s">
        <v>1487</v>
      </c>
      <c r="JXS803" s="193" t="s">
        <v>1487</v>
      </c>
      <c r="JXT803" s="193" t="s">
        <v>1487</v>
      </c>
      <c r="JXU803" s="193" t="s">
        <v>1487</v>
      </c>
      <c r="JXV803" s="193" t="s">
        <v>1487</v>
      </c>
      <c r="JXW803" s="193" t="s">
        <v>1487</v>
      </c>
      <c r="JXX803" s="193" t="s">
        <v>1487</v>
      </c>
      <c r="JXY803" s="193" t="s">
        <v>1487</v>
      </c>
      <c r="JXZ803" s="193" t="s">
        <v>1487</v>
      </c>
      <c r="JYA803" s="193" t="s">
        <v>1487</v>
      </c>
      <c r="JYB803" s="193" t="s">
        <v>1487</v>
      </c>
      <c r="JYC803" s="193" t="s">
        <v>1487</v>
      </c>
      <c r="JYD803" s="193" t="s">
        <v>1487</v>
      </c>
      <c r="JYE803" s="193" t="s">
        <v>1487</v>
      </c>
      <c r="JYF803" s="193" t="s">
        <v>1487</v>
      </c>
      <c r="JYG803" s="193" t="s">
        <v>1487</v>
      </c>
      <c r="JYH803" s="193" t="s">
        <v>1487</v>
      </c>
      <c r="JYI803" s="193" t="s">
        <v>1487</v>
      </c>
      <c r="JYJ803" s="193" t="s">
        <v>1487</v>
      </c>
      <c r="JYK803" s="193" t="s">
        <v>1487</v>
      </c>
      <c r="JYL803" s="193" t="s">
        <v>1487</v>
      </c>
      <c r="JYM803" s="193" t="s">
        <v>1487</v>
      </c>
      <c r="JYN803" s="193" t="s">
        <v>1487</v>
      </c>
      <c r="JYO803" s="193" t="s">
        <v>1487</v>
      </c>
      <c r="JYP803" s="193" t="s">
        <v>1487</v>
      </c>
      <c r="JYQ803" s="193" t="s">
        <v>1487</v>
      </c>
      <c r="JYR803" s="193" t="s">
        <v>1487</v>
      </c>
      <c r="JYS803" s="193" t="s">
        <v>1487</v>
      </c>
      <c r="JYT803" s="193" t="s">
        <v>1487</v>
      </c>
      <c r="JYU803" s="193" t="s">
        <v>1487</v>
      </c>
      <c r="JYV803" s="193" t="s">
        <v>1487</v>
      </c>
      <c r="JYW803" s="193" t="s">
        <v>1487</v>
      </c>
      <c r="JYX803" s="193" t="s">
        <v>1487</v>
      </c>
      <c r="JYY803" s="193" t="s">
        <v>1487</v>
      </c>
      <c r="JYZ803" s="193" t="s">
        <v>1487</v>
      </c>
      <c r="JZA803" s="193" t="s">
        <v>1487</v>
      </c>
      <c r="JZB803" s="193" t="s">
        <v>1487</v>
      </c>
      <c r="JZC803" s="193" t="s">
        <v>1487</v>
      </c>
      <c r="JZD803" s="193" t="s">
        <v>1487</v>
      </c>
      <c r="JZE803" s="193" t="s">
        <v>1487</v>
      </c>
      <c r="JZF803" s="193" t="s">
        <v>1487</v>
      </c>
      <c r="JZG803" s="193" t="s">
        <v>1487</v>
      </c>
      <c r="JZH803" s="193" t="s">
        <v>1487</v>
      </c>
      <c r="JZI803" s="193" t="s">
        <v>1487</v>
      </c>
      <c r="JZJ803" s="193" t="s">
        <v>1487</v>
      </c>
      <c r="JZK803" s="193" t="s">
        <v>1487</v>
      </c>
      <c r="JZL803" s="193" t="s">
        <v>1487</v>
      </c>
      <c r="JZM803" s="193" t="s">
        <v>1487</v>
      </c>
      <c r="JZN803" s="193" t="s">
        <v>1487</v>
      </c>
      <c r="JZO803" s="193" t="s">
        <v>1487</v>
      </c>
      <c r="JZP803" s="193" t="s">
        <v>1487</v>
      </c>
      <c r="JZQ803" s="193" t="s">
        <v>1487</v>
      </c>
      <c r="JZR803" s="193" t="s">
        <v>1487</v>
      </c>
      <c r="JZS803" s="193" t="s">
        <v>1487</v>
      </c>
      <c r="JZT803" s="193" t="s">
        <v>1487</v>
      </c>
      <c r="JZU803" s="193" t="s">
        <v>1487</v>
      </c>
      <c r="JZV803" s="193" t="s">
        <v>1487</v>
      </c>
      <c r="JZW803" s="193" t="s">
        <v>1487</v>
      </c>
      <c r="JZX803" s="193" t="s">
        <v>1487</v>
      </c>
      <c r="JZY803" s="193" t="s">
        <v>1487</v>
      </c>
      <c r="JZZ803" s="193" t="s">
        <v>1487</v>
      </c>
      <c r="KAA803" s="193" t="s">
        <v>1487</v>
      </c>
      <c r="KAB803" s="193" t="s">
        <v>1487</v>
      </c>
      <c r="KAC803" s="193" t="s">
        <v>1487</v>
      </c>
      <c r="KAD803" s="193" t="s">
        <v>1487</v>
      </c>
      <c r="KAE803" s="193" t="s">
        <v>1487</v>
      </c>
      <c r="KAF803" s="193" t="s">
        <v>1487</v>
      </c>
      <c r="KAG803" s="193" t="s">
        <v>1487</v>
      </c>
      <c r="KAH803" s="193" t="s">
        <v>1487</v>
      </c>
      <c r="KAI803" s="193" t="s">
        <v>1487</v>
      </c>
      <c r="KAJ803" s="193" t="s">
        <v>1487</v>
      </c>
      <c r="KAK803" s="193" t="s">
        <v>1487</v>
      </c>
      <c r="KAL803" s="193" t="s">
        <v>1487</v>
      </c>
      <c r="KAM803" s="193" t="s">
        <v>1487</v>
      </c>
      <c r="KAN803" s="193" t="s">
        <v>1487</v>
      </c>
      <c r="KAO803" s="193" t="s">
        <v>1487</v>
      </c>
      <c r="KAP803" s="193" t="s">
        <v>1487</v>
      </c>
      <c r="KAQ803" s="193" t="s">
        <v>1487</v>
      </c>
      <c r="KAR803" s="193" t="s">
        <v>1487</v>
      </c>
      <c r="KAS803" s="193" t="s">
        <v>1487</v>
      </c>
      <c r="KAT803" s="193" t="s">
        <v>1487</v>
      </c>
      <c r="KAU803" s="193" t="s">
        <v>1487</v>
      </c>
      <c r="KAV803" s="193" t="s">
        <v>1487</v>
      </c>
      <c r="KAW803" s="193" t="s">
        <v>1487</v>
      </c>
      <c r="KAX803" s="193" t="s">
        <v>1487</v>
      </c>
      <c r="KAY803" s="193" t="s">
        <v>1487</v>
      </c>
      <c r="KAZ803" s="193" t="s">
        <v>1487</v>
      </c>
      <c r="KBA803" s="193" t="s">
        <v>1487</v>
      </c>
      <c r="KBB803" s="193" t="s">
        <v>1487</v>
      </c>
      <c r="KBC803" s="193" t="s">
        <v>1487</v>
      </c>
      <c r="KBD803" s="193" t="s">
        <v>1487</v>
      </c>
      <c r="KBE803" s="193" t="s">
        <v>1487</v>
      </c>
      <c r="KBF803" s="193" t="s">
        <v>1487</v>
      </c>
      <c r="KBG803" s="193" t="s">
        <v>1487</v>
      </c>
      <c r="KBH803" s="193" t="s">
        <v>1487</v>
      </c>
      <c r="KBI803" s="193" t="s">
        <v>1487</v>
      </c>
      <c r="KBJ803" s="193" t="s">
        <v>1487</v>
      </c>
      <c r="KBK803" s="193" t="s">
        <v>1487</v>
      </c>
      <c r="KBL803" s="193" t="s">
        <v>1487</v>
      </c>
      <c r="KBM803" s="193" t="s">
        <v>1487</v>
      </c>
      <c r="KBN803" s="193" t="s">
        <v>1487</v>
      </c>
      <c r="KBO803" s="193" t="s">
        <v>1487</v>
      </c>
      <c r="KBP803" s="193" t="s">
        <v>1487</v>
      </c>
      <c r="KBQ803" s="193" t="s">
        <v>1487</v>
      </c>
      <c r="KBR803" s="193" t="s">
        <v>1487</v>
      </c>
      <c r="KBS803" s="193" t="s">
        <v>1487</v>
      </c>
      <c r="KBT803" s="193" t="s">
        <v>1487</v>
      </c>
      <c r="KBU803" s="193" t="s">
        <v>1487</v>
      </c>
      <c r="KBV803" s="193" t="s">
        <v>1487</v>
      </c>
      <c r="KBW803" s="193" t="s">
        <v>1487</v>
      </c>
      <c r="KBX803" s="193" t="s">
        <v>1487</v>
      </c>
      <c r="KBY803" s="193" t="s">
        <v>1487</v>
      </c>
      <c r="KBZ803" s="193" t="s">
        <v>1487</v>
      </c>
      <c r="KCA803" s="193" t="s">
        <v>1487</v>
      </c>
      <c r="KCB803" s="193" t="s">
        <v>1487</v>
      </c>
      <c r="KCC803" s="193" t="s">
        <v>1487</v>
      </c>
      <c r="KCD803" s="193" t="s">
        <v>1487</v>
      </c>
      <c r="KCE803" s="193" t="s">
        <v>1487</v>
      </c>
      <c r="KCF803" s="193" t="s">
        <v>1487</v>
      </c>
      <c r="KCG803" s="193" t="s">
        <v>1487</v>
      </c>
      <c r="KCH803" s="193" t="s">
        <v>1487</v>
      </c>
      <c r="KCI803" s="193" t="s">
        <v>1487</v>
      </c>
      <c r="KCJ803" s="193" t="s">
        <v>1487</v>
      </c>
      <c r="KCK803" s="193" t="s">
        <v>1487</v>
      </c>
      <c r="KCL803" s="193" t="s">
        <v>1487</v>
      </c>
      <c r="KCM803" s="193" t="s">
        <v>1487</v>
      </c>
      <c r="KCN803" s="193" t="s">
        <v>1487</v>
      </c>
      <c r="KCO803" s="193" t="s">
        <v>1487</v>
      </c>
      <c r="KCP803" s="193" t="s">
        <v>1487</v>
      </c>
      <c r="KCQ803" s="193" t="s">
        <v>1487</v>
      </c>
      <c r="KCR803" s="193" t="s">
        <v>1487</v>
      </c>
      <c r="KCS803" s="193" t="s">
        <v>1487</v>
      </c>
      <c r="KCT803" s="193" t="s">
        <v>1487</v>
      </c>
      <c r="KCU803" s="193" t="s">
        <v>1487</v>
      </c>
      <c r="KCV803" s="193" t="s">
        <v>1487</v>
      </c>
      <c r="KCW803" s="193" t="s">
        <v>1487</v>
      </c>
      <c r="KCX803" s="193" t="s">
        <v>1487</v>
      </c>
      <c r="KCY803" s="193" t="s">
        <v>1487</v>
      </c>
      <c r="KCZ803" s="193" t="s">
        <v>1487</v>
      </c>
      <c r="KDA803" s="193" t="s">
        <v>1487</v>
      </c>
      <c r="KDB803" s="193" t="s">
        <v>1487</v>
      </c>
      <c r="KDC803" s="193" t="s">
        <v>1487</v>
      </c>
      <c r="KDD803" s="193" t="s">
        <v>1487</v>
      </c>
      <c r="KDE803" s="193" t="s">
        <v>1487</v>
      </c>
      <c r="KDF803" s="193" t="s">
        <v>1487</v>
      </c>
      <c r="KDG803" s="193" t="s">
        <v>1487</v>
      </c>
      <c r="KDH803" s="193" t="s">
        <v>1487</v>
      </c>
      <c r="KDI803" s="193" t="s">
        <v>1487</v>
      </c>
      <c r="KDJ803" s="193" t="s">
        <v>1487</v>
      </c>
      <c r="KDK803" s="193" t="s">
        <v>1487</v>
      </c>
      <c r="KDL803" s="193" t="s">
        <v>1487</v>
      </c>
      <c r="KDM803" s="193" t="s">
        <v>1487</v>
      </c>
      <c r="KDN803" s="193" t="s">
        <v>1487</v>
      </c>
      <c r="KDO803" s="193" t="s">
        <v>1487</v>
      </c>
      <c r="KDP803" s="193" t="s">
        <v>1487</v>
      </c>
      <c r="KDQ803" s="193" t="s">
        <v>1487</v>
      </c>
      <c r="KDR803" s="193" t="s">
        <v>1487</v>
      </c>
      <c r="KDS803" s="193" t="s">
        <v>1487</v>
      </c>
      <c r="KDT803" s="193" t="s">
        <v>1487</v>
      </c>
      <c r="KDU803" s="193" t="s">
        <v>1487</v>
      </c>
      <c r="KDV803" s="193" t="s">
        <v>1487</v>
      </c>
      <c r="KDW803" s="193" t="s">
        <v>1487</v>
      </c>
      <c r="KDX803" s="193" t="s">
        <v>1487</v>
      </c>
      <c r="KDY803" s="193" t="s">
        <v>1487</v>
      </c>
      <c r="KDZ803" s="193" t="s">
        <v>1487</v>
      </c>
      <c r="KEA803" s="193" t="s">
        <v>1487</v>
      </c>
      <c r="KEB803" s="193" t="s">
        <v>1487</v>
      </c>
      <c r="KEC803" s="193" t="s">
        <v>1487</v>
      </c>
      <c r="KED803" s="193" t="s">
        <v>1487</v>
      </c>
      <c r="KEE803" s="193" t="s">
        <v>1487</v>
      </c>
      <c r="KEF803" s="193" t="s">
        <v>1487</v>
      </c>
      <c r="KEG803" s="193" t="s">
        <v>1487</v>
      </c>
      <c r="KEH803" s="193" t="s">
        <v>1487</v>
      </c>
      <c r="KEI803" s="193" t="s">
        <v>1487</v>
      </c>
      <c r="KEJ803" s="193" t="s">
        <v>1487</v>
      </c>
      <c r="KEK803" s="193" t="s">
        <v>1487</v>
      </c>
      <c r="KEL803" s="193" t="s">
        <v>1487</v>
      </c>
      <c r="KEM803" s="193" t="s">
        <v>1487</v>
      </c>
      <c r="KEN803" s="193" t="s">
        <v>1487</v>
      </c>
      <c r="KEO803" s="193" t="s">
        <v>1487</v>
      </c>
      <c r="KEP803" s="193" t="s">
        <v>1487</v>
      </c>
      <c r="KEQ803" s="193" t="s">
        <v>1487</v>
      </c>
      <c r="KER803" s="193" t="s">
        <v>1487</v>
      </c>
      <c r="KES803" s="193" t="s">
        <v>1487</v>
      </c>
      <c r="KET803" s="193" t="s">
        <v>1487</v>
      </c>
      <c r="KEU803" s="193" t="s">
        <v>1487</v>
      </c>
      <c r="KEV803" s="193" t="s">
        <v>1487</v>
      </c>
      <c r="KEW803" s="193" t="s">
        <v>1487</v>
      </c>
      <c r="KEX803" s="193" t="s">
        <v>1487</v>
      </c>
      <c r="KEY803" s="193" t="s">
        <v>1487</v>
      </c>
      <c r="KEZ803" s="193" t="s">
        <v>1487</v>
      </c>
      <c r="KFA803" s="193" t="s">
        <v>1487</v>
      </c>
      <c r="KFB803" s="193" t="s">
        <v>1487</v>
      </c>
      <c r="KFC803" s="193" t="s">
        <v>1487</v>
      </c>
      <c r="KFD803" s="193" t="s">
        <v>1487</v>
      </c>
      <c r="KFE803" s="193" t="s">
        <v>1487</v>
      </c>
      <c r="KFF803" s="193" t="s">
        <v>1487</v>
      </c>
      <c r="KFG803" s="193" t="s">
        <v>1487</v>
      </c>
      <c r="KFH803" s="193" t="s">
        <v>1487</v>
      </c>
      <c r="KFI803" s="193" t="s">
        <v>1487</v>
      </c>
      <c r="KFJ803" s="193" t="s">
        <v>1487</v>
      </c>
      <c r="KFK803" s="193" t="s">
        <v>1487</v>
      </c>
      <c r="KFL803" s="193" t="s">
        <v>1487</v>
      </c>
      <c r="KFM803" s="193" t="s">
        <v>1487</v>
      </c>
      <c r="KFN803" s="193" t="s">
        <v>1487</v>
      </c>
      <c r="KFO803" s="193" t="s">
        <v>1487</v>
      </c>
      <c r="KFP803" s="193" t="s">
        <v>1487</v>
      </c>
      <c r="KFQ803" s="193" t="s">
        <v>1487</v>
      </c>
      <c r="KFR803" s="193" t="s">
        <v>1487</v>
      </c>
      <c r="KFS803" s="193" t="s">
        <v>1487</v>
      </c>
      <c r="KFT803" s="193" t="s">
        <v>1487</v>
      </c>
      <c r="KFU803" s="193" t="s">
        <v>1487</v>
      </c>
      <c r="KFV803" s="193" t="s">
        <v>1487</v>
      </c>
      <c r="KFW803" s="193" t="s">
        <v>1487</v>
      </c>
      <c r="KFX803" s="193" t="s">
        <v>1487</v>
      </c>
      <c r="KFY803" s="193" t="s">
        <v>1487</v>
      </c>
      <c r="KFZ803" s="193" t="s">
        <v>1487</v>
      </c>
      <c r="KGA803" s="193" t="s">
        <v>1487</v>
      </c>
      <c r="KGB803" s="193" t="s">
        <v>1487</v>
      </c>
      <c r="KGC803" s="193" t="s">
        <v>1487</v>
      </c>
      <c r="KGD803" s="193" t="s">
        <v>1487</v>
      </c>
      <c r="KGE803" s="193" t="s">
        <v>1487</v>
      </c>
      <c r="KGF803" s="193" t="s">
        <v>1487</v>
      </c>
      <c r="KGG803" s="193" t="s">
        <v>1487</v>
      </c>
      <c r="KGH803" s="193" t="s">
        <v>1487</v>
      </c>
      <c r="KGI803" s="193" t="s">
        <v>1487</v>
      </c>
      <c r="KGJ803" s="193" t="s">
        <v>1487</v>
      </c>
      <c r="KGK803" s="193" t="s">
        <v>1487</v>
      </c>
      <c r="KGL803" s="193" t="s">
        <v>1487</v>
      </c>
      <c r="KGM803" s="193" t="s">
        <v>1487</v>
      </c>
      <c r="KGN803" s="193" t="s">
        <v>1487</v>
      </c>
      <c r="KGO803" s="193" t="s">
        <v>1487</v>
      </c>
      <c r="KGP803" s="193" t="s">
        <v>1487</v>
      </c>
      <c r="KGQ803" s="193" t="s">
        <v>1487</v>
      </c>
      <c r="KGR803" s="193" t="s">
        <v>1487</v>
      </c>
      <c r="KGS803" s="193" t="s">
        <v>1487</v>
      </c>
      <c r="KGT803" s="193" t="s">
        <v>1487</v>
      </c>
      <c r="KGU803" s="193" t="s">
        <v>1487</v>
      </c>
      <c r="KGV803" s="193" t="s">
        <v>1487</v>
      </c>
      <c r="KGW803" s="193" t="s">
        <v>1487</v>
      </c>
      <c r="KGX803" s="193" t="s">
        <v>1487</v>
      </c>
      <c r="KGY803" s="193" t="s">
        <v>1487</v>
      </c>
      <c r="KGZ803" s="193" t="s">
        <v>1487</v>
      </c>
      <c r="KHA803" s="193" t="s">
        <v>1487</v>
      </c>
      <c r="KHB803" s="193" t="s">
        <v>1487</v>
      </c>
      <c r="KHC803" s="193" t="s">
        <v>1487</v>
      </c>
      <c r="KHD803" s="193" t="s">
        <v>1487</v>
      </c>
      <c r="KHE803" s="193" t="s">
        <v>1487</v>
      </c>
      <c r="KHF803" s="193" t="s">
        <v>1487</v>
      </c>
      <c r="KHG803" s="193" t="s">
        <v>1487</v>
      </c>
      <c r="KHH803" s="193" t="s">
        <v>1487</v>
      </c>
      <c r="KHI803" s="193" t="s">
        <v>1487</v>
      </c>
      <c r="KHJ803" s="193" t="s">
        <v>1487</v>
      </c>
      <c r="KHK803" s="193" t="s">
        <v>1487</v>
      </c>
      <c r="KHL803" s="193" t="s">
        <v>1487</v>
      </c>
      <c r="KHM803" s="193" t="s">
        <v>1487</v>
      </c>
      <c r="KHN803" s="193" t="s">
        <v>1487</v>
      </c>
      <c r="KHO803" s="193" t="s">
        <v>1487</v>
      </c>
      <c r="KHP803" s="193" t="s">
        <v>1487</v>
      </c>
      <c r="KHQ803" s="193" t="s">
        <v>1487</v>
      </c>
      <c r="KHR803" s="193" t="s">
        <v>1487</v>
      </c>
      <c r="KHS803" s="193" t="s">
        <v>1487</v>
      </c>
      <c r="KHT803" s="193" t="s">
        <v>1487</v>
      </c>
      <c r="KHU803" s="193" t="s">
        <v>1487</v>
      </c>
      <c r="KHV803" s="193" t="s">
        <v>1487</v>
      </c>
      <c r="KHW803" s="193" t="s">
        <v>1487</v>
      </c>
      <c r="KHX803" s="193" t="s">
        <v>1487</v>
      </c>
      <c r="KHY803" s="193" t="s">
        <v>1487</v>
      </c>
      <c r="KHZ803" s="193" t="s">
        <v>1487</v>
      </c>
      <c r="KIA803" s="193" t="s">
        <v>1487</v>
      </c>
      <c r="KIB803" s="193" t="s">
        <v>1487</v>
      </c>
      <c r="KIC803" s="193" t="s">
        <v>1487</v>
      </c>
      <c r="KID803" s="193" t="s">
        <v>1487</v>
      </c>
      <c r="KIE803" s="193" t="s">
        <v>1487</v>
      </c>
      <c r="KIF803" s="193" t="s">
        <v>1487</v>
      </c>
      <c r="KIG803" s="193" t="s">
        <v>1487</v>
      </c>
      <c r="KIH803" s="193" t="s">
        <v>1487</v>
      </c>
      <c r="KII803" s="193" t="s">
        <v>1487</v>
      </c>
      <c r="KIJ803" s="193" t="s">
        <v>1487</v>
      </c>
      <c r="KIK803" s="193" t="s">
        <v>1487</v>
      </c>
      <c r="KIL803" s="193" t="s">
        <v>1487</v>
      </c>
      <c r="KIM803" s="193" t="s">
        <v>1487</v>
      </c>
      <c r="KIN803" s="193" t="s">
        <v>1487</v>
      </c>
      <c r="KIO803" s="193" t="s">
        <v>1487</v>
      </c>
      <c r="KIP803" s="193" t="s">
        <v>1487</v>
      </c>
      <c r="KIQ803" s="193" t="s">
        <v>1487</v>
      </c>
      <c r="KIR803" s="193" t="s">
        <v>1487</v>
      </c>
      <c r="KIS803" s="193" t="s">
        <v>1487</v>
      </c>
      <c r="KIT803" s="193" t="s">
        <v>1487</v>
      </c>
      <c r="KIU803" s="193" t="s">
        <v>1487</v>
      </c>
      <c r="KIV803" s="193" t="s">
        <v>1487</v>
      </c>
      <c r="KIW803" s="193" t="s">
        <v>1487</v>
      </c>
      <c r="KIX803" s="193" t="s">
        <v>1487</v>
      </c>
      <c r="KIY803" s="193" t="s">
        <v>1487</v>
      </c>
      <c r="KIZ803" s="193" t="s">
        <v>1487</v>
      </c>
      <c r="KJA803" s="193" t="s">
        <v>1487</v>
      </c>
      <c r="KJB803" s="193" t="s">
        <v>1487</v>
      </c>
      <c r="KJC803" s="193" t="s">
        <v>1487</v>
      </c>
      <c r="KJD803" s="193" t="s">
        <v>1487</v>
      </c>
      <c r="KJE803" s="193" t="s">
        <v>1487</v>
      </c>
      <c r="KJF803" s="193" t="s">
        <v>1487</v>
      </c>
      <c r="KJG803" s="193" t="s">
        <v>1487</v>
      </c>
      <c r="KJH803" s="193" t="s">
        <v>1487</v>
      </c>
      <c r="KJI803" s="193" t="s">
        <v>1487</v>
      </c>
      <c r="KJJ803" s="193" t="s">
        <v>1487</v>
      </c>
      <c r="KJK803" s="193" t="s">
        <v>1487</v>
      </c>
      <c r="KJL803" s="193" t="s">
        <v>1487</v>
      </c>
      <c r="KJM803" s="193" t="s">
        <v>1487</v>
      </c>
      <c r="KJN803" s="193" t="s">
        <v>1487</v>
      </c>
      <c r="KJO803" s="193" t="s">
        <v>1487</v>
      </c>
      <c r="KJP803" s="193" t="s">
        <v>1487</v>
      </c>
      <c r="KJQ803" s="193" t="s">
        <v>1487</v>
      </c>
      <c r="KJR803" s="193" t="s">
        <v>1487</v>
      </c>
      <c r="KJS803" s="193" t="s">
        <v>1487</v>
      </c>
      <c r="KJT803" s="193" t="s">
        <v>1487</v>
      </c>
      <c r="KJU803" s="193" t="s">
        <v>1487</v>
      </c>
      <c r="KJV803" s="193" t="s">
        <v>1487</v>
      </c>
      <c r="KJW803" s="193" t="s">
        <v>1487</v>
      </c>
      <c r="KJX803" s="193" t="s">
        <v>1487</v>
      </c>
      <c r="KJY803" s="193" t="s">
        <v>1487</v>
      </c>
      <c r="KJZ803" s="193" t="s">
        <v>1487</v>
      </c>
      <c r="KKA803" s="193" t="s">
        <v>1487</v>
      </c>
      <c r="KKB803" s="193" t="s">
        <v>1487</v>
      </c>
      <c r="KKC803" s="193" t="s">
        <v>1487</v>
      </c>
      <c r="KKD803" s="193" t="s">
        <v>1487</v>
      </c>
      <c r="KKE803" s="193" t="s">
        <v>1487</v>
      </c>
      <c r="KKF803" s="193" t="s">
        <v>1487</v>
      </c>
      <c r="KKG803" s="193" t="s">
        <v>1487</v>
      </c>
      <c r="KKH803" s="193" t="s">
        <v>1487</v>
      </c>
      <c r="KKI803" s="193" t="s">
        <v>1487</v>
      </c>
      <c r="KKJ803" s="193" t="s">
        <v>1487</v>
      </c>
      <c r="KKK803" s="193" t="s">
        <v>1487</v>
      </c>
      <c r="KKL803" s="193" t="s">
        <v>1487</v>
      </c>
      <c r="KKM803" s="193" t="s">
        <v>1487</v>
      </c>
      <c r="KKN803" s="193" t="s">
        <v>1487</v>
      </c>
      <c r="KKO803" s="193" t="s">
        <v>1487</v>
      </c>
      <c r="KKP803" s="193" t="s">
        <v>1487</v>
      </c>
      <c r="KKQ803" s="193" t="s">
        <v>1487</v>
      </c>
      <c r="KKR803" s="193" t="s">
        <v>1487</v>
      </c>
      <c r="KKS803" s="193" t="s">
        <v>1487</v>
      </c>
      <c r="KKT803" s="193" t="s">
        <v>1487</v>
      </c>
      <c r="KKU803" s="193" t="s">
        <v>1487</v>
      </c>
      <c r="KKV803" s="193" t="s">
        <v>1487</v>
      </c>
      <c r="KKW803" s="193" t="s">
        <v>1487</v>
      </c>
      <c r="KKX803" s="193" t="s">
        <v>1487</v>
      </c>
      <c r="KKY803" s="193" t="s">
        <v>1487</v>
      </c>
      <c r="KKZ803" s="193" t="s">
        <v>1487</v>
      </c>
      <c r="KLA803" s="193" t="s">
        <v>1487</v>
      </c>
      <c r="KLB803" s="193" t="s">
        <v>1487</v>
      </c>
      <c r="KLC803" s="193" t="s">
        <v>1487</v>
      </c>
      <c r="KLD803" s="193" t="s">
        <v>1487</v>
      </c>
      <c r="KLE803" s="193" t="s">
        <v>1487</v>
      </c>
      <c r="KLF803" s="193" t="s">
        <v>1487</v>
      </c>
      <c r="KLG803" s="193" t="s">
        <v>1487</v>
      </c>
      <c r="KLH803" s="193" t="s">
        <v>1487</v>
      </c>
      <c r="KLI803" s="193" t="s">
        <v>1487</v>
      </c>
      <c r="KLJ803" s="193" t="s">
        <v>1487</v>
      </c>
      <c r="KLK803" s="193" t="s">
        <v>1487</v>
      </c>
      <c r="KLL803" s="193" t="s">
        <v>1487</v>
      </c>
      <c r="KLM803" s="193" t="s">
        <v>1487</v>
      </c>
      <c r="KLN803" s="193" t="s">
        <v>1487</v>
      </c>
      <c r="KLO803" s="193" t="s">
        <v>1487</v>
      </c>
      <c r="KLP803" s="193" t="s">
        <v>1487</v>
      </c>
      <c r="KLQ803" s="193" t="s">
        <v>1487</v>
      </c>
      <c r="KLR803" s="193" t="s">
        <v>1487</v>
      </c>
      <c r="KLS803" s="193" t="s">
        <v>1487</v>
      </c>
      <c r="KLT803" s="193" t="s">
        <v>1487</v>
      </c>
      <c r="KLU803" s="193" t="s">
        <v>1487</v>
      </c>
      <c r="KLV803" s="193" t="s">
        <v>1487</v>
      </c>
      <c r="KLW803" s="193" t="s">
        <v>1487</v>
      </c>
      <c r="KLX803" s="193" t="s">
        <v>1487</v>
      </c>
      <c r="KLY803" s="193" t="s">
        <v>1487</v>
      </c>
      <c r="KLZ803" s="193" t="s">
        <v>1487</v>
      </c>
      <c r="KMA803" s="193" t="s">
        <v>1487</v>
      </c>
      <c r="KMB803" s="193" t="s">
        <v>1487</v>
      </c>
      <c r="KMC803" s="193" t="s">
        <v>1487</v>
      </c>
      <c r="KMD803" s="193" t="s">
        <v>1487</v>
      </c>
      <c r="KME803" s="193" t="s">
        <v>1487</v>
      </c>
      <c r="KMF803" s="193" t="s">
        <v>1487</v>
      </c>
      <c r="KMG803" s="193" t="s">
        <v>1487</v>
      </c>
      <c r="KMH803" s="193" t="s">
        <v>1487</v>
      </c>
      <c r="KMI803" s="193" t="s">
        <v>1487</v>
      </c>
      <c r="KMJ803" s="193" t="s">
        <v>1487</v>
      </c>
      <c r="KMK803" s="193" t="s">
        <v>1487</v>
      </c>
      <c r="KML803" s="193" t="s">
        <v>1487</v>
      </c>
      <c r="KMM803" s="193" t="s">
        <v>1487</v>
      </c>
      <c r="KMN803" s="193" t="s">
        <v>1487</v>
      </c>
      <c r="KMO803" s="193" t="s">
        <v>1487</v>
      </c>
      <c r="KMP803" s="193" t="s">
        <v>1487</v>
      </c>
      <c r="KMQ803" s="193" t="s">
        <v>1487</v>
      </c>
      <c r="KMR803" s="193" t="s">
        <v>1487</v>
      </c>
      <c r="KMS803" s="193" t="s">
        <v>1487</v>
      </c>
      <c r="KMT803" s="193" t="s">
        <v>1487</v>
      </c>
      <c r="KMU803" s="193" t="s">
        <v>1487</v>
      </c>
      <c r="KMV803" s="193" t="s">
        <v>1487</v>
      </c>
      <c r="KMW803" s="193" t="s">
        <v>1487</v>
      </c>
      <c r="KMX803" s="193" t="s">
        <v>1487</v>
      </c>
      <c r="KMY803" s="193" t="s">
        <v>1487</v>
      </c>
      <c r="KMZ803" s="193" t="s">
        <v>1487</v>
      </c>
      <c r="KNA803" s="193" t="s">
        <v>1487</v>
      </c>
      <c r="KNB803" s="193" t="s">
        <v>1487</v>
      </c>
      <c r="KNC803" s="193" t="s">
        <v>1487</v>
      </c>
      <c r="KND803" s="193" t="s">
        <v>1487</v>
      </c>
      <c r="KNE803" s="193" t="s">
        <v>1487</v>
      </c>
      <c r="KNF803" s="193" t="s">
        <v>1487</v>
      </c>
      <c r="KNG803" s="193" t="s">
        <v>1487</v>
      </c>
      <c r="KNH803" s="193" t="s">
        <v>1487</v>
      </c>
      <c r="KNI803" s="193" t="s">
        <v>1487</v>
      </c>
      <c r="KNJ803" s="193" t="s">
        <v>1487</v>
      </c>
      <c r="KNK803" s="193" t="s">
        <v>1487</v>
      </c>
      <c r="KNL803" s="193" t="s">
        <v>1487</v>
      </c>
      <c r="KNM803" s="193" t="s">
        <v>1487</v>
      </c>
      <c r="KNN803" s="193" t="s">
        <v>1487</v>
      </c>
      <c r="KNO803" s="193" t="s">
        <v>1487</v>
      </c>
      <c r="KNP803" s="193" t="s">
        <v>1487</v>
      </c>
      <c r="KNQ803" s="193" t="s">
        <v>1487</v>
      </c>
      <c r="KNR803" s="193" t="s">
        <v>1487</v>
      </c>
      <c r="KNS803" s="193" t="s">
        <v>1487</v>
      </c>
      <c r="KNT803" s="193" t="s">
        <v>1487</v>
      </c>
      <c r="KNU803" s="193" t="s">
        <v>1487</v>
      </c>
      <c r="KNV803" s="193" t="s">
        <v>1487</v>
      </c>
      <c r="KNW803" s="193" t="s">
        <v>1487</v>
      </c>
      <c r="KNX803" s="193" t="s">
        <v>1487</v>
      </c>
      <c r="KNY803" s="193" t="s">
        <v>1487</v>
      </c>
      <c r="KNZ803" s="193" t="s">
        <v>1487</v>
      </c>
      <c r="KOA803" s="193" t="s">
        <v>1487</v>
      </c>
      <c r="KOB803" s="193" t="s">
        <v>1487</v>
      </c>
      <c r="KOC803" s="193" t="s">
        <v>1487</v>
      </c>
      <c r="KOD803" s="193" t="s">
        <v>1487</v>
      </c>
      <c r="KOE803" s="193" t="s">
        <v>1487</v>
      </c>
      <c r="KOF803" s="193" t="s">
        <v>1487</v>
      </c>
      <c r="KOG803" s="193" t="s">
        <v>1487</v>
      </c>
      <c r="KOH803" s="193" t="s">
        <v>1487</v>
      </c>
      <c r="KOI803" s="193" t="s">
        <v>1487</v>
      </c>
      <c r="KOJ803" s="193" t="s">
        <v>1487</v>
      </c>
      <c r="KOK803" s="193" t="s">
        <v>1487</v>
      </c>
      <c r="KOL803" s="193" t="s">
        <v>1487</v>
      </c>
      <c r="KOM803" s="193" t="s">
        <v>1487</v>
      </c>
      <c r="KON803" s="193" t="s">
        <v>1487</v>
      </c>
      <c r="KOO803" s="193" t="s">
        <v>1487</v>
      </c>
      <c r="KOP803" s="193" t="s">
        <v>1487</v>
      </c>
      <c r="KOQ803" s="193" t="s">
        <v>1487</v>
      </c>
      <c r="KOR803" s="193" t="s">
        <v>1487</v>
      </c>
      <c r="KOS803" s="193" t="s">
        <v>1487</v>
      </c>
      <c r="KOT803" s="193" t="s">
        <v>1487</v>
      </c>
      <c r="KOU803" s="193" t="s">
        <v>1487</v>
      </c>
      <c r="KOV803" s="193" t="s">
        <v>1487</v>
      </c>
      <c r="KOW803" s="193" t="s">
        <v>1487</v>
      </c>
      <c r="KOX803" s="193" t="s">
        <v>1487</v>
      </c>
      <c r="KOY803" s="193" t="s">
        <v>1487</v>
      </c>
      <c r="KOZ803" s="193" t="s">
        <v>1487</v>
      </c>
      <c r="KPA803" s="193" t="s">
        <v>1487</v>
      </c>
      <c r="KPB803" s="193" t="s">
        <v>1487</v>
      </c>
      <c r="KPC803" s="193" t="s">
        <v>1487</v>
      </c>
      <c r="KPD803" s="193" t="s">
        <v>1487</v>
      </c>
      <c r="KPE803" s="193" t="s">
        <v>1487</v>
      </c>
      <c r="KPF803" s="193" t="s">
        <v>1487</v>
      </c>
      <c r="KPG803" s="193" t="s">
        <v>1487</v>
      </c>
      <c r="KPH803" s="193" t="s">
        <v>1487</v>
      </c>
      <c r="KPI803" s="193" t="s">
        <v>1487</v>
      </c>
      <c r="KPJ803" s="193" t="s">
        <v>1487</v>
      </c>
      <c r="KPK803" s="193" t="s">
        <v>1487</v>
      </c>
      <c r="KPL803" s="193" t="s">
        <v>1487</v>
      </c>
      <c r="KPM803" s="193" t="s">
        <v>1487</v>
      </c>
      <c r="KPN803" s="193" t="s">
        <v>1487</v>
      </c>
      <c r="KPO803" s="193" t="s">
        <v>1487</v>
      </c>
      <c r="KPP803" s="193" t="s">
        <v>1487</v>
      </c>
      <c r="KPQ803" s="193" t="s">
        <v>1487</v>
      </c>
      <c r="KPR803" s="193" t="s">
        <v>1487</v>
      </c>
      <c r="KPS803" s="193" t="s">
        <v>1487</v>
      </c>
      <c r="KPT803" s="193" t="s">
        <v>1487</v>
      </c>
      <c r="KPU803" s="193" t="s">
        <v>1487</v>
      </c>
      <c r="KPV803" s="193" t="s">
        <v>1487</v>
      </c>
      <c r="KPW803" s="193" t="s">
        <v>1487</v>
      </c>
      <c r="KPX803" s="193" t="s">
        <v>1487</v>
      </c>
      <c r="KPY803" s="193" t="s">
        <v>1487</v>
      </c>
      <c r="KPZ803" s="193" t="s">
        <v>1487</v>
      </c>
      <c r="KQA803" s="193" t="s">
        <v>1487</v>
      </c>
      <c r="KQB803" s="193" t="s">
        <v>1487</v>
      </c>
      <c r="KQC803" s="193" t="s">
        <v>1487</v>
      </c>
      <c r="KQD803" s="193" t="s">
        <v>1487</v>
      </c>
      <c r="KQE803" s="193" t="s">
        <v>1487</v>
      </c>
      <c r="KQF803" s="193" t="s">
        <v>1487</v>
      </c>
      <c r="KQG803" s="193" t="s">
        <v>1487</v>
      </c>
      <c r="KQH803" s="193" t="s">
        <v>1487</v>
      </c>
      <c r="KQI803" s="193" t="s">
        <v>1487</v>
      </c>
      <c r="KQJ803" s="193" t="s">
        <v>1487</v>
      </c>
      <c r="KQK803" s="193" t="s">
        <v>1487</v>
      </c>
      <c r="KQL803" s="193" t="s">
        <v>1487</v>
      </c>
      <c r="KQM803" s="193" t="s">
        <v>1487</v>
      </c>
      <c r="KQN803" s="193" t="s">
        <v>1487</v>
      </c>
      <c r="KQO803" s="193" t="s">
        <v>1487</v>
      </c>
      <c r="KQP803" s="193" t="s">
        <v>1487</v>
      </c>
      <c r="KQQ803" s="193" t="s">
        <v>1487</v>
      </c>
      <c r="KQR803" s="193" t="s">
        <v>1487</v>
      </c>
      <c r="KQS803" s="193" t="s">
        <v>1487</v>
      </c>
      <c r="KQT803" s="193" t="s">
        <v>1487</v>
      </c>
      <c r="KQU803" s="193" t="s">
        <v>1487</v>
      </c>
      <c r="KQV803" s="193" t="s">
        <v>1487</v>
      </c>
      <c r="KQW803" s="193" t="s">
        <v>1487</v>
      </c>
      <c r="KQX803" s="193" t="s">
        <v>1487</v>
      </c>
      <c r="KQY803" s="193" t="s">
        <v>1487</v>
      </c>
      <c r="KQZ803" s="193" t="s">
        <v>1487</v>
      </c>
      <c r="KRA803" s="193" t="s">
        <v>1487</v>
      </c>
      <c r="KRB803" s="193" t="s">
        <v>1487</v>
      </c>
      <c r="KRC803" s="193" t="s">
        <v>1487</v>
      </c>
      <c r="KRD803" s="193" t="s">
        <v>1487</v>
      </c>
      <c r="KRE803" s="193" t="s">
        <v>1487</v>
      </c>
      <c r="KRF803" s="193" t="s">
        <v>1487</v>
      </c>
      <c r="KRG803" s="193" t="s">
        <v>1487</v>
      </c>
      <c r="KRH803" s="193" t="s">
        <v>1487</v>
      </c>
      <c r="KRI803" s="193" t="s">
        <v>1487</v>
      </c>
      <c r="KRJ803" s="193" t="s">
        <v>1487</v>
      </c>
      <c r="KRK803" s="193" t="s">
        <v>1487</v>
      </c>
      <c r="KRL803" s="193" t="s">
        <v>1487</v>
      </c>
      <c r="KRM803" s="193" t="s">
        <v>1487</v>
      </c>
      <c r="KRN803" s="193" t="s">
        <v>1487</v>
      </c>
      <c r="KRO803" s="193" t="s">
        <v>1487</v>
      </c>
      <c r="KRP803" s="193" t="s">
        <v>1487</v>
      </c>
      <c r="KRQ803" s="193" t="s">
        <v>1487</v>
      </c>
      <c r="KRR803" s="193" t="s">
        <v>1487</v>
      </c>
      <c r="KRS803" s="193" t="s">
        <v>1487</v>
      </c>
      <c r="KRT803" s="193" t="s">
        <v>1487</v>
      </c>
      <c r="KRU803" s="193" t="s">
        <v>1487</v>
      </c>
      <c r="KRV803" s="193" t="s">
        <v>1487</v>
      </c>
      <c r="KRW803" s="193" t="s">
        <v>1487</v>
      </c>
      <c r="KRX803" s="193" t="s">
        <v>1487</v>
      </c>
      <c r="KRY803" s="193" t="s">
        <v>1487</v>
      </c>
      <c r="KRZ803" s="193" t="s">
        <v>1487</v>
      </c>
      <c r="KSA803" s="193" t="s">
        <v>1487</v>
      </c>
      <c r="KSB803" s="193" t="s">
        <v>1487</v>
      </c>
      <c r="KSC803" s="193" t="s">
        <v>1487</v>
      </c>
      <c r="KSD803" s="193" t="s">
        <v>1487</v>
      </c>
      <c r="KSE803" s="193" t="s">
        <v>1487</v>
      </c>
      <c r="KSF803" s="193" t="s">
        <v>1487</v>
      </c>
      <c r="KSG803" s="193" t="s">
        <v>1487</v>
      </c>
      <c r="KSH803" s="193" t="s">
        <v>1487</v>
      </c>
      <c r="KSI803" s="193" t="s">
        <v>1487</v>
      </c>
      <c r="KSJ803" s="193" t="s">
        <v>1487</v>
      </c>
      <c r="KSK803" s="193" t="s">
        <v>1487</v>
      </c>
      <c r="KSL803" s="193" t="s">
        <v>1487</v>
      </c>
      <c r="KSM803" s="193" t="s">
        <v>1487</v>
      </c>
      <c r="KSN803" s="193" t="s">
        <v>1487</v>
      </c>
      <c r="KSO803" s="193" t="s">
        <v>1487</v>
      </c>
      <c r="KSP803" s="193" t="s">
        <v>1487</v>
      </c>
      <c r="KSQ803" s="193" t="s">
        <v>1487</v>
      </c>
      <c r="KSR803" s="193" t="s">
        <v>1487</v>
      </c>
      <c r="KSS803" s="193" t="s">
        <v>1487</v>
      </c>
      <c r="KST803" s="193" t="s">
        <v>1487</v>
      </c>
      <c r="KSU803" s="193" t="s">
        <v>1487</v>
      </c>
      <c r="KSV803" s="193" t="s">
        <v>1487</v>
      </c>
      <c r="KSW803" s="193" t="s">
        <v>1487</v>
      </c>
      <c r="KSX803" s="193" t="s">
        <v>1487</v>
      </c>
      <c r="KSY803" s="193" t="s">
        <v>1487</v>
      </c>
      <c r="KSZ803" s="193" t="s">
        <v>1487</v>
      </c>
      <c r="KTA803" s="193" t="s">
        <v>1487</v>
      </c>
      <c r="KTB803" s="193" t="s">
        <v>1487</v>
      </c>
      <c r="KTC803" s="193" t="s">
        <v>1487</v>
      </c>
      <c r="KTD803" s="193" t="s">
        <v>1487</v>
      </c>
      <c r="KTE803" s="193" t="s">
        <v>1487</v>
      </c>
      <c r="KTF803" s="193" t="s">
        <v>1487</v>
      </c>
      <c r="KTG803" s="193" t="s">
        <v>1487</v>
      </c>
      <c r="KTH803" s="193" t="s">
        <v>1487</v>
      </c>
      <c r="KTI803" s="193" t="s">
        <v>1487</v>
      </c>
      <c r="KTJ803" s="193" t="s">
        <v>1487</v>
      </c>
      <c r="KTK803" s="193" t="s">
        <v>1487</v>
      </c>
      <c r="KTL803" s="193" t="s">
        <v>1487</v>
      </c>
      <c r="KTM803" s="193" t="s">
        <v>1487</v>
      </c>
      <c r="KTN803" s="193" t="s">
        <v>1487</v>
      </c>
      <c r="KTO803" s="193" t="s">
        <v>1487</v>
      </c>
      <c r="KTP803" s="193" t="s">
        <v>1487</v>
      </c>
      <c r="KTQ803" s="193" t="s">
        <v>1487</v>
      </c>
      <c r="KTR803" s="193" t="s">
        <v>1487</v>
      </c>
      <c r="KTS803" s="193" t="s">
        <v>1487</v>
      </c>
      <c r="KTT803" s="193" t="s">
        <v>1487</v>
      </c>
      <c r="KTU803" s="193" t="s">
        <v>1487</v>
      </c>
      <c r="KTV803" s="193" t="s">
        <v>1487</v>
      </c>
      <c r="KTW803" s="193" t="s">
        <v>1487</v>
      </c>
      <c r="KTX803" s="193" t="s">
        <v>1487</v>
      </c>
      <c r="KTY803" s="193" t="s">
        <v>1487</v>
      </c>
      <c r="KTZ803" s="193" t="s">
        <v>1487</v>
      </c>
      <c r="KUA803" s="193" t="s">
        <v>1487</v>
      </c>
      <c r="KUB803" s="193" t="s">
        <v>1487</v>
      </c>
      <c r="KUC803" s="193" t="s">
        <v>1487</v>
      </c>
      <c r="KUD803" s="193" t="s">
        <v>1487</v>
      </c>
      <c r="KUE803" s="193" t="s">
        <v>1487</v>
      </c>
      <c r="KUF803" s="193" t="s">
        <v>1487</v>
      </c>
      <c r="KUG803" s="193" t="s">
        <v>1487</v>
      </c>
      <c r="KUH803" s="193" t="s">
        <v>1487</v>
      </c>
      <c r="KUI803" s="193" t="s">
        <v>1487</v>
      </c>
      <c r="KUJ803" s="193" t="s">
        <v>1487</v>
      </c>
      <c r="KUK803" s="193" t="s">
        <v>1487</v>
      </c>
      <c r="KUL803" s="193" t="s">
        <v>1487</v>
      </c>
      <c r="KUM803" s="193" t="s">
        <v>1487</v>
      </c>
      <c r="KUN803" s="193" t="s">
        <v>1487</v>
      </c>
      <c r="KUO803" s="193" t="s">
        <v>1487</v>
      </c>
      <c r="KUP803" s="193" t="s">
        <v>1487</v>
      </c>
      <c r="KUQ803" s="193" t="s">
        <v>1487</v>
      </c>
      <c r="KUR803" s="193" t="s">
        <v>1487</v>
      </c>
      <c r="KUS803" s="193" t="s">
        <v>1487</v>
      </c>
      <c r="KUT803" s="193" t="s">
        <v>1487</v>
      </c>
      <c r="KUU803" s="193" t="s">
        <v>1487</v>
      </c>
      <c r="KUV803" s="193" t="s">
        <v>1487</v>
      </c>
      <c r="KUW803" s="193" t="s">
        <v>1487</v>
      </c>
      <c r="KUX803" s="193" t="s">
        <v>1487</v>
      </c>
      <c r="KUY803" s="193" t="s">
        <v>1487</v>
      </c>
      <c r="KUZ803" s="193" t="s">
        <v>1487</v>
      </c>
      <c r="KVA803" s="193" t="s">
        <v>1487</v>
      </c>
      <c r="KVB803" s="193" t="s">
        <v>1487</v>
      </c>
      <c r="KVC803" s="193" t="s">
        <v>1487</v>
      </c>
      <c r="KVD803" s="193" t="s">
        <v>1487</v>
      </c>
      <c r="KVE803" s="193" t="s">
        <v>1487</v>
      </c>
      <c r="KVF803" s="193" t="s">
        <v>1487</v>
      </c>
      <c r="KVG803" s="193" t="s">
        <v>1487</v>
      </c>
      <c r="KVH803" s="193" t="s">
        <v>1487</v>
      </c>
      <c r="KVI803" s="193" t="s">
        <v>1487</v>
      </c>
      <c r="KVJ803" s="193" t="s">
        <v>1487</v>
      </c>
      <c r="KVK803" s="193" t="s">
        <v>1487</v>
      </c>
      <c r="KVL803" s="193" t="s">
        <v>1487</v>
      </c>
      <c r="KVM803" s="193" t="s">
        <v>1487</v>
      </c>
      <c r="KVN803" s="193" t="s">
        <v>1487</v>
      </c>
      <c r="KVO803" s="193" t="s">
        <v>1487</v>
      </c>
      <c r="KVP803" s="193" t="s">
        <v>1487</v>
      </c>
      <c r="KVQ803" s="193" t="s">
        <v>1487</v>
      </c>
      <c r="KVR803" s="193" t="s">
        <v>1487</v>
      </c>
      <c r="KVS803" s="193" t="s">
        <v>1487</v>
      </c>
      <c r="KVT803" s="193" t="s">
        <v>1487</v>
      </c>
      <c r="KVU803" s="193" t="s">
        <v>1487</v>
      </c>
      <c r="KVV803" s="193" t="s">
        <v>1487</v>
      </c>
      <c r="KVW803" s="193" t="s">
        <v>1487</v>
      </c>
      <c r="KVX803" s="193" t="s">
        <v>1487</v>
      </c>
      <c r="KVY803" s="193" t="s">
        <v>1487</v>
      </c>
      <c r="KVZ803" s="193" t="s">
        <v>1487</v>
      </c>
      <c r="KWA803" s="193" t="s">
        <v>1487</v>
      </c>
      <c r="KWB803" s="193" t="s">
        <v>1487</v>
      </c>
      <c r="KWC803" s="193" t="s">
        <v>1487</v>
      </c>
      <c r="KWD803" s="193" t="s">
        <v>1487</v>
      </c>
      <c r="KWE803" s="193" t="s">
        <v>1487</v>
      </c>
      <c r="KWF803" s="193" t="s">
        <v>1487</v>
      </c>
      <c r="KWG803" s="193" t="s">
        <v>1487</v>
      </c>
      <c r="KWH803" s="193" t="s">
        <v>1487</v>
      </c>
      <c r="KWI803" s="193" t="s">
        <v>1487</v>
      </c>
      <c r="KWJ803" s="193" t="s">
        <v>1487</v>
      </c>
      <c r="KWK803" s="193" t="s">
        <v>1487</v>
      </c>
      <c r="KWL803" s="193" t="s">
        <v>1487</v>
      </c>
      <c r="KWM803" s="193" t="s">
        <v>1487</v>
      </c>
      <c r="KWN803" s="193" t="s">
        <v>1487</v>
      </c>
      <c r="KWO803" s="193" t="s">
        <v>1487</v>
      </c>
      <c r="KWP803" s="193" t="s">
        <v>1487</v>
      </c>
      <c r="KWQ803" s="193" t="s">
        <v>1487</v>
      </c>
      <c r="KWR803" s="193" t="s">
        <v>1487</v>
      </c>
      <c r="KWS803" s="193" t="s">
        <v>1487</v>
      </c>
      <c r="KWT803" s="193" t="s">
        <v>1487</v>
      </c>
      <c r="KWU803" s="193" t="s">
        <v>1487</v>
      </c>
      <c r="KWV803" s="193" t="s">
        <v>1487</v>
      </c>
      <c r="KWW803" s="193" t="s">
        <v>1487</v>
      </c>
      <c r="KWX803" s="193" t="s">
        <v>1487</v>
      </c>
      <c r="KWY803" s="193" t="s">
        <v>1487</v>
      </c>
      <c r="KWZ803" s="193" t="s">
        <v>1487</v>
      </c>
      <c r="KXA803" s="193" t="s">
        <v>1487</v>
      </c>
      <c r="KXB803" s="193" t="s">
        <v>1487</v>
      </c>
      <c r="KXC803" s="193" t="s">
        <v>1487</v>
      </c>
      <c r="KXD803" s="193" t="s">
        <v>1487</v>
      </c>
      <c r="KXE803" s="193" t="s">
        <v>1487</v>
      </c>
      <c r="KXF803" s="193" t="s">
        <v>1487</v>
      </c>
      <c r="KXG803" s="193" t="s">
        <v>1487</v>
      </c>
      <c r="KXH803" s="193" t="s">
        <v>1487</v>
      </c>
      <c r="KXI803" s="193" t="s">
        <v>1487</v>
      </c>
      <c r="KXJ803" s="193" t="s">
        <v>1487</v>
      </c>
      <c r="KXK803" s="193" t="s">
        <v>1487</v>
      </c>
      <c r="KXL803" s="193" t="s">
        <v>1487</v>
      </c>
      <c r="KXM803" s="193" t="s">
        <v>1487</v>
      </c>
      <c r="KXN803" s="193" t="s">
        <v>1487</v>
      </c>
      <c r="KXO803" s="193" t="s">
        <v>1487</v>
      </c>
      <c r="KXP803" s="193" t="s">
        <v>1487</v>
      </c>
      <c r="KXQ803" s="193" t="s">
        <v>1487</v>
      </c>
      <c r="KXR803" s="193" t="s">
        <v>1487</v>
      </c>
      <c r="KXS803" s="193" t="s">
        <v>1487</v>
      </c>
      <c r="KXT803" s="193" t="s">
        <v>1487</v>
      </c>
      <c r="KXU803" s="193" t="s">
        <v>1487</v>
      </c>
      <c r="KXV803" s="193" t="s">
        <v>1487</v>
      </c>
      <c r="KXW803" s="193" t="s">
        <v>1487</v>
      </c>
      <c r="KXX803" s="193" t="s">
        <v>1487</v>
      </c>
      <c r="KXY803" s="193" t="s">
        <v>1487</v>
      </c>
      <c r="KXZ803" s="193" t="s">
        <v>1487</v>
      </c>
      <c r="KYA803" s="193" t="s">
        <v>1487</v>
      </c>
      <c r="KYB803" s="193" t="s">
        <v>1487</v>
      </c>
      <c r="KYC803" s="193" t="s">
        <v>1487</v>
      </c>
      <c r="KYD803" s="193" t="s">
        <v>1487</v>
      </c>
      <c r="KYE803" s="193" t="s">
        <v>1487</v>
      </c>
      <c r="KYF803" s="193" t="s">
        <v>1487</v>
      </c>
      <c r="KYG803" s="193" t="s">
        <v>1487</v>
      </c>
      <c r="KYH803" s="193" t="s">
        <v>1487</v>
      </c>
      <c r="KYI803" s="193" t="s">
        <v>1487</v>
      </c>
      <c r="KYJ803" s="193" t="s">
        <v>1487</v>
      </c>
      <c r="KYK803" s="193" t="s">
        <v>1487</v>
      </c>
      <c r="KYL803" s="193" t="s">
        <v>1487</v>
      </c>
      <c r="KYM803" s="193" t="s">
        <v>1487</v>
      </c>
      <c r="KYN803" s="193" t="s">
        <v>1487</v>
      </c>
      <c r="KYO803" s="193" t="s">
        <v>1487</v>
      </c>
      <c r="KYP803" s="193" t="s">
        <v>1487</v>
      </c>
      <c r="KYQ803" s="193" t="s">
        <v>1487</v>
      </c>
      <c r="KYR803" s="193" t="s">
        <v>1487</v>
      </c>
      <c r="KYS803" s="193" t="s">
        <v>1487</v>
      </c>
      <c r="KYT803" s="193" t="s">
        <v>1487</v>
      </c>
      <c r="KYU803" s="193" t="s">
        <v>1487</v>
      </c>
      <c r="KYV803" s="193" t="s">
        <v>1487</v>
      </c>
      <c r="KYW803" s="193" t="s">
        <v>1487</v>
      </c>
      <c r="KYX803" s="193" t="s">
        <v>1487</v>
      </c>
      <c r="KYY803" s="193" t="s">
        <v>1487</v>
      </c>
      <c r="KYZ803" s="193" t="s">
        <v>1487</v>
      </c>
      <c r="KZA803" s="193" t="s">
        <v>1487</v>
      </c>
      <c r="KZB803" s="193" t="s">
        <v>1487</v>
      </c>
      <c r="KZC803" s="193" t="s">
        <v>1487</v>
      </c>
      <c r="KZD803" s="193" t="s">
        <v>1487</v>
      </c>
      <c r="KZE803" s="193" t="s">
        <v>1487</v>
      </c>
      <c r="KZF803" s="193" t="s">
        <v>1487</v>
      </c>
      <c r="KZG803" s="193" t="s">
        <v>1487</v>
      </c>
      <c r="KZH803" s="193" t="s">
        <v>1487</v>
      </c>
      <c r="KZI803" s="193" t="s">
        <v>1487</v>
      </c>
      <c r="KZJ803" s="193" t="s">
        <v>1487</v>
      </c>
      <c r="KZK803" s="193" t="s">
        <v>1487</v>
      </c>
      <c r="KZL803" s="193" t="s">
        <v>1487</v>
      </c>
      <c r="KZM803" s="193" t="s">
        <v>1487</v>
      </c>
      <c r="KZN803" s="193" t="s">
        <v>1487</v>
      </c>
      <c r="KZO803" s="193" t="s">
        <v>1487</v>
      </c>
      <c r="KZP803" s="193" t="s">
        <v>1487</v>
      </c>
      <c r="KZQ803" s="193" t="s">
        <v>1487</v>
      </c>
      <c r="KZR803" s="193" t="s">
        <v>1487</v>
      </c>
      <c r="KZS803" s="193" t="s">
        <v>1487</v>
      </c>
      <c r="KZT803" s="193" t="s">
        <v>1487</v>
      </c>
      <c r="KZU803" s="193" t="s">
        <v>1487</v>
      </c>
      <c r="KZV803" s="193" t="s">
        <v>1487</v>
      </c>
      <c r="KZW803" s="193" t="s">
        <v>1487</v>
      </c>
      <c r="KZX803" s="193" t="s">
        <v>1487</v>
      </c>
      <c r="KZY803" s="193" t="s">
        <v>1487</v>
      </c>
      <c r="KZZ803" s="193" t="s">
        <v>1487</v>
      </c>
      <c r="LAA803" s="193" t="s">
        <v>1487</v>
      </c>
      <c r="LAB803" s="193" t="s">
        <v>1487</v>
      </c>
      <c r="LAC803" s="193" t="s">
        <v>1487</v>
      </c>
      <c r="LAD803" s="193" t="s">
        <v>1487</v>
      </c>
      <c r="LAE803" s="193" t="s">
        <v>1487</v>
      </c>
      <c r="LAF803" s="193" t="s">
        <v>1487</v>
      </c>
      <c r="LAG803" s="193" t="s">
        <v>1487</v>
      </c>
      <c r="LAH803" s="193" t="s">
        <v>1487</v>
      </c>
      <c r="LAI803" s="193" t="s">
        <v>1487</v>
      </c>
      <c r="LAJ803" s="193" t="s">
        <v>1487</v>
      </c>
      <c r="LAK803" s="193" t="s">
        <v>1487</v>
      </c>
      <c r="LAL803" s="193" t="s">
        <v>1487</v>
      </c>
      <c r="LAM803" s="193" t="s">
        <v>1487</v>
      </c>
      <c r="LAN803" s="193" t="s">
        <v>1487</v>
      </c>
      <c r="LAO803" s="193" t="s">
        <v>1487</v>
      </c>
      <c r="LAP803" s="193" t="s">
        <v>1487</v>
      </c>
      <c r="LAQ803" s="193" t="s">
        <v>1487</v>
      </c>
      <c r="LAR803" s="193" t="s">
        <v>1487</v>
      </c>
      <c r="LAS803" s="193" t="s">
        <v>1487</v>
      </c>
      <c r="LAT803" s="193" t="s">
        <v>1487</v>
      </c>
      <c r="LAU803" s="193" t="s">
        <v>1487</v>
      </c>
      <c r="LAV803" s="193" t="s">
        <v>1487</v>
      </c>
      <c r="LAW803" s="193" t="s">
        <v>1487</v>
      </c>
      <c r="LAX803" s="193" t="s">
        <v>1487</v>
      </c>
      <c r="LAY803" s="193" t="s">
        <v>1487</v>
      </c>
      <c r="LAZ803" s="193" t="s">
        <v>1487</v>
      </c>
      <c r="LBA803" s="193" t="s">
        <v>1487</v>
      </c>
      <c r="LBB803" s="193" t="s">
        <v>1487</v>
      </c>
      <c r="LBC803" s="193" t="s">
        <v>1487</v>
      </c>
      <c r="LBD803" s="193" t="s">
        <v>1487</v>
      </c>
      <c r="LBE803" s="193" t="s">
        <v>1487</v>
      </c>
      <c r="LBF803" s="193" t="s">
        <v>1487</v>
      </c>
      <c r="LBG803" s="193" t="s">
        <v>1487</v>
      </c>
      <c r="LBH803" s="193" t="s">
        <v>1487</v>
      </c>
      <c r="LBI803" s="193" t="s">
        <v>1487</v>
      </c>
      <c r="LBJ803" s="193" t="s">
        <v>1487</v>
      </c>
      <c r="LBK803" s="193" t="s">
        <v>1487</v>
      </c>
      <c r="LBL803" s="193" t="s">
        <v>1487</v>
      </c>
      <c r="LBM803" s="193" t="s">
        <v>1487</v>
      </c>
      <c r="LBN803" s="193" t="s">
        <v>1487</v>
      </c>
      <c r="LBO803" s="193" t="s">
        <v>1487</v>
      </c>
      <c r="LBP803" s="193" t="s">
        <v>1487</v>
      </c>
      <c r="LBQ803" s="193" t="s">
        <v>1487</v>
      </c>
      <c r="LBR803" s="193" t="s">
        <v>1487</v>
      </c>
      <c r="LBS803" s="193" t="s">
        <v>1487</v>
      </c>
      <c r="LBT803" s="193" t="s">
        <v>1487</v>
      </c>
      <c r="LBU803" s="193" t="s">
        <v>1487</v>
      </c>
      <c r="LBV803" s="193" t="s">
        <v>1487</v>
      </c>
      <c r="LBW803" s="193" t="s">
        <v>1487</v>
      </c>
      <c r="LBX803" s="193" t="s">
        <v>1487</v>
      </c>
      <c r="LBY803" s="193" t="s">
        <v>1487</v>
      </c>
      <c r="LBZ803" s="193" t="s">
        <v>1487</v>
      </c>
      <c r="LCA803" s="193" t="s">
        <v>1487</v>
      </c>
      <c r="LCB803" s="193" t="s">
        <v>1487</v>
      </c>
      <c r="LCC803" s="193" t="s">
        <v>1487</v>
      </c>
      <c r="LCD803" s="193" t="s">
        <v>1487</v>
      </c>
      <c r="LCE803" s="193" t="s">
        <v>1487</v>
      </c>
      <c r="LCF803" s="193" t="s">
        <v>1487</v>
      </c>
      <c r="LCG803" s="193" t="s">
        <v>1487</v>
      </c>
      <c r="LCH803" s="193" t="s">
        <v>1487</v>
      </c>
      <c r="LCI803" s="193" t="s">
        <v>1487</v>
      </c>
      <c r="LCJ803" s="193" t="s">
        <v>1487</v>
      </c>
      <c r="LCK803" s="193" t="s">
        <v>1487</v>
      </c>
      <c r="LCL803" s="193" t="s">
        <v>1487</v>
      </c>
      <c r="LCM803" s="193" t="s">
        <v>1487</v>
      </c>
      <c r="LCN803" s="193" t="s">
        <v>1487</v>
      </c>
      <c r="LCO803" s="193" t="s">
        <v>1487</v>
      </c>
      <c r="LCP803" s="193" t="s">
        <v>1487</v>
      </c>
      <c r="LCQ803" s="193" t="s">
        <v>1487</v>
      </c>
      <c r="LCR803" s="193" t="s">
        <v>1487</v>
      </c>
      <c r="LCS803" s="193" t="s">
        <v>1487</v>
      </c>
      <c r="LCT803" s="193" t="s">
        <v>1487</v>
      </c>
      <c r="LCU803" s="193" t="s">
        <v>1487</v>
      </c>
      <c r="LCV803" s="193" t="s">
        <v>1487</v>
      </c>
      <c r="LCW803" s="193" t="s">
        <v>1487</v>
      </c>
      <c r="LCX803" s="193" t="s">
        <v>1487</v>
      </c>
      <c r="LCY803" s="193" t="s">
        <v>1487</v>
      </c>
      <c r="LCZ803" s="193" t="s">
        <v>1487</v>
      </c>
      <c r="LDA803" s="193" t="s">
        <v>1487</v>
      </c>
      <c r="LDB803" s="193" t="s">
        <v>1487</v>
      </c>
      <c r="LDC803" s="193" t="s">
        <v>1487</v>
      </c>
      <c r="LDD803" s="193" t="s">
        <v>1487</v>
      </c>
      <c r="LDE803" s="193" t="s">
        <v>1487</v>
      </c>
      <c r="LDF803" s="193" t="s">
        <v>1487</v>
      </c>
      <c r="LDG803" s="193" t="s">
        <v>1487</v>
      </c>
      <c r="LDH803" s="193" t="s">
        <v>1487</v>
      </c>
      <c r="LDI803" s="193" t="s">
        <v>1487</v>
      </c>
      <c r="LDJ803" s="193" t="s">
        <v>1487</v>
      </c>
      <c r="LDK803" s="193" t="s">
        <v>1487</v>
      </c>
      <c r="LDL803" s="193" t="s">
        <v>1487</v>
      </c>
      <c r="LDM803" s="193" t="s">
        <v>1487</v>
      </c>
      <c r="LDN803" s="193" t="s">
        <v>1487</v>
      </c>
      <c r="LDO803" s="193" t="s">
        <v>1487</v>
      </c>
      <c r="LDP803" s="193" t="s">
        <v>1487</v>
      </c>
      <c r="LDQ803" s="193" t="s">
        <v>1487</v>
      </c>
      <c r="LDR803" s="193" t="s">
        <v>1487</v>
      </c>
      <c r="LDS803" s="193" t="s">
        <v>1487</v>
      </c>
      <c r="LDT803" s="193" t="s">
        <v>1487</v>
      </c>
      <c r="LDU803" s="193" t="s">
        <v>1487</v>
      </c>
      <c r="LDV803" s="193" t="s">
        <v>1487</v>
      </c>
      <c r="LDW803" s="193" t="s">
        <v>1487</v>
      </c>
      <c r="LDX803" s="193" t="s">
        <v>1487</v>
      </c>
      <c r="LDY803" s="193" t="s">
        <v>1487</v>
      </c>
      <c r="LDZ803" s="193" t="s">
        <v>1487</v>
      </c>
      <c r="LEA803" s="193" t="s">
        <v>1487</v>
      </c>
      <c r="LEB803" s="193" t="s">
        <v>1487</v>
      </c>
      <c r="LEC803" s="193" t="s">
        <v>1487</v>
      </c>
      <c r="LED803" s="193" t="s">
        <v>1487</v>
      </c>
      <c r="LEE803" s="193" t="s">
        <v>1487</v>
      </c>
      <c r="LEF803" s="193" t="s">
        <v>1487</v>
      </c>
      <c r="LEG803" s="193" t="s">
        <v>1487</v>
      </c>
      <c r="LEH803" s="193" t="s">
        <v>1487</v>
      </c>
      <c r="LEI803" s="193" t="s">
        <v>1487</v>
      </c>
      <c r="LEJ803" s="193" t="s">
        <v>1487</v>
      </c>
      <c r="LEK803" s="193" t="s">
        <v>1487</v>
      </c>
      <c r="LEL803" s="193" t="s">
        <v>1487</v>
      </c>
      <c r="LEM803" s="193" t="s">
        <v>1487</v>
      </c>
      <c r="LEN803" s="193" t="s">
        <v>1487</v>
      </c>
      <c r="LEO803" s="193" t="s">
        <v>1487</v>
      </c>
      <c r="LEP803" s="193" t="s">
        <v>1487</v>
      </c>
      <c r="LEQ803" s="193" t="s">
        <v>1487</v>
      </c>
      <c r="LER803" s="193" t="s">
        <v>1487</v>
      </c>
      <c r="LES803" s="193" t="s">
        <v>1487</v>
      </c>
      <c r="LET803" s="193" t="s">
        <v>1487</v>
      </c>
      <c r="LEU803" s="193" t="s">
        <v>1487</v>
      </c>
      <c r="LEV803" s="193" t="s">
        <v>1487</v>
      </c>
      <c r="LEW803" s="193" t="s">
        <v>1487</v>
      </c>
      <c r="LEX803" s="193" t="s">
        <v>1487</v>
      </c>
      <c r="LEY803" s="193" t="s">
        <v>1487</v>
      </c>
      <c r="LEZ803" s="193" t="s">
        <v>1487</v>
      </c>
      <c r="LFA803" s="193" t="s">
        <v>1487</v>
      </c>
      <c r="LFB803" s="193" t="s">
        <v>1487</v>
      </c>
      <c r="LFC803" s="193" t="s">
        <v>1487</v>
      </c>
      <c r="LFD803" s="193" t="s">
        <v>1487</v>
      </c>
      <c r="LFE803" s="193" t="s">
        <v>1487</v>
      </c>
      <c r="LFF803" s="193" t="s">
        <v>1487</v>
      </c>
      <c r="LFG803" s="193" t="s">
        <v>1487</v>
      </c>
      <c r="LFH803" s="193" t="s">
        <v>1487</v>
      </c>
      <c r="LFI803" s="193" t="s">
        <v>1487</v>
      </c>
      <c r="LFJ803" s="193" t="s">
        <v>1487</v>
      </c>
      <c r="LFK803" s="193" t="s">
        <v>1487</v>
      </c>
      <c r="LFL803" s="193" t="s">
        <v>1487</v>
      </c>
      <c r="LFM803" s="193" t="s">
        <v>1487</v>
      </c>
      <c r="LFN803" s="193" t="s">
        <v>1487</v>
      </c>
      <c r="LFO803" s="193" t="s">
        <v>1487</v>
      </c>
      <c r="LFP803" s="193" t="s">
        <v>1487</v>
      </c>
      <c r="LFQ803" s="193" t="s">
        <v>1487</v>
      </c>
      <c r="LFR803" s="193" t="s">
        <v>1487</v>
      </c>
      <c r="LFS803" s="193" t="s">
        <v>1487</v>
      </c>
      <c r="LFT803" s="193" t="s">
        <v>1487</v>
      </c>
      <c r="LFU803" s="193" t="s">
        <v>1487</v>
      </c>
      <c r="LFV803" s="193" t="s">
        <v>1487</v>
      </c>
      <c r="LFW803" s="193" t="s">
        <v>1487</v>
      </c>
      <c r="LFX803" s="193" t="s">
        <v>1487</v>
      </c>
      <c r="LFY803" s="193" t="s">
        <v>1487</v>
      </c>
      <c r="LFZ803" s="193" t="s">
        <v>1487</v>
      </c>
      <c r="LGA803" s="193" t="s">
        <v>1487</v>
      </c>
      <c r="LGB803" s="193" t="s">
        <v>1487</v>
      </c>
      <c r="LGC803" s="193" t="s">
        <v>1487</v>
      </c>
      <c r="LGD803" s="193" t="s">
        <v>1487</v>
      </c>
      <c r="LGE803" s="193" t="s">
        <v>1487</v>
      </c>
      <c r="LGF803" s="193" t="s">
        <v>1487</v>
      </c>
      <c r="LGG803" s="193" t="s">
        <v>1487</v>
      </c>
      <c r="LGH803" s="193" t="s">
        <v>1487</v>
      </c>
      <c r="LGI803" s="193" t="s">
        <v>1487</v>
      </c>
      <c r="LGJ803" s="193" t="s">
        <v>1487</v>
      </c>
      <c r="LGK803" s="193" t="s">
        <v>1487</v>
      </c>
      <c r="LGL803" s="193" t="s">
        <v>1487</v>
      </c>
      <c r="LGM803" s="193" t="s">
        <v>1487</v>
      </c>
      <c r="LGN803" s="193" t="s">
        <v>1487</v>
      </c>
      <c r="LGO803" s="193" t="s">
        <v>1487</v>
      </c>
      <c r="LGP803" s="193" t="s">
        <v>1487</v>
      </c>
      <c r="LGQ803" s="193" t="s">
        <v>1487</v>
      </c>
      <c r="LGR803" s="193" t="s">
        <v>1487</v>
      </c>
      <c r="LGS803" s="193" t="s">
        <v>1487</v>
      </c>
      <c r="LGT803" s="193" t="s">
        <v>1487</v>
      </c>
      <c r="LGU803" s="193" t="s">
        <v>1487</v>
      </c>
      <c r="LGV803" s="193" t="s">
        <v>1487</v>
      </c>
      <c r="LGW803" s="193" t="s">
        <v>1487</v>
      </c>
      <c r="LGX803" s="193" t="s">
        <v>1487</v>
      </c>
      <c r="LGY803" s="193" t="s">
        <v>1487</v>
      </c>
      <c r="LGZ803" s="193" t="s">
        <v>1487</v>
      </c>
      <c r="LHA803" s="193" t="s">
        <v>1487</v>
      </c>
      <c r="LHB803" s="193" t="s">
        <v>1487</v>
      </c>
      <c r="LHC803" s="193" t="s">
        <v>1487</v>
      </c>
      <c r="LHD803" s="193" t="s">
        <v>1487</v>
      </c>
      <c r="LHE803" s="193" t="s">
        <v>1487</v>
      </c>
      <c r="LHF803" s="193" t="s">
        <v>1487</v>
      </c>
      <c r="LHG803" s="193" t="s">
        <v>1487</v>
      </c>
      <c r="LHH803" s="193" t="s">
        <v>1487</v>
      </c>
      <c r="LHI803" s="193" t="s">
        <v>1487</v>
      </c>
      <c r="LHJ803" s="193" t="s">
        <v>1487</v>
      </c>
      <c r="LHK803" s="193" t="s">
        <v>1487</v>
      </c>
      <c r="LHL803" s="193" t="s">
        <v>1487</v>
      </c>
      <c r="LHM803" s="193" t="s">
        <v>1487</v>
      </c>
      <c r="LHN803" s="193" t="s">
        <v>1487</v>
      </c>
      <c r="LHO803" s="193" t="s">
        <v>1487</v>
      </c>
      <c r="LHP803" s="193" t="s">
        <v>1487</v>
      </c>
      <c r="LHQ803" s="193" t="s">
        <v>1487</v>
      </c>
      <c r="LHR803" s="193" t="s">
        <v>1487</v>
      </c>
      <c r="LHS803" s="193" t="s">
        <v>1487</v>
      </c>
      <c r="LHT803" s="193" t="s">
        <v>1487</v>
      </c>
      <c r="LHU803" s="193" t="s">
        <v>1487</v>
      </c>
      <c r="LHV803" s="193" t="s">
        <v>1487</v>
      </c>
      <c r="LHW803" s="193" t="s">
        <v>1487</v>
      </c>
      <c r="LHX803" s="193" t="s">
        <v>1487</v>
      </c>
      <c r="LHY803" s="193" t="s">
        <v>1487</v>
      </c>
      <c r="LHZ803" s="193" t="s">
        <v>1487</v>
      </c>
      <c r="LIA803" s="193" t="s">
        <v>1487</v>
      </c>
      <c r="LIB803" s="193" t="s">
        <v>1487</v>
      </c>
      <c r="LIC803" s="193" t="s">
        <v>1487</v>
      </c>
      <c r="LID803" s="193" t="s">
        <v>1487</v>
      </c>
      <c r="LIE803" s="193" t="s">
        <v>1487</v>
      </c>
      <c r="LIF803" s="193" t="s">
        <v>1487</v>
      </c>
      <c r="LIG803" s="193" t="s">
        <v>1487</v>
      </c>
      <c r="LIH803" s="193" t="s">
        <v>1487</v>
      </c>
      <c r="LII803" s="193" t="s">
        <v>1487</v>
      </c>
      <c r="LIJ803" s="193" t="s">
        <v>1487</v>
      </c>
      <c r="LIK803" s="193" t="s">
        <v>1487</v>
      </c>
      <c r="LIL803" s="193" t="s">
        <v>1487</v>
      </c>
      <c r="LIM803" s="193" t="s">
        <v>1487</v>
      </c>
      <c r="LIN803" s="193" t="s">
        <v>1487</v>
      </c>
      <c r="LIO803" s="193" t="s">
        <v>1487</v>
      </c>
      <c r="LIP803" s="193" t="s">
        <v>1487</v>
      </c>
      <c r="LIQ803" s="193" t="s">
        <v>1487</v>
      </c>
      <c r="LIR803" s="193" t="s">
        <v>1487</v>
      </c>
      <c r="LIS803" s="193" t="s">
        <v>1487</v>
      </c>
      <c r="LIT803" s="193" t="s">
        <v>1487</v>
      </c>
      <c r="LIU803" s="193" t="s">
        <v>1487</v>
      </c>
      <c r="LIV803" s="193" t="s">
        <v>1487</v>
      </c>
      <c r="LIW803" s="193" t="s">
        <v>1487</v>
      </c>
      <c r="LIX803" s="193" t="s">
        <v>1487</v>
      </c>
      <c r="LIY803" s="193" t="s">
        <v>1487</v>
      </c>
      <c r="LIZ803" s="193" t="s">
        <v>1487</v>
      </c>
      <c r="LJA803" s="193" t="s">
        <v>1487</v>
      </c>
      <c r="LJB803" s="193" t="s">
        <v>1487</v>
      </c>
      <c r="LJC803" s="193" t="s">
        <v>1487</v>
      </c>
      <c r="LJD803" s="193" t="s">
        <v>1487</v>
      </c>
      <c r="LJE803" s="193" t="s">
        <v>1487</v>
      </c>
      <c r="LJF803" s="193" t="s">
        <v>1487</v>
      </c>
      <c r="LJG803" s="193" t="s">
        <v>1487</v>
      </c>
      <c r="LJH803" s="193" t="s">
        <v>1487</v>
      </c>
      <c r="LJI803" s="193" t="s">
        <v>1487</v>
      </c>
      <c r="LJJ803" s="193" t="s">
        <v>1487</v>
      </c>
      <c r="LJK803" s="193" t="s">
        <v>1487</v>
      </c>
      <c r="LJL803" s="193" t="s">
        <v>1487</v>
      </c>
      <c r="LJM803" s="193" t="s">
        <v>1487</v>
      </c>
      <c r="LJN803" s="193" t="s">
        <v>1487</v>
      </c>
      <c r="LJO803" s="193" t="s">
        <v>1487</v>
      </c>
      <c r="LJP803" s="193" t="s">
        <v>1487</v>
      </c>
      <c r="LJQ803" s="193" t="s">
        <v>1487</v>
      </c>
      <c r="LJR803" s="193" t="s">
        <v>1487</v>
      </c>
      <c r="LJS803" s="193" t="s">
        <v>1487</v>
      </c>
      <c r="LJT803" s="193" t="s">
        <v>1487</v>
      </c>
      <c r="LJU803" s="193" t="s">
        <v>1487</v>
      </c>
      <c r="LJV803" s="193" t="s">
        <v>1487</v>
      </c>
      <c r="LJW803" s="193" t="s">
        <v>1487</v>
      </c>
      <c r="LJX803" s="193" t="s">
        <v>1487</v>
      </c>
      <c r="LJY803" s="193" t="s">
        <v>1487</v>
      </c>
      <c r="LJZ803" s="193" t="s">
        <v>1487</v>
      </c>
      <c r="LKA803" s="193" t="s">
        <v>1487</v>
      </c>
      <c r="LKB803" s="193" t="s">
        <v>1487</v>
      </c>
      <c r="LKC803" s="193" t="s">
        <v>1487</v>
      </c>
      <c r="LKD803" s="193" t="s">
        <v>1487</v>
      </c>
      <c r="LKE803" s="193" t="s">
        <v>1487</v>
      </c>
      <c r="LKF803" s="193" t="s">
        <v>1487</v>
      </c>
      <c r="LKG803" s="193" t="s">
        <v>1487</v>
      </c>
      <c r="LKH803" s="193" t="s">
        <v>1487</v>
      </c>
      <c r="LKI803" s="193" t="s">
        <v>1487</v>
      </c>
      <c r="LKJ803" s="193" t="s">
        <v>1487</v>
      </c>
      <c r="LKK803" s="193" t="s">
        <v>1487</v>
      </c>
      <c r="LKL803" s="193" t="s">
        <v>1487</v>
      </c>
      <c r="LKM803" s="193" t="s">
        <v>1487</v>
      </c>
      <c r="LKN803" s="193" t="s">
        <v>1487</v>
      </c>
      <c r="LKO803" s="193" t="s">
        <v>1487</v>
      </c>
      <c r="LKP803" s="193" t="s">
        <v>1487</v>
      </c>
      <c r="LKQ803" s="193" t="s">
        <v>1487</v>
      </c>
      <c r="LKR803" s="193" t="s">
        <v>1487</v>
      </c>
      <c r="LKS803" s="193" t="s">
        <v>1487</v>
      </c>
      <c r="LKT803" s="193" t="s">
        <v>1487</v>
      </c>
      <c r="LKU803" s="193" t="s">
        <v>1487</v>
      </c>
      <c r="LKV803" s="193" t="s">
        <v>1487</v>
      </c>
      <c r="LKW803" s="193" t="s">
        <v>1487</v>
      </c>
      <c r="LKX803" s="193" t="s">
        <v>1487</v>
      </c>
      <c r="LKY803" s="193" t="s">
        <v>1487</v>
      </c>
      <c r="LKZ803" s="193" t="s">
        <v>1487</v>
      </c>
      <c r="LLA803" s="193" t="s">
        <v>1487</v>
      </c>
      <c r="LLB803" s="193" t="s">
        <v>1487</v>
      </c>
      <c r="LLC803" s="193" t="s">
        <v>1487</v>
      </c>
      <c r="LLD803" s="193" t="s">
        <v>1487</v>
      </c>
      <c r="LLE803" s="193" t="s">
        <v>1487</v>
      </c>
      <c r="LLF803" s="193" t="s">
        <v>1487</v>
      </c>
      <c r="LLG803" s="193" t="s">
        <v>1487</v>
      </c>
      <c r="LLH803" s="193" t="s">
        <v>1487</v>
      </c>
      <c r="LLI803" s="193" t="s">
        <v>1487</v>
      </c>
      <c r="LLJ803" s="193" t="s">
        <v>1487</v>
      </c>
      <c r="LLK803" s="193" t="s">
        <v>1487</v>
      </c>
      <c r="LLL803" s="193" t="s">
        <v>1487</v>
      </c>
      <c r="LLM803" s="193" t="s">
        <v>1487</v>
      </c>
      <c r="LLN803" s="193" t="s">
        <v>1487</v>
      </c>
      <c r="LLO803" s="193" t="s">
        <v>1487</v>
      </c>
      <c r="LLP803" s="193" t="s">
        <v>1487</v>
      </c>
      <c r="LLQ803" s="193" t="s">
        <v>1487</v>
      </c>
      <c r="LLR803" s="193" t="s">
        <v>1487</v>
      </c>
      <c r="LLS803" s="193" t="s">
        <v>1487</v>
      </c>
      <c r="LLT803" s="193" t="s">
        <v>1487</v>
      </c>
      <c r="LLU803" s="193" t="s">
        <v>1487</v>
      </c>
      <c r="LLV803" s="193" t="s">
        <v>1487</v>
      </c>
      <c r="LLW803" s="193" t="s">
        <v>1487</v>
      </c>
      <c r="LLX803" s="193" t="s">
        <v>1487</v>
      </c>
      <c r="LLY803" s="193" t="s">
        <v>1487</v>
      </c>
      <c r="LLZ803" s="193" t="s">
        <v>1487</v>
      </c>
      <c r="LMA803" s="193" t="s">
        <v>1487</v>
      </c>
      <c r="LMB803" s="193" t="s">
        <v>1487</v>
      </c>
      <c r="LMC803" s="193" t="s">
        <v>1487</v>
      </c>
      <c r="LMD803" s="193" t="s">
        <v>1487</v>
      </c>
      <c r="LME803" s="193" t="s">
        <v>1487</v>
      </c>
      <c r="LMF803" s="193" t="s">
        <v>1487</v>
      </c>
      <c r="LMG803" s="193" t="s">
        <v>1487</v>
      </c>
      <c r="LMH803" s="193" t="s">
        <v>1487</v>
      </c>
      <c r="LMI803" s="193" t="s">
        <v>1487</v>
      </c>
      <c r="LMJ803" s="193" t="s">
        <v>1487</v>
      </c>
      <c r="LMK803" s="193" t="s">
        <v>1487</v>
      </c>
      <c r="LML803" s="193" t="s">
        <v>1487</v>
      </c>
      <c r="LMM803" s="193" t="s">
        <v>1487</v>
      </c>
      <c r="LMN803" s="193" t="s">
        <v>1487</v>
      </c>
      <c r="LMO803" s="193" t="s">
        <v>1487</v>
      </c>
      <c r="LMP803" s="193" t="s">
        <v>1487</v>
      </c>
      <c r="LMQ803" s="193" t="s">
        <v>1487</v>
      </c>
      <c r="LMR803" s="193" t="s">
        <v>1487</v>
      </c>
      <c r="LMS803" s="193" t="s">
        <v>1487</v>
      </c>
      <c r="LMT803" s="193" t="s">
        <v>1487</v>
      </c>
      <c r="LMU803" s="193" t="s">
        <v>1487</v>
      </c>
      <c r="LMV803" s="193" t="s">
        <v>1487</v>
      </c>
      <c r="LMW803" s="193" t="s">
        <v>1487</v>
      </c>
      <c r="LMX803" s="193" t="s">
        <v>1487</v>
      </c>
      <c r="LMY803" s="193" t="s">
        <v>1487</v>
      </c>
      <c r="LMZ803" s="193" t="s">
        <v>1487</v>
      </c>
      <c r="LNA803" s="193" t="s">
        <v>1487</v>
      </c>
      <c r="LNB803" s="193" t="s">
        <v>1487</v>
      </c>
      <c r="LNC803" s="193" t="s">
        <v>1487</v>
      </c>
      <c r="LND803" s="193" t="s">
        <v>1487</v>
      </c>
      <c r="LNE803" s="193" t="s">
        <v>1487</v>
      </c>
      <c r="LNF803" s="193" t="s">
        <v>1487</v>
      </c>
      <c r="LNG803" s="193" t="s">
        <v>1487</v>
      </c>
      <c r="LNH803" s="193" t="s">
        <v>1487</v>
      </c>
      <c r="LNI803" s="193" t="s">
        <v>1487</v>
      </c>
      <c r="LNJ803" s="193" t="s">
        <v>1487</v>
      </c>
      <c r="LNK803" s="193" t="s">
        <v>1487</v>
      </c>
      <c r="LNL803" s="193" t="s">
        <v>1487</v>
      </c>
      <c r="LNM803" s="193" t="s">
        <v>1487</v>
      </c>
      <c r="LNN803" s="193" t="s">
        <v>1487</v>
      </c>
      <c r="LNO803" s="193" t="s">
        <v>1487</v>
      </c>
      <c r="LNP803" s="193" t="s">
        <v>1487</v>
      </c>
      <c r="LNQ803" s="193" t="s">
        <v>1487</v>
      </c>
      <c r="LNR803" s="193" t="s">
        <v>1487</v>
      </c>
      <c r="LNS803" s="193" t="s">
        <v>1487</v>
      </c>
      <c r="LNT803" s="193" t="s">
        <v>1487</v>
      </c>
      <c r="LNU803" s="193" t="s">
        <v>1487</v>
      </c>
      <c r="LNV803" s="193" t="s">
        <v>1487</v>
      </c>
      <c r="LNW803" s="193" t="s">
        <v>1487</v>
      </c>
      <c r="LNX803" s="193" t="s">
        <v>1487</v>
      </c>
      <c r="LNY803" s="193" t="s">
        <v>1487</v>
      </c>
      <c r="LNZ803" s="193" t="s">
        <v>1487</v>
      </c>
      <c r="LOA803" s="193" t="s">
        <v>1487</v>
      </c>
      <c r="LOB803" s="193" t="s">
        <v>1487</v>
      </c>
      <c r="LOC803" s="193" t="s">
        <v>1487</v>
      </c>
      <c r="LOD803" s="193" t="s">
        <v>1487</v>
      </c>
      <c r="LOE803" s="193" t="s">
        <v>1487</v>
      </c>
      <c r="LOF803" s="193" t="s">
        <v>1487</v>
      </c>
      <c r="LOG803" s="193" t="s">
        <v>1487</v>
      </c>
      <c r="LOH803" s="193" t="s">
        <v>1487</v>
      </c>
      <c r="LOI803" s="193" t="s">
        <v>1487</v>
      </c>
      <c r="LOJ803" s="193" t="s">
        <v>1487</v>
      </c>
      <c r="LOK803" s="193" t="s">
        <v>1487</v>
      </c>
      <c r="LOL803" s="193" t="s">
        <v>1487</v>
      </c>
      <c r="LOM803" s="193" t="s">
        <v>1487</v>
      </c>
      <c r="LON803" s="193" t="s">
        <v>1487</v>
      </c>
      <c r="LOO803" s="193" t="s">
        <v>1487</v>
      </c>
      <c r="LOP803" s="193" t="s">
        <v>1487</v>
      </c>
      <c r="LOQ803" s="193" t="s">
        <v>1487</v>
      </c>
      <c r="LOR803" s="193" t="s">
        <v>1487</v>
      </c>
      <c r="LOS803" s="193" t="s">
        <v>1487</v>
      </c>
      <c r="LOT803" s="193" t="s">
        <v>1487</v>
      </c>
      <c r="LOU803" s="193" t="s">
        <v>1487</v>
      </c>
      <c r="LOV803" s="193" t="s">
        <v>1487</v>
      </c>
      <c r="LOW803" s="193" t="s">
        <v>1487</v>
      </c>
      <c r="LOX803" s="193" t="s">
        <v>1487</v>
      </c>
      <c r="LOY803" s="193" t="s">
        <v>1487</v>
      </c>
      <c r="LOZ803" s="193" t="s">
        <v>1487</v>
      </c>
      <c r="LPA803" s="193" t="s">
        <v>1487</v>
      </c>
      <c r="LPB803" s="193" t="s">
        <v>1487</v>
      </c>
      <c r="LPC803" s="193" t="s">
        <v>1487</v>
      </c>
      <c r="LPD803" s="193" t="s">
        <v>1487</v>
      </c>
      <c r="LPE803" s="193" t="s">
        <v>1487</v>
      </c>
      <c r="LPF803" s="193" t="s">
        <v>1487</v>
      </c>
      <c r="LPG803" s="193" t="s">
        <v>1487</v>
      </c>
      <c r="LPH803" s="193" t="s">
        <v>1487</v>
      </c>
      <c r="LPI803" s="193" t="s">
        <v>1487</v>
      </c>
      <c r="LPJ803" s="193" t="s">
        <v>1487</v>
      </c>
      <c r="LPK803" s="193" t="s">
        <v>1487</v>
      </c>
      <c r="LPL803" s="193" t="s">
        <v>1487</v>
      </c>
      <c r="LPM803" s="193" t="s">
        <v>1487</v>
      </c>
      <c r="LPN803" s="193" t="s">
        <v>1487</v>
      </c>
      <c r="LPO803" s="193" t="s">
        <v>1487</v>
      </c>
      <c r="LPP803" s="193" t="s">
        <v>1487</v>
      </c>
      <c r="LPQ803" s="193" t="s">
        <v>1487</v>
      </c>
      <c r="LPR803" s="193" t="s">
        <v>1487</v>
      </c>
      <c r="LPS803" s="193" t="s">
        <v>1487</v>
      </c>
      <c r="LPT803" s="193" t="s">
        <v>1487</v>
      </c>
      <c r="LPU803" s="193" t="s">
        <v>1487</v>
      </c>
      <c r="LPV803" s="193" t="s">
        <v>1487</v>
      </c>
      <c r="LPW803" s="193" t="s">
        <v>1487</v>
      </c>
      <c r="LPX803" s="193" t="s">
        <v>1487</v>
      </c>
      <c r="LPY803" s="193" t="s">
        <v>1487</v>
      </c>
      <c r="LPZ803" s="193" t="s">
        <v>1487</v>
      </c>
      <c r="LQA803" s="193" t="s">
        <v>1487</v>
      </c>
      <c r="LQB803" s="193" t="s">
        <v>1487</v>
      </c>
      <c r="LQC803" s="193" t="s">
        <v>1487</v>
      </c>
      <c r="LQD803" s="193" t="s">
        <v>1487</v>
      </c>
      <c r="LQE803" s="193" t="s">
        <v>1487</v>
      </c>
      <c r="LQF803" s="193" t="s">
        <v>1487</v>
      </c>
      <c r="LQG803" s="193" t="s">
        <v>1487</v>
      </c>
      <c r="LQH803" s="193" t="s">
        <v>1487</v>
      </c>
      <c r="LQI803" s="193" t="s">
        <v>1487</v>
      </c>
      <c r="LQJ803" s="193" t="s">
        <v>1487</v>
      </c>
      <c r="LQK803" s="193" t="s">
        <v>1487</v>
      </c>
      <c r="LQL803" s="193" t="s">
        <v>1487</v>
      </c>
      <c r="LQM803" s="193" t="s">
        <v>1487</v>
      </c>
      <c r="LQN803" s="193" t="s">
        <v>1487</v>
      </c>
      <c r="LQO803" s="193" t="s">
        <v>1487</v>
      </c>
      <c r="LQP803" s="193" t="s">
        <v>1487</v>
      </c>
      <c r="LQQ803" s="193" t="s">
        <v>1487</v>
      </c>
      <c r="LQR803" s="193" t="s">
        <v>1487</v>
      </c>
      <c r="LQS803" s="193" t="s">
        <v>1487</v>
      </c>
      <c r="LQT803" s="193" t="s">
        <v>1487</v>
      </c>
      <c r="LQU803" s="193" t="s">
        <v>1487</v>
      </c>
      <c r="LQV803" s="193" t="s">
        <v>1487</v>
      </c>
      <c r="LQW803" s="193" t="s">
        <v>1487</v>
      </c>
      <c r="LQX803" s="193" t="s">
        <v>1487</v>
      </c>
      <c r="LQY803" s="193" t="s">
        <v>1487</v>
      </c>
      <c r="LQZ803" s="193" t="s">
        <v>1487</v>
      </c>
      <c r="LRA803" s="193" t="s">
        <v>1487</v>
      </c>
      <c r="LRB803" s="193" t="s">
        <v>1487</v>
      </c>
      <c r="LRC803" s="193" t="s">
        <v>1487</v>
      </c>
      <c r="LRD803" s="193" t="s">
        <v>1487</v>
      </c>
      <c r="LRE803" s="193" t="s">
        <v>1487</v>
      </c>
      <c r="LRF803" s="193" t="s">
        <v>1487</v>
      </c>
      <c r="LRG803" s="193" t="s">
        <v>1487</v>
      </c>
      <c r="LRH803" s="193" t="s">
        <v>1487</v>
      </c>
      <c r="LRI803" s="193" t="s">
        <v>1487</v>
      </c>
      <c r="LRJ803" s="193" t="s">
        <v>1487</v>
      </c>
      <c r="LRK803" s="193" t="s">
        <v>1487</v>
      </c>
      <c r="LRL803" s="193" t="s">
        <v>1487</v>
      </c>
      <c r="LRM803" s="193" t="s">
        <v>1487</v>
      </c>
      <c r="LRN803" s="193" t="s">
        <v>1487</v>
      </c>
      <c r="LRO803" s="193" t="s">
        <v>1487</v>
      </c>
      <c r="LRP803" s="193" t="s">
        <v>1487</v>
      </c>
      <c r="LRQ803" s="193" t="s">
        <v>1487</v>
      </c>
      <c r="LRR803" s="193" t="s">
        <v>1487</v>
      </c>
      <c r="LRS803" s="193" t="s">
        <v>1487</v>
      </c>
      <c r="LRT803" s="193" t="s">
        <v>1487</v>
      </c>
      <c r="LRU803" s="193" t="s">
        <v>1487</v>
      </c>
      <c r="LRV803" s="193" t="s">
        <v>1487</v>
      </c>
      <c r="LRW803" s="193" t="s">
        <v>1487</v>
      </c>
      <c r="LRX803" s="193" t="s">
        <v>1487</v>
      </c>
      <c r="LRY803" s="193" t="s">
        <v>1487</v>
      </c>
      <c r="LRZ803" s="193" t="s">
        <v>1487</v>
      </c>
      <c r="LSA803" s="193" t="s">
        <v>1487</v>
      </c>
      <c r="LSB803" s="193" t="s">
        <v>1487</v>
      </c>
      <c r="LSC803" s="193" t="s">
        <v>1487</v>
      </c>
      <c r="LSD803" s="193" t="s">
        <v>1487</v>
      </c>
      <c r="LSE803" s="193" t="s">
        <v>1487</v>
      </c>
      <c r="LSF803" s="193" t="s">
        <v>1487</v>
      </c>
      <c r="LSG803" s="193" t="s">
        <v>1487</v>
      </c>
      <c r="LSH803" s="193" t="s">
        <v>1487</v>
      </c>
      <c r="LSI803" s="193" t="s">
        <v>1487</v>
      </c>
      <c r="LSJ803" s="193" t="s">
        <v>1487</v>
      </c>
      <c r="LSK803" s="193" t="s">
        <v>1487</v>
      </c>
      <c r="LSL803" s="193" t="s">
        <v>1487</v>
      </c>
      <c r="LSM803" s="193" t="s">
        <v>1487</v>
      </c>
      <c r="LSN803" s="193" t="s">
        <v>1487</v>
      </c>
      <c r="LSO803" s="193" t="s">
        <v>1487</v>
      </c>
      <c r="LSP803" s="193" t="s">
        <v>1487</v>
      </c>
      <c r="LSQ803" s="193" t="s">
        <v>1487</v>
      </c>
      <c r="LSR803" s="193" t="s">
        <v>1487</v>
      </c>
      <c r="LSS803" s="193" t="s">
        <v>1487</v>
      </c>
      <c r="LST803" s="193" t="s">
        <v>1487</v>
      </c>
      <c r="LSU803" s="193" t="s">
        <v>1487</v>
      </c>
      <c r="LSV803" s="193" t="s">
        <v>1487</v>
      </c>
      <c r="LSW803" s="193" t="s">
        <v>1487</v>
      </c>
      <c r="LSX803" s="193" t="s">
        <v>1487</v>
      </c>
      <c r="LSY803" s="193" t="s">
        <v>1487</v>
      </c>
      <c r="LSZ803" s="193" t="s">
        <v>1487</v>
      </c>
      <c r="LTA803" s="193" t="s">
        <v>1487</v>
      </c>
      <c r="LTB803" s="193" t="s">
        <v>1487</v>
      </c>
      <c r="LTC803" s="193" t="s">
        <v>1487</v>
      </c>
      <c r="LTD803" s="193" t="s">
        <v>1487</v>
      </c>
      <c r="LTE803" s="193" t="s">
        <v>1487</v>
      </c>
      <c r="LTF803" s="193" t="s">
        <v>1487</v>
      </c>
      <c r="LTG803" s="193" t="s">
        <v>1487</v>
      </c>
      <c r="LTH803" s="193" t="s">
        <v>1487</v>
      </c>
      <c r="LTI803" s="193" t="s">
        <v>1487</v>
      </c>
      <c r="LTJ803" s="193" t="s">
        <v>1487</v>
      </c>
      <c r="LTK803" s="193" t="s">
        <v>1487</v>
      </c>
      <c r="LTL803" s="193" t="s">
        <v>1487</v>
      </c>
      <c r="LTM803" s="193" t="s">
        <v>1487</v>
      </c>
      <c r="LTN803" s="193" t="s">
        <v>1487</v>
      </c>
      <c r="LTO803" s="193" t="s">
        <v>1487</v>
      </c>
      <c r="LTP803" s="193" t="s">
        <v>1487</v>
      </c>
      <c r="LTQ803" s="193" t="s">
        <v>1487</v>
      </c>
      <c r="LTR803" s="193" t="s">
        <v>1487</v>
      </c>
      <c r="LTS803" s="193" t="s">
        <v>1487</v>
      </c>
      <c r="LTT803" s="193" t="s">
        <v>1487</v>
      </c>
      <c r="LTU803" s="193" t="s">
        <v>1487</v>
      </c>
      <c r="LTV803" s="193" t="s">
        <v>1487</v>
      </c>
      <c r="LTW803" s="193" t="s">
        <v>1487</v>
      </c>
      <c r="LTX803" s="193" t="s">
        <v>1487</v>
      </c>
      <c r="LTY803" s="193" t="s">
        <v>1487</v>
      </c>
      <c r="LTZ803" s="193" t="s">
        <v>1487</v>
      </c>
      <c r="LUA803" s="193" t="s">
        <v>1487</v>
      </c>
      <c r="LUB803" s="193" t="s">
        <v>1487</v>
      </c>
      <c r="LUC803" s="193" t="s">
        <v>1487</v>
      </c>
      <c r="LUD803" s="193" t="s">
        <v>1487</v>
      </c>
      <c r="LUE803" s="193" t="s">
        <v>1487</v>
      </c>
      <c r="LUF803" s="193" t="s">
        <v>1487</v>
      </c>
      <c r="LUG803" s="193" t="s">
        <v>1487</v>
      </c>
      <c r="LUH803" s="193" t="s">
        <v>1487</v>
      </c>
      <c r="LUI803" s="193" t="s">
        <v>1487</v>
      </c>
      <c r="LUJ803" s="193" t="s">
        <v>1487</v>
      </c>
      <c r="LUK803" s="193" t="s">
        <v>1487</v>
      </c>
      <c r="LUL803" s="193" t="s">
        <v>1487</v>
      </c>
      <c r="LUM803" s="193" t="s">
        <v>1487</v>
      </c>
      <c r="LUN803" s="193" t="s">
        <v>1487</v>
      </c>
      <c r="LUO803" s="193" t="s">
        <v>1487</v>
      </c>
      <c r="LUP803" s="193" t="s">
        <v>1487</v>
      </c>
      <c r="LUQ803" s="193" t="s">
        <v>1487</v>
      </c>
      <c r="LUR803" s="193" t="s">
        <v>1487</v>
      </c>
      <c r="LUS803" s="193" t="s">
        <v>1487</v>
      </c>
      <c r="LUT803" s="193" t="s">
        <v>1487</v>
      </c>
      <c r="LUU803" s="193" t="s">
        <v>1487</v>
      </c>
      <c r="LUV803" s="193" t="s">
        <v>1487</v>
      </c>
      <c r="LUW803" s="193" t="s">
        <v>1487</v>
      </c>
      <c r="LUX803" s="193" t="s">
        <v>1487</v>
      </c>
      <c r="LUY803" s="193" t="s">
        <v>1487</v>
      </c>
      <c r="LUZ803" s="193" t="s">
        <v>1487</v>
      </c>
      <c r="LVA803" s="193" t="s">
        <v>1487</v>
      </c>
      <c r="LVB803" s="193" t="s">
        <v>1487</v>
      </c>
      <c r="LVC803" s="193" t="s">
        <v>1487</v>
      </c>
      <c r="LVD803" s="193" t="s">
        <v>1487</v>
      </c>
      <c r="LVE803" s="193" t="s">
        <v>1487</v>
      </c>
      <c r="LVF803" s="193" t="s">
        <v>1487</v>
      </c>
      <c r="LVG803" s="193" t="s">
        <v>1487</v>
      </c>
      <c r="LVH803" s="193" t="s">
        <v>1487</v>
      </c>
      <c r="LVI803" s="193" t="s">
        <v>1487</v>
      </c>
      <c r="LVJ803" s="193" t="s">
        <v>1487</v>
      </c>
      <c r="LVK803" s="193" t="s">
        <v>1487</v>
      </c>
      <c r="LVL803" s="193" t="s">
        <v>1487</v>
      </c>
      <c r="LVM803" s="193" t="s">
        <v>1487</v>
      </c>
      <c r="LVN803" s="193" t="s">
        <v>1487</v>
      </c>
      <c r="LVO803" s="193" t="s">
        <v>1487</v>
      </c>
      <c r="LVP803" s="193" t="s">
        <v>1487</v>
      </c>
      <c r="LVQ803" s="193" t="s">
        <v>1487</v>
      </c>
      <c r="LVR803" s="193" t="s">
        <v>1487</v>
      </c>
      <c r="LVS803" s="193" t="s">
        <v>1487</v>
      </c>
      <c r="LVT803" s="193" t="s">
        <v>1487</v>
      </c>
      <c r="LVU803" s="193" t="s">
        <v>1487</v>
      </c>
      <c r="LVV803" s="193" t="s">
        <v>1487</v>
      </c>
      <c r="LVW803" s="193" t="s">
        <v>1487</v>
      </c>
      <c r="LVX803" s="193" t="s">
        <v>1487</v>
      </c>
      <c r="LVY803" s="193" t="s">
        <v>1487</v>
      </c>
      <c r="LVZ803" s="193" t="s">
        <v>1487</v>
      </c>
      <c r="LWA803" s="193" t="s">
        <v>1487</v>
      </c>
      <c r="LWB803" s="193" t="s">
        <v>1487</v>
      </c>
      <c r="LWC803" s="193" t="s">
        <v>1487</v>
      </c>
      <c r="LWD803" s="193" t="s">
        <v>1487</v>
      </c>
      <c r="LWE803" s="193" t="s">
        <v>1487</v>
      </c>
      <c r="LWF803" s="193" t="s">
        <v>1487</v>
      </c>
      <c r="LWG803" s="193" t="s">
        <v>1487</v>
      </c>
      <c r="LWH803" s="193" t="s">
        <v>1487</v>
      </c>
      <c r="LWI803" s="193" t="s">
        <v>1487</v>
      </c>
      <c r="LWJ803" s="193" t="s">
        <v>1487</v>
      </c>
      <c r="LWK803" s="193" t="s">
        <v>1487</v>
      </c>
      <c r="LWL803" s="193" t="s">
        <v>1487</v>
      </c>
      <c r="LWM803" s="193" t="s">
        <v>1487</v>
      </c>
      <c r="LWN803" s="193" t="s">
        <v>1487</v>
      </c>
      <c r="LWO803" s="193" t="s">
        <v>1487</v>
      </c>
      <c r="LWP803" s="193" t="s">
        <v>1487</v>
      </c>
      <c r="LWQ803" s="193" t="s">
        <v>1487</v>
      </c>
      <c r="LWR803" s="193" t="s">
        <v>1487</v>
      </c>
      <c r="LWS803" s="193" t="s">
        <v>1487</v>
      </c>
      <c r="LWT803" s="193" t="s">
        <v>1487</v>
      </c>
      <c r="LWU803" s="193" t="s">
        <v>1487</v>
      </c>
      <c r="LWV803" s="193" t="s">
        <v>1487</v>
      </c>
      <c r="LWW803" s="193" t="s">
        <v>1487</v>
      </c>
      <c r="LWX803" s="193" t="s">
        <v>1487</v>
      </c>
      <c r="LWY803" s="193" t="s">
        <v>1487</v>
      </c>
      <c r="LWZ803" s="193" t="s">
        <v>1487</v>
      </c>
      <c r="LXA803" s="193" t="s">
        <v>1487</v>
      </c>
      <c r="LXB803" s="193" t="s">
        <v>1487</v>
      </c>
      <c r="LXC803" s="193" t="s">
        <v>1487</v>
      </c>
      <c r="LXD803" s="193" t="s">
        <v>1487</v>
      </c>
      <c r="LXE803" s="193" t="s">
        <v>1487</v>
      </c>
      <c r="LXF803" s="193" t="s">
        <v>1487</v>
      </c>
      <c r="LXG803" s="193" t="s">
        <v>1487</v>
      </c>
      <c r="LXH803" s="193" t="s">
        <v>1487</v>
      </c>
      <c r="LXI803" s="193" t="s">
        <v>1487</v>
      </c>
      <c r="LXJ803" s="193" t="s">
        <v>1487</v>
      </c>
      <c r="LXK803" s="193" t="s">
        <v>1487</v>
      </c>
      <c r="LXL803" s="193" t="s">
        <v>1487</v>
      </c>
      <c r="LXM803" s="193" t="s">
        <v>1487</v>
      </c>
      <c r="LXN803" s="193" t="s">
        <v>1487</v>
      </c>
      <c r="LXO803" s="193" t="s">
        <v>1487</v>
      </c>
      <c r="LXP803" s="193" t="s">
        <v>1487</v>
      </c>
      <c r="LXQ803" s="193" t="s">
        <v>1487</v>
      </c>
      <c r="LXR803" s="193" t="s">
        <v>1487</v>
      </c>
      <c r="LXS803" s="193" t="s">
        <v>1487</v>
      </c>
      <c r="LXT803" s="193" t="s">
        <v>1487</v>
      </c>
      <c r="LXU803" s="193" t="s">
        <v>1487</v>
      </c>
      <c r="LXV803" s="193" t="s">
        <v>1487</v>
      </c>
      <c r="LXW803" s="193" t="s">
        <v>1487</v>
      </c>
      <c r="LXX803" s="193" t="s">
        <v>1487</v>
      </c>
      <c r="LXY803" s="193" t="s">
        <v>1487</v>
      </c>
      <c r="LXZ803" s="193" t="s">
        <v>1487</v>
      </c>
      <c r="LYA803" s="193" t="s">
        <v>1487</v>
      </c>
      <c r="LYB803" s="193" t="s">
        <v>1487</v>
      </c>
      <c r="LYC803" s="193" t="s">
        <v>1487</v>
      </c>
      <c r="LYD803" s="193" t="s">
        <v>1487</v>
      </c>
      <c r="LYE803" s="193" t="s">
        <v>1487</v>
      </c>
      <c r="LYF803" s="193" t="s">
        <v>1487</v>
      </c>
      <c r="LYG803" s="193" t="s">
        <v>1487</v>
      </c>
      <c r="LYH803" s="193" t="s">
        <v>1487</v>
      </c>
      <c r="LYI803" s="193" t="s">
        <v>1487</v>
      </c>
      <c r="LYJ803" s="193" t="s">
        <v>1487</v>
      </c>
      <c r="LYK803" s="193" t="s">
        <v>1487</v>
      </c>
      <c r="LYL803" s="193" t="s">
        <v>1487</v>
      </c>
      <c r="LYM803" s="193" t="s">
        <v>1487</v>
      </c>
      <c r="LYN803" s="193" t="s">
        <v>1487</v>
      </c>
      <c r="LYO803" s="193" t="s">
        <v>1487</v>
      </c>
      <c r="LYP803" s="193" t="s">
        <v>1487</v>
      </c>
      <c r="LYQ803" s="193" t="s">
        <v>1487</v>
      </c>
      <c r="LYR803" s="193" t="s">
        <v>1487</v>
      </c>
      <c r="LYS803" s="193" t="s">
        <v>1487</v>
      </c>
      <c r="LYT803" s="193" t="s">
        <v>1487</v>
      </c>
      <c r="LYU803" s="193" t="s">
        <v>1487</v>
      </c>
      <c r="LYV803" s="193" t="s">
        <v>1487</v>
      </c>
      <c r="LYW803" s="193" t="s">
        <v>1487</v>
      </c>
      <c r="LYX803" s="193" t="s">
        <v>1487</v>
      </c>
      <c r="LYY803" s="193" t="s">
        <v>1487</v>
      </c>
      <c r="LYZ803" s="193" t="s">
        <v>1487</v>
      </c>
      <c r="LZA803" s="193" t="s">
        <v>1487</v>
      </c>
      <c r="LZB803" s="193" t="s">
        <v>1487</v>
      </c>
      <c r="LZC803" s="193" t="s">
        <v>1487</v>
      </c>
      <c r="LZD803" s="193" t="s">
        <v>1487</v>
      </c>
      <c r="LZE803" s="193" t="s">
        <v>1487</v>
      </c>
      <c r="LZF803" s="193" t="s">
        <v>1487</v>
      </c>
      <c r="LZG803" s="193" t="s">
        <v>1487</v>
      </c>
      <c r="LZH803" s="193" t="s">
        <v>1487</v>
      </c>
      <c r="LZI803" s="193" t="s">
        <v>1487</v>
      </c>
      <c r="LZJ803" s="193" t="s">
        <v>1487</v>
      </c>
      <c r="LZK803" s="193" t="s">
        <v>1487</v>
      </c>
      <c r="LZL803" s="193" t="s">
        <v>1487</v>
      </c>
      <c r="LZM803" s="193" t="s">
        <v>1487</v>
      </c>
      <c r="LZN803" s="193" t="s">
        <v>1487</v>
      </c>
      <c r="LZO803" s="193" t="s">
        <v>1487</v>
      </c>
      <c r="LZP803" s="193" t="s">
        <v>1487</v>
      </c>
      <c r="LZQ803" s="193" t="s">
        <v>1487</v>
      </c>
      <c r="LZR803" s="193" t="s">
        <v>1487</v>
      </c>
      <c r="LZS803" s="193" t="s">
        <v>1487</v>
      </c>
      <c r="LZT803" s="193" t="s">
        <v>1487</v>
      </c>
      <c r="LZU803" s="193" t="s">
        <v>1487</v>
      </c>
      <c r="LZV803" s="193" t="s">
        <v>1487</v>
      </c>
      <c r="LZW803" s="193" t="s">
        <v>1487</v>
      </c>
      <c r="LZX803" s="193" t="s">
        <v>1487</v>
      </c>
      <c r="LZY803" s="193" t="s">
        <v>1487</v>
      </c>
      <c r="LZZ803" s="193" t="s">
        <v>1487</v>
      </c>
      <c r="MAA803" s="193" t="s">
        <v>1487</v>
      </c>
      <c r="MAB803" s="193" t="s">
        <v>1487</v>
      </c>
      <c r="MAC803" s="193" t="s">
        <v>1487</v>
      </c>
      <c r="MAD803" s="193" t="s">
        <v>1487</v>
      </c>
      <c r="MAE803" s="193" t="s">
        <v>1487</v>
      </c>
      <c r="MAF803" s="193" t="s">
        <v>1487</v>
      </c>
      <c r="MAG803" s="193" t="s">
        <v>1487</v>
      </c>
      <c r="MAH803" s="193" t="s">
        <v>1487</v>
      </c>
      <c r="MAI803" s="193" t="s">
        <v>1487</v>
      </c>
      <c r="MAJ803" s="193" t="s">
        <v>1487</v>
      </c>
      <c r="MAK803" s="193" t="s">
        <v>1487</v>
      </c>
      <c r="MAL803" s="193" t="s">
        <v>1487</v>
      </c>
      <c r="MAM803" s="193" t="s">
        <v>1487</v>
      </c>
      <c r="MAN803" s="193" t="s">
        <v>1487</v>
      </c>
      <c r="MAO803" s="193" t="s">
        <v>1487</v>
      </c>
      <c r="MAP803" s="193" t="s">
        <v>1487</v>
      </c>
      <c r="MAQ803" s="193" t="s">
        <v>1487</v>
      </c>
      <c r="MAR803" s="193" t="s">
        <v>1487</v>
      </c>
      <c r="MAS803" s="193" t="s">
        <v>1487</v>
      </c>
      <c r="MAT803" s="193" t="s">
        <v>1487</v>
      </c>
      <c r="MAU803" s="193" t="s">
        <v>1487</v>
      </c>
      <c r="MAV803" s="193" t="s">
        <v>1487</v>
      </c>
      <c r="MAW803" s="193" t="s">
        <v>1487</v>
      </c>
      <c r="MAX803" s="193" t="s">
        <v>1487</v>
      </c>
      <c r="MAY803" s="193" t="s">
        <v>1487</v>
      </c>
      <c r="MAZ803" s="193" t="s">
        <v>1487</v>
      </c>
      <c r="MBA803" s="193" t="s">
        <v>1487</v>
      </c>
      <c r="MBB803" s="193" t="s">
        <v>1487</v>
      </c>
      <c r="MBC803" s="193" t="s">
        <v>1487</v>
      </c>
      <c r="MBD803" s="193" t="s">
        <v>1487</v>
      </c>
      <c r="MBE803" s="193" t="s">
        <v>1487</v>
      </c>
      <c r="MBF803" s="193" t="s">
        <v>1487</v>
      </c>
      <c r="MBG803" s="193" t="s">
        <v>1487</v>
      </c>
      <c r="MBH803" s="193" t="s">
        <v>1487</v>
      </c>
      <c r="MBI803" s="193" t="s">
        <v>1487</v>
      </c>
      <c r="MBJ803" s="193" t="s">
        <v>1487</v>
      </c>
      <c r="MBK803" s="193" t="s">
        <v>1487</v>
      </c>
      <c r="MBL803" s="193" t="s">
        <v>1487</v>
      </c>
      <c r="MBM803" s="193" t="s">
        <v>1487</v>
      </c>
      <c r="MBN803" s="193" t="s">
        <v>1487</v>
      </c>
      <c r="MBO803" s="193" t="s">
        <v>1487</v>
      </c>
      <c r="MBP803" s="193" t="s">
        <v>1487</v>
      </c>
      <c r="MBQ803" s="193" t="s">
        <v>1487</v>
      </c>
      <c r="MBR803" s="193" t="s">
        <v>1487</v>
      </c>
      <c r="MBS803" s="193" t="s">
        <v>1487</v>
      </c>
      <c r="MBT803" s="193" t="s">
        <v>1487</v>
      </c>
      <c r="MBU803" s="193" t="s">
        <v>1487</v>
      </c>
      <c r="MBV803" s="193" t="s">
        <v>1487</v>
      </c>
      <c r="MBW803" s="193" t="s">
        <v>1487</v>
      </c>
      <c r="MBX803" s="193" t="s">
        <v>1487</v>
      </c>
      <c r="MBY803" s="193" t="s">
        <v>1487</v>
      </c>
      <c r="MBZ803" s="193" t="s">
        <v>1487</v>
      </c>
      <c r="MCA803" s="193" t="s">
        <v>1487</v>
      </c>
      <c r="MCB803" s="193" t="s">
        <v>1487</v>
      </c>
      <c r="MCC803" s="193" t="s">
        <v>1487</v>
      </c>
      <c r="MCD803" s="193" t="s">
        <v>1487</v>
      </c>
      <c r="MCE803" s="193" t="s">
        <v>1487</v>
      </c>
      <c r="MCF803" s="193" t="s">
        <v>1487</v>
      </c>
      <c r="MCG803" s="193" t="s">
        <v>1487</v>
      </c>
      <c r="MCH803" s="193" t="s">
        <v>1487</v>
      </c>
      <c r="MCI803" s="193" t="s">
        <v>1487</v>
      </c>
      <c r="MCJ803" s="193" t="s">
        <v>1487</v>
      </c>
      <c r="MCK803" s="193" t="s">
        <v>1487</v>
      </c>
      <c r="MCL803" s="193" t="s">
        <v>1487</v>
      </c>
      <c r="MCM803" s="193" t="s">
        <v>1487</v>
      </c>
      <c r="MCN803" s="193" t="s">
        <v>1487</v>
      </c>
      <c r="MCO803" s="193" t="s">
        <v>1487</v>
      </c>
      <c r="MCP803" s="193" t="s">
        <v>1487</v>
      </c>
      <c r="MCQ803" s="193" t="s">
        <v>1487</v>
      </c>
      <c r="MCR803" s="193" t="s">
        <v>1487</v>
      </c>
      <c r="MCS803" s="193" t="s">
        <v>1487</v>
      </c>
      <c r="MCT803" s="193" t="s">
        <v>1487</v>
      </c>
      <c r="MCU803" s="193" t="s">
        <v>1487</v>
      </c>
      <c r="MCV803" s="193" t="s">
        <v>1487</v>
      </c>
      <c r="MCW803" s="193" t="s">
        <v>1487</v>
      </c>
      <c r="MCX803" s="193" t="s">
        <v>1487</v>
      </c>
      <c r="MCY803" s="193" t="s">
        <v>1487</v>
      </c>
      <c r="MCZ803" s="193" t="s">
        <v>1487</v>
      </c>
      <c r="MDA803" s="193" t="s">
        <v>1487</v>
      </c>
      <c r="MDB803" s="193" t="s">
        <v>1487</v>
      </c>
      <c r="MDC803" s="193" t="s">
        <v>1487</v>
      </c>
      <c r="MDD803" s="193" t="s">
        <v>1487</v>
      </c>
      <c r="MDE803" s="193" t="s">
        <v>1487</v>
      </c>
      <c r="MDF803" s="193" t="s">
        <v>1487</v>
      </c>
      <c r="MDG803" s="193" t="s">
        <v>1487</v>
      </c>
      <c r="MDH803" s="193" t="s">
        <v>1487</v>
      </c>
      <c r="MDI803" s="193" t="s">
        <v>1487</v>
      </c>
      <c r="MDJ803" s="193" t="s">
        <v>1487</v>
      </c>
      <c r="MDK803" s="193" t="s">
        <v>1487</v>
      </c>
      <c r="MDL803" s="193" t="s">
        <v>1487</v>
      </c>
      <c r="MDM803" s="193" t="s">
        <v>1487</v>
      </c>
      <c r="MDN803" s="193" t="s">
        <v>1487</v>
      </c>
      <c r="MDO803" s="193" t="s">
        <v>1487</v>
      </c>
      <c r="MDP803" s="193" t="s">
        <v>1487</v>
      </c>
      <c r="MDQ803" s="193" t="s">
        <v>1487</v>
      </c>
      <c r="MDR803" s="193" t="s">
        <v>1487</v>
      </c>
      <c r="MDS803" s="193" t="s">
        <v>1487</v>
      </c>
      <c r="MDT803" s="193" t="s">
        <v>1487</v>
      </c>
      <c r="MDU803" s="193" t="s">
        <v>1487</v>
      </c>
      <c r="MDV803" s="193" t="s">
        <v>1487</v>
      </c>
      <c r="MDW803" s="193" t="s">
        <v>1487</v>
      </c>
      <c r="MDX803" s="193" t="s">
        <v>1487</v>
      </c>
      <c r="MDY803" s="193" t="s">
        <v>1487</v>
      </c>
      <c r="MDZ803" s="193" t="s">
        <v>1487</v>
      </c>
      <c r="MEA803" s="193" t="s">
        <v>1487</v>
      </c>
      <c r="MEB803" s="193" t="s">
        <v>1487</v>
      </c>
      <c r="MEC803" s="193" t="s">
        <v>1487</v>
      </c>
      <c r="MED803" s="193" t="s">
        <v>1487</v>
      </c>
      <c r="MEE803" s="193" t="s">
        <v>1487</v>
      </c>
      <c r="MEF803" s="193" t="s">
        <v>1487</v>
      </c>
      <c r="MEG803" s="193" t="s">
        <v>1487</v>
      </c>
      <c r="MEH803" s="193" t="s">
        <v>1487</v>
      </c>
      <c r="MEI803" s="193" t="s">
        <v>1487</v>
      </c>
      <c r="MEJ803" s="193" t="s">
        <v>1487</v>
      </c>
      <c r="MEK803" s="193" t="s">
        <v>1487</v>
      </c>
      <c r="MEL803" s="193" t="s">
        <v>1487</v>
      </c>
      <c r="MEM803" s="193" t="s">
        <v>1487</v>
      </c>
      <c r="MEN803" s="193" t="s">
        <v>1487</v>
      </c>
      <c r="MEO803" s="193" t="s">
        <v>1487</v>
      </c>
      <c r="MEP803" s="193" t="s">
        <v>1487</v>
      </c>
      <c r="MEQ803" s="193" t="s">
        <v>1487</v>
      </c>
      <c r="MER803" s="193" t="s">
        <v>1487</v>
      </c>
      <c r="MES803" s="193" t="s">
        <v>1487</v>
      </c>
      <c r="MET803" s="193" t="s">
        <v>1487</v>
      </c>
      <c r="MEU803" s="193" t="s">
        <v>1487</v>
      </c>
      <c r="MEV803" s="193" t="s">
        <v>1487</v>
      </c>
      <c r="MEW803" s="193" t="s">
        <v>1487</v>
      </c>
      <c r="MEX803" s="193" t="s">
        <v>1487</v>
      </c>
      <c r="MEY803" s="193" t="s">
        <v>1487</v>
      </c>
      <c r="MEZ803" s="193" t="s">
        <v>1487</v>
      </c>
      <c r="MFA803" s="193" t="s">
        <v>1487</v>
      </c>
      <c r="MFB803" s="193" t="s">
        <v>1487</v>
      </c>
      <c r="MFC803" s="193" t="s">
        <v>1487</v>
      </c>
      <c r="MFD803" s="193" t="s">
        <v>1487</v>
      </c>
      <c r="MFE803" s="193" t="s">
        <v>1487</v>
      </c>
      <c r="MFF803" s="193" t="s">
        <v>1487</v>
      </c>
      <c r="MFG803" s="193" t="s">
        <v>1487</v>
      </c>
      <c r="MFH803" s="193" t="s">
        <v>1487</v>
      </c>
      <c r="MFI803" s="193" t="s">
        <v>1487</v>
      </c>
      <c r="MFJ803" s="193" t="s">
        <v>1487</v>
      </c>
      <c r="MFK803" s="193" t="s">
        <v>1487</v>
      </c>
      <c r="MFL803" s="193" t="s">
        <v>1487</v>
      </c>
      <c r="MFM803" s="193" t="s">
        <v>1487</v>
      </c>
      <c r="MFN803" s="193" t="s">
        <v>1487</v>
      </c>
      <c r="MFO803" s="193" t="s">
        <v>1487</v>
      </c>
      <c r="MFP803" s="193" t="s">
        <v>1487</v>
      </c>
      <c r="MFQ803" s="193" t="s">
        <v>1487</v>
      </c>
      <c r="MFR803" s="193" t="s">
        <v>1487</v>
      </c>
      <c r="MFS803" s="193" t="s">
        <v>1487</v>
      </c>
      <c r="MFT803" s="193" t="s">
        <v>1487</v>
      </c>
      <c r="MFU803" s="193" t="s">
        <v>1487</v>
      </c>
      <c r="MFV803" s="193" t="s">
        <v>1487</v>
      </c>
      <c r="MFW803" s="193" t="s">
        <v>1487</v>
      </c>
      <c r="MFX803" s="193" t="s">
        <v>1487</v>
      </c>
      <c r="MFY803" s="193" t="s">
        <v>1487</v>
      </c>
      <c r="MFZ803" s="193" t="s">
        <v>1487</v>
      </c>
      <c r="MGA803" s="193" t="s">
        <v>1487</v>
      </c>
      <c r="MGB803" s="193" t="s">
        <v>1487</v>
      </c>
      <c r="MGC803" s="193" t="s">
        <v>1487</v>
      </c>
      <c r="MGD803" s="193" t="s">
        <v>1487</v>
      </c>
      <c r="MGE803" s="193" t="s">
        <v>1487</v>
      </c>
      <c r="MGF803" s="193" t="s">
        <v>1487</v>
      </c>
      <c r="MGG803" s="193" t="s">
        <v>1487</v>
      </c>
      <c r="MGH803" s="193" t="s">
        <v>1487</v>
      </c>
      <c r="MGI803" s="193" t="s">
        <v>1487</v>
      </c>
      <c r="MGJ803" s="193" t="s">
        <v>1487</v>
      </c>
      <c r="MGK803" s="193" t="s">
        <v>1487</v>
      </c>
      <c r="MGL803" s="193" t="s">
        <v>1487</v>
      </c>
      <c r="MGM803" s="193" t="s">
        <v>1487</v>
      </c>
      <c r="MGN803" s="193" t="s">
        <v>1487</v>
      </c>
      <c r="MGO803" s="193" t="s">
        <v>1487</v>
      </c>
      <c r="MGP803" s="193" t="s">
        <v>1487</v>
      </c>
      <c r="MGQ803" s="193" t="s">
        <v>1487</v>
      </c>
      <c r="MGR803" s="193" t="s">
        <v>1487</v>
      </c>
      <c r="MGS803" s="193" t="s">
        <v>1487</v>
      </c>
      <c r="MGT803" s="193" t="s">
        <v>1487</v>
      </c>
      <c r="MGU803" s="193" t="s">
        <v>1487</v>
      </c>
      <c r="MGV803" s="193" t="s">
        <v>1487</v>
      </c>
      <c r="MGW803" s="193" t="s">
        <v>1487</v>
      </c>
      <c r="MGX803" s="193" t="s">
        <v>1487</v>
      </c>
      <c r="MGY803" s="193" t="s">
        <v>1487</v>
      </c>
      <c r="MGZ803" s="193" t="s">
        <v>1487</v>
      </c>
      <c r="MHA803" s="193" t="s">
        <v>1487</v>
      </c>
      <c r="MHB803" s="193" t="s">
        <v>1487</v>
      </c>
      <c r="MHC803" s="193" t="s">
        <v>1487</v>
      </c>
      <c r="MHD803" s="193" t="s">
        <v>1487</v>
      </c>
      <c r="MHE803" s="193" t="s">
        <v>1487</v>
      </c>
      <c r="MHF803" s="193" t="s">
        <v>1487</v>
      </c>
      <c r="MHG803" s="193" t="s">
        <v>1487</v>
      </c>
      <c r="MHH803" s="193" t="s">
        <v>1487</v>
      </c>
      <c r="MHI803" s="193" t="s">
        <v>1487</v>
      </c>
      <c r="MHJ803" s="193" t="s">
        <v>1487</v>
      </c>
      <c r="MHK803" s="193" t="s">
        <v>1487</v>
      </c>
      <c r="MHL803" s="193" t="s">
        <v>1487</v>
      </c>
      <c r="MHM803" s="193" t="s">
        <v>1487</v>
      </c>
      <c r="MHN803" s="193" t="s">
        <v>1487</v>
      </c>
      <c r="MHO803" s="193" t="s">
        <v>1487</v>
      </c>
      <c r="MHP803" s="193" t="s">
        <v>1487</v>
      </c>
      <c r="MHQ803" s="193" t="s">
        <v>1487</v>
      </c>
      <c r="MHR803" s="193" t="s">
        <v>1487</v>
      </c>
      <c r="MHS803" s="193" t="s">
        <v>1487</v>
      </c>
      <c r="MHT803" s="193" t="s">
        <v>1487</v>
      </c>
      <c r="MHU803" s="193" t="s">
        <v>1487</v>
      </c>
      <c r="MHV803" s="193" t="s">
        <v>1487</v>
      </c>
      <c r="MHW803" s="193" t="s">
        <v>1487</v>
      </c>
      <c r="MHX803" s="193" t="s">
        <v>1487</v>
      </c>
      <c r="MHY803" s="193" t="s">
        <v>1487</v>
      </c>
      <c r="MHZ803" s="193" t="s">
        <v>1487</v>
      </c>
      <c r="MIA803" s="193" t="s">
        <v>1487</v>
      </c>
      <c r="MIB803" s="193" t="s">
        <v>1487</v>
      </c>
      <c r="MIC803" s="193" t="s">
        <v>1487</v>
      </c>
      <c r="MID803" s="193" t="s">
        <v>1487</v>
      </c>
      <c r="MIE803" s="193" t="s">
        <v>1487</v>
      </c>
      <c r="MIF803" s="193" t="s">
        <v>1487</v>
      </c>
      <c r="MIG803" s="193" t="s">
        <v>1487</v>
      </c>
      <c r="MIH803" s="193" t="s">
        <v>1487</v>
      </c>
      <c r="MII803" s="193" t="s">
        <v>1487</v>
      </c>
      <c r="MIJ803" s="193" t="s">
        <v>1487</v>
      </c>
      <c r="MIK803" s="193" t="s">
        <v>1487</v>
      </c>
      <c r="MIL803" s="193" t="s">
        <v>1487</v>
      </c>
      <c r="MIM803" s="193" t="s">
        <v>1487</v>
      </c>
      <c r="MIN803" s="193" t="s">
        <v>1487</v>
      </c>
      <c r="MIO803" s="193" t="s">
        <v>1487</v>
      </c>
      <c r="MIP803" s="193" t="s">
        <v>1487</v>
      </c>
      <c r="MIQ803" s="193" t="s">
        <v>1487</v>
      </c>
      <c r="MIR803" s="193" t="s">
        <v>1487</v>
      </c>
      <c r="MIS803" s="193" t="s">
        <v>1487</v>
      </c>
      <c r="MIT803" s="193" t="s">
        <v>1487</v>
      </c>
      <c r="MIU803" s="193" t="s">
        <v>1487</v>
      </c>
      <c r="MIV803" s="193" t="s">
        <v>1487</v>
      </c>
      <c r="MIW803" s="193" t="s">
        <v>1487</v>
      </c>
      <c r="MIX803" s="193" t="s">
        <v>1487</v>
      </c>
      <c r="MIY803" s="193" t="s">
        <v>1487</v>
      </c>
      <c r="MIZ803" s="193" t="s">
        <v>1487</v>
      </c>
      <c r="MJA803" s="193" t="s">
        <v>1487</v>
      </c>
      <c r="MJB803" s="193" t="s">
        <v>1487</v>
      </c>
      <c r="MJC803" s="193" t="s">
        <v>1487</v>
      </c>
      <c r="MJD803" s="193" t="s">
        <v>1487</v>
      </c>
      <c r="MJE803" s="193" t="s">
        <v>1487</v>
      </c>
      <c r="MJF803" s="193" t="s">
        <v>1487</v>
      </c>
      <c r="MJG803" s="193" t="s">
        <v>1487</v>
      </c>
      <c r="MJH803" s="193" t="s">
        <v>1487</v>
      </c>
      <c r="MJI803" s="193" t="s">
        <v>1487</v>
      </c>
      <c r="MJJ803" s="193" t="s">
        <v>1487</v>
      </c>
      <c r="MJK803" s="193" t="s">
        <v>1487</v>
      </c>
      <c r="MJL803" s="193" t="s">
        <v>1487</v>
      </c>
      <c r="MJM803" s="193" t="s">
        <v>1487</v>
      </c>
      <c r="MJN803" s="193" t="s">
        <v>1487</v>
      </c>
      <c r="MJO803" s="193" t="s">
        <v>1487</v>
      </c>
      <c r="MJP803" s="193" t="s">
        <v>1487</v>
      </c>
      <c r="MJQ803" s="193" t="s">
        <v>1487</v>
      </c>
      <c r="MJR803" s="193" t="s">
        <v>1487</v>
      </c>
      <c r="MJS803" s="193" t="s">
        <v>1487</v>
      </c>
      <c r="MJT803" s="193" t="s">
        <v>1487</v>
      </c>
      <c r="MJU803" s="193" t="s">
        <v>1487</v>
      </c>
      <c r="MJV803" s="193" t="s">
        <v>1487</v>
      </c>
      <c r="MJW803" s="193" t="s">
        <v>1487</v>
      </c>
      <c r="MJX803" s="193" t="s">
        <v>1487</v>
      </c>
      <c r="MJY803" s="193" t="s">
        <v>1487</v>
      </c>
      <c r="MJZ803" s="193" t="s">
        <v>1487</v>
      </c>
      <c r="MKA803" s="193" t="s">
        <v>1487</v>
      </c>
      <c r="MKB803" s="193" t="s">
        <v>1487</v>
      </c>
      <c r="MKC803" s="193" t="s">
        <v>1487</v>
      </c>
      <c r="MKD803" s="193" t="s">
        <v>1487</v>
      </c>
      <c r="MKE803" s="193" t="s">
        <v>1487</v>
      </c>
      <c r="MKF803" s="193" t="s">
        <v>1487</v>
      </c>
      <c r="MKG803" s="193" t="s">
        <v>1487</v>
      </c>
      <c r="MKH803" s="193" t="s">
        <v>1487</v>
      </c>
      <c r="MKI803" s="193" t="s">
        <v>1487</v>
      </c>
      <c r="MKJ803" s="193" t="s">
        <v>1487</v>
      </c>
      <c r="MKK803" s="193" t="s">
        <v>1487</v>
      </c>
      <c r="MKL803" s="193" t="s">
        <v>1487</v>
      </c>
      <c r="MKM803" s="193" t="s">
        <v>1487</v>
      </c>
      <c r="MKN803" s="193" t="s">
        <v>1487</v>
      </c>
      <c r="MKO803" s="193" t="s">
        <v>1487</v>
      </c>
      <c r="MKP803" s="193" t="s">
        <v>1487</v>
      </c>
      <c r="MKQ803" s="193" t="s">
        <v>1487</v>
      </c>
      <c r="MKR803" s="193" t="s">
        <v>1487</v>
      </c>
      <c r="MKS803" s="193" t="s">
        <v>1487</v>
      </c>
      <c r="MKT803" s="193" t="s">
        <v>1487</v>
      </c>
      <c r="MKU803" s="193" t="s">
        <v>1487</v>
      </c>
      <c r="MKV803" s="193" t="s">
        <v>1487</v>
      </c>
      <c r="MKW803" s="193" t="s">
        <v>1487</v>
      </c>
      <c r="MKX803" s="193" t="s">
        <v>1487</v>
      </c>
      <c r="MKY803" s="193" t="s">
        <v>1487</v>
      </c>
      <c r="MKZ803" s="193" t="s">
        <v>1487</v>
      </c>
      <c r="MLA803" s="193" t="s">
        <v>1487</v>
      </c>
      <c r="MLB803" s="193" t="s">
        <v>1487</v>
      </c>
      <c r="MLC803" s="193" t="s">
        <v>1487</v>
      </c>
      <c r="MLD803" s="193" t="s">
        <v>1487</v>
      </c>
      <c r="MLE803" s="193" t="s">
        <v>1487</v>
      </c>
      <c r="MLF803" s="193" t="s">
        <v>1487</v>
      </c>
      <c r="MLG803" s="193" t="s">
        <v>1487</v>
      </c>
      <c r="MLH803" s="193" t="s">
        <v>1487</v>
      </c>
      <c r="MLI803" s="193" t="s">
        <v>1487</v>
      </c>
      <c r="MLJ803" s="193" t="s">
        <v>1487</v>
      </c>
      <c r="MLK803" s="193" t="s">
        <v>1487</v>
      </c>
      <c r="MLL803" s="193" t="s">
        <v>1487</v>
      </c>
      <c r="MLM803" s="193" t="s">
        <v>1487</v>
      </c>
      <c r="MLN803" s="193" t="s">
        <v>1487</v>
      </c>
      <c r="MLO803" s="193" t="s">
        <v>1487</v>
      </c>
      <c r="MLP803" s="193" t="s">
        <v>1487</v>
      </c>
      <c r="MLQ803" s="193" t="s">
        <v>1487</v>
      </c>
      <c r="MLR803" s="193" t="s">
        <v>1487</v>
      </c>
      <c r="MLS803" s="193" t="s">
        <v>1487</v>
      </c>
      <c r="MLT803" s="193" t="s">
        <v>1487</v>
      </c>
      <c r="MLU803" s="193" t="s">
        <v>1487</v>
      </c>
      <c r="MLV803" s="193" t="s">
        <v>1487</v>
      </c>
      <c r="MLW803" s="193" t="s">
        <v>1487</v>
      </c>
      <c r="MLX803" s="193" t="s">
        <v>1487</v>
      </c>
      <c r="MLY803" s="193" t="s">
        <v>1487</v>
      </c>
      <c r="MLZ803" s="193" t="s">
        <v>1487</v>
      </c>
      <c r="MMA803" s="193" t="s">
        <v>1487</v>
      </c>
      <c r="MMB803" s="193" t="s">
        <v>1487</v>
      </c>
      <c r="MMC803" s="193" t="s">
        <v>1487</v>
      </c>
      <c r="MMD803" s="193" t="s">
        <v>1487</v>
      </c>
      <c r="MME803" s="193" t="s">
        <v>1487</v>
      </c>
      <c r="MMF803" s="193" t="s">
        <v>1487</v>
      </c>
      <c r="MMG803" s="193" t="s">
        <v>1487</v>
      </c>
      <c r="MMH803" s="193" t="s">
        <v>1487</v>
      </c>
      <c r="MMI803" s="193" t="s">
        <v>1487</v>
      </c>
      <c r="MMJ803" s="193" t="s">
        <v>1487</v>
      </c>
      <c r="MMK803" s="193" t="s">
        <v>1487</v>
      </c>
      <c r="MML803" s="193" t="s">
        <v>1487</v>
      </c>
      <c r="MMM803" s="193" t="s">
        <v>1487</v>
      </c>
      <c r="MMN803" s="193" t="s">
        <v>1487</v>
      </c>
      <c r="MMO803" s="193" t="s">
        <v>1487</v>
      </c>
      <c r="MMP803" s="193" t="s">
        <v>1487</v>
      </c>
      <c r="MMQ803" s="193" t="s">
        <v>1487</v>
      </c>
      <c r="MMR803" s="193" t="s">
        <v>1487</v>
      </c>
      <c r="MMS803" s="193" t="s">
        <v>1487</v>
      </c>
      <c r="MMT803" s="193" t="s">
        <v>1487</v>
      </c>
      <c r="MMU803" s="193" t="s">
        <v>1487</v>
      </c>
      <c r="MMV803" s="193" t="s">
        <v>1487</v>
      </c>
      <c r="MMW803" s="193" t="s">
        <v>1487</v>
      </c>
      <c r="MMX803" s="193" t="s">
        <v>1487</v>
      </c>
      <c r="MMY803" s="193" t="s">
        <v>1487</v>
      </c>
      <c r="MMZ803" s="193" t="s">
        <v>1487</v>
      </c>
      <c r="MNA803" s="193" t="s">
        <v>1487</v>
      </c>
      <c r="MNB803" s="193" t="s">
        <v>1487</v>
      </c>
      <c r="MNC803" s="193" t="s">
        <v>1487</v>
      </c>
      <c r="MND803" s="193" t="s">
        <v>1487</v>
      </c>
      <c r="MNE803" s="193" t="s">
        <v>1487</v>
      </c>
      <c r="MNF803" s="193" t="s">
        <v>1487</v>
      </c>
      <c r="MNG803" s="193" t="s">
        <v>1487</v>
      </c>
      <c r="MNH803" s="193" t="s">
        <v>1487</v>
      </c>
      <c r="MNI803" s="193" t="s">
        <v>1487</v>
      </c>
      <c r="MNJ803" s="193" t="s">
        <v>1487</v>
      </c>
      <c r="MNK803" s="193" t="s">
        <v>1487</v>
      </c>
      <c r="MNL803" s="193" t="s">
        <v>1487</v>
      </c>
      <c r="MNM803" s="193" t="s">
        <v>1487</v>
      </c>
      <c r="MNN803" s="193" t="s">
        <v>1487</v>
      </c>
      <c r="MNO803" s="193" t="s">
        <v>1487</v>
      </c>
      <c r="MNP803" s="193" t="s">
        <v>1487</v>
      </c>
      <c r="MNQ803" s="193" t="s">
        <v>1487</v>
      </c>
      <c r="MNR803" s="193" t="s">
        <v>1487</v>
      </c>
      <c r="MNS803" s="193" t="s">
        <v>1487</v>
      </c>
      <c r="MNT803" s="193" t="s">
        <v>1487</v>
      </c>
      <c r="MNU803" s="193" t="s">
        <v>1487</v>
      </c>
      <c r="MNV803" s="193" t="s">
        <v>1487</v>
      </c>
      <c r="MNW803" s="193" t="s">
        <v>1487</v>
      </c>
      <c r="MNX803" s="193" t="s">
        <v>1487</v>
      </c>
      <c r="MNY803" s="193" t="s">
        <v>1487</v>
      </c>
      <c r="MNZ803" s="193" t="s">
        <v>1487</v>
      </c>
      <c r="MOA803" s="193" t="s">
        <v>1487</v>
      </c>
      <c r="MOB803" s="193" t="s">
        <v>1487</v>
      </c>
      <c r="MOC803" s="193" t="s">
        <v>1487</v>
      </c>
      <c r="MOD803" s="193" t="s">
        <v>1487</v>
      </c>
      <c r="MOE803" s="193" t="s">
        <v>1487</v>
      </c>
      <c r="MOF803" s="193" t="s">
        <v>1487</v>
      </c>
      <c r="MOG803" s="193" t="s">
        <v>1487</v>
      </c>
      <c r="MOH803" s="193" t="s">
        <v>1487</v>
      </c>
      <c r="MOI803" s="193" t="s">
        <v>1487</v>
      </c>
      <c r="MOJ803" s="193" t="s">
        <v>1487</v>
      </c>
      <c r="MOK803" s="193" t="s">
        <v>1487</v>
      </c>
      <c r="MOL803" s="193" t="s">
        <v>1487</v>
      </c>
      <c r="MOM803" s="193" t="s">
        <v>1487</v>
      </c>
      <c r="MON803" s="193" t="s">
        <v>1487</v>
      </c>
      <c r="MOO803" s="193" t="s">
        <v>1487</v>
      </c>
      <c r="MOP803" s="193" t="s">
        <v>1487</v>
      </c>
      <c r="MOQ803" s="193" t="s">
        <v>1487</v>
      </c>
      <c r="MOR803" s="193" t="s">
        <v>1487</v>
      </c>
      <c r="MOS803" s="193" t="s">
        <v>1487</v>
      </c>
      <c r="MOT803" s="193" t="s">
        <v>1487</v>
      </c>
      <c r="MOU803" s="193" t="s">
        <v>1487</v>
      </c>
      <c r="MOV803" s="193" t="s">
        <v>1487</v>
      </c>
      <c r="MOW803" s="193" t="s">
        <v>1487</v>
      </c>
      <c r="MOX803" s="193" t="s">
        <v>1487</v>
      </c>
      <c r="MOY803" s="193" t="s">
        <v>1487</v>
      </c>
      <c r="MOZ803" s="193" t="s">
        <v>1487</v>
      </c>
      <c r="MPA803" s="193" t="s">
        <v>1487</v>
      </c>
      <c r="MPB803" s="193" t="s">
        <v>1487</v>
      </c>
      <c r="MPC803" s="193" t="s">
        <v>1487</v>
      </c>
      <c r="MPD803" s="193" t="s">
        <v>1487</v>
      </c>
      <c r="MPE803" s="193" t="s">
        <v>1487</v>
      </c>
      <c r="MPF803" s="193" t="s">
        <v>1487</v>
      </c>
      <c r="MPG803" s="193" t="s">
        <v>1487</v>
      </c>
      <c r="MPH803" s="193" t="s">
        <v>1487</v>
      </c>
      <c r="MPI803" s="193" t="s">
        <v>1487</v>
      </c>
      <c r="MPJ803" s="193" t="s">
        <v>1487</v>
      </c>
      <c r="MPK803" s="193" t="s">
        <v>1487</v>
      </c>
      <c r="MPL803" s="193" t="s">
        <v>1487</v>
      </c>
      <c r="MPM803" s="193" t="s">
        <v>1487</v>
      </c>
      <c r="MPN803" s="193" t="s">
        <v>1487</v>
      </c>
      <c r="MPO803" s="193" t="s">
        <v>1487</v>
      </c>
      <c r="MPP803" s="193" t="s">
        <v>1487</v>
      </c>
      <c r="MPQ803" s="193" t="s">
        <v>1487</v>
      </c>
      <c r="MPR803" s="193" t="s">
        <v>1487</v>
      </c>
      <c r="MPS803" s="193" t="s">
        <v>1487</v>
      </c>
      <c r="MPT803" s="193" t="s">
        <v>1487</v>
      </c>
      <c r="MPU803" s="193" t="s">
        <v>1487</v>
      </c>
      <c r="MPV803" s="193" t="s">
        <v>1487</v>
      </c>
      <c r="MPW803" s="193" t="s">
        <v>1487</v>
      </c>
      <c r="MPX803" s="193" t="s">
        <v>1487</v>
      </c>
      <c r="MPY803" s="193" t="s">
        <v>1487</v>
      </c>
      <c r="MPZ803" s="193" t="s">
        <v>1487</v>
      </c>
      <c r="MQA803" s="193" t="s">
        <v>1487</v>
      </c>
      <c r="MQB803" s="193" t="s">
        <v>1487</v>
      </c>
      <c r="MQC803" s="193" t="s">
        <v>1487</v>
      </c>
      <c r="MQD803" s="193" t="s">
        <v>1487</v>
      </c>
      <c r="MQE803" s="193" t="s">
        <v>1487</v>
      </c>
      <c r="MQF803" s="193" t="s">
        <v>1487</v>
      </c>
      <c r="MQG803" s="193" t="s">
        <v>1487</v>
      </c>
      <c r="MQH803" s="193" t="s">
        <v>1487</v>
      </c>
      <c r="MQI803" s="193" t="s">
        <v>1487</v>
      </c>
      <c r="MQJ803" s="193" t="s">
        <v>1487</v>
      </c>
      <c r="MQK803" s="193" t="s">
        <v>1487</v>
      </c>
      <c r="MQL803" s="193" t="s">
        <v>1487</v>
      </c>
      <c r="MQM803" s="193" t="s">
        <v>1487</v>
      </c>
      <c r="MQN803" s="193" t="s">
        <v>1487</v>
      </c>
      <c r="MQO803" s="193" t="s">
        <v>1487</v>
      </c>
      <c r="MQP803" s="193" t="s">
        <v>1487</v>
      </c>
      <c r="MQQ803" s="193" t="s">
        <v>1487</v>
      </c>
      <c r="MQR803" s="193" t="s">
        <v>1487</v>
      </c>
      <c r="MQS803" s="193" t="s">
        <v>1487</v>
      </c>
      <c r="MQT803" s="193" t="s">
        <v>1487</v>
      </c>
      <c r="MQU803" s="193" t="s">
        <v>1487</v>
      </c>
      <c r="MQV803" s="193" t="s">
        <v>1487</v>
      </c>
      <c r="MQW803" s="193" t="s">
        <v>1487</v>
      </c>
      <c r="MQX803" s="193" t="s">
        <v>1487</v>
      </c>
      <c r="MQY803" s="193" t="s">
        <v>1487</v>
      </c>
      <c r="MQZ803" s="193" t="s">
        <v>1487</v>
      </c>
      <c r="MRA803" s="193" t="s">
        <v>1487</v>
      </c>
      <c r="MRB803" s="193" t="s">
        <v>1487</v>
      </c>
      <c r="MRC803" s="193" t="s">
        <v>1487</v>
      </c>
      <c r="MRD803" s="193" t="s">
        <v>1487</v>
      </c>
      <c r="MRE803" s="193" t="s">
        <v>1487</v>
      </c>
      <c r="MRF803" s="193" t="s">
        <v>1487</v>
      </c>
      <c r="MRG803" s="193" t="s">
        <v>1487</v>
      </c>
      <c r="MRH803" s="193" t="s">
        <v>1487</v>
      </c>
      <c r="MRI803" s="193" t="s">
        <v>1487</v>
      </c>
      <c r="MRJ803" s="193" t="s">
        <v>1487</v>
      </c>
      <c r="MRK803" s="193" t="s">
        <v>1487</v>
      </c>
      <c r="MRL803" s="193" t="s">
        <v>1487</v>
      </c>
      <c r="MRM803" s="193" t="s">
        <v>1487</v>
      </c>
      <c r="MRN803" s="193" t="s">
        <v>1487</v>
      </c>
      <c r="MRO803" s="193" t="s">
        <v>1487</v>
      </c>
      <c r="MRP803" s="193" t="s">
        <v>1487</v>
      </c>
      <c r="MRQ803" s="193" t="s">
        <v>1487</v>
      </c>
      <c r="MRR803" s="193" t="s">
        <v>1487</v>
      </c>
      <c r="MRS803" s="193" t="s">
        <v>1487</v>
      </c>
      <c r="MRT803" s="193" t="s">
        <v>1487</v>
      </c>
      <c r="MRU803" s="193" t="s">
        <v>1487</v>
      </c>
      <c r="MRV803" s="193" t="s">
        <v>1487</v>
      </c>
      <c r="MRW803" s="193" t="s">
        <v>1487</v>
      </c>
      <c r="MRX803" s="193" t="s">
        <v>1487</v>
      </c>
      <c r="MRY803" s="193" t="s">
        <v>1487</v>
      </c>
      <c r="MRZ803" s="193" t="s">
        <v>1487</v>
      </c>
      <c r="MSA803" s="193" t="s">
        <v>1487</v>
      </c>
      <c r="MSB803" s="193" t="s">
        <v>1487</v>
      </c>
      <c r="MSC803" s="193" t="s">
        <v>1487</v>
      </c>
      <c r="MSD803" s="193" t="s">
        <v>1487</v>
      </c>
      <c r="MSE803" s="193" t="s">
        <v>1487</v>
      </c>
      <c r="MSF803" s="193" t="s">
        <v>1487</v>
      </c>
      <c r="MSG803" s="193" t="s">
        <v>1487</v>
      </c>
      <c r="MSH803" s="193" t="s">
        <v>1487</v>
      </c>
      <c r="MSI803" s="193" t="s">
        <v>1487</v>
      </c>
      <c r="MSJ803" s="193" t="s">
        <v>1487</v>
      </c>
      <c r="MSK803" s="193" t="s">
        <v>1487</v>
      </c>
      <c r="MSL803" s="193" t="s">
        <v>1487</v>
      </c>
      <c r="MSM803" s="193" t="s">
        <v>1487</v>
      </c>
      <c r="MSN803" s="193" t="s">
        <v>1487</v>
      </c>
      <c r="MSO803" s="193" t="s">
        <v>1487</v>
      </c>
      <c r="MSP803" s="193" t="s">
        <v>1487</v>
      </c>
      <c r="MSQ803" s="193" t="s">
        <v>1487</v>
      </c>
      <c r="MSR803" s="193" t="s">
        <v>1487</v>
      </c>
      <c r="MSS803" s="193" t="s">
        <v>1487</v>
      </c>
      <c r="MST803" s="193" t="s">
        <v>1487</v>
      </c>
      <c r="MSU803" s="193" t="s">
        <v>1487</v>
      </c>
      <c r="MSV803" s="193" t="s">
        <v>1487</v>
      </c>
      <c r="MSW803" s="193" t="s">
        <v>1487</v>
      </c>
      <c r="MSX803" s="193" t="s">
        <v>1487</v>
      </c>
      <c r="MSY803" s="193" t="s">
        <v>1487</v>
      </c>
      <c r="MSZ803" s="193" t="s">
        <v>1487</v>
      </c>
      <c r="MTA803" s="193" t="s">
        <v>1487</v>
      </c>
      <c r="MTB803" s="193" t="s">
        <v>1487</v>
      </c>
      <c r="MTC803" s="193" t="s">
        <v>1487</v>
      </c>
      <c r="MTD803" s="193" t="s">
        <v>1487</v>
      </c>
      <c r="MTE803" s="193" t="s">
        <v>1487</v>
      </c>
      <c r="MTF803" s="193" t="s">
        <v>1487</v>
      </c>
      <c r="MTG803" s="193" t="s">
        <v>1487</v>
      </c>
      <c r="MTH803" s="193" t="s">
        <v>1487</v>
      </c>
      <c r="MTI803" s="193" t="s">
        <v>1487</v>
      </c>
      <c r="MTJ803" s="193" t="s">
        <v>1487</v>
      </c>
      <c r="MTK803" s="193" t="s">
        <v>1487</v>
      </c>
      <c r="MTL803" s="193" t="s">
        <v>1487</v>
      </c>
      <c r="MTM803" s="193" t="s">
        <v>1487</v>
      </c>
      <c r="MTN803" s="193" t="s">
        <v>1487</v>
      </c>
      <c r="MTO803" s="193" t="s">
        <v>1487</v>
      </c>
      <c r="MTP803" s="193" t="s">
        <v>1487</v>
      </c>
      <c r="MTQ803" s="193" t="s">
        <v>1487</v>
      </c>
      <c r="MTR803" s="193" t="s">
        <v>1487</v>
      </c>
      <c r="MTS803" s="193" t="s">
        <v>1487</v>
      </c>
      <c r="MTT803" s="193" t="s">
        <v>1487</v>
      </c>
      <c r="MTU803" s="193" t="s">
        <v>1487</v>
      </c>
      <c r="MTV803" s="193" t="s">
        <v>1487</v>
      </c>
      <c r="MTW803" s="193" t="s">
        <v>1487</v>
      </c>
      <c r="MTX803" s="193" t="s">
        <v>1487</v>
      </c>
      <c r="MTY803" s="193" t="s">
        <v>1487</v>
      </c>
      <c r="MTZ803" s="193" t="s">
        <v>1487</v>
      </c>
      <c r="MUA803" s="193" t="s">
        <v>1487</v>
      </c>
      <c r="MUB803" s="193" t="s">
        <v>1487</v>
      </c>
      <c r="MUC803" s="193" t="s">
        <v>1487</v>
      </c>
      <c r="MUD803" s="193" t="s">
        <v>1487</v>
      </c>
      <c r="MUE803" s="193" t="s">
        <v>1487</v>
      </c>
      <c r="MUF803" s="193" t="s">
        <v>1487</v>
      </c>
      <c r="MUG803" s="193" t="s">
        <v>1487</v>
      </c>
      <c r="MUH803" s="193" t="s">
        <v>1487</v>
      </c>
      <c r="MUI803" s="193" t="s">
        <v>1487</v>
      </c>
      <c r="MUJ803" s="193" t="s">
        <v>1487</v>
      </c>
      <c r="MUK803" s="193" t="s">
        <v>1487</v>
      </c>
      <c r="MUL803" s="193" t="s">
        <v>1487</v>
      </c>
      <c r="MUM803" s="193" t="s">
        <v>1487</v>
      </c>
      <c r="MUN803" s="193" t="s">
        <v>1487</v>
      </c>
      <c r="MUO803" s="193" t="s">
        <v>1487</v>
      </c>
      <c r="MUP803" s="193" t="s">
        <v>1487</v>
      </c>
      <c r="MUQ803" s="193" t="s">
        <v>1487</v>
      </c>
      <c r="MUR803" s="193" t="s">
        <v>1487</v>
      </c>
      <c r="MUS803" s="193" t="s">
        <v>1487</v>
      </c>
      <c r="MUT803" s="193" t="s">
        <v>1487</v>
      </c>
      <c r="MUU803" s="193" t="s">
        <v>1487</v>
      </c>
      <c r="MUV803" s="193" t="s">
        <v>1487</v>
      </c>
      <c r="MUW803" s="193" t="s">
        <v>1487</v>
      </c>
      <c r="MUX803" s="193" t="s">
        <v>1487</v>
      </c>
      <c r="MUY803" s="193" t="s">
        <v>1487</v>
      </c>
      <c r="MUZ803" s="193" t="s">
        <v>1487</v>
      </c>
      <c r="MVA803" s="193" t="s">
        <v>1487</v>
      </c>
      <c r="MVB803" s="193" t="s">
        <v>1487</v>
      </c>
      <c r="MVC803" s="193" t="s">
        <v>1487</v>
      </c>
      <c r="MVD803" s="193" t="s">
        <v>1487</v>
      </c>
      <c r="MVE803" s="193" t="s">
        <v>1487</v>
      </c>
      <c r="MVF803" s="193" t="s">
        <v>1487</v>
      </c>
      <c r="MVG803" s="193" t="s">
        <v>1487</v>
      </c>
      <c r="MVH803" s="193" t="s">
        <v>1487</v>
      </c>
      <c r="MVI803" s="193" t="s">
        <v>1487</v>
      </c>
      <c r="MVJ803" s="193" t="s">
        <v>1487</v>
      </c>
      <c r="MVK803" s="193" t="s">
        <v>1487</v>
      </c>
      <c r="MVL803" s="193" t="s">
        <v>1487</v>
      </c>
      <c r="MVM803" s="193" t="s">
        <v>1487</v>
      </c>
      <c r="MVN803" s="193" t="s">
        <v>1487</v>
      </c>
      <c r="MVO803" s="193" t="s">
        <v>1487</v>
      </c>
      <c r="MVP803" s="193" t="s">
        <v>1487</v>
      </c>
      <c r="MVQ803" s="193" t="s">
        <v>1487</v>
      </c>
      <c r="MVR803" s="193" t="s">
        <v>1487</v>
      </c>
      <c r="MVS803" s="193" t="s">
        <v>1487</v>
      </c>
      <c r="MVT803" s="193" t="s">
        <v>1487</v>
      </c>
      <c r="MVU803" s="193" t="s">
        <v>1487</v>
      </c>
      <c r="MVV803" s="193" t="s">
        <v>1487</v>
      </c>
      <c r="MVW803" s="193" t="s">
        <v>1487</v>
      </c>
      <c r="MVX803" s="193" t="s">
        <v>1487</v>
      </c>
      <c r="MVY803" s="193" t="s">
        <v>1487</v>
      </c>
      <c r="MVZ803" s="193" t="s">
        <v>1487</v>
      </c>
      <c r="MWA803" s="193" t="s">
        <v>1487</v>
      </c>
      <c r="MWB803" s="193" t="s">
        <v>1487</v>
      </c>
      <c r="MWC803" s="193" t="s">
        <v>1487</v>
      </c>
      <c r="MWD803" s="193" t="s">
        <v>1487</v>
      </c>
      <c r="MWE803" s="193" t="s">
        <v>1487</v>
      </c>
      <c r="MWF803" s="193" t="s">
        <v>1487</v>
      </c>
      <c r="MWG803" s="193" t="s">
        <v>1487</v>
      </c>
      <c r="MWH803" s="193" t="s">
        <v>1487</v>
      </c>
      <c r="MWI803" s="193" t="s">
        <v>1487</v>
      </c>
      <c r="MWJ803" s="193" t="s">
        <v>1487</v>
      </c>
      <c r="MWK803" s="193" t="s">
        <v>1487</v>
      </c>
      <c r="MWL803" s="193" t="s">
        <v>1487</v>
      </c>
      <c r="MWM803" s="193" t="s">
        <v>1487</v>
      </c>
      <c r="MWN803" s="193" t="s">
        <v>1487</v>
      </c>
      <c r="MWO803" s="193" t="s">
        <v>1487</v>
      </c>
      <c r="MWP803" s="193" t="s">
        <v>1487</v>
      </c>
      <c r="MWQ803" s="193" t="s">
        <v>1487</v>
      </c>
      <c r="MWR803" s="193" t="s">
        <v>1487</v>
      </c>
      <c r="MWS803" s="193" t="s">
        <v>1487</v>
      </c>
      <c r="MWT803" s="193" t="s">
        <v>1487</v>
      </c>
      <c r="MWU803" s="193" t="s">
        <v>1487</v>
      </c>
      <c r="MWV803" s="193" t="s">
        <v>1487</v>
      </c>
      <c r="MWW803" s="193" t="s">
        <v>1487</v>
      </c>
      <c r="MWX803" s="193" t="s">
        <v>1487</v>
      </c>
      <c r="MWY803" s="193" t="s">
        <v>1487</v>
      </c>
      <c r="MWZ803" s="193" t="s">
        <v>1487</v>
      </c>
      <c r="MXA803" s="193" t="s">
        <v>1487</v>
      </c>
      <c r="MXB803" s="193" t="s">
        <v>1487</v>
      </c>
      <c r="MXC803" s="193" t="s">
        <v>1487</v>
      </c>
      <c r="MXD803" s="193" t="s">
        <v>1487</v>
      </c>
      <c r="MXE803" s="193" t="s">
        <v>1487</v>
      </c>
      <c r="MXF803" s="193" t="s">
        <v>1487</v>
      </c>
      <c r="MXG803" s="193" t="s">
        <v>1487</v>
      </c>
      <c r="MXH803" s="193" t="s">
        <v>1487</v>
      </c>
      <c r="MXI803" s="193" t="s">
        <v>1487</v>
      </c>
      <c r="MXJ803" s="193" t="s">
        <v>1487</v>
      </c>
      <c r="MXK803" s="193" t="s">
        <v>1487</v>
      </c>
      <c r="MXL803" s="193" t="s">
        <v>1487</v>
      </c>
      <c r="MXM803" s="193" t="s">
        <v>1487</v>
      </c>
      <c r="MXN803" s="193" t="s">
        <v>1487</v>
      </c>
      <c r="MXO803" s="193" t="s">
        <v>1487</v>
      </c>
      <c r="MXP803" s="193" t="s">
        <v>1487</v>
      </c>
      <c r="MXQ803" s="193" t="s">
        <v>1487</v>
      </c>
      <c r="MXR803" s="193" t="s">
        <v>1487</v>
      </c>
      <c r="MXS803" s="193" t="s">
        <v>1487</v>
      </c>
      <c r="MXT803" s="193" t="s">
        <v>1487</v>
      </c>
      <c r="MXU803" s="193" t="s">
        <v>1487</v>
      </c>
      <c r="MXV803" s="193" t="s">
        <v>1487</v>
      </c>
      <c r="MXW803" s="193" t="s">
        <v>1487</v>
      </c>
      <c r="MXX803" s="193" t="s">
        <v>1487</v>
      </c>
      <c r="MXY803" s="193" t="s">
        <v>1487</v>
      </c>
      <c r="MXZ803" s="193" t="s">
        <v>1487</v>
      </c>
      <c r="MYA803" s="193" t="s">
        <v>1487</v>
      </c>
      <c r="MYB803" s="193" t="s">
        <v>1487</v>
      </c>
      <c r="MYC803" s="193" t="s">
        <v>1487</v>
      </c>
      <c r="MYD803" s="193" t="s">
        <v>1487</v>
      </c>
      <c r="MYE803" s="193" t="s">
        <v>1487</v>
      </c>
      <c r="MYF803" s="193" t="s">
        <v>1487</v>
      </c>
      <c r="MYG803" s="193" t="s">
        <v>1487</v>
      </c>
      <c r="MYH803" s="193" t="s">
        <v>1487</v>
      </c>
      <c r="MYI803" s="193" t="s">
        <v>1487</v>
      </c>
      <c r="MYJ803" s="193" t="s">
        <v>1487</v>
      </c>
      <c r="MYK803" s="193" t="s">
        <v>1487</v>
      </c>
      <c r="MYL803" s="193" t="s">
        <v>1487</v>
      </c>
      <c r="MYM803" s="193" t="s">
        <v>1487</v>
      </c>
      <c r="MYN803" s="193" t="s">
        <v>1487</v>
      </c>
      <c r="MYO803" s="193" t="s">
        <v>1487</v>
      </c>
      <c r="MYP803" s="193" t="s">
        <v>1487</v>
      </c>
      <c r="MYQ803" s="193" t="s">
        <v>1487</v>
      </c>
      <c r="MYR803" s="193" t="s">
        <v>1487</v>
      </c>
      <c r="MYS803" s="193" t="s">
        <v>1487</v>
      </c>
      <c r="MYT803" s="193" t="s">
        <v>1487</v>
      </c>
      <c r="MYU803" s="193" t="s">
        <v>1487</v>
      </c>
      <c r="MYV803" s="193" t="s">
        <v>1487</v>
      </c>
      <c r="MYW803" s="193" t="s">
        <v>1487</v>
      </c>
      <c r="MYX803" s="193" t="s">
        <v>1487</v>
      </c>
      <c r="MYY803" s="193" t="s">
        <v>1487</v>
      </c>
      <c r="MYZ803" s="193" t="s">
        <v>1487</v>
      </c>
      <c r="MZA803" s="193" t="s">
        <v>1487</v>
      </c>
      <c r="MZB803" s="193" t="s">
        <v>1487</v>
      </c>
      <c r="MZC803" s="193" t="s">
        <v>1487</v>
      </c>
      <c r="MZD803" s="193" t="s">
        <v>1487</v>
      </c>
      <c r="MZE803" s="193" t="s">
        <v>1487</v>
      </c>
      <c r="MZF803" s="193" t="s">
        <v>1487</v>
      </c>
      <c r="MZG803" s="193" t="s">
        <v>1487</v>
      </c>
      <c r="MZH803" s="193" t="s">
        <v>1487</v>
      </c>
      <c r="MZI803" s="193" t="s">
        <v>1487</v>
      </c>
      <c r="MZJ803" s="193" t="s">
        <v>1487</v>
      </c>
      <c r="MZK803" s="193" t="s">
        <v>1487</v>
      </c>
      <c r="MZL803" s="193" t="s">
        <v>1487</v>
      </c>
      <c r="MZM803" s="193" t="s">
        <v>1487</v>
      </c>
      <c r="MZN803" s="193" t="s">
        <v>1487</v>
      </c>
      <c r="MZO803" s="193" t="s">
        <v>1487</v>
      </c>
      <c r="MZP803" s="193" t="s">
        <v>1487</v>
      </c>
      <c r="MZQ803" s="193" t="s">
        <v>1487</v>
      </c>
      <c r="MZR803" s="193" t="s">
        <v>1487</v>
      </c>
      <c r="MZS803" s="193" t="s">
        <v>1487</v>
      </c>
      <c r="MZT803" s="193" t="s">
        <v>1487</v>
      </c>
      <c r="MZU803" s="193" t="s">
        <v>1487</v>
      </c>
      <c r="MZV803" s="193" t="s">
        <v>1487</v>
      </c>
      <c r="MZW803" s="193" t="s">
        <v>1487</v>
      </c>
      <c r="MZX803" s="193" t="s">
        <v>1487</v>
      </c>
      <c r="MZY803" s="193" t="s">
        <v>1487</v>
      </c>
      <c r="MZZ803" s="193" t="s">
        <v>1487</v>
      </c>
      <c r="NAA803" s="193" t="s">
        <v>1487</v>
      </c>
      <c r="NAB803" s="193" t="s">
        <v>1487</v>
      </c>
      <c r="NAC803" s="193" t="s">
        <v>1487</v>
      </c>
      <c r="NAD803" s="193" t="s">
        <v>1487</v>
      </c>
      <c r="NAE803" s="193" t="s">
        <v>1487</v>
      </c>
      <c r="NAF803" s="193" t="s">
        <v>1487</v>
      </c>
      <c r="NAG803" s="193" t="s">
        <v>1487</v>
      </c>
      <c r="NAH803" s="193" t="s">
        <v>1487</v>
      </c>
      <c r="NAI803" s="193" t="s">
        <v>1487</v>
      </c>
      <c r="NAJ803" s="193" t="s">
        <v>1487</v>
      </c>
      <c r="NAK803" s="193" t="s">
        <v>1487</v>
      </c>
      <c r="NAL803" s="193" t="s">
        <v>1487</v>
      </c>
      <c r="NAM803" s="193" t="s">
        <v>1487</v>
      </c>
      <c r="NAN803" s="193" t="s">
        <v>1487</v>
      </c>
      <c r="NAO803" s="193" t="s">
        <v>1487</v>
      </c>
      <c r="NAP803" s="193" t="s">
        <v>1487</v>
      </c>
      <c r="NAQ803" s="193" t="s">
        <v>1487</v>
      </c>
      <c r="NAR803" s="193" t="s">
        <v>1487</v>
      </c>
      <c r="NAS803" s="193" t="s">
        <v>1487</v>
      </c>
      <c r="NAT803" s="193" t="s">
        <v>1487</v>
      </c>
      <c r="NAU803" s="193" t="s">
        <v>1487</v>
      </c>
      <c r="NAV803" s="193" t="s">
        <v>1487</v>
      </c>
      <c r="NAW803" s="193" t="s">
        <v>1487</v>
      </c>
      <c r="NAX803" s="193" t="s">
        <v>1487</v>
      </c>
      <c r="NAY803" s="193" t="s">
        <v>1487</v>
      </c>
      <c r="NAZ803" s="193" t="s">
        <v>1487</v>
      </c>
      <c r="NBA803" s="193" t="s">
        <v>1487</v>
      </c>
      <c r="NBB803" s="193" t="s">
        <v>1487</v>
      </c>
      <c r="NBC803" s="193" t="s">
        <v>1487</v>
      </c>
      <c r="NBD803" s="193" t="s">
        <v>1487</v>
      </c>
      <c r="NBE803" s="193" t="s">
        <v>1487</v>
      </c>
      <c r="NBF803" s="193" t="s">
        <v>1487</v>
      </c>
      <c r="NBG803" s="193" t="s">
        <v>1487</v>
      </c>
      <c r="NBH803" s="193" t="s">
        <v>1487</v>
      </c>
      <c r="NBI803" s="193" t="s">
        <v>1487</v>
      </c>
      <c r="NBJ803" s="193" t="s">
        <v>1487</v>
      </c>
      <c r="NBK803" s="193" t="s">
        <v>1487</v>
      </c>
      <c r="NBL803" s="193" t="s">
        <v>1487</v>
      </c>
      <c r="NBM803" s="193" t="s">
        <v>1487</v>
      </c>
      <c r="NBN803" s="193" t="s">
        <v>1487</v>
      </c>
      <c r="NBO803" s="193" t="s">
        <v>1487</v>
      </c>
      <c r="NBP803" s="193" t="s">
        <v>1487</v>
      </c>
      <c r="NBQ803" s="193" t="s">
        <v>1487</v>
      </c>
      <c r="NBR803" s="193" t="s">
        <v>1487</v>
      </c>
      <c r="NBS803" s="193" t="s">
        <v>1487</v>
      </c>
      <c r="NBT803" s="193" t="s">
        <v>1487</v>
      </c>
      <c r="NBU803" s="193" t="s">
        <v>1487</v>
      </c>
      <c r="NBV803" s="193" t="s">
        <v>1487</v>
      </c>
      <c r="NBW803" s="193" t="s">
        <v>1487</v>
      </c>
      <c r="NBX803" s="193" t="s">
        <v>1487</v>
      </c>
      <c r="NBY803" s="193" t="s">
        <v>1487</v>
      </c>
      <c r="NBZ803" s="193" t="s">
        <v>1487</v>
      </c>
      <c r="NCA803" s="193" t="s">
        <v>1487</v>
      </c>
      <c r="NCB803" s="193" t="s">
        <v>1487</v>
      </c>
      <c r="NCC803" s="193" t="s">
        <v>1487</v>
      </c>
      <c r="NCD803" s="193" t="s">
        <v>1487</v>
      </c>
      <c r="NCE803" s="193" t="s">
        <v>1487</v>
      </c>
      <c r="NCF803" s="193" t="s">
        <v>1487</v>
      </c>
      <c r="NCG803" s="193" t="s">
        <v>1487</v>
      </c>
      <c r="NCH803" s="193" t="s">
        <v>1487</v>
      </c>
      <c r="NCI803" s="193" t="s">
        <v>1487</v>
      </c>
      <c r="NCJ803" s="193" t="s">
        <v>1487</v>
      </c>
      <c r="NCK803" s="193" t="s">
        <v>1487</v>
      </c>
      <c r="NCL803" s="193" t="s">
        <v>1487</v>
      </c>
      <c r="NCM803" s="193" t="s">
        <v>1487</v>
      </c>
      <c r="NCN803" s="193" t="s">
        <v>1487</v>
      </c>
      <c r="NCO803" s="193" t="s">
        <v>1487</v>
      </c>
      <c r="NCP803" s="193" t="s">
        <v>1487</v>
      </c>
      <c r="NCQ803" s="193" t="s">
        <v>1487</v>
      </c>
      <c r="NCR803" s="193" t="s">
        <v>1487</v>
      </c>
      <c r="NCS803" s="193" t="s">
        <v>1487</v>
      </c>
      <c r="NCT803" s="193" t="s">
        <v>1487</v>
      </c>
      <c r="NCU803" s="193" t="s">
        <v>1487</v>
      </c>
      <c r="NCV803" s="193" t="s">
        <v>1487</v>
      </c>
      <c r="NCW803" s="193" t="s">
        <v>1487</v>
      </c>
      <c r="NCX803" s="193" t="s">
        <v>1487</v>
      </c>
      <c r="NCY803" s="193" t="s">
        <v>1487</v>
      </c>
      <c r="NCZ803" s="193" t="s">
        <v>1487</v>
      </c>
      <c r="NDA803" s="193" t="s">
        <v>1487</v>
      </c>
      <c r="NDB803" s="193" t="s">
        <v>1487</v>
      </c>
      <c r="NDC803" s="193" t="s">
        <v>1487</v>
      </c>
      <c r="NDD803" s="193" t="s">
        <v>1487</v>
      </c>
      <c r="NDE803" s="193" t="s">
        <v>1487</v>
      </c>
      <c r="NDF803" s="193" t="s">
        <v>1487</v>
      </c>
      <c r="NDG803" s="193" t="s">
        <v>1487</v>
      </c>
      <c r="NDH803" s="193" t="s">
        <v>1487</v>
      </c>
      <c r="NDI803" s="193" t="s">
        <v>1487</v>
      </c>
      <c r="NDJ803" s="193" t="s">
        <v>1487</v>
      </c>
      <c r="NDK803" s="193" t="s">
        <v>1487</v>
      </c>
      <c r="NDL803" s="193" t="s">
        <v>1487</v>
      </c>
      <c r="NDM803" s="193" t="s">
        <v>1487</v>
      </c>
      <c r="NDN803" s="193" t="s">
        <v>1487</v>
      </c>
      <c r="NDO803" s="193" t="s">
        <v>1487</v>
      </c>
      <c r="NDP803" s="193" t="s">
        <v>1487</v>
      </c>
      <c r="NDQ803" s="193" t="s">
        <v>1487</v>
      </c>
      <c r="NDR803" s="193" t="s">
        <v>1487</v>
      </c>
      <c r="NDS803" s="193" t="s">
        <v>1487</v>
      </c>
      <c r="NDT803" s="193" t="s">
        <v>1487</v>
      </c>
      <c r="NDU803" s="193" t="s">
        <v>1487</v>
      </c>
      <c r="NDV803" s="193" t="s">
        <v>1487</v>
      </c>
      <c r="NDW803" s="193" t="s">
        <v>1487</v>
      </c>
      <c r="NDX803" s="193" t="s">
        <v>1487</v>
      </c>
      <c r="NDY803" s="193" t="s">
        <v>1487</v>
      </c>
      <c r="NDZ803" s="193" t="s">
        <v>1487</v>
      </c>
      <c r="NEA803" s="193" t="s">
        <v>1487</v>
      </c>
      <c r="NEB803" s="193" t="s">
        <v>1487</v>
      </c>
      <c r="NEC803" s="193" t="s">
        <v>1487</v>
      </c>
      <c r="NED803" s="193" t="s">
        <v>1487</v>
      </c>
      <c r="NEE803" s="193" t="s">
        <v>1487</v>
      </c>
      <c r="NEF803" s="193" t="s">
        <v>1487</v>
      </c>
      <c r="NEG803" s="193" t="s">
        <v>1487</v>
      </c>
      <c r="NEH803" s="193" t="s">
        <v>1487</v>
      </c>
      <c r="NEI803" s="193" t="s">
        <v>1487</v>
      </c>
      <c r="NEJ803" s="193" t="s">
        <v>1487</v>
      </c>
      <c r="NEK803" s="193" t="s">
        <v>1487</v>
      </c>
      <c r="NEL803" s="193" t="s">
        <v>1487</v>
      </c>
      <c r="NEM803" s="193" t="s">
        <v>1487</v>
      </c>
      <c r="NEN803" s="193" t="s">
        <v>1487</v>
      </c>
      <c r="NEO803" s="193" t="s">
        <v>1487</v>
      </c>
      <c r="NEP803" s="193" t="s">
        <v>1487</v>
      </c>
      <c r="NEQ803" s="193" t="s">
        <v>1487</v>
      </c>
      <c r="NER803" s="193" t="s">
        <v>1487</v>
      </c>
      <c r="NES803" s="193" t="s">
        <v>1487</v>
      </c>
      <c r="NET803" s="193" t="s">
        <v>1487</v>
      </c>
      <c r="NEU803" s="193" t="s">
        <v>1487</v>
      </c>
      <c r="NEV803" s="193" t="s">
        <v>1487</v>
      </c>
      <c r="NEW803" s="193" t="s">
        <v>1487</v>
      </c>
      <c r="NEX803" s="193" t="s">
        <v>1487</v>
      </c>
      <c r="NEY803" s="193" t="s">
        <v>1487</v>
      </c>
      <c r="NEZ803" s="193" t="s">
        <v>1487</v>
      </c>
      <c r="NFA803" s="193" t="s">
        <v>1487</v>
      </c>
      <c r="NFB803" s="193" t="s">
        <v>1487</v>
      </c>
      <c r="NFC803" s="193" t="s">
        <v>1487</v>
      </c>
      <c r="NFD803" s="193" t="s">
        <v>1487</v>
      </c>
      <c r="NFE803" s="193" t="s">
        <v>1487</v>
      </c>
      <c r="NFF803" s="193" t="s">
        <v>1487</v>
      </c>
      <c r="NFG803" s="193" t="s">
        <v>1487</v>
      </c>
      <c r="NFH803" s="193" t="s">
        <v>1487</v>
      </c>
      <c r="NFI803" s="193" t="s">
        <v>1487</v>
      </c>
      <c r="NFJ803" s="193" t="s">
        <v>1487</v>
      </c>
      <c r="NFK803" s="193" t="s">
        <v>1487</v>
      </c>
      <c r="NFL803" s="193" t="s">
        <v>1487</v>
      </c>
      <c r="NFM803" s="193" t="s">
        <v>1487</v>
      </c>
      <c r="NFN803" s="193" t="s">
        <v>1487</v>
      </c>
      <c r="NFO803" s="193" t="s">
        <v>1487</v>
      </c>
      <c r="NFP803" s="193" t="s">
        <v>1487</v>
      </c>
      <c r="NFQ803" s="193" t="s">
        <v>1487</v>
      </c>
      <c r="NFR803" s="193" t="s">
        <v>1487</v>
      </c>
      <c r="NFS803" s="193" t="s">
        <v>1487</v>
      </c>
      <c r="NFT803" s="193" t="s">
        <v>1487</v>
      </c>
      <c r="NFU803" s="193" t="s">
        <v>1487</v>
      </c>
      <c r="NFV803" s="193" t="s">
        <v>1487</v>
      </c>
      <c r="NFW803" s="193" t="s">
        <v>1487</v>
      </c>
      <c r="NFX803" s="193" t="s">
        <v>1487</v>
      </c>
      <c r="NFY803" s="193" t="s">
        <v>1487</v>
      </c>
      <c r="NFZ803" s="193" t="s">
        <v>1487</v>
      </c>
      <c r="NGA803" s="193" t="s">
        <v>1487</v>
      </c>
      <c r="NGB803" s="193" t="s">
        <v>1487</v>
      </c>
      <c r="NGC803" s="193" t="s">
        <v>1487</v>
      </c>
      <c r="NGD803" s="193" t="s">
        <v>1487</v>
      </c>
      <c r="NGE803" s="193" t="s">
        <v>1487</v>
      </c>
      <c r="NGF803" s="193" t="s">
        <v>1487</v>
      </c>
      <c r="NGG803" s="193" t="s">
        <v>1487</v>
      </c>
      <c r="NGH803" s="193" t="s">
        <v>1487</v>
      </c>
      <c r="NGI803" s="193" t="s">
        <v>1487</v>
      </c>
      <c r="NGJ803" s="193" t="s">
        <v>1487</v>
      </c>
      <c r="NGK803" s="193" t="s">
        <v>1487</v>
      </c>
      <c r="NGL803" s="193" t="s">
        <v>1487</v>
      </c>
      <c r="NGM803" s="193" t="s">
        <v>1487</v>
      </c>
      <c r="NGN803" s="193" t="s">
        <v>1487</v>
      </c>
      <c r="NGO803" s="193" t="s">
        <v>1487</v>
      </c>
      <c r="NGP803" s="193" t="s">
        <v>1487</v>
      </c>
      <c r="NGQ803" s="193" t="s">
        <v>1487</v>
      </c>
      <c r="NGR803" s="193" t="s">
        <v>1487</v>
      </c>
      <c r="NGS803" s="193" t="s">
        <v>1487</v>
      </c>
      <c r="NGT803" s="193" t="s">
        <v>1487</v>
      </c>
      <c r="NGU803" s="193" t="s">
        <v>1487</v>
      </c>
      <c r="NGV803" s="193" t="s">
        <v>1487</v>
      </c>
      <c r="NGW803" s="193" t="s">
        <v>1487</v>
      </c>
      <c r="NGX803" s="193" t="s">
        <v>1487</v>
      </c>
      <c r="NGY803" s="193" t="s">
        <v>1487</v>
      </c>
      <c r="NGZ803" s="193" t="s">
        <v>1487</v>
      </c>
      <c r="NHA803" s="193" t="s">
        <v>1487</v>
      </c>
      <c r="NHB803" s="193" t="s">
        <v>1487</v>
      </c>
      <c r="NHC803" s="193" t="s">
        <v>1487</v>
      </c>
      <c r="NHD803" s="193" t="s">
        <v>1487</v>
      </c>
      <c r="NHE803" s="193" t="s">
        <v>1487</v>
      </c>
      <c r="NHF803" s="193" t="s">
        <v>1487</v>
      </c>
      <c r="NHG803" s="193" t="s">
        <v>1487</v>
      </c>
      <c r="NHH803" s="193" t="s">
        <v>1487</v>
      </c>
      <c r="NHI803" s="193" t="s">
        <v>1487</v>
      </c>
      <c r="NHJ803" s="193" t="s">
        <v>1487</v>
      </c>
      <c r="NHK803" s="193" t="s">
        <v>1487</v>
      </c>
      <c r="NHL803" s="193" t="s">
        <v>1487</v>
      </c>
      <c r="NHM803" s="193" t="s">
        <v>1487</v>
      </c>
      <c r="NHN803" s="193" t="s">
        <v>1487</v>
      </c>
      <c r="NHO803" s="193" t="s">
        <v>1487</v>
      </c>
      <c r="NHP803" s="193" t="s">
        <v>1487</v>
      </c>
      <c r="NHQ803" s="193" t="s">
        <v>1487</v>
      </c>
      <c r="NHR803" s="193" t="s">
        <v>1487</v>
      </c>
      <c r="NHS803" s="193" t="s">
        <v>1487</v>
      </c>
      <c r="NHT803" s="193" t="s">
        <v>1487</v>
      </c>
      <c r="NHU803" s="193" t="s">
        <v>1487</v>
      </c>
      <c r="NHV803" s="193" t="s">
        <v>1487</v>
      </c>
      <c r="NHW803" s="193" t="s">
        <v>1487</v>
      </c>
      <c r="NHX803" s="193" t="s">
        <v>1487</v>
      </c>
      <c r="NHY803" s="193" t="s">
        <v>1487</v>
      </c>
      <c r="NHZ803" s="193" t="s">
        <v>1487</v>
      </c>
      <c r="NIA803" s="193" t="s">
        <v>1487</v>
      </c>
      <c r="NIB803" s="193" t="s">
        <v>1487</v>
      </c>
      <c r="NIC803" s="193" t="s">
        <v>1487</v>
      </c>
      <c r="NID803" s="193" t="s">
        <v>1487</v>
      </c>
      <c r="NIE803" s="193" t="s">
        <v>1487</v>
      </c>
      <c r="NIF803" s="193" t="s">
        <v>1487</v>
      </c>
      <c r="NIG803" s="193" t="s">
        <v>1487</v>
      </c>
      <c r="NIH803" s="193" t="s">
        <v>1487</v>
      </c>
      <c r="NII803" s="193" t="s">
        <v>1487</v>
      </c>
      <c r="NIJ803" s="193" t="s">
        <v>1487</v>
      </c>
      <c r="NIK803" s="193" t="s">
        <v>1487</v>
      </c>
      <c r="NIL803" s="193" t="s">
        <v>1487</v>
      </c>
      <c r="NIM803" s="193" t="s">
        <v>1487</v>
      </c>
      <c r="NIN803" s="193" t="s">
        <v>1487</v>
      </c>
      <c r="NIO803" s="193" t="s">
        <v>1487</v>
      </c>
      <c r="NIP803" s="193" t="s">
        <v>1487</v>
      </c>
      <c r="NIQ803" s="193" t="s">
        <v>1487</v>
      </c>
      <c r="NIR803" s="193" t="s">
        <v>1487</v>
      </c>
      <c r="NIS803" s="193" t="s">
        <v>1487</v>
      </c>
      <c r="NIT803" s="193" t="s">
        <v>1487</v>
      </c>
      <c r="NIU803" s="193" t="s">
        <v>1487</v>
      </c>
      <c r="NIV803" s="193" t="s">
        <v>1487</v>
      </c>
      <c r="NIW803" s="193" t="s">
        <v>1487</v>
      </c>
      <c r="NIX803" s="193" t="s">
        <v>1487</v>
      </c>
      <c r="NIY803" s="193" t="s">
        <v>1487</v>
      </c>
      <c r="NIZ803" s="193" t="s">
        <v>1487</v>
      </c>
      <c r="NJA803" s="193" t="s">
        <v>1487</v>
      </c>
      <c r="NJB803" s="193" t="s">
        <v>1487</v>
      </c>
      <c r="NJC803" s="193" t="s">
        <v>1487</v>
      </c>
      <c r="NJD803" s="193" t="s">
        <v>1487</v>
      </c>
      <c r="NJE803" s="193" t="s">
        <v>1487</v>
      </c>
      <c r="NJF803" s="193" t="s">
        <v>1487</v>
      </c>
      <c r="NJG803" s="193" t="s">
        <v>1487</v>
      </c>
      <c r="NJH803" s="193" t="s">
        <v>1487</v>
      </c>
      <c r="NJI803" s="193" t="s">
        <v>1487</v>
      </c>
      <c r="NJJ803" s="193" t="s">
        <v>1487</v>
      </c>
      <c r="NJK803" s="193" t="s">
        <v>1487</v>
      </c>
      <c r="NJL803" s="193" t="s">
        <v>1487</v>
      </c>
      <c r="NJM803" s="193" t="s">
        <v>1487</v>
      </c>
      <c r="NJN803" s="193" t="s">
        <v>1487</v>
      </c>
      <c r="NJO803" s="193" t="s">
        <v>1487</v>
      </c>
      <c r="NJP803" s="193" t="s">
        <v>1487</v>
      </c>
      <c r="NJQ803" s="193" t="s">
        <v>1487</v>
      </c>
      <c r="NJR803" s="193" t="s">
        <v>1487</v>
      </c>
      <c r="NJS803" s="193" t="s">
        <v>1487</v>
      </c>
      <c r="NJT803" s="193" t="s">
        <v>1487</v>
      </c>
      <c r="NJU803" s="193" t="s">
        <v>1487</v>
      </c>
      <c r="NJV803" s="193" t="s">
        <v>1487</v>
      </c>
      <c r="NJW803" s="193" t="s">
        <v>1487</v>
      </c>
      <c r="NJX803" s="193" t="s">
        <v>1487</v>
      </c>
      <c r="NJY803" s="193" t="s">
        <v>1487</v>
      </c>
      <c r="NJZ803" s="193" t="s">
        <v>1487</v>
      </c>
      <c r="NKA803" s="193" t="s">
        <v>1487</v>
      </c>
      <c r="NKB803" s="193" t="s">
        <v>1487</v>
      </c>
      <c r="NKC803" s="193" t="s">
        <v>1487</v>
      </c>
      <c r="NKD803" s="193" t="s">
        <v>1487</v>
      </c>
      <c r="NKE803" s="193" t="s">
        <v>1487</v>
      </c>
      <c r="NKF803" s="193" t="s">
        <v>1487</v>
      </c>
      <c r="NKG803" s="193" t="s">
        <v>1487</v>
      </c>
      <c r="NKH803" s="193" t="s">
        <v>1487</v>
      </c>
      <c r="NKI803" s="193" t="s">
        <v>1487</v>
      </c>
      <c r="NKJ803" s="193" t="s">
        <v>1487</v>
      </c>
      <c r="NKK803" s="193" t="s">
        <v>1487</v>
      </c>
      <c r="NKL803" s="193" t="s">
        <v>1487</v>
      </c>
      <c r="NKM803" s="193" t="s">
        <v>1487</v>
      </c>
      <c r="NKN803" s="193" t="s">
        <v>1487</v>
      </c>
      <c r="NKO803" s="193" t="s">
        <v>1487</v>
      </c>
      <c r="NKP803" s="193" t="s">
        <v>1487</v>
      </c>
      <c r="NKQ803" s="193" t="s">
        <v>1487</v>
      </c>
      <c r="NKR803" s="193" t="s">
        <v>1487</v>
      </c>
      <c r="NKS803" s="193" t="s">
        <v>1487</v>
      </c>
      <c r="NKT803" s="193" t="s">
        <v>1487</v>
      </c>
      <c r="NKU803" s="193" t="s">
        <v>1487</v>
      </c>
      <c r="NKV803" s="193" t="s">
        <v>1487</v>
      </c>
      <c r="NKW803" s="193" t="s">
        <v>1487</v>
      </c>
      <c r="NKX803" s="193" t="s">
        <v>1487</v>
      </c>
      <c r="NKY803" s="193" t="s">
        <v>1487</v>
      </c>
      <c r="NKZ803" s="193" t="s">
        <v>1487</v>
      </c>
      <c r="NLA803" s="193" t="s">
        <v>1487</v>
      </c>
      <c r="NLB803" s="193" t="s">
        <v>1487</v>
      </c>
      <c r="NLC803" s="193" t="s">
        <v>1487</v>
      </c>
      <c r="NLD803" s="193" t="s">
        <v>1487</v>
      </c>
      <c r="NLE803" s="193" t="s">
        <v>1487</v>
      </c>
      <c r="NLF803" s="193" t="s">
        <v>1487</v>
      </c>
      <c r="NLG803" s="193" t="s">
        <v>1487</v>
      </c>
      <c r="NLH803" s="193" t="s">
        <v>1487</v>
      </c>
      <c r="NLI803" s="193" t="s">
        <v>1487</v>
      </c>
      <c r="NLJ803" s="193" t="s">
        <v>1487</v>
      </c>
      <c r="NLK803" s="193" t="s">
        <v>1487</v>
      </c>
      <c r="NLL803" s="193" t="s">
        <v>1487</v>
      </c>
      <c r="NLM803" s="193" t="s">
        <v>1487</v>
      </c>
      <c r="NLN803" s="193" t="s">
        <v>1487</v>
      </c>
      <c r="NLO803" s="193" t="s">
        <v>1487</v>
      </c>
      <c r="NLP803" s="193" t="s">
        <v>1487</v>
      </c>
      <c r="NLQ803" s="193" t="s">
        <v>1487</v>
      </c>
      <c r="NLR803" s="193" t="s">
        <v>1487</v>
      </c>
      <c r="NLS803" s="193" t="s">
        <v>1487</v>
      </c>
      <c r="NLT803" s="193" t="s">
        <v>1487</v>
      </c>
      <c r="NLU803" s="193" t="s">
        <v>1487</v>
      </c>
      <c r="NLV803" s="193" t="s">
        <v>1487</v>
      </c>
      <c r="NLW803" s="193" t="s">
        <v>1487</v>
      </c>
      <c r="NLX803" s="193" t="s">
        <v>1487</v>
      </c>
      <c r="NLY803" s="193" t="s">
        <v>1487</v>
      </c>
      <c r="NLZ803" s="193" t="s">
        <v>1487</v>
      </c>
      <c r="NMA803" s="193" t="s">
        <v>1487</v>
      </c>
      <c r="NMB803" s="193" t="s">
        <v>1487</v>
      </c>
      <c r="NMC803" s="193" t="s">
        <v>1487</v>
      </c>
      <c r="NMD803" s="193" t="s">
        <v>1487</v>
      </c>
      <c r="NME803" s="193" t="s">
        <v>1487</v>
      </c>
      <c r="NMF803" s="193" t="s">
        <v>1487</v>
      </c>
      <c r="NMG803" s="193" t="s">
        <v>1487</v>
      </c>
      <c r="NMH803" s="193" t="s">
        <v>1487</v>
      </c>
      <c r="NMI803" s="193" t="s">
        <v>1487</v>
      </c>
      <c r="NMJ803" s="193" t="s">
        <v>1487</v>
      </c>
      <c r="NMK803" s="193" t="s">
        <v>1487</v>
      </c>
      <c r="NML803" s="193" t="s">
        <v>1487</v>
      </c>
      <c r="NMM803" s="193" t="s">
        <v>1487</v>
      </c>
      <c r="NMN803" s="193" t="s">
        <v>1487</v>
      </c>
      <c r="NMO803" s="193" t="s">
        <v>1487</v>
      </c>
      <c r="NMP803" s="193" t="s">
        <v>1487</v>
      </c>
      <c r="NMQ803" s="193" t="s">
        <v>1487</v>
      </c>
      <c r="NMR803" s="193" t="s">
        <v>1487</v>
      </c>
      <c r="NMS803" s="193" t="s">
        <v>1487</v>
      </c>
      <c r="NMT803" s="193" t="s">
        <v>1487</v>
      </c>
      <c r="NMU803" s="193" t="s">
        <v>1487</v>
      </c>
      <c r="NMV803" s="193" t="s">
        <v>1487</v>
      </c>
      <c r="NMW803" s="193" t="s">
        <v>1487</v>
      </c>
      <c r="NMX803" s="193" t="s">
        <v>1487</v>
      </c>
      <c r="NMY803" s="193" t="s">
        <v>1487</v>
      </c>
      <c r="NMZ803" s="193" t="s">
        <v>1487</v>
      </c>
      <c r="NNA803" s="193" t="s">
        <v>1487</v>
      </c>
      <c r="NNB803" s="193" t="s">
        <v>1487</v>
      </c>
      <c r="NNC803" s="193" t="s">
        <v>1487</v>
      </c>
      <c r="NND803" s="193" t="s">
        <v>1487</v>
      </c>
      <c r="NNE803" s="193" t="s">
        <v>1487</v>
      </c>
      <c r="NNF803" s="193" t="s">
        <v>1487</v>
      </c>
      <c r="NNG803" s="193" t="s">
        <v>1487</v>
      </c>
      <c r="NNH803" s="193" t="s">
        <v>1487</v>
      </c>
      <c r="NNI803" s="193" t="s">
        <v>1487</v>
      </c>
      <c r="NNJ803" s="193" t="s">
        <v>1487</v>
      </c>
      <c r="NNK803" s="193" t="s">
        <v>1487</v>
      </c>
      <c r="NNL803" s="193" t="s">
        <v>1487</v>
      </c>
      <c r="NNM803" s="193" t="s">
        <v>1487</v>
      </c>
      <c r="NNN803" s="193" t="s">
        <v>1487</v>
      </c>
      <c r="NNO803" s="193" t="s">
        <v>1487</v>
      </c>
      <c r="NNP803" s="193" t="s">
        <v>1487</v>
      </c>
      <c r="NNQ803" s="193" t="s">
        <v>1487</v>
      </c>
      <c r="NNR803" s="193" t="s">
        <v>1487</v>
      </c>
      <c r="NNS803" s="193" t="s">
        <v>1487</v>
      </c>
      <c r="NNT803" s="193" t="s">
        <v>1487</v>
      </c>
      <c r="NNU803" s="193" t="s">
        <v>1487</v>
      </c>
      <c r="NNV803" s="193" t="s">
        <v>1487</v>
      </c>
      <c r="NNW803" s="193" t="s">
        <v>1487</v>
      </c>
      <c r="NNX803" s="193" t="s">
        <v>1487</v>
      </c>
      <c r="NNY803" s="193" t="s">
        <v>1487</v>
      </c>
      <c r="NNZ803" s="193" t="s">
        <v>1487</v>
      </c>
      <c r="NOA803" s="193" t="s">
        <v>1487</v>
      </c>
      <c r="NOB803" s="193" t="s">
        <v>1487</v>
      </c>
      <c r="NOC803" s="193" t="s">
        <v>1487</v>
      </c>
      <c r="NOD803" s="193" t="s">
        <v>1487</v>
      </c>
      <c r="NOE803" s="193" t="s">
        <v>1487</v>
      </c>
      <c r="NOF803" s="193" t="s">
        <v>1487</v>
      </c>
      <c r="NOG803" s="193" t="s">
        <v>1487</v>
      </c>
      <c r="NOH803" s="193" t="s">
        <v>1487</v>
      </c>
      <c r="NOI803" s="193" t="s">
        <v>1487</v>
      </c>
      <c r="NOJ803" s="193" t="s">
        <v>1487</v>
      </c>
      <c r="NOK803" s="193" t="s">
        <v>1487</v>
      </c>
      <c r="NOL803" s="193" t="s">
        <v>1487</v>
      </c>
      <c r="NOM803" s="193" t="s">
        <v>1487</v>
      </c>
      <c r="NON803" s="193" t="s">
        <v>1487</v>
      </c>
      <c r="NOO803" s="193" t="s">
        <v>1487</v>
      </c>
      <c r="NOP803" s="193" t="s">
        <v>1487</v>
      </c>
      <c r="NOQ803" s="193" t="s">
        <v>1487</v>
      </c>
      <c r="NOR803" s="193" t="s">
        <v>1487</v>
      </c>
      <c r="NOS803" s="193" t="s">
        <v>1487</v>
      </c>
      <c r="NOT803" s="193" t="s">
        <v>1487</v>
      </c>
      <c r="NOU803" s="193" t="s">
        <v>1487</v>
      </c>
      <c r="NOV803" s="193" t="s">
        <v>1487</v>
      </c>
      <c r="NOW803" s="193" t="s">
        <v>1487</v>
      </c>
      <c r="NOX803" s="193" t="s">
        <v>1487</v>
      </c>
      <c r="NOY803" s="193" t="s">
        <v>1487</v>
      </c>
      <c r="NOZ803" s="193" t="s">
        <v>1487</v>
      </c>
      <c r="NPA803" s="193" t="s">
        <v>1487</v>
      </c>
      <c r="NPB803" s="193" t="s">
        <v>1487</v>
      </c>
      <c r="NPC803" s="193" t="s">
        <v>1487</v>
      </c>
      <c r="NPD803" s="193" t="s">
        <v>1487</v>
      </c>
      <c r="NPE803" s="193" t="s">
        <v>1487</v>
      </c>
      <c r="NPF803" s="193" t="s">
        <v>1487</v>
      </c>
      <c r="NPG803" s="193" t="s">
        <v>1487</v>
      </c>
      <c r="NPH803" s="193" t="s">
        <v>1487</v>
      </c>
      <c r="NPI803" s="193" t="s">
        <v>1487</v>
      </c>
      <c r="NPJ803" s="193" t="s">
        <v>1487</v>
      </c>
      <c r="NPK803" s="193" t="s">
        <v>1487</v>
      </c>
      <c r="NPL803" s="193" t="s">
        <v>1487</v>
      </c>
      <c r="NPM803" s="193" t="s">
        <v>1487</v>
      </c>
      <c r="NPN803" s="193" t="s">
        <v>1487</v>
      </c>
      <c r="NPO803" s="193" t="s">
        <v>1487</v>
      </c>
      <c r="NPP803" s="193" t="s">
        <v>1487</v>
      </c>
      <c r="NPQ803" s="193" t="s">
        <v>1487</v>
      </c>
      <c r="NPR803" s="193" t="s">
        <v>1487</v>
      </c>
      <c r="NPS803" s="193" t="s">
        <v>1487</v>
      </c>
      <c r="NPT803" s="193" t="s">
        <v>1487</v>
      </c>
      <c r="NPU803" s="193" t="s">
        <v>1487</v>
      </c>
      <c r="NPV803" s="193" t="s">
        <v>1487</v>
      </c>
      <c r="NPW803" s="193" t="s">
        <v>1487</v>
      </c>
      <c r="NPX803" s="193" t="s">
        <v>1487</v>
      </c>
      <c r="NPY803" s="193" t="s">
        <v>1487</v>
      </c>
      <c r="NPZ803" s="193" t="s">
        <v>1487</v>
      </c>
      <c r="NQA803" s="193" t="s">
        <v>1487</v>
      </c>
      <c r="NQB803" s="193" t="s">
        <v>1487</v>
      </c>
      <c r="NQC803" s="193" t="s">
        <v>1487</v>
      </c>
      <c r="NQD803" s="193" t="s">
        <v>1487</v>
      </c>
      <c r="NQE803" s="193" t="s">
        <v>1487</v>
      </c>
      <c r="NQF803" s="193" t="s">
        <v>1487</v>
      </c>
      <c r="NQG803" s="193" t="s">
        <v>1487</v>
      </c>
      <c r="NQH803" s="193" t="s">
        <v>1487</v>
      </c>
      <c r="NQI803" s="193" t="s">
        <v>1487</v>
      </c>
      <c r="NQJ803" s="193" t="s">
        <v>1487</v>
      </c>
      <c r="NQK803" s="193" t="s">
        <v>1487</v>
      </c>
      <c r="NQL803" s="193" t="s">
        <v>1487</v>
      </c>
      <c r="NQM803" s="193" t="s">
        <v>1487</v>
      </c>
      <c r="NQN803" s="193" t="s">
        <v>1487</v>
      </c>
      <c r="NQO803" s="193" t="s">
        <v>1487</v>
      </c>
      <c r="NQP803" s="193" t="s">
        <v>1487</v>
      </c>
      <c r="NQQ803" s="193" t="s">
        <v>1487</v>
      </c>
      <c r="NQR803" s="193" t="s">
        <v>1487</v>
      </c>
      <c r="NQS803" s="193" t="s">
        <v>1487</v>
      </c>
      <c r="NQT803" s="193" t="s">
        <v>1487</v>
      </c>
      <c r="NQU803" s="193" t="s">
        <v>1487</v>
      </c>
      <c r="NQV803" s="193" t="s">
        <v>1487</v>
      </c>
      <c r="NQW803" s="193" t="s">
        <v>1487</v>
      </c>
      <c r="NQX803" s="193" t="s">
        <v>1487</v>
      </c>
      <c r="NQY803" s="193" t="s">
        <v>1487</v>
      </c>
      <c r="NQZ803" s="193" t="s">
        <v>1487</v>
      </c>
      <c r="NRA803" s="193" t="s">
        <v>1487</v>
      </c>
      <c r="NRB803" s="193" t="s">
        <v>1487</v>
      </c>
      <c r="NRC803" s="193" t="s">
        <v>1487</v>
      </c>
      <c r="NRD803" s="193" t="s">
        <v>1487</v>
      </c>
      <c r="NRE803" s="193" t="s">
        <v>1487</v>
      </c>
      <c r="NRF803" s="193" t="s">
        <v>1487</v>
      </c>
      <c r="NRG803" s="193" t="s">
        <v>1487</v>
      </c>
      <c r="NRH803" s="193" t="s">
        <v>1487</v>
      </c>
      <c r="NRI803" s="193" t="s">
        <v>1487</v>
      </c>
      <c r="NRJ803" s="193" t="s">
        <v>1487</v>
      </c>
      <c r="NRK803" s="193" t="s">
        <v>1487</v>
      </c>
      <c r="NRL803" s="193" t="s">
        <v>1487</v>
      </c>
      <c r="NRM803" s="193" t="s">
        <v>1487</v>
      </c>
      <c r="NRN803" s="193" t="s">
        <v>1487</v>
      </c>
      <c r="NRO803" s="193" t="s">
        <v>1487</v>
      </c>
      <c r="NRP803" s="193" t="s">
        <v>1487</v>
      </c>
      <c r="NRQ803" s="193" t="s">
        <v>1487</v>
      </c>
      <c r="NRR803" s="193" t="s">
        <v>1487</v>
      </c>
      <c r="NRS803" s="193" t="s">
        <v>1487</v>
      </c>
      <c r="NRT803" s="193" t="s">
        <v>1487</v>
      </c>
      <c r="NRU803" s="193" t="s">
        <v>1487</v>
      </c>
      <c r="NRV803" s="193" t="s">
        <v>1487</v>
      </c>
      <c r="NRW803" s="193" t="s">
        <v>1487</v>
      </c>
      <c r="NRX803" s="193" t="s">
        <v>1487</v>
      </c>
      <c r="NRY803" s="193" t="s">
        <v>1487</v>
      </c>
      <c r="NRZ803" s="193" t="s">
        <v>1487</v>
      </c>
      <c r="NSA803" s="193" t="s">
        <v>1487</v>
      </c>
      <c r="NSB803" s="193" t="s">
        <v>1487</v>
      </c>
      <c r="NSC803" s="193" t="s">
        <v>1487</v>
      </c>
      <c r="NSD803" s="193" t="s">
        <v>1487</v>
      </c>
      <c r="NSE803" s="193" t="s">
        <v>1487</v>
      </c>
      <c r="NSF803" s="193" t="s">
        <v>1487</v>
      </c>
      <c r="NSG803" s="193" t="s">
        <v>1487</v>
      </c>
      <c r="NSH803" s="193" t="s">
        <v>1487</v>
      </c>
      <c r="NSI803" s="193" t="s">
        <v>1487</v>
      </c>
      <c r="NSJ803" s="193" t="s">
        <v>1487</v>
      </c>
      <c r="NSK803" s="193" t="s">
        <v>1487</v>
      </c>
      <c r="NSL803" s="193" t="s">
        <v>1487</v>
      </c>
      <c r="NSM803" s="193" t="s">
        <v>1487</v>
      </c>
      <c r="NSN803" s="193" t="s">
        <v>1487</v>
      </c>
      <c r="NSO803" s="193" t="s">
        <v>1487</v>
      </c>
      <c r="NSP803" s="193" t="s">
        <v>1487</v>
      </c>
      <c r="NSQ803" s="193" t="s">
        <v>1487</v>
      </c>
      <c r="NSR803" s="193" t="s">
        <v>1487</v>
      </c>
      <c r="NSS803" s="193" t="s">
        <v>1487</v>
      </c>
      <c r="NST803" s="193" t="s">
        <v>1487</v>
      </c>
      <c r="NSU803" s="193" t="s">
        <v>1487</v>
      </c>
      <c r="NSV803" s="193" t="s">
        <v>1487</v>
      </c>
      <c r="NSW803" s="193" t="s">
        <v>1487</v>
      </c>
      <c r="NSX803" s="193" t="s">
        <v>1487</v>
      </c>
      <c r="NSY803" s="193" t="s">
        <v>1487</v>
      </c>
      <c r="NSZ803" s="193" t="s">
        <v>1487</v>
      </c>
      <c r="NTA803" s="193" t="s">
        <v>1487</v>
      </c>
      <c r="NTB803" s="193" t="s">
        <v>1487</v>
      </c>
      <c r="NTC803" s="193" t="s">
        <v>1487</v>
      </c>
      <c r="NTD803" s="193" t="s">
        <v>1487</v>
      </c>
      <c r="NTE803" s="193" t="s">
        <v>1487</v>
      </c>
      <c r="NTF803" s="193" t="s">
        <v>1487</v>
      </c>
      <c r="NTG803" s="193" t="s">
        <v>1487</v>
      </c>
      <c r="NTH803" s="193" t="s">
        <v>1487</v>
      </c>
      <c r="NTI803" s="193" t="s">
        <v>1487</v>
      </c>
      <c r="NTJ803" s="193" t="s">
        <v>1487</v>
      </c>
      <c r="NTK803" s="193" t="s">
        <v>1487</v>
      </c>
      <c r="NTL803" s="193" t="s">
        <v>1487</v>
      </c>
      <c r="NTM803" s="193" t="s">
        <v>1487</v>
      </c>
      <c r="NTN803" s="193" t="s">
        <v>1487</v>
      </c>
      <c r="NTO803" s="193" t="s">
        <v>1487</v>
      </c>
      <c r="NTP803" s="193" t="s">
        <v>1487</v>
      </c>
      <c r="NTQ803" s="193" t="s">
        <v>1487</v>
      </c>
      <c r="NTR803" s="193" t="s">
        <v>1487</v>
      </c>
      <c r="NTS803" s="193" t="s">
        <v>1487</v>
      </c>
      <c r="NTT803" s="193" t="s">
        <v>1487</v>
      </c>
      <c r="NTU803" s="193" t="s">
        <v>1487</v>
      </c>
      <c r="NTV803" s="193" t="s">
        <v>1487</v>
      </c>
      <c r="NTW803" s="193" t="s">
        <v>1487</v>
      </c>
      <c r="NTX803" s="193" t="s">
        <v>1487</v>
      </c>
      <c r="NTY803" s="193" t="s">
        <v>1487</v>
      </c>
      <c r="NTZ803" s="193" t="s">
        <v>1487</v>
      </c>
      <c r="NUA803" s="193" t="s">
        <v>1487</v>
      </c>
      <c r="NUB803" s="193" t="s">
        <v>1487</v>
      </c>
      <c r="NUC803" s="193" t="s">
        <v>1487</v>
      </c>
      <c r="NUD803" s="193" t="s">
        <v>1487</v>
      </c>
      <c r="NUE803" s="193" t="s">
        <v>1487</v>
      </c>
      <c r="NUF803" s="193" t="s">
        <v>1487</v>
      </c>
      <c r="NUG803" s="193" t="s">
        <v>1487</v>
      </c>
      <c r="NUH803" s="193" t="s">
        <v>1487</v>
      </c>
      <c r="NUI803" s="193" t="s">
        <v>1487</v>
      </c>
      <c r="NUJ803" s="193" t="s">
        <v>1487</v>
      </c>
      <c r="NUK803" s="193" t="s">
        <v>1487</v>
      </c>
      <c r="NUL803" s="193" t="s">
        <v>1487</v>
      </c>
      <c r="NUM803" s="193" t="s">
        <v>1487</v>
      </c>
      <c r="NUN803" s="193" t="s">
        <v>1487</v>
      </c>
      <c r="NUO803" s="193" t="s">
        <v>1487</v>
      </c>
      <c r="NUP803" s="193" t="s">
        <v>1487</v>
      </c>
      <c r="NUQ803" s="193" t="s">
        <v>1487</v>
      </c>
      <c r="NUR803" s="193" t="s">
        <v>1487</v>
      </c>
      <c r="NUS803" s="193" t="s">
        <v>1487</v>
      </c>
      <c r="NUT803" s="193" t="s">
        <v>1487</v>
      </c>
      <c r="NUU803" s="193" t="s">
        <v>1487</v>
      </c>
      <c r="NUV803" s="193" t="s">
        <v>1487</v>
      </c>
      <c r="NUW803" s="193" t="s">
        <v>1487</v>
      </c>
      <c r="NUX803" s="193" t="s">
        <v>1487</v>
      </c>
      <c r="NUY803" s="193" t="s">
        <v>1487</v>
      </c>
      <c r="NUZ803" s="193" t="s">
        <v>1487</v>
      </c>
      <c r="NVA803" s="193" t="s">
        <v>1487</v>
      </c>
      <c r="NVB803" s="193" t="s">
        <v>1487</v>
      </c>
      <c r="NVC803" s="193" t="s">
        <v>1487</v>
      </c>
      <c r="NVD803" s="193" t="s">
        <v>1487</v>
      </c>
      <c r="NVE803" s="193" t="s">
        <v>1487</v>
      </c>
      <c r="NVF803" s="193" t="s">
        <v>1487</v>
      </c>
      <c r="NVG803" s="193" t="s">
        <v>1487</v>
      </c>
      <c r="NVH803" s="193" t="s">
        <v>1487</v>
      </c>
      <c r="NVI803" s="193" t="s">
        <v>1487</v>
      </c>
      <c r="NVJ803" s="193" t="s">
        <v>1487</v>
      </c>
      <c r="NVK803" s="193" t="s">
        <v>1487</v>
      </c>
      <c r="NVL803" s="193" t="s">
        <v>1487</v>
      </c>
      <c r="NVM803" s="193" t="s">
        <v>1487</v>
      </c>
      <c r="NVN803" s="193" t="s">
        <v>1487</v>
      </c>
      <c r="NVO803" s="193" t="s">
        <v>1487</v>
      </c>
      <c r="NVP803" s="193" t="s">
        <v>1487</v>
      </c>
      <c r="NVQ803" s="193" t="s">
        <v>1487</v>
      </c>
      <c r="NVR803" s="193" t="s">
        <v>1487</v>
      </c>
      <c r="NVS803" s="193" t="s">
        <v>1487</v>
      </c>
      <c r="NVT803" s="193" t="s">
        <v>1487</v>
      </c>
      <c r="NVU803" s="193" t="s">
        <v>1487</v>
      </c>
      <c r="NVV803" s="193" t="s">
        <v>1487</v>
      </c>
      <c r="NVW803" s="193" t="s">
        <v>1487</v>
      </c>
      <c r="NVX803" s="193" t="s">
        <v>1487</v>
      </c>
      <c r="NVY803" s="193" t="s">
        <v>1487</v>
      </c>
      <c r="NVZ803" s="193" t="s">
        <v>1487</v>
      </c>
      <c r="NWA803" s="193" t="s">
        <v>1487</v>
      </c>
      <c r="NWB803" s="193" t="s">
        <v>1487</v>
      </c>
      <c r="NWC803" s="193" t="s">
        <v>1487</v>
      </c>
      <c r="NWD803" s="193" t="s">
        <v>1487</v>
      </c>
      <c r="NWE803" s="193" t="s">
        <v>1487</v>
      </c>
      <c r="NWF803" s="193" t="s">
        <v>1487</v>
      </c>
      <c r="NWG803" s="193" t="s">
        <v>1487</v>
      </c>
      <c r="NWH803" s="193" t="s">
        <v>1487</v>
      </c>
      <c r="NWI803" s="193" t="s">
        <v>1487</v>
      </c>
      <c r="NWJ803" s="193" t="s">
        <v>1487</v>
      </c>
      <c r="NWK803" s="193" t="s">
        <v>1487</v>
      </c>
      <c r="NWL803" s="193" t="s">
        <v>1487</v>
      </c>
      <c r="NWM803" s="193" t="s">
        <v>1487</v>
      </c>
      <c r="NWN803" s="193" t="s">
        <v>1487</v>
      </c>
      <c r="NWO803" s="193" t="s">
        <v>1487</v>
      </c>
      <c r="NWP803" s="193" t="s">
        <v>1487</v>
      </c>
      <c r="NWQ803" s="193" t="s">
        <v>1487</v>
      </c>
      <c r="NWR803" s="193" t="s">
        <v>1487</v>
      </c>
      <c r="NWS803" s="193" t="s">
        <v>1487</v>
      </c>
      <c r="NWT803" s="193" t="s">
        <v>1487</v>
      </c>
      <c r="NWU803" s="193" t="s">
        <v>1487</v>
      </c>
      <c r="NWV803" s="193" t="s">
        <v>1487</v>
      </c>
      <c r="NWW803" s="193" t="s">
        <v>1487</v>
      </c>
      <c r="NWX803" s="193" t="s">
        <v>1487</v>
      </c>
      <c r="NWY803" s="193" t="s">
        <v>1487</v>
      </c>
      <c r="NWZ803" s="193" t="s">
        <v>1487</v>
      </c>
      <c r="NXA803" s="193" t="s">
        <v>1487</v>
      </c>
      <c r="NXB803" s="193" t="s">
        <v>1487</v>
      </c>
      <c r="NXC803" s="193" t="s">
        <v>1487</v>
      </c>
      <c r="NXD803" s="193" t="s">
        <v>1487</v>
      </c>
      <c r="NXE803" s="193" t="s">
        <v>1487</v>
      </c>
      <c r="NXF803" s="193" t="s">
        <v>1487</v>
      </c>
      <c r="NXG803" s="193" t="s">
        <v>1487</v>
      </c>
      <c r="NXH803" s="193" t="s">
        <v>1487</v>
      </c>
      <c r="NXI803" s="193" t="s">
        <v>1487</v>
      </c>
      <c r="NXJ803" s="193" t="s">
        <v>1487</v>
      </c>
      <c r="NXK803" s="193" t="s">
        <v>1487</v>
      </c>
      <c r="NXL803" s="193" t="s">
        <v>1487</v>
      </c>
      <c r="NXM803" s="193" t="s">
        <v>1487</v>
      </c>
      <c r="NXN803" s="193" t="s">
        <v>1487</v>
      </c>
      <c r="NXO803" s="193" t="s">
        <v>1487</v>
      </c>
      <c r="NXP803" s="193" t="s">
        <v>1487</v>
      </c>
      <c r="NXQ803" s="193" t="s">
        <v>1487</v>
      </c>
      <c r="NXR803" s="193" t="s">
        <v>1487</v>
      </c>
      <c r="NXS803" s="193" t="s">
        <v>1487</v>
      </c>
      <c r="NXT803" s="193" t="s">
        <v>1487</v>
      </c>
      <c r="NXU803" s="193" t="s">
        <v>1487</v>
      </c>
      <c r="NXV803" s="193" t="s">
        <v>1487</v>
      </c>
      <c r="NXW803" s="193" t="s">
        <v>1487</v>
      </c>
      <c r="NXX803" s="193" t="s">
        <v>1487</v>
      </c>
      <c r="NXY803" s="193" t="s">
        <v>1487</v>
      </c>
      <c r="NXZ803" s="193" t="s">
        <v>1487</v>
      </c>
      <c r="NYA803" s="193" t="s">
        <v>1487</v>
      </c>
      <c r="NYB803" s="193" t="s">
        <v>1487</v>
      </c>
      <c r="NYC803" s="193" t="s">
        <v>1487</v>
      </c>
      <c r="NYD803" s="193" t="s">
        <v>1487</v>
      </c>
      <c r="NYE803" s="193" t="s">
        <v>1487</v>
      </c>
      <c r="NYF803" s="193" t="s">
        <v>1487</v>
      </c>
      <c r="NYG803" s="193" t="s">
        <v>1487</v>
      </c>
      <c r="NYH803" s="193" t="s">
        <v>1487</v>
      </c>
      <c r="NYI803" s="193" t="s">
        <v>1487</v>
      </c>
      <c r="NYJ803" s="193" t="s">
        <v>1487</v>
      </c>
      <c r="NYK803" s="193" t="s">
        <v>1487</v>
      </c>
      <c r="NYL803" s="193" t="s">
        <v>1487</v>
      </c>
      <c r="NYM803" s="193" t="s">
        <v>1487</v>
      </c>
      <c r="NYN803" s="193" t="s">
        <v>1487</v>
      </c>
      <c r="NYO803" s="193" t="s">
        <v>1487</v>
      </c>
      <c r="NYP803" s="193" t="s">
        <v>1487</v>
      </c>
      <c r="NYQ803" s="193" t="s">
        <v>1487</v>
      </c>
      <c r="NYR803" s="193" t="s">
        <v>1487</v>
      </c>
      <c r="NYS803" s="193" t="s">
        <v>1487</v>
      </c>
      <c r="NYT803" s="193" t="s">
        <v>1487</v>
      </c>
      <c r="NYU803" s="193" t="s">
        <v>1487</v>
      </c>
      <c r="NYV803" s="193" t="s">
        <v>1487</v>
      </c>
      <c r="NYW803" s="193" t="s">
        <v>1487</v>
      </c>
      <c r="NYX803" s="193" t="s">
        <v>1487</v>
      </c>
      <c r="NYY803" s="193" t="s">
        <v>1487</v>
      </c>
      <c r="NYZ803" s="193" t="s">
        <v>1487</v>
      </c>
      <c r="NZA803" s="193" t="s">
        <v>1487</v>
      </c>
      <c r="NZB803" s="193" t="s">
        <v>1487</v>
      </c>
      <c r="NZC803" s="193" t="s">
        <v>1487</v>
      </c>
      <c r="NZD803" s="193" t="s">
        <v>1487</v>
      </c>
      <c r="NZE803" s="193" t="s">
        <v>1487</v>
      </c>
      <c r="NZF803" s="193" t="s">
        <v>1487</v>
      </c>
      <c r="NZG803" s="193" t="s">
        <v>1487</v>
      </c>
      <c r="NZH803" s="193" t="s">
        <v>1487</v>
      </c>
      <c r="NZI803" s="193" t="s">
        <v>1487</v>
      </c>
      <c r="NZJ803" s="193" t="s">
        <v>1487</v>
      </c>
      <c r="NZK803" s="193" t="s">
        <v>1487</v>
      </c>
      <c r="NZL803" s="193" t="s">
        <v>1487</v>
      </c>
      <c r="NZM803" s="193" t="s">
        <v>1487</v>
      </c>
      <c r="NZN803" s="193" t="s">
        <v>1487</v>
      </c>
      <c r="NZO803" s="193" t="s">
        <v>1487</v>
      </c>
      <c r="NZP803" s="193" t="s">
        <v>1487</v>
      </c>
      <c r="NZQ803" s="193" t="s">
        <v>1487</v>
      </c>
      <c r="NZR803" s="193" t="s">
        <v>1487</v>
      </c>
      <c r="NZS803" s="193" t="s">
        <v>1487</v>
      </c>
      <c r="NZT803" s="193" t="s">
        <v>1487</v>
      </c>
      <c r="NZU803" s="193" t="s">
        <v>1487</v>
      </c>
      <c r="NZV803" s="193" t="s">
        <v>1487</v>
      </c>
      <c r="NZW803" s="193" t="s">
        <v>1487</v>
      </c>
      <c r="NZX803" s="193" t="s">
        <v>1487</v>
      </c>
      <c r="NZY803" s="193" t="s">
        <v>1487</v>
      </c>
      <c r="NZZ803" s="193" t="s">
        <v>1487</v>
      </c>
      <c r="OAA803" s="193" t="s">
        <v>1487</v>
      </c>
      <c r="OAB803" s="193" t="s">
        <v>1487</v>
      </c>
      <c r="OAC803" s="193" t="s">
        <v>1487</v>
      </c>
      <c r="OAD803" s="193" t="s">
        <v>1487</v>
      </c>
      <c r="OAE803" s="193" t="s">
        <v>1487</v>
      </c>
      <c r="OAF803" s="193" t="s">
        <v>1487</v>
      </c>
      <c r="OAG803" s="193" t="s">
        <v>1487</v>
      </c>
      <c r="OAH803" s="193" t="s">
        <v>1487</v>
      </c>
      <c r="OAI803" s="193" t="s">
        <v>1487</v>
      </c>
      <c r="OAJ803" s="193" t="s">
        <v>1487</v>
      </c>
      <c r="OAK803" s="193" t="s">
        <v>1487</v>
      </c>
      <c r="OAL803" s="193" t="s">
        <v>1487</v>
      </c>
      <c r="OAM803" s="193" t="s">
        <v>1487</v>
      </c>
      <c r="OAN803" s="193" t="s">
        <v>1487</v>
      </c>
      <c r="OAO803" s="193" t="s">
        <v>1487</v>
      </c>
      <c r="OAP803" s="193" t="s">
        <v>1487</v>
      </c>
      <c r="OAQ803" s="193" t="s">
        <v>1487</v>
      </c>
      <c r="OAR803" s="193" t="s">
        <v>1487</v>
      </c>
      <c r="OAS803" s="193" t="s">
        <v>1487</v>
      </c>
      <c r="OAT803" s="193" t="s">
        <v>1487</v>
      </c>
      <c r="OAU803" s="193" t="s">
        <v>1487</v>
      </c>
      <c r="OAV803" s="193" t="s">
        <v>1487</v>
      </c>
      <c r="OAW803" s="193" t="s">
        <v>1487</v>
      </c>
      <c r="OAX803" s="193" t="s">
        <v>1487</v>
      </c>
      <c r="OAY803" s="193" t="s">
        <v>1487</v>
      </c>
      <c r="OAZ803" s="193" t="s">
        <v>1487</v>
      </c>
      <c r="OBA803" s="193" t="s">
        <v>1487</v>
      </c>
      <c r="OBB803" s="193" t="s">
        <v>1487</v>
      </c>
      <c r="OBC803" s="193" t="s">
        <v>1487</v>
      </c>
      <c r="OBD803" s="193" t="s">
        <v>1487</v>
      </c>
      <c r="OBE803" s="193" t="s">
        <v>1487</v>
      </c>
      <c r="OBF803" s="193" t="s">
        <v>1487</v>
      </c>
      <c r="OBG803" s="193" t="s">
        <v>1487</v>
      </c>
      <c r="OBH803" s="193" t="s">
        <v>1487</v>
      </c>
      <c r="OBI803" s="193" t="s">
        <v>1487</v>
      </c>
      <c r="OBJ803" s="193" t="s">
        <v>1487</v>
      </c>
      <c r="OBK803" s="193" t="s">
        <v>1487</v>
      </c>
      <c r="OBL803" s="193" t="s">
        <v>1487</v>
      </c>
      <c r="OBM803" s="193" t="s">
        <v>1487</v>
      </c>
      <c r="OBN803" s="193" t="s">
        <v>1487</v>
      </c>
      <c r="OBO803" s="193" t="s">
        <v>1487</v>
      </c>
      <c r="OBP803" s="193" t="s">
        <v>1487</v>
      </c>
      <c r="OBQ803" s="193" t="s">
        <v>1487</v>
      </c>
      <c r="OBR803" s="193" t="s">
        <v>1487</v>
      </c>
      <c r="OBS803" s="193" t="s">
        <v>1487</v>
      </c>
      <c r="OBT803" s="193" t="s">
        <v>1487</v>
      </c>
      <c r="OBU803" s="193" t="s">
        <v>1487</v>
      </c>
      <c r="OBV803" s="193" t="s">
        <v>1487</v>
      </c>
      <c r="OBW803" s="193" t="s">
        <v>1487</v>
      </c>
      <c r="OBX803" s="193" t="s">
        <v>1487</v>
      </c>
      <c r="OBY803" s="193" t="s">
        <v>1487</v>
      </c>
      <c r="OBZ803" s="193" t="s">
        <v>1487</v>
      </c>
      <c r="OCA803" s="193" t="s">
        <v>1487</v>
      </c>
      <c r="OCB803" s="193" t="s">
        <v>1487</v>
      </c>
      <c r="OCC803" s="193" t="s">
        <v>1487</v>
      </c>
      <c r="OCD803" s="193" t="s">
        <v>1487</v>
      </c>
      <c r="OCE803" s="193" t="s">
        <v>1487</v>
      </c>
      <c r="OCF803" s="193" t="s">
        <v>1487</v>
      </c>
      <c r="OCG803" s="193" t="s">
        <v>1487</v>
      </c>
      <c r="OCH803" s="193" t="s">
        <v>1487</v>
      </c>
      <c r="OCI803" s="193" t="s">
        <v>1487</v>
      </c>
      <c r="OCJ803" s="193" t="s">
        <v>1487</v>
      </c>
      <c r="OCK803" s="193" t="s">
        <v>1487</v>
      </c>
      <c r="OCL803" s="193" t="s">
        <v>1487</v>
      </c>
      <c r="OCM803" s="193" t="s">
        <v>1487</v>
      </c>
      <c r="OCN803" s="193" t="s">
        <v>1487</v>
      </c>
      <c r="OCO803" s="193" t="s">
        <v>1487</v>
      </c>
      <c r="OCP803" s="193" t="s">
        <v>1487</v>
      </c>
      <c r="OCQ803" s="193" t="s">
        <v>1487</v>
      </c>
      <c r="OCR803" s="193" t="s">
        <v>1487</v>
      </c>
      <c r="OCS803" s="193" t="s">
        <v>1487</v>
      </c>
      <c r="OCT803" s="193" t="s">
        <v>1487</v>
      </c>
      <c r="OCU803" s="193" t="s">
        <v>1487</v>
      </c>
      <c r="OCV803" s="193" t="s">
        <v>1487</v>
      </c>
      <c r="OCW803" s="193" t="s">
        <v>1487</v>
      </c>
      <c r="OCX803" s="193" t="s">
        <v>1487</v>
      </c>
      <c r="OCY803" s="193" t="s">
        <v>1487</v>
      </c>
      <c r="OCZ803" s="193" t="s">
        <v>1487</v>
      </c>
      <c r="ODA803" s="193" t="s">
        <v>1487</v>
      </c>
      <c r="ODB803" s="193" t="s">
        <v>1487</v>
      </c>
      <c r="ODC803" s="193" t="s">
        <v>1487</v>
      </c>
      <c r="ODD803" s="193" t="s">
        <v>1487</v>
      </c>
      <c r="ODE803" s="193" t="s">
        <v>1487</v>
      </c>
      <c r="ODF803" s="193" t="s">
        <v>1487</v>
      </c>
      <c r="ODG803" s="193" t="s">
        <v>1487</v>
      </c>
      <c r="ODH803" s="193" t="s">
        <v>1487</v>
      </c>
      <c r="ODI803" s="193" t="s">
        <v>1487</v>
      </c>
      <c r="ODJ803" s="193" t="s">
        <v>1487</v>
      </c>
      <c r="ODK803" s="193" t="s">
        <v>1487</v>
      </c>
      <c r="ODL803" s="193" t="s">
        <v>1487</v>
      </c>
      <c r="ODM803" s="193" t="s">
        <v>1487</v>
      </c>
      <c r="ODN803" s="193" t="s">
        <v>1487</v>
      </c>
      <c r="ODO803" s="193" t="s">
        <v>1487</v>
      </c>
      <c r="ODP803" s="193" t="s">
        <v>1487</v>
      </c>
      <c r="ODQ803" s="193" t="s">
        <v>1487</v>
      </c>
      <c r="ODR803" s="193" t="s">
        <v>1487</v>
      </c>
      <c r="ODS803" s="193" t="s">
        <v>1487</v>
      </c>
      <c r="ODT803" s="193" t="s">
        <v>1487</v>
      </c>
      <c r="ODU803" s="193" t="s">
        <v>1487</v>
      </c>
      <c r="ODV803" s="193" t="s">
        <v>1487</v>
      </c>
      <c r="ODW803" s="193" t="s">
        <v>1487</v>
      </c>
      <c r="ODX803" s="193" t="s">
        <v>1487</v>
      </c>
      <c r="ODY803" s="193" t="s">
        <v>1487</v>
      </c>
      <c r="ODZ803" s="193" t="s">
        <v>1487</v>
      </c>
      <c r="OEA803" s="193" t="s">
        <v>1487</v>
      </c>
      <c r="OEB803" s="193" t="s">
        <v>1487</v>
      </c>
      <c r="OEC803" s="193" t="s">
        <v>1487</v>
      </c>
      <c r="OED803" s="193" t="s">
        <v>1487</v>
      </c>
      <c r="OEE803" s="193" t="s">
        <v>1487</v>
      </c>
      <c r="OEF803" s="193" t="s">
        <v>1487</v>
      </c>
      <c r="OEG803" s="193" t="s">
        <v>1487</v>
      </c>
      <c r="OEH803" s="193" t="s">
        <v>1487</v>
      </c>
      <c r="OEI803" s="193" t="s">
        <v>1487</v>
      </c>
      <c r="OEJ803" s="193" t="s">
        <v>1487</v>
      </c>
      <c r="OEK803" s="193" t="s">
        <v>1487</v>
      </c>
      <c r="OEL803" s="193" t="s">
        <v>1487</v>
      </c>
      <c r="OEM803" s="193" t="s">
        <v>1487</v>
      </c>
      <c r="OEN803" s="193" t="s">
        <v>1487</v>
      </c>
      <c r="OEO803" s="193" t="s">
        <v>1487</v>
      </c>
      <c r="OEP803" s="193" t="s">
        <v>1487</v>
      </c>
      <c r="OEQ803" s="193" t="s">
        <v>1487</v>
      </c>
      <c r="OER803" s="193" t="s">
        <v>1487</v>
      </c>
      <c r="OES803" s="193" t="s">
        <v>1487</v>
      </c>
      <c r="OET803" s="193" t="s">
        <v>1487</v>
      </c>
      <c r="OEU803" s="193" t="s">
        <v>1487</v>
      </c>
      <c r="OEV803" s="193" t="s">
        <v>1487</v>
      </c>
      <c r="OEW803" s="193" t="s">
        <v>1487</v>
      </c>
      <c r="OEX803" s="193" t="s">
        <v>1487</v>
      </c>
      <c r="OEY803" s="193" t="s">
        <v>1487</v>
      </c>
      <c r="OEZ803" s="193" t="s">
        <v>1487</v>
      </c>
      <c r="OFA803" s="193" t="s">
        <v>1487</v>
      </c>
      <c r="OFB803" s="193" t="s">
        <v>1487</v>
      </c>
      <c r="OFC803" s="193" t="s">
        <v>1487</v>
      </c>
      <c r="OFD803" s="193" t="s">
        <v>1487</v>
      </c>
      <c r="OFE803" s="193" t="s">
        <v>1487</v>
      </c>
      <c r="OFF803" s="193" t="s">
        <v>1487</v>
      </c>
      <c r="OFG803" s="193" t="s">
        <v>1487</v>
      </c>
      <c r="OFH803" s="193" t="s">
        <v>1487</v>
      </c>
      <c r="OFI803" s="193" t="s">
        <v>1487</v>
      </c>
      <c r="OFJ803" s="193" t="s">
        <v>1487</v>
      </c>
      <c r="OFK803" s="193" t="s">
        <v>1487</v>
      </c>
      <c r="OFL803" s="193" t="s">
        <v>1487</v>
      </c>
      <c r="OFM803" s="193" t="s">
        <v>1487</v>
      </c>
      <c r="OFN803" s="193" t="s">
        <v>1487</v>
      </c>
      <c r="OFO803" s="193" t="s">
        <v>1487</v>
      </c>
      <c r="OFP803" s="193" t="s">
        <v>1487</v>
      </c>
      <c r="OFQ803" s="193" t="s">
        <v>1487</v>
      </c>
      <c r="OFR803" s="193" t="s">
        <v>1487</v>
      </c>
      <c r="OFS803" s="193" t="s">
        <v>1487</v>
      </c>
      <c r="OFT803" s="193" t="s">
        <v>1487</v>
      </c>
      <c r="OFU803" s="193" t="s">
        <v>1487</v>
      </c>
      <c r="OFV803" s="193" t="s">
        <v>1487</v>
      </c>
      <c r="OFW803" s="193" t="s">
        <v>1487</v>
      </c>
      <c r="OFX803" s="193" t="s">
        <v>1487</v>
      </c>
      <c r="OFY803" s="193" t="s">
        <v>1487</v>
      </c>
      <c r="OFZ803" s="193" t="s">
        <v>1487</v>
      </c>
      <c r="OGA803" s="193" t="s">
        <v>1487</v>
      </c>
      <c r="OGB803" s="193" t="s">
        <v>1487</v>
      </c>
      <c r="OGC803" s="193" t="s">
        <v>1487</v>
      </c>
      <c r="OGD803" s="193" t="s">
        <v>1487</v>
      </c>
      <c r="OGE803" s="193" t="s">
        <v>1487</v>
      </c>
      <c r="OGF803" s="193" t="s">
        <v>1487</v>
      </c>
      <c r="OGG803" s="193" t="s">
        <v>1487</v>
      </c>
      <c r="OGH803" s="193" t="s">
        <v>1487</v>
      </c>
      <c r="OGI803" s="193" t="s">
        <v>1487</v>
      </c>
      <c r="OGJ803" s="193" t="s">
        <v>1487</v>
      </c>
      <c r="OGK803" s="193" t="s">
        <v>1487</v>
      </c>
      <c r="OGL803" s="193" t="s">
        <v>1487</v>
      </c>
      <c r="OGM803" s="193" t="s">
        <v>1487</v>
      </c>
      <c r="OGN803" s="193" t="s">
        <v>1487</v>
      </c>
      <c r="OGO803" s="193" t="s">
        <v>1487</v>
      </c>
      <c r="OGP803" s="193" t="s">
        <v>1487</v>
      </c>
      <c r="OGQ803" s="193" t="s">
        <v>1487</v>
      </c>
      <c r="OGR803" s="193" t="s">
        <v>1487</v>
      </c>
      <c r="OGS803" s="193" t="s">
        <v>1487</v>
      </c>
      <c r="OGT803" s="193" t="s">
        <v>1487</v>
      </c>
      <c r="OGU803" s="193" t="s">
        <v>1487</v>
      </c>
      <c r="OGV803" s="193" t="s">
        <v>1487</v>
      </c>
      <c r="OGW803" s="193" t="s">
        <v>1487</v>
      </c>
      <c r="OGX803" s="193" t="s">
        <v>1487</v>
      </c>
      <c r="OGY803" s="193" t="s">
        <v>1487</v>
      </c>
      <c r="OGZ803" s="193" t="s">
        <v>1487</v>
      </c>
      <c r="OHA803" s="193" t="s">
        <v>1487</v>
      </c>
      <c r="OHB803" s="193" t="s">
        <v>1487</v>
      </c>
      <c r="OHC803" s="193" t="s">
        <v>1487</v>
      </c>
      <c r="OHD803" s="193" t="s">
        <v>1487</v>
      </c>
      <c r="OHE803" s="193" t="s">
        <v>1487</v>
      </c>
      <c r="OHF803" s="193" t="s">
        <v>1487</v>
      </c>
      <c r="OHG803" s="193" t="s">
        <v>1487</v>
      </c>
      <c r="OHH803" s="193" t="s">
        <v>1487</v>
      </c>
      <c r="OHI803" s="193" t="s">
        <v>1487</v>
      </c>
      <c r="OHJ803" s="193" t="s">
        <v>1487</v>
      </c>
      <c r="OHK803" s="193" t="s">
        <v>1487</v>
      </c>
      <c r="OHL803" s="193" t="s">
        <v>1487</v>
      </c>
      <c r="OHM803" s="193" t="s">
        <v>1487</v>
      </c>
      <c r="OHN803" s="193" t="s">
        <v>1487</v>
      </c>
      <c r="OHO803" s="193" t="s">
        <v>1487</v>
      </c>
      <c r="OHP803" s="193" t="s">
        <v>1487</v>
      </c>
      <c r="OHQ803" s="193" t="s">
        <v>1487</v>
      </c>
      <c r="OHR803" s="193" t="s">
        <v>1487</v>
      </c>
      <c r="OHS803" s="193" t="s">
        <v>1487</v>
      </c>
      <c r="OHT803" s="193" t="s">
        <v>1487</v>
      </c>
      <c r="OHU803" s="193" t="s">
        <v>1487</v>
      </c>
      <c r="OHV803" s="193" t="s">
        <v>1487</v>
      </c>
      <c r="OHW803" s="193" t="s">
        <v>1487</v>
      </c>
      <c r="OHX803" s="193" t="s">
        <v>1487</v>
      </c>
      <c r="OHY803" s="193" t="s">
        <v>1487</v>
      </c>
      <c r="OHZ803" s="193" t="s">
        <v>1487</v>
      </c>
      <c r="OIA803" s="193" t="s">
        <v>1487</v>
      </c>
      <c r="OIB803" s="193" t="s">
        <v>1487</v>
      </c>
      <c r="OIC803" s="193" t="s">
        <v>1487</v>
      </c>
      <c r="OID803" s="193" t="s">
        <v>1487</v>
      </c>
      <c r="OIE803" s="193" t="s">
        <v>1487</v>
      </c>
      <c r="OIF803" s="193" t="s">
        <v>1487</v>
      </c>
      <c r="OIG803" s="193" t="s">
        <v>1487</v>
      </c>
      <c r="OIH803" s="193" t="s">
        <v>1487</v>
      </c>
      <c r="OII803" s="193" t="s">
        <v>1487</v>
      </c>
      <c r="OIJ803" s="193" t="s">
        <v>1487</v>
      </c>
      <c r="OIK803" s="193" t="s">
        <v>1487</v>
      </c>
      <c r="OIL803" s="193" t="s">
        <v>1487</v>
      </c>
      <c r="OIM803" s="193" t="s">
        <v>1487</v>
      </c>
      <c r="OIN803" s="193" t="s">
        <v>1487</v>
      </c>
      <c r="OIO803" s="193" t="s">
        <v>1487</v>
      </c>
      <c r="OIP803" s="193" t="s">
        <v>1487</v>
      </c>
      <c r="OIQ803" s="193" t="s">
        <v>1487</v>
      </c>
      <c r="OIR803" s="193" t="s">
        <v>1487</v>
      </c>
      <c r="OIS803" s="193" t="s">
        <v>1487</v>
      </c>
      <c r="OIT803" s="193" t="s">
        <v>1487</v>
      </c>
      <c r="OIU803" s="193" t="s">
        <v>1487</v>
      </c>
      <c r="OIV803" s="193" t="s">
        <v>1487</v>
      </c>
      <c r="OIW803" s="193" t="s">
        <v>1487</v>
      </c>
      <c r="OIX803" s="193" t="s">
        <v>1487</v>
      </c>
      <c r="OIY803" s="193" t="s">
        <v>1487</v>
      </c>
      <c r="OIZ803" s="193" t="s">
        <v>1487</v>
      </c>
      <c r="OJA803" s="193" t="s">
        <v>1487</v>
      </c>
      <c r="OJB803" s="193" t="s">
        <v>1487</v>
      </c>
      <c r="OJC803" s="193" t="s">
        <v>1487</v>
      </c>
      <c r="OJD803" s="193" t="s">
        <v>1487</v>
      </c>
      <c r="OJE803" s="193" t="s">
        <v>1487</v>
      </c>
      <c r="OJF803" s="193" t="s">
        <v>1487</v>
      </c>
      <c r="OJG803" s="193" t="s">
        <v>1487</v>
      </c>
      <c r="OJH803" s="193" t="s">
        <v>1487</v>
      </c>
      <c r="OJI803" s="193" t="s">
        <v>1487</v>
      </c>
      <c r="OJJ803" s="193" t="s">
        <v>1487</v>
      </c>
      <c r="OJK803" s="193" t="s">
        <v>1487</v>
      </c>
      <c r="OJL803" s="193" t="s">
        <v>1487</v>
      </c>
      <c r="OJM803" s="193" t="s">
        <v>1487</v>
      </c>
      <c r="OJN803" s="193" t="s">
        <v>1487</v>
      </c>
      <c r="OJO803" s="193" t="s">
        <v>1487</v>
      </c>
      <c r="OJP803" s="193" t="s">
        <v>1487</v>
      </c>
      <c r="OJQ803" s="193" t="s">
        <v>1487</v>
      </c>
      <c r="OJR803" s="193" t="s">
        <v>1487</v>
      </c>
      <c r="OJS803" s="193" t="s">
        <v>1487</v>
      </c>
      <c r="OJT803" s="193" t="s">
        <v>1487</v>
      </c>
      <c r="OJU803" s="193" t="s">
        <v>1487</v>
      </c>
      <c r="OJV803" s="193" t="s">
        <v>1487</v>
      </c>
      <c r="OJW803" s="193" t="s">
        <v>1487</v>
      </c>
      <c r="OJX803" s="193" t="s">
        <v>1487</v>
      </c>
      <c r="OJY803" s="193" t="s">
        <v>1487</v>
      </c>
      <c r="OJZ803" s="193" t="s">
        <v>1487</v>
      </c>
      <c r="OKA803" s="193" t="s">
        <v>1487</v>
      </c>
      <c r="OKB803" s="193" t="s">
        <v>1487</v>
      </c>
      <c r="OKC803" s="193" t="s">
        <v>1487</v>
      </c>
      <c r="OKD803" s="193" t="s">
        <v>1487</v>
      </c>
      <c r="OKE803" s="193" t="s">
        <v>1487</v>
      </c>
      <c r="OKF803" s="193" t="s">
        <v>1487</v>
      </c>
      <c r="OKG803" s="193" t="s">
        <v>1487</v>
      </c>
      <c r="OKH803" s="193" t="s">
        <v>1487</v>
      </c>
      <c r="OKI803" s="193" t="s">
        <v>1487</v>
      </c>
      <c r="OKJ803" s="193" t="s">
        <v>1487</v>
      </c>
      <c r="OKK803" s="193" t="s">
        <v>1487</v>
      </c>
      <c r="OKL803" s="193" t="s">
        <v>1487</v>
      </c>
      <c r="OKM803" s="193" t="s">
        <v>1487</v>
      </c>
      <c r="OKN803" s="193" t="s">
        <v>1487</v>
      </c>
      <c r="OKO803" s="193" t="s">
        <v>1487</v>
      </c>
      <c r="OKP803" s="193" t="s">
        <v>1487</v>
      </c>
      <c r="OKQ803" s="193" t="s">
        <v>1487</v>
      </c>
      <c r="OKR803" s="193" t="s">
        <v>1487</v>
      </c>
      <c r="OKS803" s="193" t="s">
        <v>1487</v>
      </c>
      <c r="OKT803" s="193" t="s">
        <v>1487</v>
      </c>
      <c r="OKU803" s="193" t="s">
        <v>1487</v>
      </c>
      <c r="OKV803" s="193" t="s">
        <v>1487</v>
      </c>
      <c r="OKW803" s="193" t="s">
        <v>1487</v>
      </c>
      <c r="OKX803" s="193" t="s">
        <v>1487</v>
      </c>
      <c r="OKY803" s="193" t="s">
        <v>1487</v>
      </c>
      <c r="OKZ803" s="193" t="s">
        <v>1487</v>
      </c>
      <c r="OLA803" s="193" t="s">
        <v>1487</v>
      </c>
      <c r="OLB803" s="193" t="s">
        <v>1487</v>
      </c>
      <c r="OLC803" s="193" t="s">
        <v>1487</v>
      </c>
      <c r="OLD803" s="193" t="s">
        <v>1487</v>
      </c>
      <c r="OLE803" s="193" t="s">
        <v>1487</v>
      </c>
      <c r="OLF803" s="193" t="s">
        <v>1487</v>
      </c>
      <c r="OLG803" s="193" t="s">
        <v>1487</v>
      </c>
      <c r="OLH803" s="193" t="s">
        <v>1487</v>
      </c>
      <c r="OLI803" s="193" t="s">
        <v>1487</v>
      </c>
      <c r="OLJ803" s="193" t="s">
        <v>1487</v>
      </c>
      <c r="OLK803" s="193" t="s">
        <v>1487</v>
      </c>
      <c r="OLL803" s="193" t="s">
        <v>1487</v>
      </c>
      <c r="OLM803" s="193" t="s">
        <v>1487</v>
      </c>
      <c r="OLN803" s="193" t="s">
        <v>1487</v>
      </c>
      <c r="OLO803" s="193" t="s">
        <v>1487</v>
      </c>
      <c r="OLP803" s="193" t="s">
        <v>1487</v>
      </c>
      <c r="OLQ803" s="193" t="s">
        <v>1487</v>
      </c>
      <c r="OLR803" s="193" t="s">
        <v>1487</v>
      </c>
      <c r="OLS803" s="193" t="s">
        <v>1487</v>
      </c>
      <c r="OLT803" s="193" t="s">
        <v>1487</v>
      </c>
      <c r="OLU803" s="193" t="s">
        <v>1487</v>
      </c>
      <c r="OLV803" s="193" t="s">
        <v>1487</v>
      </c>
      <c r="OLW803" s="193" t="s">
        <v>1487</v>
      </c>
      <c r="OLX803" s="193" t="s">
        <v>1487</v>
      </c>
      <c r="OLY803" s="193" t="s">
        <v>1487</v>
      </c>
      <c r="OLZ803" s="193" t="s">
        <v>1487</v>
      </c>
      <c r="OMA803" s="193" t="s">
        <v>1487</v>
      </c>
      <c r="OMB803" s="193" t="s">
        <v>1487</v>
      </c>
      <c r="OMC803" s="193" t="s">
        <v>1487</v>
      </c>
      <c r="OMD803" s="193" t="s">
        <v>1487</v>
      </c>
      <c r="OME803" s="193" t="s">
        <v>1487</v>
      </c>
      <c r="OMF803" s="193" t="s">
        <v>1487</v>
      </c>
      <c r="OMG803" s="193" t="s">
        <v>1487</v>
      </c>
      <c r="OMH803" s="193" t="s">
        <v>1487</v>
      </c>
      <c r="OMI803" s="193" t="s">
        <v>1487</v>
      </c>
      <c r="OMJ803" s="193" t="s">
        <v>1487</v>
      </c>
      <c r="OMK803" s="193" t="s">
        <v>1487</v>
      </c>
      <c r="OML803" s="193" t="s">
        <v>1487</v>
      </c>
      <c r="OMM803" s="193" t="s">
        <v>1487</v>
      </c>
      <c r="OMN803" s="193" t="s">
        <v>1487</v>
      </c>
      <c r="OMO803" s="193" t="s">
        <v>1487</v>
      </c>
      <c r="OMP803" s="193" t="s">
        <v>1487</v>
      </c>
      <c r="OMQ803" s="193" t="s">
        <v>1487</v>
      </c>
      <c r="OMR803" s="193" t="s">
        <v>1487</v>
      </c>
      <c r="OMS803" s="193" t="s">
        <v>1487</v>
      </c>
      <c r="OMT803" s="193" t="s">
        <v>1487</v>
      </c>
      <c r="OMU803" s="193" t="s">
        <v>1487</v>
      </c>
      <c r="OMV803" s="193" t="s">
        <v>1487</v>
      </c>
      <c r="OMW803" s="193" t="s">
        <v>1487</v>
      </c>
      <c r="OMX803" s="193" t="s">
        <v>1487</v>
      </c>
      <c r="OMY803" s="193" t="s">
        <v>1487</v>
      </c>
      <c r="OMZ803" s="193" t="s">
        <v>1487</v>
      </c>
      <c r="ONA803" s="193" t="s">
        <v>1487</v>
      </c>
      <c r="ONB803" s="193" t="s">
        <v>1487</v>
      </c>
      <c r="ONC803" s="193" t="s">
        <v>1487</v>
      </c>
      <c r="OND803" s="193" t="s">
        <v>1487</v>
      </c>
      <c r="ONE803" s="193" t="s">
        <v>1487</v>
      </c>
      <c r="ONF803" s="193" t="s">
        <v>1487</v>
      </c>
      <c r="ONG803" s="193" t="s">
        <v>1487</v>
      </c>
      <c r="ONH803" s="193" t="s">
        <v>1487</v>
      </c>
      <c r="ONI803" s="193" t="s">
        <v>1487</v>
      </c>
      <c r="ONJ803" s="193" t="s">
        <v>1487</v>
      </c>
      <c r="ONK803" s="193" t="s">
        <v>1487</v>
      </c>
      <c r="ONL803" s="193" t="s">
        <v>1487</v>
      </c>
      <c r="ONM803" s="193" t="s">
        <v>1487</v>
      </c>
      <c r="ONN803" s="193" t="s">
        <v>1487</v>
      </c>
      <c r="ONO803" s="193" t="s">
        <v>1487</v>
      </c>
      <c r="ONP803" s="193" t="s">
        <v>1487</v>
      </c>
      <c r="ONQ803" s="193" t="s">
        <v>1487</v>
      </c>
      <c r="ONR803" s="193" t="s">
        <v>1487</v>
      </c>
      <c r="ONS803" s="193" t="s">
        <v>1487</v>
      </c>
      <c r="ONT803" s="193" t="s">
        <v>1487</v>
      </c>
      <c r="ONU803" s="193" t="s">
        <v>1487</v>
      </c>
      <c r="ONV803" s="193" t="s">
        <v>1487</v>
      </c>
      <c r="ONW803" s="193" t="s">
        <v>1487</v>
      </c>
      <c r="ONX803" s="193" t="s">
        <v>1487</v>
      </c>
      <c r="ONY803" s="193" t="s">
        <v>1487</v>
      </c>
      <c r="ONZ803" s="193" t="s">
        <v>1487</v>
      </c>
      <c r="OOA803" s="193" t="s">
        <v>1487</v>
      </c>
      <c r="OOB803" s="193" t="s">
        <v>1487</v>
      </c>
      <c r="OOC803" s="193" t="s">
        <v>1487</v>
      </c>
      <c r="OOD803" s="193" t="s">
        <v>1487</v>
      </c>
      <c r="OOE803" s="193" t="s">
        <v>1487</v>
      </c>
      <c r="OOF803" s="193" t="s">
        <v>1487</v>
      </c>
      <c r="OOG803" s="193" t="s">
        <v>1487</v>
      </c>
      <c r="OOH803" s="193" t="s">
        <v>1487</v>
      </c>
      <c r="OOI803" s="193" t="s">
        <v>1487</v>
      </c>
      <c r="OOJ803" s="193" t="s">
        <v>1487</v>
      </c>
      <c r="OOK803" s="193" t="s">
        <v>1487</v>
      </c>
      <c r="OOL803" s="193" t="s">
        <v>1487</v>
      </c>
      <c r="OOM803" s="193" t="s">
        <v>1487</v>
      </c>
      <c r="OON803" s="193" t="s">
        <v>1487</v>
      </c>
      <c r="OOO803" s="193" t="s">
        <v>1487</v>
      </c>
      <c r="OOP803" s="193" t="s">
        <v>1487</v>
      </c>
      <c r="OOQ803" s="193" t="s">
        <v>1487</v>
      </c>
      <c r="OOR803" s="193" t="s">
        <v>1487</v>
      </c>
      <c r="OOS803" s="193" t="s">
        <v>1487</v>
      </c>
      <c r="OOT803" s="193" t="s">
        <v>1487</v>
      </c>
      <c r="OOU803" s="193" t="s">
        <v>1487</v>
      </c>
      <c r="OOV803" s="193" t="s">
        <v>1487</v>
      </c>
      <c r="OOW803" s="193" t="s">
        <v>1487</v>
      </c>
      <c r="OOX803" s="193" t="s">
        <v>1487</v>
      </c>
      <c r="OOY803" s="193" t="s">
        <v>1487</v>
      </c>
      <c r="OOZ803" s="193" t="s">
        <v>1487</v>
      </c>
      <c r="OPA803" s="193" t="s">
        <v>1487</v>
      </c>
      <c r="OPB803" s="193" t="s">
        <v>1487</v>
      </c>
      <c r="OPC803" s="193" t="s">
        <v>1487</v>
      </c>
      <c r="OPD803" s="193" t="s">
        <v>1487</v>
      </c>
      <c r="OPE803" s="193" t="s">
        <v>1487</v>
      </c>
      <c r="OPF803" s="193" t="s">
        <v>1487</v>
      </c>
      <c r="OPG803" s="193" t="s">
        <v>1487</v>
      </c>
      <c r="OPH803" s="193" t="s">
        <v>1487</v>
      </c>
      <c r="OPI803" s="193" t="s">
        <v>1487</v>
      </c>
      <c r="OPJ803" s="193" t="s">
        <v>1487</v>
      </c>
      <c r="OPK803" s="193" t="s">
        <v>1487</v>
      </c>
      <c r="OPL803" s="193" t="s">
        <v>1487</v>
      </c>
      <c r="OPM803" s="193" t="s">
        <v>1487</v>
      </c>
      <c r="OPN803" s="193" t="s">
        <v>1487</v>
      </c>
      <c r="OPO803" s="193" t="s">
        <v>1487</v>
      </c>
      <c r="OPP803" s="193" t="s">
        <v>1487</v>
      </c>
      <c r="OPQ803" s="193" t="s">
        <v>1487</v>
      </c>
      <c r="OPR803" s="193" t="s">
        <v>1487</v>
      </c>
      <c r="OPS803" s="193" t="s">
        <v>1487</v>
      </c>
      <c r="OPT803" s="193" t="s">
        <v>1487</v>
      </c>
      <c r="OPU803" s="193" t="s">
        <v>1487</v>
      </c>
      <c r="OPV803" s="193" t="s">
        <v>1487</v>
      </c>
      <c r="OPW803" s="193" t="s">
        <v>1487</v>
      </c>
      <c r="OPX803" s="193" t="s">
        <v>1487</v>
      </c>
      <c r="OPY803" s="193" t="s">
        <v>1487</v>
      </c>
      <c r="OPZ803" s="193" t="s">
        <v>1487</v>
      </c>
      <c r="OQA803" s="193" t="s">
        <v>1487</v>
      </c>
      <c r="OQB803" s="193" t="s">
        <v>1487</v>
      </c>
      <c r="OQC803" s="193" t="s">
        <v>1487</v>
      </c>
      <c r="OQD803" s="193" t="s">
        <v>1487</v>
      </c>
      <c r="OQE803" s="193" t="s">
        <v>1487</v>
      </c>
      <c r="OQF803" s="193" t="s">
        <v>1487</v>
      </c>
      <c r="OQG803" s="193" t="s">
        <v>1487</v>
      </c>
      <c r="OQH803" s="193" t="s">
        <v>1487</v>
      </c>
      <c r="OQI803" s="193" t="s">
        <v>1487</v>
      </c>
      <c r="OQJ803" s="193" t="s">
        <v>1487</v>
      </c>
      <c r="OQK803" s="193" t="s">
        <v>1487</v>
      </c>
      <c r="OQL803" s="193" t="s">
        <v>1487</v>
      </c>
      <c r="OQM803" s="193" t="s">
        <v>1487</v>
      </c>
      <c r="OQN803" s="193" t="s">
        <v>1487</v>
      </c>
      <c r="OQO803" s="193" t="s">
        <v>1487</v>
      </c>
      <c r="OQP803" s="193" t="s">
        <v>1487</v>
      </c>
      <c r="OQQ803" s="193" t="s">
        <v>1487</v>
      </c>
      <c r="OQR803" s="193" t="s">
        <v>1487</v>
      </c>
      <c r="OQS803" s="193" t="s">
        <v>1487</v>
      </c>
      <c r="OQT803" s="193" t="s">
        <v>1487</v>
      </c>
      <c r="OQU803" s="193" t="s">
        <v>1487</v>
      </c>
      <c r="OQV803" s="193" t="s">
        <v>1487</v>
      </c>
      <c r="OQW803" s="193" t="s">
        <v>1487</v>
      </c>
      <c r="OQX803" s="193" t="s">
        <v>1487</v>
      </c>
      <c r="OQY803" s="193" t="s">
        <v>1487</v>
      </c>
      <c r="OQZ803" s="193" t="s">
        <v>1487</v>
      </c>
      <c r="ORA803" s="193" t="s">
        <v>1487</v>
      </c>
      <c r="ORB803" s="193" t="s">
        <v>1487</v>
      </c>
      <c r="ORC803" s="193" t="s">
        <v>1487</v>
      </c>
      <c r="ORD803" s="193" t="s">
        <v>1487</v>
      </c>
      <c r="ORE803" s="193" t="s">
        <v>1487</v>
      </c>
      <c r="ORF803" s="193" t="s">
        <v>1487</v>
      </c>
      <c r="ORG803" s="193" t="s">
        <v>1487</v>
      </c>
      <c r="ORH803" s="193" t="s">
        <v>1487</v>
      </c>
      <c r="ORI803" s="193" t="s">
        <v>1487</v>
      </c>
      <c r="ORJ803" s="193" t="s">
        <v>1487</v>
      </c>
      <c r="ORK803" s="193" t="s">
        <v>1487</v>
      </c>
      <c r="ORL803" s="193" t="s">
        <v>1487</v>
      </c>
      <c r="ORM803" s="193" t="s">
        <v>1487</v>
      </c>
      <c r="ORN803" s="193" t="s">
        <v>1487</v>
      </c>
      <c r="ORO803" s="193" t="s">
        <v>1487</v>
      </c>
      <c r="ORP803" s="193" t="s">
        <v>1487</v>
      </c>
      <c r="ORQ803" s="193" t="s">
        <v>1487</v>
      </c>
      <c r="ORR803" s="193" t="s">
        <v>1487</v>
      </c>
      <c r="ORS803" s="193" t="s">
        <v>1487</v>
      </c>
      <c r="ORT803" s="193" t="s">
        <v>1487</v>
      </c>
      <c r="ORU803" s="193" t="s">
        <v>1487</v>
      </c>
      <c r="ORV803" s="193" t="s">
        <v>1487</v>
      </c>
      <c r="ORW803" s="193" t="s">
        <v>1487</v>
      </c>
      <c r="ORX803" s="193" t="s">
        <v>1487</v>
      </c>
      <c r="ORY803" s="193" t="s">
        <v>1487</v>
      </c>
      <c r="ORZ803" s="193" t="s">
        <v>1487</v>
      </c>
      <c r="OSA803" s="193" t="s">
        <v>1487</v>
      </c>
      <c r="OSB803" s="193" t="s">
        <v>1487</v>
      </c>
      <c r="OSC803" s="193" t="s">
        <v>1487</v>
      </c>
      <c r="OSD803" s="193" t="s">
        <v>1487</v>
      </c>
      <c r="OSE803" s="193" t="s">
        <v>1487</v>
      </c>
      <c r="OSF803" s="193" t="s">
        <v>1487</v>
      </c>
      <c r="OSG803" s="193" t="s">
        <v>1487</v>
      </c>
      <c r="OSH803" s="193" t="s">
        <v>1487</v>
      </c>
      <c r="OSI803" s="193" t="s">
        <v>1487</v>
      </c>
      <c r="OSJ803" s="193" t="s">
        <v>1487</v>
      </c>
      <c r="OSK803" s="193" t="s">
        <v>1487</v>
      </c>
      <c r="OSL803" s="193" t="s">
        <v>1487</v>
      </c>
      <c r="OSM803" s="193" t="s">
        <v>1487</v>
      </c>
      <c r="OSN803" s="193" t="s">
        <v>1487</v>
      </c>
      <c r="OSO803" s="193" t="s">
        <v>1487</v>
      </c>
      <c r="OSP803" s="193" t="s">
        <v>1487</v>
      </c>
      <c r="OSQ803" s="193" t="s">
        <v>1487</v>
      </c>
      <c r="OSR803" s="193" t="s">
        <v>1487</v>
      </c>
      <c r="OSS803" s="193" t="s">
        <v>1487</v>
      </c>
      <c r="OST803" s="193" t="s">
        <v>1487</v>
      </c>
      <c r="OSU803" s="193" t="s">
        <v>1487</v>
      </c>
      <c r="OSV803" s="193" t="s">
        <v>1487</v>
      </c>
      <c r="OSW803" s="193" t="s">
        <v>1487</v>
      </c>
      <c r="OSX803" s="193" t="s">
        <v>1487</v>
      </c>
      <c r="OSY803" s="193" t="s">
        <v>1487</v>
      </c>
      <c r="OSZ803" s="193" t="s">
        <v>1487</v>
      </c>
      <c r="OTA803" s="193" t="s">
        <v>1487</v>
      </c>
      <c r="OTB803" s="193" t="s">
        <v>1487</v>
      </c>
      <c r="OTC803" s="193" t="s">
        <v>1487</v>
      </c>
      <c r="OTD803" s="193" t="s">
        <v>1487</v>
      </c>
      <c r="OTE803" s="193" t="s">
        <v>1487</v>
      </c>
      <c r="OTF803" s="193" t="s">
        <v>1487</v>
      </c>
      <c r="OTG803" s="193" t="s">
        <v>1487</v>
      </c>
      <c r="OTH803" s="193" t="s">
        <v>1487</v>
      </c>
      <c r="OTI803" s="193" t="s">
        <v>1487</v>
      </c>
      <c r="OTJ803" s="193" t="s">
        <v>1487</v>
      </c>
      <c r="OTK803" s="193" t="s">
        <v>1487</v>
      </c>
      <c r="OTL803" s="193" t="s">
        <v>1487</v>
      </c>
      <c r="OTM803" s="193" t="s">
        <v>1487</v>
      </c>
      <c r="OTN803" s="193" t="s">
        <v>1487</v>
      </c>
      <c r="OTO803" s="193" t="s">
        <v>1487</v>
      </c>
      <c r="OTP803" s="193" t="s">
        <v>1487</v>
      </c>
      <c r="OTQ803" s="193" t="s">
        <v>1487</v>
      </c>
      <c r="OTR803" s="193" t="s">
        <v>1487</v>
      </c>
      <c r="OTS803" s="193" t="s">
        <v>1487</v>
      </c>
      <c r="OTT803" s="193" t="s">
        <v>1487</v>
      </c>
      <c r="OTU803" s="193" t="s">
        <v>1487</v>
      </c>
      <c r="OTV803" s="193" t="s">
        <v>1487</v>
      </c>
      <c r="OTW803" s="193" t="s">
        <v>1487</v>
      </c>
      <c r="OTX803" s="193" t="s">
        <v>1487</v>
      </c>
      <c r="OTY803" s="193" t="s">
        <v>1487</v>
      </c>
      <c r="OTZ803" s="193" t="s">
        <v>1487</v>
      </c>
      <c r="OUA803" s="193" t="s">
        <v>1487</v>
      </c>
      <c r="OUB803" s="193" t="s">
        <v>1487</v>
      </c>
      <c r="OUC803" s="193" t="s">
        <v>1487</v>
      </c>
      <c r="OUD803" s="193" t="s">
        <v>1487</v>
      </c>
      <c r="OUE803" s="193" t="s">
        <v>1487</v>
      </c>
      <c r="OUF803" s="193" t="s">
        <v>1487</v>
      </c>
      <c r="OUG803" s="193" t="s">
        <v>1487</v>
      </c>
      <c r="OUH803" s="193" t="s">
        <v>1487</v>
      </c>
      <c r="OUI803" s="193" t="s">
        <v>1487</v>
      </c>
      <c r="OUJ803" s="193" t="s">
        <v>1487</v>
      </c>
      <c r="OUK803" s="193" t="s">
        <v>1487</v>
      </c>
      <c r="OUL803" s="193" t="s">
        <v>1487</v>
      </c>
      <c r="OUM803" s="193" t="s">
        <v>1487</v>
      </c>
      <c r="OUN803" s="193" t="s">
        <v>1487</v>
      </c>
      <c r="OUO803" s="193" t="s">
        <v>1487</v>
      </c>
      <c r="OUP803" s="193" t="s">
        <v>1487</v>
      </c>
      <c r="OUQ803" s="193" t="s">
        <v>1487</v>
      </c>
      <c r="OUR803" s="193" t="s">
        <v>1487</v>
      </c>
      <c r="OUS803" s="193" t="s">
        <v>1487</v>
      </c>
      <c r="OUT803" s="193" t="s">
        <v>1487</v>
      </c>
      <c r="OUU803" s="193" t="s">
        <v>1487</v>
      </c>
      <c r="OUV803" s="193" t="s">
        <v>1487</v>
      </c>
      <c r="OUW803" s="193" t="s">
        <v>1487</v>
      </c>
      <c r="OUX803" s="193" t="s">
        <v>1487</v>
      </c>
      <c r="OUY803" s="193" t="s">
        <v>1487</v>
      </c>
      <c r="OUZ803" s="193" t="s">
        <v>1487</v>
      </c>
      <c r="OVA803" s="193" t="s">
        <v>1487</v>
      </c>
      <c r="OVB803" s="193" t="s">
        <v>1487</v>
      </c>
      <c r="OVC803" s="193" t="s">
        <v>1487</v>
      </c>
      <c r="OVD803" s="193" t="s">
        <v>1487</v>
      </c>
      <c r="OVE803" s="193" t="s">
        <v>1487</v>
      </c>
      <c r="OVF803" s="193" t="s">
        <v>1487</v>
      </c>
      <c r="OVG803" s="193" t="s">
        <v>1487</v>
      </c>
      <c r="OVH803" s="193" t="s">
        <v>1487</v>
      </c>
      <c r="OVI803" s="193" t="s">
        <v>1487</v>
      </c>
      <c r="OVJ803" s="193" t="s">
        <v>1487</v>
      </c>
      <c r="OVK803" s="193" t="s">
        <v>1487</v>
      </c>
      <c r="OVL803" s="193" t="s">
        <v>1487</v>
      </c>
      <c r="OVM803" s="193" t="s">
        <v>1487</v>
      </c>
      <c r="OVN803" s="193" t="s">
        <v>1487</v>
      </c>
      <c r="OVO803" s="193" t="s">
        <v>1487</v>
      </c>
      <c r="OVP803" s="193" t="s">
        <v>1487</v>
      </c>
      <c r="OVQ803" s="193" t="s">
        <v>1487</v>
      </c>
      <c r="OVR803" s="193" t="s">
        <v>1487</v>
      </c>
      <c r="OVS803" s="193" t="s">
        <v>1487</v>
      </c>
      <c r="OVT803" s="193" t="s">
        <v>1487</v>
      </c>
      <c r="OVU803" s="193" t="s">
        <v>1487</v>
      </c>
      <c r="OVV803" s="193" t="s">
        <v>1487</v>
      </c>
      <c r="OVW803" s="193" t="s">
        <v>1487</v>
      </c>
      <c r="OVX803" s="193" t="s">
        <v>1487</v>
      </c>
      <c r="OVY803" s="193" t="s">
        <v>1487</v>
      </c>
      <c r="OVZ803" s="193" t="s">
        <v>1487</v>
      </c>
      <c r="OWA803" s="193" t="s">
        <v>1487</v>
      </c>
      <c r="OWB803" s="193" t="s">
        <v>1487</v>
      </c>
      <c r="OWC803" s="193" t="s">
        <v>1487</v>
      </c>
      <c r="OWD803" s="193" t="s">
        <v>1487</v>
      </c>
      <c r="OWE803" s="193" t="s">
        <v>1487</v>
      </c>
      <c r="OWF803" s="193" t="s">
        <v>1487</v>
      </c>
      <c r="OWG803" s="193" t="s">
        <v>1487</v>
      </c>
      <c r="OWH803" s="193" t="s">
        <v>1487</v>
      </c>
      <c r="OWI803" s="193" t="s">
        <v>1487</v>
      </c>
      <c r="OWJ803" s="193" t="s">
        <v>1487</v>
      </c>
      <c r="OWK803" s="193" t="s">
        <v>1487</v>
      </c>
      <c r="OWL803" s="193" t="s">
        <v>1487</v>
      </c>
      <c r="OWM803" s="193" t="s">
        <v>1487</v>
      </c>
      <c r="OWN803" s="193" t="s">
        <v>1487</v>
      </c>
      <c r="OWO803" s="193" t="s">
        <v>1487</v>
      </c>
      <c r="OWP803" s="193" t="s">
        <v>1487</v>
      </c>
      <c r="OWQ803" s="193" t="s">
        <v>1487</v>
      </c>
      <c r="OWR803" s="193" t="s">
        <v>1487</v>
      </c>
      <c r="OWS803" s="193" t="s">
        <v>1487</v>
      </c>
      <c r="OWT803" s="193" t="s">
        <v>1487</v>
      </c>
      <c r="OWU803" s="193" t="s">
        <v>1487</v>
      </c>
      <c r="OWV803" s="193" t="s">
        <v>1487</v>
      </c>
      <c r="OWW803" s="193" t="s">
        <v>1487</v>
      </c>
      <c r="OWX803" s="193" t="s">
        <v>1487</v>
      </c>
      <c r="OWY803" s="193" t="s">
        <v>1487</v>
      </c>
      <c r="OWZ803" s="193" t="s">
        <v>1487</v>
      </c>
      <c r="OXA803" s="193" t="s">
        <v>1487</v>
      </c>
      <c r="OXB803" s="193" t="s">
        <v>1487</v>
      </c>
      <c r="OXC803" s="193" t="s">
        <v>1487</v>
      </c>
      <c r="OXD803" s="193" t="s">
        <v>1487</v>
      </c>
      <c r="OXE803" s="193" t="s">
        <v>1487</v>
      </c>
      <c r="OXF803" s="193" t="s">
        <v>1487</v>
      </c>
      <c r="OXG803" s="193" t="s">
        <v>1487</v>
      </c>
      <c r="OXH803" s="193" t="s">
        <v>1487</v>
      </c>
      <c r="OXI803" s="193" t="s">
        <v>1487</v>
      </c>
      <c r="OXJ803" s="193" t="s">
        <v>1487</v>
      </c>
      <c r="OXK803" s="193" t="s">
        <v>1487</v>
      </c>
      <c r="OXL803" s="193" t="s">
        <v>1487</v>
      </c>
      <c r="OXM803" s="193" t="s">
        <v>1487</v>
      </c>
      <c r="OXN803" s="193" t="s">
        <v>1487</v>
      </c>
      <c r="OXO803" s="193" t="s">
        <v>1487</v>
      </c>
      <c r="OXP803" s="193" t="s">
        <v>1487</v>
      </c>
      <c r="OXQ803" s="193" t="s">
        <v>1487</v>
      </c>
      <c r="OXR803" s="193" t="s">
        <v>1487</v>
      </c>
      <c r="OXS803" s="193" t="s">
        <v>1487</v>
      </c>
      <c r="OXT803" s="193" t="s">
        <v>1487</v>
      </c>
      <c r="OXU803" s="193" t="s">
        <v>1487</v>
      </c>
      <c r="OXV803" s="193" t="s">
        <v>1487</v>
      </c>
      <c r="OXW803" s="193" t="s">
        <v>1487</v>
      </c>
      <c r="OXX803" s="193" t="s">
        <v>1487</v>
      </c>
      <c r="OXY803" s="193" t="s">
        <v>1487</v>
      </c>
      <c r="OXZ803" s="193" t="s">
        <v>1487</v>
      </c>
      <c r="OYA803" s="193" t="s">
        <v>1487</v>
      </c>
      <c r="OYB803" s="193" t="s">
        <v>1487</v>
      </c>
      <c r="OYC803" s="193" t="s">
        <v>1487</v>
      </c>
      <c r="OYD803" s="193" t="s">
        <v>1487</v>
      </c>
      <c r="OYE803" s="193" t="s">
        <v>1487</v>
      </c>
      <c r="OYF803" s="193" t="s">
        <v>1487</v>
      </c>
      <c r="OYG803" s="193" t="s">
        <v>1487</v>
      </c>
      <c r="OYH803" s="193" t="s">
        <v>1487</v>
      </c>
      <c r="OYI803" s="193" t="s">
        <v>1487</v>
      </c>
      <c r="OYJ803" s="193" t="s">
        <v>1487</v>
      </c>
      <c r="OYK803" s="193" t="s">
        <v>1487</v>
      </c>
      <c r="OYL803" s="193" t="s">
        <v>1487</v>
      </c>
      <c r="OYM803" s="193" t="s">
        <v>1487</v>
      </c>
      <c r="OYN803" s="193" t="s">
        <v>1487</v>
      </c>
      <c r="OYO803" s="193" t="s">
        <v>1487</v>
      </c>
      <c r="OYP803" s="193" t="s">
        <v>1487</v>
      </c>
      <c r="OYQ803" s="193" t="s">
        <v>1487</v>
      </c>
      <c r="OYR803" s="193" t="s">
        <v>1487</v>
      </c>
      <c r="OYS803" s="193" t="s">
        <v>1487</v>
      </c>
      <c r="OYT803" s="193" t="s">
        <v>1487</v>
      </c>
      <c r="OYU803" s="193" t="s">
        <v>1487</v>
      </c>
      <c r="OYV803" s="193" t="s">
        <v>1487</v>
      </c>
      <c r="OYW803" s="193" t="s">
        <v>1487</v>
      </c>
      <c r="OYX803" s="193" t="s">
        <v>1487</v>
      </c>
      <c r="OYY803" s="193" t="s">
        <v>1487</v>
      </c>
      <c r="OYZ803" s="193" t="s">
        <v>1487</v>
      </c>
      <c r="OZA803" s="193" t="s">
        <v>1487</v>
      </c>
      <c r="OZB803" s="193" t="s">
        <v>1487</v>
      </c>
      <c r="OZC803" s="193" t="s">
        <v>1487</v>
      </c>
      <c r="OZD803" s="193" t="s">
        <v>1487</v>
      </c>
      <c r="OZE803" s="193" t="s">
        <v>1487</v>
      </c>
      <c r="OZF803" s="193" t="s">
        <v>1487</v>
      </c>
      <c r="OZG803" s="193" t="s">
        <v>1487</v>
      </c>
      <c r="OZH803" s="193" t="s">
        <v>1487</v>
      </c>
      <c r="OZI803" s="193" t="s">
        <v>1487</v>
      </c>
      <c r="OZJ803" s="193" t="s">
        <v>1487</v>
      </c>
      <c r="OZK803" s="193" t="s">
        <v>1487</v>
      </c>
      <c r="OZL803" s="193" t="s">
        <v>1487</v>
      </c>
      <c r="OZM803" s="193" t="s">
        <v>1487</v>
      </c>
      <c r="OZN803" s="193" t="s">
        <v>1487</v>
      </c>
      <c r="OZO803" s="193" t="s">
        <v>1487</v>
      </c>
      <c r="OZP803" s="193" t="s">
        <v>1487</v>
      </c>
      <c r="OZQ803" s="193" t="s">
        <v>1487</v>
      </c>
      <c r="OZR803" s="193" t="s">
        <v>1487</v>
      </c>
      <c r="OZS803" s="193" t="s">
        <v>1487</v>
      </c>
      <c r="OZT803" s="193" t="s">
        <v>1487</v>
      </c>
      <c r="OZU803" s="193" t="s">
        <v>1487</v>
      </c>
      <c r="OZV803" s="193" t="s">
        <v>1487</v>
      </c>
      <c r="OZW803" s="193" t="s">
        <v>1487</v>
      </c>
      <c r="OZX803" s="193" t="s">
        <v>1487</v>
      </c>
      <c r="OZY803" s="193" t="s">
        <v>1487</v>
      </c>
      <c r="OZZ803" s="193" t="s">
        <v>1487</v>
      </c>
      <c r="PAA803" s="193" t="s">
        <v>1487</v>
      </c>
      <c r="PAB803" s="193" t="s">
        <v>1487</v>
      </c>
      <c r="PAC803" s="193" t="s">
        <v>1487</v>
      </c>
      <c r="PAD803" s="193" t="s">
        <v>1487</v>
      </c>
      <c r="PAE803" s="193" t="s">
        <v>1487</v>
      </c>
      <c r="PAF803" s="193" t="s">
        <v>1487</v>
      </c>
      <c r="PAG803" s="193" t="s">
        <v>1487</v>
      </c>
      <c r="PAH803" s="193" t="s">
        <v>1487</v>
      </c>
      <c r="PAI803" s="193" t="s">
        <v>1487</v>
      </c>
      <c r="PAJ803" s="193" t="s">
        <v>1487</v>
      </c>
      <c r="PAK803" s="193" t="s">
        <v>1487</v>
      </c>
      <c r="PAL803" s="193" t="s">
        <v>1487</v>
      </c>
      <c r="PAM803" s="193" t="s">
        <v>1487</v>
      </c>
      <c r="PAN803" s="193" t="s">
        <v>1487</v>
      </c>
      <c r="PAO803" s="193" t="s">
        <v>1487</v>
      </c>
      <c r="PAP803" s="193" t="s">
        <v>1487</v>
      </c>
      <c r="PAQ803" s="193" t="s">
        <v>1487</v>
      </c>
      <c r="PAR803" s="193" t="s">
        <v>1487</v>
      </c>
      <c r="PAS803" s="193" t="s">
        <v>1487</v>
      </c>
      <c r="PAT803" s="193" t="s">
        <v>1487</v>
      </c>
      <c r="PAU803" s="193" t="s">
        <v>1487</v>
      </c>
      <c r="PAV803" s="193" t="s">
        <v>1487</v>
      </c>
      <c r="PAW803" s="193" t="s">
        <v>1487</v>
      </c>
      <c r="PAX803" s="193" t="s">
        <v>1487</v>
      </c>
      <c r="PAY803" s="193" t="s">
        <v>1487</v>
      </c>
      <c r="PAZ803" s="193" t="s">
        <v>1487</v>
      </c>
      <c r="PBA803" s="193" t="s">
        <v>1487</v>
      </c>
      <c r="PBB803" s="193" t="s">
        <v>1487</v>
      </c>
      <c r="PBC803" s="193" t="s">
        <v>1487</v>
      </c>
      <c r="PBD803" s="193" t="s">
        <v>1487</v>
      </c>
      <c r="PBE803" s="193" t="s">
        <v>1487</v>
      </c>
      <c r="PBF803" s="193" t="s">
        <v>1487</v>
      </c>
      <c r="PBG803" s="193" t="s">
        <v>1487</v>
      </c>
      <c r="PBH803" s="193" t="s">
        <v>1487</v>
      </c>
      <c r="PBI803" s="193" t="s">
        <v>1487</v>
      </c>
      <c r="PBJ803" s="193" t="s">
        <v>1487</v>
      </c>
      <c r="PBK803" s="193" t="s">
        <v>1487</v>
      </c>
      <c r="PBL803" s="193" t="s">
        <v>1487</v>
      </c>
      <c r="PBM803" s="193" t="s">
        <v>1487</v>
      </c>
      <c r="PBN803" s="193" t="s">
        <v>1487</v>
      </c>
      <c r="PBO803" s="193" t="s">
        <v>1487</v>
      </c>
      <c r="PBP803" s="193" t="s">
        <v>1487</v>
      </c>
      <c r="PBQ803" s="193" t="s">
        <v>1487</v>
      </c>
      <c r="PBR803" s="193" t="s">
        <v>1487</v>
      </c>
      <c r="PBS803" s="193" t="s">
        <v>1487</v>
      </c>
      <c r="PBT803" s="193" t="s">
        <v>1487</v>
      </c>
      <c r="PBU803" s="193" t="s">
        <v>1487</v>
      </c>
      <c r="PBV803" s="193" t="s">
        <v>1487</v>
      </c>
      <c r="PBW803" s="193" t="s">
        <v>1487</v>
      </c>
      <c r="PBX803" s="193" t="s">
        <v>1487</v>
      </c>
      <c r="PBY803" s="193" t="s">
        <v>1487</v>
      </c>
      <c r="PBZ803" s="193" t="s">
        <v>1487</v>
      </c>
      <c r="PCA803" s="193" t="s">
        <v>1487</v>
      </c>
      <c r="PCB803" s="193" t="s">
        <v>1487</v>
      </c>
      <c r="PCC803" s="193" t="s">
        <v>1487</v>
      </c>
      <c r="PCD803" s="193" t="s">
        <v>1487</v>
      </c>
      <c r="PCE803" s="193" t="s">
        <v>1487</v>
      </c>
      <c r="PCF803" s="193" t="s">
        <v>1487</v>
      </c>
      <c r="PCG803" s="193" t="s">
        <v>1487</v>
      </c>
      <c r="PCH803" s="193" t="s">
        <v>1487</v>
      </c>
      <c r="PCI803" s="193" t="s">
        <v>1487</v>
      </c>
      <c r="PCJ803" s="193" t="s">
        <v>1487</v>
      </c>
      <c r="PCK803" s="193" t="s">
        <v>1487</v>
      </c>
      <c r="PCL803" s="193" t="s">
        <v>1487</v>
      </c>
      <c r="PCM803" s="193" t="s">
        <v>1487</v>
      </c>
      <c r="PCN803" s="193" t="s">
        <v>1487</v>
      </c>
      <c r="PCO803" s="193" t="s">
        <v>1487</v>
      </c>
      <c r="PCP803" s="193" t="s">
        <v>1487</v>
      </c>
      <c r="PCQ803" s="193" t="s">
        <v>1487</v>
      </c>
      <c r="PCR803" s="193" t="s">
        <v>1487</v>
      </c>
      <c r="PCS803" s="193" t="s">
        <v>1487</v>
      </c>
      <c r="PCT803" s="193" t="s">
        <v>1487</v>
      </c>
      <c r="PCU803" s="193" t="s">
        <v>1487</v>
      </c>
      <c r="PCV803" s="193" t="s">
        <v>1487</v>
      </c>
      <c r="PCW803" s="193" t="s">
        <v>1487</v>
      </c>
      <c r="PCX803" s="193" t="s">
        <v>1487</v>
      </c>
      <c r="PCY803" s="193" t="s">
        <v>1487</v>
      </c>
      <c r="PCZ803" s="193" t="s">
        <v>1487</v>
      </c>
      <c r="PDA803" s="193" t="s">
        <v>1487</v>
      </c>
      <c r="PDB803" s="193" t="s">
        <v>1487</v>
      </c>
      <c r="PDC803" s="193" t="s">
        <v>1487</v>
      </c>
      <c r="PDD803" s="193" t="s">
        <v>1487</v>
      </c>
      <c r="PDE803" s="193" t="s">
        <v>1487</v>
      </c>
      <c r="PDF803" s="193" t="s">
        <v>1487</v>
      </c>
      <c r="PDG803" s="193" t="s">
        <v>1487</v>
      </c>
      <c r="PDH803" s="193" t="s">
        <v>1487</v>
      </c>
      <c r="PDI803" s="193" t="s">
        <v>1487</v>
      </c>
      <c r="PDJ803" s="193" t="s">
        <v>1487</v>
      </c>
      <c r="PDK803" s="193" t="s">
        <v>1487</v>
      </c>
      <c r="PDL803" s="193" t="s">
        <v>1487</v>
      </c>
      <c r="PDM803" s="193" t="s">
        <v>1487</v>
      </c>
      <c r="PDN803" s="193" t="s">
        <v>1487</v>
      </c>
      <c r="PDO803" s="193" t="s">
        <v>1487</v>
      </c>
      <c r="PDP803" s="193" t="s">
        <v>1487</v>
      </c>
      <c r="PDQ803" s="193" t="s">
        <v>1487</v>
      </c>
      <c r="PDR803" s="193" t="s">
        <v>1487</v>
      </c>
      <c r="PDS803" s="193" t="s">
        <v>1487</v>
      </c>
      <c r="PDT803" s="193" t="s">
        <v>1487</v>
      </c>
      <c r="PDU803" s="193" t="s">
        <v>1487</v>
      </c>
      <c r="PDV803" s="193" t="s">
        <v>1487</v>
      </c>
      <c r="PDW803" s="193" t="s">
        <v>1487</v>
      </c>
      <c r="PDX803" s="193" t="s">
        <v>1487</v>
      </c>
      <c r="PDY803" s="193" t="s">
        <v>1487</v>
      </c>
      <c r="PDZ803" s="193" t="s">
        <v>1487</v>
      </c>
      <c r="PEA803" s="193" t="s">
        <v>1487</v>
      </c>
      <c r="PEB803" s="193" t="s">
        <v>1487</v>
      </c>
      <c r="PEC803" s="193" t="s">
        <v>1487</v>
      </c>
      <c r="PED803" s="193" t="s">
        <v>1487</v>
      </c>
      <c r="PEE803" s="193" t="s">
        <v>1487</v>
      </c>
      <c r="PEF803" s="193" t="s">
        <v>1487</v>
      </c>
      <c r="PEG803" s="193" t="s">
        <v>1487</v>
      </c>
      <c r="PEH803" s="193" t="s">
        <v>1487</v>
      </c>
      <c r="PEI803" s="193" t="s">
        <v>1487</v>
      </c>
      <c r="PEJ803" s="193" t="s">
        <v>1487</v>
      </c>
      <c r="PEK803" s="193" t="s">
        <v>1487</v>
      </c>
      <c r="PEL803" s="193" t="s">
        <v>1487</v>
      </c>
      <c r="PEM803" s="193" t="s">
        <v>1487</v>
      </c>
      <c r="PEN803" s="193" t="s">
        <v>1487</v>
      </c>
      <c r="PEO803" s="193" t="s">
        <v>1487</v>
      </c>
      <c r="PEP803" s="193" t="s">
        <v>1487</v>
      </c>
      <c r="PEQ803" s="193" t="s">
        <v>1487</v>
      </c>
      <c r="PER803" s="193" t="s">
        <v>1487</v>
      </c>
      <c r="PES803" s="193" t="s">
        <v>1487</v>
      </c>
      <c r="PET803" s="193" t="s">
        <v>1487</v>
      </c>
      <c r="PEU803" s="193" t="s">
        <v>1487</v>
      </c>
      <c r="PEV803" s="193" t="s">
        <v>1487</v>
      </c>
      <c r="PEW803" s="193" t="s">
        <v>1487</v>
      </c>
      <c r="PEX803" s="193" t="s">
        <v>1487</v>
      </c>
      <c r="PEY803" s="193" t="s">
        <v>1487</v>
      </c>
      <c r="PEZ803" s="193" t="s">
        <v>1487</v>
      </c>
      <c r="PFA803" s="193" t="s">
        <v>1487</v>
      </c>
      <c r="PFB803" s="193" t="s">
        <v>1487</v>
      </c>
      <c r="PFC803" s="193" t="s">
        <v>1487</v>
      </c>
      <c r="PFD803" s="193" t="s">
        <v>1487</v>
      </c>
      <c r="PFE803" s="193" t="s">
        <v>1487</v>
      </c>
      <c r="PFF803" s="193" t="s">
        <v>1487</v>
      </c>
      <c r="PFG803" s="193" t="s">
        <v>1487</v>
      </c>
      <c r="PFH803" s="193" t="s">
        <v>1487</v>
      </c>
      <c r="PFI803" s="193" t="s">
        <v>1487</v>
      </c>
      <c r="PFJ803" s="193" t="s">
        <v>1487</v>
      </c>
      <c r="PFK803" s="193" t="s">
        <v>1487</v>
      </c>
      <c r="PFL803" s="193" t="s">
        <v>1487</v>
      </c>
      <c r="PFM803" s="193" t="s">
        <v>1487</v>
      </c>
      <c r="PFN803" s="193" t="s">
        <v>1487</v>
      </c>
      <c r="PFO803" s="193" t="s">
        <v>1487</v>
      </c>
      <c r="PFP803" s="193" t="s">
        <v>1487</v>
      </c>
      <c r="PFQ803" s="193" t="s">
        <v>1487</v>
      </c>
      <c r="PFR803" s="193" t="s">
        <v>1487</v>
      </c>
      <c r="PFS803" s="193" t="s">
        <v>1487</v>
      </c>
      <c r="PFT803" s="193" t="s">
        <v>1487</v>
      </c>
      <c r="PFU803" s="193" t="s">
        <v>1487</v>
      </c>
      <c r="PFV803" s="193" t="s">
        <v>1487</v>
      </c>
      <c r="PFW803" s="193" t="s">
        <v>1487</v>
      </c>
      <c r="PFX803" s="193" t="s">
        <v>1487</v>
      </c>
      <c r="PFY803" s="193" t="s">
        <v>1487</v>
      </c>
      <c r="PFZ803" s="193" t="s">
        <v>1487</v>
      </c>
      <c r="PGA803" s="193" t="s">
        <v>1487</v>
      </c>
      <c r="PGB803" s="193" t="s">
        <v>1487</v>
      </c>
      <c r="PGC803" s="193" t="s">
        <v>1487</v>
      </c>
      <c r="PGD803" s="193" t="s">
        <v>1487</v>
      </c>
      <c r="PGE803" s="193" t="s">
        <v>1487</v>
      </c>
      <c r="PGF803" s="193" t="s">
        <v>1487</v>
      </c>
      <c r="PGG803" s="193" t="s">
        <v>1487</v>
      </c>
      <c r="PGH803" s="193" t="s">
        <v>1487</v>
      </c>
      <c r="PGI803" s="193" t="s">
        <v>1487</v>
      </c>
      <c r="PGJ803" s="193" t="s">
        <v>1487</v>
      </c>
      <c r="PGK803" s="193" t="s">
        <v>1487</v>
      </c>
      <c r="PGL803" s="193" t="s">
        <v>1487</v>
      </c>
      <c r="PGM803" s="193" t="s">
        <v>1487</v>
      </c>
      <c r="PGN803" s="193" t="s">
        <v>1487</v>
      </c>
      <c r="PGO803" s="193" t="s">
        <v>1487</v>
      </c>
      <c r="PGP803" s="193" t="s">
        <v>1487</v>
      </c>
      <c r="PGQ803" s="193" t="s">
        <v>1487</v>
      </c>
      <c r="PGR803" s="193" t="s">
        <v>1487</v>
      </c>
      <c r="PGS803" s="193" t="s">
        <v>1487</v>
      </c>
      <c r="PGT803" s="193" t="s">
        <v>1487</v>
      </c>
      <c r="PGU803" s="193" t="s">
        <v>1487</v>
      </c>
      <c r="PGV803" s="193" t="s">
        <v>1487</v>
      </c>
      <c r="PGW803" s="193" t="s">
        <v>1487</v>
      </c>
      <c r="PGX803" s="193" t="s">
        <v>1487</v>
      </c>
      <c r="PGY803" s="193" t="s">
        <v>1487</v>
      </c>
      <c r="PGZ803" s="193" t="s">
        <v>1487</v>
      </c>
      <c r="PHA803" s="193" t="s">
        <v>1487</v>
      </c>
      <c r="PHB803" s="193" t="s">
        <v>1487</v>
      </c>
      <c r="PHC803" s="193" t="s">
        <v>1487</v>
      </c>
      <c r="PHD803" s="193" t="s">
        <v>1487</v>
      </c>
      <c r="PHE803" s="193" t="s">
        <v>1487</v>
      </c>
      <c r="PHF803" s="193" t="s">
        <v>1487</v>
      </c>
      <c r="PHG803" s="193" t="s">
        <v>1487</v>
      </c>
      <c r="PHH803" s="193" t="s">
        <v>1487</v>
      </c>
      <c r="PHI803" s="193" t="s">
        <v>1487</v>
      </c>
      <c r="PHJ803" s="193" t="s">
        <v>1487</v>
      </c>
      <c r="PHK803" s="193" t="s">
        <v>1487</v>
      </c>
      <c r="PHL803" s="193" t="s">
        <v>1487</v>
      </c>
      <c r="PHM803" s="193" t="s">
        <v>1487</v>
      </c>
      <c r="PHN803" s="193" t="s">
        <v>1487</v>
      </c>
      <c r="PHO803" s="193" t="s">
        <v>1487</v>
      </c>
      <c r="PHP803" s="193" t="s">
        <v>1487</v>
      </c>
      <c r="PHQ803" s="193" t="s">
        <v>1487</v>
      </c>
      <c r="PHR803" s="193" t="s">
        <v>1487</v>
      </c>
      <c r="PHS803" s="193" t="s">
        <v>1487</v>
      </c>
      <c r="PHT803" s="193" t="s">
        <v>1487</v>
      </c>
      <c r="PHU803" s="193" t="s">
        <v>1487</v>
      </c>
      <c r="PHV803" s="193" t="s">
        <v>1487</v>
      </c>
      <c r="PHW803" s="193" t="s">
        <v>1487</v>
      </c>
      <c r="PHX803" s="193" t="s">
        <v>1487</v>
      </c>
      <c r="PHY803" s="193" t="s">
        <v>1487</v>
      </c>
      <c r="PHZ803" s="193" t="s">
        <v>1487</v>
      </c>
      <c r="PIA803" s="193" t="s">
        <v>1487</v>
      </c>
      <c r="PIB803" s="193" t="s">
        <v>1487</v>
      </c>
      <c r="PIC803" s="193" t="s">
        <v>1487</v>
      </c>
      <c r="PID803" s="193" t="s">
        <v>1487</v>
      </c>
      <c r="PIE803" s="193" t="s">
        <v>1487</v>
      </c>
      <c r="PIF803" s="193" t="s">
        <v>1487</v>
      </c>
      <c r="PIG803" s="193" t="s">
        <v>1487</v>
      </c>
      <c r="PIH803" s="193" t="s">
        <v>1487</v>
      </c>
      <c r="PII803" s="193" t="s">
        <v>1487</v>
      </c>
      <c r="PIJ803" s="193" t="s">
        <v>1487</v>
      </c>
      <c r="PIK803" s="193" t="s">
        <v>1487</v>
      </c>
      <c r="PIL803" s="193" t="s">
        <v>1487</v>
      </c>
      <c r="PIM803" s="193" t="s">
        <v>1487</v>
      </c>
      <c r="PIN803" s="193" t="s">
        <v>1487</v>
      </c>
      <c r="PIO803" s="193" t="s">
        <v>1487</v>
      </c>
      <c r="PIP803" s="193" t="s">
        <v>1487</v>
      </c>
      <c r="PIQ803" s="193" t="s">
        <v>1487</v>
      </c>
      <c r="PIR803" s="193" t="s">
        <v>1487</v>
      </c>
      <c r="PIS803" s="193" t="s">
        <v>1487</v>
      </c>
      <c r="PIT803" s="193" t="s">
        <v>1487</v>
      </c>
      <c r="PIU803" s="193" t="s">
        <v>1487</v>
      </c>
      <c r="PIV803" s="193" t="s">
        <v>1487</v>
      </c>
      <c r="PIW803" s="193" t="s">
        <v>1487</v>
      </c>
      <c r="PIX803" s="193" t="s">
        <v>1487</v>
      </c>
      <c r="PIY803" s="193" t="s">
        <v>1487</v>
      </c>
      <c r="PIZ803" s="193" t="s">
        <v>1487</v>
      </c>
      <c r="PJA803" s="193" t="s">
        <v>1487</v>
      </c>
      <c r="PJB803" s="193" t="s">
        <v>1487</v>
      </c>
      <c r="PJC803" s="193" t="s">
        <v>1487</v>
      </c>
      <c r="PJD803" s="193" t="s">
        <v>1487</v>
      </c>
      <c r="PJE803" s="193" t="s">
        <v>1487</v>
      </c>
      <c r="PJF803" s="193" t="s">
        <v>1487</v>
      </c>
      <c r="PJG803" s="193" t="s">
        <v>1487</v>
      </c>
      <c r="PJH803" s="193" t="s">
        <v>1487</v>
      </c>
      <c r="PJI803" s="193" t="s">
        <v>1487</v>
      </c>
      <c r="PJJ803" s="193" t="s">
        <v>1487</v>
      </c>
      <c r="PJK803" s="193" t="s">
        <v>1487</v>
      </c>
      <c r="PJL803" s="193" t="s">
        <v>1487</v>
      </c>
      <c r="PJM803" s="193" t="s">
        <v>1487</v>
      </c>
      <c r="PJN803" s="193" t="s">
        <v>1487</v>
      </c>
      <c r="PJO803" s="193" t="s">
        <v>1487</v>
      </c>
      <c r="PJP803" s="193" t="s">
        <v>1487</v>
      </c>
      <c r="PJQ803" s="193" t="s">
        <v>1487</v>
      </c>
      <c r="PJR803" s="193" t="s">
        <v>1487</v>
      </c>
      <c r="PJS803" s="193" t="s">
        <v>1487</v>
      </c>
      <c r="PJT803" s="193" t="s">
        <v>1487</v>
      </c>
      <c r="PJU803" s="193" t="s">
        <v>1487</v>
      </c>
      <c r="PJV803" s="193" t="s">
        <v>1487</v>
      </c>
      <c r="PJW803" s="193" t="s">
        <v>1487</v>
      </c>
      <c r="PJX803" s="193" t="s">
        <v>1487</v>
      </c>
      <c r="PJY803" s="193" t="s">
        <v>1487</v>
      </c>
      <c r="PJZ803" s="193" t="s">
        <v>1487</v>
      </c>
      <c r="PKA803" s="193" t="s">
        <v>1487</v>
      </c>
      <c r="PKB803" s="193" t="s">
        <v>1487</v>
      </c>
      <c r="PKC803" s="193" t="s">
        <v>1487</v>
      </c>
      <c r="PKD803" s="193" t="s">
        <v>1487</v>
      </c>
      <c r="PKE803" s="193" t="s">
        <v>1487</v>
      </c>
      <c r="PKF803" s="193" t="s">
        <v>1487</v>
      </c>
      <c r="PKG803" s="193" t="s">
        <v>1487</v>
      </c>
      <c r="PKH803" s="193" t="s">
        <v>1487</v>
      </c>
      <c r="PKI803" s="193" t="s">
        <v>1487</v>
      </c>
      <c r="PKJ803" s="193" t="s">
        <v>1487</v>
      </c>
      <c r="PKK803" s="193" t="s">
        <v>1487</v>
      </c>
      <c r="PKL803" s="193" t="s">
        <v>1487</v>
      </c>
      <c r="PKM803" s="193" t="s">
        <v>1487</v>
      </c>
      <c r="PKN803" s="193" t="s">
        <v>1487</v>
      </c>
      <c r="PKO803" s="193" t="s">
        <v>1487</v>
      </c>
      <c r="PKP803" s="193" t="s">
        <v>1487</v>
      </c>
      <c r="PKQ803" s="193" t="s">
        <v>1487</v>
      </c>
      <c r="PKR803" s="193" t="s">
        <v>1487</v>
      </c>
      <c r="PKS803" s="193" t="s">
        <v>1487</v>
      </c>
      <c r="PKT803" s="193" t="s">
        <v>1487</v>
      </c>
      <c r="PKU803" s="193" t="s">
        <v>1487</v>
      </c>
      <c r="PKV803" s="193" t="s">
        <v>1487</v>
      </c>
      <c r="PKW803" s="193" t="s">
        <v>1487</v>
      </c>
      <c r="PKX803" s="193" t="s">
        <v>1487</v>
      </c>
      <c r="PKY803" s="193" t="s">
        <v>1487</v>
      </c>
      <c r="PKZ803" s="193" t="s">
        <v>1487</v>
      </c>
      <c r="PLA803" s="193" t="s">
        <v>1487</v>
      </c>
      <c r="PLB803" s="193" t="s">
        <v>1487</v>
      </c>
      <c r="PLC803" s="193" t="s">
        <v>1487</v>
      </c>
      <c r="PLD803" s="193" t="s">
        <v>1487</v>
      </c>
      <c r="PLE803" s="193" t="s">
        <v>1487</v>
      </c>
      <c r="PLF803" s="193" t="s">
        <v>1487</v>
      </c>
      <c r="PLG803" s="193" t="s">
        <v>1487</v>
      </c>
      <c r="PLH803" s="193" t="s">
        <v>1487</v>
      </c>
      <c r="PLI803" s="193" t="s">
        <v>1487</v>
      </c>
      <c r="PLJ803" s="193" t="s">
        <v>1487</v>
      </c>
      <c r="PLK803" s="193" t="s">
        <v>1487</v>
      </c>
      <c r="PLL803" s="193" t="s">
        <v>1487</v>
      </c>
      <c r="PLM803" s="193" t="s">
        <v>1487</v>
      </c>
      <c r="PLN803" s="193" t="s">
        <v>1487</v>
      </c>
      <c r="PLO803" s="193" t="s">
        <v>1487</v>
      </c>
      <c r="PLP803" s="193" t="s">
        <v>1487</v>
      </c>
      <c r="PLQ803" s="193" t="s">
        <v>1487</v>
      </c>
      <c r="PLR803" s="193" t="s">
        <v>1487</v>
      </c>
      <c r="PLS803" s="193" t="s">
        <v>1487</v>
      </c>
      <c r="PLT803" s="193" t="s">
        <v>1487</v>
      </c>
      <c r="PLU803" s="193" t="s">
        <v>1487</v>
      </c>
      <c r="PLV803" s="193" t="s">
        <v>1487</v>
      </c>
      <c r="PLW803" s="193" t="s">
        <v>1487</v>
      </c>
      <c r="PLX803" s="193" t="s">
        <v>1487</v>
      </c>
      <c r="PLY803" s="193" t="s">
        <v>1487</v>
      </c>
      <c r="PLZ803" s="193" t="s">
        <v>1487</v>
      </c>
      <c r="PMA803" s="193" t="s">
        <v>1487</v>
      </c>
      <c r="PMB803" s="193" t="s">
        <v>1487</v>
      </c>
      <c r="PMC803" s="193" t="s">
        <v>1487</v>
      </c>
      <c r="PMD803" s="193" t="s">
        <v>1487</v>
      </c>
      <c r="PME803" s="193" t="s">
        <v>1487</v>
      </c>
      <c r="PMF803" s="193" t="s">
        <v>1487</v>
      </c>
      <c r="PMG803" s="193" t="s">
        <v>1487</v>
      </c>
      <c r="PMH803" s="193" t="s">
        <v>1487</v>
      </c>
      <c r="PMI803" s="193" t="s">
        <v>1487</v>
      </c>
      <c r="PMJ803" s="193" t="s">
        <v>1487</v>
      </c>
      <c r="PMK803" s="193" t="s">
        <v>1487</v>
      </c>
      <c r="PML803" s="193" t="s">
        <v>1487</v>
      </c>
      <c r="PMM803" s="193" t="s">
        <v>1487</v>
      </c>
      <c r="PMN803" s="193" t="s">
        <v>1487</v>
      </c>
      <c r="PMO803" s="193" t="s">
        <v>1487</v>
      </c>
      <c r="PMP803" s="193" t="s">
        <v>1487</v>
      </c>
      <c r="PMQ803" s="193" t="s">
        <v>1487</v>
      </c>
      <c r="PMR803" s="193" t="s">
        <v>1487</v>
      </c>
      <c r="PMS803" s="193" t="s">
        <v>1487</v>
      </c>
      <c r="PMT803" s="193" t="s">
        <v>1487</v>
      </c>
      <c r="PMU803" s="193" t="s">
        <v>1487</v>
      </c>
      <c r="PMV803" s="193" t="s">
        <v>1487</v>
      </c>
      <c r="PMW803" s="193" t="s">
        <v>1487</v>
      </c>
      <c r="PMX803" s="193" t="s">
        <v>1487</v>
      </c>
      <c r="PMY803" s="193" t="s">
        <v>1487</v>
      </c>
      <c r="PMZ803" s="193" t="s">
        <v>1487</v>
      </c>
      <c r="PNA803" s="193" t="s">
        <v>1487</v>
      </c>
      <c r="PNB803" s="193" t="s">
        <v>1487</v>
      </c>
      <c r="PNC803" s="193" t="s">
        <v>1487</v>
      </c>
      <c r="PND803" s="193" t="s">
        <v>1487</v>
      </c>
      <c r="PNE803" s="193" t="s">
        <v>1487</v>
      </c>
      <c r="PNF803" s="193" t="s">
        <v>1487</v>
      </c>
      <c r="PNG803" s="193" t="s">
        <v>1487</v>
      </c>
      <c r="PNH803" s="193" t="s">
        <v>1487</v>
      </c>
      <c r="PNI803" s="193" t="s">
        <v>1487</v>
      </c>
      <c r="PNJ803" s="193" t="s">
        <v>1487</v>
      </c>
      <c r="PNK803" s="193" t="s">
        <v>1487</v>
      </c>
      <c r="PNL803" s="193" t="s">
        <v>1487</v>
      </c>
      <c r="PNM803" s="193" t="s">
        <v>1487</v>
      </c>
      <c r="PNN803" s="193" t="s">
        <v>1487</v>
      </c>
      <c r="PNO803" s="193" t="s">
        <v>1487</v>
      </c>
      <c r="PNP803" s="193" t="s">
        <v>1487</v>
      </c>
      <c r="PNQ803" s="193" t="s">
        <v>1487</v>
      </c>
      <c r="PNR803" s="193" t="s">
        <v>1487</v>
      </c>
      <c r="PNS803" s="193" t="s">
        <v>1487</v>
      </c>
      <c r="PNT803" s="193" t="s">
        <v>1487</v>
      </c>
      <c r="PNU803" s="193" t="s">
        <v>1487</v>
      </c>
      <c r="PNV803" s="193" t="s">
        <v>1487</v>
      </c>
      <c r="PNW803" s="193" t="s">
        <v>1487</v>
      </c>
      <c r="PNX803" s="193" t="s">
        <v>1487</v>
      </c>
      <c r="PNY803" s="193" t="s">
        <v>1487</v>
      </c>
      <c r="PNZ803" s="193" t="s">
        <v>1487</v>
      </c>
      <c r="POA803" s="193" t="s">
        <v>1487</v>
      </c>
      <c r="POB803" s="193" t="s">
        <v>1487</v>
      </c>
      <c r="POC803" s="193" t="s">
        <v>1487</v>
      </c>
      <c r="POD803" s="193" t="s">
        <v>1487</v>
      </c>
      <c r="POE803" s="193" t="s">
        <v>1487</v>
      </c>
      <c r="POF803" s="193" t="s">
        <v>1487</v>
      </c>
      <c r="POG803" s="193" t="s">
        <v>1487</v>
      </c>
      <c r="POH803" s="193" t="s">
        <v>1487</v>
      </c>
      <c r="POI803" s="193" t="s">
        <v>1487</v>
      </c>
      <c r="POJ803" s="193" t="s">
        <v>1487</v>
      </c>
      <c r="POK803" s="193" t="s">
        <v>1487</v>
      </c>
      <c r="POL803" s="193" t="s">
        <v>1487</v>
      </c>
      <c r="POM803" s="193" t="s">
        <v>1487</v>
      </c>
      <c r="PON803" s="193" t="s">
        <v>1487</v>
      </c>
      <c r="POO803" s="193" t="s">
        <v>1487</v>
      </c>
      <c r="POP803" s="193" t="s">
        <v>1487</v>
      </c>
      <c r="POQ803" s="193" t="s">
        <v>1487</v>
      </c>
      <c r="POR803" s="193" t="s">
        <v>1487</v>
      </c>
      <c r="POS803" s="193" t="s">
        <v>1487</v>
      </c>
      <c r="POT803" s="193" t="s">
        <v>1487</v>
      </c>
      <c r="POU803" s="193" t="s">
        <v>1487</v>
      </c>
      <c r="POV803" s="193" t="s">
        <v>1487</v>
      </c>
      <c r="POW803" s="193" t="s">
        <v>1487</v>
      </c>
      <c r="POX803" s="193" t="s">
        <v>1487</v>
      </c>
      <c r="POY803" s="193" t="s">
        <v>1487</v>
      </c>
      <c r="POZ803" s="193" t="s">
        <v>1487</v>
      </c>
      <c r="PPA803" s="193" t="s">
        <v>1487</v>
      </c>
      <c r="PPB803" s="193" t="s">
        <v>1487</v>
      </c>
      <c r="PPC803" s="193" t="s">
        <v>1487</v>
      </c>
      <c r="PPD803" s="193" t="s">
        <v>1487</v>
      </c>
      <c r="PPE803" s="193" t="s">
        <v>1487</v>
      </c>
      <c r="PPF803" s="193" t="s">
        <v>1487</v>
      </c>
      <c r="PPG803" s="193" t="s">
        <v>1487</v>
      </c>
      <c r="PPH803" s="193" t="s">
        <v>1487</v>
      </c>
      <c r="PPI803" s="193" t="s">
        <v>1487</v>
      </c>
      <c r="PPJ803" s="193" t="s">
        <v>1487</v>
      </c>
      <c r="PPK803" s="193" t="s">
        <v>1487</v>
      </c>
      <c r="PPL803" s="193" t="s">
        <v>1487</v>
      </c>
      <c r="PPM803" s="193" t="s">
        <v>1487</v>
      </c>
      <c r="PPN803" s="193" t="s">
        <v>1487</v>
      </c>
      <c r="PPO803" s="193" t="s">
        <v>1487</v>
      </c>
      <c r="PPP803" s="193" t="s">
        <v>1487</v>
      </c>
      <c r="PPQ803" s="193" t="s">
        <v>1487</v>
      </c>
      <c r="PPR803" s="193" t="s">
        <v>1487</v>
      </c>
      <c r="PPS803" s="193" t="s">
        <v>1487</v>
      </c>
      <c r="PPT803" s="193" t="s">
        <v>1487</v>
      </c>
      <c r="PPU803" s="193" t="s">
        <v>1487</v>
      </c>
      <c r="PPV803" s="193" t="s">
        <v>1487</v>
      </c>
      <c r="PPW803" s="193" t="s">
        <v>1487</v>
      </c>
      <c r="PPX803" s="193" t="s">
        <v>1487</v>
      </c>
      <c r="PPY803" s="193" t="s">
        <v>1487</v>
      </c>
      <c r="PPZ803" s="193" t="s">
        <v>1487</v>
      </c>
      <c r="PQA803" s="193" t="s">
        <v>1487</v>
      </c>
      <c r="PQB803" s="193" t="s">
        <v>1487</v>
      </c>
      <c r="PQC803" s="193" t="s">
        <v>1487</v>
      </c>
      <c r="PQD803" s="193" t="s">
        <v>1487</v>
      </c>
      <c r="PQE803" s="193" t="s">
        <v>1487</v>
      </c>
      <c r="PQF803" s="193" t="s">
        <v>1487</v>
      </c>
      <c r="PQG803" s="193" t="s">
        <v>1487</v>
      </c>
      <c r="PQH803" s="193" t="s">
        <v>1487</v>
      </c>
      <c r="PQI803" s="193" t="s">
        <v>1487</v>
      </c>
      <c r="PQJ803" s="193" t="s">
        <v>1487</v>
      </c>
      <c r="PQK803" s="193" t="s">
        <v>1487</v>
      </c>
      <c r="PQL803" s="193" t="s">
        <v>1487</v>
      </c>
      <c r="PQM803" s="193" t="s">
        <v>1487</v>
      </c>
      <c r="PQN803" s="193" t="s">
        <v>1487</v>
      </c>
      <c r="PQO803" s="193" t="s">
        <v>1487</v>
      </c>
      <c r="PQP803" s="193" t="s">
        <v>1487</v>
      </c>
      <c r="PQQ803" s="193" t="s">
        <v>1487</v>
      </c>
      <c r="PQR803" s="193" t="s">
        <v>1487</v>
      </c>
      <c r="PQS803" s="193" t="s">
        <v>1487</v>
      </c>
      <c r="PQT803" s="193" t="s">
        <v>1487</v>
      </c>
      <c r="PQU803" s="193" t="s">
        <v>1487</v>
      </c>
      <c r="PQV803" s="193" t="s">
        <v>1487</v>
      </c>
      <c r="PQW803" s="193" t="s">
        <v>1487</v>
      </c>
      <c r="PQX803" s="193" t="s">
        <v>1487</v>
      </c>
      <c r="PQY803" s="193" t="s">
        <v>1487</v>
      </c>
      <c r="PQZ803" s="193" t="s">
        <v>1487</v>
      </c>
      <c r="PRA803" s="193" t="s">
        <v>1487</v>
      </c>
      <c r="PRB803" s="193" t="s">
        <v>1487</v>
      </c>
      <c r="PRC803" s="193" t="s">
        <v>1487</v>
      </c>
      <c r="PRD803" s="193" t="s">
        <v>1487</v>
      </c>
      <c r="PRE803" s="193" t="s">
        <v>1487</v>
      </c>
      <c r="PRF803" s="193" t="s">
        <v>1487</v>
      </c>
      <c r="PRG803" s="193" t="s">
        <v>1487</v>
      </c>
      <c r="PRH803" s="193" t="s">
        <v>1487</v>
      </c>
      <c r="PRI803" s="193" t="s">
        <v>1487</v>
      </c>
      <c r="PRJ803" s="193" t="s">
        <v>1487</v>
      </c>
      <c r="PRK803" s="193" t="s">
        <v>1487</v>
      </c>
      <c r="PRL803" s="193" t="s">
        <v>1487</v>
      </c>
      <c r="PRM803" s="193" t="s">
        <v>1487</v>
      </c>
      <c r="PRN803" s="193" t="s">
        <v>1487</v>
      </c>
      <c r="PRO803" s="193" t="s">
        <v>1487</v>
      </c>
      <c r="PRP803" s="193" t="s">
        <v>1487</v>
      </c>
      <c r="PRQ803" s="193" t="s">
        <v>1487</v>
      </c>
      <c r="PRR803" s="193" t="s">
        <v>1487</v>
      </c>
      <c r="PRS803" s="193" t="s">
        <v>1487</v>
      </c>
      <c r="PRT803" s="193" t="s">
        <v>1487</v>
      </c>
      <c r="PRU803" s="193" t="s">
        <v>1487</v>
      </c>
      <c r="PRV803" s="193" t="s">
        <v>1487</v>
      </c>
      <c r="PRW803" s="193" t="s">
        <v>1487</v>
      </c>
      <c r="PRX803" s="193" t="s">
        <v>1487</v>
      </c>
      <c r="PRY803" s="193" t="s">
        <v>1487</v>
      </c>
      <c r="PRZ803" s="193" t="s">
        <v>1487</v>
      </c>
      <c r="PSA803" s="193" t="s">
        <v>1487</v>
      </c>
      <c r="PSB803" s="193" t="s">
        <v>1487</v>
      </c>
      <c r="PSC803" s="193" t="s">
        <v>1487</v>
      </c>
      <c r="PSD803" s="193" t="s">
        <v>1487</v>
      </c>
      <c r="PSE803" s="193" t="s">
        <v>1487</v>
      </c>
      <c r="PSF803" s="193" t="s">
        <v>1487</v>
      </c>
      <c r="PSG803" s="193" t="s">
        <v>1487</v>
      </c>
      <c r="PSH803" s="193" t="s">
        <v>1487</v>
      </c>
      <c r="PSI803" s="193" t="s">
        <v>1487</v>
      </c>
      <c r="PSJ803" s="193" t="s">
        <v>1487</v>
      </c>
      <c r="PSK803" s="193" t="s">
        <v>1487</v>
      </c>
      <c r="PSL803" s="193" t="s">
        <v>1487</v>
      </c>
      <c r="PSM803" s="193" t="s">
        <v>1487</v>
      </c>
      <c r="PSN803" s="193" t="s">
        <v>1487</v>
      </c>
      <c r="PSO803" s="193" t="s">
        <v>1487</v>
      </c>
      <c r="PSP803" s="193" t="s">
        <v>1487</v>
      </c>
      <c r="PSQ803" s="193" t="s">
        <v>1487</v>
      </c>
      <c r="PSR803" s="193" t="s">
        <v>1487</v>
      </c>
      <c r="PSS803" s="193" t="s">
        <v>1487</v>
      </c>
      <c r="PST803" s="193" t="s">
        <v>1487</v>
      </c>
      <c r="PSU803" s="193" t="s">
        <v>1487</v>
      </c>
      <c r="PSV803" s="193" t="s">
        <v>1487</v>
      </c>
      <c r="PSW803" s="193" t="s">
        <v>1487</v>
      </c>
      <c r="PSX803" s="193" t="s">
        <v>1487</v>
      </c>
      <c r="PSY803" s="193" t="s">
        <v>1487</v>
      </c>
      <c r="PSZ803" s="193" t="s">
        <v>1487</v>
      </c>
      <c r="PTA803" s="193" t="s">
        <v>1487</v>
      </c>
      <c r="PTB803" s="193" t="s">
        <v>1487</v>
      </c>
      <c r="PTC803" s="193" t="s">
        <v>1487</v>
      </c>
      <c r="PTD803" s="193" t="s">
        <v>1487</v>
      </c>
      <c r="PTE803" s="193" t="s">
        <v>1487</v>
      </c>
      <c r="PTF803" s="193" t="s">
        <v>1487</v>
      </c>
      <c r="PTG803" s="193" t="s">
        <v>1487</v>
      </c>
      <c r="PTH803" s="193" t="s">
        <v>1487</v>
      </c>
      <c r="PTI803" s="193" t="s">
        <v>1487</v>
      </c>
      <c r="PTJ803" s="193" t="s">
        <v>1487</v>
      </c>
      <c r="PTK803" s="193" t="s">
        <v>1487</v>
      </c>
      <c r="PTL803" s="193" t="s">
        <v>1487</v>
      </c>
      <c r="PTM803" s="193" t="s">
        <v>1487</v>
      </c>
      <c r="PTN803" s="193" t="s">
        <v>1487</v>
      </c>
      <c r="PTO803" s="193" t="s">
        <v>1487</v>
      </c>
      <c r="PTP803" s="193" t="s">
        <v>1487</v>
      </c>
      <c r="PTQ803" s="193" t="s">
        <v>1487</v>
      </c>
      <c r="PTR803" s="193" t="s">
        <v>1487</v>
      </c>
      <c r="PTS803" s="193" t="s">
        <v>1487</v>
      </c>
      <c r="PTT803" s="193" t="s">
        <v>1487</v>
      </c>
      <c r="PTU803" s="193" t="s">
        <v>1487</v>
      </c>
      <c r="PTV803" s="193" t="s">
        <v>1487</v>
      </c>
      <c r="PTW803" s="193" t="s">
        <v>1487</v>
      </c>
      <c r="PTX803" s="193" t="s">
        <v>1487</v>
      </c>
      <c r="PTY803" s="193" t="s">
        <v>1487</v>
      </c>
      <c r="PTZ803" s="193" t="s">
        <v>1487</v>
      </c>
      <c r="PUA803" s="193" t="s">
        <v>1487</v>
      </c>
      <c r="PUB803" s="193" t="s">
        <v>1487</v>
      </c>
      <c r="PUC803" s="193" t="s">
        <v>1487</v>
      </c>
      <c r="PUD803" s="193" t="s">
        <v>1487</v>
      </c>
      <c r="PUE803" s="193" t="s">
        <v>1487</v>
      </c>
      <c r="PUF803" s="193" t="s">
        <v>1487</v>
      </c>
      <c r="PUG803" s="193" t="s">
        <v>1487</v>
      </c>
      <c r="PUH803" s="193" t="s">
        <v>1487</v>
      </c>
      <c r="PUI803" s="193" t="s">
        <v>1487</v>
      </c>
      <c r="PUJ803" s="193" t="s">
        <v>1487</v>
      </c>
      <c r="PUK803" s="193" t="s">
        <v>1487</v>
      </c>
      <c r="PUL803" s="193" t="s">
        <v>1487</v>
      </c>
      <c r="PUM803" s="193" t="s">
        <v>1487</v>
      </c>
      <c r="PUN803" s="193" t="s">
        <v>1487</v>
      </c>
      <c r="PUO803" s="193" t="s">
        <v>1487</v>
      </c>
      <c r="PUP803" s="193" t="s">
        <v>1487</v>
      </c>
      <c r="PUQ803" s="193" t="s">
        <v>1487</v>
      </c>
      <c r="PUR803" s="193" t="s">
        <v>1487</v>
      </c>
      <c r="PUS803" s="193" t="s">
        <v>1487</v>
      </c>
      <c r="PUT803" s="193" t="s">
        <v>1487</v>
      </c>
      <c r="PUU803" s="193" t="s">
        <v>1487</v>
      </c>
      <c r="PUV803" s="193" t="s">
        <v>1487</v>
      </c>
      <c r="PUW803" s="193" t="s">
        <v>1487</v>
      </c>
      <c r="PUX803" s="193" t="s">
        <v>1487</v>
      </c>
      <c r="PUY803" s="193" t="s">
        <v>1487</v>
      </c>
      <c r="PUZ803" s="193" t="s">
        <v>1487</v>
      </c>
      <c r="PVA803" s="193" t="s">
        <v>1487</v>
      </c>
      <c r="PVB803" s="193" t="s">
        <v>1487</v>
      </c>
      <c r="PVC803" s="193" t="s">
        <v>1487</v>
      </c>
      <c r="PVD803" s="193" t="s">
        <v>1487</v>
      </c>
      <c r="PVE803" s="193" t="s">
        <v>1487</v>
      </c>
      <c r="PVF803" s="193" t="s">
        <v>1487</v>
      </c>
      <c r="PVG803" s="193" t="s">
        <v>1487</v>
      </c>
      <c r="PVH803" s="193" t="s">
        <v>1487</v>
      </c>
      <c r="PVI803" s="193" t="s">
        <v>1487</v>
      </c>
      <c r="PVJ803" s="193" t="s">
        <v>1487</v>
      </c>
      <c r="PVK803" s="193" t="s">
        <v>1487</v>
      </c>
      <c r="PVL803" s="193" t="s">
        <v>1487</v>
      </c>
      <c r="PVM803" s="193" t="s">
        <v>1487</v>
      </c>
      <c r="PVN803" s="193" t="s">
        <v>1487</v>
      </c>
      <c r="PVO803" s="193" t="s">
        <v>1487</v>
      </c>
      <c r="PVP803" s="193" t="s">
        <v>1487</v>
      </c>
      <c r="PVQ803" s="193" t="s">
        <v>1487</v>
      </c>
      <c r="PVR803" s="193" t="s">
        <v>1487</v>
      </c>
      <c r="PVS803" s="193" t="s">
        <v>1487</v>
      </c>
      <c r="PVT803" s="193" t="s">
        <v>1487</v>
      </c>
      <c r="PVU803" s="193" t="s">
        <v>1487</v>
      </c>
      <c r="PVV803" s="193" t="s">
        <v>1487</v>
      </c>
      <c r="PVW803" s="193" t="s">
        <v>1487</v>
      </c>
      <c r="PVX803" s="193" t="s">
        <v>1487</v>
      </c>
      <c r="PVY803" s="193" t="s">
        <v>1487</v>
      </c>
      <c r="PVZ803" s="193" t="s">
        <v>1487</v>
      </c>
      <c r="PWA803" s="193" t="s">
        <v>1487</v>
      </c>
      <c r="PWB803" s="193" t="s">
        <v>1487</v>
      </c>
      <c r="PWC803" s="193" t="s">
        <v>1487</v>
      </c>
      <c r="PWD803" s="193" t="s">
        <v>1487</v>
      </c>
      <c r="PWE803" s="193" t="s">
        <v>1487</v>
      </c>
      <c r="PWF803" s="193" t="s">
        <v>1487</v>
      </c>
      <c r="PWG803" s="193" t="s">
        <v>1487</v>
      </c>
      <c r="PWH803" s="193" t="s">
        <v>1487</v>
      </c>
      <c r="PWI803" s="193" t="s">
        <v>1487</v>
      </c>
      <c r="PWJ803" s="193" t="s">
        <v>1487</v>
      </c>
      <c r="PWK803" s="193" t="s">
        <v>1487</v>
      </c>
      <c r="PWL803" s="193" t="s">
        <v>1487</v>
      </c>
      <c r="PWM803" s="193" t="s">
        <v>1487</v>
      </c>
      <c r="PWN803" s="193" t="s">
        <v>1487</v>
      </c>
      <c r="PWO803" s="193" t="s">
        <v>1487</v>
      </c>
      <c r="PWP803" s="193" t="s">
        <v>1487</v>
      </c>
      <c r="PWQ803" s="193" t="s">
        <v>1487</v>
      </c>
      <c r="PWR803" s="193" t="s">
        <v>1487</v>
      </c>
      <c r="PWS803" s="193" t="s">
        <v>1487</v>
      </c>
      <c r="PWT803" s="193" t="s">
        <v>1487</v>
      </c>
      <c r="PWU803" s="193" t="s">
        <v>1487</v>
      </c>
      <c r="PWV803" s="193" t="s">
        <v>1487</v>
      </c>
      <c r="PWW803" s="193" t="s">
        <v>1487</v>
      </c>
      <c r="PWX803" s="193" t="s">
        <v>1487</v>
      </c>
      <c r="PWY803" s="193" t="s">
        <v>1487</v>
      </c>
      <c r="PWZ803" s="193" t="s">
        <v>1487</v>
      </c>
      <c r="PXA803" s="193" t="s">
        <v>1487</v>
      </c>
      <c r="PXB803" s="193" t="s">
        <v>1487</v>
      </c>
      <c r="PXC803" s="193" t="s">
        <v>1487</v>
      </c>
      <c r="PXD803" s="193" t="s">
        <v>1487</v>
      </c>
      <c r="PXE803" s="193" t="s">
        <v>1487</v>
      </c>
      <c r="PXF803" s="193" t="s">
        <v>1487</v>
      </c>
      <c r="PXG803" s="193" t="s">
        <v>1487</v>
      </c>
      <c r="PXH803" s="193" t="s">
        <v>1487</v>
      </c>
      <c r="PXI803" s="193" t="s">
        <v>1487</v>
      </c>
      <c r="PXJ803" s="193" t="s">
        <v>1487</v>
      </c>
      <c r="PXK803" s="193" t="s">
        <v>1487</v>
      </c>
      <c r="PXL803" s="193" t="s">
        <v>1487</v>
      </c>
      <c r="PXM803" s="193" t="s">
        <v>1487</v>
      </c>
      <c r="PXN803" s="193" t="s">
        <v>1487</v>
      </c>
      <c r="PXO803" s="193" t="s">
        <v>1487</v>
      </c>
      <c r="PXP803" s="193" t="s">
        <v>1487</v>
      </c>
      <c r="PXQ803" s="193" t="s">
        <v>1487</v>
      </c>
      <c r="PXR803" s="193" t="s">
        <v>1487</v>
      </c>
      <c r="PXS803" s="193" t="s">
        <v>1487</v>
      </c>
      <c r="PXT803" s="193" t="s">
        <v>1487</v>
      </c>
      <c r="PXU803" s="193" t="s">
        <v>1487</v>
      </c>
      <c r="PXV803" s="193" t="s">
        <v>1487</v>
      </c>
      <c r="PXW803" s="193" t="s">
        <v>1487</v>
      </c>
      <c r="PXX803" s="193" t="s">
        <v>1487</v>
      </c>
      <c r="PXY803" s="193" t="s">
        <v>1487</v>
      </c>
      <c r="PXZ803" s="193" t="s">
        <v>1487</v>
      </c>
      <c r="PYA803" s="193" t="s">
        <v>1487</v>
      </c>
      <c r="PYB803" s="193" t="s">
        <v>1487</v>
      </c>
      <c r="PYC803" s="193" t="s">
        <v>1487</v>
      </c>
      <c r="PYD803" s="193" t="s">
        <v>1487</v>
      </c>
      <c r="PYE803" s="193" t="s">
        <v>1487</v>
      </c>
      <c r="PYF803" s="193" t="s">
        <v>1487</v>
      </c>
      <c r="PYG803" s="193" t="s">
        <v>1487</v>
      </c>
      <c r="PYH803" s="193" t="s">
        <v>1487</v>
      </c>
      <c r="PYI803" s="193" t="s">
        <v>1487</v>
      </c>
      <c r="PYJ803" s="193" t="s">
        <v>1487</v>
      </c>
      <c r="PYK803" s="193" t="s">
        <v>1487</v>
      </c>
      <c r="PYL803" s="193" t="s">
        <v>1487</v>
      </c>
      <c r="PYM803" s="193" t="s">
        <v>1487</v>
      </c>
      <c r="PYN803" s="193" t="s">
        <v>1487</v>
      </c>
      <c r="PYO803" s="193" t="s">
        <v>1487</v>
      </c>
      <c r="PYP803" s="193" t="s">
        <v>1487</v>
      </c>
      <c r="PYQ803" s="193" t="s">
        <v>1487</v>
      </c>
      <c r="PYR803" s="193" t="s">
        <v>1487</v>
      </c>
      <c r="PYS803" s="193" t="s">
        <v>1487</v>
      </c>
      <c r="PYT803" s="193" t="s">
        <v>1487</v>
      </c>
      <c r="PYU803" s="193" t="s">
        <v>1487</v>
      </c>
      <c r="PYV803" s="193" t="s">
        <v>1487</v>
      </c>
      <c r="PYW803" s="193" t="s">
        <v>1487</v>
      </c>
      <c r="PYX803" s="193" t="s">
        <v>1487</v>
      </c>
      <c r="PYY803" s="193" t="s">
        <v>1487</v>
      </c>
      <c r="PYZ803" s="193" t="s">
        <v>1487</v>
      </c>
      <c r="PZA803" s="193" t="s">
        <v>1487</v>
      </c>
      <c r="PZB803" s="193" t="s">
        <v>1487</v>
      </c>
      <c r="PZC803" s="193" t="s">
        <v>1487</v>
      </c>
      <c r="PZD803" s="193" t="s">
        <v>1487</v>
      </c>
      <c r="PZE803" s="193" t="s">
        <v>1487</v>
      </c>
      <c r="PZF803" s="193" t="s">
        <v>1487</v>
      </c>
      <c r="PZG803" s="193" t="s">
        <v>1487</v>
      </c>
      <c r="PZH803" s="193" t="s">
        <v>1487</v>
      </c>
      <c r="PZI803" s="193" t="s">
        <v>1487</v>
      </c>
      <c r="PZJ803" s="193" t="s">
        <v>1487</v>
      </c>
      <c r="PZK803" s="193" t="s">
        <v>1487</v>
      </c>
      <c r="PZL803" s="193" t="s">
        <v>1487</v>
      </c>
      <c r="PZM803" s="193" t="s">
        <v>1487</v>
      </c>
      <c r="PZN803" s="193" t="s">
        <v>1487</v>
      </c>
      <c r="PZO803" s="193" t="s">
        <v>1487</v>
      </c>
      <c r="PZP803" s="193" t="s">
        <v>1487</v>
      </c>
      <c r="PZQ803" s="193" t="s">
        <v>1487</v>
      </c>
      <c r="PZR803" s="193" t="s">
        <v>1487</v>
      </c>
      <c r="PZS803" s="193" t="s">
        <v>1487</v>
      </c>
      <c r="PZT803" s="193" t="s">
        <v>1487</v>
      </c>
      <c r="PZU803" s="193" t="s">
        <v>1487</v>
      </c>
      <c r="PZV803" s="193" t="s">
        <v>1487</v>
      </c>
      <c r="PZW803" s="193" t="s">
        <v>1487</v>
      </c>
      <c r="PZX803" s="193" t="s">
        <v>1487</v>
      </c>
      <c r="PZY803" s="193" t="s">
        <v>1487</v>
      </c>
      <c r="PZZ803" s="193" t="s">
        <v>1487</v>
      </c>
      <c r="QAA803" s="193" t="s">
        <v>1487</v>
      </c>
      <c r="QAB803" s="193" t="s">
        <v>1487</v>
      </c>
      <c r="QAC803" s="193" t="s">
        <v>1487</v>
      </c>
      <c r="QAD803" s="193" t="s">
        <v>1487</v>
      </c>
      <c r="QAE803" s="193" t="s">
        <v>1487</v>
      </c>
      <c r="QAF803" s="193" t="s">
        <v>1487</v>
      </c>
      <c r="QAG803" s="193" t="s">
        <v>1487</v>
      </c>
      <c r="QAH803" s="193" t="s">
        <v>1487</v>
      </c>
      <c r="QAI803" s="193" t="s">
        <v>1487</v>
      </c>
      <c r="QAJ803" s="193" t="s">
        <v>1487</v>
      </c>
      <c r="QAK803" s="193" t="s">
        <v>1487</v>
      </c>
      <c r="QAL803" s="193" t="s">
        <v>1487</v>
      </c>
      <c r="QAM803" s="193" t="s">
        <v>1487</v>
      </c>
      <c r="QAN803" s="193" t="s">
        <v>1487</v>
      </c>
      <c r="QAO803" s="193" t="s">
        <v>1487</v>
      </c>
      <c r="QAP803" s="193" t="s">
        <v>1487</v>
      </c>
      <c r="QAQ803" s="193" t="s">
        <v>1487</v>
      </c>
      <c r="QAR803" s="193" t="s">
        <v>1487</v>
      </c>
      <c r="QAS803" s="193" t="s">
        <v>1487</v>
      </c>
      <c r="QAT803" s="193" t="s">
        <v>1487</v>
      </c>
      <c r="QAU803" s="193" t="s">
        <v>1487</v>
      </c>
      <c r="QAV803" s="193" t="s">
        <v>1487</v>
      </c>
      <c r="QAW803" s="193" t="s">
        <v>1487</v>
      </c>
      <c r="QAX803" s="193" t="s">
        <v>1487</v>
      </c>
      <c r="QAY803" s="193" t="s">
        <v>1487</v>
      </c>
      <c r="QAZ803" s="193" t="s">
        <v>1487</v>
      </c>
      <c r="QBA803" s="193" t="s">
        <v>1487</v>
      </c>
      <c r="QBB803" s="193" t="s">
        <v>1487</v>
      </c>
      <c r="QBC803" s="193" t="s">
        <v>1487</v>
      </c>
      <c r="QBD803" s="193" t="s">
        <v>1487</v>
      </c>
      <c r="QBE803" s="193" t="s">
        <v>1487</v>
      </c>
      <c r="QBF803" s="193" t="s">
        <v>1487</v>
      </c>
      <c r="QBG803" s="193" t="s">
        <v>1487</v>
      </c>
      <c r="QBH803" s="193" t="s">
        <v>1487</v>
      </c>
      <c r="QBI803" s="193" t="s">
        <v>1487</v>
      </c>
      <c r="QBJ803" s="193" t="s">
        <v>1487</v>
      </c>
      <c r="QBK803" s="193" t="s">
        <v>1487</v>
      </c>
      <c r="QBL803" s="193" t="s">
        <v>1487</v>
      </c>
      <c r="QBM803" s="193" t="s">
        <v>1487</v>
      </c>
      <c r="QBN803" s="193" t="s">
        <v>1487</v>
      </c>
      <c r="QBO803" s="193" t="s">
        <v>1487</v>
      </c>
      <c r="QBP803" s="193" t="s">
        <v>1487</v>
      </c>
      <c r="QBQ803" s="193" t="s">
        <v>1487</v>
      </c>
      <c r="QBR803" s="193" t="s">
        <v>1487</v>
      </c>
      <c r="QBS803" s="193" t="s">
        <v>1487</v>
      </c>
      <c r="QBT803" s="193" t="s">
        <v>1487</v>
      </c>
      <c r="QBU803" s="193" t="s">
        <v>1487</v>
      </c>
      <c r="QBV803" s="193" t="s">
        <v>1487</v>
      </c>
      <c r="QBW803" s="193" t="s">
        <v>1487</v>
      </c>
      <c r="QBX803" s="193" t="s">
        <v>1487</v>
      </c>
      <c r="QBY803" s="193" t="s">
        <v>1487</v>
      </c>
      <c r="QBZ803" s="193" t="s">
        <v>1487</v>
      </c>
      <c r="QCA803" s="193" t="s">
        <v>1487</v>
      </c>
      <c r="QCB803" s="193" t="s">
        <v>1487</v>
      </c>
      <c r="QCC803" s="193" t="s">
        <v>1487</v>
      </c>
      <c r="QCD803" s="193" t="s">
        <v>1487</v>
      </c>
      <c r="QCE803" s="193" t="s">
        <v>1487</v>
      </c>
      <c r="QCF803" s="193" t="s">
        <v>1487</v>
      </c>
      <c r="QCG803" s="193" t="s">
        <v>1487</v>
      </c>
      <c r="QCH803" s="193" t="s">
        <v>1487</v>
      </c>
      <c r="QCI803" s="193" t="s">
        <v>1487</v>
      </c>
      <c r="QCJ803" s="193" t="s">
        <v>1487</v>
      </c>
      <c r="QCK803" s="193" t="s">
        <v>1487</v>
      </c>
      <c r="QCL803" s="193" t="s">
        <v>1487</v>
      </c>
      <c r="QCM803" s="193" t="s">
        <v>1487</v>
      </c>
      <c r="QCN803" s="193" t="s">
        <v>1487</v>
      </c>
      <c r="QCO803" s="193" t="s">
        <v>1487</v>
      </c>
      <c r="QCP803" s="193" t="s">
        <v>1487</v>
      </c>
      <c r="QCQ803" s="193" t="s">
        <v>1487</v>
      </c>
      <c r="QCR803" s="193" t="s">
        <v>1487</v>
      </c>
      <c r="QCS803" s="193" t="s">
        <v>1487</v>
      </c>
      <c r="QCT803" s="193" t="s">
        <v>1487</v>
      </c>
      <c r="QCU803" s="193" t="s">
        <v>1487</v>
      </c>
      <c r="QCV803" s="193" t="s">
        <v>1487</v>
      </c>
      <c r="QCW803" s="193" t="s">
        <v>1487</v>
      </c>
      <c r="QCX803" s="193" t="s">
        <v>1487</v>
      </c>
      <c r="QCY803" s="193" t="s">
        <v>1487</v>
      </c>
      <c r="QCZ803" s="193" t="s">
        <v>1487</v>
      </c>
      <c r="QDA803" s="193" t="s">
        <v>1487</v>
      </c>
      <c r="QDB803" s="193" t="s">
        <v>1487</v>
      </c>
      <c r="QDC803" s="193" t="s">
        <v>1487</v>
      </c>
      <c r="QDD803" s="193" t="s">
        <v>1487</v>
      </c>
      <c r="QDE803" s="193" t="s">
        <v>1487</v>
      </c>
      <c r="QDF803" s="193" t="s">
        <v>1487</v>
      </c>
      <c r="QDG803" s="193" t="s">
        <v>1487</v>
      </c>
      <c r="QDH803" s="193" t="s">
        <v>1487</v>
      </c>
      <c r="QDI803" s="193" t="s">
        <v>1487</v>
      </c>
      <c r="QDJ803" s="193" t="s">
        <v>1487</v>
      </c>
      <c r="QDK803" s="193" t="s">
        <v>1487</v>
      </c>
      <c r="QDL803" s="193" t="s">
        <v>1487</v>
      </c>
      <c r="QDM803" s="193" t="s">
        <v>1487</v>
      </c>
      <c r="QDN803" s="193" t="s">
        <v>1487</v>
      </c>
      <c r="QDO803" s="193" t="s">
        <v>1487</v>
      </c>
      <c r="QDP803" s="193" t="s">
        <v>1487</v>
      </c>
      <c r="QDQ803" s="193" t="s">
        <v>1487</v>
      </c>
      <c r="QDR803" s="193" t="s">
        <v>1487</v>
      </c>
      <c r="QDS803" s="193" t="s">
        <v>1487</v>
      </c>
      <c r="QDT803" s="193" t="s">
        <v>1487</v>
      </c>
      <c r="QDU803" s="193" t="s">
        <v>1487</v>
      </c>
      <c r="QDV803" s="193" t="s">
        <v>1487</v>
      </c>
      <c r="QDW803" s="193" t="s">
        <v>1487</v>
      </c>
      <c r="QDX803" s="193" t="s">
        <v>1487</v>
      </c>
      <c r="QDY803" s="193" t="s">
        <v>1487</v>
      </c>
      <c r="QDZ803" s="193" t="s">
        <v>1487</v>
      </c>
      <c r="QEA803" s="193" t="s">
        <v>1487</v>
      </c>
      <c r="QEB803" s="193" t="s">
        <v>1487</v>
      </c>
      <c r="QEC803" s="193" t="s">
        <v>1487</v>
      </c>
      <c r="QED803" s="193" t="s">
        <v>1487</v>
      </c>
      <c r="QEE803" s="193" t="s">
        <v>1487</v>
      </c>
      <c r="QEF803" s="193" t="s">
        <v>1487</v>
      </c>
      <c r="QEG803" s="193" t="s">
        <v>1487</v>
      </c>
      <c r="QEH803" s="193" t="s">
        <v>1487</v>
      </c>
      <c r="QEI803" s="193" t="s">
        <v>1487</v>
      </c>
      <c r="QEJ803" s="193" t="s">
        <v>1487</v>
      </c>
      <c r="QEK803" s="193" t="s">
        <v>1487</v>
      </c>
      <c r="QEL803" s="193" t="s">
        <v>1487</v>
      </c>
      <c r="QEM803" s="193" t="s">
        <v>1487</v>
      </c>
      <c r="QEN803" s="193" t="s">
        <v>1487</v>
      </c>
      <c r="QEO803" s="193" t="s">
        <v>1487</v>
      </c>
      <c r="QEP803" s="193" t="s">
        <v>1487</v>
      </c>
      <c r="QEQ803" s="193" t="s">
        <v>1487</v>
      </c>
      <c r="QER803" s="193" t="s">
        <v>1487</v>
      </c>
      <c r="QES803" s="193" t="s">
        <v>1487</v>
      </c>
      <c r="QET803" s="193" t="s">
        <v>1487</v>
      </c>
      <c r="QEU803" s="193" t="s">
        <v>1487</v>
      </c>
      <c r="QEV803" s="193" t="s">
        <v>1487</v>
      </c>
      <c r="QEW803" s="193" t="s">
        <v>1487</v>
      </c>
      <c r="QEX803" s="193" t="s">
        <v>1487</v>
      </c>
      <c r="QEY803" s="193" t="s">
        <v>1487</v>
      </c>
      <c r="QEZ803" s="193" t="s">
        <v>1487</v>
      </c>
      <c r="QFA803" s="193" t="s">
        <v>1487</v>
      </c>
      <c r="QFB803" s="193" t="s">
        <v>1487</v>
      </c>
      <c r="QFC803" s="193" t="s">
        <v>1487</v>
      </c>
      <c r="QFD803" s="193" t="s">
        <v>1487</v>
      </c>
      <c r="QFE803" s="193" t="s">
        <v>1487</v>
      </c>
      <c r="QFF803" s="193" t="s">
        <v>1487</v>
      </c>
      <c r="QFG803" s="193" t="s">
        <v>1487</v>
      </c>
      <c r="QFH803" s="193" t="s">
        <v>1487</v>
      </c>
      <c r="QFI803" s="193" t="s">
        <v>1487</v>
      </c>
      <c r="QFJ803" s="193" t="s">
        <v>1487</v>
      </c>
      <c r="QFK803" s="193" t="s">
        <v>1487</v>
      </c>
      <c r="QFL803" s="193" t="s">
        <v>1487</v>
      </c>
      <c r="QFM803" s="193" t="s">
        <v>1487</v>
      </c>
      <c r="QFN803" s="193" t="s">
        <v>1487</v>
      </c>
      <c r="QFO803" s="193" t="s">
        <v>1487</v>
      </c>
      <c r="QFP803" s="193" t="s">
        <v>1487</v>
      </c>
      <c r="QFQ803" s="193" t="s">
        <v>1487</v>
      </c>
      <c r="QFR803" s="193" t="s">
        <v>1487</v>
      </c>
      <c r="QFS803" s="193" t="s">
        <v>1487</v>
      </c>
      <c r="QFT803" s="193" t="s">
        <v>1487</v>
      </c>
      <c r="QFU803" s="193" t="s">
        <v>1487</v>
      </c>
      <c r="QFV803" s="193" t="s">
        <v>1487</v>
      </c>
      <c r="QFW803" s="193" t="s">
        <v>1487</v>
      </c>
      <c r="QFX803" s="193" t="s">
        <v>1487</v>
      </c>
      <c r="QFY803" s="193" t="s">
        <v>1487</v>
      </c>
      <c r="QFZ803" s="193" t="s">
        <v>1487</v>
      </c>
      <c r="QGA803" s="193" t="s">
        <v>1487</v>
      </c>
      <c r="QGB803" s="193" t="s">
        <v>1487</v>
      </c>
      <c r="QGC803" s="193" t="s">
        <v>1487</v>
      </c>
      <c r="QGD803" s="193" t="s">
        <v>1487</v>
      </c>
      <c r="QGE803" s="193" t="s">
        <v>1487</v>
      </c>
      <c r="QGF803" s="193" t="s">
        <v>1487</v>
      </c>
      <c r="QGG803" s="193" t="s">
        <v>1487</v>
      </c>
      <c r="QGH803" s="193" t="s">
        <v>1487</v>
      </c>
      <c r="QGI803" s="193" t="s">
        <v>1487</v>
      </c>
      <c r="QGJ803" s="193" t="s">
        <v>1487</v>
      </c>
      <c r="QGK803" s="193" t="s">
        <v>1487</v>
      </c>
      <c r="QGL803" s="193" t="s">
        <v>1487</v>
      </c>
      <c r="QGM803" s="193" t="s">
        <v>1487</v>
      </c>
      <c r="QGN803" s="193" t="s">
        <v>1487</v>
      </c>
      <c r="QGO803" s="193" t="s">
        <v>1487</v>
      </c>
      <c r="QGP803" s="193" t="s">
        <v>1487</v>
      </c>
      <c r="QGQ803" s="193" t="s">
        <v>1487</v>
      </c>
      <c r="QGR803" s="193" t="s">
        <v>1487</v>
      </c>
      <c r="QGS803" s="193" t="s">
        <v>1487</v>
      </c>
      <c r="QGT803" s="193" t="s">
        <v>1487</v>
      </c>
      <c r="QGU803" s="193" t="s">
        <v>1487</v>
      </c>
      <c r="QGV803" s="193" t="s">
        <v>1487</v>
      </c>
      <c r="QGW803" s="193" t="s">
        <v>1487</v>
      </c>
      <c r="QGX803" s="193" t="s">
        <v>1487</v>
      </c>
      <c r="QGY803" s="193" t="s">
        <v>1487</v>
      </c>
      <c r="QGZ803" s="193" t="s">
        <v>1487</v>
      </c>
      <c r="QHA803" s="193" t="s">
        <v>1487</v>
      </c>
      <c r="QHB803" s="193" t="s">
        <v>1487</v>
      </c>
      <c r="QHC803" s="193" t="s">
        <v>1487</v>
      </c>
      <c r="QHD803" s="193" t="s">
        <v>1487</v>
      </c>
      <c r="QHE803" s="193" t="s">
        <v>1487</v>
      </c>
      <c r="QHF803" s="193" t="s">
        <v>1487</v>
      </c>
      <c r="QHG803" s="193" t="s">
        <v>1487</v>
      </c>
      <c r="QHH803" s="193" t="s">
        <v>1487</v>
      </c>
      <c r="QHI803" s="193" t="s">
        <v>1487</v>
      </c>
      <c r="QHJ803" s="193" t="s">
        <v>1487</v>
      </c>
      <c r="QHK803" s="193" t="s">
        <v>1487</v>
      </c>
      <c r="QHL803" s="193" t="s">
        <v>1487</v>
      </c>
      <c r="QHM803" s="193" t="s">
        <v>1487</v>
      </c>
      <c r="QHN803" s="193" t="s">
        <v>1487</v>
      </c>
      <c r="QHO803" s="193" t="s">
        <v>1487</v>
      </c>
      <c r="QHP803" s="193" t="s">
        <v>1487</v>
      </c>
      <c r="QHQ803" s="193" t="s">
        <v>1487</v>
      </c>
      <c r="QHR803" s="193" t="s">
        <v>1487</v>
      </c>
      <c r="QHS803" s="193" t="s">
        <v>1487</v>
      </c>
      <c r="QHT803" s="193" t="s">
        <v>1487</v>
      </c>
      <c r="QHU803" s="193" t="s">
        <v>1487</v>
      </c>
      <c r="QHV803" s="193" t="s">
        <v>1487</v>
      </c>
      <c r="QHW803" s="193" t="s">
        <v>1487</v>
      </c>
      <c r="QHX803" s="193" t="s">
        <v>1487</v>
      </c>
      <c r="QHY803" s="193" t="s">
        <v>1487</v>
      </c>
      <c r="QHZ803" s="193" t="s">
        <v>1487</v>
      </c>
      <c r="QIA803" s="193" t="s">
        <v>1487</v>
      </c>
      <c r="QIB803" s="193" t="s">
        <v>1487</v>
      </c>
      <c r="QIC803" s="193" t="s">
        <v>1487</v>
      </c>
      <c r="QID803" s="193" t="s">
        <v>1487</v>
      </c>
      <c r="QIE803" s="193" t="s">
        <v>1487</v>
      </c>
      <c r="QIF803" s="193" t="s">
        <v>1487</v>
      </c>
      <c r="QIG803" s="193" t="s">
        <v>1487</v>
      </c>
      <c r="QIH803" s="193" t="s">
        <v>1487</v>
      </c>
      <c r="QII803" s="193" t="s">
        <v>1487</v>
      </c>
      <c r="QIJ803" s="193" t="s">
        <v>1487</v>
      </c>
      <c r="QIK803" s="193" t="s">
        <v>1487</v>
      </c>
      <c r="QIL803" s="193" t="s">
        <v>1487</v>
      </c>
      <c r="QIM803" s="193" t="s">
        <v>1487</v>
      </c>
      <c r="QIN803" s="193" t="s">
        <v>1487</v>
      </c>
      <c r="QIO803" s="193" t="s">
        <v>1487</v>
      </c>
      <c r="QIP803" s="193" t="s">
        <v>1487</v>
      </c>
      <c r="QIQ803" s="193" t="s">
        <v>1487</v>
      </c>
      <c r="QIR803" s="193" t="s">
        <v>1487</v>
      </c>
      <c r="QIS803" s="193" t="s">
        <v>1487</v>
      </c>
      <c r="QIT803" s="193" t="s">
        <v>1487</v>
      </c>
      <c r="QIU803" s="193" t="s">
        <v>1487</v>
      </c>
      <c r="QIV803" s="193" t="s">
        <v>1487</v>
      </c>
      <c r="QIW803" s="193" t="s">
        <v>1487</v>
      </c>
      <c r="QIX803" s="193" t="s">
        <v>1487</v>
      </c>
      <c r="QIY803" s="193" t="s">
        <v>1487</v>
      </c>
      <c r="QIZ803" s="193" t="s">
        <v>1487</v>
      </c>
      <c r="QJA803" s="193" t="s">
        <v>1487</v>
      </c>
      <c r="QJB803" s="193" t="s">
        <v>1487</v>
      </c>
      <c r="QJC803" s="193" t="s">
        <v>1487</v>
      </c>
      <c r="QJD803" s="193" t="s">
        <v>1487</v>
      </c>
      <c r="QJE803" s="193" t="s">
        <v>1487</v>
      </c>
      <c r="QJF803" s="193" t="s">
        <v>1487</v>
      </c>
      <c r="QJG803" s="193" t="s">
        <v>1487</v>
      </c>
      <c r="QJH803" s="193" t="s">
        <v>1487</v>
      </c>
      <c r="QJI803" s="193" t="s">
        <v>1487</v>
      </c>
      <c r="QJJ803" s="193" t="s">
        <v>1487</v>
      </c>
      <c r="QJK803" s="193" t="s">
        <v>1487</v>
      </c>
      <c r="QJL803" s="193" t="s">
        <v>1487</v>
      </c>
      <c r="QJM803" s="193" t="s">
        <v>1487</v>
      </c>
      <c r="QJN803" s="193" t="s">
        <v>1487</v>
      </c>
      <c r="QJO803" s="193" t="s">
        <v>1487</v>
      </c>
      <c r="QJP803" s="193" t="s">
        <v>1487</v>
      </c>
      <c r="QJQ803" s="193" t="s">
        <v>1487</v>
      </c>
      <c r="QJR803" s="193" t="s">
        <v>1487</v>
      </c>
      <c r="QJS803" s="193" t="s">
        <v>1487</v>
      </c>
      <c r="QJT803" s="193" t="s">
        <v>1487</v>
      </c>
      <c r="QJU803" s="193" t="s">
        <v>1487</v>
      </c>
      <c r="QJV803" s="193" t="s">
        <v>1487</v>
      </c>
      <c r="QJW803" s="193" t="s">
        <v>1487</v>
      </c>
      <c r="QJX803" s="193" t="s">
        <v>1487</v>
      </c>
      <c r="QJY803" s="193" t="s">
        <v>1487</v>
      </c>
      <c r="QJZ803" s="193" t="s">
        <v>1487</v>
      </c>
      <c r="QKA803" s="193" t="s">
        <v>1487</v>
      </c>
      <c r="QKB803" s="193" t="s">
        <v>1487</v>
      </c>
      <c r="QKC803" s="193" t="s">
        <v>1487</v>
      </c>
      <c r="QKD803" s="193" t="s">
        <v>1487</v>
      </c>
      <c r="QKE803" s="193" t="s">
        <v>1487</v>
      </c>
      <c r="QKF803" s="193" t="s">
        <v>1487</v>
      </c>
      <c r="QKG803" s="193" t="s">
        <v>1487</v>
      </c>
      <c r="QKH803" s="193" t="s">
        <v>1487</v>
      </c>
      <c r="QKI803" s="193" t="s">
        <v>1487</v>
      </c>
      <c r="QKJ803" s="193" t="s">
        <v>1487</v>
      </c>
      <c r="QKK803" s="193" t="s">
        <v>1487</v>
      </c>
      <c r="QKL803" s="193" t="s">
        <v>1487</v>
      </c>
      <c r="QKM803" s="193" t="s">
        <v>1487</v>
      </c>
      <c r="QKN803" s="193" t="s">
        <v>1487</v>
      </c>
      <c r="QKO803" s="193" t="s">
        <v>1487</v>
      </c>
      <c r="QKP803" s="193" t="s">
        <v>1487</v>
      </c>
      <c r="QKQ803" s="193" t="s">
        <v>1487</v>
      </c>
      <c r="QKR803" s="193" t="s">
        <v>1487</v>
      </c>
      <c r="QKS803" s="193" t="s">
        <v>1487</v>
      </c>
      <c r="QKT803" s="193" t="s">
        <v>1487</v>
      </c>
      <c r="QKU803" s="193" t="s">
        <v>1487</v>
      </c>
      <c r="QKV803" s="193" t="s">
        <v>1487</v>
      </c>
      <c r="QKW803" s="193" t="s">
        <v>1487</v>
      </c>
      <c r="QKX803" s="193" t="s">
        <v>1487</v>
      </c>
      <c r="QKY803" s="193" t="s">
        <v>1487</v>
      </c>
      <c r="QKZ803" s="193" t="s">
        <v>1487</v>
      </c>
      <c r="QLA803" s="193" t="s">
        <v>1487</v>
      </c>
      <c r="QLB803" s="193" t="s">
        <v>1487</v>
      </c>
      <c r="QLC803" s="193" t="s">
        <v>1487</v>
      </c>
      <c r="QLD803" s="193" t="s">
        <v>1487</v>
      </c>
      <c r="QLE803" s="193" t="s">
        <v>1487</v>
      </c>
      <c r="QLF803" s="193" t="s">
        <v>1487</v>
      </c>
      <c r="QLG803" s="193" t="s">
        <v>1487</v>
      </c>
      <c r="QLH803" s="193" t="s">
        <v>1487</v>
      </c>
      <c r="QLI803" s="193" t="s">
        <v>1487</v>
      </c>
      <c r="QLJ803" s="193" t="s">
        <v>1487</v>
      </c>
      <c r="QLK803" s="193" t="s">
        <v>1487</v>
      </c>
      <c r="QLL803" s="193" t="s">
        <v>1487</v>
      </c>
      <c r="QLM803" s="193" t="s">
        <v>1487</v>
      </c>
      <c r="QLN803" s="193" t="s">
        <v>1487</v>
      </c>
      <c r="QLO803" s="193" t="s">
        <v>1487</v>
      </c>
      <c r="QLP803" s="193" t="s">
        <v>1487</v>
      </c>
      <c r="QLQ803" s="193" t="s">
        <v>1487</v>
      </c>
      <c r="QLR803" s="193" t="s">
        <v>1487</v>
      </c>
      <c r="QLS803" s="193" t="s">
        <v>1487</v>
      </c>
      <c r="QLT803" s="193" t="s">
        <v>1487</v>
      </c>
      <c r="QLU803" s="193" t="s">
        <v>1487</v>
      </c>
      <c r="QLV803" s="193" t="s">
        <v>1487</v>
      </c>
      <c r="QLW803" s="193" t="s">
        <v>1487</v>
      </c>
      <c r="QLX803" s="193" t="s">
        <v>1487</v>
      </c>
      <c r="QLY803" s="193" t="s">
        <v>1487</v>
      </c>
      <c r="QLZ803" s="193" t="s">
        <v>1487</v>
      </c>
      <c r="QMA803" s="193" t="s">
        <v>1487</v>
      </c>
      <c r="QMB803" s="193" t="s">
        <v>1487</v>
      </c>
      <c r="QMC803" s="193" t="s">
        <v>1487</v>
      </c>
      <c r="QMD803" s="193" t="s">
        <v>1487</v>
      </c>
      <c r="QME803" s="193" t="s">
        <v>1487</v>
      </c>
      <c r="QMF803" s="193" t="s">
        <v>1487</v>
      </c>
      <c r="QMG803" s="193" t="s">
        <v>1487</v>
      </c>
      <c r="QMH803" s="193" t="s">
        <v>1487</v>
      </c>
      <c r="QMI803" s="193" t="s">
        <v>1487</v>
      </c>
      <c r="QMJ803" s="193" t="s">
        <v>1487</v>
      </c>
      <c r="QMK803" s="193" t="s">
        <v>1487</v>
      </c>
      <c r="QML803" s="193" t="s">
        <v>1487</v>
      </c>
      <c r="QMM803" s="193" t="s">
        <v>1487</v>
      </c>
      <c r="QMN803" s="193" t="s">
        <v>1487</v>
      </c>
      <c r="QMO803" s="193" t="s">
        <v>1487</v>
      </c>
      <c r="QMP803" s="193" t="s">
        <v>1487</v>
      </c>
      <c r="QMQ803" s="193" t="s">
        <v>1487</v>
      </c>
      <c r="QMR803" s="193" t="s">
        <v>1487</v>
      </c>
      <c r="QMS803" s="193" t="s">
        <v>1487</v>
      </c>
      <c r="QMT803" s="193" t="s">
        <v>1487</v>
      </c>
      <c r="QMU803" s="193" t="s">
        <v>1487</v>
      </c>
      <c r="QMV803" s="193" t="s">
        <v>1487</v>
      </c>
      <c r="QMW803" s="193" t="s">
        <v>1487</v>
      </c>
      <c r="QMX803" s="193" t="s">
        <v>1487</v>
      </c>
      <c r="QMY803" s="193" t="s">
        <v>1487</v>
      </c>
      <c r="QMZ803" s="193" t="s">
        <v>1487</v>
      </c>
      <c r="QNA803" s="193" t="s">
        <v>1487</v>
      </c>
      <c r="QNB803" s="193" t="s">
        <v>1487</v>
      </c>
      <c r="QNC803" s="193" t="s">
        <v>1487</v>
      </c>
      <c r="QND803" s="193" t="s">
        <v>1487</v>
      </c>
      <c r="QNE803" s="193" t="s">
        <v>1487</v>
      </c>
      <c r="QNF803" s="193" t="s">
        <v>1487</v>
      </c>
      <c r="QNG803" s="193" t="s">
        <v>1487</v>
      </c>
      <c r="QNH803" s="193" t="s">
        <v>1487</v>
      </c>
      <c r="QNI803" s="193" t="s">
        <v>1487</v>
      </c>
      <c r="QNJ803" s="193" t="s">
        <v>1487</v>
      </c>
      <c r="QNK803" s="193" t="s">
        <v>1487</v>
      </c>
      <c r="QNL803" s="193" t="s">
        <v>1487</v>
      </c>
      <c r="QNM803" s="193" t="s">
        <v>1487</v>
      </c>
      <c r="QNN803" s="193" t="s">
        <v>1487</v>
      </c>
      <c r="QNO803" s="193" t="s">
        <v>1487</v>
      </c>
      <c r="QNP803" s="193" t="s">
        <v>1487</v>
      </c>
      <c r="QNQ803" s="193" t="s">
        <v>1487</v>
      </c>
      <c r="QNR803" s="193" t="s">
        <v>1487</v>
      </c>
      <c r="QNS803" s="193" t="s">
        <v>1487</v>
      </c>
      <c r="QNT803" s="193" t="s">
        <v>1487</v>
      </c>
      <c r="QNU803" s="193" t="s">
        <v>1487</v>
      </c>
      <c r="QNV803" s="193" t="s">
        <v>1487</v>
      </c>
      <c r="QNW803" s="193" t="s">
        <v>1487</v>
      </c>
      <c r="QNX803" s="193" t="s">
        <v>1487</v>
      </c>
      <c r="QNY803" s="193" t="s">
        <v>1487</v>
      </c>
      <c r="QNZ803" s="193" t="s">
        <v>1487</v>
      </c>
      <c r="QOA803" s="193" t="s">
        <v>1487</v>
      </c>
      <c r="QOB803" s="193" t="s">
        <v>1487</v>
      </c>
      <c r="QOC803" s="193" t="s">
        <v>1487</v>
      </c>
      <c r="QOD803" s="193" t="s">
        <v>1487</v>
      </c>
      <c r="QOE803" s="193" t="s">
        <v>1487</v>
      </c>
      <c r="QOF803" s="193" t="s">
        <v>1487</v>
      </c>
      <c r="QOG803" s="193" t="s">
        <v>1487</v>
      </c>
      <c r="QOH803" s="193" t="s">
        <v>1487</v>
      </c>
      <c r="QOI803" s="193" t="s">
        <v>1487</v>
      </c>
      <c r="QOJ803" s="193" t="s">
        <v>1487</v>
      </c>
      <c r="QOK803" s="193" t="s">
        <v>1487</v>
      </c>
      <c r="QOL803" s="193" t="s">
        <v>1487</v>
      </c>
      <c r="QOM803" s="193" t="s">
        <v>1487</v>
      </c>
      <c r="QON803" s="193" t="s">
        <v>1487</v>
      </c>
      <c r="QOO803" s="193" t="s">
        <v>1487</v>
      </c>
      <c r="QOP803" s="193" t="s">
        <v>1487</v>
      </c>
      <c r="QOQ803" s="193" t="s">
        <v>1487</v>
      </c>
      <c r="QOR803" s="193" t="s">
        <v>1487</v>
      </c>
      <c r="QOS803" s="193" t="s">
        <v>1487</v>
      </c>
      <c r="QOT803" s="193" t="s">
        <v>1487</v>
      </c>
      <c r="QOU803" s="193" t="s">
        <v>1487</v>
      </c>
      <c r="QOV803" s="193" t="s">
        <v>1487</v>
      </c>
      <c r="QOW803" s="193" t="s">
        <v>1487</v>
      </c>
      <c r="QOX803" s="193" t="s">
        <v>1487</v>
      </c>
      <c r="QOY803" s="193" t="s">
        <v>1487</v>
      </c>
      <c r="QOZ803" s="193" t="s">
        <v>1487</v>
      </c>
      <c r="QPA803" s="193" t="s">
        <v>1487</v>
      </c>
      <c r="QPB803" s="193" t="s">
        <v>1487</v>
      </c>
      <c r="QPC803" s="193" t="s">
        <v>1487</v>
      </c>
      <c r="QPD803" s="193" t="s">
        <v>1487</v>
      </c>
      <c r="QPE803" s="193" t="s">
        <v>1487</v>
      </c>
      <c r="QPF803" s="193" t="s">
        <v>1487</v>
      </c>
      <c r="QPG803" s="193" t="s">
        <v>1487</v>
      </c>
      <c r="QPH803" s="193" t="s">
        <v>1487</v>
      </c>
      <c r="QPI803" s="193" t="s">
        <v>1487</v>
      </c>
      <c r="QPJ803" s="193" t="s">
        <v>1487</v>
      </c>
      <c r="QPK803" s="193" t="s">
        <v>1487</v>
      </c>
      <c r="QPL803" s="193" t="s">
        <v>1487</v>
      </c>
      <c r="QPM803" s="193" t="s">
        <v>1487</v>
      </c>
      <c r="QPN803" s="193" t="s">
        <v>1487</v>
      </c>
      <c r="QPO803" s="193" t="s">
        <v>1487</v>
      </c>
      <c r="QPP803" s="193" t="s">
        <v>1487</v>
      </c>
      <c r="QPQ803" s="193" t="s">
        <v>1487</v>
      </c>
      <c r="QPR803" s="193" t="s">
        <v>1487</v>
      </c>
      <c r="QPS803" s="193" t="s">
        <v>1487</v>
      </c>
      <c r="QPT803" s="193" t="s">
        <v>1487</v>
      </c>
      <c r="QPU803" s="193" t="s">
        <v>1487</v>
      </c>
      <c r="QPV803" s="193" t="s">
        <v>1487</v>
      </c>
      <c r="QPW803" s="193" t="s">
        <v>1487</v>
      </c>
      <c r="QPX803" s="193" t="s">
        <v>1487</v>
      </c>
      <c r="QPY803" s="193" t="s">
        <v>1487</v>
      </c>
      <c r="QPZ803" s="193" t="s">
        <v>1487</v>
      </c>
      <c r="QQA803" s="193" t="s">
        <v>1487</v>
      </c>
      <c r="QQB803" s="193" t="s">
        <v>1487</v>
      </c>
      <c r="QQC803" s="193" t="s">
        <v>1487</v>
      </c>
      <c r="QQD803" s="193" t="s">
        <v>1487</v>
      </c>
      <c r="QQE803" s="193" t="s">
        <v>1487</v>
      </c>
      <c r="QQF803" s="193" t="s">
        <v>1487</v>
      </c>
      <c r="QQG803" s="193" t="s">
        <v>1487</v>
      </c>
      <c r="QQH803" s="193" t="s">
        <v>1487</v>
      </c>
      <c r="QQI803" s="193" t="s">
        <v>1487</v>
      </c>
      <c r="QQJ803" s="193" t="s">
        <v>1487</v>
      </c>
      <c r="QQK803" s="193" t="s">
        <v>1487</v>
      </c>
      <c r="QQL803" s="193" t="s">
        <v>1487</v>
      </c>
      <c r="QQM803" s="193" t="s">
        <v>1487</v>
      </c>
      <c r="QQN803" s="193" t="s">
        <v>1487</v>
      </c>
      <c r="QQO803" s="193" t="s">
        <v>1487</v>
      </c>
      <c r="QQP803" s="193" t="s">
        <v>1487</v>
      </c>
      <c r="QQQ803" s="193" t="s">
        <v>1487</v>
      </c>
      <c r="QQR803" s="193" t="s">
        <v>1487</v>
      </c>
      <c r="QQS803" s="193" t="s">
        <v>1487</v>
      </c>
      <c r="QQT803" s="193" t="s">
        <v>1487</v>
      </c>
      <c r="QQU803" s="193" t="s">
        <v>1487</v>
      </c>
      <c r="QQV803" s="193" t="s">
        <v>1487</v>
      </c>
      <c r="QQW803" s="193" t="s">
        <v>1487</v>
      </c>
      <c r="QQX803" s="193" t="s">
        <v>1487</v>
      </c>
      <c r="QQY803" s="193" t="s">
        <v>1487</v>
      </c>
      <c r="QQZ803" s="193" t="s">
        <v>1487</v>
      </c>
      <c r="QRA803" s="193" t="s">
        <v>1487</v>
      </c>
      <c r="QRB803" s="193" t="s">
        <v>1487</v>
      </c>
      <c r="QRC803" s="193" t="s">
        <v>1487</v>
      </c>
      <c r="QRD803" s="193" t="s">
        <v>1487</v>
      </c>
      <c r="QRE803" s="193" t="s">
        <v>1487</v>
      </c>
      <c r="QRF803" s="193" t="s">
        <v>1487</v>
      </c>
      <c r="QRG803" s="193" t="s">
        <v>1487</v>
      </c>
      <c r="QRH803" s="193" t="s">
        <v>1487</v>
      </c>
      <c r="QRI803" s="193" t="s">
        <v>1487</v>
      </c>
      <c r="QRJ803" s="193" t="s">
        <v>1487</v>
      </c>
      <c r="QRK803" s="193" t="s">
        <v>1487</v>
      </c>
      <c r="QRL803" s="193" t="s">
        <v>1487</v>
      </c>
      <c r="QRM803" s="193" t="s">
        <v>1487</v>
      </c>
      <c r="QRN803" s="193" t="s">
        <v>1487</v>
      </c>
      <c r="QRO803" s="193" t="s">
        <v>1487</v>
      </c>
      <c r="QRP803" s="193" t="s">
        <v>1487</v>
      </c>
      <c r="QRQ803" s="193" t="s">
        <v>1487</v>
      </c>
      <c r="QRR803" s="193" t="s">
        <v>1487</v>
      </c>
      <c r="QRS803" s="193" t="s">
        <v>1487</v>
      </c>
      <c r="QRT803" s="193" t="s">
        <v>1487</v>
      </c>
      <c r="QRU803" s="193" t="s">
        <v>1487</v>
      </c>
      <c r="QRV803" s="193" t="s">
        <v>1487</v>
      </c>
      <c r="QRW803" s="193" t="s">
        <v>1487</v>
      </c>
      <c r="QRX803" s="193" t="s">
        <v>1487</v>
      </c>
      <c r="QRY803" s="193" t="s">
        <v>1487</v>
      </c>
      <c r="QRZ803" s="193" t="s">
        <v>1487</v>
      </c>
      <c r="QSA803" s="193" t="s">
        <v>1487</v>
      </c>
      <c r="QSB803" s="193" t="s">
        <v>1487</v>
      </c>
      <c r="QSC803" s="193" t="s">
        <v>1487</v>
      </c>
      <c r="QSD803" s="193" t="s">
        <v>1487</v>
      </c>
      <c r="QSE803" s="193" t="s">
        <v>1487</v>
      </c>
      <c r="QSF803" s="193" t="s">
        <v>1487</v>
      </c>
      <c r="QSG803" s="193" t="s">
        <v>1487</v>
      </c>
      <c r="QSH803" s="193" t="s">
        <v>1487</v>
      </c>
      <c r="QSI803" s="193" t="s">
        <v>1487</v>
      </c>
      <c r="QSJ803" s="193" t="s">
        <v>1487</v>
      </c>
      <c r="QSK803" s="193" t="s">
        <v>1487</v>
      </c>
      <c r="QSL803" s="193" t="s">
        <v>1487</v>
      </c>
      <c r="QSM803" s="193" t="s">
        <v>1487</v>
      </c>
      <c r="QSN803" s="193" t="s">
        <v>1487</v>
      </c>
      <c r="QSO803" s="193" t="s">
        <v>1487</v>
      </c>
      <c r="QSP803" s="193" t="s">
        <v>1487</v>
      </c>
      <c r="QSQ803" s="193" t="s">
        <v>1487</v>
      </c>
      <c r="QSR803" s="193" t="s">
        <v>1487</v>
      </c>
      <c r="QSS803" s="193" t="s">
        <v>1487</v>
      </c>
      <c r="QST803" s="193" t="s">
        <v>1487</v>
      </c>
      <c r="QSU803" s="193" t="s">
        <v>1487</v>
      </c>
      <c r="QSV803" s="193" t="s">
        <v>1487</v>
      </c>
      <c r="QSW803" s="193" t="s">
        <v>1487</v>
      </c>
      <c r="QSX803" s="193" t="s">
        <v>1487</v>
      </c>
      <c r="QSY803" s="193" t="s">
        <v>1487</v>
      </c>
      <c r="QSZ803" s="193" t="s">
        <v>1487</v>
      </c>
      <c r="QTA803" s="193" t="s">
        <v>1487</v>
      </c>
      <c r="QTB803" s="193" t="s">
        <v>1487</v>
      </c>
      <c r="QTC803" s="193" t="s">
        <v>1487</v>
      </c>
      <c r="QTD803" s="193" t="s">
        <v>1487</v>
      </c>
      <c r="QTE803" s="193" t="s">
        <v>1487</v>
      </c>
      <c r="QTF803" s="193" t="s">
        <v>1487</v>
      </c>
      <c r="QTG803" s="193" t="s">
        <v>1487</v>
      </c>
      <c r="QTH803" s="193" t="s">
        <v>1487</v>
      </c>
      <c r="QTI803" s="193" t="s">
        <v>1487</v>
      </c>
      <c r="QTJ803" s="193" t="s">
        <v>1487</v>
      </c>
      <c r="QTK803" s="193" t="s">
        <v>1487</v>
      </c>
      <c r="QTL803" s="193" t="s">
        <v>1487</v>
      </c>
      <c r="QTM803" s="193" t="s">
        <v>1487</v>
      </c>
      <c r="QTN803" s="193" t="s">
        <v>1487</v>
      </c>
      <c r="QTO803" s="193" t="s">
        <v>1487</v>
      </c>
      <c r="QTP803" s="193" t="s">
        <v>1487</v>
      </c>
      <c r="QTQ803" s="193" t="s">
        <v>1487</v>
      </c>
      <c r="QTR803" s="193" t="s">
        <v>1487</v>
      </c>
      <c r="QTS803" s="193" t="s">
        <v>1487</v>
      </c>
      <c r="QTT803" s="193" t="s">
        <v>1487</v>
      </c>
      <c r="QTU803" s="193" t="s">
        <v>1487</v>
      </c>
      <c r="QTV803" s="193" t="s">
        <v>1487</v>
      </c>
      <c r="QTW803" s="193" t="s">
        <v>1487</v>
      </c>
      <c r="QTX803" s="193" t="s">
        <v>1487</v>
      </c>
      <c r="QTY803" s="193" t="s">
        <v>1487</v>
      </c>
      <c r="QTZ803" s="193" t="s">
        <v>1487</v>
      </c>
      <c r="QUA803" s="193" t="s">
        <v>1487</v>
      </c>
      <c r="QUB803" s="193" t="s">
        <v>1487</v>
      </c>
      <c r="QUC803" s="193" t="s">
        <v>1487</v>
      </c>
      <c r="QUD803" s="193" t="s">
        <v>1487</v>
      </c>
      <c r="QUE803" s="193" t="s">
        <v>1487</v>
      </c>
      <c r="QUF803" s="193" t="s">
        <v>1487</v>
      </c>
      <c r="QUG803" s="193" t="s">
        <v>1487</v>
      </c>
      <c r="QUH803" s="193" t="s">
        <v>1487</v>
      </c>
      <c r="QUI803" s="193" t="s">
        <v>1487</v>
      </c>
      <c r="QUJ803" s="193" t="s">
        <v>1487</v>
      </c>
      <c r="QUK803" s="193" t="s">
        <v>1487</v>
      </c>
      <c r="QUL803" s="193" t="s">
        <v>1487</v>
      </c>
      <c r="QUM803" s="193" t="s">
        <v>1487</v>
      </c>
      <c r="QUN803" s="193" t="s">
        <v>1487</v>
      </c>
      <c r="QUO803" s="193" t="s">
        <v>1487</v>
      </c>
      <c r="QUP803" s="193" t="s">
        <v>1487</v>
      </c>
      <c r="QUQ803" s="193" t="s">
        <v>1487</v>
      </c>
      <c r="QUR803" s="193" t="s">
        <v>1487</v>
      </c>
      <c r="QUS803" s="193" t="s">
        <v>1487</v>
      </c>
      <c r="QUT803" s="193" t="s">
        <v>1487</v>
      </c>
      <c r="QUU803" s="193" t="s">
        <v>1487</v>
      </c>
      <c r="QUV803" s="193" t="s">
        <v>1487</v>
      </c>
      <c r="QUW803" s="193" t="s">
        <v>1487</v>
      </c>
      <c r="QUX803" s="193" t="s">
        <v>1487</v>
      </c>
      <c r="QUY803" s="193" t="s">
        <v>1487</v>
      </c>
      <c r="QUZ803" s="193" t="s">
        <v>1487</v>
      </c>
      <c r="QVA803" s="193" t="s">
        <v>1487</v>
      </c>
      <c r="QVB803" s="193" t="s">
        <v>1487</v>
      </c>
      <c r="QVC803" s="193" t="s">
        <v>1487</v>
      </c>
      <c r="QVD803" s="193" t="s">
        <v>1487</v>
      </c>
      <c r="QVE803" s="193" t="s">
        <v>1487</v>
      </c>
      <c r="QVF803" s="193" t="s">
        <v>1487</v>
      </c>
      <c r="QVG803" s="193" t="s">
        <v>1487</v>
      </c>
      <c r="QVH803" s="193" t="s">
        <v>1487</v>
      </c>
      <c r="QVI803" s="193" t="s">
        <v>1487</v>
      </c>
      <c r="QVJ803" s="193" t="s">
        <v>1487</v>
      </c>
      <c r="QVK803" s="193" t="s">
        <v>1487</v>
      </c>
      <c r="QVL803" s="193" t="s">
        <v>1487</v>
      </c>
      <c r="QVM803" s="193" t="s">
        <v>1487</v>
      </c>
      <c r="QVN803" s="193" t="s">
        <v>1487</v>
      </c>
      <c r="QVO803" s="193" t="s">
        <v>1487</v>
      </c>
      <c r="QVP803" s="193" t="s">
        <v>1487</v>
      </c>
      <c r="QVQ803" s="193" t="s">
        <v>1487</v>
      </c>
      <c r="QVR803" s="193" t="s">
        <v>1487</v>
      </c>
      <c r="QVS803" s="193" t="s">
        <v>1487</v>
      </c>
      <c r="QVT803" s="193" t="s">
        <v>1487</v>
      </c>
      <c r="QVU803" s="193" t="s">
        <v>1487</v>
      </c>
      <c r="QVV803" s="193" t="s">
        <v>1487</v>
      </c>
      <c r="QVW803" s="193" t="s">
        <v>1487</v>
      </c>
      <c r="QVX803" s="193" t="s">
        <v>1487</v>
      </c>
      <c r="QVY803" s="193" t="s">
        <v>1487</v>
      </c>
      <c r="QVZ803" s="193" t="s">
        <v>1487</v>
      </c>
      <c r="QWA803" s="193" t="s">
        <v>1487</v>
      </c>
      <c r="QWB803" s="193" t="s">
        <v>1487</v>
      </c>
      <c r="QWC803" s="193" t="s">
        <v>1487</v>
      </c>
      <c r="QWD803" s="193" t="s">
        <v>1487</v>
      </c>
      <c r="QWE803" s="193" t="s">
        <v>1487</v>
      </c>
      <c r="QWF803" s="193" t="s">
        <v>1487</v>
      </c>
      <c r="QWG803" s="193" t="s">
        <v>1487</v>
      </c>
      <c r="QWH803" s="193" t="s">
        <v>1487</v>
      </c>
      <c r="QWI803" s="193" t="s">
        <v>1487</v>
      </c>
      <c r="QWJ803" s="193" t="s">
        <v>1487</v>
      </c>
      <c r="QWK803" s="193" t="s">
        <v>1487</v>
      </c>
      <c r="QWL803" s="193" t="s">
        <v>1487</v>
      </c>
      <c r="QWM803" s="193" t="s">
        <v>1487</v>
      </c>
      <c r="QWN803" s="193" t="s">
        <v>1487</v>
      </c>
      <c r="QWO803" s="193" t="s">
        <v>1487</v>
      </c>
      <c r="QWP803" s="193" t="s">
        <v>1487</v>
      </c>
      <c r="QWQ803" s="193" t="s">
        <v>1487</v>
      </c>
      <c r="QWR803" s="193" t="s">
        <v>1487</v>
      </c>
      <c r="QWS803" s="193" t="s">
        <v>1487</v>
      </c>
      <c r="QWT803" s="193" t="s">
        <v>1487</v>
      </c>
      <c r="QWU803" s="193" t="s">
        <v>1487</v>
      </c>
      <c r="QWV803" s="193" t="s">
        <v>1487</v>
      </c>
      <c r="QWW803" s="193" t="s">
        <v>1487</v>
      </c>
      <c r="QWX803" s="193" t="s">
        <v>1487</v>
      </c>
      <c r="QWY803" s="193" t="s">
        <v>1487</v>
      </c>
      <c r="QWZ803" s="193" t="s">
        <v>1487</v>
      </c>
      <c r="QXA803" s="193" t="s">
        <v>1487</v>
      </c>
      <c r="QXB803" s="193" t="s">
        <v>1487</v>
      </c>
      <c r="QXC803" s="193" t="s">
        <v>1487</v>
      </c>
      <c r="QXD803" s="193" t="s">
        <v>1487</v>
      </c>
      <c r="QXE803" s="193" t="s">
        <v>1487</v>
      </c>
      <c r="QXF803" s="193" t="s">
        <v>1487</v>
      </c>
      <c r="QXG803" s="193" t="s">
        <v>1487</v>
      </c>
      <c r="QXH803" s="193" t="s">
        <v>1487</v>
      </c>
      <c r="QXI803" s="193" t="s">
        <v>1487</v>
      </c>
      <c r="QXJ803" s="193" t="s">
        <v>1487</v>
      </c>
      <c r="QXK803" s="193" t="s">
        <v>1487</v>
      </c>
      <c r="QXL803" s="193" t="s">
        <v>1487</v>
      </c>
      <c r="QXM803" s="193" t="s">
        <v>1487</v>
      </c>
      <c r="QXN803" s="193" t="s">
        <v>1487</v>
      </c>
      <c r="QXO803" s="193" t="s">
        <v>1487</v>
      </c>
      <c r="QXP803" s="193" t="s">
        <v>1487</v>
      </c>
      <c r="QXQ803" s="193" t="s">
        <v>1487</v>
      </c>
      <c r="QXR803" s="193" t="s">
        <v>1487</v>
      </c>
      <c r="QXS803" s="193" t="s">
        <v>1487</v>
      </c>
      <c r="QXT803" s="193" t="s">
        <v>1487</v>
      </c>
      <c r="QXU803" s="193" t="s">
        <v>1487</v>
      </c>
      <c r="QXV803" s="193" t="s">
        <v>1487</v>
      </c>
      <c r="QXW803" s="193" t="s">
        <v>1487</v>
      </c>
      <c r="QXX803" s="193" t="s">
        <v>1487</v>
      </c>
      <c r="QXY803" s="193" t="s">
        <v>1487</v>
      </c>
      <c r="QXZ803" s="193" t="s">
        <v>1487</v>
      </c>
      <c r="QYA803" s="193" t="s">
        <v>1487</v>
      </c>
      <c r="QYB803" s="193" t="s">
        <v>1487</v>
      </c>
      <c r="QYC803" s="193" t="s">
        <v>1487</v>
      </c>
      <c r="QYD803" s="193" t="s">
        <v>1487</v>
      </c>
      <c r="QYE803" s="193" t="s">
        <v>1487</v>
      </c>
      <c r="QYF803" s="193" t="s">
        <v>1487</v>
      </c>
      <c r="QYG803" s="193" t="s">
        <v>1487</v>
      </c>
      <c r="QYH803" s="193" t="s">
        <v>1487</v>
      </c>
      <c r="QYI803" s="193" t="s">
        <v>1487</v>
      </c>
      <c r="QYJ803" s="193" t="s">
        <v>1487</v>
      </c>
      <c r="QYK803" s="193" t="s">
        <v>1487</v>
      </c>
      <c r="QYL803" s="193" t="s">
        <v>1487</v>
      </c>
      <c r="QYM803" s="193" t="s">
        <v>1487</v>
      </c>
      <c r="QYN803" s="193" t="s">
        <v>1487</v>
      </c>
      <c r="QYO803" s="193" t="s">
        <v>1487</v>
      </c>
      <c r="QYP803" s="193" t="s">
        <v>1487</v>
      </c>
      <c r="QYQ803" s="193" t="s">
        <v>1487</v>
      </c>
      <c r="QYR803" s="193" t="s">
        <v>1487</v>
      </c>
      <c r="QYS803" s="193" t="s">
        <v>1487</v>
      </c>
      <c r="QYT803" s="193" t="s">
        <v>1487</v>
      </c>
      <c r="QYU803" s="193" t="s">
        <v>1487</v>
      </c>
      <c r="QYV803" s="193" t="s">
        <v>1487</v>
      </c>
      <c r="QYW803" s="193" t="s">
        <v>1487</v>
      </c>
      <c r="QYX803" s="193" t="s">
        <v>1487</v>
      </c>
      <c r="QYY803" s="193" t="s">
        <v>1487</v>
      </c>
      <c r="QYZ803" s="193" t="s">
        <v>1487</v>
      </c>
      <c r="QZA803" s="193" t="s">
        <v>1487</v>
      </c>
      <c r="QZB803" s="193" t="s">
        <v>1487</v>
      </c>
      <c r="QZC803" s="193" t="s">
        <v>1487</v>
      </c>
      <c r="QZD803" s="193" t="s">
        <v>1487</v>
      </c>
      <c r="QZE803" s="193" t="s">
        <v>1487</v>
      </c>
      <c r="QZF803" s="193" t="s">
        <v>1487</v>
      </c>
      <c r="QZG803" s="193" t="s">
        <v>1487</v>
      </c>
      <c r="QZH803" s="193" t="s">
        <v>1487</v>
      </c>
      <c r="QZI803" s="193" t="s">
        <v>1487</v>
      </c>
      <c r="QZJ803" s="193" t="s">
        <v>1487</v>
      </c>
      <c r="QZK803" s="193" t="s">
        <v>1487</v>
      </c>
      <c r="QZL803" s="193" t="s">
        <v>1487</v>
      </c>
      <c r="QZM803" s="193" t="s">
        <v>1487</v>
      </c>
      <c r="QZN803" s="193" t="s">
        <v>1487</v>
      </c>
      <c r="QZO803" s="193" t="s">
        <v>1487</v>
      </c>
      <c r="QZP803" s="193" t="s">
        <v>1487</v>
      </c>
      <c r="QZQ803" s="193" t="s">
        <v>1487</v>
      </c>
      <c r="QZR803" s="193" t="s">
        <v>1487</v>
      </c>
      <c r="QZS803" s="193" t="s">
        <v>1487</v>
      </c>
      <c r="QZT803" s="193" t="s">
        <v>1487</v>
      </c>
      <c r="QZU803" s="193" t="s">
        <v>1487</v>
      </c>
      <c r="QZV803" s="193" t="s">
        <v>1487</v>
      </c>
      <c r="QZW803" s="193" t="s">
        <v>1487</v>
      </c>
      <c r="QZX803" s="193" t="s">
        <v>1487</v>
      </c>
      <c r="QZY803" s="193" t="s">
        <v>1487</v>
      </c>
      <c r="QZZ803" s="193" t="s">
        <v>1487</v>
      </c>
      <c r="RAA803" s="193" t="s">
        <v>1487</v>
      </c>
      <c r="RAB803" s="193" t="s">
        <v>1487</v>
      </c>
      <c r="RAC803" s="193" t="s">
        <v>1487</v>
      </c>
      <c r="RAD803" s="193" t="s">
        <v>1487</v>
      </c>
      <c r="RAE803" s="193" t="s">
        <v>1487</v>
      </c>
      <c r="RAF803" s="193" t="s">
        <v>1487</v>
      </c>
      <c r="RAG803" s="193" t="s">
        <v>1487</v>
      </c>
      <c r="RAH803" s="193" t="s">
        <v>1487</v>
      </c>
      <c r="RAI803" s="193" t="s">
        <v>1487</v>
      </c>
      <c r="RAJ803" s="193" t="s">
        <v>1487</v>
      </c>
      <c r="RAK803" s="193" t="s">
        <v>1487</v>
      </c>
      <c r="RAL803" s="193" t="s">
        <v>1487</v>
      </c>
      <c r="RAM803" s="193" t="s">
        <v>1487</v>
      </c>
      <c r="RAN803" s="193" t="s">
        <v>1487</v>
      </c>
      <c r="RAO803" s="193" t="s">
        <v>1487</v>
      </c>
      <c r="RAP803" s="193" t="s">
        <v>1487</v>
      </c>
      <c r="RAQ803" s="193" t="s">
        <v>1487</v>
      </c>
      <c r="RAR803" s="193" t="s">
        <v>1487</v>
      </c>
      <c r="RAS803" s="193" t="s">
        <v>1487</v>
      </c>
      <c r="RAT803" s="193" t="s">
        <v>1487</v>
      </c>
      <c r="RAU803" s="193" t="s">
        <v>1487</v>
      </c>
      <c r="RAV803" s="193" t="s">
        <v>1487</v>
      </c>
      <c r="RAW803" s="193" t="s">
        <v>1487</v>
      </c>
      <c r="RAX803" s="193" t="s">
        <v>1487</v>
      </c>
      <c r="RAY803" s="193" t="s">
        <v>1487</v>
      </c>
      <c r="RAZ803" s="193" t="s">
        <v>1487</v>
      </c>
      <c r="RBA803" s="193" t="s">
        <v>1487</v>
      </c>
      <c r="RBB803" s="193" t="s">
        <v>1487</v>
      </c>
      <c r="RBC803" s="193" t="s">
        <v>1487</v>
      </c>
      <c r="RBD803" s="193" t="s">
        <v>1487</v>
      </c>
      <c r="RBE803" s="193" t="s">
        <v>1487</v>
      </c>
      <c r="RBF803" s="193" t="s">
        <v>1487</v>
      </c>
      <c r="RBG803" s="193" t="s">
        <v>1487</v>
      </c>
      <c r="RBH803" s="193" t="s">
        <v>1487</v>
      </c>
      <c r="RBI803" s="193" t="s">
        <v>1487</v>
      </c>
      <c r="RBJ803" s="193" t="s">
        <v>1487</v>
      </c>
      <c r="RBK803" s="193" t="s">
        <v>1487</v>
      </c>
      <c r="RBL803" s="193" t="s">
        <v>1487</v>
      </c>
      <c r="RBM803" s="193" t="s">
        <v>1487</v>
      </c>
      <c r="RBN803" s="193" t="s">
        <v>1487</v>
      </c>
      <c r="RBO803" s="193" t="s">
        <v>1487</v>
      </c>
      <c r="RBP803" s="193" t="s">
        <v>1487</v>
      </c>
      <c r="RBQ803" s="193" t="s">
        <v>1487</v>
      </c>
      <c r="RBR803" s="193" t="s">
        <v>1487</v>
      </c>
      <c r="RBS803" s="193" t="s">
        <v>1487</v>
      </c>
      <c r="RBT803" s="193" t="s">
        <v>1487</v>
      </c>
      <c r="RBU803" s="193" t="s">
        <v>1487</v>
      </c>
      <c r="RBV803" s="193" t="s">
        <v>1487</v>
      </c>
      <c r="RBW803" s="193" t="s">
        <v>1487</v>
      </c>
      <c r="RBX803" s="193" t="s">
        <v>1487</v>
      </c>
      <c r="RBY803" s="193" t="s">
        <v>1487</v>
      </c>
      <c r="RBZ803" s="193" t="s">
        <v>1487</v>
      </c>
      <c r="RCA803" s="193" t="s">
        <v>1487</v>
      </c>
      <c r="RCB803" s="193" t="s">
        <v>1487</v>
      </c>
      <c r="RCC803" s="193" t="s">
        <v>1487</v>
      </c>
      <c r="RCD803" s="193" t="s">
        <v>1487</v>
      </c>
      <c r="RCE803" s="193" t="s">
        <v>1487</v>
      </c>
      <c r="RCF803" s="193" t="s">
        <v>1487</v>
      </c>
      <c r="RCG803" s="193" t="s">
        <v>1487</v>
      </c>
      <c r="RCH803" s="193" t="s">
        <v>1487</v>
      </c>
      <c r="RCI803" s="193" t="s">
        <v>1487</v>
      </c>
      <c r="RCJ803" s="193" t="s">
        <v>1487</v>
      </c>
      <c r="RCK803" s="193" t="s">
        <v>1487</v>
      </c>
      <c r="RCL803" s="193" t="s">
        <v>1487</v>
      </c>
      <c r="RCM803" s="193" t="s">
        <v>1487</v>
      </c>
      <c r="RCN803" s="193" t="s">
        <v>1487</v>
      </c>
      <c r="RCO803" s="193" t="s">
        <v>1487</v>
      </c>
      <c r="RCP803" s="193" t="s">
        <v>1487</v>
      </c>
      <c r="RCQ803" s="193" t="s">
        <v>1487</v>
      </c>
      <c r="RCR803" s="193" t="s">
        <v>1487</v>
      </c>
      <c r="RCS803" s="193" t="s">
        <v>1487</v>
      </c>
      <c r="RCT803" s="193" t="s">
        <v>1487</v>
      </c>
      <c r="RCU803" s="193" t="s">
        <v>1487</v>
      </c>
      <c r="RCV803" s="193" t="s">
        <v>1487</v>
      </c>
      <c r="RCW803" s="193" t="s">
        <v>1487</v>
      </c>
      <c r="RCX803" s="193" t="s">
        <v>1487</v>
      </c>
      <c r="RCY803" s="193" t="s">
        <v>1487</v>
      </c>
      <c r="RCZ803" s="193" t="s">
        <v>1487</v>
      </c>
      <c r="RDA803" s="193" t="s">
        <v>1487</v>
      </c>
      <c r="RDB803" s="193" t="s">
        <v>1487</v>
      </c>
      <c r="RDC803" s="193" t="s">
        <v>1487</v>
      </c>
      <c r="RDD803" s="193" t="s">
        <v>1487</v>
      </c>
      <c r="RDE803" s="193" t="s">
        <v>1487</v>
      </c>
      <c r="RDF803" s="193" t="s">
        <v>1487</v>
      </c>
      <c r="RDG803" s="193" t="s">
        <v>1487</v>
      </c>
      <c r="RDH803" s="193" t="s">
        <v>1487</v>
      </c>
      <c r="RDI803" s="193" t="s">
        <v>1487</v>
      </c>
      <c r="RDJ803" s="193" t="s">
        <v>1487</v>
      </c>
      <c r="RDK803" s="193" t="s">
        <v>1487</v>
      </c>
      <c r="RDL803" s="193" t="s">
        <v>1487</v>
      </c>
      <c r="RDM803" s="193" t="s">
        <v>1487</v>
      </c>
      <c r="RDN803" s="193" t="s">
        <v>1487</v>
      </c>
      <c r="RDO803" s="193" t="s">
        <v>1487</v>
      </c>
      <c r="RDP803" s="193" t="s">
        <v>1487</v>
      </c>
      <c r="RDQ803" s="193" t="s">
        <v>1487</v>
      </c>
      <c r="RDR803" s="193" t="s">
        <v>1487</v>
      </c>
      <c r="RDS803" s="193" t="s">
        <v>1487</v>
      </c>
      <c r="RDT803" s="193" t="s">
        <v>1487</v>
      </c>
      <c r="RDU803" s="193" t="s">
        <v>1487</v>
      </c>
      <c r="RDV803" s="193" t="s">
        <v>1487</v>
      </c>
      <c r="RDW803" s="193" t="s">
        <v>1487</v>
      </c>
      <c r="RDX803" s="193" t="s">
        <v>1487</v>
      </c>
      <c r="RDY803" s="193" t="s">
        <v>1487</v>
      </c>
      <c r="RDZ803" s="193" t="s">
        <v>1487</v>
      </c>
      <c r="REA803" s="193" t="s">
        <v>1487</v>
      </c>
      <c r="REB803" s="193" t="s">
        <v>1487</v>
      </c>
      <c r="REC803" s="193" t="s">
        <v>1487</v>
      </c>
      <c r="RED803" s="193" t="s">
        <v>1487</v>
      </c>
      <c r="REE803" s="193" t="s">
        <v>1487</v>
      </c>
      <c r="REF803" s="193" t="s">
        <v>1487</v>
      </c>
      <c r="REG803" s="193" t="s">
        <v>1487</v>
      </c>
      <c r="REH803" s="193" t="s">
        <v>1487</v>
      </c>
      <c r="REI803" s="193" t="s">
        <v>1487</v>
      </c>
      <c r="REJ803" s="193" t="s">
        <v>1487</v>
      </c>
      <c r="REK803" s="193" t="s">
        <v>1487</v>
      </c>
      <c r="REL803" s="193" t="s">
        <v>1487</v>
      </c>
      <c r="REM803" s="193" t="s">
        <v>1487</v>
      </c>
      <c r="REN803" s="193" t="s">
        <v>1487</v>
      </c>
      <c r="REO803" s="193" t="s">
        <v>1487</v>
      </c>
      <c r="REP803" s="193" t="s">
        <v>1487</v>
      </c>
      <c r="REQ803" s="193" t="s">
        <v>1487</v>
      </c>
      <c r="RER803" s="193" t="s">
        <v>1487</v>
      </c>
      <c r="RES803" s="193" t="s">
        <v>1487</v>
      </c>
      <c r="RET803" s="193" t="s">
        <v>1487</v>
      </c>
      <c r="REU803" s="193" t="s">
        <v>1487</v>
      </c>
      <c r="REV803" s="193" t="s">
        <v>1487</v>
      </c>
      <c r="REW803" s="193" t="s">
        <v>1487</v>
      </c>
      <c r="REX803" s="193" t="s">
        <v>1487</v>
      </c>
      <c r="REY803" s="193" t="s">
        <v>1487</v>
      </c>
      <c r="REZ803" s="193" t="s">
        <v>1487</v>
      </c>
      <c r="RFA803" s="193" t="s">
        <v>1487</v>
      </c>
      <c r="RFB803" s="193" t="s">
        <v>1487</v>
      </c>
      <c r="RFC803" s="193" t="s">
        <v>1487</v>
      </c>
      <c r="RFD803" s="193" t="s">
        <v>1487</v>
      </c>
      <c r="RFE803" s="193" t="s">
        <v>1487</v>
      </c>
      <c r="RFF803" s="193" t="s">
        <v>1487</v>
      </c>
      <c r="RFG803" s="193" t="s">
        <v>1487</v>
      </c>
      <c r="RFH803" s="193" t="s">
        <v>1487</v>
      </c>
      <c r="RFI803" s="193" t="s">
        <v>1487</v>
      </c>
      <c r="RFJ803" s="193" t="s">
        <v>1487</v>
      </c>
      <c r="RFK803" s="193" t="s">
        <v>1487</v>
      </c>
      <c r="RFL803" s="193" t="s">
        <v>1487</v>
      </c>
      <c r="RFM803" s="193" t="s">
        <v>1487</v>
      </c>
      <c r="RFN803" s="193" t="s">
        <v>1487</v>
      </c>
      <c r="RFO803" s="193" t="s">
        <v>1487</v>
      </c>
      <c r="RFP803" s="193" t="s">
        <v>1487</v>
      </c>
      <c r="RFQ803" s="193" t="s">
        <v>1487</v>
      </c>
      <c r="RFR803" s="193" t="s">
        <v>1487</v>
      </c>
      <c r="RFS803" s="193" t="s">
        <v>1487</v>
      </c>
      <c r="RFT803" s="193" t="s">
        <v>1487</v>
      </c>
      <c r="RFU803" s="193" t="s">
        <v>1487</v>
      </c>
      <c r="RFV803" s="193" t="s">
        <v>1487</v>
      </c>
      <c r="RFW803" s="193" t="s">
        <v>1487</v>
      </c>
      <c r="RFX803" s="193" t="s">
        <v>1487</v>
      </c>
      <c r="RFY803" s="193" t="s">
        <v>1487</v>
      </c>
      <c r="RFZ803" s="193" t="s">
        <v>1487</v>
      </c>
      <c r="RGA803" s="193" t="s">
        <v>1487</v>
      </c>
      <c r="RGB803" s="193" t="s">
        <v>1487</v>
      </c>
      <c r="RGC803" s="193" t="s">
        <v>1487</v>
      </c>
      <c r="RGD803" s="193" t="s">
        <v>1487</v>
      </c>
      <c r="RGE803" s="193" t="s">
        <v>1487</v>
      </c>
      <c r="RGF803" s="193" t="s">
        <v>1487</v>
      </c>
      <c r="RGG803" s="193" t="s">
        <v>1487</v>
      </c>
      <c r="RGH803" s="193" t="s">
        <v>1487</v>
      </c>
      <c r="RGI803" s="193" t="s">
        <v>1487</v>
      </c>
      <c r="RGJ803" s="193" t="s">
        <v>1487</v>
      </c>
      <c r="RGK803" s="193" t="s">
        <v>1487</v>
      </c>
      <c r="RGL803" s="193" t="s">
        <v>1487</v>
      </c>
      <c r="RGM803" s="193" t="s">
        <v>1487</v>
      </c>
      <c r="RGN803" s="193" t="s">
        <v>1487</v>
      </c>
      <c r="RGO803" s="193" t="s">
        <v>1487</v>
      </c>
      <c r="RGP803" s="193" t="s">
        <v>1487</v>
      </c>
      <c r="RGQ803" s="193" t="s">
        <v>1487</v>
      </c>
      <c r="RGR803" s="193" t="s">
        <v>1487</v>
      </c>
      <c r="RGS803" s="193" t="s">
        <v>1487</v>
      </c>
      <c r="RGT803" s="193" t="s">
        <v>1487</v>
      </c>
      <c r="RGU803" s="193" t="s">
        <v>1487</v>
      </c>
      <c r="RGV803" s="193" t="s">
        <v>1487</v>
      </c>
      <c r="RGW803" s="193" t="s">
        <v>1487</v>
      </c>
      <c r="RGX803" s="193" t="s">
        <v>1487</v>
      </c>
      <c r="RGY803" s="193" t="s">
        <v>1487</v>
      </c>
      <c r="RGZ803" s="193" t="s">
        <v>1487</v>
      </c>
      <c r="RHA803" s="193" t="s">
        <v>1487</v>
      </c>
      <c r="RHB803" s="193" t="s">
        <v>1487</v>
      </c>
      <c r="RHC803" s="193" t="s">
        <v>1487</v>
      </c>
      <c r="RHD803" s="193" t="s">
        <v>1487</v>
      </c>
      <c r="RHE803" s="193" t="s">
        <v>1487</v>
      </c>
      <c r="RHF803" s="193" t="s">
        <v>1487</v>
      </c>
      <c r="RHG803" s="193" t="s">
        <v>1487</v>
      </c>
      <c r="RHH803" s="193" t="s">
        <v>1487</v>
      </c>
      <c r="RHI803" s="193" t="s">
        <v>1487</v>
      </c>
      <c r="RHJ803" s="193" t="s">
        <v>1487</v>
      </c>
      <c r="RHK803" s="193" t="s">
        <v>1487</v>
      </c>
      <c r="RHL803" s="193" t="s">
        <v>1487</v>
      </c>
      <c r="RHM803" s="193" t="s">
        <v>1487</v>
      </c>
      <c r="RHN803" s="193" t="s">
        <v>1487</v>
      </c>
      <c r="RHO803" s="193" t="s">
        <v>1487</v>
      </c>
      <c r="RHP803" s="193" t="s">
        <v>1487</v>
      </c>
      <c r="RHQ803" s="193" t="s">
        <v>1487</v>
      </c>
      <c r="RHR803" s="193" t="s">
        <v>1487</v>
      </c>
      <c r="RHS803" s="193" t="s">
        <v>1487</v>
      </c>
      <c r="RHT803" s="193" t="s">
        <v>1487</v>
      </c>
      <c r="RHU803" s="193" t="s">
        <v>1487</v>
      </c>
      <c r="RHV803" s="193" t="s">
        <v>1487</v>
      </c>
      <c r="RHW803" s="193" t="s">
        <v>1487</v>
      </c>
      <c r="RHX803" s="193" t="s">
        <v>1487</v>
      </c>
      <c r="RHY803" s="193" t="s">
        <v>1487</v>
      </c>
      <c r="RHZ803" s="193" t="s">
        <v>1487</v>
      </c>
      <c r="RIA803" s="193" t="s">
        <v>1487</v>
      </c>
      <c r="RIB803" s="193" t="s">
        <v>1487</v>
      </c>
      <c r="RIC803" s="193" t="s">
        <v>1487</v>
      </c>
      <c r="RID803" s="193" t="s">
        <v>1487</v>
      </c>
      <c r="RIE803" s="193" t="s">
        <v>1487</v>
      </c>
      <c r="RIF803" s="193" t="s">
        <v>1487</v>
      </c>
      <c r="RIG803" s="193" t="s">
        <v>1487</v>
      </c>
      <c r="RIH803" s="193" t="s">
        <v>1487</v>
      </c>
      <c r="RII803" s="193" t="s">
        <v>1487</v>
      </c>
      <c r="RIJ803" s="193" t="s">
        <v>1487</v>
      </c>
      <c r="RIK803" s="193" t="s">
        <v>1487</v>
      </c>
      <c r="RIL803" s="193" t="s">
        <v>1487</v>
      </c>
      <c r="RIM803" s="193" t="s">
        <v>1487</v>
      </c>
      <c r="RIN803" s="193" t="s">
        <v>1487</v>
      </c>
      <c r="RIO803" s="193" t="s">
        <v>1487</v>
      </c>
      <c r="RIP803" s="193" t="s">
        <v>1487</v>
      </c>
      <c r="RIQ803" s="193" t="s">
        <v>1487</v>
      </c>
      <c r="RIR803" s="193" t="s">
        <v>1487</v>
      </c>
      <c r="RIS803" s="193" t="s">
        <v>1487</v>
      </c>
      <c r="RIT803" s="193" t="s">
        <v>1487</v>
      </c>
      <c r="RIU803" s="193" t="s">
        <v>1487</v>
      </c>
      <c r="RIV803" s="193" t="s">
        <v>1487</v>
      </c>
      <c r="RIW803" s="193" t="s">
        <v>1487</v>
      </c>
      <c r="RIX803" s="193" t="s">
        <v>1487</v>
      </c>
      <c r="RIY803" s="193" t="s">
        <v>1487</v>
      </c>
      <c r="RIZ803" s="193" t="s">
        <v>1487</v>
      </c>
      <c r="RJA803" s="193" t="s">
        <v>1487</v>
      </c>
      <c r="RJB803" s="193" t="s">
        <v>1487</v>
      </c>
      <c r="RJC803" s="193" t="s">
        <v>1487</v>
      </c>
      <c r="RJD803" s="193" t="s">
        <v>1487</v>
      </c>
      <c r="RJE803" s="193" t="s">
        <v>1487</v>
      </c>
      <c r="RJF803" s="193" t="s">
        <v>1487</v>
      </c>
      <c r="RJG803" s="193" t="s">
        <v>1487</v>
      </c>
      <c r="RJH803" s="193" t="s">
        <v>1487</v>
      </c>
      <c r="RJI803" s="193" t="s">
        <v>1487</v>
      </c>
      <c r="RJJ803" s="193" t="s">
        <v>1487</v>
      </c>
      <c r="RJK803" s="193" t="s">
        <v>1487</v>
      </c>
      <c r="RJL803" s="193" t="s">
        <v>1487</v>
      </c>
      <c r="RJM803" s="193" t="s">
        <v>1487</v>
      </c>
      <c r="RJN803" s="193" t="s">
        <v>1487</v>
      </c>
      <c r="RJO803" s="193" t="s">
        <v>1487</v>
      </c>
      <c r="RJP803" s="193" t="s">
        <v>1487</v>
      </c>
      <c r="RJQ803" s="193" t="s">
        <v>1487</v>
      </c>
      <c r="RJR803" s="193" t="s">
        <v>1487</v>
      </c>
      <c r="RJS803" s="193" t="s">
        <v>1487</v>
      </c>
      <c r="RJT803" s="193" t="s">
        <v>1487</v>
      </c>
      <c r="RJU803" s="193" t="s">
        <v>1487</v>
      </c>
      <c r="RJV803" s="193" t="s">
        <v>1487</v>
      </c>
      <c r="RJW803" s="193" t="s">
        <v>1487</v>
      </c>
      <c r="RJX803" s="193" t="s">
        <v>1487</v>
      </c>
      <c r="RJY803" s="193" t="s">
        <v>1487</v>
      </c>
      <c r="RJZ803" s="193" t="s">
        <v>1487</v>
      </c>
      <c r="RKA803" s="193" t="s">
        <v>1487</v>
      </c>
      <c r="RKB803" s="193" t="s">
        <v>1487</v>
      </c>
      <c r="RKC803" s="193" t="s">
        <v>1487</v>
      </c>
      <c r="RKD803" s="193" t="s">
        <v>1487</v>
      </c>
      <c r="RKE803" s="193" t="s">
        <v>1487</v>
      </c>
      <c r="RKF803" s="193" t="s">
        <v>1487</v>
      </c>
      <c r="RKG803" s="193" t="s">
        <v>1487</v>
      </c>
      <c r="RKH803" s="193" t="s">
        <v>1487</v>
      </c>
      <c r="RKI803" s="193" t="s">
        <v>1487</v>
      </c>
      <c r="RKJ803" s="193" t="s">
        <v>1487</v>
      </c>
      <c r="RKK803" s="193" t="s">
        <v>1487</v>
      </c>
      <c r="RKL803" s="193" t="s">
        <v>1487</v>
      </c>
      <c r="RKM803" s="193" t="s">
        <v>1487</v>
      </c>
      <c r="RKN803" s="193" t="s">
        <v>1487</v>
      </c>
      <c r="RKO803" s="193" t="s">
        <v>1487</v>
      </c>
      <c r="RKP803" s="193" t="s">
        <v>1487</v>
      </c>
      <c r="RKQ803" s="193" t="s">
        <v>1487</v>
      </c>
      <c r="RKR803" s="193" t="s">
        <v>1487</v>
      </c>
      <c r="RKS803" s="193" t="s">
        <v>1487</v>
      </c>
      <c r="RKT803" s="193" t="s">
        <v>1487</v>
      </c>
      <c r="RKU803" s="193" t="s">
        <v>1487</v>
      </c>
      <c r="RKV803" s="193" t="s">
        <v>1487</v>
      </c>
      <c r="RKW803" s="193" t="s">
        <v>1487</v>
      </c>
      <c r="RKX803" s="193" t="s">
        <v>1487</v>
      </c>
      <c r="RKY803" s="193" t="s">
        <v>1487</v>
      </c>
      <c r="RKZ803" s="193" t="s">
        <v>1487</v>
      </c>
      <c r="RLA803" s="193" t="s">
        <v>1487</v>
      </c>
      <c r="RLB803" s="193" t="s">
        <v>1487</v>
      </c>
      <c r="RLC803" s="193" t="s">
        <v>1487</v>
      </c>
      <c r="RLD803" s="193" t="s">
        <v>1487</v>
      </c>
      <c r="RLE803" s="193" t="s">
        <v>1487</v>
      </c>
      <c r="RLF803" s="193" t="s">
        <v>1487</v>
      </c>
      <c r="RLG803" s="193" t="s">
        <v>1487</v>
      </c>
      <c r="RLH803" s="193" t="s">
        <v>1487</v>
      </c>
      <c r="RLI803" s="193" t="s">
        <v>1487</v>
      </c>
      <c r="RLJ803" s="193" t="s">
        <v>1487</v>
      </c>
      <c r="RLK803" s="193" t="s">
        <v>1487</v>
      </c>
      <c r="RLL803" s="193" t="s">
        <v>1487</v>
      </c>
      <c r="RLM803" s="193" t="s">
        <v>1487</v>
      </c>
      <c r="RLN803" s="193" t="s">
        <v>1487</v>
      </c>
      <c r="RLO803" s="193" t="s">
        <v>1487</v>
      </c>
      <c r="RLP803" s="193" t="s">
        <v>1487</v>
      </c>
      <c r="RLQ803" s="193" t="s">
        <v>1487</v>
      </c>
      <c r="RLR803" s="193" t="s">
        <v>1487</v>
      </c>
      <c r="RLS803" s="193" t="s">
        <v>1487</v>
      </c>
      <c r="RLT803" s="193" t="s">
        <v>1487</v>
      </c>
      <c r="RLU803" s="193" t="s">
        <v>1487</v>
      </c>
      <c r="RLV803" s="193" t="s">
        <v>1487</v>
      </c>
      <c r="RLW803" s="193" t="s">
        <v>1487</v>
      </c>
      <c r="RLX803" s="193" t="s">
        <v>1487</v>
      </c>
      <c r="RLY803" s="193" t="s">
        <v>1487</v>
      </c>
      <c r="RLZ803" s="193" t="s">
        <v>1487</v>
      </c>
      <c r="RMA803" s="193" t="s">
        <v>1487</v>
      </c>
      <c r="RMB803" s="193" t="s">
        <v>1487</v>
      </c>
      <c r="RMC803" s="193" t="s">
        <v>1487</v>
      </c>
      <c r="RMD803" s="193" t="s">
        <v>1487</v>
      </c>
      <c r="RME803" s="193" t="s">
        <v>1487</v>
      </c>
      <c r="RMF803" s="193" t="s">
        <v>1487</v>
      </c>
      <c r="RMG803" s="193" t="s">
        <v>1487</v>
      </c>
      <c r="RMH803" s="193" t="s">
        <v>1487</v>
      </c>
      <c r="RMI803" s="193" t="s">
        <v>1487</v>
      </c>
      <c r="RMJ803" s="193" t="s">
        <v>1487</v>
      </c>
      <c r="RMK803" s="193" t="s">
        <v>1487</v>
      </c>
      <c r="RML803" s="193" t="s">
        <v>1487</v>
      </c>
      <c r="RMM803" s="193" t="s">
        <v>1487</v>
      </c>
      <c r="RMN803" s="193" t="s">
        <v>1487</v>
      </c>
      <c r="RMO803" s="193" t="s">
        <v>1487</v>
      </c>
      <c r="RMP803" s="193" t="s">
        <v>1487</v>
      </c>
      <c r="RMQ803" s="193" t="s">
        <v>1487</v>
      </c>
      <c r="RMR803" s="193" t="s">
        <v>1487</v>
      </c>
      <c r="RMS803" s="193" t="s">
        <v>1487</v>
      </c>
      <c r="RMT803" s="193" t="s">
        <v>1487</v>
      </c>
      <c r="RMU803" s="193" t="s">
        <v>1487</v>
      </c>
      <c r="RMV803" s="193" t="s">
        <v>1487</v>
      </c>
      <c r="RMW803" s="193" t="s">
        <v>1487</v>
      </c>
      <c r="RMX803" s="193" t="s">
        <v>1487</v>
      </c>
      <c r="RMY803" s="193" t="s">
        <v>1487</v>
      </c>
      <c r="RMZ803" s="193" t="s">
        <v>1487</v>
      </c>
      <c r="RNA803" s="193" t="s">
        <v>1487</v>
      </c>
      <c r="RNB803" s="193" t="s">
        <v>1487</v>
      </c>
      <c r="RNC803" s="193" t="s">
        <v>1487</v>
      </c>
      <c r="RND803" s="193" t="s">
        <v>1487</v>
      </c>
      <c r="RNE803" s="193" t="s">
        <v>1487</v>
      </c>
      <c r="RNF803" s="193" t="s">
        <v>1487</v>
      </c>
      <c r="RNG803" s="193" t="s">
        <v>1487</v>
      </c>
      <c r="RNH803" s="193" t="s">
        <v>1487</v>
      </c>
      <c r="RNI803" s="193" t="s">
        <v>1487</v>
      </c>
      <c r="RNJ803" s="193" t="s">
        <v>1487</v>
      </c>
      <c r="RNK803" s="193" t="s">
        <v>1487</v>
      </c>
      <c r="RNL803" s="193" t="s">
        <v>1487</v>
      </c>
      <c r="RNM803" s="193" t="s">
        <v>1487</v>
      </c>
      <c r="RNN803" s="193" t="s">
        <v>1487</v>
      </c>
      <c r="RNO803" s="193" t="s">
        <v>1487</v>
      </c>
      <c r="RNP803" s="193" t="s">
        <v>1487</v>
      </c>
      <c r="RNQ803" s="193" t="s">
        <v>1487</v>
      </c>
      <c r="RNR803" s="193" t="s">
        <v>1487</v>
      </c>
      <c r="RNS803" s="193" t="s">
        <v>1487</v>
      </c>
      <c r="RNT803" s="193" t="s">
        <v>1487</v>
      </c>
      <c r="RNU803" s="193" t="s">
        <v>1487</v>
      </c>
      <c r="RNV803" s="193" t="s">
        <v>1487</v>
      </c>
      <c r="RNW803" s="193" t="s">
        <v>1487</v>
      </c>
      <c r="RNX803" s="193" t="s">
        <v>1487</v>
      </c>
      <c r="RNY803" s="193" t="s">
        <v>1487</v>
      </c>
      <c r="RNZ803" s="193" t="s">
        <v>1487</v>
      </c>
      <c r="ROA803" s="193" t="s">
        <v>1487</v>
      </c>
      <c r="ROB803" s="193" t="s">
        <v>1487</v>
      </c>
      <c r="ROC803" s="193" t="s">
        <v>1487</v>
      </c>
      <c r="ROD803" s="193" t="s">
        <v>1487</v>
      </c>
      <c r="ROE803" s="193" t="s">
        <v>1487</v>
      </c>
      <c r="ROF803" s="193" t="s">
        <v>1487</v>
      </c>
      <c r="ROG803" s="193" t="s">
        <v>1487</v>
      </c>
      <c r="ROH803" s="193" t="s">
        <v>1487</v>
      </c>
      <c r="ROI803" s="193" t="s">
        <v>1487</v>
      </c>
      <c r="ROJ803" s="193" t="s">
        <v>1487</v>
      </c>
      <c r="ROK803" s="193" t="s">
        <v>1487</v>
      </c>
      <c r="ROL803" s="193" t="s">
        <v>1487</v>
      </c>
      <c r="ROM803" s="193" t="s">
        <v>1487</v>
      </c>
      <c r="RON803" s="193" t="s">
        <v>1487</v>
      </c>
      <c r="ROO803" s="193" t="s">
        <v>1487</v>
      </c>
      <c r="ROP803" s="193" t="s">
        <v>1487</v>
      </c>
      <c r="ROQ803" s="193" t="s">
        <v>1487</v>
      </c>
      <c r="ROR803" s="193" t="s">
        <v>1487</v>
      </c>
      <c r="ROS803" s="193" t="s">
        <v>1487</v>
      </c>
      <c r="ROT803" s="193" t="s">
        <v>1487</v>
      </c>
      <c r="ROU803" s="193" t="s">
        <v>1487</v>
      </c>
      <c r="ROV803" s="193" t="s">
        <v>1487</v>
      </c>
      <c r="ROW803" s="193" t="s">
        <v>1487</v>
      </c>
      <c r="ROX803" s="193" t="s">
        <v>1487</v>
      </c>
      <c r="ROY803" s="193" t="s">
        <v>1487</v>
      </c>
      <c r="ROZ803" s="193" t="s">
        <v>1487</v>
      </c>
      <c r="RPA803" s="193" t="s">
        <v>1487</v>
      </c>
      <c r="RPB803" s="193" t="s">
        <v>1487</v>
      </c>
      <c r="RPC803" s="193" t="s">
        <v>1487</v>
      </c>
      <c r="RPD803" s="193" t="s">
        <v>1487</v>
      </c>
      <c r="RPE803" s="193" t="s">
        <v>1487</v>
      </c>
      <c r="RPF803" s="193" t="s">
        <v>1487</v>
      </c>
      <c r="RPG803" s="193" t="s">
        <v>1487</v>
      </c>
      <c r="RPH803" s="193" t="s">
        <v>1487</v>
      </c>
      <c r="RPI803" s="193" t="s">
        <v>1487</v>
      </c>
      <c r="RPJ803" s="193" t="s">
        <v>1487</v>
      </c>
      <c r="RPK803" s="193" t="s">
        <v>1487</v>
      </c>
      <c r="RPL803" s="193" t="s">
        <v>1487</v>
      </c>
      <c r="RPM803" s="193" t="s">
        <v>1487</v>
      </c>
      <c r="RPN803" s="193" t="s">
        <v>1487</v>
      </c>
      <c r="RPO803" s="193" t="s">
        <v>1487</v>
      </c>
      <c r="RPP803" s="193" t="s">
        <v>1487</v>
      </c>
      <c r="RPQ803" s="193" t="s">
        <v>1487</v>
      </c>
      <c r="RPR803" s="193" t="s">
        <v>1487</v>
      </c>
      <c r="RPS803" s="193" t="s">
        <v>1487</v>
      </c>
      <c r="RPT803" s="193" t="s">
        <v>1487</v>
      </c>
      <c r="RPU803" s="193" t="s">
        <v>1487</v>
      </c>
      <c r="RPV803" s="193" t="s">
        <v>1487</v>
      </c>
      <c r="RPW803" s="193" t="s">
        <v>1487</v>
      </c>
      <c r="RPX803" s="193" t="s">
        <v>1487</v>
      </c>
      <c r="RPY803" s="193" t="s">
        <v>1487</v>
      </c>
      <c r="RPZ803" s="193" t="s">
        <v>1487</v>
      </c>
      <c r="RQA803" s="193" t="s">
        <v>1487</v>
      </c>
      <c r="RQB803" s="193" t="s">
        <v>1487</v>
      </c>
      <c r="RQC803" s="193" t="s">
        <v>1487</v>
      </c>
      <c r="RQD803" s="193" t="s">
        <v>1487</v>
      </c>
      <c r="RQE803" s="193" t="s">
        <v>1487</v>
      </c>
      <c r="RQF803" s="193" t="s">
        <v>1487</v>
      </c>
      <c r="RQG803" s="193" t="s">
        <v>1487</v>
      </c>
      <c r="RQH803" s="193" t="s">
        <v>1487</v>
      </c>
      <c r="RQI803" s="193" t="s">
        <v>1487</v>
      </c>
      <c r="RQJ803" s="193" t="s">
        <v>1487</v>
      </c>
      <c r="RQK803" s="193" t="s">
        <v>1487</v>
      </c>
      <c r="RQL803" s="193" t="s">
        <v>1487</v>
      </c>
      <c r="RQM803" s="193" t="s">
        <v>1487</v>
      </c>
      <c r="RQN803" s="193" t="s">
        <v>1487</v>
      </c>
      <c r="RQO803" s="193" t="s">
        <v>1487</v>
      </c>
      <c r="RQP803" s="193" t="s">
        <v>1487</v>
      </c>
      <c r="RQQ803" s="193" t="s">
        <v>1487</v>
      </c>
      <c r="RQR803" s="193" t="s">
        <v>1487</v>
      </c>
      <c r="RQS803" s="193" t="s">
        <v>1487</v>
      </c>
      <c r="RQT803" s="193" t="s">
        <v>1487</v>
      </c>
      <c r="RQU803" s="193" t="s">
        <v>1487</v>
      </c>
      <c r="RQV803" s="193" t="s">
        <v>1487</v>
      </c>
      <c r="RQW803" s="193" t="s">
        <v>1487</v>
      </c>
      <c r="RQX803" s="193" t="s">
        <v>1487</v>
      </c>
      <c r="RQY803" s="193" t="s">
        <v>1487</v>
      </c>
      <c r="RQZ803" s="193" t="s">
        <v>1487</v>
      </c>
      <c r="RRA803" s="193" t="s">
        <v>1487</v>
      </c>
      <c r="RRB803" s="193" t="s">
        <v>1487</v>
      </c>
      <c r="RRC803" s="193" t="s">
        <v>1487</v>
      </c>
      <c r="RRD803" s="193" t="s">
        <v>1487</v>
      </c>
      <c r="RRE803" s="193" t="s">
        <v>1487</v>
      </c>
      <c r="RRF803" s="193" t="s">
        <v>1487</v>
      </c>
      <c r="RRG803" s="193" t="s">
        <v>1487</v>
      </c>
      <c r="RRH803" s="193" t="s">
        <v>1487</v>
      </c>
      <c r="RRI803" s="193" t="s">
        <v>1487</v>
      </c>
      <c r="RRJ803" s="193" t="s">
        <v>1487</v>
      </c>
      <c r="RRK803" s="193" t="s">
        <v>1487</v>
      </c>
      <c r="RRL803" s="193" t="s">
        <v>1487</v>
      </c>
      <c r="RRM803" s="193" t="s">
        <v>1487</v>
      </c>
      <c r="RRN803" s="193" t="s">
        <v>1487</v>
      </c>
      <c r="RRO803" s="193" t="s">
        <v>1487</v>
      </c>
      <c r="RRP803" s="193" t="s">
        <v>1487</v>
      </c>
      <c r="RRQ803" s="193" t="s">
        <v>1487</v>
      </c>
      <c r="RRR803" s="193" t="s">
        <v>1487</v>
      </c>
      <c r="RRS803" s="193" t="s">
        <v>1487</v>
      </c>
      <c r="RRT803" s="193" t="s">
        <v>1487</v>
      </c>
      <c r="RRU803" s="193" t="s">
        <v>1487</v>
      </c>
      <c r="RRV803" s="193" t="s">
        <v>1487</v>
      </c>
      <c r="RRW803" s="193" t="s">
        <v>1487</v>
      </c>
      <c r="RRX803" s="193" t="s">
        <v>1487</v>
      </c>
      <c r="RRY803" s="193" t="s">
        <v>1487</v>
      </c>
      <c r="RRZ803" s="193" t="s">
        <v>1487</v>
      </c>
      <c r="RSA803" s="193" t="s">
        <v>1487</v>
      </c>
      <c r="RSB803" s="193" t="s">
        <v>1487</v>
      </c>
      <c r="RSC803" s="193" t="s">
        <v>1487</v>
      </c>
      <c r="RSD803" s="193" t="s">
        <v>1487</v>
      </c>
      <c r="RSE803" s="193" t="s">
        <v>1487</v>
      </c>
      <c r="RSF803" s="193" t="s">
        <v>1487</v>
      </c>
      <c r="RSG803" s="193" t="s">
        <v>1487</v>
      </c>
      <c r="RSH803" s="193" t="s">
        <v>1487</v>
      </c>
      <c r="RSI803" s="193" t="s">
        <v>1487</v>
      </c>
      <c r="RSJ803" s="193" t="s">
        <v>1487</v>
      </c>
      <c r="RSK803" s="193" t="s">
        <v>1487</v>
      </c>
      <c r="RSL803" s="193" t="s">
        <v>1487</v>
      </c>
      <c r="RSM803" s="193" t="s">
        <v>1487</v>
      </c>
      <c r="RSN803" s="193" t="s">
        <v>1487</v>
      </c>
      <c r="RSO803" s="193" t="s">
        <v>1487</v>
      </c>
      <c r="RSP803" s="193" t="s">
        <v>1487</v>
      </c>
      <c r="RSQ803" s="193" t="s">
        <v>1487</v>
      </c>
      <c r="RSR803" s="193" t="s">
        <v>1487</v>
      </c>
      <c r="RSS803" s="193" t="s">
        <v>1487</v>
      </c>
      <c r="RST803" s="193" t="s">
        <v>1487</v>
      </c>
      <c r="RSU803" s="193" t="s">
        <v>1487</v>
      </c>
      <c r="RSV803" s="193" t="s">
        <v>1487</v>
      </c>
      <c r="RSW803" s="193" t="s">
        <v>1487</v>
      </c>
      <c r="RSX803" s="193" t="s">
        <v>1487</v>
      </c>
      <c r="RSY803" s="193" t="s">
        <v>1487</v>
      </c>
      <c r="RSZ803" s="193" t="s">
        <v>1487</v>
      </c>
      <c r="RTA803" s="193" t="s">
        <v>1487</v>
      </c>
      <c r="RTB803" s="193" t="s">
        <v>1487</v>
      </c>
      <c r="RTC803" s="193" t="s">
        <v>1487</v>
      </c>
      <c r="RTD803" s="193" t="s">
        <v>1487</v>
      </c>
      <c r="RTE803" s="193" t="s">
        <v>1487</v>
      </c>
      <c r="RTF803" s="193" t="s">
        <v>1487</v>
      </c>
      <c r="RTG803" s="193" t="s">
        <v>1487</v>
      </c>
      <c r="RTH803" s="193" t="s">
        <v>1487</v>
      </c>
      <c r="RTI803" s="193" t="s">
        <v>1487</v>
      </c>
      <c r="RTJ803" s="193" t="s">
        <v>1487</v>
      </c>
      <c r="RTK803" s="193" t="s">
        <v>1487</v>
      </c>
      <c r="RTL803" s="193" t="s">
        <v>1487</v>
      </c>
      <c r="RTM803" s="193" t="s">
        <v>1487</v>
      </c>
      <c r="RTN803" s="193" t="s">
        <v>1487</v>
      </c>
      <c r="RTO803" s="193" t="s">
        <v>1487</v>
      </c>
      <c r="RTP803" s="193" t="s">
        <v>1487</v>
      </c>
      <c r="RTQ803" s="193" t="s">
        <v>1487</v>
      </c>
      <c r="RTR803" s="193" t="s">
        <v>1487</v>
      </c>
      <c r="RTS803" s="193" t="s">
        <v>1487</v>
      </c>
      <c r="RTT803" s="193" t="s">
        <v>1487</v>
      </c>
      <c r="RTU803" s="193" t="s">
        <v>1487</v>
      </c>
      <c r="RTV803" s="193" t="s">
        <v>1487</v>
      </c>
      <c r="RTW803" s="193" t="s">
        <v>1487</v>
      </c>
      <c r="RTX803" s="193" t="s">
        <v>1487</v>
      </c>
      <c r="RTY803" s="193" t="s">
        <v>1487</v>
      </c>
      <c r="RTZ803" s="193" t="s">
        <v>1487</v>
      </c>
      <c r="RUA803" s="193" t="s">
        <v>1487</v>
      </c>
      <c r="RUB803" s="193" t="s">
        <v>1487</v>
      </c>
      <c r="RUC803" s="193" t="s">
        <v>1487</v>
      </c>
      <c r="RUD803" s="193" t="s">
        <v>1487</v>
      </c>
      <c r="RUE803" s="193" t="s">
        <v>1487</v>
      </c>
      <c r="RUF803" s="193" t="s">
        <v>1487</v>
      </c>
      <c r="RUG803" s="193" t="s">
        <v>1487</v>
      </c>
      <c r="RUH803" s="193" t="s">
        <v>1487</v>
      </c>
      <c r="RUI803" s="193" t="s">
        <v>1487</v>
      </c>
      <c r="RUJ803" s="193" t="s">
        <v>1487</v>
      </c>
      <c r="RUK803" s="193" t="s">
        <v>1487</v>
      </c>
      <c r="RUL803" s="193" t="s">
        <v>1487</v>
      </c>
      <c r="RUM803" s="193" t="s">
        <v>1487</v>
      </c>
      <c r="RUN803" s="193" t="s">
        <v>1487</v>
      </c>
      <c r="RUO803" s="193" t="s">
        <v>1487</v>
      </c>
      <c r="RUP803" s="193" t="s">
        <v>1487</v>
      </c>
      <c r="RUQ803" s="193" t="s">
        <v>1487</v>
      </c>
      <c r="RUR803" s="193" t="s">
        <v>1487</v>
      </c>
      <c r="RUS803" s="193" t="s">
        <v>1487</v>
      </c>
      <c r="RUT803" s="193" t="s">
        <v>1487</v>
      </c>
      <c r="RUU803" s="193" t="s">
        <v>1487</v>
      </c>
      <c r="RUV803" s="193" t="s">
        <v>1487</v>
      </c>
      <c r="RUW803" s="193" t="s">
        <v>1487</v>
      </c>
      <c r="RUX803" s="193" t="s">
        <v>1487</v>
      </c>
      <c r="RUY803" s="193" t="s">
        <v>1487</v>
      </c>
      <c r="RUZ803" s="193" t="s">
        <v>1487</v>
      </c>
      <c r="RVA803" s="193" t="s">
        <v>1487</v>
      </c>
      <c r="RVB803" s="193" t="s">
        <v>1487</v>
      </c>
      <c r="RVC803" s="193" t="s">
        <v>1487</v>
      </c>
      <c r="RVD803" s="193" t="s">
        <v>1487</v>
      </c>
      <c r="RVE803" s="193" t="s">
        <v>1487</v>
      </c>
      <c r="RVF803" s="193" t="s">
        <v>1487</v>
      </c>
      <c r="RVG803" s="193" t="s">
        <v>1487</v>
      </c>
      <c r="RVH803" s="193" t="s">
        <v>1487</v>
      </c>
      <c r="RVI803" s="193" t="s">
        <v>1487</v>
      </c>
      <c r="RVJ803" s="193" t="s">
        <v>1487</v>
      </c>
      <c r="RVK803" s="193" t="s">
        <v>1487</v>
      </c>
      <c r="RVL803" s="193" t="s">
        <v>1487</v>
      </c>
      <c r="RVM803" s="193" t="s">
        <v>1487</v>
      </c>
      <c r="RVN803" s="193" t="s">
        <v>1487</v>
      </c>
      <c r="RVO803" s="193" t="s">
        <v>1487</v>
      </c>
      <c r="RVP803" s="193" t="s">
        <v>1487</v>
      </c>
      <c r="RVQ803" s="193" t="s">
        <v>1487</v>
      </c>
      <c r="RVR803" s="193" t="s">
        <v>1487</v>
      </c>
      <c r="RVS803" s="193" t="s">
        <v>1487</v>
      </c>
      <c r="RVT803" s="193" t="s">
        <v>1487</v>
      </c>
      <c r="RVU803" s="193" t="s">
        <v>1487</v>
      </c>
      <c r="RVV803" s="193" t="s">
        <v>1487</v>
      </c>
      <c r="RVW803" s="193" t="s">
        <v>1487</v>
      </c>
      <c r="RVX803" s="193" t="s">
        <v>1487</v>
      </c>
      <c r="RVY803" s="193" t="s">
        <v>1487</v>
      </c>
      <c r="RVZ803" s="193" t="s">
        <v>1487</v>
      </c>
      <c r="RWA803" s="193" t="s">
        <v>1487</v>
      </c>
      <c r="RWB803" s="193" t="s">
        <v>1487</v>
      </c>
      <c r="RWC803" s="193" t="s">
        <v>1487</v>
      </c>
      <c r="RWD803" s="193" t="s">
        <v>1487</v>
      </c>
      <c r="RWE803" s="193" t="s">
        <v>1487</v>
      </c>
      <c r="RWF803" s="193" t="s">
        <v>1487</v>
      </c>
      <c r="RWG803" s="193" t="s">
        <v>1487</v>
      </c>
      <c r="RWH803" s="193" t="s">
        <v>1487</v>
      </c>
      <c r="RWI803" s="193" t="s">
        <v>1487</v>
      </c>
      <c r="RWJ803" s="193" t="s">
        <v>1487</v>
      </c>
      <c r="RWK803" s="193" t="s">
        <v>1487</v>
      </c>
      <c r="RWL803" s="193" t="s">
        <v>1487</v>
      </c>
      <c r="RWM803" s="193" t="s">
        <v>1487</v>
      </c>
      <c r="RWN803" s="193" t="s">
        <v>1487</v>
      </c>
      <c r="RWO803" s="193" t="s">
        <v>1487</v>
      </c>
      <c r="RWP803" s="193" t="s">
        <v>1487</v>
      </c>
      <c r="RWQ803" s="193" t="s">
        <v>1487</v>
      </c>
      <c r="RWR803" s="193" t="s">
        <v>1487</v>
      </c>
      <c r="RWS803" s="193" t="s">
        <v>1487</v>
      </c>
      <c r="RWT803" s="193" t="s">
        <v>1487</v>
      </c>
      <c r="RWU803" s="193" t="s">
        <v>1487</v>
      </c>
      <c r="RWV803" s="193" t="s">
        <v>1487</v>
      </c>
      <c r="RWW803" s="193" t="s">
        <v>1487</v>
      </c>
      <c r="RWX803" s="193" t="s">
        <v>1487</v>
      </c>
      <c r="RWY803" s="193" t="s">
        <v>1487</v>
      </c>
      <c r="RWZ803" s="193" t="s">
        <v>1487</v>
      </c>
      <c r="RXA803" s="193" t="s">
        <v>1487</v>
      </c>
      <c r="RXB803" s="193" t="s">
        <v>1487</v>
      </c>
      <c r="RXC803" s="193" t="s">
        <v>1487</v>
      </c>
      <c r="RXD803" s="193" t="s">
        <v>1487</v>
      </c>
      <c r="RXE803" s="193" t="s">
        <v>1487</v>
      </c>
      <c r="RXF803" s="193" t="s">
        <v>1487</v>
      </c>
      <c r="RXG803" s="193" t="s">
        <v>1487</v>
      </c>
      <c r="RXH803" s="193" t="s">
        <v>1487</v>
      </c>
      <c r="RXI803" s="193" t="s">
        <v>1487</v>
      </c>
      <c r="RXJ803" s="193" t="s">
        <v>1487</v>
      </c>
      <c r="RXK803" s="193" t="s">
        <v>1487</v>
      </c>
      <c r="RXL803" s="193" t="s">
        <v>1487</v>
      </c>
      <c r="RXM803" s="193" t="s">
        <v>1487</v>
      </c>
      <c r="RXN803" s="193" t="s">
        <v>1487</v>
      </c>
      <c r="RXO803" s="193" t="s">
        <v>1487</v>
      </c>
      <c r="RXP803" s="193" t="s">
        <v>1487</v>
      </c>
      <c r="RXQ803" s="193" t="s">
        <v>1487</v>
      </c>
      <c r="RXR803" s="193" t="s">
        <v>1487</v>
      </c>
      <c r="RXS803" s="193" t="s">
        <v>1487</v>
      </c>
      <c r="RXT803" s="193" t="s">
        <v>1487</v>
      </c>
      <c r="RXU803" s="193" t="s">
        <v>1487</v>
      </c>
      <c r="RXV803" s="193" t="s">
        <v>1487</v>
      </c>
      <c r="RXW803" s="193" t="s">
        <v>1487</v>
      </c>
      <c r="RXX803" s="193" t="s">
        <v>1487</v>
      </c>
      <c r="RXY803" s="193" t="s">
        <v>1487</v>
      </c>
      <c r="RXZ803" s="193" t="s">
        <v>1487</v>
      </c>
      <c r="RYA803" s="193" t="s">
        <v>1487</v>
      </c>
      <c r="RYB803" s="193" t="s">
        <v>1487</v>
      </c>
      <c r="RYC803" s="193" t="s">
        <v>1487</v>
      </c>
      <c r="RYD803" s="193" t="s">
        <v>1487</v>
      </c>
      <c r="RYE803" s="193" t="s">
        <v>1487</v>
      </c>
      <c r="RYF803" s="193" t="s">
        <v>1487</v>
      </c>
      <c r="RYG803" s="193" t="s">
        <v>1487</v>
      </c>
      <c r="RYH803" s="193" t="s">
        <v>1487</v>
      </c>
      <c r="RYI803" s="193" t="s">
        <v>1487</v>
      </c>
      <c r="RYJ803" s="193" t="s">
        <v>1487</v>
      </c>
      <c r="RYK803" s="193" t="s">
        <v>1487</v>
      </c>
      <c r="RYL803" s="193" t="s">
        <v>1487</v>
      </c>
      <c r="RYM803" s="193" t="s">
        <v>1487</v>
      </c>
      <c r="RYN803" s="193" t="s">
        <v>1487</v>
      </c>
      <c r="RYO803" s="193" t="s">
        <v>1487</v>
      </c>
      <c r="RYP803" s="193" t="s">
        <v>1487</v>
      </c>
      <c r="RYQ803" s="193" t="s">
        <v>1487</v>
      </c>
      <c r="RYR803" s="193" t="s">
        <v>1487</v>
      </c>
      <c r="RYS803" s="193" t="s">
        <v>1487</v>
      </c>
      <c r="RYT803" s="193" t="s">
        <v>1487</v>
      </c>
      <c r="RYU803" s="193" t="s">
        <v>1487</v>
      </c>
      <c r="RYV803" s="193" t="s">
        <v>1487</v>
      </c>
      <c r="RYW803" s="193" t="s">
        <v>1487</v>
      </c>
      <c r="RYX803" s="193" t="s">
        <v>1487</v>
      </c>
      <c r="RYY803" s="193" t="s">
        <v>1487</v>
      </c>
      <c r="RYZ803" s="193" t="s">
        <v>1487</v>
      </c>
      <c r="RZA803" s="193" t="s">
        <v>1487</v>
      </c>
      <c r="RZB803" s="193" t="s">
        <v>1487</v>
      </c>
      <c r="RZC803" s="193" t="s">
        <v>1487</v>
      </c>
      <c r="RZD803" s="193" t="s">
        <v>1487</v>
      </c>
      <c r="RZE803" s="193" t="s">
        <v>1487</v>
      </c>
      <c r="RZF803" s="193" t="s">
        <v>1487</v>
      </c>
      <c r="RZG803" s="193" t="s">
        <v>1487</v>
      </c>
      <c r="RZH803" s="193" t="s">
        <v>1487</v>
      </c>
      <c r="RZI803" s="193" t="s">
        <v>1487</v>
      </c>
      <c r="RZJ803" s="193" t="s">
        <v>1487</v>
      </c>
      <c r="RZK803" s="193" t="s">
        <v>1487</v>
      </c>
      <c r="RZL803" s="193" t="s">
        <v>1487</v>
      </c>
      <c r="RZM803" s="193" t="s">
        <v>1487</v>
      </c>
      <c r="RZN803" s="193" t="s">
        <v>1487</v>
      </c>
      <c r="RZO803" s="193" t="s">
        <v>1487</v>
      </c>
      <c r="RZP803" s="193" t="s">
        <v>1487</v>
      </c>
      <c r="RZQ803" s="193" t="s">
        <v>1487</v>
      </c>
      <c r="RZR803" s="193" t="s">
        <v>1487</v>
      </c>
      <c r="RZS803" s="193" t="s">
        <v>1487</v>
      </c>
      <c r="RZT803" s="193" t="s">
        <v>1487</v>
      </c>
      <c r="RZU803" s="193" t="s">
        <v>1487</v>
      </c>
      <c r="RZV803" s="193" t="s">
        <v>1487</v>
      </c>
      <c r="RZW803" s="193" t="s">
        <v>1487</v>
      </c>
      <c r="RZX803" s="193" t="s">
        <v>1487</v>
      </c>
      <c r="RZY803" s="193" t="s">
        <v>1487</v>
      </c>
      <c r="RZZ803" s="193" t="s">
        <v>1487</v>
      </c>
      <c r="SAA803" s="193" t="s">
        <v>1487</v>
      </c>
      <c r="SAB803" s="193" t="s">
        <v>1487</v>
      </c>
      <c r="SAC803" s="193" t="s">
        <v>1487</v>
      </c>
      <c r="SAD803" s="193" t="s">
        <v>1487</v>
      </c>
      <c r="SAE803" s="193" t="s">
        <v>1487</v>
      </c>
      <c r="SAF803" s="193" t="s">
        <v>1487</v>
      </c>
      <c r="SAG803" s="193" t="s">
        <v>1487</v>
      </c>
      <c r="SAH803" s="193" t="s">
        <v>1487</v>
      </c>
      <c r="SAI803" s="193" t="s">
        <v>1487</v>
      </c>
      <c r="SAJ803" s="193" t="s">
        <v>1487</v>
      </c>
      <c r="SAK803" s="193" t="s">
        <v>1487</v>
      </c>
      <c r="SAL803" s="193" t="s">
        <v>1487</v>
      </c>
      <c r="SAM803" s="193" t="s">
        <v>1487</v>
      </c>
      <c r="SAN803" s="193" t="s">
        <v>1487</v>
      </c>
      <c r="SAO803" s="193" t="s">
        <v>1487</v>
      </c>
      <c r="SAP803" s="193" t="s">
        <v>1487</v>
      </c>
      <c r="SAQ803" s="193" t="s">
        <v>1487</v>
      </c>
      <c r="SAR803" s="193" t="s">
        <v>1487</v>
      </c>
      <c r="SAS803" s="193" t="s">
        <v>1487</v>
      </c>
      <c r="SAT803" s="193" t="s">
        <v>1487</v>
      </c>
      <c r="SAU803" s="193" t="s">
        <v>1487</v>
      </c>
      <c r="SAV803" s="193" t="s">
        <v>1487</v>
      </c>
      <c r="SAW803" s="193" t="s">
        <v>1487</v>
      </c>
      <c r="SAX803" s="193" t="s">
        <v>1487</v>
      </c>
      <c r="SAY803" s="193" t="s">
        <v>1487</v>
      </c>
      <c r="SAZ803" s="193" t="s">
        <v>1487</v>
      </c>
      <c r="SBA803" s="193" t="s">
        <v>1487</v>
      </c>
      <c r="SBB803" s="193" t="s">
        <v>1487</v>
      </c>
      <c r="SBC803" s="193" t="s">
        <v>1487</v>
      </c>
      <c r="SBD803" s="193" t="s">
        <v>1487</v>
      </c>
      <c r="SBE803" s="193" t="s">
        <v>1487</v>
      </c>
      <c r="SBF803" s="193" t="s">
        <v>1487</v>
      </c>
      <c r="SBG803" s="193" t="s">
        <v>1487</v>
      </c>
      <c r="SBH803" s="193" t="s">
        <v>1487</v>
      </c>
      <c r="SBI803" s="193" t="s">
        <v>1487</v>
      </c>
      <c r="SBJ803" s="193" t="s">
        <v>1487</v>
      </c>
      <c r="SBK803" s="193" t="s">
        <v>1487</v>
      </c>
      <c r="SBL803" s="193" t="s">
        <v>1487</v>
      </c>
      <c r="SBM803" s="193" t="s">
        <v>1487</v>
      </c>
      <c r="SBN803" s="193" t="s">
        <v>1487</v>
      </c>
      <c r="SBO803" s="193" t="s">
        <v>1487</v>
      </c>
      <c r="SBP803" s="193" t="s">
        <v>1487</v>
      </c>
      <c r="SBQ803" s="193" t="s">
        <v>1487</v>
      </c>
      <c r="SBR803" s="193" t="s">
        <v>1487</v>
      </c>
      <c r="SBS803" s="193" t="s">
        <v>1487</v>
      </c>
      <c r="SBT803" s="193" t="s">
        <v>1487</v>
      </c>
      <c r="SBU803" s="193" t="s">
        <v>1487</v>
      </c>
      <c r="SBV803" s="193" t="s">
        <v>1487</v>
      </c>
      <c r="SBW803" s="193" t="s">
        <v>1487</v>
      </c>
      <c r="SBX803" s="193" t="s">
        <v>1487</v>
      </c>
      <c r="SBY803" s="193" t="s">
        <v>1487</v>
      </c>
      <c r="SBZ803" s="193" t="s">
        <v>1487</v>
      </c>
      <c r="SCA803" s="193" t="s">
        <v>1487</v>
      </c>
      <c r="SCB803" s="193" t="s">
        <v>1487</v>
      </c>
      <c r="SCC803" s="193" t="s">
        <v>1487</v>
      </c>
      <c r="SCD803" s="193" t="s">
        <v>1487</v>
      </c>
      <c r="SCE803" s="193" t="s">
        <v>1487</v>
      </c>
      <c r="SCF803" s="193" t="s">
        <v>1487</v>
      </c>
      <c r="SCG803" s="193" t="s">
        <v>1487</v>
      </c>
      <c r="SCH803" s="193" t="s">
        <v>1487</v>
      </c>
      <c r="SCI803" s="193" t="s">
        <v>1487</v>
      </c>
      <c r="SCJ803" s="193" t="s">
        <v>1487</v>
      </c>
      <c r="SCK803" s="193" t="s">
        <v>1487</v>
      </c>
      <c r="SCL803" s="193" t="s">
        <v>1487</v>
      </c>
      <c r="SCM803" s="193" t="s">
        <v>1487</v>
      </c>
      <c r="SCN803" s="193" t="s">
        <v>1487</v>
      </c>
      <c r="SCO803" s="193" t="s">
        <v>1487</v>
      </c>
      <c r="SCP803" s="193" t="s">
        <v>1487</v>
      </c>
      <c r="SCQ803" s="193" t="s">
        <v>1487</v>
      </c>
      <c r="SCR803" s="193" t="s">
        <v>1487</v>
      </c>
      <c r="SCS803" s="193" t="s">
        <v>1487</v>
      </c>
      <c r="SCT803" s="193" t="s">
        <v>1487</v>
      </c>
      <c r="SCU803" s="193" t="s">
        <v>1487</v>
      </c>
      <c r="SCV803" s="193" t="s">
        <v>1487</v>
      </c>
      <c r="SCW803" s="193" t="s">
        <v>1487</v>
      </c>
      <c r="SCX803" s="193" t="s">
        <v>1487</v>
      </c>
      <c r="SCY803" s="193" t="s">
        <v>1487</v>
      </c>
      <c r="SCZ803" s="193" t="s">
        <v>1487</v>
      </c>
      <c r="SDA803" s="193" t="s">
        <v>1487</v>
      </c>
      <c r="SDB803" s="193" t="s">
        <v>1487</v>
      </c>
      <c r="SDC803" s="193" t="s">
        <v>1487</v>
      </c>
      <c r="SDD803" s="193" t="s">
        <v>1487</v>
      </c>
      <c r="SDE803" s="193" t="s">
        <v>1487</v>
      </c>
      <c r="SDF803" s="193" t="s">
        <v>1487</v>
      </c>
      <c r="SDG803" s="193" t="s">
        <v>1487</v>
      </c>
      <c r="SDH803" s="193" t="s">
        <v>1487</v>
      </c>
      <c r="SDI803" s="193" t="s">
        <v>1487</v>
      </c>
      <c r="SDJ803" s="193" t="s">
        <v>1487</v>
      </c>
      <c r="SDK803" s="193" t="s">
        <v>1487</v>
      </c>
      <c r="SDL803" s="193" t="s">
        <v>1487</v>
      </c>
      <c r="SDM803" s="193" t="s">
        <v>1487</v>
      </c>
      <c r="SDN803" s="193" t="s">
        <v>1487</v>
      </c>
      <c r="SDO803" s="193" t="s">
        <v>1487</v>
      </c>
      <c r="SDP803" s="193" t="s">
        <v>1487</v>
      </c>
      <c r="SDQ803" s="193" t="s">
        <v>1487</v>
      </c>
      <c r="SDR803" s="193" t="s">
        <v>1487</v>
      </c>
      <c r="SDS803" s="193" t="s">
        <v>1487</v>
      </c>
      <c r="SDT803" s="193" t="s">
        <v>1487</v>
      </c>
      <c r="SDU803" s="193" t="s">
        <v>1487</v>
      </c>
      <c r="SDV803" s="193" t="s">
        <v>1487</v>
      </c>
      <c r="SDW803" s="193" t="s">
        <v>1487</v>
      </c>
      <c r="SDX803" s="193" t="s">
        <v>1487</v>
      </c>
      <c r="SDY803" s="193" t="s">
        <v>1487</v>
      </c>
      <c r="SDZ803" s="193" t="s">
        <v>1487</v>
      </c>
      <c r="SEA803" s="193" t="s">
        <v>1487</v>
      </c>
      <c r="SEB803" s="193" t="s">
        <v>1487</v>
      </c>
      <c r="SEC803" s="193" t="s">
        <v>1487</v>
      </c>
      <c r="SED803" s="193" t="s">
        <v>1487</v>
      </c>
      <c r="SEE803" s="193" t="s">
        <v>1487</v>
      </c>
      <c r="SEF803" s="193" t="s">
        <v>1487</v>
      </c>
      <c r="SEG803" s="193" t="s">
        <v>1487</v>
      </c>
      <c r="SEH803" s="193" t="s">
        <v>1487</v>
      </c>
      <c r="SEI803" s="193" t="s">
        <v>1487</v>
      </c>
      <c r="SEJ803" s="193" t="s">
        <v>1487</v>
      </c>
      <c r="SEK803" s="193" t="s">
        <v>1487</v>
      </c>
      <c r="SEL803" s="193" t="s">
        <v>1487</v>
      </c>
      <c r="SEM803" s="193" t="s">
        <v>1487</v>
      </c>
      <c r="SEN803" s="193" t="s">
        <v>1487</v>
      </c>
      <c r="SEO803" s="193" t="s">
        <v>1487</v>
      </c>
      <c r="SEP803" s="193" t="s">
        <v>1487</v>
      </c>
      <c r="SEQ803" s="193" t="s">
        <v>1487</v>
      </c>
      <c r="SER803" s="193" t="s">
        <v>1487</v>
      </c>
      <c r="SES803" s="193" t="s">
        <v>1487</v>
      </c>
      <c r="SET803" s="193" t="s">
        <v>1487</v>
      </c>
      <c r="SEU803" s="193" t="s">
        <v>1487</v>
      </c>
      <c r="SEV803" s="193" t="s">
        <v>1487</v>
      </c>
      <c r="SEW803" s="193" t="s">
        <v>1487</v>
      </c>
      <c r="SEX803" s="193" t="s">
        <v>1487</v>
      </c>
      <c r="SEY803" s="193" t="s">
        <v>1487</v>
      </c>
      <c r="SEZ803" s="193" t="s">
        <v>1487</v>
      </c>
      <c r="SFA803" s="193" t="s">
        <v>1487</v>
      </c>
      <c r="SFB803" s="193" t="s">
        <v>1487</v>
      </c>
      <c r="SFC803" s="193" t="s">
        <v>1487</v>
      </c>
      <c r="SFD803" s="193" t="s">
        <v>1487</v>
      </c>
      <c r="SFE803" s="193" t="s">
        <v>1487</v>
      </c>
      <c r="SFF803" s="193" t="s">
        <v>1487</v>
      </c>
      <c r="SFG803" s="193" t="s">
        <v>1487</v>
      </c>
      <c r="SFH803" s="193" t="s">
        <v>1487</v>
      </c>
      <c r="SFI803" s="193" t="s">
        <v>1487</v>
      </c>
      <c r="SFJ803" s="193" t="s">
        <v>1487</v>
      </c>
      <c r="SFK803" s="193" t="s">
        <v>1487</v>
      </c>
      <c r="SFL803" s="193" t="s">
        <v>1487</v>
      </c>
      <c r="SFM803" s="193" t="s">
        <v>1487</v>
      </c>
      <c r="SFN803" s="193" t="s">
        <v>1487</v>
      </c>
      <c r="SFO803" s="193" t="s">
        <v>1487</v>
      </c>
      <c r="SFP803" s="193" t="s">
        <v>1487</v>
      </c>
      <c r="SFQ803" s="193" t="s">
        <v>1487</v>
      </c>
      <c r="SFR803" s="193" t="s">
        <v>1487</v>
      </c>
      <c r="SFS803" s="193" t="s">
        <v>1487</v>
      </c>
      <c r="SFT803" s="193" t="s">
        <v>1487</v>
      </c>
      <c r="SFU803" s="193" t="s">
        <v>1487</v>
      </c>
      <c r="SFV803" s="193" t="s">
        <v>1487</v>
      </c>
      <c r="SFW803" s="193" t="s">
        <v>1487</v>
      </c>
      <c r="SFX803" s="193" t="s">
        <v>1487</v>
      </c>
      <c r="SFY803" s="193" t="s">
        <v>1487</v>
      </c>
      <c r="SFZ803" s="193" t="s">
        <v>1487</v>
      </c>
      <c r="SGA803" s="193" t="s">
        <v>1487</v>
      </c>
      <c r="SGB803" s="193" t="s">
        <v>1487</v>
      </c>
      <c r="SGC803" s="193" t="s">
        <v>1487</v>
      </c>
      <c r="SGD803" s="193" t="s">
        <v>1487</v>
      </c>
      <c r="SGE803" s="193" t="s">
        <v>1487</v>
      </c>
      <c r="SGF803" s="193" t="s">
        <v>1487</v>
      </c>
      <c r="SGG803" s="193" t="s">
        <v>1487</v>
      </c>
      <c r="SGH803" s="193" t="s">
        <v>1487</v>
      </c>
      <c r="SGI803" s="193" t="s">
        <v>1487</v>
      </c>
      <c r="SGJ803" s="193" t="s">
        <v>1487</v>
      </c>
      <c r="SGK803" s="193" t="s">
        <v>1487</v>
      </c>
      <c r="SGL803" s="193" t="s">
        <v>1487</v>
      </c>
      <c r="SGM803" s="193" t="s">
        <v>1487</v>
      </c>
      <c r="SGN803" s="193" t="s">
        <v>1487</v>
      </c>
      <c r="SGO803" s="193" t="s">
        <v>1487</v>
      </c>
      <c r="SGP803" s="193" t="s">
        <v>1487</v>
      </c>
      <c r="SGQ803" s="193" t="s">
        <v>1487</v>
      </c>
      <c r="SGR803" s="193" t="s">
        <v>1487</v>
      </c>
      <c r="SGS803" s="193" t="s">
        <v>1487</v>
      </c>
      <c r="SGT803" s="193" t="s">
        <v>1487</v>
      </c>
      <c r="SGU803" s="193" t="s">
        <v>1487</v>
      </c>
      <c r="SGV803" s="193" t="s">
        <v>1487</v>
      </c>
      <c r="SGW803" s="193" t="s">
        <v>1487</v>
      </c>
      <c r="SGX803" s="193" t="s">
        <v>1487</v>
      </c>
      <c r="SGY803" s="193" t="s">
        <v>1487</v>
      </c>
      <c r="SGZ803" s="193" t="s">
        <v>1487</v>
      </c>
      <c r="SHA803" s="193" t="s">
        <v>1487</v>
      </c>
      <c r="SHB803" s="193" t="s">
        <v>1487</v>
      </c>
      <c r="SHC803" s="193" t="s">
        <v>1487</v>
      </c>
      <c r="SHD803" s="193" t="s">
        <v>1487</v>
      </c>
      <c r="SHE803" s="193" t="s">
        <v>1487</v>
      </c>
      <c r="SHF803" s="193" t="s">
        <v>1487</v>
      </c>
      <c r="SHG803" s="193" t="s">
        <v>1487</v>
      </c>
      <c r="SHH803" s="193" t="s">
        <v>1487</v>
      </c>
      <c r="SHI803" s="193" t="s">
        <v>1487</v>
      </c>
      <c r="SHJ803" s="193" t="s">
        <v>1487</v>
      </c>
      <c r="SHK803" s="193" t="s">
        <v>1487</v>
      </c>
      <c r="SHL803" s="193" t="s">
        <v>1487</v>
      </c>
      <c r="SHM803" s="193" t="s">
        <v>1487</v>
      </c>
      <c r="SHN803" s="193" t="s">
        <v>1487</v>
      </c>
      <c r="SHO803" s="193" t="s">
        <v>1487</v>
      </c>
      <c r="SHP803" s="193" t="s">
        <v>1487</v>
      </c>
      <c r="SHQ803" s="193" t="s">
        <v>1487</v>
      </c>
      <c r="SHR803" s="193" t="s">
        <v>1487</v>
      </c>
      <c r="SHS803" s="193" t="s">
        <v>1487</v>
      </c>
      <c r="SHT803" s="193" t="s">
        <v>1487</v>
      </c>
      <c r="SHU803" s="193" t="s">
        <v>1487</v>
      </c>
      <c r="SHV803" s="193" t="s">
        <v>1487</v>
      </c>
      <c r="SHW803" s="193" t="s">
        <v>1487</v>
      </c>
      <c r="SHX803" s="193" t="s">
        <v>1487</v>
      </c>
      <c r="SHY803" s="193" t="s">
        <v>1487</v>
      </c>
      <c r="SHZ803" s="193" t="s">
        <v>1487</v>
      </c>
      <c r="SIA803" s="193" t="s">
        <v>1487</v>
      </c>
      <c r="SIB803" s="193" t="s">
        <v>1487</v>
      </c>
      <c r="SIC803" s="193" t="s">
        <v>1487</v>
      </c>
      <c r="SID803" s="193" t="s">
        <v>1487</v>
      </c>
      <c r="SIE803" s="193" t="s">
        <v>1487</v>
      </c>
      <c r="SIF803" s="193" t="s">
        <v>1487</v>
      </c>
      <c r="SIG803" s="193" t="s">
        <v>1487</v>
      </c>
      <c r="SIH803" s="193" t="s">
        <v>1487</v>
      </c>
      <c r="SII803" s="193" t="s">
        <v>1487</v>
      </c>
      <c r="SIJ803" s="193" t="s">
        <v>1487</v>
      </c>
      <c r="SIK803" s="193" t="s">
        <v>1487</v>
      </c>
      <c r="SIL803" s="193" t="s">
        <v>1487</v>
      </c>
      <c r="SIM803" s="193" t="s">
        <v>1487</v>
      </c>
      <c r="SIN803" s="193" t="s">
        <v>1487</v>
      </c>
      <c r="SIO803" s="193" t="s">
        <v>1487</v>
      </c>
      <c r="SIP803" s="193" t="s">
        <v>1487</v>
      </c>
      <c r="SIQ803" s="193" t="s">
        <v>1487</v>
      </c>
      <c r="SIR803" s="193" t="s">
        <v>1487</v>
      </c>
      <c r="SIS803" s="193" t="s">
        <v>1487</v>
      </c>
      <c r="SIT803" s="193" t="s">
        <v>1487</v>
      </c>
      <c r="SIU803" s="193" t="s">
        <v>1487</v>
      </c>
      <c r="SIV803" s="193" t="s">
        <v>1487</v>
      </c>
      <c r="SIW803" s="193" t="s">
        <v>1487</v>
      </c>
      <c r="SIX803" s="193" t="s">
        <v>1487</v>
      </c>
      <c r="SIY803" s="193" t="s">
        <v>1487</v>
      </c>
      <c r="SIZ803" s="193" t="s">
        <v>1487</v>
      </c>
      <c r="SJA803" s="193" t="s">
        <v>1487</v>
      </c>
      <c r="SJB803" s="193" t="s">
        <v>1487</v>
      </c>
      <c r="SJC803" s="193" t="s">
        <v>1487</v>
      </c>
      <c r="SJD803" s="193" t="s">
        <v>1487</v>
      </c>
      <c r="SJE803" s="193" t="s">
        <v>1487</v>
      </c>
      <c r="SJF803" s="193" t="s">
        <v>1487</v>
      </c>
      <c r="SJG803" s="193" t="s">
        <v>1487</v>
      </c>
      <c r="SJH803" s="193" t="s">
        <v>1487</v>
      </c>
      <c r="SJI803" s="193" t="s">
        <v>1487</v>
      </c>
      <c r="SJJ803" s="193" t="s">
        <v>1487</v>
      </c>
      <c r="SJK803" s="193" t="s">
        <v>1487</v>
      </c>
      <c r="SJL803" s="193" t="s">
        <v>1487</v>
      </c>
      <c r="SJM803" s="193" t="s">
        <v>1487</v>
      </c>
      <c r="SJN803" s="193" t="s">
        <v>1487</v>
      </c>
      <c r="SJO803" s="193" t="s">
        <v>1487</v>
      </c>
      <c r="SJP803" s="193" t="s">
        <v>1487</v>
      </c>
      <c r="SJQ803" s="193" t="s">
        <v>1487</v>
      </c>
      <c r="SJR803" s="193" t="s">
        <v>1487</v>
      </c>
      <c r="SJS803" s="193" t="s">
        <v>1487</v>
      </c>
      <c r="SJT803" s="193" t="s">
        <v>1487</v>
      </c>
      <c r="SJU803" s="193" t="s">
        <v>1487</v>
      </c>
      <c r="SJV803" s="193" t="s">
        <v>1487</v>
      </c>
      <c r="SJW803" s="193" t="s">
        <v>1487</v>
      </c>
      <c r="SJX803" s="193" t="s">
        <v>1487</v>
      </c>
      <c r="SJY803" s="193" t="s">
        <v>1487</v>
      </c>
      <c r="SJZ803" s="193" t="s">
        <v>1487</v>
      </c>
      <c r="SKA803" s="193" t="s">
        <v>1487</v>
      </c>
      <c r="SKB803" s="193" t="s">
        <v>1487</v>
      </c>
      <c r="SKC803" s="193" t="s">
        <v>1487</v>
      </c>
      <c r="SKD803" s="193" t="s">
        <v>1487</v>
      </c>
      <c r="SKE803" s="193" t="s">
        <v>1487</v>
      </c>
      <c r="SKF803" s="193" t="s">
        <v>1487</v>
      </c>
      <c r="SKG803" s="193" t="s">
        <v>1487</v>
      </c>
      <c r="SKH803" s="193" t="s">
        <v>1487</v>
      </c>
      <c r="SKI803" s="193" t="s">
        <v>1487</v>
      </c>
      <c r="SKJ803" s="193" t="s">
        <v>1487</v>
      </c>
      <c r="SKK803" s="193" t="s">
        <v>1487</v>
      </c>
      <c r="SKL803" s="193" t="s">
        <v>1487</v>
      </c>
      <c r="SKM803" s="193" t="s">
        <v>1487</v>
      </c>
      <c r="SKN803" s="193" t="s">
        <v>1487</v>
      </c>
      <c r="SKO803" s="193" t="s">
        <v>1487</v>
      </c>
      <c r="SKP803" s="193" t="s">
        <v>1487</v>
      </c>
      <c r="SKQ803" s="193" t="s">
        <v>1487</v>
      </c>
      <c r="SKR803" s="193" t="s">
        <v>1487</v>
      </c>
      <c r="SKS803" s="193" t="s">
        <v>1487</v>
      </c>
      <c r="SKT803" s="193" t="s">
        <v>1487</v>
      </c>
      <c r="SKU803" s="193" t="s">
        <v>1487</v>
      </c>
      <c r="SKV803" s="193" t="s">
        <v>1487</v>
      </c>
      <c r="SKW803" s="193" t="s">
        <v>1487</v>
      </c>
      <c r="SKX803" s="193" t="s">
        <v>1487</v>
      </c>
      <c r="SKY803" s="193" t="s">
        <v>1487</v>
      </c>
      <c r="SKZ803" s="193" t="s">
        <v>1487</v>
      </c>
      <c r="SLA803" s="193" t="s">
        <v>1487</v>
      </c>
      <c r="SLB803" s="193" t="s">
        <v>1487</v>
      </c>
      <c r="SLC803" s="193" t="s">
        <v>1487</v>
      </c>
      <c r="SLD803" s="193" t="s">
        <v>1487</v>
      </c>
      <c r="SLE803" s="193" t="s">
        <v>1487</v>
      </c>
      <c r="SLF803" s="193" t="s">
        <v>1487</v>
      </c>
      <c r="SLG803" s="193" t="s">
        <v>1487</v>
      </c>
      <c r="SLH803" s="193" t="s">
        <v>1487</v>
      </c>
      <c r="SLI803" s="193" t="s">
        <v>1487</v>
      </c>
      <c r="SLJ803" s="193" t="s">
        <v>1487</v>
      </c>
      <c r="SLK803" s="193" t="s">
        <v>1487</v>
      </c>
      <c r="SLL803" s="193" t="s">
        <v>1487</v>
      </c>
      <c r="SLM803" s="193" t="s">
        <v>1487</v>
      </c>
      <c r="SLN803" s="193" t="s">
        <v>1487</v>
      </c>
      <c r="SLO803" s="193" t="s">
        <v>1487</v>
      </c>
      <c r="SLP803" s="193" t="s">
        <v>1487</v>
      </c>
      <c r="SLQ803" s="193" t="s">
        <v>1487</v>
      </c>
      <c r="SLR803" s="193" t="s">
        <v>1487</v>
      </c>
      <c r="SLS803" s="193" t="s">
        <v>1487</v>
      </c>
      <c r="SLT803" s="193" t="s">
        <v>1487</v>
      </c>
      <c r="SLU803" s="193" t="s">
        <v>1487</v>
      </c>
      <c r="SLV803" s="193" t="s">
        <v>1487</v>
      </c>
      <c r="SLW803" s="193" t="s">
        <v>1487</v>
      </c>
      <c r="SLX803" s="193" t="s">
        <v>1487</v>
      </c>
      <c r="SLY803" s="193" t="s">
        <v>1487</v>
      </c>
      <c r="SLZ803" s="193" t="s">
        <v>1487</v>
      </c>
      <c r="SMA803" s="193" t="s">
        <v>1487</v>
      </c>
      <c r="SMB803" s="193" t="s">
        <v>1487</v>
      </c>
      <c r="SMC803" s="193" t="s">
        <v>1487</v>
      </c>
      <c r="SMD803" s="193" t="s">
        <v>1487</v>
      </c>
      <c r="SME803" s="193" t="s">
        <v>1487</v>
      </c>
      <c r="SMF803" s="193" t="s">
        <v>1487</v>
      </c>
      <c r="SMG803" s="193" t="s">
        <v>1487</v>
      </c>
      <c r="SMH803" s="193" t="s">
        <v>1487</v>
      </c>
      <c r="SMI803" s="193" t="s">
        <v>1487</v>
      </c>
      <c r="SMJ803" s="193" t="s">
        <v>1487</v>
      </c>
      <c r="SMK803" s="193" t="s">
        <v>1487</v>
      </c>
      <c r="SML803" s="193" t="s">
        <v>1487</v>
      </c>
      <c r="SMM803" s="193" t="s">
        <v>1487</v>
      </c>
      <c r="SMN803" s="193" t="s">
        <v>1487</v>
      </c>
      <c r="SMO803" s="193" t="s">
        <v>1487</v>
      </c>
      <c r="SMP803" s="193" t="s">
        <v>1487</v>
      </c>
      <c r="SMQ803" s="193" t="s">
        <v>1487</v>
      </c>
      <c r="SMR803" s="193" t="s">
        <v>1487</v>
      </c>
      <c r="SMS803" s="193" t="s">
        <v>1487</v>
      </c>
      <c r="SMT803" s="193" t="s">
        <v>1487</v>
      </c>
      <c r="SMU803" s="193" t="s">
        <v>1487</v>
      </c>
      <c r="SMV803" s="193" t="s">
        <v>1487</v>
      </c>
      <c r="SMW803" s="193" t="s">
        <v>1487</v>
      </c>
      <c r="SMX803" s="193" t="s">
        <v>1487</v>
      </c>
      <c r="SMY803" s="193" t="s">
        <v>1487</v>
      </c>
      <c r="SMZ803" s="193" t="s">
        <v>1487</v>
      </c>
      <c r="SNA803" s="193" t="s">
        <v>1487</v>
      </c>
      <c r="SNB803" s="193" t="s">
        <v>1487</v>
      </c>
      <c r="SNC803" s="193" t="s">
        <v>1487</v>
      </c>
      <c r="SND803" s="193" t="s">
        <v>1487</v>
      </c>
      <c r="SNE803" s="193" t="s">
        <v>1487</v>
      </c>
      <c r="SNF803" s="193" t="s">
        <v>1487</v>
      </c>
      <c r="SNG803" s="193" t="s">
        <v>1487</v>
      </c>
      <c r="SNH803" s="193" t="s">
        <v>1487</v>
      </c>
      <c r="SNI803" s="193" t="s">
        <v>1487</v>
      </c>
      <c r="SNJ803" s="193" t="s">
        <v>1487</v>
      </c>
      <c r="SNK803" s="193" t="s">
        <v>1487</v>
      </c>
      <c r="SNL803" s="193" t="s">
        <v>1487</v>
      </c>
      <c r="SNM803" s="193" t="s">
        <v>1487</v>
      </c>
      <c r="SNN803" s="193" t="s">
        <v>1487</v>
      </c>
      <c r="SNO803" s="193" t="s">
        <v>1487</v>
      </c>
      <c r="SNP803" s="193" t="s">
        <v>1487</v>
      </c>
      <c r="SNQ803" s="193" t="s">
        <v>1487</v>
      </c>
      <c r="SNR803" s="193" t="s">
        <v>1487</v>
      </c>
      <c r="SNS803" s="193" t="s">
        <v>1487</v>
      </c>
      <c r="SNT803" s="193" t="s">
        <v>1487</v>
      </c>
      <c r="SNU803" s="193" t="s">
        <v>1487</v>
      </c>
      <c r="SNV803" s="193" t="s">
        <v>1487</v>
      </c>
      <c r="SNW803" s="193" t="s">
        <v>1487</v>
      </c>
      <c r="SNX803" s="193" t="s">
        <v>1487</v>
      </c>
      <c r="SNY803" s="193" t="s">
        <v>1487</v>
      </c>
      <c r="SNZ803" s="193" t="s">
        <v>1487</v>
      </c>
      <c r="SOA803" s="193" t="s">
        <v>1487</v>
      </c>
      <c r="SOB803" s="193" t="s">
        <v>1487</v>
      </c>
      <c r="SOC803" s="193" t="s">
        <v>1487</v>
      </c>
      <c r="SOD803" s="193" t="s">
        <v>1487</v>
      </c>
      <c r="SOE803" s="193" t="s">
        <v>1487</v>
      </c>
      <c r="SOF803" s="193" t="s">
        <v>1487</v>
      </c>
      <c r="SOG803" s="193" t="s">
        <v>1487</v>
      </c>
      <c r="SOH803" s="193" t="s">
        <v>1487</v>
      </c>
      <c r="SOI803" s="193" t="s">
        <v>1487</v>
      </c>
      <c r="SOJ803" s="193" t="s">
        <v>1487</v>
      </c>
      <c r="SOK803" s="193" t="s">
        <v>1487</v>
      </c>
      <c r="SOL803" s="193" t="s">
        <v>1487</v>
      </c>
      <c r="SOM803" s="193" t="s">
        <v>1487</v>
      </c>
      <c r="SON803" s="193" t="s">
        <v>1487</v>
      </c>
      <c r="SOO803" s="193" t="s">
        <v>1487</v>
      </c>
      <c r="SOP803" s="193" t="s">
        <v>1487</v>
      </c>
      <c r="SOQ803" s="193" t="s">
        <v>1487</v>
      </c>
      <c r="SOR803" s="193" t="s">
        <v>1487</v>
      </c>
      <c r="SOS803" s="193" t="s">
        <v>1487</v>
      </c>
      <c r="SOT803" s="193" t="s">
        <v>1487</v>
      </c>
      <c r="SOU803" s="193" t="s">
        <v>1487</v>
      </c>
      <c r="SOV803" s="193" t="s">
        <v>1487</v>
      </c>
      <c r="SOW803" s="193" t="s">
        <v>1487</v>
      </c>
      <c r="SOX803" s="193" t="s">
        <v>1487</v>
      </c>
      <c r="SOY803" s="193" t="s">
        <v>1487</v>
      </c>
      <c r="SOZ803" s="193" t="s">
        <v>1487</v>
      </c>
      <c r="SPA803" s="193" t="s">
        <v>1487</v>
      </c>
      <c r="SPB803" s="193" t="s">
        <v>1487</v>
      </c>
      <c r="SPC803" s="193" t="s">
        <v>1487</v>
      </c>
      <c r="SPD803" s="193" t="s">
        <v>1487</v>
      </c>
      <c r="SPE803" s="193" t="s">
        <v>1487</v>
      </c>
      <c r="SPF803" s="193" t="s">
        <v>1487</v>
      </c>
      <c r="SPG803" s="193" t="s">
        <v>1487</v>
      </c>
      <c r="SPH803" s="193" t="s">
        <v>1487</v>
      </c>
      <c r="SPI803" s="193" t="s">
        <v>1487</v>
      </c>
      <c r="SPJ803" s="193" t="s">
        <v>1487</v>
      </c>
      <c r="SPK803" s="193" t="s">
        <v>1487</v>
      </c>
      <c r="SPL803" s="193" t="s">
        <v>1487</v>
      </c>
      <c r="SPM803" s="193" t="s">
        <v>1487</v>
      </c>
      <c r="SPN803" s="193" t="s">
        <v>1487</v>
      </c>
      <c r="SPO803" s="193" t="s">
        <v>1487</v>
      </c>
      <c r="SPP803" s="193" t="s">
        <v>1487</v>
      </c>
      <c r="SPQ803" s="193" t="s">
        <v>1487</v>
      </c>
      <c r="SPR803" s="193" t="s">
        <v>1487</v>
      </c>
      <c r="SPS803" s="193" t="s">
        <v>1487</v>
      </c>
      <c r="SPT803" s="193" t="s">
        <v>1487</v>
      </c>
      <c r="SPU803" s="193" t="s">
        <v>1487</v>
      </c>
      <c r="SPV803" s="193" t="s">
        <v>1487</v>
      </c>
      <c r="SPW803" s="193" t="s">
        <v>1487</v>
      </c>
      <c r="SPX803" s="193" t="s">
        <v>1487</v>
      </c>
      <c r="SPY803" s="193" t="s">
        <v>1487</v>
      </c>
      <c r="SPZ803" s="193" t="s">
        <v>1487</v>
      </c>
      <c r="SQA803" s="193" t="s">
        <v>1487</v>
      </c>
      <c r="SQB803" s="193" t="s">
        <v>1487</v>
      </c>
      <c r="SQC803" s="193" t="s">
        <v>1487</v>
      </c>
      <c r="SQD803" s="193" t="s">
        <v>1487</v>
      </c>
      <c r="SQE803" s="193" t="s">
        <v>1487</v>
      </c>
      <c r="SQF803" s="193" t="s">
        <v>1487</v>
      </c>
      <c r="SQG803" s="193" t="s">
        <v>1487</v>
      </c>
      <c r="SQH803" s="193" t="s">
        <v>1487</v>
      </c>
      <c r="SQI803" s="193" t="s">
        <v>1487</v>
      </c>
      <c r="SQJ803" s="193" t="s">
        <v>1487</v>
      </c>
      <c r="SQK803" s="193" t="s">
        <v>1487</v>
      </c>
      <c r="SQL803" s="193" t="s">
        <v>1487</v>
      </c>
      <c r="SQM803" s="193" t="s">
        <v>1487</v>
      </c>
      <c r="SQN803" s="193" t="s">
        <v>1487</v>
      </c>
      <c r="SQO803" s="193" t="s">
        <v>1487</v>
      </c>
      <c r="SQP803" s="193" t="s">
        <v>1487</v>
      </c>
      <c r="SQQ803" s="193" t="s">
        <v>1487</v>
      </c>
      <c r="SQR803" s="193" t="s">
        <v>1487</v>
      </c>
      <c r="SQS803" s="193" t="s">
        <v>1487</v>
      </c>
      <c r="SQT803" s="193" t="s">
        <v>1487</v>
      </c>
      <c r="SQU803" s="193" t="s">
        <v>1487</v>
      </c>
      <c r="SQV803" s="193" t="s">
        <v>1487</v>
      </c>
      <c r="SQW803" s="193" t="s">
        <v>1487</v>
      </c>
      <c r="SQX803" s="193" t="s">
        <v>1487</v>
      </c>
      <c r="SQY803" s="193" t="s">
        <v>1487</v>
      </c>
      <c r="SQZ803" s="193" t="s">
        <v>1487</v>
      </c>
      <c r="SRA803" s="193" t="s">
        <v>1487</v>
      </c>
      <c r="SRB803" s="193" t="s">
        <v>1487</v>
      </c>
      <c r="SRC803" s="193" t="s">
        <v>1487</v>
      </c>
      <c r="SRD803" s="193" t="s">
        <v>1487</v>
      </c>
      <c r="SRE803" s="193" t="s">
        <v>1487</v>
      </c>
      <c r="SRF803" s="193" t="s">
        <v>1487</v>
      </c>
      <c r="SRG803" s="193" t="s">
        <v>1487</v>
      </c>
      <c r="SRH803" s="193" t="s">
        <v>1487</v>
      </c>
      <c r="SRI803" s="193" t="s">
        <v>1487</v>
      </c>
      <c r="SRJ803" s="193" t="s">
        <v>1487</v>
      </c>
      <c r="SRK803" s="193" t="s">
        <v>1487</v>
      </c>
      <c r="SRL803" s="193" t="s">
        <v>1487</v>
      </c>
      <c r="SRM803" s="193" t="s">
        <v>1487</v>
      </c>
      <c r="SRN803" s="193" t="s">
        <v>1487</v>
      </c>
      <c r="SRO803" s="193" t="s">
        <v>1487</v>
      </c>
      <c r="SRP803" s="193" t="s">
        <v>1487</v>
      </c>
      <c r="SRQ803" s="193" t="s">
        <v>1487</v>
      </c>
      <c r="SRR803" s="193" t="s">
        <v>1487</v>
      </c>
      <c r="SRS803" s="193" t="s">
        <v>1487</v>
      </c>
      <c r="SRT803" s="193" t="s">
        <v>1487</v>
      </c>
      <c r="SRU803" s="193" t="s">
        <v>1487</v>
      </c>
      <c r="SRV803" s="193" t="s">
        <v>1487</v>
      </c>
      <c r="SRW803" s="193" t="s">
        <v>1487</v>
      </c>
      <c r="SRX803" s="193" t="s">
        <v>1487</v>
      </c>
      <c r="SRY803" s="193" t="s">
        <v>1487</v>
      </c>
      <c r="SRZ803" s="193" t="s">
        <v>1487</v>
      </c>
      <c r="SSA803" s="193" t="s">
        <v>1487</v>
      </c>
      <c r="SSB803" s="193" t="s">
        <v>1487</v>
      </c>
      <c r="SSC803" s="193" t="s">
        <v>1487</v>
      </c>
      <c r="SSD803" s="193" t="s">
        <v>1487</v>
      </c>
      <c r="SSE803" s="193" t="s">
        <v>1487</v>
      </c>
      <c r="SSF803" s="193" t="s">
        <v>1487</v>
      </c>
      <c r="SSG803" s="193" t="s">
        <v>1487</v>
      </c>
      <c r="SSH803" s="193" t="s">
        <v>1487</v>
      </c>
      <c r="SSI803" s="193" t="s">
        <v>1487</v>
      </c>
      <c r="SSJ803" s="193" t="s">
        <v>1487</v>
      </c>
      <c r="SSK803" s="193" t="s">
        <v>1487</v>
      </c>
      <c r="SSL803" s="193" t="s">
        <v>1487</v>
      </c>
      <c r="SSM803" s="193" t="s">
        <v>1487</v>
      </c>
      <c r="SSN803" s="193" t="s">
        <v>1487</v>
      </c>
      <c r="SSO803" s="193" t="s">
        <v>1487</v>
      </c>
      <c r="SSP803" s="193" t="s">
        <v>1487</v>
      </c>
      <c r="SSQ803" s="193" t="s">
        <v>1487</v>
      </c>
      <c r="SSR803" s="193" t="s">
        <v>1487</v>
      </c>
      <c r="SSS803" s="193" t="s">
        <v>1487</v>
      </c>
      <c r="SST803" s="193" t="s">
        <v>1487</v>
      </c>
      <c r="SSU803" s="193" t="s">
        <v>1487</v>
      </c>
      <c r="SSV803" s="193" t="s">
        <v>1487</v>
      </c>
      <c r="SSW803" s="193" t="s">
        <v>1487</v>
      </c>
      <c r="SSX803" s="193" t="s">
        <v>1487</v>
      </c>
      <c r="SSY803" s="193" t="s">
        <v>1487</v>
      </c>
      <c r="SSZ803" s="193" t="s">
        <v>1487</v>
      </c>
      <c r="STA803" s="193" t="s">
        <v>1487</v>
      </c>
      <c r="STB803" s="193" t="s">
        <v>1487</v>
      </c>
      <c r="STC803" s="193" t="s">
        <v>1487</v>
      </c>
      <c r="STD803" s="193" t="s">
        <v>1487</v>
      </c>
      <c r="STE803" s="193" t="s">
        <v>1487</v>
      </c>
      <c r="STF803" s="193" t="s">
        <v>1487</v>
      </c>
      <c r="STG803" s="193" t="s">
        <v>1487</v>
      </c>
      <c r="STH803" s="193" t="s">
        <v>1487</v>
      </c>
      <c r="STI803" s="193" t="s">
        <v>1487</v>
      </c>
      <c r="STJ803" s="193" t="s">
        <v>1487</v>
      </c>
      <c r="STK803" s="193" t="s">
        <v>1487</v>
      </c>
      <c r="STL803" s="193" t="s">
        <v>1487</v>
      </c>
      <c r="STM803" s="193" t="s">
        <v>1487</v>
      </c>
      <c r="STN803" s="193" t="s">
        <v>1487</v>
      </c>
      <c r="STO803" s="193" t="s">
        <v>1487</v>
      </c>
      <c r="STP803" s="193" t="s">
        <v>1487</v>
      </c>
      <c r="STQ803" s="193" t="s">
        <v>1487</v>
      </c>
      <c r="STR803" s="193" t="s">
        <v>1487</v>
      </c>
      <c r="STS803" s="193" t="s">
        <v>1487</v>
      </c>
      <c r="STT803" s="193" t="s">
        <v>1487</v>
      </c>
      <c r="STU803" s="193" t="s">
        <v>1487</v>
      </c>
      <c r="STV803" s="193" t="s">
        <v>1487</v>
      </c>
      <c r="STW803" s="193" t="s">
        <v>1487</v>
      </c>
      <c r="STX803" s="193" t="s">
        <v>1487</v>
      </c>
      <c r="STY803" s="193" t="s">
        <v>1487</v>
      </c>
      <c r="STZ803" s="193" t="s">
        <v>1487</v>
      </c>
      <c r="SUA803" s="193" t="s">
        <v>1487</v>
      </c>
      <c r="SUB803" s="193" t="s">
        <v>1487</v>
      </c>
      <c r="SUC803" s="193" t="s">
        <v>1487</v>
      </c>
      <c r="SUD803" s="193" t="s">
        <v>1487</v>
      </c>
      <c r="SUE803" s="193" t="s">
        <v>1487</v>
      </c>
      <c r="SUF803" s="193" t="s">
        <v>1487</v>
      </c>
      <c r="SUG803" s="193" t="s">
        <v>1487</v>
      </c>
      <c r="SUH803" s="193" t="s">
        <v>1487</v>
      </c>
      <c r="SUI803" s="193" t="s">
        <v>1487</v>
      </c>
      <c r="SUJ803" s="193" t="s">
        <v>1487</v>
      </c>
      <c r="SUK803" s="193" t="s">
        <v>1487</v>
      </c>
      <c r="SUL803" s="193" t="s">
        <v>1487</v>
      </c>
      <c r="SUM803" s="193" t="s">
        <v>1487</v>
      </c>
      <c r="SUN803" s="193" t="s">
        <v>1487</v>
      </c>
      <c r="SUO803" s="193" t="s">
        <v>1487</v>
      </c>
      <c r="SUP803" s="193" t="s">
        <v>1487</v>
      </c>
      <c r="SUQ803" s="193" t="s">
        <v>1487</v>
      </c>
      <c r="SUR803" s="193" t="s">
        <v>1487</v>
      </c>
      <c r="SUS803" s="193" t="s">
        <v>1487</v>
      </c>
      <c r="SUT803" s="193" t="s">
        <v>1487</v>
      </c>
      <c r="SUU803" s="193" t="s">
        <v>1487</v>
      </c>
      <c r="SUV803" s="193" t="s">
        <v>1487</v>
      </c>
      <c r="SUW803" s="193" t="s">
        <v>1487</v>
      </c>
      <c r="SUX803" s="193" t="s">
        <v>1487</v>
      </c>
      <c r="SUY803" s="193" t="s">
        <v>1487</v>
      </c>
      <c r="SUZ803" s="193" t="s">
        <v>1487</v>
      </c>
      <c r="SVA803" s="193" t="s">
        <v>1487</v>
      </c>
      <c r="SVB803" s="193" t="s">
        <v>1487</v>
      </c>
      <c r="SVC803" s="193" t="s">
        <v>1487</v>
      </c>
      <c r="SVD803" s="193" t="s">
        <v>1487</v>
      </c>
      <c r="SVE803" s="193" t="s">
        <v>1487</v>
      </c>
      <c r="SVF803" s="193" t="s">
        <v>1487</v>
      </c>
      <c r="SVG803" s="193" t="s">
        <v>1487</v>
      </c>
      <c r="SVH803" s="193" t="s">
        <v>1487</v>
      </c>
      <c r="SVI803" s="193" t="s">
        <v>1487</v>
      </c>
      <c r="SVJ803" s="193" t="s">
        <v>1487</v>
      </c>
      <c r="SVK803" s="193" t="s">
        <v>1487</v>
      </c>
      <c r="SVL803" s="193" t="s">
        <v>1487</v>
      </c>
      <c r="SVM803" s="193" t="s">
        <v>1487</v>
      </c>
      <c r="SVN803" s="193" t="s">
        <v>1487</v>
      </c>
      <c r="SVO803" s="193" t="s">
        <v>1487</v>
      </c>
      <c r="SVP803" s="193" t="s">
        <v>1487</v>
      </c>
      <c r="SVQ803" s="193" t="s">
        <v>1487</v>
      </c>
      <c r="SVR803" s="193" t="s">
        <v>1487</v>
      </c>
      <c r="SVS803" s="193" t="s">
        <v>1487</v>
      </c>
      <c r="SVT803" s="193" t="s">
        <v>1487</v>
      </c>
      <c r="SVU803" s="193" t="s">
        <v>1487</v>
      </c>
      <c r="SVV803" s="193" t="s">
        <v>1487</v>
      </c>
      <c r="SVW803" s="193" t="s">
        <v>1487</v>
      </c>
      <c r="SVX803" s="193" t="s">
        <v>1487</v>
      </c>
      <c r="SVY803" s="193" t="s">
        <v>1487</v>
      </c>
      <c r="SVZ803" s="193" t="s">
        <v>1487</v>
      </c>
      <c r="SWA803" s="193" t="s">
        <v>1487</v>
      </c>
      <c r="SWB803" s="193" t="s">
        <v>1487</v>
      </c>
      <c r="SWC803" s="193" t="s">
        <v>1487</v>
      </c>
      <c r="SWD803" s="193" t="s">
        <v>1487</v>
      </c>
      <c r="SWE803" s="193" t="s">
        <v>1487</v>
      </c>
      <c r="SWF803" s="193" t="s">
        <v>1487</v>
      </c>
      <c r="SWG803" s="193" t="s">
        <v>1487</v>
      </c>
      <c r="SWH803" s="193" t="s">
        <v>1487</v>
      </c>
      <c r="SWI803" s="193" t="s">
        <v>1487</v>
      </c>
      <c r="SWJ803" s="193" t="s">
        <v>1487</v>
      </c>
      <c r="SWK803" s="193" t="s">
        <v>1487</v>
      </c>
      <c r="SWL803" s="193" t="s">
        <v>1487</v>
      </c>
      <c r="SWM803" s="193" t="s">
        <v>1487</v>
      </c>
      <c r="SWN803" s="193" t="s">
        <v>1487</v>
      </c>
      <c r="SWO803" s="193" t="s">
        <v>1487</v>
      </c>
      <c r="SWP803" s="193" t="s">
        <v>1487</v>
      </c>
      <c r="SWQ803" s="193" t="s">
        <v>1487</v>
      </c>
      <c r="SWR803" s="193" t="s">
        <v>1487</v>
      </c>
      <c r="SWS803" s="193" t="s">
        <v>1487</v>
      </c>
      <c r="SWT803" s="193" t="s">
        <v>1487</v>
      </c>
      <c r="SWU803" s="193" t="s">
        <v>1487</v>
      </c>
      <c r="SWV803" s="193" t="s">
        <v>1487</v>
      </c>
      <c r="SWW803" s="193" t="s">
        <v>1487</v>
      </c>
      <c r="SWX803" s="193" t="s">
        <v>1487</v>
      </c>
      <c r="SWY803" s="193" t="s">
        <v>1487</v>
      </c>
      <c r="SWZ803" s="193" t="s">
        <v>1487</v>
      </c>
      <c r="SXA803" s="193" t="s">
        <v>1487</v>
      </c>
      <c r="SXB803" s="193" t="s">
        <v>1487</v>
      </c>
      <c r="SXC803" s="193" t="s">
        <v>1487</v>
      </c>
      <c r="SXD803" s="193" t="s">
        <v>1487</v>
      </c>
      <c r="SXE803" s="193" t="s">
        <v>1487</v>
      </c>
      <c r="SXF803" s="193" t="s">
        <v>1487</v>
      </c>
      <c r="SXG803" s="193" t="s">
        <v>1487</v>
      </c>
      <c r="SXH803" s="193" t="s">
        <v>1487</v>
      </c>
      <c r="SXI803" s="193" t="s">
        <v>1487</v>
      </c>
      <c r="SXJ803" s="193" t="s">
        <v>1487</v>
      </c>
      <c r="SXK803" s="193" t="s">
        <v>1487</v>
      </c>
      <c r="SXL803" s="193" t="s">
        <v>1487</v>
      </c>
      <c r="SXM803" s="193" t="s">
        <v>1487</v>
      </c>
      <c r="SXN803" s="193" t="s">
        <v>1487</v>
      </c>
      <c r="SXO803" s="193" t="s">
        <v>1487</v>
      </c>
      <c r="SXP803" s="193" t="s">
        <v>1487</v>
      </c>
      <c r="SXQ803" s="193" t="s">
        <v>1487</v>
      </c>
      <c r="SXR803" s="193" t="s">
        <v>1487</v>
      </c>
      <c r="SXS803" s="193" t="s">
        <v>1487</v>
      </c>
      <c r="SXT803" s="193" t="s">
        <v>1487</v>
      </c>
      <c r="SXU803" s="193" t="s">
        <v>1487</v>
      </c>
      <c r="SXV803" s="193" t="s">
        <v>1487</v>
      </c>
      <c r="SXW803" s="193" t="s">
        <v>1487</v>
      </c>
      <c r="SXX803" s="193" t="s">
        <v>1487</v>
      </c>
      <c r="SXY803" s="193" t="s">
        <v>1487</v>
      </c>
      <c r="SXZ803" s="193" t="s">
        <v>1487</v>
      </c>
      <c r="SYA803" s="193" t="s">
        <v>1487</v>
      </c>
      <c r="SYB803" s="193" t="s">
        <v>1487</v>
      </c>
      <c r="SYC803" s="193" t="s">
        <v>1487</v>
      </c>
      <c r="SYD803" s="193" t="s">
        <v>1487</v>
      </c>
      <c r="SYE803" s="193" t="s">
        <v>1487</v>
      </c>
      <c r="SYF803" s="193" t="s">
        <v>1487</v>
      </c>
      <c r="SYG803" s="193" t="s">
        <v>1487</v>
      </c>
      <c r="SYH803" s="193" t="s">
        <v>1487</v>
      </c>
      <c r="SYI803" s="193" t="s">
        <v>1487</v>
      </c>
      <c r="SYJ803" s="193" t="s">
        <v>1487</v>
      </c>
      <c r="SYK803" s="193" t="s">
        <v>1487</v>
      </c>
      <c r="SYL803" s="193" t="s">
        <v>1487</v>
      </c>
      <c r="SYM803" s="193" t="s">
        <v>1487</v>
      </c>
      <c r="SYN803" s="193" t="s">
        <v>1487</v>
      </c>
      <c r="SYO803" s="193" t="s">
        <v>1487</v>
      </c>
      <c r="SYP803" s="193" t="s">
        <v>1487</v>
      </c>
      <c r="SYQ803" s="193" t="s">
        <v>1487</v>
      </c>
      <c r="SYR803" s="193" t="s">
        <v>1487</v>
      </c>
      <c r="SYS803" s="193" t="s">
        <v>1487</v>
      </c>
      <c r="SYT803" s="193" t="s">
        <v>1487</v>
      </c>
      <c r="SYU803" s="193" t="s">
        <v>1487</v>
      </c>
      <c r="SYV803" s="193" t="s">
        <v>1487</v>
      </c>
      <c r="SYW803" s="193" t="s">
        <v>1487</v>
      </c>
      <c r="SYX803" s="193" t="s">
        <v>1487</v>
      </c>
      <c r="SYY803" s="193" t="s">
        <v>1487</v>
      </c>
      <c r="SYZ803" s="193" t="s">
        <v>1487</v>
      </c>
      <c r="SZA803" s="193" t="s">
        <v>1487</v>
      </c>
      <c r="SZB803" s="193" t="s">
        <v>1487</v>
      </c>
      <c r="SZC803" s="193" t="s">
        <v>1487</v>
      </c>
      <c r="SZD803" s="193" t="s">
        <v>1487</v>
      </c>
      <c r="SZE803" s="193" t="s">
        <v>1487</v>
      </c>
      <c r="SZF803" s="193" t="s">
        <v>1487</v>
      </c>
      <c r="SZG803" s="193" t="s">
        <v>1487</v>
      </c>
      <c r="SZH803" s="193" t="s">
        <v>1487</v>
      </c>
      <c r="SZI803" s="193" t="s">
        <v>1487</v>
      </c>
      <c r="SZJ803" s="193" t="s">
        <v>1487</v>
      </c>
      <c r="SZK803" s="193" t="s">
        <v>1487</v>
      </c>
      <c r="SZL803" s="193" t="s">
        <v>1487</v>
      </c>
      <c r="SZM803" s="193" t="s">
        <v>1487</v>
      </c>
      <c r="SZN803" s="193" t="s">
        <v>1487</v>
      </c>
      <c r="SZO803" s="193" t="s">
        <v>1487</v>
      </c>
      <c r="SZP803" s="193" t="s">
        <v>1487</v>
      </c>
      <c r="SZQ803" s="193" t="s">
        <v>1487</v>
      </c>
      <c r="SZR803" s="193" t="s">
        <v>1487</v>
      </c>
      <c r="SZS803" s="193" t="s">
        <v>1487</v>
      </c>
      <c r="SZT803" s="193" t="s">
        <v>1487</v>
      </c>
      <c r="SZU803" s="193" t="s">
        <v>1487</v>
      </c>
      <c r="SZV803" s="193" t="s">
        <v>1487</v>
      </c>
      <c r="SZW803" s="193" t="s">
        <v>1487</v>
      </c>
      <c r="SZX803" s="193" t="s">
        <v>1487</v>
      </c>
      <c r="SZY803" s="193" t="s">
        <v>1487</v>
      </c>
      <c r="SZZ803" s="193" t="s">
        <v>1487</v>
      </c>
      <c r="TAA803" s="193" t="s">
        <v>1487</v>
      </c>
      <c r="TAB803" s="193" t="s">
        <v>1487</v>
      </c>
      <c r="TAC803" s="193" t="s">
        <v>1487</v>
      </c>
      <c r="TAD803" s="193" t="s">
        <v>1487</v>
      </c>
      <c r="TAE803" s="193" t="s">
        <v>1487</v>
      </c>
      <c r="TAF803" s="193" t="s">
        <v>1487</v>
      </c>
      <c r="TAG803" s="193" t="s">
        <v>1487</v>
      </c>
      <c r="TAH803" s="193" t="s">
        <v>1487</v>
      </c>
      <c r="TAI803" s="193" t="s">
        <v>1487</v>
      </c>
      <c r="TAJ803" s="193" t="s">
        <v>1487</v>
      </c>
      <c r="TAK803" s="193" t="s">
        <v>1487</v>
      </c>
      <c r="TAL803" s="193" t="s">
        <v>1487</v>
      </c>
      <c r="TAM803" s="193" t="s">
        <v>1487</v>
      </c>
      <c r="TAN803" s="193" t="s">
        <v>1487</v>
      </c>
      <c r="TAO803" s="193" t="s">
        <v>1487</v>
      </c>
      <c r="TAP803" s="193" t="s">
        <v>1487</v>
      </c>
      <c r="TAQ803" s="193" t="s">
        <v>1487</v>
      </c>
      <c r="TAR803" s="193" t="s">
        <v>1487</v>
      </c>
      <c r="TAS803" s="193" t="s">
        <v>1487</v>
      </c>
      <c r="TAT803" s="193" t="s">
        <v>1487</v>
      </c>
      <c r="TAU803" s="193" t="s">
        <v>1487</v>
      </c>
      <c r="TAV803" s="193" t="s">
        <v>1487</v>
      </c>
      <c r="TAW803" s="193" t="s">
        <v>1487</v>
      </c>
      <c r="TAX803" s="193" t="s">
        <v>1487</v>
      </c>
      <c r="TAY803" s="193" t="s">
        <v>1487</v>
      </c>
      <c r="TAZ803" s="193" t="s">
        <v>1487</v>
      </c>
      <c r="TBA803" s="193" t="s">
        <v>1487</v>
      </c>
      <c r="TBB803" s="193" t="s">
        <v>1487</v>
      </c>
      <c r="TBC803" s="193" t="s">
        <v>1487</v>
      </c>
      <c r="TBD803" s="193" t="s">
        <v>1487</v>
      </c>
      <c r="TBE803" s="193" t="s">
        <v>1487</v>
      </c>
      <c r="TBF803" s="193" t="s">
        <v>1487</v>
      </c>
      <c r="TBG803" s="193" t="s">
        <v>1487</v>
      </c>
      <c r="TBH803" s="193" t="s">
        <v>1487</v>
      </c>
      <c r="TBI803" s="193" t="s">
        <v>1487</v>
      </c>
      <c r="TBJ803" s="193" t="s">
        <v>1487</v>
      </c>
      <c r="TBK803" s="193" t="s">
        <v>1487</v>
      </c>
      <c r="TBL803" s="193" t="s">
        <v>1487</v>
      </c>
      <c r="TBM803" s="193" t="s">
        <v>1487</v>
      </c>
      <c r="TBN803" s="193" t="s">
        <v>1487</v>
      </c>
      <c r="TBO803" s="193" t="s">
        <v>1487</v>
      </c>
      <c r="TBP803" s="193" t="s">
        <v>1487</v>
      </c>
      <c r="TBQ803" s="193" t="s">
        <v>1487</v>
      </c>
      <c r="TBR803" s="193" t="s">
        <v>1487</v>
      </c>
      <c r="TBS803" s="193" t="s">
        <v>1487</v>
      </c>
      <c r="TBT803" s="193" t="s">
        <v>1487</v>
      </c>
      <c r="TBU803" s="193" t="s">
        <v>1487</v>
      </c>
      <c r="TBV803" s="193" t="s">
        <v>1487</v>
      </c>
      <c r="TBW803" s="193" t="s">
        <v>1487</v>
      </c>
      <c r="TBX803" s="193" t="s">
        <v>1487</v>
      </c>
      <c r="TBY803" s="193" t="s">
        <v>1487</v>
      </c>
      <c r="TBZ803" s="193" t="s">
        <v>1487</v>
      </c>
      <c r="TCA803" s="193" t="s">
        <v>1487</v>
      </c>
      <c r="TCB803" s="193" t="s">
        <v>1487</v>
      </c>
      <c r="TCC803" s="193" t="s">
        <v>1487</v>
      </c>
      <c r="TCD803" s="193" t="s">
        <v>1487</v>
      </c>
      <c r="TCE803" s="193" t="s">
        <v>1487</v>
      </c>
      <c r="TCF803" s="193" t="s">
        <v>1487</v>
      </c>
      <c r="TCG803" s="193" t="s">
        <v>1487</v>
      </c>
      <c r="TCH803" s="193" t="s">
        <v>1487</v>
      </c>
      <c r="TCI803" s="193" t="s">
        <v>1487</v>
      </c>
      <c r="TCJ803" s="193" t="s">
        <v>1487</v>
      </c>
      <c r="TCK803" s="193" t="s">
        <v>1487</v>
      </c>
      <c r="TCL803" s="193" t="s">
        <v>1487</v>
      </c>
      <c r="TCM803" s="193" t="s">
        <v>1487</v>
      </c>
      <c r="TCN803" s="193" t="s">
        <v>1487</v>
      </c>
      <c r="TCO803" s="193" t="s">
        <v>1487</v>
      </c>
      <c r="TCP803" s="193" t="s">
        <v>1487</v>
      </c>
      <c r="TCQ803" s="193" t="s">
        <v>1487</v>
      </c>
      <c r="TCR803" s="193" t="s">
        <v>1487</v>
      </c>
      <c r="TCS803" s="193" t="s">
        <v>1487</v>
      </c>
      <c r="TCT803" s="193" t="s">
        <v>1487</v>
      </c>
      <c r="TCU803" s="193" t="s">
        <v>1487</v>
      </c>
      <c r="TCV803" s="193" t="s">
        <v>1487</v>
      </c>
      <c r="TCW803" s="193" t="s">
        <v>1487</v>
      </c>
      <c r="TCX803" s="193" t="s">
        <v>1487</v>
      </c>
      <c r="TCY803" s="193" t="s">
        <v>1487</v>
      </c>
      <c r="TCZ803" s="193" t="s">
        <v>1487</v>
      </c>
      <c r="TDA803" s="193" t="s">
        <v>1487</v>
      </c>
      <c r="TDB803" s="193" t="s">
        <v>1487</v>
      </c>
      <c r="TDC803" s="193" t="s">
        <v>1487</v>
      </c>
      <c r="TDD803" s="193" t="s">
        <v>1487</v>
      </c>
      <c r="TDE803" s="193" t="s">
        <v>1487</v>
      </c>
      <c r="TDF803" s="193" t="s">
        <v>1487</v>
      </c>
      <c r="TDG803" s="193" t="s">
        <v>1487</v>
      </c>
      <c r="TDH803" s="193" t="s">
        <v>1487</v>
      </c>
      <c r="TDI803" s="193" t="s">
        <v>1487</v>
      </c>
      <c r="TDJ803" s="193" t="s">
        <v>1487</v>
      </c>
      <c r="TDK803" s="193" t="s">
        <v>1487</v>
      </c>
      <c r="TDL803" s="193" t="s">
        <v>1487</v>
      </c>
      <c r="TDM803" s="193" t="s">
        <v>1487</v>
      </c>
      <c r="TDN803" s="193" t="s">
        <v>1487</v>
      </c>
      <c r="TDO803" s="193" t="s">
        <v>1487</v>
      </c>
      <c r="TDP803" s="193" t="s">
        <v>1487</v>
      </c>
      <c r="TDQ803" s="193" t="s">
        <v>1487</v>
      </c>
      <c r="TDR803" s="193" t="s">
        <v>1487</v>
      </c>
      <c r="TDS803" s="193" t="s">
        <v>1487</v>
      </c>
      <c r="TDT803" s="193" t="s">
        <v>1487</v>
      </c>
      <c r="TDU803" s="193" t="s">
        <v>1487</v>
      </c>
      <c r="TDV803" s="193" t="s">
        <v>1487</v>
      </c>
      <c r="TDW803" s="193" t="s">
        <v>1487</v>
      </c>
      <c r="TDX803" s="193" t="s">
        <v>1487</v>
      </c>
      <c r="TDY803" s="193" t="s">
        <v>1487</v>
      </c>
      <c r="TDZ803" s="193" t="s">
        <v>1487</v>
      </c>
      <c r="TEA803" s="193" t="s">
        <v>1487</v>
      </c>
      <c r="TEB803" s="193" t="s">
        <v>1487</v>
      </c>
      <c r="TEC803" s="193" t="s">
        <v>1487</v>
      </c>
      <c r="TED803" s="193" t="s">
        <v>1487</v>
      </c>
      <c r="TEE803" s="193" t="s">
        <v>1487</v>
      </c>
      <c r="TEF803" s="193" t="s">
        <v>1487</v>
      </c>
      <c r="TEG803" s="193" t="s">
        <v>1487</v>
      </c>
      <c r="TEH803" s="193" t="s">
        <v>1487</v>
      </c>
      <c r="TEI803" s="193" t="s">
        <v>1487</v>
      </c>
      <c r="TEJ803" s="193" t="s">
        <v>1487</v>
      </c>
      <c r="TEK803" s="193" t="s">
        <v>1487</v>
      </c>
      <c r="TEL803" s="193" t="s">
        <v>1487</v>
      </c>
      <c r="TEM803" s="193" t="s">
        <v>1487</v>
      </c>
      <c r="TEN803" s="193" t="s">
        <v>1487</v>
      </c>
      <c r="TEO803" s="193" t="s">
        <v>1487</v>
      </c>
      <c r="TEP803" s="193" t="s">
        <v>1487</v>
      </c>
      <c r="TEQ803" s="193" t="s">
        <v>1487</v>
      </c>
      <c r="TER803" s="193" t="s">
        <v>1487</v>
      </c>
      <c r="TES803" s="193" t="s">
        <v>1487</v>
      </c>
      <c r="TET803" s="193" t="s">
        <v>1487</v>
      </c>
      <c r="TEU803" s="193" t="s">
        <v>1487</v>
      </c>
      <c r="TEV803" s="193" t="s">
        <v>1487</v>
      </c>
      <c r="TEW803" s="193" t="s">
        <v>1487</v>
      </c>
      <c r="TEX803" s="193" t="s">
        <v>1487</v>
      </c>
      <c r="TEY803" s="193" t="s">
        <v>1487</v>
      </c>
      <c r="TEZ803" s="193" t="s">
        <v>1487</v>
      </c>
      <c r="TFA803" s="193" t="s">
        <v>1487</v>
      </c>
      <c r="TFB803" s="193" t="s">
        <v>1487</v>
      </c>
      <c r="TFC803" s="193" t="s">
        <v>1487</v>
      </c>
      <c r="TFD803" s="193" t="s">
        <v>1487</v>
      </c>
      <c r="TFE803" s="193" t="s">
        <v>1487</v>
      </c>
      <c r="TFF803" s="193" t="s">
        <v>1487</v>
      </c>
      <c r="TFG803" s="193" t="s">
        <v>1487</v>
      </c>
      <c r="TFH803" s="193" t="s">
        <v>1487</v>
      </c>
      <c r="TFI803" s="193" t="s">
        <v>1487</v>
      </c>
      <c r="TFJ803" s="193" t="s">
        <v>1487</v>
      </c>
      <c r="TFK803" s="193" t="s">
        <v>1487</v>
      </c>
      <c r="TFL803" s="193" t="s">
        <v>1487</v>
      </c>
      <c r="TFM803" s="193" t="s">
        <v>1487</v>
      </c>
      <c r="TFN803" s="193" t="s">
        <v>1487</v>
      </c>
      <c r="TFO803" s="193" t="s">
        <v>1487</v>
      </c>
      <c r="TFP803" s="193" t="s">
        <v>1487</v>
      </c>
      <c r="TFQ803" s="193" t="s">
        <v>1487</v>
      </c>
      <c r="TFR803" s="193" t="s">
        <v>1487</v>
      </c>
      <c r="TFS803" s="193" t="s">
        <v>1487</v>
      </c>
      <c r="TFT803" s="193" t="s">
        <v>1487</v>
      </c>
      <c r="TFU803" s="193" t="s">
        <v>1487</v>
      </c>
      <c r="TFV803" s="193" t="s">
        <v>1487</v>
      </c>
      <c r="TFW803" s="193" t="s">
        <v>1487</v>
      </c>
      <c r="TFX803" s="193" t="s">
        <v>1487</v>
      </c>
      <c r="TFY803" s="193" t="s">
        <v>1487</v>
      </c>
      <c r="TFZ803" s="193" t="s">
        <v>1487</v>
      </c>
      <c r="TGA803" s="193" t="s">
        <v>1487</v>
      </c>
      <c r="TGB803" s="193" t="s">
        <v>1487</v>
      </c>
      <c r="TGC803" s="193" t="s">
        <v>1487</v>
      </c>
      <c r="TGD803" s="193" t="s">
        <v>1487</v>
      </c>
      <c r="TGE803" s="193" t="s">
        <v>1487</v>
      </c>
      <c r="TGF803" s="193" t="s">
        <v>1487</v>
      </c>
      <c r="TGG803" s="193" t="s">
        <v>1487</v>
      </c>
      <c r="TGH803" s="193" t="s">
        <v>1487</v>
      </c>
      <c r="TGI803" s="193" t="s">
        <v>1487</v>
      </c>
      <c r="TGJ803" s="193" t="s">
        <v>1487</v>
      </c>
      <c r="TGK803" s="193" t="s">
        <v>1487</v>
      </c>
      <c r="TGL803" s="193" t="s">
        <v>1487</v>
      </c>
      <c r="TGM803" s="193" t="s">
        <v>1487</v>
      </c>
      <c r="TGN803" s="193" t="s">
        <v>1487</v>
      </c>
      <c r="TGO803" s="193" t="s">
        <v>1487</v>
      </c>
      <c r="TGP803" s="193" t="s">
        <v>1487</v>
      </c>
      <c r="TGQ803" s="193" t="s">
        <v>1487</v>
      </c>
      <c r="TGR803" s="193" t="s">
        <v>1487</v>
      </c>
      <c r="TGS803" s="193" t="s">
        <v>1487</v>
      </c>
      <c r="TGT803" s="193" t="s">
        <v>1487</v>
      </c>
      <c r="TGU803" s="193" t="s">
        <v>1487</v>
      </c>
      <c r="TGV803" s="193" t="s">
        <v>1487</v>
      </c>
      <c r="TGW803" s="193" t="s">
        <v>1487</v>
      </c>
      <c r="TGX803" s="193" t="s">
        <v>1487</v>
      </c>
      <c r="TGY803" s="193" t="s">
        <v>1487</v>
      </c>
      <c r="TGZ803" s="193" t="s">
        <v>1487</v>
      </c>
      <c r="THA803" s="193" t="s">
        <v>1487</v>
      </c>
      <c r="THB803" s="193" t="s">
        <v>1487</v>
      </c>
      <c r="THC803" s="193" t="s">
        <v>1487</v>
      </c>
      <c r="THD803" s="193" t="s">
        <v>1487</v>
      </c>
      <c r="THE803" s="193" t="s">
        <v>1487</v>
      </c>
      <c r="THF803" s="193" t="s">
        <v>1487</v>
      </c>
      <c r="THG803" s="193" t="s">
        <v>1487</v>
      </c>
      <c r="THH803" s="193" t="s">
        <v>1487</v>
      </c>
      <c r="THI803" s="193" t="s">
        <v>1487</v>
      </c>
      <c r="THJ803" s="193" t="s">
        <v>1487</v>
      </c>
      <c r="THK803" s="193" t="s">
        <v>1487</v>
      </c>
      <c r="THL803" s="193" t="s">
        <v>1487</v>
      </c>
      <c r="THM803" s="193" t="s">
        <v>1487</v>
      </c>
      <c r="THN803" s="193" t="s">
        <v>1487</v>
      </c>
      <c r="THO803" s="193" t="s">
        <v>1487</v>
      </c>
      <c r="THP803" s="193" t="s">
        <v>1487</v>
      </c>
      <c r="THQ803" s="193" t="s">
        <v>1487</v>
      </c>
      <c r="THR803" s="193" t="s">
        <v>1487</v>
      </c>
      <c r="THS803" s="193" t="s">
        <v>1487</v>
      </c>
      <c r="THT803" s="193" t="s">
        <v>1487</v>
      </c>
      <c r="THU803" s="193" t="s">
        <v>1487</v>
      </c>
      <c r="THV803" s="193" t="s">
        <v>1487</v>
      </c>
      <c r="THW803" s="193" t="s">
        <v>1487</v>
      </c>
      <c r="THX803" s="193" t="s">
        <v>1487</v>
      </c>
      <c r="THY803" s="193" t="s">
        <v>1487</v>
      </c>
      <c r="THZ803" s="193" t="s">
        <v>1487</v>
      </c>
      <c r="TIA803" s="193" t="s">
        <v>1487</v>
      </c>
      <c r="TIB803" s="193" t="s">
        <v>1487</v>
      </c>
      <c r="TIC803" s="193" t="s">
        <v>1487</v>
      </c>
      <c r="TID803" s="193" t="s">
        <v>1487</v>
      </c>
      <c r="TIE803" s="193" t="s">
        <v>1487</v>
      </c>
      <c r="TIF803" s="193" t="s">
        <v>1487</v>
      </c>
      <c r="TIG803" s="193" t="s">
        <v>1487</v>
      </c>
      <c r="TIH803" s="193" t="s">
        <v>1487</v>
      </c>
      <c r="TII803" s="193" t="s">
        <v>1487</v>
      </c>
      <c r="TIJ803" s="193" t="s">
        <v>1487</v>
      </c>
      <c r="TIK803" s="193" t="s">
        <v>1487</v>
      </c>
      <c r="TIL803" s="193" t="s">
        <v>1487</v>
      </c>
      <c r="TIM803" s="193" t="s">
        <v>1487</v>
      </c>
      <c r="TIN803" s="193" t="s">
        <v>1487</v>
      </c>
      <c r="TIO803" s="193" t="s">
        <v>1487</v>
      </c>
      <c r="TIP803" s="193" t="s">
        <v>1487</v>
      </c>
      <c r="TIQ803" s="193" t="s">
        <v>1487</v>
      </c>
      <c r="TIR803" s="193" t="s">
        <v>1487</v>
      </c>
      <c r="TIS803" s="193" t="s">
        <v>1487</v>
      </c>
      <c r="TIT803" s="193" t="s">
        <v>1487</v>
      </c>
      <c r="TIU803" s="193" t="s">
        <v>1487</v>
      </c>
      <c r="TIV803" s="193" t="s">
        <v>1487</v>
      </c>
      <c r="TIW803" s="193" t="s">
        <v>1487</v>
      </c>
      <c r="TIX803" s="193" t="s">
        <v>1487</v>
      </c>
      <c r="TIY803" s="193" t="s">
        <v>1487</v>
      </c>
      <c r="TIZ803" s="193" t="s">
        <v>1487</v>
      </c>
      <c r="TJA803" s="193" t="s">
        <v>1487</v>
      </c>
      <c r="TJB803" s="193" t="s">
        <v>1487</v>
      </c>
      <c r="TJC803" s="193" t="s">
        <v>1487</v>
      </c>
      <c r="TJD803" s="193" t="s">
        <v>1487</v>
      </c>
      <c r="TJE803" s="193" t="s">
        <v>1487</v>
      </c>
      <c r="TJF803" s="193" t="s">
        <v>1487</v>
      </c>
      <c r="TJG803" s="193" t="s">
        <v>1487</v>
      </c>
      <c r="TJH803" s="193" t="s">
        <v>1487</v>
      </c>
      <c r="TJI803" s="193" t="s">
        <v>1487</v>
      </c>
      <c r="TJJ803" s="193" t="s">
        <v>1487</v>
      </c>
      <c r="TJK803" s="193" t="s">
        <v>1487</v>
      </c>
      <c r="TJL803" s="193" t="s">
        <v>1487</v>
      </c>
      <c r="TJM803" s="193" t="s">
        <v>1487</v>
      </c>
      <c r="TJN803" s="193" t="s">
        <v>1487</v>
      </c>
      <c r="TJO803" s="193" t="s">
        <v>1487</v>
      </c>
      <c r="TJP803" s="193" t="s">
        <v>1487</v>
      </c>
      <c r="TJQ803" s="193" t="s">
        <v>1487</v>
      </c>
      <c r="TJR803" s="193" t="s">
        <v>1487</v>
      </c>
      <c r="TJS803" s="193" t="s">
        <v>1487</v>
      </c>
      <c r="TJT803" s="193" t="s">
        <v>1487</v>
      </c>
      <c r="TJU803" s="193" t="s">
        <v>1487</v>
      </c>
      <c r="TJV803" s="193" t="s">
        <v>1487</v>
      </c>
      <c r="TJW803" s="193" t="s">
        <v>1487</v>
      </c>
      <c r="TJX803" s="193" t="s">
        <v>1487</v>
      </c>
      <c r="TJY803" s="193" t="s">
        <v>1487</v>
      </c>
      <c r="TJZ803" s="193" t="s">
        <v>1487</v>
      </c>
      <c r="TKA803" s="193" t="s">
        <v>1487</v>
      </c>
      <c r="TKB803" s="193" t="s">
        <v>1487</v>
      </c>
      <c r="TKC803" s="193" t="s">
        <v>1487</v>
      </c>
      <c r="TKD803" s="193" t="s">
        <v>1487</v>
      </c>
      <c r="TKE803" s="193" t="s">
        <v>1487</v>
      </c>
      <c r="TKF803" s="193" t="s">
        <v>1487</v>
      </c>
      <c r="TKG803" s="193" t="s">
        <v>1487</v>
      </c>
      <c r="TKH803" s="193" t="s">
        <v>1487</v>
      </c>
      <c r="TKI803" s="193" t="s">
        <v>1487</v>
      </c>
      <c r="TKJ803" s="193" t="s">
        <v>1487</v>
      </c>
      <c r="TKK803" s="193" t="s">
        <v>1487</v>
      </c>
      <c r="TKL803" s="193" t="s">
        <v>1487</v>
      </c>
      <c r="TKM803" s="193" t="s">
        <v>1487</v>
      </c>
      <c r="TKN803" s="193" t="s">
        <v>1487</v>
      </c>
      <c r="TKO803" s="193" t="s">
        <v>1487</v>
      </c>
      <c r="TKP803" s="193" t="s">
        <v>1487</v>
      </c>
      <c r="TKQ803" s="193" t="s">
        <v>1487</v>
      </c>
      <c r="TKR803" s="193" t="s">
        <v>1487</v>
      </c>
      <c r="TKS803" s="193" t="s">
        <v>1487</v>
      </c>
      <c r="TKT803" s="193" t="s">
        <v>1487</v>
      </c>
      <c r="TKU803" s="193" t="s">
        <v>1487</v>
      </c>
      <c r="TKV803" s="193" t="s">
        <v>1487</v>
      </c>
      <c r="TKW803" s="193" t="s">
        <v>1487</v>
      </c>
      <c r="TKX803" s="193" t="s">
        <v>1487</v>
      </c>
      <c r="TKY803" s="193" t="s">
        <v>1487</v>
      </c>
      <c r="TKZ803" s="193" t="s">
        <v>1487</v>
      </c>
      <c r="TLA803" s="193" t="s">
        <v>1487</v>
      </c>
      <c r="TLB803" s="193" t="s">
        <v>1487</v>
      </c>
      <c r="TLC803" s="193" t="s">
        <v>1487</v>
      </c>
      <c r="TLD803" s="193" t="s">
        <v>1487</v>
      </c>
      <c r="TLE803" s="193" t="s">
        <v>1487</v>
      </c>
      <c r="TLF803" s="193" t="s">
        <v>1487</v>
      </c>
      <c r="TLG803" s="193" t="s">
        <v>1487</v>
      </c>
      <c r="TLH803" s="193" t="s">
        <v>1487</v>
      </c>
      <c r="TLI803" s="193" t="s">
        <v>1487</v>
      </c>
      <c r="TLJ803" s="193" t="s">
        <v>1487</v>
      </c>
      <c r="TLK803" s="193" t="s">
        <v>1487</v>
      </c>
      <c r="TLL803" s="193" t="s">
        <v>1487</v>
      </c>
      <c r="TLM803" s="193" t="s">
        <v>1487</v>
      </c>
      <c r="TLN803" s="193" t="s">
        <v>1487</v>
      </c>
      <c r="TLO803" s="193" t="s">
        <v>1487</v>
      </c>
      <c r="TLP803" s="193" t="s">
        <v>1487</v>
      </c>
      <c r="TLQ803" s="193" t="s">
        <v>1487</v>
      </c>
      <c r="TLR803" s="193" t="s">
        <v>1487</v>
      </c>
      <c r="TLS803" s="193" t="s">
        <v>1487</v>
      </c>
      <c r="TLT803" s="193" t="s">
        <v>1487</v>
      </c>
      <c r="TLU803" s="193" t="s">
        <v>1487</v>
      </c>
      <c r="TLV803" s="193" t="s">
        <v>1487</v>
      </c>
      <c r="TLW803" s="193" t="s">
        <v>1487</v>
      </c>
      <c r="TLX803" s="193" t="s">
        <v>1487</v>
      </c>
      <c r="TLY803" s="193" t="s">
        <v>1487</v>
      </c>
      <c r="TLZ803" s="193" t="s">
        <v>1487</v>
      </c>
      <c r="TMA803" s="193" t="s">
        <v>1487</v>
      </c>
      <c r="TMB803" s="193" t="s">
        <v>1487</v>
      </c>
      <c r="TMC803" s="193" t="s">
        <v>1487</v>
      </c>
      <c r="TMD803" s="193" t="s">
        <v>1487</v>
      </c>
      <c r="TME803" s="193" t="s">
        <v>1487</v>
      </c>
      <c r="TMF803" s="193" t="s">
        <v>1487</v>
      </c>
      <c r="TMG803" s="193" t="s">
        <v>1487</v>
      </c>
      <c r="TMH803" s="193" t="s">
        <v>1487</v>
      </c>
      <c r="TMI803" s="193" t="s">
        <v>1487</v>
      </c>
      <c r="TMJ803" s="193" t="s">
        <v>1487</v>
      </c>
      <c r="TMK803" s="193" t="s">
        <v>1487</v>
      </c>
      <c r="TML803" s="193" t="s">
        <v>1487</v>
      </c>
      <c r="TMM803" s="193" t="s">
        <v>1487</v>
      </c>
      <c r="TMN803" s="193" t="s">
        <v>1487</v>
      </c>
      <c r="TMO803" s="193" t="s">
        <v>1487</v>
      </c>
      <c r="TMP803" s="193" t="s">
        <v>1487</v>
      </c>
      <c r="TMQ803" s="193" t="s">
        <v>1487</v>
      </c>
      <c r="TMR803" s="193" t="s">
        <v>1487</v>
      </c>
      <c r="TMS803" s="193" t="s">
        <v>1487</v>
      </c>
      <c r="TMT803" s="193" t="s">
        <v>1487</v>
      </c>
      <c r="TMU803" s="193" t="s">
        <v>1487</v>
      </c>
      <c r="TMV803" s="193" t="s">
        <v>1487</v>
      </c>
      <c r="TMW803" s="193" t="s">
        <v>1487</v>
      </c>
      <c r="TMX803" s="193" t="s">
        <v>1487</v>
      </c>
      <c r="TMY803" s="193" t="s">
        <v>1487</v>
      </c>
      <c r="TMZ803" s="193" t="s">
        <v>1487</v>
      </c>
      <c r="TNA803" s="193" t="s">
        <v>1487</v>
      </c>
      <c r="TNB803" s="193" t="s">
        <v>1487</v>
      </c>
      <c r="TNC803" s="193" t="s">
        <v>1487</v>
      </c>
      <c r="TND803" s="193" t="s">
        <v>1487</v>
      </c>
      <c r="TNE803" s="193" t="s">
        <v>1487</v>
      </c>
      <c r="TNF803" s="193" t="s">
        <v>1487</v>
      </c>
      <c r="TNG803" s="193" t="s">
        <v>1487</v>
      </c>
      <c r="TNH803" s="193" t="s">
        <v>1487</v>
      </c>
      <c r="TNI803" s="193" t="s">
        <v>1487</v>
      </c>
      <c r="TNJ803" s="193" t="s">
        <v>1487</v>
      </c>
      <c r="TNK803" s="193" t="s">
        <v>1487</v>
      </c>
      <c r="TNL803" s="193" t="s">
        <v>1487</v>
      </c>
      <c r="TNM803" s="193" t="s">
        <v>1487</v>
      </c>
      <c r="TNN803" s="193" t="s">
        <v>1487</v>
      </c>
      <c r="TNO803" s="193" t="s">
        <v>1487</v>
      </c>
      <c r="TNP803" s="193" t="s">
        <v>1487</v>
      </c>
      <c r="TNQ803" s="193" t="s">
        <v>1487</v>
      </c>
      <c r="TNR803" s="193" t="s">
        <v>1487</v>
      </c>
      <c r="TNS803" s="193" t="s">
        <v>1487</v>
      </c>
      <c r="TNT803" s="193" t="s">
        <v>1487</v>
      </c>
      <c r="TNU803" s="193" t="s">
        <v>1487</v>
      </c>
      <c r="TNV803" s="193" t="s">
        <v>1487</v>
      </c>
      <c r="TNW803" s="193" t="s">
        <v>1487</v>
      </c>
      <c r="TNX803" s="193" t="s">
        <v>1487</v>
      </c>
      <c r="TNY803" s="193" t="s">
        <v>1487</v>
      </c>
      <c r="TNZ803" s="193" t="s">
        <v>1487</v>
      </c>
      <c r="TOA803" s="193" t="s">
        <v>1487</v>
      </c>
      <c r="TOB803" s="193" t="s">
        <v>1487</v>
      </c>
      <c r="TOC803" s="193" t="s">
        <v>1487</v>
      </c>
      <c r="TOD803" s="193" t="s">
        <v>1487</v>
      </c>
      <c r="TOE803" s="193" t="s">
        <v>1487</v>
      </c>
      <c r="TOF803" s="193" t="s">
        <v>1487</v>
      </c>
      <c r="TOG803" s="193" t="s">
        <v>1487</v>
      </c>
      <c r="TOH803" s="193" t="s">
        <v>1487</v>
      </c>
      <c r="TOI803" s="193" t="s">
        <v>1487</v>
      </c>
      <c r="TOJ803" s="193" t="s">
        <v>1487</v>
      </c>
      <c r="TOK803" s="193" t="s">
        <v>1487</v>
      </c>
      <c r="TOL803" s="193" t="s">
        <v>1487</v>
      </c>
      <c r="TOM803" s="193" t="s">
        <v>1487</v>
      </c>
      <c r="TON803" s="193" t="s">
        <v>1487</v>
      </c>
      <c r="TOO803" s="193" t="s">
        <v>1487</v>
      </c>
      <c r="TOP803" s="193" t="s">
        <v>1487</v>
      </c>
      <c r="TOQ803" s="193" t="s">
        <v>1487</v>
      </c>
      <c r="TOR803" s="193" t="s">
        <v>1487</v>
      </c>
      <c r="TOS803" s="193" t="s">
        <v>1487</v>
      </c>
      <c r="TOT803" s="193" t="s">
        <v>1487</v>
      </c>
      <c r="TOU803" s="193" t="s">
        <v>1487</v>
      </c>
      <c r="TOV803" s="193" t="s">
        <v>1487</v>
      </c>
      <c r="TOW803" s="193" t="s">
        <v>1487</v>
      </c>
      <c r="TOX803" s="193" t="s">
        <v>1487</v>
      </c>
      <c r="TOY803" s="193" t="s">
        <v>1487</v>
      </c>
      <c r="TOZ803" s="193" t="s">
        <v>1487</v>
      </c>
      <c r="TPA803" s="193" t="s">
        <v>1487</v>
      </c>
      <c r="TPB803" s="193" t="s">
        <v>1487</v>
      </c>
      <c r="TPC803" s="193" t="s">
        <v>1487</v>
      </c>
      <c r="TPD803" s="193" t="s">
        <v>1487</v>
      </c>
      <c r="TPE803" s="193" t="s">
        <v>1487</v>
      </c>
      <c r="TPF803" s="193" t="s">
        <v>1487</v>
      </c>
      <c r="TPG803" s="193" t="s">
        <v>1487</v>
      </c>
      <c r="TPH803" s="193" t="s">
        <v>1487</v>
      </c>
      <c r="TPI803" s="193" t="s">
        <v>1487</v>
      </c>
      <c r="TPJ803" s="193" t="s">
        <v>1487</v>
      </c>
      <c r="TPK803" s="193" t="s">
        <v>1487</v>
      </c>
      <c r="TPL803" s="193" t="s">
        <v>1487</v>
      </c>
      <c r="TPM803" s="193" t="s">
        <v>1487</v>
      </c>
      <c r="TPN803" s="193" t="s">
        <v>1487</v>
      </c>
      <c r="TPO803" s="193" t="s">
        <v>1487</v>
      </c>
      <c r="TPP803" s="193" t="s">
        <v>1487</v>
      </c>
      <c r="TPQ803" s="193" t="s">
        <v>1487</v>
      </c>
      <c r="TPR803" s="193" t="s">
        <v>1487</v>
      </c>
      <c r="TPS803" s="193" t="s">
        <v>1487</v>
      </c>
      <c r="TPT803" s="193" t="s">
        <v>1487</v>
      </c>
      <c r="TPU803" s="193" t="s">
        <v>1487</v>
      </c>
      <c r="TPV803" s="193" t="s">
        <v>1487</v>
      </c>
      <c r="TPW803" s="193" t="s">
        <v>1487</v>
      </c>
      <c r="TPX803" s="193" t="s">
        <v>1487</v>
      </c>
      <c r="TPY803" s="193" t="s">
        <v>1487</v>
      </c>
      <c r="TPZ803" s="193" t="s">
        <v>1487</v>
      </c>
      <c r="TQA803" s="193" t="s">
        <v>1487</v>
      </c>
      <c r="TQB803" s="193" t="s">
        <v>1487</v>
      </c>
      <c r="TQC803" s="193" t="s">
        <v>1487</v>
      </c>
      <c r="TQD803" s="193" t="s">
        <v>1487</v>
      </c>
      <c r="TQE803" s="193" t="s">
        <v>1487</v>
      </c>
      <c r="TQF803" s="193" t="s">
        <v>1487</v>
      </c>
      <c r="TQG803" s="193" t="s">
        <v>1487</v>
      </c>
      <c r="TQH803" s="193" t="s">
        <v>1487</v>
      </c>
      <c r="TQI803" s="193" t="s">
        <v>1487</v>
      </c>
      <c r="TQJ803" s="193" t="s">
        <v>1487</v>
      </c>
      <c r="TQK803" s="193" t="s">
        <v>1487</v>
      </c>
      <c r="TQL803" s="193" t="s">
        <v>1487</v>
      </c>
      <c r="TQM803" s="193" t="s">
        <v>1487</v>
      </c>
      <c r="TQN803" s="193" t="s">
        <v>1487</v>
      </c>
      <c r="TQO803" s="193" t="s">
        <v>1487</v>
      </c>
      <c r="TQP803" s="193" t="s">
        <v>1487</v>
      </c>
      <c r="TQQ803" s="193" t="s">
        <v>1487</v>
      </c>
      <c r="TQR803" s="193" t="s">
        <v>1487</v>
      </c>
      <c r="TQS803" s="193" t="s">
        <v>1487</v>
      </c>
      <c r="TQT803" s="193" t="s">
        <v>1487</v>
      </c>
      <c r="TQU803" s="193" t="s">
        <v>1487</v>
      </c>
      <c r="TQV803" s="193" t="s">
        <v>1487</v>
      </c>
      <c r="TQW803" s="193" t="s">
        <v>1487</v>
      </c>
      <c r="TQX803" s="193" t="s">
        <v>1487</v>
      </c>
      <c r="TQY803" s="193" t="s">
        <v>1487</v>
      </c>
      <c r="TQZ803" s="193" t="s">
        <v>1487</v>
      </c>
      <c r="TRA803" s="193" t="s">
        <v>1487</v>
      </c>
      <c r="TRB803" s="193" t="s">
        <v>1487</v>
      </c>
      <c r="TRC803" s="193" t="s">
        <v>1487</v>
      </c>
      <c r="TRD803" s="193" t="s">
        <v>1487</v>
      </c>
      <c r="TRE803" s="193" t="s">
        <v>1487</v>
      </c>
      <c r="TRF803" s="193" t="s">
        <v>1487</v>
      </c>
      <c r="TRG803" s="193" t="s">
        <v>1487</v>
      </c>
      <c r="TRH803" s="193" t="s">
        <v>1487</v>
      </c>
      <c r="TRI803" s="193" t="s">
        <v>1487</v>
      </c>
      <c r="TRJ803" s="193" t="s">
        <v>1487</v>
      </c>
      <c r="TRK803" s="193" t="s">
        <v>1487</v>
      </c>
      <c r="TRL803" s="193" t="s">
        <v>1487</v>
      </c>
      <c r="TRM803" s="193" t="s">
        <v>1487</v>
      </c>
      <c r="TRN803" s="193" t="s">
        <v>1487</v>
      </c>
      <c r="TRO803" s="193" t="s">
        <v>1487</v>
      </c>
      <c r="TRP803" s="193" t="s">
        <v>1487</v>
      </c>
      <c r="TRQ803" s="193" t="s">
        <v>1487</v>
      </c>
      <c r="TRR803" s="193" t="s">
        <v>1487</v>
      </c>
      <c r="TRS803" s="193" t="s">
        <v>1487</v>
      </c>
      <c r="TRT803" s="193" t="s">
        <v>1487</v>
      </c>
      <c r="TRU803" s="193" t="s">
        <v>1487</v>
      </c>
      <c r="TRV803" s="193" t="s">
        <v>1487</v>
      </c>
      <c r="TRW803" s="193" t="s">
        <v>1487</v>
      </c>
      <c r="TRX803" s="193" t="s">
        <v>1487</v>
      </c>
      <c r="TRY803" s="193" t="s">
        <v>1487</v>
      </c>
      <c r="TRZ803" s="193" t="s">
        <v>1487</v>
      </c>
      <c r="TSA803" s="193" t="s">
        <v>1487</v>
      </c>
      <c r="TSB803" s="193" t="s">
        <v>1487</v>
      </c>
      <c r="TSC803" s="193" t="s">
        <v>1487</v>
      </c>
      <c r="TSD803" s="193" t="s">
        <v>1487</v>
      </c>
      <c r="TSE803" s="193" t="s">
        <v>1487</v>
      </c>
      <c r="TSF803" s="193" t="s">
        <v>1487</v>
      </c>
      <c r="TSG803" s="193" t="s">
        <v>1487</v>
      </c>
      <c r="TSH803" s="193" t="s">
        <v>1487</v>
      </c>
      <c r="TSI803" s="193" t="s">
        <v>1487</v>
      </c>
      <c r="TSJ803" s="193" t="s">
        <v>1487</v>
      </c>
      <c r="TSK803" s="193" t="s">
        <v>1487</v>
      </c>
      <c r="TSL803" s="193" t="s">
        <v>1487</v>
      </c>
      <c r="TSM803" s="193" t="s">
        <v>1487</v>
      </c>
      <c r="TSN803" s="193" t="s">
        <v>1487</v>
      </c>
      <c r="TSO803" s="193" t="s">
        <v>1487</v>
      </c>
      <c r="TSP803" s="193" t="s">
        <v>1487</v>
      </c>
      <c r="TSQ803" s="193" t="s">
        <v>1487</v>
      </c>
      <c r="TSR803" s="193" t="s">
        <v>1487</v>
      </c>
      <c r="TSS803" s="193" t="s">
        <v>1487</v>
      </c>
      <c r="TST803" s="193" t="s">
        <v>1487</v>
      </c>
      <c r="TSU803" s="193" t="s">
        <v>1487</v>
      </c>
      <c r="TSV803" s="193" t="s">
        <v>1487</v>
      </c>
      <c r="TSW803" s="193" t="s">
        <v>1487</v>
      </c>
      <c r="TSX803" s="193" t="s">
        <v>1487</v>
      </c>
      <c r="TSY803" s="193" t="s">
        <v>1487</v>
      </c>
      <c r="TSZ803" s="193" t="s">
        <v>1487</v>
      </c>
      <c r="TTA803" s="193" t="s">
        <v>1487</v>
      </c>
      <c r="TTB803" s="193" t="s">
        <v>1487</v>
      </c>
      <c r="TTC803" s="193" t="s">
        <v>1487</v>
      </c>
      <c r="TTD803" s="193" t="s">
        <v>1487</v>
      </c>
      <c r="TTE803" s="193" t="s">
        <v>1487</v>
      </c>
      <c r="TTF803" s="193" t="s">
        <v>1487</v>
      </c>
      <c r="TTG803" s="193" t="s">
        <v>1487</v>
      </c>
      <c r="TTH803" s="193" t="s">
        <v>1487</v>
      </c>
      <c r="TTI803" s="193" t="s">
        <v>1487</v>
      </c>
      <c r="TTJ803" s="193" t="s">
        <v>1487</v>
      </c>
      <c r="TTK803" s="193" t="s">
        <v>1487</v>
      </c>
      <c r="TTL803" s="193" t="s">
        <v>1487</v>
      </c>
      <c r="TTM803" s="193" t="s">
        <v>1487</v>
      </c>
      <c r="TTN803" s="193" t="s">
        <v>1487</v>
      </c>
      <c r="TTO803" s="193" t="s">
        <v>1487</v>
      </c>
      <c r="TTP803" s="193" t="s">
        <v>1487</v>
      </c>
      <c r="TTQ803" s="193" t="s">
        <v>1487</v>
      </c>
      <c r="TTR803" s="193" t="s">
        <v>1487</v>
      </c>
      <c r="TTS803" s="193" t="s">
        <v>1487</v>
      </c>
      <c r="TTT803" s="193" t="s">
        <v>1487</v>
      </c>
      <c r="TTU803" s="193" t="s">
        <v>1487</v>
      </c>
      <c r="TTV803" s="193" t="s">
        <v>1487</v>
      </c>
      <c r="TTW803" s="193" t="s">
        <v>1487</v>
      </c>
      <c r="TTX803" s="193" t="s">
        <v>1487</v>
      </c>
      <c r="TTY803" s="193" t="s">
        <v>1487</v>
      </c>
      <c r="TTZ803" s="193" t="s">
        <v>1487</v>
      </c>
      <c r="TUA803" s="193" t="s">
        <v>1487</v>
      </c>
      <c r="TUB803" s="193" t="s">
        <v>1487</v>
      </c>
      <c r="TUC803" s="193" t="s">
        <v>1487</v>
      </c>
      <c r="TUD803" s="193" t="s">
        <v>1487</v>
      </c>
      <c r="TUE803" s="193" t="s">
        <v>1487</v>
      </c>
      <c r="TUF803" s="193" t="s">
        <v>1487</v>
      </c>
      <c r="TUG803" s="193" t="s">
        <v>1487</v>
      </c>
      <c r="TUH803" s="193" t="s">
        <v>1487</v>
      </c>
      <c r="TUI803" s="193" t="s">
        <v>1487</v>
      </c>
      <c r="TUJ803" s="193" t="s">
        <v>1487</v>
      </c>
      <c r="TUK803" s="193" t="s">
        <v>1487</v>
      </c>
      <c r="TUL803" s="193" t="s">
        <v>1487</v>
      </c>
      <c r="TUM803" s="193" t="s">
        <v>1487</v>
      </c>
      <c r="TUN803" s="193" t="s">
        <v>1487</v>
      </c>
      <c r="TUO803" s="193" t="s">
        <v>1487</v>
      </c>
      <c r="TUP803" s="193" t="s">
        <v>1487</v>
      </c>
      <c r="TUQ803" s="193" t="s">
        <v>1487</v>
      </c>
      <c r="TUR803" s="193" t="s">
        <v>1487</v>
      </c>
      <c r="TUS803" s="193" t="s">
        <v>1487</v>
      </c>
      <c r="TUT803" s="193" t="s">
        <v>1487</v>
      </c>
      <c r="TUU803" s="193" t="s">
        <v>1487</v>
      </c>
      <c r="TUV803" s="193" t="s">
        <v>1487</v>
      </c>
      <c r="TUW803" s="193" t="s">
        <v>1487</v>
      </c>
      <c r="TUX803" s="193" t="s">
        <v>1487</v>
      </c>
      <c r="TUY803" s="193" t="s">
        <v>1487</v>
      </c>
      <c r="TUZ803" s="193" t="s">
        <v>1487</v>
      </c>
      <c r="TVA803" s="193" t="s">
        <v>1487</v>
      </c>
      <c r="TVB803" s="193" t="s">
        <v>1487</v>
      </c>
      <c r="TVC803" s="193" t="s">
        <v>1487</v>
      </c>
      <c r="TVD803" s="193" t="s">
        <v>1487</v>
      </c>
      <c r="TVE803" s="193" t="s">
        <v>1487</v>
      </c>
      <c r="TVF803" s="193" t="s">
        <v>1487</v>
      </c>
      <c r="TVG803" s="193" t="s">
        <v>1487</v>
      </c>
      <c r="TVH803" s="193" t="s">
        <v>1487</v>
      </c>
      <c r="TVI803" s="193" t="s">
        <v>1487</v>
      </c>
      <c r="TVJ803" s="193" t="s">
        <v>1487</v>
      </c>
      <c r="TVK803" s="193" t="s">
        <v>1487</v>
      </c>
      <c r="TVL803" s="193" t="s">
        <v>1487</v>
      </c>
      <c r="TVM803" s="193" t="s">
        <v>1487</v>
      </c>
      <c r="TVN803" s="193" t="s">
        <v>1487</v>
      </c>
      <c r="TVO803" s="193" t="s">
        <v>1487</v>
      </c>
      <c r="TVP803" s="193" t="s">
        <v>1487</v>
      </c>
      <c r="TVQ803" s="193" t="s">
        <v>1487</v>
      </c>
      <c r="TVR803" s="193" t="s">
        <v>1487</v>
      </c>
      <c r="TVS803" s="193" t="s">
        <v>1487</v>
      </c>
      <c r="TVT803" s="193" t="s">
        <v>1487</v>
      </c>
      <c r="TVU803" s="193" t="s">
        <v>1487</v>
      </c>
      <c r="TVV803" s="193" t="s">
        <v>1487</v>
      </c>
      <c r="TVW803" s="193" t="s">
        <v>1487</v>
      </c>
      <c r="TVX803" s="193" t="s">
        <v>1487</v>
      </c>
      <c r="TVY803" s="193" t="s">
        <v>1487</v>
      </c>
      <c r="TVZ803" s="193" t="s">
        <v>1487</v>
      </c>
      <c r="TWA803" s="193" t="s">
        <v>1487</v>
      </c>
      <c r="TWB803" s="193" t="s">
        <v>1487</v>
      </c>
      <c r="TWC803" s="193" t="s">
        <v>1487</v>
      </c>
      <c r="TWD803" s="193" t="s">
        <v>1487</v>
      </c>
      <c r="TWE803" s="193" t="s">
        <v>1487</v>
      </c>
      <c r="TWF803" s="193" t="s">
        <v>1487</v>
      </c>
      <c r="TWG803" s="193" t="s">
        <v>1487</v>
      </c>
      <c r="TWH803" s="193" t="s">
        <v>1487</v>
      </c>
      <c r="TWI803" s="193" t="s">
        <v>1487</v>
      </c>
      <c r="TWJ803" s="193" t="s">
        <v>1487</v>
      </c>
      <c r="TWK803" s="193" t="s">
        <v>1487</v>
      </c>
      <c r="TWL803" s="193" t="s">
        <v>1487</v>
      </c>
      <c r="TWM803" s="193" t="s">
        <v>1487</v>
      </c>
      <c r="TWN803" s="193" t="s">
        <v>1487</v>
      </c>
      <c r="TWO803" s="193" t="s">
        <v>1487</v>
      </c>
      <c r="TWP803" s="193" t="s">
        <v>1487</v>
      </c>
      <c r="TWQ803" s="193" t="s">
        <v>1487</v>
      </c>
      <c r="TWR803" s="193" t="s">
        <v>1487</v>
      </c>
      <c r="TWS803" s="193" t="s">
        <v>1487</v>
      </c>
      <c r="TWT803" s="193" t="s">
        <v>1487</v>
      </c>
      <c r="TWU803" s="193" t="s">
        <v>1487</v>
      </c>
      <c r="TWV803" s="193" t="s">
        <v>1487</v>
      </c>
      <c r="TWW803" s="193" t="s">
        <v>1487</v>
      </c>
      <c r="TWX803" s="193" t="s">
        <v>1487</v>
      </c>
      <c r="TWY803" s="193" t="s">
        <v>1487</v>
      </c>
      <c r="TWZ803" s="193" t="s">
        <v>1487</v>
      </c>
      <c r="TXA803" s="193" t="s">
        <v>1487</v>
      </c>
      <c r="TXB803" s="193" t="s">
        <v>1487</v>
      </c>
      <c r="TXC803" s="193" t="s">
        <v>1487</v>
      </c>
      <c r="TXD803" s="193" t="s">
        <v>1487</v>
      </c>
      <c r="TXE803" s="193" t="s">
        <v>1487</v>
      </c>
      <c r="TXF803" s="193" t="s">
        <v>1487</v>
      </c>
      <c r="TXG803" s="193" t="s">
        <v>1487</v>
      </c>
      <c r="TXH803" s="193" t="s">
        <v>1487</v>
      </c>
      <c r="TXI803" s="193" t="s">
        <v>1487</v>
      </c>
      <c r="TXJ803" s="193" t="s">
        <v>1487</v>
      </c>
      <c r="TXK803" s="193" t="s">
        <v>1487</v>
      </c>
      <c r="TXL803" s="193" t="s">
        <v>1487</v>
      </c>
      <c r="TXM803" s="193" t="s">
        <v>1487</v>
      </c>
      <c r="TXN803" s="193" t="s">
        <v>1487</v>
      </c>
      <c r="TXO803" s="193" t="s">
        <v>1487</v>
      </c>
      <c r="TXP803" s="193" t="s">
        <v>1487</v>
      </c>
      <c r="TXQ803" s="193" t="s">
        <v>1487</v>
      </c>
      <c r="TXR803" s="193" t="s">
        <v>1487</v>
      </c>
      <c r="TXS803" s="193" t="s">
        <v>1487</v>
      </c>
      <c r="TXT803" s="193" t="s">
        <v>1487</v>
      </c>
      <c r="TXU803" s="193" t="s">
        <v>1487</v>
      </c>
      <c r="TXV803" s="193" t="s">
        <v>1487</v>
      </c>
      <c r="TXW803" s="193" t="s">
        <v>1487</v>
      </c>
      <c r="TXX803" s="193" t="s">
        <v>1487</v>
      </c>
      <c r="TXY803" s="193" t="s">
        <v>1487</v>
      </c>
      <c r="TXZ803" s="193" t="s">
        <v>1487</v>
      </c>
      <c r="TYA803" s="193" t="s">
        <v>1487</v>
      </c>
      <c r="TYB803" s="193" t="s">
        <v>1487</v>
      </c>
      <c r="TYC803" s="193" t="s">
        <v>1487</v>
      </c>
      <c r="TYD803" s="193" t="s">
        <v>1487</v>
      </c>
      <c r="TYE803" s="193" t="s">
        <v>1487</v>
      </c>
      <c r="TYF803" s="193" t="s">
        <v>1487</v>
      </c>
      <c r="TYG803" s="193" t="s">
        <v>1487</v>
      </c>
      <c r="TYH803" s="193" t="s">
        <v>1487</v>
      </c>
      <c r="TYI803" s="193" t="s">
        <v>1487</v>
      </c>
      <c r="TYJ803" s="193" t="s">
        <v>1487</v>
      </c>
      <c r="TYK803" s="193" t="s">
        <v>1487</v>
      </c>
      <c r="TYL803" s="193" t="s">
        <v>1487</v>
      </c>
      <c r="TYM803" s="193" t="s">
        <v>1487</v>
      </c>
      <c r="TYN803" s="193" t="s">
        <v>1487</v>
      </c>
      <c r="TYO803" s="193" t="s">
        <v>1487</v>
      </c>
      <c r="TYP803" s="193" t="s">
        <v>1487</v>
      </c>
      <c r="TYQ803" s="193" t="s">
        <v>1487</v>
      </c>
      <c r="TYR803" s="193" t="s">
        <v>1487</v>
      </c>
      <c r="TYS803" s="193" t="s">
        <v>1487</v>
      </c>
      <c r="TYT803" s="193" t="s">
        <v>1487</v>
      </c>
      <c r="TYU803" s="193" t="s">
        <v>1487</v>
      </c>
      <c r="TYV803" s="193" t="s">
        <v>1487</v>
      </c>
      <c r="TYW803" s="193" t="s">
        <v>1487</v>
      </c>
      <c r="TYX803" s="193" t="s">
        <v>1487</v>
      </c>
      <c r="TYY803" s="193" t="s">
        <v>1487</v>
      </c>
      <c r="TYZ803" s="193" t="s">
        <v>1487</v>
      </c>
      <c r="TZA803" s="193" t="s">
        <v>1487</v>
      </c>
      <c r="TZB803" s="193" t="s">
        <v>1487</v>
      </c>
      <c r="TZC803" s="193" t="s">
        <v>1487</v>
      </c>
      <c r="TZD803" s="193" t="s">
        <v>1487</v>
      </c>
      <c r="TZE803" s="193" t="s">
        <v>1487</v>
      </c>
      <c r="TZF803" s="193" t="s">
        <v>1487</v>
      </c>
      <c r="TZG803" s="193" t="s">
        <v>1487</v>
      </c>
      <c r="TZH803" s="193" t="s">
        <v>1487</v>
      </c>
      <c r="TZI803" s="193" t="s">
        <v>1487</v>
      </c>
      <c r="TZJ803" s="193" t="s">
        <v>1487</v>
      </c>
      <c r="TZK803" s="193" t="s">
        <v>1487</v>
      </c>
      <c r="TZL803" s="193" t="s">
        <v>1487</v>
      </c>
      <c r="TZM803" s="193" t="s">
        <v>1487</v>
      </c>
      <c r="TZN803" s="193" t="s">
        <v>1487</v>
      </c>
      <c r="TZO803" s="193" t="s">
        <v>1487</v>
      </c>
      <c r="TZP803" s="193" t="s">
        <v>1487</v>
      </c>
      <c r="TZQ803" s="193" t="s">
        <v>1487</v>
      </c>
      <c r="TZR803" s="193" t="s">
        <v>1487</v>
      </c>
      <c r="TZS803" s="193" t="s">
        <v>1487</v>
      </c>
      <c r="TZT803" s="193" t="s">
        <v>1487</v>
      </c>
      <c r="TZU803" s="193" t="s">
        <v>1487</v>
      </c>
      <c r="TZV803" s="193" t="s">
        <v>1487</v>
      </c>
      <c r="TZW803" s="193" t="s">
        <v>1487</v>
      </c>
      <c r="TZX803" s="193" t="s">
        <v>1487</v>
      </c>
      <c r="TZY803" s="193" t="s">
        <v>1487</v>
      </c>
      <c r="TZZ803" s="193" t="s">
        <v>1487</v>
      </c>
      <c r="UAA803" s="193" t="s">
        <v>1487</v>
      </c>
      <c r="UAB803" s="193" t="s">
        <v>1487</v>
      </c>
      <c r="UAC803" s="193" t="s">
        <v>1487</v>
      </c>
      <c r="UAD803" s="193" t="s">
        <v>1487</v>
      </c>
      <c r="UAE803" s="193" t="s">
        <v>1487</v>
      </c>
      <c r="UAF803" s="193" t="s">
        <v>1487</v>
      </c>
      <c r="UAG803" s="193" t="s">
        <v>1487</v>
      </c>
      <c r="UAH803" s="193" t="s">
        <v>1487</v>
      </c>
      <c r="UAI803" s="193" t="s">
        <v>1487</v>
      </c>
      <c r="UAJ803" s="193" t="s">
        <v>1487</v>
      </c>
      <c r="UAK803" s="193" t="s">
        <v>1487</v>
      </c>
      <c r="UAL803" s="193" t="s">
        <v>1487</v>
      </c>
      <c r="UAM803" s="193" t="s">
        <v>1487</v>
      </c>
      <c r="UAN803" s="193" t="s">
        <v>1487</v>
      </c>
      <c r="UAO803" s="193" t="s">
        <v>1487</v>
      </c>
      <c r="UAP803" s="193" t="s">
        <v>1487</v>
      </c>
      <c r="UAQ803" s="193" t="s">
        <v>1487</v>
      </c>
      <c r="UAR803" s="193" t="s">
        <v>1487</v>
      </c>
      <c r="UAS803" s="193" t="s">
        <v>1487</v>
      </c>
      <c r="UAT803" s="193" t="s">
        <v>1487</v>
      </c>
      <c r="UAU803" s="193" t="s">
        <v>1487</v>
      </c>
      <c r="UAV803" s="193" t="s">
        <v>1487</v>
      </c>
      <c r="UAW803" s="193" t="s">
        <v>1487</v>
      </c>
      <c r="UAX803" s="193" t="s">
        <v>1487</v>
      </c>
      <c r="UAY803" s="193" t="s">
        <v>1487</v>
      </c>
      <c r="UAZ803" s="193" t="s">
        <v>1487</v>
      </c>
      <c r="UBA803" s="193" t="s">
        <v>1487</v>
      </c>
      <c r="UBB803" s="193" t="s">
        <v>1487</v>
      </c>
      <c r="UBC803" s="193" t="s">
        <v>1487</v>
      </c>
      <c r="UBD803" s="193" t="s">
        <v>1487</v>
      </c>
      <c r="UBE803" s="193" t="s">
        <v>1487</v>
      </c>
      <c r="UBF803" s="193" t="s">
        <v>1487</v>
      </c>
      <c r="UBG803" s="193" t="s">
        <v>1487</v>
      </c>
      <c r="UBH803" s="193" t="s">
        <v>1487</v>
      </c>
      <c r="UBI803" s="193" t="s">
        <v>1487</v>
      </c>
      <c r="UBJ803" s="193" t="s">
        <v>1487</v>
      </c>
      <c r="UBK803" s="193" t="s">
        <v>1487</v>
      </c>
      <c r="UBL803" s="193" t="s">
        <v>1487</v>
      </c>
      <c r="UBM803" s="193" t="s">
        <v>1487</v>
      </c>
      <c r="UBN803" s="193" t="s">
        <v>1487</v>
      </c>
      <c r="UBO803" s="193" t="s">
        <v>1487</v>
      </c>
      <c r="UBP803" s="193" t="s">
        <v>1487</v>
      </c>
      <c r="UBQ803" s="193" t="s">
        <v>1487</v>
      </c>
      <c r="UBR803" s="193" t="s">
        <v>1487</v>
      </c>
      <c r="UBS803" s="193" t="s">
        <v>1487</v>
      </c>
      <c r="UBT803" s="193" t="s">
        <v>1487</v>
      </c>
      <c r="UBU803" s="193" t="s">
        <v>1487</v>
      </c>
      <c r="UBV803" s="193" t="s">
        <v>1487</v>
      </c>
      <c r="UBW803" s="193" t="s">
        <v>1487</v>
      </c>
      <c r="UBX803" s="193" t="s">
        <v>1487</v>
      </c>
      <c r="UBY803" s="193" t="s">
        <v>1487</v>
      </c>
      <c r="UBZ803" s="193" t="s">
        <v>1487</v>
      </c>
      <c r="UCA803" s="193" t="s">
        <v>1487</v>
      </c>
      <c r="UCB803" s="193" t="s">
        <v>1487</v>
      </c>
      <c r="UCC803" s="193" t="s">
        <v>1487</v>
      </c>
      <c r="UCD803" s="193" t="s">
        <v>1487</v>
      </c>
      <c r="UCE803" s="193" t="s">
        <v>1487</v>
      </c>
      <c r="UCF803" s="193" t="s">
        <v>1487</v>
      </c>
      <c r="UCG803" s="193" t="s">
        <v>1487</v>
      </c>
      <c r="UCH803" s="193" t="s">
        <v>1487</v>
      </c>
      <c r="UCI803" s="193" t="s">
        <v>1487</v>
      </c>
      <c r="UCJ803" s="193" t="s">
        <v>1487</v>
      </c>
      <c r="UCK803" s="193" t="s">
        <v>1487</v>
      </c>
      <c r="UCL803" s="193" t="s">
        <v>1487</v>
      </c>
      <c r="UCM803" s="193" t="s">
        <v>1487</v>
      </c>
      <c r="UCN803" s="193" t="s">
        <v>1487</v>
      </c>
      <c r="UCO803" s="193" t="s">
        <v>1487</v>
      </c>
      <c r="UCP803" s="193" t="s">
        <v>1487</v>
      </c>
      <c r="UCQ803" s="193" t="s">
        <v>1487</v>
      </c>
      <c r="UCR803" s="193" t="s">
        <v>1487</v>
      </c>
      <c r="UCS803" s="193" t="s">
        <v>1487</v>
      </c>
      <c r="UCT803" s="193" t="s">
        <v>1487</v>
      </c>
      <c r="UCU803" s="193" t="s">
        <v>1487</v>
      </c>
      <c r="UCV803" s="193" t="s">
        <v>1487</v>
      </c>
      <c r="UCW803" s="193" t="s">
        <v>1487</v>
      </c>
      <c r="UCX803" s="193" t="s">
        <v>1487</v>
      </c>
      <c r="UCY803" s="193" t="s">
        <v>1487</v>
      </c>
      <c r="UCZ803" s="193" t="s">
        <v>1487</v>
      </c>
      <c r="UDA803" s="193" t="s">
        <v>1487</v>
      </c>
      <c r="UDB803" s="193" t="s">
        <v>1487</v>
      </c>
      <c r="UDC803" s="193" t="s">
        <v>1487</v>
      </c>
      <c r="UDD803" s="193" t="s">
        <v>1487</v>
      </c>
      <c r="UDE803" s="193" t="s">
        <v>1487</v>
      </c>
      <c r="UDF803" s="193" t="s">
        <v>1487</v>
      </c>
      <c r="UDG803" s="193" t="s">
        <v>1487</v>
      </c>
      <c r="UDH803" s="193" t="s">
        <v>1487</v>
      </c>
      <c r="UDI803" s="193" t="s">
        <v>1487</v>
      </c>
      <c r="UDJ803" s="193" t="s">
        <v>1487</v>
      </c>
      <c r="UDK803" s="193" t="s">
        <v>1487</v>
      </c>
      <c r="UDL803" s="193" t="s">
        <v>1487</v>
      </c>
      <c r="UDM803" s="193" t="s">
        <v>1487</v>
      </c>
      <c r="UDN803" s="193" t="s">
        <v>1487</v>
      </c>
      <c r="UDO803" s="193" t="s">
        <v>1487</v>
      </c>
      <c r="UDP803" s="193" t="s">
        <v>1487</v>
      </c>
      <c r="UDQ803" s="193" t="s">
        <v>1487</v>
      </c>
      <c r="UDR803" s="193" t="s">
        <v>1487</v>
      </c>
      <c r="UDS803" s="193" t="s">
        <v>1487</v>
      </c>
      <c r="UDT803" s="193" t="s">
        <v>1487</v>
      </c>
      <c r="UDU803" s="193" t="s">
        <v>1487</v>
      </c>
      <c r="UDV803" s="193" t="s">
        <v>1487</v>
      </c>
      <c r="UDW803" s="193" t="s">
        <v>1487</v>
      </c>
      <c r="UDX803" s="193" t="s">
        <v>1487</v>
      </c>
      <c r="UDY803" s="193" t="s">
        <v>1487</v>
      </c>
      <c r="UDZ803" s="193" t="s">
        <v>1487</v>
      </c>
      <c r="UEA803" s="193" t="s">
        <v>1487</v>
      </c>
      <c r="UEB803" s="193" t="s">
        <v>1487</v>
      </c>
      <c r="UEC803" s="193" t="s">
        <v>1487</v>
      </c>
      <c r="UED803" s="193" t="s">
        <v>1487</v>
      </c>
      <c r="UEE803" s="193" t="s">
        <v>1487</v>
      </c>
      <c r="UEF803" s="193" t="s">
        <v>1487</v>
      </c>
      <c r="UEG803" s="193" t="s">
        <v>1487</v>
      </c>
      <c r="UEH803" s="193" t="s">
        <v>1487</v>
      </c>
      <c r="UEI803" s="193" t="s">
        <v>1487</v>
      </c>
      <c r="UEJ803" s="193" t="s">
        <v>1487</v>
      </c>
      <c r="UEK803" s="193" t="s">
        <v>1487</v>
      </c>
      <c r="UEL803" s="193" t="s">
        <v>1487</v>
      </c>
      <c r="UEM803" s="193" t="s">
        <v>1487</v>
      </c>
      <c r="UEN803" s="193" t="s">
        <v>1487</v>
      </c>
      <c r="UEO803" s="193" t="s">
        <v>1487</v>
      </c>
      <c r="UEP803" s="193" t="s">
        <v>1487</v>
      </c>
      <c r="UEQ803" s="193" t="s">
        <v>1487</v>
      </c>
      <c r="UER803" s="193" t="s">
        <v>1487</v>
      </c>
      <c r="UES803" s="193" t="s">
        <v>1487</v>
      </c>
      <c r="UET803" s="193" t="s">
        <v>1487</v>
      </c>
      <c r="UEU803" s="193" t="s">
        <v>1487</v>
      </c>
      <c r="UEV803" s="193" t="s">
        <v>1487</v>
      </c>
      <c r="UEW803" s="193" t="s">
        <v>1487</v>
      </c>
      <c r="UEX803" s="193" t="s">
        <v>1487</v>
      </c>
      <c r="UEY803" s="193" t="s">
        <v>1487</v>
      </c>
      <c r="UEZ803" s="193" t="s">
        <v>1487</v>
      </c>
      <c r="UFA803" s="193" t="s">
        <v>1487</v>
      </c>
      <c r="UFB803" s="193" t="s">
        <v>1487</v>
      </c>
      <c r="UFC803" s="193" t="s">
        <v>1487</v>
      </c>
      <c r="UFD803" s="193" t="s">
        <v>1487</v>
      </c>
      <c r="UFE803" s="193" t="s">
        <v>1487</v>
      </c>
      <c r="UFF803" s="193" t="s">
        <v>1487</v>
      </c>
      <c r="UFG803" s="193" t="s">
        <v>1487</v>
      </c>
      <c r="UFH803" s="193" t="s">
        <v>1487</v>
      </c>
      <c r="UFI803" s="193" t="s">
        <v>1487</v>
      </c>
      <c r="UFJ803" s="193" t="s">
        <v>1487</v>
      </c>
      <c r="UFK803" s="193" t="s">
        <v>1487</v>
      </c>
      <c r="UFL803" s="193" t="s">
        <v>1487</v>
      </c>
      <c r="UFM803" s="193" t="s">
        <v>1487</v>
      </c>
      <c r="UFN803" s="193" t="s">
        <v>1487</v>
      </c>
      <c r="UFO803" s="193" t="s">
        <v>1487</v>
      </c>
      <c r="UFP803" s="193" t="s">
        <v>1487</v>
      </c>
      <c r="UFQ803" s="193" t="s">
        <v>1487</v>
      </c>
      <c r="UFR803" s="193" t="s">
        <v>1487</v>
      </c>
      <c r="UFS803" s="193" t="s">
        <v>1487</v>
      </c>
      <c r="UFT803" s="193" t="s">
        <v>1487</v>
      </c>
      <c r="UFU803" s="193" t="s">
        <v>1487</v>
      </c>
      <c r="UFV803" s="193" t="s">
        <v>1487</v>
      </c>
      <c r="UFW803" s="193" t="s">
        <v>1487</v>
      </c>
      <c r="UFX803" s="193" t="s">
        <v>1487</v>
      </c>
      <c r="UFY803" s="193" t="s">
        <v>1487</v>
      </c>
      <c r="UFZ803" s="193" t="s">
        <v>1487</v>
      </c>
      <c r="UGA803" s="193" t="s">
        <v>1487</v>
      </c>
      <c r="UGB803" s="193" t="s">
        <v>1487</v>
      </c>
      <c r="UGC803" s="193" t="s">
        <v>1487</v>
      </c>
      <c r="UGD803" s="193" t="s">
        <v>1487</v>
      </c>
      <c r="UGE803" s="193" t="s">
        <v>1487</v>
      </c>
      <c r="UGF803" s="193" t="s">
        <v>1487</v>
      </c>
      <c r="UGG803" s="193" t="s">
        <v>1487</v>
      </c>
      <c r="UGH803" s="193" t="s">
        <v>1487</v>
      </c>
      <c r="UGI803" s="193" t="s">
        <v>1487</v>
      </c>
      <c r="UGJ803" s="193" t="s">
        <v>1487</v>
      </c>
      <c r="UGK803" s="193" t="s">
        <v>1487</v>
      </c>
      <c r="UGL803" s="193" t="s">
        <v>1487</v>
      </c>
      <c r="UGM803" s="193" t="s">
        <v>1487</v>
      </c>
      <c r="UGN803" s="193" t="s">
        <v>1487</v>
      </c>
      <c r="UGO803" s="193" t="s">
        <v>1487</v>
      </c>
      <c r="UGP803" s="193" t="s">
        <v>1487</v>
      </c>
      <c r="UGQ803" s="193" t="s">
        <v>1487</v>
      </c>
      <c r="UGR803" s="193" t="s">
        <v>1487</v>
      </c>
      <c r="UGS803" s="193" t="s">
        <v>1487</v>
      </c>
      <c r="UGT803" s="193" t="s">
        <v>1487</v>
      </c>
      <c r="UGU803" s="193" t="s">
        <v>1487</v>
      </c>
      <c r="UGV803" s="193" t="s">
        <v>1487</v>
      </c>
      <c r="UGW803" s="193" t="s">
        <v>1487</v>
      </c>
      <c r="UGX803" s="193" t="s">
        <v>1487</v>
      </c>
      <c r="UGY803" s="193" t="s">
        <v>1487</v>
      </c>
      <c r="UGZ803" s="193" t="s">
        <v>1487</v>
      </c>
      <c r="UHA803" s="193" t="s">
        <v>1487</v>
      </c>
      <c r="UHB803" s="193" t="s">
        <v>1487</v>
      </c>
      <c r="UHC803" s="193" t="s">
        <v>1487</v>
      </c>
      <c r="UHD803" s="193" t="s">
        <v>1487</v>
      </c>
      <c r="UHE803" s="193" t="s">
        <v>1487</v>
      </c>
      <c r="UHF803" s="193" t="s">
        <v>1487</v>
      </c>
      <c r="UHG803" s="193" t="s">
        <v>1487</v>
      </c>
      <c r="UHH803" s="193" t="s">
        <v>1487</v>
      </c>
      <c r="UHI803" s="193" t="s">
        <v>1487</v>
      </c>
      <c r="UHJ803" s="193" t="s">
        <v>1487</v>
      </c>
      <c r="UHK803" s="193" t="s">
        <v>1487</v>
      </c>
      <c r="UHL803" s="193" t="s">
        <v>1487</v>
      </c>
      <c r="UHM803" s="193" t="s">
        <v>1487</v>
      </c>
      <c r="UHN803" s="193" t="s">
        <v>1487</v>
      </c>
      <c r="UHO803" s="193" t="s">
        <v>1487</v>
      </c>
      <c r="UHP803" s="193" t="s">
        <v>1487</v>
      </c>
      <c r="UHQ803" s="193" t="s">
        <v>1487</v>
      </c>
      <c r="UHR803" s="193" t="s">
        <v>1487</v>
      </c>
      <c r="UHS803" s="193" t="s">
        <v>1487</v>
      </c>
      <c r="UHT803" s="193" t="s">
        <v>1487</v>
      </c>
      <c r="UHU803" s="193" t="s">
        <v>1487</v>
      </c>
      <c r="UHV803" s="193" t="s">
        <v>1487</v>
      </c>
      <c r="UHW803" s="193" t="s">
        <v>1487</v>
      </c>
      <c r="UHX803" s="193" t="s">
        <v>1487</v>
      </c>
      <c r="UHY803" s="193" t="s">
        <v>1487</v>
      </c>
      <c r="UHZ803" s="193" t="s">
        <v>1487</v>
      </c>
      <c r="UIA803" s="193" t="s">
        <v>1487</v>
      </c>
      <c r="UIB803" s="193" t="s">
        <v>1487</v>
      </c>
      <c r="UIC803" s="193" t="s">
        <v>1487</v>
      </c>
      <c r="UID803" s="193" t="s">
        <v>1487</v>
      </c>
      <c r="UIE803" s="193" t="s">
        <v>1487</v>
      </c>
      <c r="UIF803" s="193" t="s">
        <v>1487</v>
      </c>
      <c r="UIG803" s="193" t="s">
        <v>1487</v>
      </c>
      <c r="UIH803" s="193" t="s">
        <v>1487</v>
      </c>
      <c r="UII803" s="193" t="s">
        <v>1487</v>
      </c>
      <c r="UIJ803" s="193" t="s">
        <v>1487</v>
      </c>
      <c r="UIK803" s="193" t="s">
        <v>1487</v>
      </c>
      <c r="UIL803" s="193" t="s">
        <v>1487</v>
      </c>
      <c r="UIM803" s="193" t="s">
        <v>1487</v>
      </c>
      <c r="UIN803" s="193" t="s">
        <v>1487</v>
      </c>
      <c r="UIO803" s="193" t="s">
        <v>1487</v>
      </c>
      <c r="UIP803" s="193" t="s">
        <v>1487</v>
      </c>
      <c r="UIQ803" s="193" t="s">
        <v>1487</v>
      </c>
      <c r="UIR803" s="193" t="s">
        <v>1487</v>
      </c>
      <c r="UIS803" s="193" t="s">
        <v>1487</v>
      </c>
      <c r="UIT803" s="193" t="s">
        <v>1487</v>
      </c>
      <c r="UIU803" s="193" t="s">
        <v>1487</v>
      </c>
      <c r="UIV803" s="193" t="s">
        <v>1487</v>
      </c>
      <c r="UIW803" s="193" t="s">
        <v>1487</v>
      </c>
      <c r="UIX803" s="193" t="s">
        <v>1487</v>
      </c>
      <c r="UIY803" s="193" t="s">
        <v>1487</v>
      </c>
      <c r="UIZ803" s="193" t="s">
        <v>1487</v>
      </c>
      <c r="UJA803" s="193" t="s">
        <v>1487</v>
      </c>
      <c r="UJB803" s="193" t="s">
        <v>1487</v>
      </c>
      <c r="UJC803" s="193" t="s">
        <v>1487</v>
      </c>
      <c r="UJD803" s="193" t="s">
        <v>1487</v>
      </c>
      <c r="UJE803" s="193" t="s">
        <v>1487</v>
      </c>
      <c r="UJF803" s="193" t="s">
        <v>1487</v>
      </c>
      <c r="UJG803" s="193" t="s">
        <v>1487</v>
      </c>
      <c r="UJH803" s="193" t="s">
        <v>1487</v>
      </c>
      <c r="UJI803" s="193" t="s">
        <v>1487</v>
      </c>
      <c r="UJJ803" s="193" t="s">
        <v>1487</v>
      </c>
      <c r="UJK803" s="193" t="s">
        <v>1487</v>
      </c>
      <c r="UJL803" s="193" t="s">
        <v>1487</v>
      </c>
      <c r="UJM803" s="193" t="s">
        <v>1487</v>
      </c>
      <c r="UJN803" s="193" t="s">
        <v>1487</v>
      </c>
      <c r="UJO803" s="193" t="s">
        <v>1487</v>
      </c>
      <c r="UJP803" s="193" t="s">
        <v>1487</v>
      </c>
      <c r="UJQ803" s="193" t="s">
        <v>1487</v>
      </c>
      <c r="UJR803" s="193" t="s">
        <v>1487</v>
      </c>
      <c r="UJS803" s="193" t="s">
        <v>1487</v>
      </c>
      <c r="UJT803" s="193" t="s">
        <v>1487</v>
      </c>
      <c r="UJU803" s="193" t="s">
        <v>1487</v>
      </c>
      <c r="UJV803" s="193" t="s">
        <v>1487</v>
      </c>
      <c r="UJW803" s="193" t="s">
        <v>1487</v>
      </c>
      <c r="UJX803" s="193" t="s">
        <v>1487</v>
      </c>
      <c r="UJY803" s="193" t="s">
        <v>1487</v>
      </c>
      <c r="UJZ803" s="193" t="s">
        <v>1487</v>
      </c>
      <c r="UKA803" s="193" t="s">
        <v>1487</v>
      </c>
      <c r="UKB803" s="193" t="s">
        <v>1487</v>
      </c>
      <c r="UKC803" s="193" t="s">
        <v>1487</v>
      </c>
      <c r="UKD803" s="193" t="s">
        <v>1487</v>
      </c>
      <c r="UKE803" s="193" t="s">
        <v>1487</v>
      </c>
      <c r="UKF803" s="193" t="s">
        <v>1487</v>
      </c>
      <c r="UKG803" s="193" t="s">
        <v>1487</v>
      </c>
      <c r="UKH803" s="193" t="s">
        <v>1487</v>
      </c>
      <c r="UKI803" s="193" t="s">
        <v>1487</v>
      </c>
      <c r="UKJ803" s="193" t="s">
        <v>1487</v>
      </c>
      <c r="UKK803" s="193" t="s">
        <v>1487</v>
      </c>
      <c r="UKL803" s="193" t="s">
        <v>1487</v>
      </c>
      <c r="UKM803" s="193" t="s">
        <v>1487</v>
      </c>
      <c r="UKN803" s="193" t="s">
        <v>1487</v>
      </c>
      <c r="UKO803" s="193" t="s">
        <v>1487</v>
      </c>
      <c r="UKP803" s="193" t="s">
        <v>1487</v>
      </c>
      <c r="UKQ803" s="193" t="s">
        <v>1487</v>
      </c>
      <c r="UKR803" s="193" t="s">
        <v>1487</v>
      </c>
      <c r="UKS803" s="193" t="s">
        <v>1487</v>
      </c>
      <c r="UKT803" s="193" t="s">
        <v>1487</v>
      </c>
      <c r="UKU803" s="193" t="s">
        <v>1487</v>
      </c>
      <c r="UKV803" s="193" t="s">
        <v>1487</v>
      </c>
      <c r="UKW803" s="193" t="s">
        <v>1487</v>
      </c>
      <c r="UKX803" s="193" t="s">
        <v>1487</v>
      </c>
      <c r="UKY803" s="193" t="s">
        <v>1487</v>
      </c>
      <c r="UKZ803" s="193" t="s">
        <v>1487</v>
      </c>
      <c r="ULA803" s="193" t="s">
        <v>1487</v>
      </c>
      <c r="ULB803" s="193" t="s">
        <v>1487</v>
      </c>
      <c r="ULC803" s="193" t="s">
        <v>1487</v>
      </c>
      <c r="ULD803" s="193" t="s">
        <v>1487</v>
      </c>
      <c r="ULE803" s="193" t="s">
        <v>1487</v>
      </c>
      <c r="ULF803" s="193" t="s">
        <v>1487</v>
      </c>
      <c r="ULG803" s="193" t="s">
        <v>1487</v>
      </c>
      <c r="ULH803" s="193" t="s">
        <v>1487</v>
      </c>
      <c r="ULI803" s="193" t="s">
        <v>1487</v>
      </c>
      <c r="ULJ803" s="193" t="s">
        <v>1487</v>
      </c>
      <c r="ULK803" s="193" t="s">
        <v>1487</v>
      </c>
      <c r="ULL803" s="193" t="s">
        <v>1487</v>
      </c>
      <c r="ULM803" s="193" t="s">
        <v>1487</v>
      </c>
      <c r="ULN803" s="193" t="s">
        <v>1487</v>
      </c>
      <c r="ULO803" s="193" t="s">
        <v>1487</v>
      </c>
      <c r="ULP803" s="193" t="s">
        <v>1487</v>
      </c>
      <c r="ULQ803" s="193" t="s">
        <v>1487</v>
      </c>
      <c r="ULR803" s="193" t="s">
        <v>1487</v>
      </c>
      <c r="ULS803" s="193" t="s">
        <v>1487</v>
      </c>
      <c r="ULT803" s="193" t="s">
        <v>1487</v>
      </c>
      <c r="ULU803" s="193" t="s">
        <v>1487</v>
      </c>
      <c r="ULV803" s="193" t="s">
        <v>1487</v>
      </c>
      <c r="ULW803" s="193" t="s">
        <v>1487</v>
      </c>
      <c r="ULX803" s="193" t="s">
        <v>1487</v>
      </c>
      <c r="ULY803" s="193" t="s">
        <v>1487</v>
      </c>
      <c r="ULZ803" s="193" t="s">
        <v>1487</v>
      </c>
      <c r="UMA803" s="193" t="s">
        <v>1487</v>
      </c>
      <c r="UMB803" s="193" t="s">
        <v>1487</v>
      </c>
      <c r="UMC803" s="193" t="s">
        <v>1487</v>
      </c>
      <c r="UMD803" s="193" t="s">
        <v>1487</v>
      </c>
      <c r="UME803" s="193" t="s">
        <v>1487</v>
      </c>
      <c r="UMF803" s="193" t="s">
        <v>1487</v>
      </c>
      <c r="UMG803" s="193" t="s">
        <v>1487</v>
      </c>
      <c r="UMH803" s="193" t="s">
        <v>1487</v>
      </c>
      <c r="UMI803" s="193" t="s">
        <v>1487</v>
      </c>
      <c r="UMJ803" s="193" t="s">
        <v>1487</v>
      </c>
      <c r="UMK803" s="193" t="s">
        <v>1487</v>
      </c>
      <c r="UML803" s="193" t="s">
        <v>1487</v>
      </c>
      <c r="UMM803" s="193" t="s">
        <v>1487</v>
      </c>
      <c r="UMN803" s="193" t="s">
        <v>1487</v>
      </c>
      <c r="UMO803" s="193" t="s">
        <v>1487</v>
      </c>
      <c r="UMP803" s="193" t="s">
        <v>1487</v>
      </c>
      <c r="UMQ803" s="193" t="s">
        <v>1487</v>
      </c>
      <c r="UMR803" s="193" t="s">
        <v>1487</v>
      </c>
      <c r="UMS803" s="193" t="s">
        <v>1487</v>
      </c>
      <c r="UMT803" s="193" t="s">
        <v>1487</v>
      </c>
      <c r="UMU803" s="193" t="s">
        <v>1487</v>
      </c>
      <c r="UMV803" s="193" t="s">
        <v>1487</v>
      </c>
      <c r="UMW803" s="193" t="s">
        <v>1487</v>
      </c>
      <c r="UMX803" s="193" t="s">
        <v>1487</v>
      </c>
      <c r="UMY803" s="193" t="s">
        <v>1487</v>
      </c>
      <c r="UMZ803" s="193" t="s">
        <v>1487</v>
      </c>
      <c r="UNA803" s="193" t="s">
        <v>1487</v>
      </c>
      <c r="UNB803" s="193" t="s">
        <v>1487</v>
      </c>
      <c r="UNC803" s="193" t="s">
        <v>1487</v>
      </c>
      <c r="UND803" s="193" t="s">
        <v>1487</v>
      </c>
      <c r="UNE803" s="193" t="s">
        <v>1487</v>
      </c>
      <c r="UNF803" s="193" t="s">
        <v>1487</v>
      </c>
      <c r="UNG803" s="193" t="s">
        <v>1487</v>
      </c>
      <c r="UNH803" s="193" t="s">
        <v>1487</v>
      </c>
      <c r="UNI803" s="193" t="s">
        <v>1487</v>
      </c>
      <c r="UNJ803" s="193" t="s">
        <v>1487</v>
      </c>
      <c r="UNK803" s="193" t="s">
        <v>1487</v>
      </c>
      <c r="UNL803" s="193" t="s">
        <v>1487</v>
      </c>
      <c r="UNM803" s="193" t="s">
        <v>1487</v>
      </c>
      <c r="UNN803" s="193" t="s">
        <v>1487</v>
      </c>
      <c r="UNO803" s="193" t="s">
        <v>1487</v>
      </c>
      <c r="UNP803" s="193" t="s">
        <v>1487</v>
      </c>
      <c r="UNQ803" s="193" t="s">
        <v>1487</v>
      </c>
      <c r="UNR803" s="193" t="s">
        <v>1487</v>
      </c>
      <c r="UNS803" s="193" t="s">
        <v>1487</v>
      </c>
      <c r="UNT803" s="193" t="s">
        <v>1487</v>
      </c>
      <c r="UNU803" s="193" t="s">
        <v>1487</v>
      </c>
      <c r="UNV803" s="193" t="s">
        <v>1487</v>
      </c>
      <c r="UNW803" s="193" t="s">
        <v>1487</v>
      </c>
      <c r="UNX803" s="193" t="s">
        <v>1487</v>
      </c>
      <c r="UNY803" s="193" t="s">
        <v>1487</v>
      </c>
      <c r="UNZ803" s="193" t="s">
        <v>1487</v>
      </c>
      <c r="UOA803" s="193" t="s">
        <v>1487</v>
      </c>
      <c r="UOB803" s="193" t="s">
        <v>1487</v>
      </c>
      <c r="UOC803" s="193" t="s">
        <v>1487</v>
      </c>
      <c r="UOD803" s="193" t="s">
        <v>1487</v>
      </c>
      <c r="UOE803" s="193" t="s">
        <v>1487</v>
      </c>
      <c r="UOF803" s="193" t="s">
        <v>1487</v>
      </c>
      <c r="UOG803" s="193" t="s">
        <v>1487</v>
      </c>
      <c r="UOH803" s="193" t="s">
        <v>1487</v>
      </c>
      <c r="UOI803" s="193" t="s">
        <v>1487</v>
      </c>
      <c r="UOJ803" s="193" t="s">
        <v>1487</v>
      </c>
      <c r="UOK803" s="193" t="s">
        <v>1487</v>
      </c>
      <c r="UOL803" s="193" t="s">
        <v>1487</v>
      </c>
      <c r="UOM803" s="193" t="s">
        <v>1487</v>
      </c>
      <c r="UON803" s="193" t="s">
        <v>1487</v>
      </c>
      <c r="UOO803" s="193" t="s">
        <v>1487</v>
      </c>
      <c r="UOP803" s="193" t="s">
        <v>1487</v>
      </c>
      <c r="UOQ803" s="193" t="s">
        <v>1487</v>
      </c>
      <c r="UOR803" s="193" t="s">
        <v>1487</v>
      </c>
      <c r="UOS803" s="193" t="s">
        <v>1487</v>
      </c>
      <c r="UOT803" s="193" t="s">
        <v>1487</v>
      </c>
      <c r="UOU803" s="193" t="s">
        <v>1487</v>
      </c>
      <c r="UOV803" s="193" t="s">
        <v>1487</v>
      </c>
      <c r="UOW803" s="193" t="s">
        <v>1487</v>
      </c>
      <c r="UOX803" s="193" t="s">
        <v>1487</v>
      </c>
      <c r="UOY803" s="193" t="s">
        <v>1487</v>
      </c>
      <c r="UOZ803" s="193" t="s">
        <v>1487</v>
      </c>
      <c r="UPA803" s="193" t="s">
        <v>1487</v>
      </c>
      <c r="UPB803" s="193" t="s">
        <v>1487</v>
      </c>
      <c r="UPC803" s="193" t="s">
        <v>1487</v>
      </c>
      <c r="UPD803" s="193" t="s">
        <v>1487</v>
      </c>
      <c r="UPE803" s="193" t="s">
        <v>1487</v>
      </c>
      <c r="UPF803" s="193" t="s">
        <v>1487</v>
      </c>
      <c r="UPG803" s="193" t="s">
        <v>1487</v>
      </c>
      <c r="UPH803" s="193" t="s">
        <v>1487</v>
      </c>
      <c r="UPI803" s="193" t="s">
        <v>1487</v>
      </c>
      <c r="UPJ803" s="193" t="s">
        <v>1487</v>
      </c>
      <c r="UPK803" s="193" t="s">
        <v>1487</v>
      </c>
      <c r="UPL803" s="193" t="s">
        <v>1487</v>
      </c>
      <c r="UPM803" s="193" t="s">
        <v>1487</v>
      </c>
      <c r="UPN803" s="193" t="s">
        <v>1487</v>
      </c>
      <c r="UPO803" s="193" t="s">
        <v>1487</v>
      </c>
      <c r="UPP803" s="193" t="s">
        <v>1487</v>
      </c>
      <c r="UPQ803" s="193" t="s">
        <v>1487</v>
      </c>
      <c r="UPR803" s="193" t="s">
        <v>1487</v>
      </c>
      <c r="UPS803" s="193" t="s">
        <v>1487</v>
      </c>
      <c r="UPT803" s="193" t="s">
        <v>1487</v>
      </c>
      <c r="UPU803" s="193" t="s">
        <v>1487</v>
      </c>
      <c r="UPV803" s="193" t="s">
        <v>1487</v>
      </c>
      <c r="UPW803" s="193" t="s">
        <v>1487</v>
      </c>
      <c r="UPX803" s="193" t="s">
        <v>1487</v>
      </c>
      <c r="UPY803" s="193" t="s">
        <v>1487</v>
      </c>
      <c r="UPZ803" s="193" t="s">
        <v>1487</v>
      </c>
      <c r="UQA803" s="193" t="s">
        <v>1487</v>
      </c>
      <c r="UQB803" s="193" t="s">
        <v>1487</v>
      </c>
      <c r="UQC803" s="193" t="s">
        <v>1487</v>
      </c>
      <c r="UQD803" s="193" t="s">
        <v>1487</v>
      </c>
      <c r="UQE803" s="193" t="s">
        <v>1487</v>
      </c>
      <c r="UQF803" s="193" t="s">
        <v>1487</v>
      </c>
      <c r="UQG803" s="193" t="s">
        <v>1487</v>
      </c>
      <c r="UQH803" s="193" t="s">
        <v>1487</v>
      </c>
      <c r="UQI803" s="193" t="s">
        <v>1487</v>
      </c>
      <c r="UQJ803" s="193" t="s">
        <v>1487</v>
      </c>
      <c r="UQK803" s="193" t="s">
        <v>1487</v>
      </c>
      <c r="UQL803" s="193" t="s">
        <v>1487</v>
      </c>
      <c r="UQM803" s="193" t="s">
        <v>1487</v>
      </c>
      <c r="UQN803" s="193" t="s">
        <v>1487</v>
      </c>
      <c r="UQO803" s="193" t="s">
        <v>1487</v>
      </c>
      <c r="UQP803" s="193" t="s">
        <v>1487</v>
      </c>
      <c r="UQQ803" s="193" t="s">
        <v>1487</v>
      </c>
      <c r="UQR803" s="193" t="s">
        <v>1487</v>
      </c>
      <c r="UQS803" s="193" t="s">
        <v>1487</v>
      </c>
      <c r="UQT803" s="193" t="s">
        <v>1487</v>
      </c>
      <c r="UQU803" s="193" t="s">
        <v>1487</v>
      </c>
      <c r="UQV803" s="193" t="s">
        <v>1487</v>
      </c>
      <c r="UQW803" s="193" t="s">
        <v>1487</v>
      </c>
      <c r="UQX803" s="193" t="s">
        <v>1487</v>
      </c>
      <c r="UQY803" s="193" t="s">
        <v>1487</v>
      </c>
      <c r="UQZ803" s="193" t="s">
        <v>1487</v>
      </c>
      <c r="URA803" s="193" t="s">
        <v>1487</v>
      </c>
      <c r="URB803" s="193" t="s">
        <v>1487</v>
      </c>
      <c r="URC803" s="193" t="s">
        <v>1487</v>
      </c>
      <c r="URD803" s="193" t="s">
        <v>1487</v>
      </c>
      <c r="URE803" s="193" t="s">
        <v>1487</v>
      </c>
      <c r="URF803" s="193" t="s">
        <v>1487</v>
      </c>
      <c r="URG803" s="193" t="s">
        <v>1487</v>
      </c>
      <c r="URH803" s="193" t="s">
        <v>1487</v>
      </c>
      <c r="URI803" s="193" t="s">
        <v>1487</v>
      </c>
      <c r="URJ803" s="193" t="s">
        <v>1487</v>
      </c>
      <c r="URK803" s="193" t="s">
        <v>1487</v>
      </c>
      <c r="URL803" s="193" t="s">
        <v>1487</v>
      </c>
      <c r="URM803" s="193" t="s">
        <v>1487</v>
      </c>
      <c r="URN803" s="193" t="s">
        <v>1487</v>
      </c>
      <c r="URO803" s="193" t="s">
        <v>1487</v>
      </c>
      <c r="URP803" s="193" t="s">
        <v>1487</v>
      </c>
      <c r="URQ803" s="193" t="s">
        <v>1487</v>
      </c>
      <c r="URR803" s="193" t="s">
        <v>1487</v>
      </c>
      <c r="URS803" s="193" t="s">
        <v>1487</v>
      </c>
      <c r="URT803" s="193" t="s">
        <v>1487</v>
      </c>
      <c r="URU803" s="193" t="s">
        <v>1487</v>
      </c>
      <c r="URV803" s="193" t="s">
        <v>1487</v>
      </c>
      <c r="URW803" s="193" t="s">
        <v>1487</v>
      </c>
      <c r="URX803" s="193" t="s">
        <v>1487</v>
      </c>
      <c r="URY803" s="193" t="s">
        <v>1487</v>
      </c>
      <c r="URZ803" s="193" t="s">
        <v>1487</v>
      </c>
      <c r="USA803" s="193" t="s">
        <v>1487</v>
      </c>
      <c r="USB803" s="193" t="s">
        <v>1487</v>
      </c>
      <c r="USC803" s="193" t="s">
        <v>1487</v>
      </c>
      <c r="USD803" s="193" t="s">
        <v>1487</v>
      </c>
      <c r="USE803" s="193" t="s">
        <v>1487</v>
      </c>
      <c r="USF803" s="193" t="s">
        <v>1487</v>
      </c>
      <c r="USG803" s="193" t="s">
        <v>1487</v>
      </c>
      <c r="USH803" s="193" t="s">
        <v>1487</v>
      </c>
      <c r="USI803" s="193" t="s">
        <v>1487</v>
      </c>
      <c r="USJ803" s="193" t="s">
        <v>1487</v>
      </c>
      <c r="USK803" s="193" t="s">
        <v>1487</v>
      </c>
      <c r="USL803" s="193" t="s">
        <v>1487</v>
      </c>
      <c r="USM803" s="193" t="s">
        <v>1487</v>
      </c>
      <c r="USN803" s="193" t="s">
        <v>1487</v>
      </c>
      <c r="USO803" s="193" t="s">
        <v>1487</v>
      </c>
      <c r="USP803" s="193" t="s">
        <v>1487</v>
      </c>
      <c r="USQ803" s="193" t="s">
        <v>1487</v>
      </c>
      <c r="USR803" s="193" t="s">
        <v>1487</v>
      </c>
      <c r="USS803" s="193" t="s">
        <v>1487</v>
      </c>
      <c r="UST803" s="193" t="s">
        <v>1487</v>
      </c>
      <c r="USU803" s="193" t="s">
        <v>1487</v>
      </c>
      <c r="USV803" s="193" t="s">
        <v>1487</v>
      </c>
      <c r="USW803" s="193" t="s">
        <v>1487</v>
      </c>
      <c r="USX803" s="193" t="s">
        <v>1487</v>
      </c>
      <c r="USY803" s="193" t="s">
        <v>1487</v>
      </c>
      <c r="USZ803" s="193" t="s">
        <v>1487</v>
      </c>
      <c r="UTA803" s="193" t="s">
        <v>1487</v>
      </c>
      <c r="UTB803" s="193" t="s">
        <v>1487</v>
      </c>
      <c r="UTC803" s="193" t="s">
        <v>1487</v>
      </c>
      <c r="UTD803" s="193" t="s">
        <v>1487</v>
      </c>
      <c r="UTE803" s="193" t="s">
        <v>1487</v>
      </c>
      <c r="UTF803" s="193" t="s">
        <v>1487</v>
      </c>
      <c r="UTG803" s="193" t="s">
        <v>1487</v>
      </c>
      <c r="UTH803" s="193" t="s">
        <v>1487</v>
      </c>
      <c r="UTI803" s="193" t="s">
        <v>1487</v>
      </c>
      <c r="UTJ803" s="193" t="s">
        <v>1487</v>
      </c>
      <c r="UTK803" s="193" t="s">
        <v>1487</v>
      </c>
      <c r="UTL803" s="193" t="s">
        <v>1487</v>
      </c>
      <c r="UTM803" s="193" t="s">
        <v>1487</v>
      </c>
      <c r="UTN803" s="193" t="s">
        <v>1487</v>
      </c>
      <c r="UTO803" s="193" t="s">
        <v>1487</v>
      </c>
      <c r="UTP803" s="193" t="s">
        <v>1487</v>
      </c>
      <c r="UTQ803" s="193" t="s">
        <v>1487</v>
      </c>
      <c r="UTR803" s="193" t="s">
        <v>1487</v>
      </c>
      <c r="UTS803" s="193" t="s">
        <v>1487</v>
      </c>
      <c r="UTT803" s="193" t="s">
        <v>1487</v>
      </c>
      <c r="UTU803" s="193" t="s">
        <v>1487</v>
      </c>
      <c r="UTV803" s="193" t="s">
        <v>1487</v>
      </c>
      <c r="UTW803" s="193" t="s">
        <v>1487</v>
      </c>
      <c r="UTX803" s="193" t="s">
        <v>1487</v>
      </c>
      <c r="UTY803" s="193" t="s">
        <v>1487</v>
      </c>
      <c r="UTZ803" s="193" t="s">
        <v>1487</v>
      </c>
      <c r="UUA803" s="193" t="s">
        <v>1487</v>
      </c>
      <c r="UUB803" s="193" t="s">
        <v>1487</v>
      </c>
      <c r="UUC803" s="193" t="s">
        <v>1487</v>
      </c>
      <c r="UUD803" s="193" t="s">
        <v>1487</v>
      </c>
      <c r="UUE803" s="193" t="s">
        <v>1487</v>
      </c>
      <c r="UUF803" s="193" t="s">
        <v>1487</v>
      </c>
      <c r="UUG803" s="193" t="s">
        <v>1487</v>
      </c>
      <c r="UUH803" s="193" t="s">
        <v>1487</v>
      </c>
      <c r="UUI803" s="193" t="s">
        <v>1487</v>
      </c>
      <c r="UUJ803" s="193" t="s">
        <v>1487</v>
      </c>
      <c r="UUK803" s="193" t="s">
        <v>1487</v>
      </c>
      <c r="UUL803" s="193" t="s">
        <v>1487</v>
      </c>
      <c r="UUM803" s="193" t="s">
        <v>1487</v>
      </c>
      <c r="UUN803" s="193" t="s">
        <v>1487</v>
      </c>
      <c r="UUO803" s="193" t="s">
        <v>1487</v>
      </c>
      <c r="UUP803" s="193" t="s">
        <v>1487</v>
      </c>
      <c r="UUQ803" s="193" t="s">
        <v>1487</v>
      </c>
      <c r="UUR803" s="193" t="s">
        <v>1487</v>
      </c>
      <c r="UUS803" s="193" t="s">
        <v>1487</v>
      </c>
      <c r="UUT803" s="193" t="s">
        <v>1487</v>
      </c>
      <c r="UUU803" s="193" t="s">
        <v>1487</v>
      </c>
      <c r="UUV803" s="193" t="s">
        <v>1487</v>
      </c>
      <c r="UUW803" s="193" t="s">
        <v>1487</v>
      </c>
      <c r="UUX803" s="193" t="s">
        <v>1487</v>
      </c>
      <c r="UUY803" s="193" t="s">
        <v>1487</v>
      </c>
      <c r="UUZ803" s="193" t="s">
        <v>1487</v>
      </c>
      <c r="UVA803" s="193" t="s">
        <v>1487</v>
      </c>
      <c r="UVB803" s="193" t="s">
        <v>1487</v>
      </c>
      <c r="UVC803" s="193" t="s">
        <v>1487</v>
      </c>
      <c r="UVD803" s="193" t="s">
        <v>1487</v>
      </c>
      <c r="UVE803" s="193" t="s">
        <v>1487</v>
      </c>
      <c r="UVF803" s="193" t="s">
        <v>1487</v>
      </c>
      <c r="UVG803" s="193" t="s">
        <v>1487</v>
      </c>
      <c r="UVH803" s="193" t="s">
        <v>1487</v>
      </c>
      <c r="UVI803" s="193" t="s">
        <v>1487</v>
      </c>
      <c r="UVJ803" s="193" t="s">
        <v>1487</v>
      </c>
      <c r="UVK803" s="193" t="s">
        <v>1487</v>
      </c>
      <c r="UVL803" s="193" t="s">
        <v>1487</v>
      </c>
      <c r="UVM803" s="193" t="s">
        <v>1487</v>
      </c>
      <c r="UVN803" s="193" t="s">
        <v>1487</v>
      </c>
      <c r="UVO803" s="193" t="s">
        <v>1487</v>
      </c>
      <c r="UVP803" s="193" t="s">
        <v>1487</v>
      </c>
      <c r="UVQ803" s="193" t="s">
        <v>1487</v>
      </c>
      <c r="UVR803" s="193" t="s">
        <v>1487</v>
      </c>
      <c r="UVS803" s="193" t="s">
        <v>1487</v>
      </c>
      <c r="UVT803" s="193" t="s">
        <v>1487</v>
      </c>
      <c r="UVU803" s="193" t="s">
        <v>1487</v>
      </c>
      <c r="UVV803" s="193" t="s">
        <v>1487</v>
      </c>
      <c r="UVW803" s="193" t="s">
        <v>1487</v>
      </c>
      <c r="UVX803" s="193" t="s">
        <v>1487</v>
      </c>
      <c r="UVY803" s="193" t="s">
        <v>1487</v>
      </c>
      <c r="UVZ803" s="193" t="s">
        <v>1487</v>
      </c>
      <c r="UWA803" s="193" t="s">
        <v>1487</v>
      </c>
      <c r="UWB803" s="193" t="s">
        <v>1487</v>
      </c>
      <c r="UWC803" s="193" t="s">
        <v>1487</v>
      </c>
      <c r="UWD803" s="193" t="s">
        <v>1487</v>
      </c>
      <c r="UWE803" s="193" t="s">
        <v>1487</v>
      </c>
      <c r="UWF803" s="193" t="s">
        <v>1487</v>
      </c>
      <c r="UWG803" s="193" t="s">
        <v>1487</v>
      </c>
      <c r="UWH803" s="193" t="s">
        <v>1487</v>
      </c>
      <c r="UWI803" s="193" t="s">
        <v>1487</v>
      </c>
      <c r="UWJ803" s="193" t="s">
        <v>1487</v>
      </c>
      <c r="UWK803" s="193" t="s">
        <v>1487</v>
      </c>
      <c r="UWL803" s="193" t="s">
        <v>1487</v>
      </c>
      <c r="UWM803" s="193" t="s">
        <v>1487</v>
      </c>
      <c r="UWN803" s="193" t="s">
        <v>1487</v>
      </c>
      <c r="UWO803" s="193" t="s">
        <v>1487</v>
      </c>
      <c r="UWP803" s="193" t="s">
        <v>1487</v>
      </c>
      <c r="UWQ803" s="193" t="s">
        <v>1487</v>
      </c>
      <c r="UWR803" s="193" t="s">
        <v>1487</v>
      </c>
      <c r="UWS803" s="193" t="s">
        <v>1487</v>
      </c>
      <c r="UWT803" s="193" t="s">
        <v>1487</v>
      </c>
      <c r="UWU803" s="193" t="s">
        <v>1487</v>
      </c>
      <c r="UWV803" s="193" t="s">
        <v>1487</v>
      </c>
      <c r="UWW803" s="193" t="s">
        <v>1487</v>
      </c>
      <c r="UWX803" s="193" t="s">
        <v>1487</v>
      </c>
      <c r="UWY803" s="193" t="s">
        <v>1487</v>
      </c>
      <c r="UWZ803" s="193" t="s">
        <v>1487</v>
      </c>
      <c r="UXA803" s="193" t="s">
        <v>1487</v>
      </c>
      <c r="UXB803" s="193" t="s">
        <v>1487</v>
      </c>
      <c r="UXC803" s="193" t="s">
        <v>1487</v>
      </c>
      <c r="UXD803" s="193" t="s">
        <v>1487</v>
      </c>
      <c r="UXE803" s="193" t="s">
        <v>1487</v>
      </c>
      <c r="UXF803" s="193" t="s">
        <v>1487</v>
      </c>
      <c r="UXG803" s="193" t="s">
        <v>1487</v>
      </c>
      <c r="UXH803" s="193" t="s">
        <v>1487</v>
      </c>
      <c r="UXI803" s="193" t="s">
        <v>1487</v>
      </c>
      <c r="UXJ803" s="193" t="s">
        <v>1487</v>
      </c>
      <c r="UXK803" s="193" t="s">
        <v>1487</v>
      </c>
      <c r="UXL803" s="193" t="s">
        <v>1487</v>
      </c>
      <c r="UXM803" s="193" t="s">
        <v>1487</v>
      </c>
      <c r="UXN803" s="193" t="s">
        <v>1487</v>
      </c>
      <c r="UXO803" s="193" t="s">
        <v>1487</v>
      </c>
      <c r="UXP803" s="193" t="s">
        <v>1487</v>
      </c>
      <c r="UXQ803" s="193" t="s">
        <v>1487</v>
      </c>
      <c r="UXR803" s="193" t="s">
        <v>1487</v>
      </c>
      <c r="UXS803" s="193" t="s">
        <v>1487</v>
      </c>
      <c r="UXT803" s="193" t="s">
        <v>1487</v>
      </c>
      <c r="UXU803" s="193" t="s">
        <v>1487</v>
      </c>
      <c r="UXV803" s="193" t="s">
        <v>1487</v>
      </c>
      <c r="UXW803" s="193" t="s">
        <v>1487</v>
      </c>
      <c r="UXX803" s="193" t="s">
        <v>1487</v>
      </c>
      <c r="UXY803" s="193" t="s">
        <v>1487</v>
      </c>
      <c r="UXZ803" s="193" t="s">
        <v>1487</v>
      </c>
      <c r="UYA803" s="193" t="s">
        <v>1487</v>
      </c>
      <c r="UYB803" s="193" t="s">
        <v>1487</v>
      </c>
      <c r="UYC803" s="193" t="s">
        <v>1487</v>
      </c>
      <c r="UYD803" s="193" t="s">
        <v>1487</v>
      </c>
      <c r="UYE803" s="193" t="s">
        <v>1487</v>
      </c>
      <c r="UYF803" s="193" t="s">
        <v>1487</v>
      </c>
      <c r="UYG803" s="193" t="s">
        <v>1487</v>
      </c>
      <c r="UYH803" s="193" t="s">
        <v>1487</v>
      </c>
      <c r="UYI803" s="193" t="s">
        <v>1487</v>
      </c>
      <c r="UYJ803" s="193" t="s">
        <v>1487</v>
      </c>
      <c r="UYK803" s="193" t="s">
        <v>1487</v>
      </c>
      <c r="UYL803" s="193" t="s">
        <v>1487</v>
      </c>
      <c r="UYM803" s="193" t="s">
        <v>1487</v>
      </c>
      <c r="UYN803" s="193" t="s">
        <v>1487</v>
      </c>
      <c r="UYO803" s="193" t="s">
        <v>1487</v>
      </c>
      <c r="UYP803" s="193" t="s">
        <v>1487</v>
      </c>
      <c r="UYQ803" s="193" t="s">
        <v>1487</v>
      </c>
      <c r="UYR803" s="193" t="s">
        <v>1487</v>
      </c>
      <c r="UYS803" s="193" t="s">
        <v>1487</v>
      </c>
      <c r="UYT803" s="193" t="s">
        <v>1487</v>
      </c>
      <c r="UYU803" s="193" t="s">
        <v>1487</v>
      </c>
      <c r="UYV803" s="193" t="s">
        <v>1487</v>
      </c>
      <c r="UYW803" s="193" t="s">
        <v>1487</v>
      </c>
      <c r="UYX803" s="193" t="s">
        <v>1487</v>
      </c>
      <c r="UYY803" s="193" t="s">
        <v>1487</v>
      </c>
      <c r="UYZ803" s="193" t="s">
        <v>1487</v>
      </c>
      <c r="UZA803" s="193" t="s">
        <v>1487</v>
      </c>
      <c r="UZB803" s="193" t="s">
        <v>1487</v>
      </c>
      <c r="UZC803" s="193" t="s">
        <v>1487</v>
      </c>
      <c r="UZD803" s="193" t="s">
        <v>1487</v>
      </c>
      <c r="UZE803" s="193" t="s">
        <v>1487</v>
      </c>
      <c r="UZF803" s="193" t="s">
        <v>1487</v>
      </c>
      <c r="UZG803" s="193" t="s">
        <v>1487</v>
      </c>
      <c r="UZH803" s="193" t="s">
        <v>1487</v>
      </c>
      <c r="UZI803" s="193" t="s">
        <v>1487</v>
      </c>
      <c r="UZJ803" s="193" t="s">
        <v>1487</v>
      </c>
      <c r="UZK803" s="193" t="s">
        <v>1487</v>
      </c>
      <c r="UZL803" s="193" t="s">
        <v>1487</v>
      </c>
      <c r="UZM803" s="193" t="s">
        <v>1487</v>
      </c>
      <c r="UZN803" s="193" t="s">
        <v>1487</v>
      </c>
      <c r="UZO803" s="193" t="s">
        <v>1487</v>
      </c>
      <c r="UZP803" s="193" t="s">
        <v>1487</v>
      </c>
      <c r="UZQ803" s="193" t="s">
        <v>1487</v>
      </c>
      <c r="UZR803" s="193" t="s">
        <v>1487</v>
      </c>
      <c r="UZS803" s="193" t="s">
        <v>1487</v>
      </c>
      <c r="UZT803" s="193" t="s">
        <v>1487</v>
      </c>
      <c r="UZU803" s="193" t="s">
        <v>1487</v>
      </c>
      <c r="UZV803" s="193" t="s">
        <v>1487</v>
      </c>
      <c r="UZW803" s="193" t="s">
        <v>1487</v>
      </c>
      <c r="UZX803" s="193" t="s">
        <v>1487</v>
      </c>
      <c r="UZY803" s="193" t="s">
        <v>1487</v>
      </c>
      <c r="UZZ803" s="193" t="s">
        <v>1487</v>
      </c>
      <c r="VAA803" s="193" t="s">
        <v>1487</v>
      </c>
      <c r="VAB803" s="193" t="s">
        <v>1487</v>
      </c>
      <c r="VAC803" s="193" t="s">
        <v>1487</v>
      </c>
      <c r="VAD803" s="193" t="s">
        <v>1487</v>
      </c>
      <c r="VAE803" s="193" t="s">
        <v>1487</v>
      </c>
      <c r="VAF803" s="193" t="s">
        <v>1487</v>
      </c>
      <c r="VAG803" s="193" t="s">
        <v>1487</v>
      </c>
      <c r="VAH803" s="193" t="s">
        <v>1487</v>
      </c>
      <c r="VAI803" s="193" t="s">
        <v>1487</v>
      </c>
      <c r="VAJ803" s="193" t="s">
        <v>1487</v>
      </c>
      <c r="VAK803" s="193" t="s">
        <v>1487</v>
      </c>
      <c r="VAL803" s="193" t="s">
        <v>1487</v>
      </c>
      <c r="VAM803" s="193" t="s">
        <v>1487</v>
      </c>
      <c r="VAN803" s="193" t="s">
        <v>1487</v>
      </c>
      <c r="VAO803" s="193" t="s">
        <v>1487</v>
      </c>
      <c r="VAP803" s="193" t="s">
        <v>1487</v>
      </c>
      <c r="VAQ803" s="193" t="s">
        <v>1487</v>
      </c>
      <c r="VAR803" s="193" t="s">
        <v>1487</v>
      </c>
      <c r="VAS803" s="193" t="s">
        <v>1487</v>
      </c>
      <c r="VAT803" s="193" t="s">
        <v>1487</v>
      </c>
      <c r="VAU803" s="193" t="s">
        <v>1487</v>
      </c>
      <c r="VAV803" s="193" t="s">
        <v>1487</v>
      </c>
      <c r="VAW803" s="193" t="s">
        <v>1487</v>
      </c>
      <c r="VAX803" s="193" t="s">
        <v>1487</v>
      </c>
      <c r="VAY803" s="193" t="s">
        <v>1487</v>
      </c>
      <c r="VAZ803" s="193" t="s">
        <v>1487</v>
      </c>
      <c r="VBA803" s="193" t="s">
        <v>1487</v>
      </c>
      <c r="VBB803" s="193" t="s">
        <v>1487</v>
      </c>
      <c r="VBC803" s="193" t="s">
        <v>1487</v>
      </c>
      <c r="VBD803" s="193" t="s">
        <v>1487</v>
      </c>
      <c r="VBE803" s="193" t="s">
        <v>1487</v>
      </c>
      <c r="VBF803" s="193" t="s">
        <v>1487</v>
      </c>
      <c r="VBG803" s="193" t="s">
        <v>1487</v>
      </c>
      <c r="VBH803" s="193" t="s">
        <v>1487</v>
      </c>
      <c r="VBI803" s="193" t="s">
        <v>1487</v>
      </c>
      <c r="VBJ803" s="193" t="s">
        <v>1487</v>
      </c>
      <c r="VBK803" s="193" t="s">
        <v>1487</v>
      </c>
      <c r="VBL803" s="193" t="s">
        <v>1487</v>
      </c>
      <c r="VBM803" s="193" t="s">
        <v>1487</v>
      </c>
      <c r="VBN803" s="193" t="s">
        <v>1487</v>
      </c>
      <c r="VBO803" s="193" t="s">
        <v>1487</v>
      </c>
      <c r="VBP803" s="193" t="s">
        <v>1487</v>
      </c>
      <c r="VBQ803" s="193" t="s">
        <v>1487</v>
      </c>
      <c r="VBR803" s="193" t="s">
        <v>1487</v>
      </c>
      <c r="VBS803" s="193" t="s">
        <v>1487</v>
      </c>
      <c r="VBT803" s="193" t="s">
        <v>1487</v>
      </c>
      <c r="VBU803" s="193" t="s">
        <v>1487</v>
      </c>
      <c r="VBV803" s="193" t="s">
        <v>1487</v>
      </c>
      <c r="VBW803" s="193" t="s">
        <v>1487</v>
      </c>
      <c r="VBX803" s="193" t="s">
        <v>1487</v>
      </c>
      <c r="VBY803" s="193" t="s">
        <v>1487</v>
      </c>
      <c r="VBZ803" s="193" t="s">
        <v>1487</v>
      </c>
      <c r="VCA803" s="193" t="s">
        <v>1487</v>
      </c>
      <c r="VCB803" s="193" t="s">
        <v>1487</v>
      </c>
      <c r="VCC803" s="193" t="s">
        <v>1487</v>
      </c>
      <c r="VCD803" s="193" t="s">
        <v>1487</v>
      </c>
      <c r="VCE803" s="193" t="s">
        <v>1487</v>
      </c>
      <c r="VCF803" s="193" t="s">
        <v>1487</v>
      </c>
      <c r="VCG803" s="193" t="s">
        <v>1487</v>
      </c>
      <c r="VCH803" s="193" t="s">
        <v>1487</v>
      </c>
      <c r="VCI803" s="193" t="s">
        <v>1487</v>
      </c>
      <c r="VCJ803" s="193" t="s">
        <v>1487</v>
      </c>
      <c r="VCK803" s="193" t="s">
        <v>1487</v>
      </c>
      <c r="VCL803" s="193" t="s">
        <v>1487</v>
      </c>
      <c r="VCM803" s="193" t="s">
        <v>1487</v>
      </c>
      <c r="VCN803" s="193" t="s">
        <v>1487</v>
      </c>
      <c r="VCO803" s="193" t="s">
        <v>1487</v>
      </c>
      <c r="VCP803" s="193" t="s">
        <v>1487</v>
      </c>
      <c r="VCQ803" s="193" t="s">
        <v>1487</v>
      </c>
      <c r="VCR803" s="193" t="s">
        <v>1487</v>
      </c>
      <c r="VCS803" s="193" t="s">
        <v>1487</v>
      </c>
      <c r="VCT803" s="193" t="s">
        <v>1487</v>
      </c>
      <c r="VCU803" s="193" t="s">
        <v>1487</v>
      </c>
      <c r="VCV803" s="193" t="s">
        <v>1487</v>
      </c>
      <c r="VCW803" s="193" t="s">
        <v>1487</v>
      </c>
      <c r="VCX803" s="193" t="s">
        <v>1487</v>
      </c>
      <c r="VCY803" s="193" t="s">
        <v>1487</v>
      </c>
      <c r="VCZ803" s="193" t="s">
        <v>1487</v>
      </c>
      <c r="VDA803" s="193" t="s">
        <v>1487</v>
      </c>
      <c r="VDB803" s="193" t="s">
        <v>1487</v>
      </c>
      <c r="VDC803" s="193" t="s">
        <v>1487</v>
      </c>
      <c r="VDD803" s="193" t="s">
        <v>1487</v>
      </c>
      <c r="VDE803" s="193" t="s">
        <v>1487</v>
      </c>
      <c r="VDF803" s="193" t="s">
        <v>1487</v>
      </c>
      <c r="VDG803" s="193" t="s">
        <v>1487</v>
      </c>
      <c r="VDH803" s="193" t="s">
        <v>1487</v>
      </c>
      <c r="VDI803" s="193" t="s">
        <v>1487</v>
      </c>
      <c r="VDJ803" s="193" t="s">
        <v>1487</v>
      </c>
      <c r="VDK803" s="193" t="s">
        <v>1487</v>
      </c>
      <c r="VDL803" s="193" t="s">
        <v>1487</v>
      </c>
      <c r="VDM803" s="193" t="s">
        <v>1487</v>
      </c>
      <c r="VDN803" s="193" t="s">
        <v>1487</v>
      </c>
      <c r="VDO803" s="193" t="s">
        <v>1487</v>
      </c>
      <c r="VDP803" s="193" t="s">
        <v>1487</v>
      </c>
      <c r="VDQ803" s="193" t="s">
        <v>1487</v>
      </c>
      <c r="VDR803" s="193" t="s">
        <v>1487</v>
      </c>
      <c r="VDS803" s="193" t="s">
        <v>1487</v>
      </c>
      <c r="VDT803" s="193" t="s">
        <v>1487</v>
      </c>
      <c r="VDU803" s="193" t="s">
        <v>1487</v>
      </c>
      <c r="VDV803" s="193" t="s">
        <v>1487</v>
      </c>
      <c r="VDW803" s="193" t="s">
        <v>1487</v>
      </c>
      <c r="VDX803" s="193" t="s">
        <v>1487</v>
      </c>
      <c r="VDY803" s="193" t="s">
        <v>1487</v>
      </c>
      <c r="VDZ803" s="193" t="s">
        <v>1487</v>
      </c>
      <c r="VEA803" s="193" t="s">
        <v>1487</v>
      </c>
      <c r="VEB803" s="193" t="s">
        <v>1487</v>
      </c>
      <c r="VEC803" s="193" t="s">
        <v>1487</v>
      </c>
      <c r="VED803" s="193" t="s">
        <v>1487</v>
      </c>
      <c r="VEE803" s="193" t="s">
        <v>1487</v>
      </c>
      <c r="VEF803" s="193" t="s">
        <v>1487</v>
      </c>
      <c r="VEG803" s="193" t="s">
        <v>1487</v>
      </c>
      <c r="VEH803" s="193" t="s">
        <v>1487</v>
      </c>
      <c r="VEI803" s="193" t="s">
        <v>1487</v>
      </c>
      <c r="VEJ803" s="193" t="s">
        <v>1487</v>
      </c>
      <c r="VEK803" s="193" t="s">
        <v>1487</v>
      </c>
      <c r="VEL803" s="193" t="s">
        <v>1487</v>
      </c>
      <c r="VEM803" s="193" t="s">
        <v>1487</v>
      </c>
      <c r="VEN803" s="193" t="s">
        <v>1487</v>
      </c>
      <c r="VEO803" s="193" t="s">
        <v>1487</v>
      </c>
      <c r="VEP803" s="193" t="s">
        <v>1487</v>
      </c>
      <c r="VEQ803" s="193" t="s">
        <v>1487</v>
      </c>
      <c r="VER803" s="193" t="s">
        <v>1487</v>
      </c>
      <c r="VES803" s="193" t="s">
        <v>1487</v>
      </c>
      <c r="VET803" s="193" t="s">
        <v>1487</v>
      </c>
      <c r="VEU803" s="193" t="s">
        <v>1487</v>
      </c>
      <c r="VEV803" s="193" t="s">
        <v>1487</v>
      </c>
      <c r="VEW803" s="193" t="s">
        <v>1487</v>
      </c>
      <c r="VEX803" s="193" t="s">
        <v>1487</v>
      </c>
      <c r="VEY803" s="193" t="s">
        <v>1487</v>
      </c>
      <c r="VEZ803" s="193" t="s">
        <v>1487</v>
      </c>
      <c r="VFA803" s="193" t="s">
        <v>1487</v>
      </c>
      <c r="VFB803" s="193" t="s">
        <v>1487</v>
      </c>
      <c r="VFC803" s="193" t="s">
        <v>1487</v>
      </c>
      <c r="VFD803" s="193" t="s">
        <v>1487</v>
      </c>
      <c r="VFE803" s="193" t="s">
        <v>1487</v>
      </c>
      <c r="VFF803" s="193" t="s">
        <v>1487</v>
      </c>
      <c r="VFG803" s="193" t="s">
        <v>1487</v>
      </c>
      <c r="VFH803" s="193" t="s">
        <v>1487</v>
      </c>
      <c r="VFI803" s="193" t="s">
        <v>1487</v>
      </c>
      <c r="VFJ803" s="193" t="s">
        <v>1487</v>
      </c>
      <c r="VFK803" s="193" t="s">
        <v>1487</v>
      </c>
      <c r="VFL803" s="193" t="s">
        <v>1487</v>
      </c>
      <c r="VFM803" s="193" t="s">
        <v>1487</v>
      </c>
      <c r="VFN803" s="193" t="s">
        <v>1487</v>
      </c>
      <c r="VFO803" s="193" t="s">
        <v>1487</v>
      </c>
      <c r="VFP803" s="193" t="s">
        <v>1487</v>
      </c>
      <c r="VFQ803" s="193" t="s">
        <v>1487</v>
      </c>
      <c r="VFR803" s="193" t="s">
        <v>1487</v>
      </c>
      <c r="VFS803" s="193" t="s">
        <v>1487</v>
      </c>
      <c r="VFT803" s="193" t="s">
        <v>1487</v>
      </c>
      <c r="VFU803" s="193" t="s">
        <v>1487</v>
      </c>
      <c r="VFV803" s="193" t="s">
        <v>1487</v>
      </c>
      <c r="VFW803" s="193" t="s">
        <v>1487</v>
      </c>
      <c r="VFX803" s="193" t="s">
        <v>1487</v>
      </c>
      <c r="VFY803" s="193" t="s">
        <v>1487</v>
      </c>
      <c r="VFZ803" s="193" t="s">
        <v>1487</v>
      </c>
      <c r="VGA803" s="193" t="s">
        <v>1487</v>
      </c>
      <c r="VGB803" s="193" t="s">
        <v>1487</v>
      </c>
      <c r="VGC803" s="193" t="s">
        <v>1487</v>
      </c>
      <c r="VGD803" s="193" t="s">
        <v>1487</v>
      </c>
      <c r="VGE803" s="193" t="s">
        <v>1487</v>
      </c>
      <c r="VGF803" s="193" t="s">
        <v>1487</v>
      </c>
      <c r="VGG803" s="193" t="s">
        <v>1487</v>
      </c>
      <c r="VGH803" s="193" t="s">
        <v>1487</v>
      </c>
      <c r="VGI803" s="193" t="s">
        <v>1487</v>
      </c>
      <c r="VGJ803" s="193" t="s">
        <v>1487</v>
      </c>
      <c r="VGK803" s="193" t="s">
        <v>1487</v>
      </c>
      <c r="VGL803" s="193" t="s">
        <v>1487</v>
      </c>
      <c r="VGM803" s="193" t="s">
        <v>1487</v>
      </c>
      <c r="VGN803" s="193" t="s">
        <v>1487</v>
      </c>
      <c r="VGO803" s="193" t="s">
        <v>1487</v>
      </c>
      <c r="VGP803" s="193" t="s">
        <v>1487</v>
      </c>
      <c r="VGQ803" s="193" t="s">
        <v>1487</v>
      </c>
      <c r="VGR803" s="193" t="s">
        <v>1487</v>
      </c>
      <c r="VGS803" s="193" t="s">
        <v>1487</v>
      </c>
      <c r="VGT803" s="193" t="s">
        <v>1487</v>
      </c>
      <c r="VGU803" s="193" t="s">
        <v>1487</v>
      </c>
      <c r="VGV803" s="193" t="s">
        <v>1487</v>
      </c>
      <c r="VGW803" s="193" t="s">
        <v>1487</v>
      </c>
      <c r="VGX803" s="193" t="s">
        <v>1487</v>
      </c>
      <c r="VGY803" s="193" t="s">
        <v>1487</v>
      </c>
      <c r="VGZ803" s="193" t="s">
        <v>1487</v>
      </c>
      <c r="VHA803" s="193" t="s">
        <v>1487</v>
      </c>
      <c r="VHB803" s="193" t="s">
        <v>1487</v>
      </c>
      <c r="VHC803" s="193" t="s">
        <v>1487</v>
      </c>
      <c r="VHD803" s="193" t="s">
        <v>1487</v>
      </c>
      <c r="VHE803" s="193" t="s">
        <v>1487</v>
      </c>
      <c r="VHF803" s="193" t="s">
        <v>1487</v>
      </c>
      <c r="VHG803" s="193" t="s">
        <v>1487</v>
      </c>
      <c r="VHH803" s="193" t="s">
        <v>1487</v>
      </c>
      <c r="VHI803" s="193" t="s">
        <v>1487</v>
      </c>
      <c r="VHJ803" s="193" t="s">
        <v>1487</v>
      </c>
      <c r="VHK803" s="193" t="s">
        <v>1487</v>
      </c>
      <c r="VHL803" s="193" t="s">
        <v>1487</v>
      </c>
      <c r="VHM803" s="193" t="s">
        <v>1487</v>
      </c>
      <c r="VHN803" s="193" t="s">
        <v>1487</v>
      </c>
      <c r="VHO803" s="193" t="s">
        <v>1487</v>
      </c>
      <c r="VHP803" s="193" t="s">
        <v>1487</v>
      </c>
      <c r="VHQ803" s="193" t="s">
        <v>1487</v>
      </c>
      <c r="VHR803" s="193" t="s">
        <v>1487</v>
      </c>
      <c r="VHS803" s="193" t="s">
        <v>1487</v>
      </c>
      <c r="VHT803" s="193" t="s">
        <v>1487</v>
      </c>
      <c r="VHU803" s="193" t="s">
        <v>1487</v>
      </c>
      <c r="VHV803" s="193" t="s">
        <v>1487</v>
      </c>
      <c r="VHW803" s="193" t="s">
        <v>1487</v>
      </c>
      <c r="VHX803" s="193" t="s">
        <v>1487</v>
      </c>
      <c r="VHY803" s="193" t="s">
        <v>1487</v>
      </c>
      <c r="VHZ803" s="193" t="s">
        <v>1487</v>
      </c>
      <c r="VIA803" s="193" t="s">
        <v>1487</v>
      </c>
      <c r="VIB803" s="193" t="s">
        <v>1487</v>
      </c>
      <c r="VIC803" s="193" t="s">
        <v>1487</v>
      </c>
      <c r="VID803" s="193" t="s">
        <v>1487</v>
      </c>
      <c r="VIE803" s="193" t="s">
        <v>1487</v>
      </c>
      <c r="VIF803" s="193" t="s">
        <v>1487</v>
      </c>
      <c r="VIG803" s="193" t="s">
        <v>1487</v>
      </c>
      <c r="VIH803" s="193" t="s">
        <v>1487</v>
      </c>
      <c r="VII803" s="193" t="s">
        <v>1487</v>
      </c>
      <c r="VIJ803" s="193" t="s">
        <v>1487</v>
      </c>
      <c r="VIK803" s="193" t="s">
        <v>1487</v>
      </c>
      <c r="VIL803" s="193" t="s">
        <v>1487</v>
      </c>
      <c r="VIM803" s="193" t="s">
        <v>1487</v>
      </c>
      <c r="VIN803" s="193" t="s">
        <v>1487</v>
      </c>
      <c r="VIO803" s="193" t="s">
        <v>1487</v>
      </c>
      <c r="VIP803" s="193" t="s">
        <v>1487</v>
      </c>
      <c r="VIQ803" s="193" t="s">
        <v>1487</v>
      </c>
      <c r="VIR803" s="193" t="s">
        <v>1487</v>
      </c>
      <c r="VIS803" s="193" t="s">
        <v>1487</v>
      </c>
      <c r="VIT803" s="193" t="s">
        <v>1487</v>
      </c>
      <c r="VIU803" s="193" t="s">
        <v>1487</v>
      </c>
      <c r="VIV803" s="193" t="s">
        <v>1487</v>
      </c>
      <c r="VIW803" s="193" t="s">
        <v>1487</v>
      </c>
      <c r="VIX803" s="193" t="s">
        <v>1487</v>
      </c>
      <c r="VIY803" s="193" t="s">
        <v>1487</v>
      </c>
      <c r="VIZ803" s="193" t="s">
        <v>1487</v>
      </c>
      <c r="VJA803" s="193" t="s">
        <v>1487</v>
      </c>
      <c r="VJB803" s="193" t="s">
        <v>1487</v>
      </c>
      <c r="VJC803" s="193" t="s">
        <v>1487</v>
      </c>
      <c r="VJD803" s="193" t="s">
        <v>1487</v>
      </c>
      <c r="VJE803" s="193" t="s">
        <v>1487</v>
      </c>
      <c r="VJF803" s="193" t="s">
        <v>1487</v>
      </c>
      <c r="VJG803" s="193" t="s">
        <v>1487</v>
      </c>
      <c r="VJH803" s="193" t="s">
        <v>1487</v>
      </c>
      <c r="VJI803" s="193" t="s">
        <v>1487</v>
      </c>
      <c r="VJJ803" s="193" t="s">
        <v>1487</v>
      </c>
      <c r="VJK803" s="193" t="s">
        <v>1487</v>
      </c>
      <c r="VJL803" s="193" t="s">
        <v>1487</v>
      </c>
      <c r="VJM803" s="193" t="s">
        <v>1487</v>
      </c>
      <c r="VJN803" s="193" t="s">
        <v>1487</v>
      </c>
      <c r="VJO803" s="193" t="s">
        <v>1487</v>
      </c>
      <c r="VJP803" s="193" t="s">
        <v>1487</v>
      </c>
      <c r="VJQ803" s="193" t="s">
        <v>1487</v>
      </c>
      <c r="VJR803" s="193" t="s">
        <v>1487</v>
      </c>
      <c r="VJS803" s="193" t="s">
        <v>1487</v>
      </c>
      <c r="VJT803" s="193" t="s">
        <v>1487</v>
      </c>
      <c r="VJU803" s="193" t="s">
        <v>1487</v>
      </c>
      <c r="VJV803" s="193" t="s">
        <v>1487</v>
      </c>
      <c r="VJW803" s="193" t="s">
        <v>1487</v>
      </c>
      <c r="VJX803" s="193" t="s">
        <v>1487</v>
      </c>
      <c r="VJY803" s="193" t="s">
        <v>1487</v>
      </c>
      <c r="VJZ803" s="193" t="s">
        <v>1487</v>
      </c>
      <c r="VKA803" s="193" t="s">
        <v>1487</v>
      </c>
      <c r="VKB803" s="193" t="s">
        <v>1487</v>
      </c>
      <c r="VKC803" s="193" t="s">
        <v>1487</v>
      </c>
      <c r="VKD803" s="193" t="s">
        <v>1487</v>
      </c>
      <c r="VKE803" s="193" t="s">
        <v>1487</v>
      </c>
      <c r="VKF803" s="193" t="s">
        <v>1487</v>
      </c>
      <c r="VKG803" s="193" t="s">
        <v>1487</v>
      </c>
      <c r="VKH803" s="193" t="s">
        <v>1487</v>
      </c>
      <c r="VKI803" s="193" t="s">
        <v>1487</v>
      </c>
      <c r="VKJ803" s="193" t="s">
        <v>1487</v>
      </c>
      <c r="VKK803" s="193" t="s">
        <v>1487</v>
      </c>
      <c r="VKL803" s="193" t="s">
        <v>1487</v>
      </c>
      <c r="VKM803" s="193" t="s">
        <v>1487</v>
      </c>
      <c r="VKN803" s="193" t="s">
        <v>1487</v>
      </c>
      <c r="VKO803" s="193" t="s">
        <v>1487</v>
      </c>
      <c r="VKP803" s="193" t="s">
        <v>1487</v>
      </c>
      <c r="VKQ803" s="193" t="s">
        <v>1487</v>
      </c>
      <c r="VKR803" s="193" t="s">
        <v>1487</v>
      </c>
      <c r="VKS803" s="193" t="s">
        <v>1487</v>
      </c>
      <c r="VKT803" s="193" t="s">
        <v>1487</v>
      </c>
      <c r="VKU803" s="193" t="s">
        <v>1487</v>
      </c>
      <c r="VKV803" s="193" t="s">
        <v>1487</v>
      </c>
      <c r="VKW803" s="193" t="s">
        <v>1487</v>
      </c>
      <c r="VKX803" s="193" t="s">
        <v>1487</v>
      </c>
      <c r="VKY803" s="193" t="s">
        <v>1487</v>
      </c>
      <c r="VKZ803" s="193" t="s">
        <v>1487</v>
      </c>
      <c r="VLA803" s="193" t="s">
        <v>1487</v>
      </c>
      <c r="VLB803" s="193" t="s">
        <v>1487</v>
      </c>
      <c r="VLC803" s="193" t="s">
        <v>1487</v>
      </c>
      <c r="VLD803" s="193" t="s">
        <v>1487</v>
      </c>
      <c r="VLE803" s="193" t="s">
        <v>1487</v>
      </c>
      <c r="VLF803" s="193" t="s">
        <v>1487</v>
      </c>
      <c r="VLG803" s="193" t="s">
        <v>1487</v>
      </c>
      <c r="VLH803" s="193" t="s">
        <v>1487</v>
      </c>
      <c r="VLI803" s="193" t="s">
        <v>1487</v>
      </c>
      <c r="VLJ803" s="193" t="s">
        <v>1487</v>
      </c>
      <c r="VLK803" s="193" t="s">
        <v>1487</v>
      </c>
      <c r="VLL803" s="193" t="s">
        <v>1487</v>
      </c>
      <c r="VLM803" s="193" t="s">
        <v>1487</v>
      </c>
      <c r="VLN803" s="193" t="s">
        <v>1487</v>
      </c>
      <c r="VLO803" s="193" t="s">
        <v>1487</v>
      </c>
      <c r="VLP803" s="193" t="s">
        <v>1487</v>
      </c>
      <c r="VLQ803" s="193" t="s">
        <v>1487</v>
      </c>
      <c r="VLR803" s="193" t="s">
        <v>1487</v>
      </c>
      <c r="VLS803" s="193" t="s">
        <v>1487</v>
      </c>
      <c r="VLT803" s="193" t="s">
        <v>1487</v>
      </c>
      <c r="VLU803" s="193" t="s">
        <v>1487</v>
      </c>
      <c r="VLV803" s="193" t="s">
        <v>1487</v>
      </c>
      <c r="VLW803" s="193" t="s">
        <v>1487</v>
      </c>
      <c r="VLX803" s="193" t="s">
        <v>1487</v>
      </c>
      <c r="VLY803" s="193" t="s">
        <v>1487</v>
      </c>
      <c r="VLZ803" s="193" t="s">
        <v>1487</v>
      </c>
      <c r="VMA803" s="193" t="s">
        <v>1487</v>
      </c>
      <c r="VMB803" s="193" t="s">
        <v>1487</v>
      </c>
      <c r="VMC803" s="193" t="s">
        <v>1487</v>
      </c>
      <c r="VMD803" s="193" t="s">
        <v>1487</v>
      </c>
      <c r="VME803" s="193" t="s">
        <v>1487</v>
      </c>
      <c r="VMF803" s="193" t="s">
        <v>1487</v>
      </c>
      <c r="VMG803" s="193" t="s">
        <v>1487</v>
      </c>
      <c r="VMH803" s="193" t="s">
        <v>1487</v>
      </c>
      <c r="VMI803" s="193" t="s">
        <v>1487</v>
      </c>
      <c r="VMJ803" s="193" t="s">
        <v>1487</v>
      </c>
      <c r="VMK803" s="193" t="s">
        <v>1487</v>
      </c>
      <c r="VML803" s="193" t="s">
        <v>1487</v>
      </c>
      <c r="VMM803" s="193" t="s">
        <v>1487</v>
      </c>
      <c r="VMN803" s="193" t="s">
        <v>1487</v>
      </c>
      <c r="VMO803" s="193" t="s">
        <v>1487</v>
      </c>
      <c r="VMP803" s="193" t="s">
        <v>1487</v>
      </c>
      <c r="VMQ803" s="193" t="s">
        <v>1487</v>
      </c>
      <c r="VMR803" s="193" t="s">
        <v>1487</v>
      </c>
      <c r="VMS803" s="193" t="s">
        <v>1487</v>
      </c>
      <c r="VMT803" s="193" t="s">
        <v>1487</v>
      </c>
      <c r="VMU803" s="193" t="s">
        <v>1487</v>
      </c>
      <c r="VMV803" s="193" t="s">
        <v>1487</v>
      </c>
      <c r="VMW803" s="193" t="s">
        <v>1487</v>
      </c>
      <c r="VMX803" s="193" t="s">
        <v>1487</v>
      </c>
      <c r="VMY803" s="193" t="s">
        <v>1487</v>
      </c>
      <c r="VMZ803" s="193" t="s">
        <v>1487</v>
      </c>
      <c r="VNA803" s="193" t="s">
        <v>1487</v>
      </c>
      <c r="VNB803" s="193" t="s">
        <v>1487</v>
      </c>
      <c r="VNC803" s="193" t="s">
        <v>1487</v>
      </c>
      <c r="VND803" s="193" t="s">
        <v>1487</v>
      </c>
      <c r="VNE803" s="193" t="s">
        <v>1487</v>
      </c>
      <c r="VNF803" s="193" t="s">
        <v>1487</v>
      </c>
      <c r="VNG803" s="193" t="s">
        <v>1487</v>
      </c>
      <c r="VNH803" s="193" t="s">
        <v>1487</v>
      </c>
      <c r="VNI803" s="193" t="s">
        <v>1487</v>
      </c>
      <c r="VNJ803" s="193" t="s">
        <v>1487</v>
      </c>
      <c r="VNK803" s="193" t="s">
        <v>1487</v>
      </c>
      <c r="VNL803" s="193" t="s">
        <v>1487</v>
      </c>
      <c r="VNM803" s="193" t="s">
        <v>1487</v>
      </c>
      <c r="VNN803" s="193" t="s">
        <v>1487</v>
      </c>
      <c r="VNO803" s="193" t="s">
        <v>1487</v>
      </c>
      <c r="VNP803" s="193" t="s">
        <v>1487</v>
      </c>
      <c r="VNQ803" s="193" t="s">
        <v>1487</v>
      </c>
      <c r="VNR803" s="193" t="s">
        <v>1487</v>
      </c>
      <c r="VNS803" s="193" t="s">
        <v>1487</v>
      </c>
      <c r="VNT803" s="193" t="s">
        <v>1487</v>
      </c>
      <c r="VNU803" s="193" t="s">
        <v>1487</v>
      </c>
      <c r="VNV803" s="193" t="s">
        <v>1487</v>
      </c>
      <c r="VNW803" s="193" t="s">
        <v>1487</v>
      </c>
      <c r="VNX803" s="193" t="s">
        <v>1487</v>
      </c>
      <c r="VNY803" s="193" t="s">
        <v>1487</v>
      </c>
      <c r="VNZ803" s="193" t="s">
        <v>1487</v>
      </c>
      <c r="VOA803" s="193" t="s">
        <v>1487</v>
      </c>
      <c r="VOB803" s="193" t="s">
        <v>1487</v>
      </c>
      <c r="VOC803" s="193" t="s">
        <v>1487</v>
      </c>
      <c r="VOD803" s="193" t="s">
        <v>1487</v>
      </c>
      <c r="VOE803" s="193" t="s">
        <v>1487</v>
      </c>
      <c r="VOF803" s="193" t="s">
        <v>1487</v>
      </c>
      <c r="VOG803" s="193" t="s">
        <v>1487</v>
      </c>
      <c r="VOH803" s="193" t="s">
        <v>1487</v>
      </c>
      <c r="VOI803" s="193" t="s">
        <v>1487</v>
      </c>
      <c r="VOJ803" s="193" t="s">
        <v>1487</v>
      </c>
      <c r="VOK803" s="193" t="s">
        <v>1487</v>
      </c>
      <c r="VOL803" s="193" t="s">
        <v>1487</v>
      </c>
      <c r="VOM803" s="193" t="s">
        <v>1487</v>
      </c>
      <c r="VON803" s="193" t="s">
        <v>1487</v>
      </c>
      <c r="VOO803" s="193" t="s">
        <v>1487</v>
      </c>
      <c r="VOP803" s="193" t="s">
        <v>1487</v>
      </c>
      <c r="VOQ803" s="193" t="s">
        <v>1487</v>
      </c>
      <c r="VOR803" s="193" t="s">
        <v>1487</v>
      </c>
      <c r="VOS803" s="193" t="s">
        <v>1487</v>
      </c>
      <c r="VOT803" s="193" t="s">
        <v>1487</v>
      </c>
      <c r="VOU803" s="193" t="s">
        <v>1487</v>
      </c>
      <c r="VOV803" s="193" t="s">
        <v>1487</v>
      </c>
      <c r="VOW803" s="193" t="s">
        <v>1487</v>
      </c>
      <c r="VOX803" s="193" t="s">
        <v>1487</v>
      </c>
      <c r="VOY803" s="193" t="s">
        <v>1487</v>
      </c>
      <c r="VOZ803" s="193" t="s">
        <v>1487</v>
      </c>
      <c r="VPA803" s="193" t="s">
        <v>1487</v>
      </c>
      <c r="VPB803" s="193" t="s">
        <v>1487</v>
      </c>
      <c r="VPC803" s="193" t="s">
        <v>1487</v>
      </c>
      <c r="VPD803" s="193" t="s">
        <v>1487</v>
      </c>
      <c r="VPE803" s="193" t="s">
        <v>1487</v>
      </c>
      <c r="VPF803" s="193" t="s">
        <v>1487</v>
      </c>
      <c r="VPG803" s="193" t="s">
        <v>1487</v>
      </c>
      <c r="VPH803" s="193" t="s">
        <v>1487</v>
      </c>
      <c r="VPI803" s="193" t="s">
        <v>1487</v>
      </c>
      <c r="VPJ803" s="193" t="s">
        <v>1487</v>
      </c>
      <c r="VPK803" s="193" t="s">
        <v>1487</v>
      </c>
      <c r="VPL803" s="193" t="s">
        <v>1487</v>
      </c>
      <c r="VPM803" s="193" t="s">
        <v>1487</v>
      </c>
      <c r="VPN803" s="193" t="s">
        <v>1487</v>
      </c>
      <c r="VPO803" s="193" t="s">
        <v>1487</v>
      </c>
      <c r="VPP803" s="193" t="s">
        <v>1487</v>
      </c>
      <c r="VPQ803" s="193" t="s">
        <v>1487</v>
      </c>
      <c r="VPR803" s="193" t="s">
        <v>1487</v>
      </c>
      <c r="VPS803" s="193" t="s">
        <v>1487</v>
      </c>
      <c r="VPT803" s="193" t="s">
        <v>1487</v>
      </c>
      <c r="VPU803" s="193" t="s">
        <v>1487</v>
      </c>
      <c r="VPV803" s="193" t="s">
        <v>1487</v>
      </c>
      <c r="VPW803" s="193" t="s">
        <v>1487</v>
      </c>
      <c r="VPX803" s="193" t="s">
        <v>1487</v>
      </c>
      <c r="VPY803" s="193" t="s">
        <v>1487</v>
      </c>
      <c r="VPZ803" s="193" t="s">
        <v>1487</v>
      </c>
      <c r="VQA803" s="193" t="s">
        <v>1487</v>
      </c>
      <c r="VQB803" s="193" t="s">
        <v>1487</v>
      </c>
      <c r="VQC803" s="193" t="s">
        <v>1487</v>
      </c>
      <c r="VQD803" s="193" t="s">
        <v>1487</v>
      </c>
      <c r="VQE803" s="193" t="s">
        <v>1487</v>
      </c>
      <c r="VQF803" s="193" t="s">
        <v>1487</v>
      </c>
      <c r="VQG803" s="193" t="s">
        <v>1487</v>
      </c>
      <c r="VQH803" s="193" t="s">
        <v>1487</v>
      </c>
      <c r="VQI803" s="193" t="s">
        <v>1487</v>
      </c>
      <c r="VQJ803" s="193" t="s">
        <v>1487</v>
      </c>
      <c r="VQK803" s="193" t="s">
        <v>1487</v>
      </c>
      <c r="VQL803" s="193" t="s">
        <v>1487</v>
      </c>
      <c r="VQM803" s="193" t="s">
        <v>1487</v>
      </c>
      <c r="VQN803" s="193" t="s">
        <v>1487</v>
      </c>
      <c r="VQO803" s="193" t="s">
        <v>1487</v>
      </c>
      <c r="VQP803" s="193" t="s">
        <v>1487</v>
      </c>
      <c r="VQQ803" s="193" t="s">
        <v>1487</v>
      </c>
      <c r="VQR803" s="193" t="s">
        <v>1487</v>
      </c>
      <c r="VQS803" s="193" t="s">
        <v>1487</v>
      </c>
      <c r="VQT803" s="193" t="s">
        <v>1487</v>
      </c>
      <c r="VQU803" s="193" t="s">
        <v>1487</v>
      </c>
      <c r="VQV803" s="193" t="s">
        <v>1487</v>
      </c>
      <c r="VQW803" s="193" t="s">
        <v>1487</v>
      </c>
      <c r="VQX803" s="193" t="s">
        <v>1487</v>
      </c>
      <c r="VQY803" s="193" t="s">
        <v>1487</v>
      </c>
      <c r="VQZ803" s="193" t="s">
        <v>1487</v>
      </c>
      <c r="VRA803" s="193" t="s">
        <v>1487</v>
      </c>
      <c r="VRB803" s="193" t="s">
        <v>1487</v>
      </c>
      <c r="VRC803" s="193" t="s">
        <v>1487</v>
      </c>
      <c r="VRD803" s="193" t="s">
        <v>1487</v>
      </c>
      <c r="VRE803" s="193" t="s">
        <v>1487</v>
      </c>
      <c r="VRF803" s="193" t="s">
        <v>1487</v>
      </c>
      <c r="VRG803" s="193" t="s">
        <v>1487</v>
      </c>
      <c r="VRH803" s="193" t="s">
        <v>1487</v>
      </c>
      <c r="VRI803" s="193" t="s">
        <v>1487</v>
      </c>
      <c r="VRJ803" s="193" t="s">
        <v>1487</v>
      </c>
      <c r="VRK803" s="193" t="s">
        <v>1487</v>
      </c>
      <c r="VRL803" s="193" t="s">
        <v>1487</v>
      </c>
      <c r="VRM803" s="193" t="s">
        <v>1487</v>
      </c>
      <c r="VRN803" s="193" t="s">
        <v>1487</v>
      </c>
      <c r="VRO803" s="193" t="s">
        <v>1487</v>
      </c>
      <c r="VRP803" s="193" t="s">
        <v>1487</v>
      </c>
      <c r="VRQ803" s="193" t="s">
        <v>1487</v>
      </c>
      <c r="VRR803" s="193" t="s">
        <v>1487</v>
      </c>
      <c r="VRS803" s="193" t="s">
        <v>1487</v>
      </c>
      <c r="VRT803" s="193" t="s">
        <v>1487</v>
      </c>
      <c r="VRU803" s="193" t="s">
        <v>1487</v>
      </c>
      <c r="VRV803" s="193" t="s">
        <v>1487</v>
      </c>
      <c r="VRW803" s="193" t="s">
        <v>1487</v>
      </c>
      <c r="VRX803" s="193" t="s">
        <v>1487</v>
      </c>
      <c r="VRY803" s="193" t="s">
        <v>1487</v>
      </c>
      <c r="VRZ803" s="193" t="s">
        <v>1487</v>
      </c>
      <c r="VSA803" s="193" t="s">
        <v>1487</v>
      </c>
      <c r="VSB803" s="193" t="s">
        <v>1487</v>
      </c>
      <c r="VSC803" s="193" t="s">
        <v>1487</v>
      </c>
      <c r="VSD803" s="193" t="s">
        <v>1487</v>
      </c>
      <c r="VSE803" s="193" t="s">
        <v>1487</v>
      </c>
      <c r="VSF803" s="193" t="s">
        <v>1487</v>
      </c>
      <c r="VSG803" s="193" t="s">
        <v>1487</v>
      </c>
      <c r="VSH803" s="193" t="s">
        <v>1487</v>
      </c>
      <c r="VSI803" s="193" t="s">
        <v>1487</v>
      </c>
      <c r="VSJ803" s="193" t="s">
        <v>1487</v>
      </c>
      <c r="VSK803" s="193" t="s">
        <v>1487</v>
      </c>
      <c r="VSL803" s="193" t="s">
        <v>1487</v>
      </c>
      <c r="VSM803" s="193" t="s">
        <v>1487</v>
      </c>
      <c r="VSN803" s="193" t="s">
        <v>1487</v>
      </c>
      <c r="VSO803" s="193" t="s">
        <v>1487</v>
      </c>
      <c r="VSP803" s="193" t="s">
        <v>1487</v>
      </c>
      <c r="VSQ803" s="193" t="s">
        <v>1487</v>
      </c>
      <c r="VSR803" s="193" t="s">
        <v>1487</v>
      </c>
      <c r="VSS803" s="193" t="s">
        <v>1487</v>
      </c>
      <c r="VST803" s="193" t="s">
        <v>1487</v>
      </c>
      <c r="VSU803" s="193" t="s">
        <v>1487</v>
      </c>
      <c r="VSV803" s="193" t="s">
        <v>1487</v>
      </c>
      <c r="VSW803" s="193" t="s">
        <v>1487</v>
      </c>
      <c r="VSX803" s="193" t="s">
        <v>1487</v>
      </c>
      <c r="VSY803" s="193" t="s">
        <v>1487</v>
      </c>
      <c r="VSZ803" s="193" t="s">
        <v>1487</v>
      </c>
      <c r="VTA803" s="193" t="s">
        <v>1487</v>
      </c>
      <c r="VTB803" s="193" t="s">
        <v>1487</v>
      </c>
      <c r="VTC803" s="193" t="s">
        <v>1487</v>
      </c>
      <c r="VTD803" s="193" t="s">
        <v>1487</v>
      </c>
      <c r="VTE803" s="193" t="s">
        <v>1487</v>
      </c>
      <c r="VTF803" s="193" t="s">
        <v>1487</v>
      </c>
      <c r="VTG803" s="193" t="s">
        <v>1487</v>
      </c>
      <c r="VTH803" s="193" t="s">
        <v>1487</v>
      </c>
      <c r="VTI803" s="193" t="s">
        <v>1487</v>
      </c>
      <c r="VTJ803" s="193" t="s">
        <v>1487</v>
      </c>
      <c r="VTK803" s="193" t="s">
        <v>1487</v>
      </c>
      <c r="VTL803" s="193" t="s">
        <v>1487</v>
      </c>
      <c r="VTM803" s="193" t="s">
        <v>1487</v>
      </c>
      <c r="VTN803" s="193" t="s">
        <v>1487</v>
      </c>
      <c r="VTO803" s="193" t="s">
        <v>1487</v>
      </c>
      <c r="VTP803" s="193" t="s">
        <v>1487</v>
      </c>
      <c r="VTQ803" s="193" t="s">
        <v>1487</v>
      </c>
      <c r="VTR803" s="193" t="s">
        <v>1487</v>
      </c>
      <c r="VTS803" s="193" t="s">
        <v>1487</v>
      </c>
      <c r="VTT803" s="193" t="s">
        <v>1487</v>
      </c>
      <c r="VTU803" s="193" t="s">
        <v>1487</v>
      </c>
      <c r="VTV803" s="193" t="s">
        <v>1487</v>
      </c>
      <c r="VTW803" s="193" t="s">
        <v>1487</v>
      </c>
      <c r="VTX803" s="193" t="s">
        <v>1487</v>
      </c>
      <c r="VTY803" s="193" t="s">
        <v>1487</v>
      </c>
      <c r="VTZ803" s="193" t="s">
        <v>1487</v>
      </c>
      <c r="VUA803" s="193" t="s">
        <v>1487</v>
      </c>
      <c r="VUB803" s="193" t="s">
        <v>1487</v>
      </c>
      <c r="VUC803" s="193" t="s">
        <v>1487</v>
      </c>
      <c r="VUD803" s="193" t="s">
        <v>1487</v>
      </c>
      <c r="VUE803" s="193" t="s">
        <v>1487</v>
      </c>
      <c r="VUF803" s="193" t="s">
        <v>1487</v>
      </c>
      <c r="VUG803" s="193" t="s">
        <v>1487</v>
      </c>
      <c r="VUH803" s="193" t="s">
        <v>1487</v>
      </c>
      <c r="VUI803" s="193" t="s">
        <v>1487</v>
      </c>
      <c r="VUJ803" s="193" t="s">
        <v>1487</v>
      </c>
      <c r="VUK803" s="193" t="s">
        <v>1487</v>
      </c>
      <c r="VUL803" s="193" t="s">
        <v>1487</v>
      </c>
      <c r="VUM803" s="193" t="s">
        <v>1487</v>
      </c>
      <c r="VUN803" s="193" t="s">
        <v>1487</v>
      </c>
      <c r="VUO803" s="193" t="s">
        <v>1487</v>
      </c>
      <c r="VUP803" s="193" t="s">
        <v>1487</v>
      </c>
      <c r="VUQ803" s="193" t="s">
        <v>1487</v>
      </c>
      <c r="VUR803" s="193" t="s">
        <v>1487</v>
      </c>
      <c r="VUS803" s="193" t="s">
        <v>1487</v>
      </c>
      <c r="VUT803" s="193" t="s">
        <v>1487</v>
      </c>
      <c r="VUU803" s="193" t="s">
        <v>1487</v>
      </c>
      <c r="VUV803" s="193" t="s">
        <v>1487</v>
      </c>
      <c r="VUW803" s="193" t="s">
        <v>1487</v>
      </c>
      <c r="VUX803" s="193" t="s">
        <v>1487</v>
      </c>
      <c r="VUY803" s="193" t="s">
        <v>1487</v>
      </c>
      <c r="VUZ803" s="193" t="s">
        <v>1487</v>
      </c>
      <c r="VVA803" s="193" t="s">
        <v>1487</v>
      </c>
      <c r="VVB803" s="193" t="s">
        <v>1487</v>
      </c>
      <c r="VVC803" s="193" t="s">
        <v>1487</v>
      </c>
      <c r="VVD803" s="193" t="s">
        <v>1487</v>
      </c>
      <c r="VVE803" s="193" t="s">
        <v>1487</v>
      </c>
      <c r="VVF803" s="193" t="s">
        <v>1487</v>
      </c>
      <c r="VVG803" s="193" t="s">
        <v>1487</v>
      </c>
      <c r="VVH803" s="193" t="s">
        <v>1487</v>
      </c>
      <c r="VVI803" s="193" t="s">
        <v>1487</v>
      </c>
      <c r="VVJ803" s="193" t="s">
        <v>1487</v>
      </c>
      <c r="VVK803" s="193" t="s">
        <v>1487</v>
      </c>
      <c r="VVL803" s="193" t="s">
        <v>1487</v>
      </c>
      <c r="VVM803" s="193" t="s">
        <v>1487</v>
      </c>
      <c r="VVN803" s="193" t="s">
        <v>1487</v>
      </c>
      <c r="VVO803" s="193" t="s">
        <v>1487</v>
      </c>
      <c r="VVP803" s="193" t="s">
        <v>1487</v>
      </c>
      <c r="VVQ803" s="193" t="s">
        <v>1487</v>
      </c>
      <c r="VVR803" s="193" t="s">
        <v>1487</v>
      </c>
      <c r="VVS803" s="193" t="s">
        <v>1487</v>
      </c>
      <c r="VVT803" s="193" t="s">
        <v>1487</v>
      </c>
      <c r="VVU803" s="193" t="s">
        <v>1487</v>
      </c>
      <c r="VVV803" s="193" t="s">
        <v>1487</v>
      </c>
      <c r="VVW803" s="193" t="s">
        <v>1487</v>
      </c>
      <c r="VVX803" s="193" t="s">
        <v>1487</v>
      </c>
      <c r="VVY803" s="193" t="s">
        <v>1487</v>
      </c>
      <c r="VVZ803" s="193" t="s">
        <v>1487</v>
      </c>
      <c r="VWA803" s="193" t="s">
        <v>1487</v>
      </c>
      <c r="VWB803" s="193" t="s">
        <v>1487</v>
      </c>
      <c r="VWC803" s="193" t="s">
        <v>1487</v>
      </c>
      <c r="VWD803" s="193" t="s">
        <v>1487</v>
      </c>
      <c r="VWE803" s="193" t="s">
        <v>1487</v>
      </c>
      <c r="VWF803" s="193" t="s">
        <v>1487</v>
      </c>
      <c r="VWG803" s="193" t="s">
        <v>1487</v>
      </c>
      <c r="VWH803" s="193" t="s">
        <v>1487</v>
      </c>
      <c r="VWI803" s="193" t="s">
        <v>1487</v>
      </c>
      <c r="VWJ803" s="193" t="s">
        <v>1487</v>
      </c>
      <c r="VWK803" s="193" t="s">
        <v>1487</v>
      </c>
      <c r="VWL803" s="193" t="s">
        <v>1487</v>
      </c>
      <c r="VWM803" s="193" t="s">
        <v>1487</v>
      </c>
      <c r="VWN803" s="193" t="s">
        <v>1487</v>
      </c>
      <c r="VWO803" s="193" t="s">
        <v>1487</v>
      </c>
      <c r="VWP803" s="193" t="s">
        <v>1487</v>
      </c>
      <c r="VWQ803" s="193" t="s">
        <v>1487</v>
      </c>
      <c r="VWR803" s="193" t="s">
        <v>1487</v>
      </c>
      <c r="VWS803" s="193" t="s">
        <v>1487</v>
      </c>
      <c r="VWT803" s="193" t="s">
        <v>1487</v>
      </c>
      <c r="VWU803" s="193" t="s">
        <v>1487</v>
      </c>
      <c r="VWV803" s="193" t="s">
        <v>1487</v>
      </c>
      <c r="VWW803" s="193" t="s">
        <v>1487</v>
      </c>
      <c r="VWX803" s="193" t="s">
        <v>1487</v>
      </c>
      <c r="VWY803" s="193" t="s">
        <v>1487</v>
      </c>
      <c r="VWZ803" s="193" t="s">
        <v>1487</v>
      </c>
      <c r="VXA803" s="193" t="s">
        <v>1487</v>
      </c>
      <c r="VXB803" s="193" t="s">
        <v>1487</v>
      </c>
      <c r="VXC803" s="193" t="s">
        <v>1487</v>
      </c>
      <c r="VXD803" s="193" t="s">
        <v>1487</v>
      </c>
      <c r="VXE803" s="193" t="s">
        <v>1487</v>
      </c>
      <c r="VXF803" s="193" t="s">
        <v>1487</v>
      </c>
      <c r="VXG803" s="193" t="s">
        <v>1487</v>
      </c>
      <c r="VXH803" s="193" t="s">
        <v>1487</v>
      </c>
      <c r="VXI803" s="193" t="s">
        <v>1487</v>
      </c>
      <c r="VXJ803" s="193" t="s">
        <v>1487</v>
      </c>
      <c r="VXK803" s="193" t="s">
        <v>1487</v>
      </c>
      <c r="VXL803" s="193" t="s">
        <v>1487</v>
      </c>
      <c r="VXM803" s="193" t="s">
        <v>1487</v>
      </c>
      <c r="VXN803" s="193" t="s">
        <v>1487</v>
      </c>
      <c r="VXO803" s="193" t="s">
        <v>1487</v>
      </c>
      <c r="VXP803" s="193" t="s">
        <v>1487</v>
      </c>
      <c r="VXQ803" s="193" t="s">
        <v>1487</v>
      </c>
      <c r="VXR803" s="193" t="s">
        <v>1487</v>
      </c>
      <c r="VXS803" s="193" t="s">
        <v>1487</v>
      </c>
      <c r="VXT803" s="193" t="s">
        <v>1487</v>
      </c>
      <c r="VXU803" s="193" t="s">
        <v>1487</v>
      </c>
      <c r="VXV803" s="193" t="s">
        <v>1487</v>
      </c>
      <c r="VXW803" s="193" t="s">
        <v>1487</v>
      </c>
      <c r="VXX803" s="193" t="s">
        <v>1487</v>
      </c>
      <c r="VXY803" s="193" t="s">
        <v>1487</v>
      </c>
      <c r="VXZ803" s="193" t="s">
        <v>1487</v>
      </c>
      <c r="VYA803" s="193" t="s">
        <v>1487</v>
      </c>
      <c r="VYB803" s="193" t="s">
        <v>1487</v>
      </c>
      <c r="VYC803" s="193" t="s">
        <v>1487</v>
      </c>
      <c r="VYD803" s="193" t="s">
        <v>1487</v>
      </c>
      <c r="VYE803" s="193" t="s">
        <v>1487</v>
      </c>
      <c r="VYF803" s="193" t="s">
        <v>1487</v>
      </c>
      <c r="VYG803" s="193" t="s">
        <v>1487</v>
      </c>
      <c r="VYH803" s="193" t="s">
        <v>1487</v>
      </c>
      <c r="VYI803" s="193" t="s">
        <v>1487</v>
      </c>
      <c r="VYJ803" s="193" t="s">
        <v>1487</v>
      </c>
      <c r="VYK803" s="193" t="s">
        <v>1487</v>
      </c>
      <c r="VYL803" s="193" t="s">
        <v>1487</v>
      </c>
      <c r="VYM803" s="193" t="s">
        <v>1487</v>
      </c>
      <c r="VYN803" s="193" t="s">
        <v>1487</v>
      </c>
      <c r="VYO803" s="193" t="s">
        <v>1487</v>
      </c>
      <c r="VYP803" s="193" t="s">
        <v>1487</v>
      </c>
      <c r="VYQ803" s="193" t="s">
        <v>1487</v>
      </c>
      <c r="VYR803" s="193" t="s">
        <v>1487</v>
      </c>
      <c r="VYS803" s="193" t="s">
        <v>1487</v>
      </c>
      <c r="VYT803" s="193" t="s">
        <v>1487</v>
      </c>
      <c r="VYU803" s="193" t="s">
        <v>1487</v>
      </c>
      <c r="VYV803" s="193" t="s">
        <v>1487</v>
      </c>
      <c r="VYW803" s="193" t="s">
        <v>1487</v>
      </c>
      <c r="VYX803" s="193" t="s">
        <v>1487</v>
      </c>
      <c r="VYY803" s="193" t="s">
        <v>1487</v>
      </c>
      <c r="VYZ803" s="193" t="s">
        <v>1487</v>
      </c>
      <c r="VZA803" s="193" t="s">
        <v>1487</v>
      </c>
      <c r="VZB803" s="193" t="s">
        <v>1487</v>
      </c>
      <c r="VZC803" s="193" t="s">
        <v>1487</v>
      </c>
      <c r="VZD803" s="193" t="s">
        <v>1487</v>
      </c>
      <c r="VZE803" s="193" t="s">
        <v>1487</v>
      </c>
      <c r="VZF803" s="193" t="s">
        <v>1487</v>
      </c>
      <c r="VZG803" s="193" t="s">
        <v>1487</v>
      </c>
      <c r="VZH803" s="193" t="s">
        <v>1487</v>
      </c>
      <c r="VZI803" s="193" t="s">
        <v>1487</v>
      </c>
      <c r="VZJ803" s="193" t="s">
        <v>1487</v>
      </c>
      <c r="VZK803" s="193" t="s">
        <v>1487</v>
      </c>
      <c r="VZL803" s="193" t="s">
        <v>1487</v>
      </c>
      <c r="VZM803" s="193" t="s">
        <v>1487</v>
      </c>
      <c r="VZN803" s="193" t="s">
        <v>1487</v>
      </c>
      <c r="VZO803" s="193" t="s">
        <v>1487</v>
      </c>
      <c r="VZP803" s="193" t="s">
        <v>1487</v>
      </c>
      <c r="VZQ803" s="193" t="s">
        <v>1487</v>
      </c>
      <c r="VZR803" s="193" t="s">
        <v>1487</v>
      </c>
      <c r="VZS803" s="193" t="s">
        <v>1487</v>
      </c>
      <c r="VZT803" s="193" t="s">
        <v>1487</v>
      </c>
      <c r="VZU803" s="193" t="s">
        <v>1487</v>
      </c>
      <c r="VZV803" s="193" t="s">
        <v>1487</v>
      </c>
      <c r="VZW803" s="193" t="s">
        <v>1487</v>
      </c>
      <c r="VZX803" s="193" t="s">
        <v>1487</v>
      </c>
      <c r="VZY803" s="193" t="s">
        <v>1487</v>
      </c>
      <c r="VZZ803" s="193" t="s">
        <v>1487</v>
      </c>
      <c r="WAA803" s="193" t="s">
        <v>1487</v>
      </c>
      <c r="WAB803" s="193" t="s">
        <v>1487</v>
      </c>
      <c r="WAC803" s="193" t="s">
        <v>1487</v>
      </c>
      <c r="WAD803" s="193" t="s">
        <v>1487</v>
      </c>
      <c r="WAE803" s="193" t="s">
        <v>1487</v>
      </c>
      <c r="WAF803" s="193" t="s">
        <v>1487</v>
      </c>
      <c r="WAG803" s="193" t="s">
        <v>1487</v>
      </c>
      <c r="WAH803" s="193" t="s">
        <v>1487</v>
      </c>
      <c r="WAI803" s="193" t="s">
        <v>1487</v>
      </c>
      <c r="WAJ803" s="193" t="s">
        <v>1487</v>
      </c>
      <c r="WAK803" s="193" t="s">
        <v>1487</v>
      </c>
      <c r="WAL803" s="193" t="s">
        <v>1487</v>
      </c>
      <c r="WAM803" s="193" t="s">
        <v>1487</v>
      </c>
      <c r="WAN803" s="193" t="s">
        <v>1487</v>
      </c>
      <c r="WAO803" s="193" t="s">
        <v>1487</v>
      </c>
      <c r="WAP803" s="193" t="s">
        <v>1487</v>
      </c>
      <c r="WAQ803" s="193" t="s">
        <v>1487</v>
      </c>
      <c r="WAR803" s="193" t="s">
        <v>1487</v>
      </c>
      <c r="WAS803" s="193" t="s">
        <v>1487</v>
      </c>
      <c r="WAT803" s="193" t="s">
        <v>1487</v>
      </c>
      <c r="WAU803" s="193" t="s">
        <v>1487</v>
      </c>
      <c r="WAV803" s="193" t="s">
        <v>1487</v>
      </c>
      <c r="WAW803" s="193" t="s">
        <v>1487</v>
      </c>
      <c r="WAX803" s="193" t="s">
        <v>1487</v>
      </c>
      <c r="WAY803" s="193" t="s">
        <v>1487</v>
      </c>
      <c r="WAZ803" s="193" t="s">
        <v>1487</v>
      </c>
      <c r="WBA803" s="193" t="s">
        <v>1487</v>
      </c>
      <c r="WBB803" s="193" t="s">
        <v>1487</v>
      </c>
      <c r="WBC803" s="193" t="s">
        <v>1487</v>
      </c>
      <c r="WBD803" s="193" t="s">
        <v>1487</v>
      </c>
      <c r="WBE803" s="193" t="s">
        <v>1487</v>
      </c>
      <c r="WBF803" s="193" t="s">
        <v>1487</v>
      </c>
      <c r="WBG803" s="193" t="s">
        <v>1487</v>
      </c>
      <c r="WBH803" s="193" t="s">
        <v>1487</v>
      </c>
      <c r="WBI803" s="193" t="s">
        <v>1487</v>
      </c>
      <c r="WBJ803" s="193" t="s">
        <v>1487</v>
      </c>
      <c r="WBK803" s="193" t="s">
        <v>1487</v>
      </c>
      <c r="WBL803" s="193" t="s">
        <v>1487</v>
      </c>
      <c r="WBM803" s="193" t="s">
        <v>1487</v>
      </c>
      <c r="WBN803" s="193" t="s">
        <v>1487</v>
      </c>
      <c r="WBO803" s="193" t="s">
        <v>1487</v>
      </c>
      <c r="WBP803" s="193" t="s">
        <v>1487</v>
      </c>
      <c r="WBQ803" s="193" t="s">
        <v>1487</v>
      </c>
      <c r="WBR803" s="193" t="s">
        <v>1487</v>
      </c>
      <c r="WBS803" s="193" t="s">
        <v>1487</v>
      </c>
      <c r="WBT803" s="193" t="s">
        <v>1487</v>
      </c>
      <c r="WBU803" s="193" t="s">
        <v>1487</v>
      </c>
      <c r="WBV803" s="193" t="s">
        <v>1487</v>
      </c>
      <c r="WBW803" s="193" t="s">
        <v>1487</v>
      </c>
      <c r="WBX803" s="193" t="s">
        <v>1487</v>
      </c>
      <c r="WBY803" s="193" t="s">
        <v>1487</v>
      </c>
      <c r="WBZ803" s="193" t="s">
        <v>1487</v>
      </c>
      <c r="WCA803" s="193" t="s">
        <v>1487</v>
      </c>
      <c r="WCB803" s="193" t="s">
        <v>1487</v>
      </c>
      <c r="WCC803" s="193" t="s">
        <v>1487</v>
      </c>
      <c r="WCD803" s="193" t="s">
        <v>1487</v>
      </c>
      <c r="WCE803" s="193" t="s">
        <v>1487</v>
      </c>
      <c r="WCF803" s="193" t="s">
        <v>1487</v>
      </c>
      <c r="WCG803" s="193" t="s">
        <v>1487</v>
      </c>
      <c r="WCH803" s="193" t="s">
        <v>1487</v>
      </c>
      <c r="WCI803" s="193" t="s">
        <v>1487</v>
      </c>
      <c r="WCJ803" s="193" t="s">
        <v>1487</v>
      </c>
      <c r="WCK803" s="193" t="s">
        <v>1487</v>
      </c>
      <c r="WCL803" s="193" t="s">
        <v>1487</v>
      </c>
      <c r="WCM803" s="193" t="s">
        <v>1487</v>
      </c>
      <c r="WCN803" s="193" t="s">
        <v>1487</v>
      </c>
      <c r="WCO803" s="193" t="s">
        <v>1487</v>
      </c>
      <c r="WCP803" s="193" t="s">
        <v>1487</v>
      </c>
      <c r="WCQ803" s="193" t="s">
        <v>1487</v>
      </c>
      <c r="WCR803" s="193" t="s">
        <v>1487</v>
      </c>
      <c r="WCS803" s="193" t="s">
        <v>1487</v>
      </c>
      <c r="WCT803" s="193" t="s">
        <v>1487</v>
      </c>
      <c r="WCU803" s="193" t="s">
        <v>1487</v>
      </c>
      <c r="WCV803" s="193" t="s">
        <v>1487</v>
      </c>
      <c r="WCW803" s="193" t="s">
        <v>1487</v>
      </c>
      <c r="WCX803" s="193" t="s">
        <v>1487</v>
      </c>
      <c r="WCY803" s="193" t="s">
        <v>1487</v>
      </c>
      <c r="WCZ803" s="193" t="s">
        <v>1487</v>
      </c>
      <c r="WDA803" s="193" t="s">
        <v>1487</v>
      </c>
      <c r="WDB803" s="193" t="s">
        <v>1487</v>
      </c>
      <c r="WDC803" s="193" t="s">
        <v>1487</v>
      </c>
      <c r="WDD803" s="193" t="s">
        <v>1487</v>
      </c>
      <c r="WDE803" s="193" t="s">
        <v>1487</v>
      </c>
      <c r="WDF803" s="193" t="s">
        <v>1487</v>
      </c>
      <c r="WDG803" s="193" t="s">
        <v>1487</v>
      </c>
      <c r="WDH803" s="193" t="s">
        <v>1487</v>
      </c>
      <c r="WDI803" s="193" t="s">
        <v>1487</v>
      </c>
      <c r="WDJ803" s="193" t="s">
        <v>1487</v>
      </c>
      <c r="WDK803" s="193" t="s">
        <v>1487</v>
      </c>
      <c r="WDL803" s="193" t="s">
        <v>1487</v>
      </c>
      <c r="WDM803" s="193" t="s">
        <v>1487</v>
      </c>
      <c r="WDN803" s="193" t="s">
        <v>1487</v>
      </c>
      <c r="WDO803" s="193" t="s">
        <v>1487</v>
      </c>
      <c r="WDP803" s="193" t="s">
        <v>1487</v>
      </c>
      <c r="WDQ803" s="193" t="s">
        <v>1487</v>
      </c>
      <c r="WDR803" s="193" t="s">
        <v>1487</v>
      </c>
      <c r="WDS803" s="193" t="s">
        <v>1487</v>
      </c>
      <c r="WDT803" s="193" t="s">
        <v>1487</v>
      </c>
      <c r="WDU803" s="193" t="s">
        <v>1487</v>
      </c>
      <c r="WDV803" s="193" t="s">
        <v>1487</v>
      </c>
      <c r="WDW803" s="193" t="s">
        <v>1487</v>
      </c>
      <c r="WDX803" s="193" t="s">
        <v>1487</v>
      </c>
      <c r="WDY803" s="193" t="s">
        <v>1487</v>
      </c>
      <c r="WDZ803" s="193" t="s">
        <v>1487</v>
      </c>
      <c r="WEA803" s="193" t="s">
        <v>1487</v>
      </c>
      <c r="WEB803" s="193" t="s">
        <v>1487</v>
      </c>
      <c r="WEC803" s="193" t="s">
        <v>1487</v>
      </c>
      <c r="WED803" s="193" t="s">
        <v>1487</v>
      </c>
      <c r="WEE803" s="193" t="s">
        <v>1487</v>
      </c>
      <c r="WEF803" s="193" t="s">
        <v>1487</v>
      </c>
      <c r="WEG803" s="193" t="s">
        <v>1487</v>
      </c>
      <c r="WEH803" s="193" t="s">
        <v>1487</v>
      </c>
      <c r="WEI803" s="193" t="s">
        <v>1487</v>
      </c>
      <c r="WEJ803" s="193" t="s">
        <v>1487</v>
      </c>
      <c r="WEK803" s="193" t="s">
        <v>1487</v>
      </c>
      <c r="WEL803" s="193" t="s">
        <v>1487</v>
      </c>
      <c r="WEM803" s="193" t="s">
        <v>1487</v>
      </c>
      <c r="WEN803" s="193" t="s">
        <v>1487</v>
      </c>
      <c r="WEO803" s="193" t="s">
        <v>1487</v>
      </c>
      <c r="WEP803" s="193" t="s">
        <v>1487</v>
      </c>
      <c r="WEQ803" s="193" t="s">
        <v>1487</v>
      </c>
      <c r="WER803" s="193" t="s">
        <v>1487</v>
      </c>
      <c r="WES803" s="193" t="s">
        <v>1487</v>
      </c>
      <c r="WET803" s="193" t="s">
        <v>1487</v>
      </c>
      <c r="WEU803" s="193" t="s">
        <v>1487</v>
      </c>
      <c r="WEV803" s="193" t="s">
        <v>1487</v>
      </c>
      <c r="WEW803" s="193" t="s">
        <v>1487</v>
      </c>
      <c r="WEX803" s="193" t="s">
        <v>1487</v>
      </c>
      <c r="WEY803" s="193" t="s">
        <v>1487</v>
      </c>
      <c r="WEZ803" s="193" t="s">
        <v>1487</v>
      </c>
      <c r="WFA803" s="193" t="s">
        <v>1487</v>
      </c>
      <c r="WFB803" s="193" t="s">
        <v>1487</v>
      </c>
      <c r="WFC803" s="193" t="s">
        <v>1487</v>
      </c>
      <c r="WFD803" s="193" t="s">
        <v>1487</v>
      </c>
      <c r="WFE803" s="193" t="s">
        <v>1487</v>
      </c>
      <c r="WFF803" s="193" t="s">
        <v>1487</v>
      </c>
      <c r="WFG803" s="193" t="s">
        <v>1487</v>
      </c>
      <c r="WFH803" s="193" t="s">
        <v>1487</v>
      </c>
      <c r="WFI803" s="193" t="s">
        <v>1487</v>
      </c>
      <c r="WFJ803" s="193" t="s">
        <v>1487</v>
      </c>
      <c r="WFK803" s="193" t="s">
        <v>1487</v>
      </c>
      <c r="WFL803" s="193" t="s">
        <v>1487</v>
      </c>
      <c r="WFM803" s="193" t="s">
        <v>1487</v>
      </c>
      <c r="WFN803" s="193" t="s">
        <v>1487</v>
      </c>
      <c r="WFO803" s="193" t="s">
        <v>1487</v>
      </c>
      <c r="WFP803" s="193" t="s">
        <v>1487</v>
      </c>
      <c r="WFQ803" s="193" t="s">
        <v>1487</v>
      </c>
      <c r="WFR803" s="193" t="s">
        <v>1487</v>
      </c>
      <c r="WFS803" s="193" t="s">
        <v>1487</v>
      </c>
      <c r="WFT803" s="193" t="s">
        <v>1487</v>
      </c>
      <c r="WFU803" s="193" t="s">
        <v>1487</v>
      </c>
      <c r="WFV803" s="193" t="s">
        <v>1487</v>
      </c>
      <c r="WFW803" s="193" t="s">
        <v>1487</v>
      </c>
      <c r="WFX803" s="193" t="s">
        <v>1487</v>
      </c>
      <c r="WFY803" s="193" t="s">
        <v>1487</v>
      </c>
      <c r="WFZ803" s="193" t="s">
        <v>1487</v>
      </c>
      <c r="WGA803" s="193" t="s">
        <v>1487</v>
      </c>
      <c r="WGB803" s="193" t="s">
        <v>1487</v>
      </c>
      <c r="WGC803" s="193" t="s">
        <v>1487</v>
      </c>
      <c r="WGD803" s="193" t="s">
        <v>1487</v>
      </c>
      <c r="WGE803" s="193" t="s">
        <v>1487</v>
      </c>
      <c r="WGF803" s="193" t="s">
        <v>1487</v>
      </c>
      <c r="WGG803" s="193" t="s">
        <v>1487</v>
      </c>
      <c r="WGH803" s="193" t="s">
        <v>1487</v>
      </c>
      <c r="WGI803" s="193" t="s">
        <v>1487</v>
      </c>
      <c r="WGJ803" s="193" t="s">
        <v>1487</v>
      </c>
      <c r="WGK803" s="193" t="s">
        <v>1487</v>
      </c>
      <c r="WGL803" s="193" t="s">
        <v>1487</v>
      </c>
      <c r="WGM803" s="193" t="s">
        <v>1487</v>
      </c>
      <c r="WGN803" s="193" t="s">
        <v>1487</v>
      </c>
      <c r="WGO803" s="193" t="s">
        <v>1487</v>
      </c>
      <c r="WGP803" s="193" t="s">
        <v>1487</v>
      </c>
      <c r="WGQ803" s="193" t="s">
        <v>1487</v>
      </c>
      <c r="WGR803" s="193" t="s">
        <v>1487</v>
      </c>
      <c r="WGS803" s="193" t="s">
        <v>1487</v>
      </c>
      <c r="WGT803" s="193" t="s">
        <v>1487</v>
      </c>
      <c r="WGU803" s="193" t="s">
        <v>1487</v>
      </c>
      <c r="WGV803" s="193" t="s">
        <v>1487</v>
      </c>
      <c r="WGW803" s="193" t="s">
        <v>1487</v>
      </c>
      <c r="WGX803" s="193" t="s">
        <v>1487</v>
      </c>
      <c r="WGY803" s="193" t="s">
        <v>1487</v>
      </c>
      <c r="WGZ803" s="193" t="s">
        <v>1487</v>
      </c>
      <c r="WHA803" s="193" t="s">
        <v>1487</v>
      </c>
      <c r="WHB803" s="193" t="s">
        <v>1487</v>
      </c>
      <c r="WHC803" s="193" t="s">
        <v>1487</v>
      </c>
      <c r="WHD803" s="193" t="s">
        <v>1487</v>
      </c>
      <c r="WHE803" s="193" t="s">
        <v>1487</v>
      </c>
      <c r="WHF803" s="193" t="s">
        <v>1487</v>
      </c>
      <c r="WHG803" s="193" t="s">
        <v>1487</v>
      </c>
      <c r="WHH803" s="193" t="s">
        <v>1487</v>
      </c>
      <c r="WHI803" s="193" t="s">
        <v>1487</v>
      </c>
      <c r="WHJ803" s="193" t="s">
        <v>1487</v>
      </c>
      <c r="WHK803" s="193" t="s">
        <v>1487</v>
      </c>
      <c r="WHL803" s="193" t="s">
        <v>1487</v>
      </c>
      <c r="WHM803" s="193" t="s">
        <v>1487</v>
      </c>
      <c r="WHN803" s="193" t="s">
        <v>1487</v>
      </c>
      <c r="WHO803" s="193" t="s">
        <v>1487</v>
      </c>
      <c r="WHP803" s="193" t="s">
        <v>1487</v>
      </c>
      <c r="WHQ803" s="193" t="s">
        <v>1487</v>
      </c>
      <c r="WHR803" s="193" t="s">
        <v>1487</v>
      </c>
      <c r="WHS803" s="193" t="s">
        <v>1487</v>
      </c>
      <c r="WHT803" s="193" t="s">
        <v>1487</v>
      </c>
      <c r="WHU803" s="193" t="s">
        <v>1487</v>
      </c>
      <c r="WHV803" s="193" t="s">
        <v>1487</v>
      </c>
      <c r="WHW803" s="193" t="s">
        <v>1487</v>
      </c>
      <c r="WHX803" s="193" t="s">
        <v>1487</v>
      </c>
      <c r="WHY803" s="193" t="s">
        <v>1487</v>
      </c>
      <c r="WHZ803" s="193" t="s">
        <v>1487</v>
      </c>
      <c r="WIA803" s="193" t="s">
        <v>1487</v>
      </c>
      <c r="WIB803" s="193" t="s">
        <v>1487</v>
      </c>
      <c r="WIC803" s="193" t="s">
        <v>1487</v>
      </c>
      <c r="WID803" s="193" t="s">
        <v>1487</v>
      </c>
      <c r="WIE803" s="193" t="s">
        <v>1487</v>
      </c>
      <c r="WIF803" s="193" t="s">
        <v>1487</v>
      </c>
      <c r="WIG803" s="193" t="s">
        <v>1487</v>
      </c>
      <c r="WIH803" s="193" t="s">
        <v>1487</v>
      </c>
      <c r="WII803" s="193" t="s">
        <v>1487</v>
      </c>
      <c r="WIJ803" s="193" t="s">
        <v>1487</v>
      </c>
      <c r="WIK803" s="193" t="s">
        <v>1487</v>
      </c>
      <c r="WIL803" s="193" t="s">
        <v>1487</v>
      </c>
      <c r="WIM803" s="193" t="s">
        <v>1487</v>
      </c>
      <c r="WIN803" s="193" t="s">
        <v>1487</v>
      </c>
      <c r="WIO803" s="193" t="s">
        <v>1487</v>
      </c>
      <c r="WIP803" s="193" t="s">
        <v>1487</v>
      </c>
      <c r="WIQ803" s="193" t="s">
        <v>1487</v>
      </c>
      <c r="WIR803" s="193" t="s">
        <v>1487</v>
      </c>
      <c r="WIS803" s="193" t="s">
        <v>1487</v>
      </c>
      <c r="WIT803" s="193" t="s">
        <v>1487</v>
      </c>
      <c r="WIU803" s="193" t="s">
        <v>1487</v>
      </c>
      <c r="WIV803" s="193" t="s">
        <v>1487</v>
      </c>
      <c r="WIW803" s="193" t="s">
        <v>1487</v>
      </c>
      <c r="WIX803" s="193" t="s">
        <v>1487</v>
      </c>
      <c r="WIY803" s="193" t="s">
        <v>1487</v>
      </c>
      <c r="WIZ803" s="193" t="s">
        <v>1487</v>
      </c>
      <c r="WJA803" s="193" t="s">
        <v>1487</v>
      </c>
      <c r="WJB803" s="193" t="s">
        <v>1487</v>
      </c>
      <c r="WJC803" s="193" t="s">
        <v>1487</v>
      </c>
      <c r="WJD803" s="193" t="s">
        <v>1487</v>
      </c>
      <c r="WJE803" s="193" t="s">
        <v>1487</v>
      </c>
      <c r="WJF803" s="193" t="s">
        <v>1487</v>
      </c>
      <c r="WJG803" s="193" t="s">
        <v>1487</v>
      </c>
      <c r="WJH803" s="193" t="s">
        <v>1487</v>
      </c>
      <c r="WJI803" s="193" t="s">
        <v>1487</v>
      </c>
      <c r="WJJ803" s="193" t="s">
        <v>1487</v>
      </c>
      <c r="WJK803" s="193" t="s">
        <v>1487</v>
      </c>
      <c r="WJL803" s="193" t="s">
        <v>1487</v>
      </c>
      <c r="WJM803" s="193" t="s">
        <v>1487</v>
      </c>
      <c r="WJN803" s="193" t="s">
        <v>1487</v>
      </c>
      <c r="WJO803" s="193" t="s">
        <v>1487</v>
      </c>
      <c r="WJP803" s="193" t="s">
        <v>1487</v>
      </c>
      <c r="WJQ803" s="193" t="s">
        <v>1487</v>
      </c>
      <c r="WJR803" s="193" t="s">
        <v>1487</v>
      </c>
      <c r="WJS803" s="193" t="s">
        <v>1487</v>
      </c>
      <c r="WJT803" s="193" t="s">
        <v>1487</v>
      </c>
      <c r="WJU803" s="193" t="s">
        <v>1487</v>
      </c>
      <c r="WJV803" s="193" t="s">
        <v>1487</v>
      </c>
      <c r="WJW803" s="193" t="s">
        <v>1487</v>
      </c>
      <c r="WJX803" s="193" t="s">
        <v>1487</v>
      </c>
      <c r="WJY803" s="193" t="s">
        <v>1487</v>
      </c>
      <c r="WJZ803" s="193" t="s">
        <v>1487</v>
      </c>
      <c r="WKA803" s="193" t="s">
        <v>1487</v>
      </c>
      <c r="WKB803" s="193" t="s">
        <v>1487</v>
      </c>
      <c r="WKC803" s="193" t="s">
        <v>1487</v>
      </c>
      <c r="WKD803" s="193" t="s">
        <v>1487</v>
      </c>
      <c r="WKE803" s="193" t="s">
        <v>1487</v>
      </c>
      <c r="WKF803" s="193" t="s">
        <v>1487</v>
      </c>
      <c r="WKG803" s="193" t="s">
        <v>1487</v>
      </c>
      <c r="WKH803" s="193" t="s">
        <v>1487</v>
      </c>
      <c r="WKI803" s="193" t="s">
        <v>1487</v>
      </c>
      <c r="WKJ803" s="193" t="s">
        <v>1487</v>
      </c>
      <c r="WKK803" s="193" t="s">
        <v>1487</v>
      </c>
      <c r="WKL803" s="193" t="s">
        <v>1487</v>
      </c>
      <c r="WKM803" s="193" t="s">
        <v>1487</v>
      </c>
      <c r="WKN803" s="193" t="s">
        <v>1487</v>
      </c>
      <c r="WKO803" s="193" t="s">
        <v>1487</v>
      </c>
      <c r="WKP803" s="193" t="s">
        <v>1487</v>
      </c>
      <c r="WKQ803" s="193" t="s">
        <v>1487</v>
      </c>
      <c r="WKR803" s="193" t="s">
        <v>1487</v>
      </c>
      <c r="WKS803" s="193" t="s">
        <v>1487</v>
      </c>
      <c r="WKT803" s="193" t="s">
        <v>1487</v>
      </c>
      <c r="WKU803" s="193" t="s">
        <v>1487</v>
      </c>
      <c r="WKV803" s="193" t="s">
        <v>1487</v>
      </c>
      <c r="WKW803" s="193" t="s">
        <v>1487</v>
      </c>
      <c r="WKX803" s="193" t="s">
        <v>1487</v>
      </c>
      <c r="WKY803" s="193" t="s">
        <v>1487</v>
      </c>
      <c r="WKZ803" s="193" t="s">
        <v>1487</v>
      </c>
      <c r="WLA803" s="193" t="s">
        <v>1487</v>
      </c>
      <c r="WLB803" s="193" t="s">
        <v>1487</v>
      </c>
      <c r="WLC803" s="193" t="s">
        <v>1487</v>
      </c>
      <c r="WLD803" s="193" t="s">
        <v>1487</v>
      </c>
      <c r="WLE803" s="193" t="s">
        <v>1487</v>
      </c>
      <c r="WLF803" s="193" t="s">
        <v>1487</v>
      </c>
      <c r="WLG803" s="193" t="s">
        <v>1487</v>
      </c>
      <c r="WLH803" s="193" t="s">
        <v>1487</v>
      </c>
      <c r="WLI803" s="193" t="s">
        <v>1487</v>
      </c>
      <c r="WLJ803" s="193" t="s">
        <v>1487</v>
      </c>
      <c r="WLK803" s="193" t="s">
        <v>1487</v>
      </c>
      <c r="WLL803" s="193" t="s">
        <v>1487</v>
      </c>
      <c r="WLM803" s="193" t="s">
        <v>1487</v>
      </c>
      <c r="WLN803" s="193" t="s">
        <v>1487</v>
      </c>
      <c r="WLO803" s="193" t="s">
        <v>1487</v>
      </c>
      <c r="WLP803" s="193" t="s">
        <v>1487</v>
      </c>
      <c r="WLQ803" s="193" t="s">
        <v>1487</v>
      </c>
      <c r="WLR803" s="193" t="s">
        <v>1487</v>
      </c>
      <c r="WLS803" s="193" t="s">
        <v>1487</v>
      </c>
      <c r="WLT803" s="193" t="s">
        <v>1487</v>
      </c>
      <c r="WLU803" s="193" t="s">
        <v>1487</v>
      </c>
      <c r="WLV803" s="193" t="s">
        <v>1487</v>
      </c>
      <c r="WLW803" s="193" t="s">
        <v>1487</v>
      </c>
      <c r="WLX803" s="193" t="s">
        <v>1487</v>
      </c>
      <c r="WLY803" s="193" t="s">
        <v>1487</v>
      </c>
      <c r="WLZ803" s="193" t="s">
        <v>1487</v>
      </c>
      <c r="WMA803" s="193" t="s">
        <v>1487</v>
      </c>
      <c r="WMB803" s="193" t="s">
        <v>1487</v>
      </c>
      <c r="WMC803" s="193" t="s">
        <v>1487</v>
      </c>
      <c r="WMD803" s="193" t="s">
        <v>1487</v>
      </c>
      <c r="WME803" s="193" t="s">
        <v>1487</v>
      </c>
      <c r="WMF803" s="193" t="s">
        <v>1487</v>
      </c>
      <c r="WMG803" s="193" t="s">
        <v>1487</v>
      </c>
      <c r="WMH803" s="193" t="s">
        <v>1487</v>
      </c>
      <c r="WMI803" s="193" t="s">
        <v>1487</v>
      </c>
      <c r="WMJ803" s="193" t="s">
        <v>1487</v>
      </c>
      <c r="WMK803" s="193" t="s">
        <v>1487</v>
      </c>
      <c r="WML803" s="193" t="s">
        <v>1487</v>
      </c>
      <c r="WMM803" s="193" t="s">
        <v>1487</v>
      </c>
      <c r="WMN803" s="193" t="s">
        <v>1487</v>
      </c>
      <c r="WMO803" s="193" t="s">
        <v>1487</v>
      </c>
      <c r="WMP803" s="193" t="s">
        <v>1487</v>
      </c>
      <c r="WMQ803" s="193" t="s">
        <v>1487</v>
      </c>
      <c r="WMR803" s="193" t="s">
        <v>1487</v>
      </c>
      <c r="WMS803" s="193" t="s">
        <v>1487</v>
      </c>
      <c r="WMT803" s="193" t="s">
        <v>1487</v>
      </c>
      <c r="WMU803" s="193" t="s">
        <v>1487</v>
      </c>
      <c r="WMV803" s="193" t="s">
        <v>1487</v>
      </c>
      <c r="WMW803" s="193" t="s">
        <v>1487</v>
      </c>
      <c r="WMX803" s="193" t="s">
        <v>1487</v>
      </c>
      <c r="WMY803" s="193" t="s">
        <v>1487</v>
      </c>
      <c r="WMZ803" s="193" t="s">
        <v>1487</v>
      </c>
      <c r="WNA803" s="193" t="s">
        <v>1487</v>
      </c>
      <c r="WNB803" s="193" t="s">
        <v>1487</v>
      </c>
      <c r="WNC803" s="193" t="s">
        <v>1487</v>
      </c>
      <c r="WND803" s="193" t="s">
        <v>1487</v>
      </c>
      <c r="WNE803" s="193" t="s">
        <v>1487</v>
      </c>
      <c r="WNF803" s="193" t="s">
        <v>1487</v>
      </c>
      <c r="WNG803" s="193" t="s">
        <v>1487</v>
      </c>
      <c r="WNH803" s="193" t="s">
        <v>1487</v>
      </c>
      <c r="WNI803" s="193" t="s">
        <v>1487</v>
      </c>
      <c r="WNJ803" s="193" t="s">
        <v>1487</v>
      </c>
      <c r="WNK803" s="193" t="s">
        <v>1487</v>
      </c>
      <c r="WNL803" s="193" t="s">
        <v>1487</v>
      </c>
      <c r="WNM803" s="193" t="s">
        <v>1487</v>
      </c>
      <c r="WNN803" s="193" t="s">
        <v>1487</v>
      </c>
      <c r="WNO803" s="193" t="s">
        <v>1487</v>
      </c>
      <c r="WNP803" s="193" t="s">
        <v>1487</v>
      </c>
      <c r="WNQ803" s="193" t="s">
        <v>1487</v>
      </c>
      <c r="WNR803" s="193" t="s">
        <v>1487</v>
      </c>
      <c r="WNS803" s="193" t="s">
        <v>1487</v>
      </c>
      <c r="WNT803" s="193" t="s">
        <v>1487</v>
      </c>
      <c r="WNU803" s="193" t="s">
        <v>1487</v>
      </c>
      <c r="WNV803" s="193" t="s">
        <v>1487</v>
      </c>
      <c r="WNW803" s="193" t="s">
        <v>1487</v>
      </c>
      <c r="WNX803" s="193" t="s">
        <v>1487</v>
      </c>
      <c r="WNY803" s="193" t="s">
        <v>1487</v>
      </c>
      <c r="WNZ803" s="193" t="s">
        <v>1487</v>
      </c>
      <c r="WOA803" s="193" t="s">
        <v>1487</v>
      </c>
      <c r="WOB803" s="193" t="s">
        <v>1487</v>
      </c>
      <c r="WOC803" s="193" t="s">
        <v>1487</v>
      </c>
      <c r="WOD803" s="193" t="s">
        <v>1487</v>
      </c>
      <c r="WOE803" s="193" t="s">
        <v>1487</v>
      </c>
      <c r="WOF803" s="193" t="s">
        <v>1487</v>
      </c>
      <c r="WOG803" s="193" t="s">
        <v>1487</v>
      </c>
      <c r="WOH803" s="193" t="s">
        <v>1487</v>
      </c>
      <c r="WOI803" s="193" t="s">
        <v>1487</v>
      </c>
      <c r="WOJ803" s="193" t="s">
        <v>1487</v>
      </c>
      <c r="WOK803" s="193" t="s">
        <v>1487</v>
      </c>
      <c r="WOL803" s="193" t="s">
        <v>1487</v>
      </c>
      <c r="WOM803" s="193" t="s">
        <v>1487</v>
      </c>
      <c r="WON803" s="193" t="s">
        <v>1487</v>
      </c>
      <c r="WOO803" s="193" t="s">
        <v>1487</v>
      </c>
      <c r="WOP803" s="193" t="s">
        <v>1487</v>
      </c>
      <c r="WOQ803" s="193" t="s">
        <v>1487</v>
      </c>
      <c r="WOR803" s="193" t="s">
        <v>1487</v>
      </c>
      <c r="WOS803" s="193" t="s">
        <v>1487</v>
      </c>
      <c r="WOT803" s="193" t="s">
        <v>1487</v>
      </c>
      <c r="WOU803" s="193" t="s">
        <v>1487</v>
      </c>
      <c r="WOV803" s="193" t="s">
        <v>1487</v>
      </c>
      <c r="WOW803" s="193" t="s">
        <v>1487</v>
      </c>
      <c r="WOX803" s="193" t="s">
        <v>1487</v>
      </c>
      <c r="WOY803" s="193" t="s">
        <v>1487</v>
      </c>
      <c r="WOZ803" s="193" t="s">
        <v>1487</v>
      </c>
      <c r="WPA803" s="193" t="s">
        <v>1487</v>
      </c>
      <c r="WPB803" s="193" t="s">
        <v>1487</v>
      </c>
      <c r="WPC803" s="193" t="s">
        <v>1487</v>
      </c>
      <c r="WPD803" s="193" t="s">
        <v>1487</v>
      </c>
      <c r="WPE803" s="193" t="s">
        <v>1487</v>
      </c>
      <c r="WPF803" s="193" t="s">
        <v>1487</v>
      </c>
      <c r="WPG803" s="193" t="s">
        <v>1487</v>
      </c>
      <c r="WPH803" s="193" t="s">
        <v>1487</v>
      </c>
      <c r="WPI803" s="193" t="s">
        <v>1487</v>
      </c>
      <c r="WPJ803" s="193" t="s">
        <v>1487</v>
      </c>
      <c r="WPK803" s="193" t="s">
        <v>1487</v>
      </c>
      <c r="WPL803" s="193" t="s">
        <v>1487</v>
      </c>
      <c r="WPM803" s="193" t="s">
        <v>1487</v>
      </c>
      <c r="WPN803" s="193" t="s">
        <v>1487</v>
      </c>
      <c r="WPO803" s="193" t="s">
        <v>1487</v>
      </c>
      <c r="WPP803" s="193" t="s">
        <v>1487</v>
      </c>
      <c r="WPQ803" s="193" t="s">
        <v>1487</v>
      </c>
      <c r="WPR803" s="193" t="s">
        <v>1487</v>
      </c>
      <c r="WPS803" s="193" t="s">
        <v>1487</v>
      </c>
      <c r="WPT803" s="193" t="s">
        <v>1487</v>
      </c>
      <c r="WPU803" s="193" t="s">
        <v>1487</v>
      </c>
      <c r="WPV803" s="193" t="s">
        <v>1487</v>
      </c>
      <c r="WPW803" s="193" t="s">
        <v>1487</v>
      </c>
      <c r="WPX803" s="193" t="s">
        <v>1487</v>
      </c>
      <c r="WPY803" s="193" t="s">
        <v>1487</v>
      </c>
      <c r="WPZ803" s="193" t="s">
        <v>1487</v>
      </c>
      <c r="WQA803" s="193" t="s">
        <v>1487</v>
      </c>
      <c r="WQB803" s="193" t="s">
        <v>1487</v>
      </c>
      <c r="WQC803" s="193" t="s">
        <v>1487</v>
      </c>
      <c r="WQD803" s="193" t="s">
        <v>1487</v>
      </c>
      <c r="WQE803" s="193" t="s">
        <v>1487</v>
      </c>
      <c r="WQF803" s="193" t="s">
        <v>1487</v>
      </c>
      <c r="WQG803" s="193" t="s">
        <v>1487</v>
      </c>
      <c r="WQH803" s="193" t="s">
        <v>1487</v>
      </c>
      <c r="WQI803" s="193" t="s">
        <v>1487</v>
      </c>
      <c r="WQJ803" s="193" t="s">
        <v>1487</v>
      </c>
      <c r="WQK803" s="193" t="s">
        <v>1487</v>
      </c>
      <c r="WQL803" s="193" t="s">
        <v>1487</v>
      </c>
      <c r="WQM803" s="193" t="s">
        <v>1487</v>
      </c>
      <c r="WQN803" s="193" t="s">
        <v>1487</v>
      </c>
      <c r="WQO803" s="193" t="s">
        <v>1487</v>
      </c>
      <c r="WQP803" s="193" t="s">
        <v>1487</v>
      </c>
      <c r="WQQ803" s="193" t="s">
        <v>1487</v>
      </c>
      <c r="WQR803" s="193" t="s">
        <v>1487</v>
      </c>
      <c r="WQS803" s="193" t="s">
        <v>1487</v>
      </c>
      <c r="WQT803" s="193" t="s">
        <v>1487</v>
      </c>
      <c r="WQU803" s="193" t="s">
        <v>1487</v>
      </c>
      <c r="WQV803" s="193" t="s">
        <v>1487</v>
      </c>
      <c r="WQW803" s="193" t="s">
        <v>1487</v>
      </c>
      <c r="WQX803" s="193" t="s">
        <v>1487</v>
      </c>
      <c r="WQY803" s="193" t="s">
        <v>1487</v>
      </c>
      <c r="WQZ803" s="193" t="s">
        <v>1487</v>
      </c>
      <c r="WRA803" s="193" t="s">
        <v>1487</v>
      </c>
      <c r="WRB803" s="193" t="s">
        <v>1487</v>
      </c>
      <c r="WRC803" s="193" t="s">
        <v>1487</v>
      </c>
      <c r="WRD803" s="193" t="s">
        <v>1487</v>
      </c>
      <c r="WRE803" s="193" t="s">
        <v>1487</v>
      </c>
      <c r="WRF803" s="193" t="s">
        <v>1487</v>
      </c>
      <c r="WRG803" s="193" t="s">
        <v>1487</v>
      </c>
      <c r="WRH803" s="193" t="s">
        <v>1487</v>
      </c>
      <c r="WRI803" s="193" t="s">
        <v>1487</v>
      </c>
      <c r="WRJ803" s="193" t="s">
        <v>1487</v>
      </c>
      <c r="WRK803" s="193" t="s">
        <v>1487</v>
      </c>
      <c r="WRL803" s="193" t="s">
        <v>1487</v>
      </c>
      <c r="WRM803" s="193" t="s">
        <v>1487</v>
      </c>
      <c r="WRN803" s="193" t="s">
        <v>1487</v>
      </c>
      <c r="WRO803" s="193" t="s">
        <v>1487</v>
      </c>
      <c r="WRP803" s="193" t="s">
        <v>1487</v>
      </c>
      <c r="WRQ803" s="193" t="s">
        <v>1487</v>
      </c>
      <c r="WRR803" s="193" t="s">
        <v>1487</v>
      </c>
      <c r="WRS803" s="193" t="s">
        <v>1487</v>
      </c>
      <c r="WRT803" s="193" t="s">
        <v>1487</v>
      </c>
      <c r="WRU803" s="193" t="s">
        <v>1487</v>
      </c>
      <c r="WRV803" s="193" t="s">
        <v>1487</v>
      </c>
      <c r="WRW803" s="193" t="s">
        <v>1487</v>
      </c>
      <c r="WRX803" s="193" t="s">
        <v>1487</v>
      </c>
      <c r="WRY803" s="193" t="s">
        <v>1487</v>
      </c>
      <c r="WRZ803" s="193" t="s">
        <v>1487</v>
      </c>
      <c r="WSA803" s="193" t="s">
        <v>1487</v>
      </c>
      <c r="WSB803" s="193" t="s">
        <v>1487</v>
      </c>
      <c r="WSC803" s="193" t="s">
        <v>1487</v>
      </c>
      <c r="WSD803" s="193" t="s">
        <v>1487</v>
      </c>
      <c r="WSE803" s="193" t="s">
        <v>1487</v>
      </c>
      <c r="WSF803" s="193" t="s">
        <v>1487</v>
      </c>
      <c r="WSG803" s="193" t="s">
        <v>1487</v>
      </c>
      <c r="WSH803" s="193" t="s">
        <v>1487</v>
      </c>
      <c r="WSI803" s="193" t="s">
        <v>1487</v>
      </c>
      <c r="WSJ803" s="193" t="s">
        <v>1487</v>
      </c>
      <c r="WSK803" s="193" t="s">
        <v>1487</v>
      </c>
      <c r="WSL803" s="193" t="s">
        <v>1487</v>
      </c>
      <c r="WSM803" s="193" t="s">
        <v>1487</v>
      </c>
      <c r="WSN803" s="193" t="s">
        <v>1487</v>
      </c>
      <c r="WSO803" s="193" t="s">
        <v>1487</v>
      </c>
      <c r="WSP803" s="193" t="s">
        <v>1487</v>
      </c>
      <c r="WSQ803" s="193" t="s">
        <v>1487</v>
      </c>
      <c r="WSR803" s="193" t="s">
        <v>1487</v>
      </c>
      <c r="WSS803" s="193" t="s">
        <v>1487</v>
      </c>
      <c r="WST803" s="193" t="s">
        <v>1487</v>
      </c>
      <c r="WSU803" s="193" t="s">
        <v>1487</v>
      </c>
      <c r="WSV803" s="193" t="s">
        <v>1487</v>
      </c>
      <c r="WSW803" s="193" t="s">
        <v>1487</v>
      </c>
      <c r="WSX803" s="193" t="s">
        <v>1487</v>
      </c>
      <c r="WSY803" s="193" t="s">
        <v>1487</v>
      </c>
      <c r="WSZ803" s="193" t="s">
        <v>1487</v>
      </c>
      <c r="WTA803" s="193" t="s">
        <v>1487</v>
      </c>
      <c r="WTB803" s="193" t="s">
        <v>1487</v>
      </c>
      <c r="WTC803" s="193" t="s">
        <v>1487</v>
      </c>
      <c r="WTD803" s="193" t="s">
        <v>1487</v>
      </c>
      <c r="WTE803" s="193" t="s">
        <v>1487</v>
      </c>
      <c r="WTF803" s="193" t="s">
        <v>1487</v>
      </c>
      <c r="WTG803" s="193" t="s">
        <v>1487</v>
      </c>
      <c r="WTH803" s="193" t="s">
        <v>1487</v>
      </c>
      <c r="WTI803" s="193" t="s">
        <v>1487</v>
      </c>
      <c r="WTJ803" s="193" t="s">
        <v>1487</v>
      </c>
      <c r="WTK803" s="193" t="s">
        <v>1487</v>
      </c>
      <c r="WTL803" s="193" t="s">
        <v>1487</v>
      </c>
      <c r="WTM803" s="193" t="s">
        <v>1487</v>
      </c>
      <c r="WTN803" s="193" t="s">
        <v>1487</v>
      </c>
      <c r="WTO803" s="193" t="s">
        <v>1487</v>
      </c>
      <c r="WTP803" s="193" t="s">
        <v>1487</v>
      </c>
      <c r="WTQ803" s="193" t="s">
        <v>1487</v>
      </c>
      <c r="WTR803" s="193" t="s">
        <v>1487</v>
      </c>
      <c r="WTS803" s="193" t="s">
        <v>1487</v>
      </c>
      <c r="WTT803" s="193" t="s">
        <v>1487</v>
      </c>
      <c r="WTU803" s="193" t="s">
        <v>1487</v>
      </c>
      <c r="WTV803" s="193" t="s">
        <v>1487</v>
      </c>
      <c r="WTW803" s="193" t="s">
        <v>1487</v>
      </c>
      <c r="WTX803" s="193" t="s">
        <v>1487</v>
      </c>
      <c r="WTY803" s="193" t="s">
        <v>1487</v>
      </c>
      <c r="WTZ803" s="193" t="s">
        <v>1487</v>
      </c>
      <c r="WUA803" s="193" t="s">
        <v>1487</v>
      </c>
      <c r="WUB803" s="193" t="s">
        <v>1487</v>
      </c>
      <c r="WUC803" s="193" t="s">
        <v>1487</v>
      </c>
      <c r="WUD803" s="193" t="s">
        <v>1487</v>
      </c>
      <c r="WUE803" s="193" t="s">
        <v>1487</v>
      </c>
      <c r="WUF803" s="193" t="s">
        <v>1487</v>
      </c>
      <c r="WUG803" s="193" t="s">
        <v>1487</v>
      </c>
      <c r="WUH803" s="193" t="s">
        <v>1487</v>
      </c>
      <c r="WUI803" s="193" t="s">
        <v>1487</v>
      </c>
      <c r="WUJ803" s="193" t="s">
        <v>1487</v>
      </c>
      <c r="WUK803" s="193" t="s">
        <v>1487</v>
      </c>
      <c r="WUL803" s="193" t="s">
        <v>1487</v>
      </c>
      <c r="WUM803" s="193" t="s">
        <v>1487</v>
      </c>
      <c r="WUN803" s="193" t="s">
        <v>1487</v>
      </c>
      <c r="WUO803" s="193" t="s">
        <v>1487</v>
      </c>
      <c r="WUP803" s="193" t="s">
        <v>1487</v>
      </c>
      <c r="WUQ803" s="193" t="s">
        <v>1487</v>
      </c>
      <c r="WUR803" s="193" t="s">
        <v>1487</v>
      </c>
      <c r="WUS803" s="193" t="s">
        <v>1487</v>
      </c>
      <c r="WUT803" s="193" t="s">
        <v>1487</v>
      </c>
      <c r="WUU803" s="193" t="s">
        <v>1487</v>
      </c>
      <c r="WUV803" s="193" t="s">
        <v>1487</v>
      </c>
      <c r="WUW803" s="193" t="s">
        <v>1487</v>
      </c>
      <c r="WUX803" s="193" t="s">
        <v>1487</v>
      </c>
      <c r="WUY803" s="193" t="s">
        <v>1487</v>
      </c>
      <c r="WUZ803" s="193" t="s">
        <v>1487</v>
      </c>
      <c r="WVA803" s="193" t="s">
        <v>1487</v>
      </c>
      <c r="WVB803" s="193" t="s">
        <v>1487</v>
      </c>
      <c r="WVC803" s="193" t="s">
        <v>1487</v>
      </c>
      <c r="WVD803" s="193" t="s">
        <v>1487</v>
      </c>
      <c r="WVE803" s="193" t="s">
        <v>1487</v>
      </c>
      <c r="WVF803" s="193" t="s">
        <v>1487</v>
      </c>
      <c r="WVG803" s="193" t="s">
        <v>1487</v>
      </c>
      <c r="WVH803" s="193" t="s">
        <v>1487</v>
      </c>
      <c r="WVI803" s="193" t="s">
        <v>1487</v>
      </c>
      <c r="WVJ803" s="193" t="s">
        <v>1487</v>
      </c>
      <c r="WVK803" s="193" t="s">
        <v>1487</v>
      </c>
      <c r="WVL803" s="193" t="s">
        <v>1487</v>
      </c>
      <c r="WVM803" s="193" t="s">
        <v>1487</v>
      </c>
      <c r="WVN803" s="193" t="s">
        <v>1487</v>
      </c>
      <c r="WVO803" s="193" t="s">
        <v>1487</v>
      </c>
      <c r="WVP803" s="193" t="s">
        <v>1487</v>
      </c>
      <c r="WVQ803" s="193" t="s">
        <v>1487</v>
      </c>
      <c r="WVR803" s="193" t="s">
        <v>1487</v>
      </c>
      <c r="WVS803" s="193" t="s">
        <v>1487</v>
      </c>
      <c r="WVT803" s="193" t="s">
        <v>1487</v>
      </c>
      <c r="WVU803" s="193" t="s">
        <v>1487</v>
      </c>
      <c r="WVV803" s="193" t="s">
        <v>1487</v>
      </c>
      <c r="WVW803" s="193" t="s">
        <v>1487</v>
      </c>
      <c r="WVX803" s="193" t="s">
        <v>1487</v>
      </c>
      <c r="WVY803" s="193" t="s">
        <v>1487</v>
      </c>
      <c r="WVZ803" s="193" t="s">
        <v>1487</v>
      </c>
      <c r="WWA803" s="193" t="s">
        <v>1487</v>
      </c>
      <c r="WWB803" s="193" t="s">
        <v>1487</v>
      </c>
      <c r="WWC803" s="193" t="s">
        <v>1487</v>
      </c>
      <c r="WWD803" s="193" t="s">
        <v>1487</v>
      </c>
      <c r="WWE803" s="193" t="s">
        <v>1487</v>
      </c>
      <c r="WWF803" s="193" t="s">
        <v>1487</v>
      </c>
      <c r="WWG803" s="193" t="s">
        <v>1487</v>
      </c>
      <c r="WWH803" s="193" t="s">
        <v>1487</v>
      </c>
      <c r="WWI803" s="193" t="s">
        <v>1487</v>
      </c>
      <c r="WWJ803" s="193" t="s">
        <v>1487</v>
      </c>
      <c r="WWK803" s="193" t="s">
        <v>1487</v>
      </c>
      <c r="WWL803" s="193" t="s">
        <v>1487</v>
      </c>
      <c r="WWM803" s="193" t="s">
        <v>1487</v>
      </c>
      <c r="WWN803" s="193" t="s">
        <v>1487</v>
      </c>
      <c r="WWO803" s="193" t="s">
        <v>1487</v>
      </c>
      <c r="WWP803" s="193" t="s">
        <v>1487</v>
      </c>
      <c r="WWQ803" s="193" t="s">
        <v>1487</v>
      </c>
      <c r="WWR803" s="193" t="s">
        <v>1487</v>
      </c>
      <c r="WWS803" s="193" t="s">
        <v>1487</v>
      </c>
      <c r="WWT803" s="193" t="s">
        <v>1487</v>
      </c>
      <c r="WWU803" s="193" t="s">
        <v>1487</v>
      </c>
      <c r="WWV803" s="193" t="s">
        <v>1487</v>
      </c>
      <c r="WWW803" s="193" t="s">
        <v>1487</v>
      </c>
      <c r="WWX803" s="193" t="s">
        <v>1487</v>
      </c>
      <c r="WWY803" s="193" t="s">
        <v>1487</v>
      </c>
      <c r="WWZ803" s="193" t="s">
        <v>1487</v>
      </c>
      <c r="WXA803" s="193" t="s">
        <v>1487</v>
      </c>
      <c r="WXB803" s="193" t="s">
        <v>1487</v>
      </c>
      <c r="WXC803" s="193" t="s">
        <v>1487</v>
      </c>
      <c r="WXD803" s="193" t="s">
        <v>1487</v>
      </c>
      <c r="WXE803" s="193" t="s">
        <v>1487</v>
      </c>
      <c r="WXF803" s="193" t="s">
        <v>1487</v>
      </c>
      <c r="WXG803" s="193" t="s">
        <v>1487</v>
      </c>
      <c r="WXH803" s="193" t="s">
        <v>1487</v>
      </c>
      <c r="WXI803" s="193" t="s">
        <v>1487</v>
      </c>
      <c r="WXJ803" s="193" t="s">
        <v>1487</v>
      </c>
      <c r="WXK803" s="193" t="s">
        <v>1487</v>
      </c>
      <c r="WXL803" s="193" t="s">
        <v>1487</v>
      </c>
      <c r="WXM803" s="193" t="s">
        <v>1487</v>
      </c>
      <c r="WXN803" s="193" t="s">
        <v>1487</v>
      </c>
      <c r="WXO803" s="193" t="s">
        <v>1487</v>
      </c>
      <c r="WXP803" s="193" t="s">
        <v>1487</v>
      </c>
      <c r="WXQ803" s="193" t="s">
        <v>1487</v>
      </c>
      <c r="WXR803" s="193" t="s">
        <v>1487</v>
      </c>
      <c r="WXS803" s="193" t="s">
        <v>1487</v>
      </c>
      <c r="WXT803" s="193" t="s">
        <v>1487</v>
      </c>
      <c r="WXU803" s="193" t="s">
        <v>1487</v>
      </c>
      <c r="WXV803" s="193" t="s">
        <v>1487</v>
      </c>
      <c r="WXW803" s="193" t="s">
        <v>1487</v>
      </c>
      <c r="WXX803" s="193" t="s">
        <v>1487</v>
      </c>
      <c r="WXY803" s="193" t="s">
        <v>1487</v>
      </c>
      <c r="WXZ803" s="193" t="s">
        <v>1487</v>
      </c>
      <c r="WYA803" s="193" t="s">
        <v>1487</v>
      </c>
      <c r="WYB803" s="193" t="s">
        <v>1487</v>
      </c>
      <c r="WYC803" s="193" t="s">
        <v>1487</v>
      </c>
      <c r="WYD803" s="193" t="s">
        <v>1487</v>
      </c>
      <c r="WYE803" s="193" t="s">
        <v>1487</v>
      </c>
      <c r="WYF803" s="193" t="s">
        <v>1487</v>
      </c>
      <c r="WYG803" s="193" t="s">
        <v>1487</v>
      </c>
      <c r="WYH803" s="193" t="s">
        <v>1487</v>
      </c>
      <c r="WYI803" s="193" t="s">
        <v>1487</v>
      </c>
      <c r="WYJ803" s="193" t="s">
        <v>1487</v>
      </c>
      <c r="WYK803" s="193" t="s">
        <v>1487</v>
      </c>
      <c r="WYL803" s="193" t="s">
        <v>1487</v>
      </c>
      <c r="WYM803" s="193" t="s">
        <v>1487</v>
      </c>
      <c r="WYN803" s="193" t="s">
        <v>1487</v>
      </c>
      <c r="WYO803" s="193" t="s">
        <v>1487</v>
      </c>
      <c r="WYP803" s="193" t="s">
        <v>1487</v>
      </c>
      <c r="WYQ803" s="193" t="s">
        <v>1487</v>
      </c>
      <c r="WYR803" s="193" t="s">
        <v>1487</v>
      </c>
      <c r="WYS803" s="193" t="s">
        <v>1487</v>
      </c>
      <c r="WYT803" s="193" t="s">
        <v>1487</v>
      </c>
      <c r="WYU803" s="193" t="s">
        <v>1487</v>
      </c>
      <c r="WYV803" s="193" t="s">
        <v>1487</v>
      </c>
      <c r="WYW803" s="193" t="s">
        <v>1487</v>
      </c>
      <c r="WYX803" s="193" t="s">
        <v>1487</v>
      </c>
      <c r="WYY803" s="193" t="s">
        <v>1487</v>
      </c>
      <c r="WYZ803" s="193" t="s">
        <v>1487</v>
      </c>
      <c r="WZA803" s="193" t="s">
        <v>1487</v>
      </c>
      <c r="WZB803" s="193" t="s">
        <v>1487</v>
      </c>
      <c r="WZC803" s="193" t="s">
        <v>1487</v>
      </c>
      <c r="WZD803" s="193" t="s">
        <v>1487</v>
      </c>
      <c r="WZE803" s="193" t="s">
        <v>1487</v>
      </c>
      <c r="WZF803" s="193" t="s">
        <v>1487</v>
      </c>
      <c r="WZG803" s="193" t="s">
        <v>1487</v>
      </c>
      <c r="WZH803" s="193" t="s">
        <v>1487</v>
      </c>
      <c r="WZI803" s="193" t="s">
        <v>1487</v>
      </c>
      <c r="WZJ803" s="193" t="s">
        <v>1487</v>
      </c>
      <c r="WZK803" s="193" t="s">
        <v>1487</v>
      </c>
      <c r="WZL803" s="193" t="s">
        <v>1487</v>
      </c>
      <c r="WZM803" s="193" t="s">
        <v>1487</v>
      </c>
      <c r="WZN803" s="193" t="s">
        <v>1487</v>
      </c>
      <c r="WZO803" s="193" t="s">
        <v>1487</v>
      </c>
      <c r="WZP803" s="193" t="s">
        <v>1487</v>
      </c>
      <c r="WZQ803" s="193" t="s">
        <v>1487</v>
      </c>
      <c r="WZR803" s="193" t="s">
        <v>1487</v>
      </c>
      <c r="WZS803" s="193" t="s">
        <v>1487</v>
      </c>
      <c r="WZT803" s="193" t="s">
        <v>1487</v>
      </c>
      <c r="WZU803" s="193" t="s">
        <v>1487</v>
      </c>
      <c r="WZV803" s="193" t="s">
        <v>1487</v>
      </c>
      <c r="WZW803" s="193" t="s">
        <v>1487</v>
      </c>
      <c r="WZX803" s="193" t="s">
        <v>1487</v>
      </c>
      <c r="WZY803" s="193" t="s">
        <v>1487</v>
      </c>
      <c r="WZZ803" s="193" t="s">
        <v>1487</v>
      </c>
      <c r="XAA803" s="193" t="s">
        <v>1487</v>
      </c>
      <c r="XAB803" s="193" t="s">
        <v>1487</v>
      </c>
      <c r="XAC803" s="193" t="s">
        <v>1487</v>
      </c>
      <c r="XAD803" s="193" t="s">
        <v>1487</v>
      </c>
      <c r="XAE803" s="193" t="s">
        <v>1487</v>
      </c>
      <c r="XAF803" s="193" t="s">
        <v>1487</v>
      </c>
      <c r="XAG803" s="193" t="s">
        <v>1487</v>
      </c>
      <c r="XAH803" s="193" t="s">
        <v>1487</v>
      </c>
      <c r="XAI803" s="193" t="s">
        <v>1487</v>
      </c>
      <c r="XAJ803" s="193" t="s">
        <v>1487</v>
      </c>
      <c r="XAK803" s="193" t="s">
        <v>1487</v>
      </c>
      <c r="XAL803" s="193" t="s">
        <v>1487</v>
      </c>
      <c r="XAM803" s="193" t="s">
        <v>1487</v>
      </c>
      <c r="XAN803" s="193" t="s">
        <v>1487</v>
      </c>
      <c r="XAO803" s="193" t="s">
        <v>1487</v>
      </c>
      <c r="XAP803" s="193" t="s">
        <v>1487</v>
      </c>
      <c r="XAQ803" s="193" t="s">
        <v>1487</v>
      </c>
      <c r="XAR803" s="193" t="s">
        <v>1487</v>
      </c>
      <c r="XAS803" s="193" t="s">
        <v>1487</v>
      </c>
      <c r="XAT803" s="193" t="s">
        <v>1487</v>
      </c>
      <c r="XAU803" s="193" t="s">
        <v>1487</v>
      </c>
      <c r="XAV803" s="193" t="s">
        <v>1487</v>
      </c>
      <c r="XAW803" s="193" t="s">
        <v>1487</v>
      </c>
      <c r="XAX803" s="193" t="s">
        <v>1487</v>
      </c>
      <c r="XAY803" s="193" t="s">
        <v>1487</v>
      </c>
      <c r="XAZ803" s="193" t="s">
        <v>1487</v>
      </c>
      <c r="XBA803" s="193" t="s">
        <v>1487</v>
      </c>
      <c r="XBB803" s="193" t="s">
        <v>1487</v>
      </c>
      <c r="XBC803" s="193" t="s">
        <v>1487</v>
      </c>
      <c r="XBD803" s="193" t="s">
        <v>1487</v>
      </c>
      <c r="XBE803" s="193" t="s">
        <v>1487</v>
      </c>
      <c r="XBF803" s="193" t="s">
        <v>1487</v>
      </c>
      <c r="XBG803" s="193" t="s">
        <v>1487</v>
      </c>
      <c r="XBH803" s="193" t="s">
        <v>1487</v>
      </c>
      <c r="XBI803" s="193" t="s">
        <v>1487</v>
      </c>
      <c r="XBJ803" s="193" t="s">
        <v>1487</v>
      </c>
      <c r="XBK803" s="193" t="s">
        <v>1487</v>
      </c>
      <c r="XBL803" s="193" t="s">
        <v>1487</v>
      </c>
      <c r="XBM803" s="193" t="s">
        <v>1487</v>
      </c>
      <c r="XBN803" s="193" t="s">
        <v>1487</v>
      </c>
      <c r="XBO803" s="193" t="s">
        <v>1487</v>
      </c>
      <c r="XBP803" s="193" t="s">
        <v>1487</v>
      </c>
      <c r="XBQ803" s="193" t="s">
        <v>1487</v>
      </c>
      <c r="XBR803" s="193" t="s">
        <v>1487</v>
      </c>
      <c r="XBS803" s="193" t="s">
        <v>1487</v>
      </c>
      <c r="XBT803" s="193" t="s">
        <v>1487</v>
      </c>
      <c r="XBU803" s="193" t="s">
        <v>1487</v>
      </c>
      <c r="XBV803" s="193" t="s">
        <v>1487</v>
      </c>
      <c r="XBW803" s="193" t="s">
        <v>1487</v>
      </c>
      <c r="XBX803" s="193" t="s">
        <v>1487</v>
      </c>
      <c r="XBY803" s="193" t="s">
        <v>1487</v>
      </c>
      <c r="XBZ803" s="193" t="s">
        <v>1487</v>
      </c>
      <c r="XCA803" s="193" t="s">
        <v>1487</v>
      </c>
      <c r="XCB803" s="193" t="s">
        <v>1487</v>
      </c>
      <c r="XCC803" s="193" t="s">
        <v>1487</v>
      </c>
      <c r="XCD803" s="193" t="s">
        <v>1487</v>
      </c>
      <c r="XCE803" s="193" t="s">
        <v>1487</v>
      </c>
      <c r="XCF803" s="193" t="s">
        <v>1487</v>
      </c>
      <c r="XCG803" s="193" t="s">
        <v>1487</v>
      </c>
      <c r="XCH803" s="193" t="s">
        <v>1487</v>
      </c>
      <c r="XCI803" s="193" t="s">
        <v>1487</v>
      </c>
      <c r="XCJ803" s="193" t="s">
        <v>1487</v>
      </c>
      <c r="XCK803" s="193" t="s">
        <v>1487</v>
      </c>
      <c r="XCL803" s="193" t="s">
        <v>1487</v>
      </c>
      <c r="XCM803" s="193" t="s">
        <v>1487</v>
      </c>
      <c r="XCN803" s="193" t="s">
        <v>1487</v>
      </c>
      <c r="XCO803" s="193" t="s">
        <v>1487</v>
      </c>
      <c r="XCP803" s="193" t="s">
        <v>1487</v>
      </c>
      <c r="XCQ803" s="193" t="s">
        <v>1487</v>
      </c>
      <c r="XCR803" s="193" t="s">
        <v>1487</v>
      </c>
      <c r="XCS803" s="193" t="s">
        <v>1487</v>
      </c>
      <c r="XCT803" s="193" t="s">
        <v>1487</v>
      </c>
      <c r="XCU803" s="193" t="s">
        <v>1487</v>
      </c>
      <c r="XCV803" s="193" t="s">
        <v>1487</v>
      </c>
      <c r="XCW803" s="193" t="s">
        <v>1487</v>
      </c>
      <c r="XCX803" s="193" t="s">
        <v>1487</v>
      </c>
      <c r="XCY803" s="193" t="s">
        <v>1487</v>
      </c>
      <c r="XCZ803" s="193" t="s">
        <v>1487</v>
      </c>
      <c r="XDA803" s="193" t="s">
        <v>1487</v>
      </c>
      <c r="XDB803" s="193" t="s">
        <v>1487</v>
      </c>
      <c r="XDC803" s="193" t="s">
        <v>1487</v>
      </c>
      <c r="XDD803" s="193" t="s">
        <v>1487</v>
      </c>
      <c r="XDE803" s="193" t="s">
        <v>1487</v>
      </c>
      <c r="XDF803" s="193" t="s">
        <v>1487</v>
      </c>
      <c r="XDG803" s="193" t="s">
        <v>1487</v>
      </c>
      <c r="XDH803" s="193" t="s">
        <v>1487</v>
      </c>
      <c r="XDI803" s="193" t="s">
        <v>1487</v>
      </c>
      <c r="XDJ803" s="193" t="s">
        <v>1487</v>
      </c>
      <c r="XDK803" s="193" t="s">
        <v>1487</v>
      </c>
      <c r="XDL803" s="193" t="s">
        <v>1487</v>
      </c>
      <c r="XDM803" s="193" t="s">
        <v>1487</v>
      </c>
      <c r="XDN803" s="193" t="s">
        <v>1487</v>
      </c>
      <c r="XDO803" s="193" t="s">
        <v>1487</v>
      </c>
      <c r="XDP803" s="193" t="s">
        <v>1487</v>
      </c>
      <c r="XDQ803" s="193" t="s">
        <v>1487</v>
      </c>
      <c r="XDR803" s="193" t="s">
        <v>1487</v>
      </c>
      <c r="XDS803" s="193" t="s">
        <v>1487</v>
      </c>
      <c r="XDT803" s="193" t="s">
        <v>1487</v>
      </c>
      <c r="XDU803" s="193" t="s">
        <v>1487</v>
      </c>
      <c r="XDV803" s="193" t="s">
        <v>1487</v>
      </c>
      <c r="XDW803" s="193" t="s">
        <v>1487</v>
      </c>
      <c r="XDX803" s="193" t="s">
        <v>1487</v>
      </c>
      <c r="XDY803" s="193" t="s">
        <v>1487</v>
      </c>
      <c r="XDZ803" s="193" t="s">
        <v>1487</v>
      </c>
      <c r="XEA803" s="193" t="s">
        <v>1487</v>
      </c>
      <c r="XEB803" s="193" t="s">
        <v>1487</v>
      </c>
      <c r="XEC803" s="193" t="s">
        <v>1487</v>
      </c>
      <c r="XED803" s="193" t="s">
        <v>1487</v>
      </c>
      <c r="XEE803" s="193" t="s">
        <v>1487</v>
      </c>
      <c r="XEF803" s="193" t="s">
        <v>1487</v>
      </c>
      <c r="XEG803" s="193" t="s">
        <v>1487</v>
      </c>
      <c r="XEH803" s="193" t="s">
        <v>1487</v>
      </c>
      <c r="XEI803" s="193" t="s">
        <v>1487</v>
      </c>
      <c r="XEJ803" s="193" t="s">
        <v>1487</v>
      </c>
      <c r="XEK803" s="193" t="s">
        <v>1487</v>
      </c>
      <c r="XEL803" s="193" t="s">
        <v>1487</v>
      </c>
      <c r="XEM803" s="193" t="s">
        <v>1487</v>
      </c>
      <c r="XEN803" s="193" t="s">
        <v>1487</v>
      </c>
      <c r="XEO803" s="193" t="s">
        <v>1487</v>
      </c>
      <c r="XEP803" s="193" t="s">
        <v>1487</v>
      </c>
      <c r="XEQ803" s="193" t="s">
        <v>1487</v>
      </c>
      <c r="XER803" s="193" t="s">
        <v>1487</v>
      </c>
      <c r="XES803" s="193" t="s">
        <v>1487</v>
      </c>
      <c r="XET803" s="193" t="s">
        <v>1487</v>
      </c>
      <c r="XEU803" s="193" t="s">
        <v>1487</v>
      </c>
      <c r="XEV803" s="193" t="s">
        <v>1487</v>
      </c>
      <c r="XEW803" s="193" t="s">
        <v>1487</v>
      </c>
      <c r="XEX803" s="193" t="s">
        <v>1487</v>
      </c>
      <c r="XEY803" s="193" t="s">
        <v>1487</v>
      </c>
      <c r="XEZ803" s="193" t="s">
        <v>1487</v>
      </c>
      <c r="XFA803" s="193" t="s">
        <v>1487</v>
      </c>
      <c r="XFB803" s="193" t="s">
        <v>1487</v>
      </c>
      <c r="XFC803" s="193" t="s">
        <v>1487</v>
      </c>
      <c r="XFD803" s="193" t="s">
        <v>1487</v>
      </c>
    </row>
  </sheetData>
  <autoFilter ref="A5:U801" xr:uid="{00000000-0009-0000-0000-000002000000}"/>
  <mergeCells count="6">
    <mergeCell ref="Q2:Q4"/>
    <mergeCell ref="G2:G4"/>
    <mergeCell ref="J2:K2"/>
    <mergeCell ref="L2:L4"/>
    <mergeCell ref="H2:H4"/>
    <mergeCell ref="I2:I4"/>
  </mergeCells>
  <phoneticPr fontId="37" type="noConversion"/>
  <conditionalFormatting sqref="J407:L407">
    <cfRule type="iconSet" priority="2008">
      <iconSet iconSet="3Symbols2" showValue="0">
        <cfvo type="percent" val="0"/>
        <cfvo type="num" val="0"/>
        <cfvo type="num" val="1"/>
      </iconSet>
    </cfRule>
  </conditionalFormatting>
  <conditionalFormatting sqref="J464:L464">
    <cfRule type="iconSet" priority="2007">
      <iconSet iconSet="3Symbols2" showValue="0">
        <cfvo type="percent" val="0"/>
        <cfvo type="num" val="0"/>
        <cfvo type="num" val="1"/>
      </iconSet>
    </cfRule>
  </conditionalFormatting>
  <conditionalFormatting sqref="J562:L562">
    <cfRule type="iconSet" priority="2006">
      <iconSet iconSet="3Symbols2" showValue="0">
        <cfvo type="percent" val="0"/>
        <cfvo type="num" val="0"/>
        <cfvo type="num" val="1"/>
      </iconSet>
    </cfRule>
  </conditionalFormatting>
  <conditionalFormatting sqref="J625:L625">
    <cfRule type="iconSet" priority="2005">
      <iconSet iconSet="3Symbols2" showValue="0">
        <cfvo type="percent" val="0"/>
        <cfvo type="num" val="0"/>
        <cfvo type="num" val="1"/>
      </iconSet>
    </cfRule>
  </conditionalFormatting>
  <conditionalFormatting sqref="J680:L680">
    <cfRule type="iconSet" priority="2004">
      <iconSet iconSet="3Symbols2" showValue="0">
        <cfvo type="percent" val="0"/>
        <cfvo type="num" val="0"/>
        <cfvo type="num" val="1"/>
      </iconSet>
    </cfRule>
  </conditionalFormatting>
  <conditionalFormatting sqref="J697:L697">
    <cfRule type="iconSet" priority="2003">
      <iconSet iconSet="3Symbols2" showValue="0">
        <cfvo type="percent" val="0"/>
        <cfvo type="num" val="0"/>
        <cfvo type="num" val="1"/>
      </iconSet>
    </cfRule>
  </conditionalFormatting>
  <conditionalFormatting sqref="K787:K789 K791">
    <cfRule type="iconSet" priority="1998">
      <iconSet iconSet="3Symbols2" showValue="0">
        <cfvo type="percent" val="0"/>
        <cfvo type="num" val="0"/>
        <cfvo type="num" val="1"/>
      </iconSet>
    </cfRule>
  </conditionalFormatting>
  <conditionalFormatting sqref="K350:L350">
    <cfRule type="iconSet" priority="1994">
      <iconSet iconSet="3Symbols2" showValue="0">
        <cfvo type="percent" val="0"/>
        <cfvo type="num" val="0"/>
        <cfvo type="num" val="1"/>
      </iconSet>
    </cfRule>
  </conditionalFormatting>
  <conditionalFormatting sqref="J769:K777">
    <cfRule type="iconSet" priority="2717">
      <iconSet iconSet="3Symbols2" showValue="0">
        <cfvo type="percent" val="0"/>
        <cfvo type="num" val="0"/>
        <cfvo type="num" val="1"/>
      </iconSet>
    </cfRule>
  </conditionalFormatting>
  <conditionalFormatting sqref="J768:L768">
    <cfRule type="iconSet" priority="2736">
      <iconSet iconSet="3Symbols2" showValue="0">
        <cfvo type="percent" val="0"/>
        <cfvo type="num" val="0"/>
        <cfvo type="num" val="1"/>
      </iconSet>
    </cfRule>
  </conditionalFormatting>
  <conditionalFormatting sqref="J346:J349 J351:J352">
    <cfRule type="iconSet" priority="1993">
      <iconSet iconSet="3Symbols2" showValue="0">
        <cfvo type="percent" val="0"/>
        <cfvo type="num" val="0"/>
        <cfvo type="num" val="1"/>
      </iconSet>
    </cfRule>
  </conditionalFormatting>
  <conditionalFormatting sqref="J350">
    <cfRule type="iconSet" priority="1992">
      <iconSet iconSet="3Symbols2" showValue="0">
        <cfvo type="percent" val="0"/>
        <cfvo type="num" val="0"/>
        <cfvo type="num" val="1"/>
      </iconSet>
    </cfRule>
  </conditionalFormatting>
  <conditionalFormatting sqref="R801 R1:R3 R6 R803:R1048576">
    <cfRule type="iconSet" priority="1688">
      <iconSet iconSet="3Symbols2" showValue="0">
        <cfvo type="percent" val="0"/>
        <cfvo type="num" val="0"/>
        <cfvo type="num" val="1"/>
      </iconSet>
    </cfRule>
  </conditionalFormatting>
  <conditionalFormatting sqref="S801:S1048576 S1:S3 S6">
    <cfRule type="iconSet" priority="1664">
      <iconSet iconSet="3Symbols2" showValue="0">
        <cfvo type="percent" val="0"/>
        <cfvo type="num" val="0"/>
        <cfvo type="num" val="1"/>
      </iconSet>
    </cfRule>
  </conditionalFormatting>
  <conditionalFormatting sqref="T801:T1048576 T1:T3 T6">
    <cfRule type="iconSet" priority="1640">
      <iconSet iconSet="3Symbols2" showValue="0">
        <cfvo type="percent" val="0"/>
        <cfvo type="num" val="0"/>
        <cfvo type="num" val="1"/>
      </iconSet>
    </cfRule>
  </conditionalFormatting>
  <conditionalFormatting sqref="U801:U1048576 U1:U3 U6">
    <cfRule type="iconSet" priority="1616">
      <iconSet iconSet="3Symbols2" showValue="0">
        <cfvo type="percent" val="0"/>
        <cfvo type="num" val="0"/>
        <cfvo type="num" val="1"/>
      </iconSet>
    </cfRule>
  </conditionalFormatting>
  <conditionalFormatting sqref="V407">
    <cfRule type="iconSet" priority="1399">
      <iconSet iconSet="3Symbols2" showValue="0">
        <cfvo type="percent" val="0"/>
        <cfvo type="num" val="0"/>
        <cfvo type="num" val="1"/>
      </iconSet>
    </cfRule>
  </conditionalFormatting>
  <conditionalFormatting sqref="V464">
    <cfRule type="iconSet" priority="1398">
      <iconSet iconSet="3Symbols2" showValue="0">
        <cfvo type="percent" val="0"/>
        <cfvo type="num" val="0"/>
        <cfvo type="num" val="1"/>
      </iconSet>
    </cfRule>
  </conditionalFormatting>
  <conditionalFormatting sqref="V562">
    <cfRule type="iconSet" priority="1397">
      <iconSet iconSet="3Symbols2" showValue="0">
        <cfvo type="percent" val="0"/>
        <cfvo type="num" val="0"/>
        <cfvo type="num" val="1"/>
      </iconSet>
    </cfRule>
  </conditionalFormatting>
  <conditionalFormatting sqref="V625">
    <cfRule type="iconSet" priority="1396">
      <iconSet iconSet="3Symbols2" showValue="0">
        <cfvo type="percent" val="0"/>
        <cfvo type="num" val="0"/>
        <cfvo type="num" val="1"/>
      </iconSet>
    </cfRule>
  </conditionalFormatting>
  <conditionalFormatting sqref="V680">
    <cfRule type="iconSet" priority="1395">
      <iconSet iconSet="3Symbols2" showValue="0">
        <cfvo type="percent" val="0"/>
        <cfvo type="num" val="0"/>
        <cfvo type="num" val="1"/>
      </iconSet>
    </cfRule>
  </conditionalFormatting>
  <conditionalFormatting sqref="V697">
    <cfRule type="iconSet" priority="1394">
      <iconSet iconSet="3Symbols2" showValue="0">
        <cfvo type="percent" val="0"/>
        <cfvo type="num" val="0"/>
        <cfvo type="num" val="1"/>
      </iconSet>
    </cfRule>
  </conditionalFormatting>
  <conditionalFormatting sqref="V801:V1048576 V681:V696 V778:V783 V1:V3 V351:V406 V465:V485 V563:V624 V627:V639 V641:V679 V698:V715 V717 V755:V767 V193:V199 V202:V210 V213:V216 V220:V227 V230:V233 V237:V349 V6:V80 V94:V190 V489:V561 V792:V795 V408:V460 V723:V747">
    <cfRule type="iconSet" priority="1400">
      <iconSet iconSet="3Symbols2" showValue="0">
        <cfvo type="percent" val="0"/>
        <cfvo type="num" val="0"/>
        <cfvo type="num" val="1"/>
      </iconSet>
    </cfRule>
  </conditionalFormatting>
  <conditionalFormatting sqref="V350">
    <cfRule type="iconSet" priority="1389">
      <iconSet iconSet="3Symbols2" showValue="0">
        <cfvo type="percent" val="0"/>
        <cfvo type="num" val="0"/>
        <cfvo type="num" val="1"/>
      </iconSet>
    </cfRule>
  </conditionalFormatting>
  <conditionalFormatting sqref="V768">
    <cfRule type="iconSet" priority="1402">
      <iconSet iconSet="3Symbols2" showValue="0">
        <cfvo type="percent" val="0"/>
        <cfvo type="num" val="0"/>
        <cfvo type="num" val="1"/>
      </iconSet>
    </cfRule>
  </conditionalFormatting>
  <conditionalFormatting sqref="V784:V786">
    <cfRule type="iconSet" priority="1388">
      <iconSet iconSet="3Symbols2" showValue="0">
        <cfvo type="percent" val="0"/>
        <cfvo type="num" val="0"/>
        <cfvo type="num" val="1"/>
      </iconSet>
    </cfRule>
  </conditionalFormatting>
  <conditionalFormatting sqref="V787:V789 V791">
    <cfRule type="iconSet" priority="1387">
      <iconSet iconSet="3Symbols2" showValue="0">
        <cfvo type="percent" val="0"/>
        <cfvo type="num" val="0"/>
        <cfvo type="num" val="1"/>
      </iconSet>
    </cfRule>
  </conditionalFormatting>
  <conditionalFormatting sqref="V718:V722">
    <cfRule type="iconSet" priority="1385">
      <iconSet iconSet="3Symbols2" showValue="0">
        <cfvo type="percent" val="0"/>
        <cfvo type="num" val="0"/>
        <cfvo type="num" val="1"/>
      </iconSet>
    </cfRule>
  </conditionalFormatting>
  <conditionalFormatting sqref="V769:V777">
    <cfRule type="iconSet" priority="1382">
      <iconSet iconSet="3Symbols2" showValue="0">
        <cfvo type="percent" val="0"/>
        <cfvo type="num" val="0"/>
        <cfvo type="num" val="1"/>
      </iconSet>
    </cfRule>
  </conditionalFormatting>
  <conditionalFormatting sqref="V461:V463">
    <cfRule type="iconSet" priority="1381">
      <iconSet iconSet="3Symbols2" showValue="0">
        <cfvo type="percent" val="0"/>
        <cfvo type="num" val="0"/>
        <cfvo type="num" val="1"/>
      </iconSet>
    </cfRule>
  </conditionalFormatting>
  <conditionalFormatting sqref="L462:L463">
    <cfRule type="iconSet" priority="1321">
      <iconSet iconSet="3Symbols2" showValue="0">
        <cfvo type="percent" val="0"/>
        <cfvo type="num" val="0"/>
        <cfvo type="num" val="1"/>
      </iconSet>
    </cfRule>
  </conditionalFormatting>
  <conditionalFormatting sqref="J748:L754">
    <cfRule type="iconSet" priority="1188">
      <iconSet iconSet="3Symbols2" showValue="0">
        <cfvo type="percent" val="0"/>
        <cfvo type="num" val="0"/>
        <cfvo type="num" val="1"/>
      </iconSet>
    </cfRule>
  </conditionalFormatting>
  <conditionalFormatting sqref="V748:V754">
    <cfRule type="iconSet" priority="1169">
      <iconSet iconSet="3Symbols2" showValue="0">
        <cfvo type="percent" val="0"/>
        <cfvo type="num" val="0"/>
        <cfvo type="num" val="1"/>
      </iconSet>
    </cfRule>
  </conditionalFormatting>
  <conditionalFormatting sqref="V191:V192">
    <cfRule type="iconSet" priority="1131">
      <iconSet iconSet="3Symbols2" showValue="0">
        <cfvo type="percent" val="0"/>
        <cfvo type="num" val="0"/>
        <cfvo type="num" val="1"/>
      </iconSet>
    </cfRule>
  </conditionalFormatting>
  <conditionalFormatting sqref="V200:V201">
    <cfRule type="iconSet" priority="1108">
      <iconSet iconSet="3Symbols2" showValue="0">
        <cfvo type="percent" val="0"/>
        <cfvo type="num" val="0"/>
        <cfvo type="num" val="1"/>
      </iconSet>
    </cfRule>
  </conditionalFormatting>
  <conditionalFormatting sqref="V211:V212">
    <cfRule type="iconSet" priority="1085">
      <iconSet iconSet="3Symbols2" showValue="0">
        <cfvo type="percent" val="0"/>
        <cfvo type="num" val="0"/>
        <cfvo type="num" val="1"/>
      </iconSet>
    </cfRule>
  </conditionalFormatting>
  <conditionalFormatting sqref="V217:V218">
    <cfRule type="iconSet" priority="1062">
      <iconSet iconSet="3Symbols2" showValue="0">
        <cfvo type="percent" val="0"/>
        <cfvo type="num" val="0"/>
        <cfvo type="num" val="1"/>
      </iconSet>
    </cfRule>
  </conditionalFormatting>
  <conditionalFormatting sqref="V219">
    <cfRule type="iconSet" priority="1039">
      <iconSet iconSet="3Symbols2" showValue="0">
        <cfvo type="percent" val="0"/>
        <cfvo type="num" val="0"/>
        <cfvo type="num" val="1"/>
      </iconSet>
    </cfRule>
  </conditionalFormatting>
  <conditionalFormatting sqref="V228:V229">
    <cfRule type="iconSet" priority="1016">
      <iconSet iconSet="3Symbols2" showValue="0">
        <cfvo type="percent" val="0"/>
        <cfvo type="num" val="0"/>
        <cfvo type="num" val="1"/>
      </iconSet>
    </cfRule>
  </conditionalFormatting>
  <conditionalFormatting sqref="V234:V235">
    <cfRule type="iconSet" priority="993">
      <iconSet iconSet="3Symbols2" showValue="0">
        <cfvo type="percent" val="0"/>
        <cfvo type="num" val="0"/>
        <cfvo type="num" val="1"/>
      </iconSet>
    </cfRule>
  </conditionalFormatting>
  <conditionalFormatting sqref="V236">
    <cfRule type="iconSet" priority="970">
      <iconSet iconSet="3Symbols2" showValue="0">
        <cfvo type="percent" val="0"/>
        <cfvo type="num" val="0"/>
        <cfvo type="num" val="1"/>
      </iconSet>
    </cfRule>
  </conditionalFormatting>
  <conditionalFormatting sqref="J486:L488">
    <cfRule type="iconSet" priority="964">
      <iconSet iconSet="3Symbols2" showValue="0">
        <cfvo type="percent" val="0"/>
        <cfvo type="num" val="0"/>
        <cfvo type="num" val="1"/>
      </iconSet>
    </cfRule>
  </conditionalFormatting>
  <conditionalFormatting sqref="V486:V488">
    <cfRule type="iconSet" priority="945">
      <iconSet iconSet="3Symbols2" showValue="0">
        <cfvo type="percent" val="0"/>
        <cfvo type="num" val="0"/>
        <cfvo type="num" val="1"/>
      </iconSet>
    </cfRule>
  </conditionalFormatting>
  <conditionalFormatting sqref="Q784">
    <cfRule type="iconSet" priority="942">
      <iconSet iconSet="3Symbols2" showValue="0">
        <cfvo type="percent" val="0"/>
        <cfvo type="num" val="0"/>
        <cfvo type="num" val="1"/>
      </iconSet>
    </cfRule>
  </conditionalFormatting>
  <conditionalFormatting sqref="Q785">
    <cfRule type="iconSet" priority="941">
      <iconSet iconSet="3Symbols2" showValue="0">
        <cfvo type="percent" val="0"/>
        <cfvo type="num" val="0"/>
        <cfvo type="num" val="1"/>
      </iconSet>
    </cfRule>
  </conditionalFormatting>
  <conditionalFormatting sqref="Q786">
    <cfRule type="iconSet" priority="940">
      <iconSet iconSet="3Symbols2" showValue="0">
        <cfvo type="percent" val="0"/>
        <cfvo type="num" val="0"/>
        <cfvo type="num" val="1"/>
      </iconSet>
    </cfRule>
  </conditionalFormatting>
  <conditionalFormatting sqref="Q787:Q788">
    <cfRule type="iconSet" priority="939">
      <iconSet iconSet="3Symbols2" showValue="0">
        <cfvo type="percent" val="0"/>
        <cfvo type="num" val="0"/>
        <cfvo type="num" val="1"/>
      </iconSet>
    </cfRule>
  </conditionalFormatting>
  <conditionalFormatting sqref="J208:J210">
    <cfRule type="iconSet" priority="933">
      <iconSet iconSet="3Symbols2" showValue="0">
        <cfvo type="percent" val="0"/>
        <cfvo type="num" val="0"/>
        <cfvo type="num" val="1"/>
      </iconSet>
    </cfRule>
  </conditionalFormatting>
  <conditionalFormatting sqref="J211:J212">
    <cfRule type="iconSet" priority="932">
      <iconSet iconSet="3Symbols2" showValue="0">
        <cfvo type="percent" val="0"/>
        <cfvo type="num" val="0"/>
        <cfvo type="num" val="1"/>
      </iconSet>
    </cfRule>
  </conditionalFormatting>
  <conditionalFormatting sqref="J215:J216">
    <cfRule type="iconSet" priority="929">
      <iconSet iconSet="3Symbols2" showValue="0">
        <cfvo type="percent" val="0"/>
        <cfvo type="num" val="0"/>
        <cfvo type="num" val="1"/>
      </iconSet>
    </cfRule>
  </conditionalFormatting>
  <conditionalFormatting sqref="J217:J218">
    <cfRule type="iconSet" priority="928">
      <iconSet iconSet="3Symbols2" showValue="0">
        <cfvo type="percent" val="0"/>
        <cfvo type="num" val="0"/>
        <cfvo type="num" val="1"/>
      </iconSet>
    </cfRule>
  </conditionalFormatting>
  <conditionalFormatting sqref="J219">
    <cfRule type="iconSet" priority="927">
      <iconSet iconSet="3Symbols2" showValue="0">
        <cfvo type="percent" val="0"/>
        <cfvo type="num" val="0"/>
        <cfvo type="num" val="1"/>
      </iconSet>
    </cfRule>
  </conditionalFormatting>
  <conditionalFormatting sqref="J353">
    <cfRule type="iconSet" priority="920">
      <iconSet iconSet="3Symbols2" showValue="0">
        <cfvo type="percent" val="0"/>
        <cfvo type="num" val="0"/>
        <cfvo type="num" val="1"/>
      </iconSet>
    </cfRule>
  </conditionalFormatting>
  <conditionalFormatting sqref="J784:J788">
    <cfRule type="iconSet" priority="890">
      <iconSet iconSet="3Symbols2" showValue="0">
        <cfvo type="percent" val="0"/>
        <cfvo type="num" val="0"/>
        <cfvo type="num" val="1"/>
      </iconSet>
    </cfRule>
  </conditionalFormatting>
  <conditionalFormatting sqref="J461:L461 J462:K463">
    <cfRule type="iconSet" priority="68491">
      <iconSet iconSet="3Symbols2" showValue="0">
        <cfvo type="percent" val="0"/>
        <cfvo type="num" val="0"/>
        <cfvo type="num" val="1"/>
      </iconSet>
    </cfRule>
  </conditionalFormatting>
  <conditionalFormatting sqref="M4:P5">
    <cfRule type="iconSet" priority="889">
      <iconSet iconSet="3Symbols2" showValue="0">
        <cfvo type="percent" val="0"/>
        <cfvo type="num" val="0"/>
        <cfvo type="num" val="1"/>
      </iconSet>
    </cfRule>
  </conditionalFormatting>
  <conditionalFormatting sqref="R4:U5">
    <cfRule type="iconSet" priority="870">
      <iconSet iconSet="3Symbols2" showValue="0">
        <cfvo type="percent" val="0"/>
        <cfvo type="num" val="0"/>
        <cfvo type="num" val="1"/>
      </iconSet>
    </cfRule>
  </conditionalFormatting>
  <conditionalFormatting sqref="J781:J783 L784:L786">
    <cfRule type="iconSet" priority="75553">
      <iconSet iconSet="3Symbols2" showValue="0">
        <cfvo type="percent" val="0"/>
        <cfvo type="num" val="0"/>
        <cfvo type="num" val="1"/>
      </iconSet>
    </cfRule>
  </conditionalFormatting>
  <conditionalFormatting sqref="L787:L788">
    <cfRule type="iconSet" priority="75555">
      <iconSet iconSet="3Symbols2" showValue="0">
        <cfvo type="percent" val="0"/>
        <cfvo type="num" val="0"/>
        <cfvo type="num" val="1"/>
      </iconSet>
    </cfRule>
  </conditionalFormatting>
  <conditionalFormatting sqref="L718:L722">
    <cfRule type="iconSet" priority="75557">
      <iconSet iconSet="3Symbols2" showValue="0">
        <cfvo type="percent" val="0"/>
        <cfvo type="num" val="0"/>
        <cfvo type="num" val="1"/>
      </iconSet>
    </cfRule>
  </conditionalFormatting>
  <conditionalFormatting sqref="K211:L212">
    <cfRule type="iconSet" priority="75842">
      <iconSet iconSet="3Symbols2" showValue="0">
        <cfvo type="percent" val="0"/>
        <cfvo type="num" val="0"/>
        <cfvo type="num" val="1"/>
      </iconSet>
    </cfRule>
  </conditionalFormatting>
  <conditionalFormatting sqref="K217:L218">
    <cfRule type="iconSet" priority="75844">
      <iconSet iconSet="3Symbols2" showValue="0">
        <cfvo type="percent" val="0"/>
        <cfvo type="num" val="0"/>
        <cfvo type="num" val="1"/>
      </iconSet>
    </cfRule>
  </conditionalFormatting>
  <conditionalFormatting sqref="K219:L219">
    <cfRule type="iconSet" priority="75846">
      <iconSet iconSet="3Symbols2" showValue="0">
        <cfvo type="percent" val="0"/>
        <cfvo type="num" val="0"/>
        <cfvo type="num" val="1"/>
      </iconSet>
    </cfRule>
  </conditionalFormatting>
  <conditionalFormatting sqref="J191:K192">
    <cfRule type="iconSet" priority="75939">
      <iconSet iconSet="3Symbols2" showValue="0">
        <cfvo type="percent" val="0"/>
        <cfvo type="num" val="0"/>
        <cfvo type="num" val="1"/>
      </iconSet>
    </cfRule>
  </conditionalFormatting>
  <conditionalFormatting sqref="J200:K201">
    <cfRule type="iconSet" priority="75940">
      <iconSet iconSet="3Symbols2" showValue="0">
        <cfvo type="percent" val="0"/>
        <cfvo type="num" val="0"/>
        <cfvo type="num" val="1"/>
      </iconSet>
    </cfRule>
  </conditionalFormatting>
  <conditionalFormatting sqref="J228:K229">
    <cfRule type="iconSet" priority="75941">
      <iconSet iconSet="3Symbols2" showValue="0">
        <cfvo type="percent" val="0"/>
        <cfvo type="num" val="0"/>
        <cfvo type="num" val="1"/>
      </iconSet>
    </cfRule>
  </conditionalFormatting>
  <conditionalFormatting sqref="J234:K235">
    <cfRule type="iconSet" priority="75942">
      <iconSet iconSet="3Symbols2" showValue="0">
        <cfvo type="percent" val="0"/>
        <cfvo type="num" val="0"/>
        <cfvo type="num" val="1"/>
      </iconSet>
    </cfRule>
  </conditionalFormatting>
  <conditionalFormatting sqref="J236:K236">
    <cfRule type="iconSet" priority="75943">
      <iconSet iconSet="3Symbols2" showValue="0">
        <cfvo type="percent" val="0"/>
        <cfvo type="num" val="0"/>
        <cfvo type="num" val="1"/>
      </iconSet>
    </cfRule>
  </conditionalFormatting>
  <conditionalFormatting sqref="M40:M42">
    <cfRule type="iconSet" priority="861">
      <iconSet iconSet="3Symbols2" showValue="0">
        <cfvo type="percent" val="0"/>
        <cfvo type="num" val="0"/>
        <cfvo type="num" val="1"/>
      </iconSet>
    </cfRule>
  </conditionalFormatting>
  <conditionalFormatting sqref="M43:M45">
    <cfRule type="iconSet" priority="860">
      <iconSet iconSet="3Symbols2" showValue="0">
        <cfvo type="percent" val="0"/>
        <cfvo type="num" val="0"/>
        <cfvo type="num" val="1"/>
      </iconSet>
    </cfRule>
  </conditionalFormatting>
  <conditionalFormatting sqref="M47:M49">
    <cfRule type="iconSet" priority="859">
      <iconSet iconSet="3Symbols2" showValue="0">
        <cfvo type="percent" val="0"/>
        <cfvo type="num" val="0"/>
        <cfvo type="num" val="1"/>
      </iconSet>
    </cfRule>
  </conditionalFormatting>
  <conditionalFormatting sqref="N54:N59">
    <cfRule type="iconSet" priority="857">
      <iconSet iconSet="3Symbols2" showValue="0">
        <cfvo type="percent" val="0"/>
        <cfvo type="num" val="0"/>
        <cfvo type="num" val="1"/>
      </iconSet>
    </cfRule>
  </conditionalFormatting>
  <conditionalFormatting sqref="N61:N66">
    <cfRule type="iconSet" priority="856">
      <iconSet iconSet="3Symbols2" showValue="0">
        <cfvo type="percent" val="0"/>
        <cfvo type="num" val="0"/>
        <cfvo type="num" val="1"/>
      </iconSet>
    </cfRule>
  </conditionalFormatting>
  <conditionalFormatting sqref="M68:M73">
    <cfRule type="iconSet" priority="855">
      <iconSet iconSet="3Symbols2" showValue="0">
        <cfvo type="percent" val="0"/>
        <cfvo type="num" val="0"/>
        <cfvo type="num" val="1"/>
      </iconSet>
    </cfRule>
  </conditionalFormatting>
  <conditionalFormatting sqref="M181">
    <cfRule type="iconSet" priority="851">
      <iconSet iconSet="3Symbols2" showValue="0">
        <cfvo type="percent" val="0"/>
        <cfvo type="num" val="0"/>
        <cfvo type="num" val="1"/>
      </iconSet>
    </cfRule>
  </conditionalFormatting>
  <conditionalFormatting sqref="M220">
    <cfRule type="iconSet" priority="850">
      <iconSet iconSet="3Symbols2" showValue="0">
        <cfvo type="percent" val="0"/>
        <cfvo type="num" val="0"/>
        <cfvo type="num" val="1"/>
      </iconSet>
    </cfRule>
  </conditionalFormatting>
  <conditionalFormatting sqref="XFC267:XFD267">
    <cfRule type="iconSet" priority="847">
      <iconSet iconSet="3Symbols2" showValue="0">
        <cfvo type="percent" val="0"/>
        <cfvo type="num" val="0"/>
        <cfvo type="num" val="1"/>
      </iconSet>
    </cfRule>
  </conditionalFormatting>
  <conditionalFormatting sqref="N268">
    <cfRule type="iconSet" priority="845">
      <iconSet iconSet="3Symbols2" showValue="0">
        <cfvo type="percent" val="0"/>
        <cfvo type="num" val="0"/>
        <cfvo type="num" val="1"/>
      </iconSet>
    </cfRule>
  </conditionalFormatting>
  <conditionalFormatting sqref="J278:L278 K277 J275:K276">
    <cfRule type="iconSet" priority="844">
      <iconSet iconSet="3Symbols2" showValue="0">
        <cfvo type="percent" val="0"/>
        <cfvo type="num" val="0"/>
        <cfvo type="num" val="1"/>
      </iconSet>
    </cfRule>
  </conditionalFormatting>
  <conditionalFormatting sqref="M278">
    <cfRule type="iconSet" priority="843">
      <iconSet iconSet="3Symbols2" showValue="0">
        <cfvo type="percent" val="0"/>
        <cfvo type="num" val="0"/>
        <cfvo type="num" val="1"/>
      </iconSet>
    </cfRule>
  </conditionalFormatting>
  <conditionalFormatting sqref="N278">
    <cfRule type="iconSet" priority="839">
      <iconSet iconSet="3Symbols2" showValue="0">
        <cfvo type="percent" val="0"/>
        <cfvo type="num" val="0"/>
        <cfvo type="num" val="1"/>
      </iconSet>
    </cfRule>
  </conditionalFormatting>
  <conditionalFormatting sqref="J288:L288 K287 J285:K286">
    <cfRule type="iconSet" priority="838">
      <iconSet iconSet="3Symbols2" showValue="0">
        <cfvo type="percent" val="0"/>
        <cfvo type="num" val="0"/>
        <cfvo type="num" val="1"/>
      </iconSet>
    </cfRule>
  </conditionalFormatting>
  <conditionalFormatting sqref="M288">
    <cfRule type="iconSet" priority="837">
      <iconSet iconSet="3Symbols2" showValue="0">
        <cfvo type="percent" val="0"/>
        <cfvo type="num" val="0"/>
        <cfvo type="num" val="1"/>
      </iconSet>
    </cfRule>
  </conditionalFormatting>
  <conditionalFormatting sqref="N288">
    <cfRule type="iconSet" priority="833">
      <iconSet iconSet="3Symbols2" showValue="0">
        <cfvo type="percent" val="0"/>
        <cfvo type="num" val="0"/>
        <cfvo type="num" val="1"/>
      </iconSet>
    </cfRule>
  </conditionalFormatting>
  <conditionalFormatting sqref="J297:L297 K296:L296 J294:K295">
    <cfRule type="iconSet" priority="832">
      <iconSet iconSet="3Symbols2" showValue="0">
        <cfvo type="percent" val="0"/>
        <cfvo type="num" val="0"/>
        <cfvo type="num" val="1"/>
      </iconSet>
    </cfRule>
  </conditionalFormatting>
  <conditionalFormatting sqref="M297">
    <cfRule type="iconSet" priority="831">
      <iconSet iconSet="3Symbols2" showValue="0">
        <cfvo type="percent" val="0"/>
        <cfvo type="num" val="0"/>
        <cfvo type="num" val="1"/>
      </iconSet>
    </cfRule>
  </conditionalFormatting>
  <conditionalFormatting sqref="M296">
    <cfRule type="iconSet" priority="828">
      <iconSet iconSet="3Symbols2" showValue="0">
        <cfvo type="percent" val="0"/>
        <cfvo type="num" val="0"/>
        <cfvo type="num" val="1"/>
      </iconSet>
    </cfRule>
  </conditionalFormatting>
  <conditionalFormatting sqref="M305:M306">
    <cfRule type="iconSet" priority="826">
      <iconSet iconSet="3Symbols2" showValue="0">
        <cfvo type="percent" val="0"/>
        <cfvo type="num" val="0"/>
        <cfvo type="num" val="1"/>
      </iconSet>
    </cfRule>
  </conditionalFormatting>
  <conditionalFormatting sqref="M323:M324">
    <cfRule type="iconSet" priority="825">
      <iconSet iconSet="3Symbols2" showValue="0">
        <cfvo type="percent" val="0"/>
        <cfvo type="num" val="0"/>
        <cfvo type="num" val="1"/>
      </iconSet>
    </cfRule>
  </conditionalFormatting>
  <conditionalFormatting sqref="M330:M332">
    <cfRule type="iconSet" priority="824">
      <iconSet iconSet="3Symbols2" showValue="0">
        <cfvo type="percent" val="0"/>
        <cfvo type="num" val="0"/>
        <cfvo type="num" val="1"/>
      </iconSet>
    </cfRule>
  </conditionalFormatting>
  <conditionalFormatting sqref="M354:M357">
    <cfRule type="iconSet" priority="823">
      <iconSet iconSet="3Symbols2" showValue="0">
        <cfvo type="percent" val="0"/>
        <cfvo type="num" val="0"/>
        <cfvo type="num" val="1"/>
      </iconSet>
    </cfRule>
  </conditionalFormatting>
  <conditionalFormatting sqref="M340:M344">
    <cfRule type="iconSet" priority="822">
      <iconSet iconSet="3Symbols2" showValue="0">
        <cfvo type="percent" val="0"/>
        <cfvo type="num" val="0"/>
        <cfvo type="num" val="1"/>
      </iconSet>
    </cfRule>
  </conditionalFormatting>
  <conditionalFormatting sqref="M362:M366">
    <cfRule type="iconSet" priority="821">
      <iconSet iconSet="3Symbols2" showValue="0">
        <cfvo type="percent" val="0"/>
        <cfvo type="num" val="0"/>
        <cfvo type="num" val="1"/>
      </iconSet>
    </cfRule>
  </conditionalFormatting>
  <conditionalFormatting sqref="M376:M380">
    <cfRule type="iconSet" priority="820">
      <iconSet iconSet="3Symbols2" showValue="0">
        <cfvo type="percent" val="0"/>
        <cfvo type="num" val="0"/>
        <cfvo type="num" val="1"/>
      </iconSet>
    </cfRule>
  </conditionalFormatting>
  <conditionalFormatting sqref="M383:M386">
    <cfRule type="iconSet" priority="819">
      <iconSet iconSet="3Symbols2" showValue="0">
        <cfvo type="percent" val="0"/>
        <cfvo type="num" val="0"/>
        <cfvo type="num" val="1"/>
      </iconSet>
    </cfRule>
  </conditionalFormatting>
  <conditionalFormatting sqref="M391:M394">
    <cfRule type="iconSet" priority="818">
      <iconSet iconSet="3Symbols2" showValue="0">
        <cfvo type="percent" val="0"/>
        <cfvo type="num" val="0"/>
        <cfvo type="num" val="1"/>
      </iconSet>
    </cfRule>
  </conditionalFormatting>
  <conditionalFormatting sqref="M398:M399">
    <cfRule type="iconSet" priority="817">
      <iconSet iconSet="3Symbols2" showValue="0">
        <cfvo type="percent" val="0"/>
        <cfvo type="num" val="0"/>
        <cfvo type="num" val="1"/>
      </iconSet>
    </cfRule>
  </conditionalFormatting>
  <conditionalFormatting sqref="N402:N403">
    <cfRule type="iconSet" priority="816">
      <iconSet iconSet="3Symbols2" showValue="0">
        <cfvo type="percent" val="0"/>
        <cfvo type="num" val="0"/>
        <cfvo type="num" val="1"/>
      </iconSet>
    </cfRule>
  </conditionalFormatting>
  <conditionalFormatting sqref="N405">
    <cfRule type="iconSet" priority="815">
      <iconSet iconSet="3Symbols2" showValue="0">
        <cfvo type="percent" val="0"/>
        <cfvo type="num" val="0"/>
        <cfvo type="num" val="1"/>
      </iconSet>
    </cfRule>
  </conditionalFormatting>
  <conditionalFormatting sqref="M418">
    <cfRule type="iconSet" priority="814">
      <iconSet iconSet="3Symbols2" showValue="0">
        <cfvo type="percent" val="0"/>
        <cfvo type="num" val="0"/>
        <cfvo type="num" val="1"/>
      </iconSet>
    </cfRule>
  </conditionalFormatting>
  <conditionalFormatting sqref="M422">
    <cfRule type="iconSet" priority="813">
      <iconSet iconSet="3Symbols2" showValue="0">
        <cfvo type="percent" val="0"/>
        <cfvo type="num" val="0"/>
        <cfvo type="num" val="1"/>
      </iconSet>
    </cfRule>
  </conditionalFormatting>
  <conditionalFormatting sqref="M423">
    <cfRule type="iconSet" priority="812">
      <iconSet iconSet="3Symbols2" showValue="0">
        <cfvo type="percent" val="0"/>
        <cfvo type="num" val="0"/>
        <cfvo type="num" val="1"/>
      </iconSet>
    </cfRule>
  </conditionalFormatting>
  <conditionalFormatting sqref="N424:N427">
    <cfRule type="iconSet" priority="811">
      <iconSet iconSet="3Symbols2" showValue="0">
        <cfvo type="percent" val="0"/>
        <cfvo type="num" val="0"/>
        <cfvo type="num" val="1"/>
      </iconSet>
    </cfRule>
  </conditionalFormatting>
  <conditionalFormatting sqref="M434:M437">
    <cfRule type="iconSet" priority="810">
      <iconSet iconSet="3Symbols2" showValue="0">
        <cfvo type="percent" val="0"/>
        <cfvo type="num" val="0"/>
        <cfvo type="num" val="1"/>
      </iconSet>
    </cfRule>
  </conditionalFormatting>
  <conditionalFormatting sqref="N432:N433">
    <cfRule type="iconSet" priority="809">
      <iconSet iconSet="3Symbols2" showValue="0">
        <cfvo type="percent" val="0"/>
        <cfvo type="num" val="0"/>
        <cfvo type="num" val="1"/>
      </iconSet>
    </cfRule>
  </conditionalFormatting>
  <conditionalFormatting sqref="M432">
    <cfRule type="iconSet" priority="808">
      <iconSet iconSet="3Symbols2" showValue="0">
        <cfvo type="percent" val="0"/>
        <cfvo type="num" val="0"/>
        <cfvo type="num" val="1"/>
      </iconSet>
    </cfRule>
  </conditionalFormatting>
  <conditionalFormatting sqref="M433">
    <cfRule type="iconSet" priority="807">
      <iconSet iconSet="3Symbols2" showValue="0">
        <cfvo type="percent" val="0"/>
        <cfvo type="num" val="0"/>
        <cfvo type="num" val="1"/>
      </iconSet>
    </cfRule>
  </conditionalFormatting>
  <conditionalFormatting sqref="N434:N437">
    <cfRule type="iconSet" priority="806">
      <iconSet iconSet="3Symbols2" showValue="0">
        <cfvo type="percent" val="0"/>
        <cfvo type="num" val="0"/>
        <cfvo type="num" val="1"/>
      </iconSet>
    </cfRule>
  </conditionalFormatting>
  <conditionalFormatting sqref="M444:M447">
    <cfRule type="iconSet" priority="805">
      <iconSet iconSet="3Symbols2" showValue="0">
        <cfvo type="percent" val="0"/>
        <cfvo type="num" val="0"/>
        <cfvo type="num" val="1"/>
      </iconSet>
    </cfRule>
  </conditionalFormatting>
  <conditionalFormatting sqref="N442:N443">
    <cfRule type="iconSet" priority="804">
      <iconSet iconSet="3Symbols2" showValue="0">
        <cfvo type="percent" val="0"/>
        <cfvo type="num" val="0"/>
        <cfvo type="num" val="1"/>
      </iconSet>
    </cfRule>
  </conditionalFormatting>
  <conditionalFormatting sqref="M442">
    <cfRule type="iconSet" priority="803">
      <iconSet iconSet="3Symbols2" showValue="0">
        <cfvo type="percent" val="0"/>
        <cfvo type="num" val="0"/>
        <cfvo type="num" val="1"/>
      </iconSet>
    </cfRule>
  </conditionalFormatting>
  <conditionalFormatting sqref="M443">
    <cfRule type="iconSet" priority="802">
      <iconSet iconSet="3Symbols2" showValue="0">
        <cfvo type="percent" val="0"/>
        <cfvo type="num" val="0"/>
        <cfvo type="num" val="1"/>
      </iconSet>
    </cfRule>
  </conditionalFormatting>
  <conditionalFormatting sqref="N444:N447">
    <cfRule type="iconSet" priority="801">
      <iconSet iconSet="3Symbols2" showValue="0">
        <cfvo type="percent" val="0"/>
        <cfvo type="num" val="0"/>
        <cfvo type="num" val="1"/>
      </iconSet>
    </cfRule>
  </conditionalFormatting>
  <conditionalFormatting sqref="M453:M456">
    <cfRule type="iconSet" priority="800">
      <iconSet iconSet="3Symbols2" showValue="0">
        <cfvo type="percent" val="0"/>
        <cfvo type="num" val="0"/>
        <cfvo type="num" val="1"/>
      </iconSet>
    </cfRule>
  </conditionalFormatting>
  <conditionalFormatting sqref="N451:N452">
    <cfRule type="iconSet" priority="799">
      <iconSet iconSet="3Symbols2" showValue="0">
        <cfvo type="percent" val="0"/>
        <cfvo type="num" val="0"/>
        <cfvo type="num" val="1"/>
      </iconSet>
    </cfRule>
  </conditionalFormatting>
  <conditionalFormatting sqref="M451">
    <cfRule type="iconSet" priority="798">
      <iconSet iconSet="3Symbols2" showValue="0">
        <cfvo type="percent" val="0"/>
        <cfvo type="num" val="0"/>
        <cfvo type="num" val="1"/>
      </iconSet>
    </cfRule>
  </conditionalFormatting>
  <conditionalFormatting sqref="M452">
    <cfRule type="iconSet" priority="797">
      <iconSet iconSet="3Symbols2" showValue="0">
        <cfvo type="percent" val="0"/>
        <cfvo type="num" val="0"/>
        <cfvo type="num" val="1"/>
      </iconSet>
    </cfRule>
  </conditionalFormatting>
  <conditionalFormatting sqref="N453:N456">
    <cfRule type="iconSet" priority="796">
      <iconSet iconSet="3Symbols2" showValue="0">
        <cfvo type="percent" val="0"/>
        <cfvo type="num" val="0"/>
        <cfvo type="num" val="1"/>
      </iconSet>
    </cfRule>
  </conditionalFormatting>
  <conditionalFormatting sqref="M462:M463">
    <cfRule type="iconSet" priority="795">
      <iconSet iconSet="3Symbols2" showValue="0">
        <cfvo type="percent" val="0"/>
        <cfvo type="num" val="0"/>
        <cfvo type="num" val="1"/>
      </iconSet>
    </cfRule>
  </conditionalFormatting>
  <conditionalFormatting sqref="M478:M481">
    <cfRule type="iconSet" priority="794">
      <iconSet iconSet="3Symbols2" showValue="0">
        <cfvo type="percent" val="0"/>
        <cfvo type="num" val="0"/>
        <cfvo type="num" val="1"/>
      </iconSet>
    </cfRule>
  </conditionalFormatting>
  <conditionalFormatting sqref="M496:M500">
    <cfRule type="iconSet" priority="792">
      <iconSet iconSet="3Symbols2" showValue="0">
        <cfvo type="percent" val="0"/>
        <cfvo type="num" val="0"/>
        <cfvo type="num" val="1"/>
      </iconSet>
    </cfRule>
  </conditionalFormatting>
  <conditionalFormatting sqref="M510:M514">
    <cfRule type="iconSet" priority="791">
      <iconSet iconSet="3Symbols2" showValue="0">
        <cfvo type="percent" val="0"/>
        <cfvo type="num" val="0"/>
        <cfvo type="num" val="1"/>
      </iconSet>
    </cfRule>
  </conditionalFormatting>
  <conditionalFormatting sqref="M518:M521">
    <cfRule type="iconSet" priority="790">
      <iconSet iconSet="3Symbols2" showValue="0">
        <cfvo type="percent" val="0"/>
        <cfvo type="num" val="0"/>
        <cfvo type="num" val="1"/>
      </iconSet>
    </cfRule>
  </conditionalFormatting>
  <conditionalFormatting sqref="M531:M534">
    <cfRule type="iconSet" priority="789">
      <iconSet iconSet="3Symbols2" showValue="0">
        <cfvo type="percent" val="0"/>
        <cfvo type="num" val="0"/>
        <cfvo type="num" val="1"/>
      </iconSet>
    </cfRule>
  </conditionalFormatting>
  <conditionalFormatting sqref="M538:M541">
    <cfRule type="iconSet" priority="788">
      <iconSet iconSet="3Symbols2" showValue="0">
        <cfvo type="percent" val="0"/>
        <cfvo type="num" val="0"/>
        <cfvo type="num" val="1"/>
      </iconSet>
    </cfRule>
  </conditionalFormatting>
  <conditionalFormatting sqref="M546:M549">
    <cfRule type="iconSet" priority="787">
      <iconSet iconSet="3Symbols2" showValue="0">
        <cfvo type="percent" val="0"/>
        <cfvo type="num" val="0"/>
        <cfvo type="num" val="1"/>
      </iconSet>
    </cfRule>
  </conditionalFormatting>
  <conditionalFormatting sqref="M552:M554">
    <cfRule type="iconSet" priority="786">
      <iconSet iconSet="3Symbols2" showValue="0">
        <cfvo type="percent" val="0"/>
        <cfvo type="num" val="0"/>
        <cfvo type="num" val="1"/>
      </iconSet>
    </cfRule>
  </conditionalFormatting>
  <conditionalFormatting sqref="M557:M558">
    <cfRule type="iconSet" priority="785">
      <iconSet iconSet="3Symbols2" showValue="0">
        <cfvo type="percent" val="0"/>
        <cfvo type="num" val="0"/>
        <cfvo type="num" val="1"/>
      </iconSet>
    </cfRule>
  </conditionalFormatting>
  <conditionalFormatting sqref="M560">
    <cfRule type="iconSet" priority="784">
      <iconSet iconSet="3Symbols2" showValue="0">
        <cfvo type="percent" val="0"/>
        <cfvo type="num" val="0"/>
        <cfvo type="num" val="1"/>
      </iconSet>
    </cfRule>
  </conditionalFormatting>
  <conditionalFormatting sqref="N572">
    <cfRule type="iconSet" priority="783">
      <iconSet iconSet="3Symbols2" showValue="0">
        <cfvo type="percent" val="0"/>
        <cfvo type="num" val="0"/>
        <cfvo type="num" val="1"/>
      </iconSet>
    </cfRule>
  </conditionalFormatting>
  <conditionalFormatting sqref="N581:N585">
    <cfRule type="iconSet" priority="782">
      <iconSet iconSet="3Symbols2" showValue="0">
        <cfvo type="percent" val="0"/>
        <cfvo type="num" val="0"/>
        <cfvo type="num" val="1"/>
      </iconSet>
    </cfRule>
  </conditionalFormatting>
  <conditionalFormatting sqref="N591:N595">
    <cfRule type="iconSet" priority="781">
      <iconSet iconSet="3Symbols2" showValue="0">
        <cfvo type="percent" val="0"/>
        <cfvo type="num" val="0"/>
        <cfvo type="num" val="1"/>
      </iconSet>
    </cfRule>
  </conditionalFormatting>
  <conditionalFormatting sqref="N601:N605">
    <cfRule type="iconSet" priority="780">
      <iconSet iconSet="3Symbols2" showValue="0">
        <cfvo type="percent" val="0"/>
        <cfvo type="num" val="0"/>
        <cfvo type="num" val="1"/>
      </iconSet>
    </cfRule>
  </conditionalFormatting>
  <conditionalFormatting sqref="N610:N614">
    <cfRule type="iconSet" priority="779">
      <iconSet iconSet="3Symbols2" showValue="0">
        <cfvo type="percent" val="0"/>
        <cfvo type="num" val="0"/>
        <cfvo type="num" val="1"/>
      </iconSet>
    </cfRule>
  </conditionalFormatting>
  <conditionalFormatting sqref="M623:M624">
    <cfRule type="iconSet" priority="778">
      <iconSet iconSet="3Symbols2" showValue="0">
        <cfvo type="percent" val="0"/>
        <cfvo type="num" val="0"/>
        <cfvo type="num" val="1"/>
      </iconSet>
    </cfRule>
  </conditionalFormatting>
  <conditionalFormatting sqref="M641">
    <cfRule type="iconSet" priority="777">
      <iconSet iconSet="3Symbols2" showValue="0">
        <cfvo type="percent" val="0"/>
        <cfvo type="num" val="0"/>
        <cfvo type="num" val="1"/>
      </iconSet>
    </cfRule>
  </conditionalFormatting>
  <conditionalFormatting sqref="M648:M649">
    <cfRule type="iconSet" priority="776">
      <iconSet iconSet="3Symbols2" showValue="0">
        <cfvo type="percent" val="0"/>
        <cfvo type="num" val="0"/>
        <cfvo type="num" val="1"/>
      </iconSet>
    </cfRule>
  </conditionalFormatting>
  <conditionalFormatting sqref="M657:M658">
    <cfRule type="iconSet" priority="775">
      <iconSet iconSet="3Symbols2" showValue="0">
        <cfvo type="percent" val="0"/>
        <cfvo type="num" val="0"/>
        <cfvo type="num" val="1"/>
      </iconSet>
    </cfRule>
  </conditionalFormatting>
  <conditionalFormatting sqref="M665:M666">
    <cfRule type="iconSet" priority="774">
      <iconSet iconSet="3Symbols2" showValue="0">
        <cfvo type="percent" val="0"/>
        <cfvo type="num" val="0"/>
        <cfvo type="num" val="1"/>
      </iconSet>
    </cfRule>
  </conditionalFormatting>
  <conditionalFormatting sqref="M672">
    <cfRule type="iconSet" priority="773">
      <iconSet iconSet="3Symbols2" showValue="0">
        <cfvo type="percent" val="0"/>
        <cfvo type="num" val="0"/>
        <cfvo type="num" val="1"/>
      </iconSet>
    </cfRule>
  </conditionalFormatting>
  <conditionalFormatting sqref="M676">
    <cfRule type="iconSet" priority="772">
      <iconSet iconSet="3Symbols2" showValue="0">
        <cfvo type="percent" val="0"/>
        <cfvo type="num" val="0"/>
        <cfvo type="num" val="1"/>
      </iconSet>
    </cfRule>
  </conditionalFormatting>
  <conditionalFormatting sqref="O713:O714 N699:N702">
    <cfRule type="iconSet" priority="770">
      <iconSet iconSet="3Symbols2" showValue="0">
        <cfvo type="percent" val="0"/>
        <cfvo type="num" val="0"/>
        <cfvo type="num" val="1"/>
      </iconSet>
    </cfRule>
  </conditionalFormatting>
  <conditionalFormatting sqref="J716:J717">
    <cfRule type="iconSet" priority="76642">
      <iconSet iconSet="3Symbols2" showValue="0">
        <cfvo type="percent" val="0"/>
        <cfvo type="num" val="0"/>
        <cfvo type="num" val="1"/>
      </iconSet>
    </cfRule>
  </conditionalFormatting>
  <conditionalFormatting sqref="V716">
    <cfRule type="iconSet" priority="76698">
      <iconSet iconSet="3Symbols2" showValue="0">
        <cfvo type="percent" val="0"/>
        <cfvo type="num" val="0"/>
        <cfvo type="num" val="1"/>
      </iconSet>
    </cfRule>
  </conditionalFormatting>
  <conditionalFormatting sqref="N778 N9:N53 N60 N67:N80 N269:N274 N279:N284 N289:N293 N298:N304 N308 N404 N407 N419:N423 N428:N431 N438:N441 N448:N450 N457:N461 N464 N573:N580 N586:N590 N596:N600 N606:N609 N615:N622 N625 N762 N741:N755 N97:N151 N153:N244 N246:N264 N310:N401 N466:N560 N564:N571 N627:N645 N682:N697 N648:N654 N657:N662 N665:N669 N672:N677 N680 N94 N562 N409:N417 N780:N897 N717:N738">
    <cfRule type="iconSet" priority="76822">
      <iconSet iconSet="3Symbols2" showValue="0">
        <cfvo type="percent" val="0"/>
        <cfvo type="num" val="0"/>
        <cfvo type="num" val="1"/>
      </iconSet>
    </cfRule>
  </conditionalFormatting>
  <conditionalFormatting sqref="N716">
    <cfRule type="iconSet" priority="769">
      <iconSet iconSet="3Symbols2" showValue="0">
        <cfvo type="percent" val="0"/>
        <cfvo type="num" val="0"/>
        <cfvo type="num" val="1"/>
      </iconSet>
    </cfRule>
  </conditionalFormatting>
  <conditionalFormatting sqref="M728:M737">
    <cfRule type="iconSet" priority="768">
      <iconSet iconSet="3Symbols2" showValue="0">
        <cfvo type="percent" val="0"/>
        <cfvo type="num" val="0"/>
        <cfvo type="num" val="1"/>
      </iconSet>
    </cfRule>
  </conditionalFormatting>
  <conditionalFormatting sqref="N756:N761">
    <cfRule type="iconSet" priority="766">
      <iconSet iconSet="3Symbols2" showValue="0">
        <cfvo type="percent" val="0"/>
        <cfvo type="num" val="0"/>
        <cfvo type="num" val="1"/>
      </iconSet>
    </cfRule>
  </conditionalFormatting>
  <conditionalFormatting sqref="N768">
    <cfRule type="iconSet" priority="764">
      <iconSet iconSet="3Symbols2" showValue="0">
        <cfvo type="percent" val="0"/>
        <cfvo type="num" val="0"/>
        <cfvo type="num" val="1"/>
      </iconSet>
    </cfRule>
  </conditionalFormatting>
  <conditionalFormatting sqref="N763:N767">
    <cfRule type="iconSet" priority="763">
      <iconSet iconSet="3Symbols2" showValue="0">
        <cfvo type="percent" val="0"/>
        <cfvo type="num" val="0"/>
        <cfvo type="num" val="1"/>
      </iconSet>
    </cfRule>
  </conditionalFormatting>
  <conditionalFormatting sqref="N769:N777">
    <cfRule type="iconSet" priority="761">
      <iconSet iconSet="3Symbols2" showValue="0">
        <cfvo type="percent" val="0"/>
        <cfvo type="num" val="0"/>
        <cfvo type="num" val="1"/>
      </iconSet>
    </cfRule>
  </conditionalFormatting>
  <conditionalFormatting sqref="M801:M897 M780:M788 M489:M495 M9:M39 M46 M53:M67 M74 M94 M182:M219 M221:M244 M268:M274 M279:M284 M289:M293 M298:M304 M308 M325:M329 M333:M339 M358:M361 M345:M353 M367:M375 M381:M382 M387:M390 M395:M397 M400:M405 M419:M421 M424:M431 M438:M441 M448:M450 M457:M461 M464 M482:M485 M501:M509 M515:M517 M522:M530 M535:M537 M542:M545 M550:M551 M555:M556 M559 M562 M625 M642:M645 M650:M654 M659:M662 M667:M669 M673:M675 M677 M680 M738:M739 M97:M151 M153:M180 M246:M264 M310:M322 M466:M477 M564:M620 M627:M640 M682:M697 M699:M702 M716:M727 M407 M622 M792 M409:M415 M417 M714 M741:M778">
    <cfRule type="iconSet" priority="81054">
      <iconSet iconSet="3Symbols2" showValue="0">
        <cfvo type="percent" val="0"/>
        <cfvo type="num" val="0"/>
        <cfvo type="num" val="1"/>
      </iconSet>
    </cfRule>
  </conditionalFormatting>
  <conditionalFormatting sqref="O801:O897 O9:O80 O97:O151 O153:O244 O246:O267 O310:O405 O466:O560 O564:O625 O627:O640 O682:O697 O407 O297:O308 O269:O277 O279:O287 O289:O295 O642:O680 O94 O562 O409:O464 O780:O789 O791:O792 O716:O778">
    <cfRule type="iconSet" priority="81129">
      <iconSet iconSet="3Symbols2" showValue="0">
        <cfvo type="percent" val="0"/>
        <cfvo type="num" val="0"/>
        <cfvo type="num" val="1"/>
      </iconSet>
    </cfRule>
  </conditionalFormatting>
  <conditionalFormatting sqref="P801:P897 P564:P625 P9:P80 P97:P151 P153:P244 P246:P304 P310:P407 P627:P680 P682:P697 P699:P702 P308 P94 P466:P562 P409:P464 P713:P714 P780:P789 P791:P792 P716:P778">
    <cfRule type="iconSet" priority="81132">
      <iconSet iconSet="3Symbols2" showValue="0">
        <cfvo type="percent" val="0"/>
        <cfvo type="num" val="0"/>
        <cfvo type="num" val="1"/>
      </iconSet>
    </cfRule>
  </conditionalFormatting>
  <conditionalFormatting sqref="N739 M740">
    <cfRule type="iconSet" priority="81142">
      <iconSet iconSet="3Symbols2" showValue="0">
        <cfvo type="percent" val="0"/>
        <cfvo type="num" val="0"/>
        <cfvo type="num" val="1"/>
      </iconSet>
    </cfRule>
  </conditionalFormatting>
  <conditionalFormatting sqref="R784">
    <cfRule type="iconSet" priority="710">
      <iconSet iconSet="3Symbols2" showValue="0">
        <cfvo type="percent" val="0"/>
        <cfvo type="num" val="0"/>
        <cfvo type="num" val="1"/>
      </iconSet>
    </cfRule>
  </conditionalFormatting>
  <conditionalFormatting sqref="R785">
    <cfRule type="iconSet" priority="709">
      <iconSet iconSet="3Symbols2" showValue="0">
        <cfvo type="percent" val="0"/>
        <cfvo type="num" val="0"/>
        <cfvo type="num" val="1"/>
      </iconSet>
    </cfRule>
  </conditionalFormatting>
  <conditionalFormatting sqref="R786">
    <cfRule type="iconSet" priority="708">
      <iconSet iconSet="3Symbols2" showValue="0">
        <cfvo type="percent" val="0"/>
        <cfvo type="num" val="0"/>
        <cfvo type="num" val="1"/>
      </iconSet>
    </cfRule>
  </conditionalFormatting>
  <conditionalFormatting sqref="R787:R788">
    <cfRule type="iconSet" priority="707">
      <iconSet iconSet="3Symbols2" showValue="0">
        <cfvo type="percent" val="0"/>
        <cfvo type="num" val="0"/>
        <cfvo type="num" val="1"/>
      </iconSet>
    </cfRule>
  </conditionalFormatting>
  <conditionalFormatting sqref="R780:R783 R792:R795">
    <cfRule type="iconSet" priority="692">
      <iconSet iconSet="3Symbols2" showValue="0">
        <cfvo type="percent" val="0"/>
        <cfvo type="num" val="0"/>
        <cfvo type="num" val="1"/>
      </iconSet>
    </cfRule>
  </conditionalFormatting>
  <conditionalFormatting sqref="N898:P1048576 J778:L778 K782:K786 L782:L783 K346:L349 J682:L696 K781:L781 N1:P1 J564:L566 J567:K571 J627:L639 J640:K640 J714:L714 K717:L717 K716 J723:L727 Q801 N3:P3 J755:L755 J193:L196 J197:K199 J202:L207 J213:L214 J220:L224 J225:K227 J230:L231 J232:K233 J466:L485 J188:K190 K208:L210 K215:L216 J254:K255 K351:L353 J354:L405 J489:L560 J622:L624 J616:K620 J641:L645 J268:L274 K267 J718:K722 J1:L6 J43:L49 K40:L42 N6:P6 Q1:Q6 J237:L244 J256:L264 J279:L284 J289:L293 J9:L39 J97:L151 J153:L187 J246:L253 J310:L345 J780:L780 Q780:Q783 J265:K266 J648:L654 J646:K647 J657:L662 J655:K656 J665:L669 J663:K664 J672:L677 J670:K671 J678:K679 K793:K798 J792:L792 Q792:Q795 J96:J151 J153:J244 J246:J306 J310:J407 J466:J562 J627:J680 J682:J714 J716:J728 K55:K59 J67:L80 K61:K66 K427 K437 K447 J457:L460 K455:K456 K582:K585 K592:K595 K602:K605 J615:L615 K610:K614 J740:L747 K739 J762:L762 J756:K761 J763:K767 J699:K713 J94:L94 J9:J49 J564:J571 K621:M621 J298:L306 J308:L308 K307:M307 K50:K52 L50:M50 M51:M52 J802:L1048576 J780:J788 J409:L415 J53:L54 J60:L60 J67:J84 J88 J417:L426 K416:L416 J428:L436 J438:L446 J448:L454 J457:J464 K572 J573:L581 J586:L591 J596:L601 J606:L609 J615:J620 J622:J625 J738:L738 K737 J740:J778 Q803:Q1048576 J792:J800 J728:K736">
    <cfRule type="iconSet" priority="81209">
      <iconSet iconSet="3Symbols2" showValue="0">
        <cfvo type="percent" val="0"/>
        <cfvo type="num" val="0"/>
        <cfvo type="num" val="1"/>
      </iconSet>
    </cfRule>
  </conditionalFormatting>
  <conditionalFormatting sqref="N406">
    <cfRule type="iconSet" priority="656">
      <iconSet iconSet="3Symbols2" showValue="0">
        <cfvo type="percent" val="0"/>
        <cfvo type="num" val="0"/>
        <cfvo type="num" val="1"/>
      </iconSet>
    </cfRule>
  </conditionalFormatting>
  <conditionalFormatting sqref="M406">
    <cfRule type="iconSet" priority="655">
      <iconSet iconSet="3Symbols2" showValue="0">
        <cfvo type="percent" val="0"/>
        <cfvo type="num" val="0"/>
        <cfvo type="num" val="1"/>
      </iconSet>
    </cfRule>
  </conditionalFormatting>
  <conditionalFormatting sqref="O406">
    <cfRule type="iconSet" priority="654">
      <iconSet iconSet="3Symbols2" showValue="0">
        <cfvo type="percent" val="0"/>
        <cfvo type="num" val="0"/>
        <cfvo type="num" val="1"/>
      </iconSet>
    </cfRule>
  </conditionalFormatting>
  <conditionalFormatting sqref="J406:L406">
    <cfRule type="iconSet" priority="653">
      <iconSet iconSet="3Symbols2" showValue="0">
        <cfvo type="percent" val="0"/>
        <cfvo type="num" val="0"/>
        <cfvo type="num" val="1"/>
      </iconSet>
    </cfRule>
  </conditionalFormatting>
  <conditionalFormatting sqref="M486:M488">
    <cfRule type="iconSet" priority="81282">
      <iconSet iconSet="3Symbols2" showValue="0">
        <cfvo type="percent" val="0"/>
        <cfvo type="num" val="0"/>
        <cfvo type="num" val="1"/>
      </iconSet>
    </cfRule>
  </conditionalFormatting>
  <conditionalFormatting sqref="O297">
    <cfRule type="iconSet" priority="642">
      <iconSet iconSet="3Symbols2" showValue="0">
        <cfvo type="percent" val="0"/>
        <cfvo type="num" val="0"/>
        <cfvo type="num" val="1"/>
      </iconSet>
    </cfRule>
  </conditionalFormatting>
  <conditionalFormatting sqref="O296">
    <cfRule type="iconSet" priority="641">
      <iconSet iconSet="3Symbols2" showValue="0">
        <cfvo type="percent" val="0"/>
        <cfvo type="num" val="0"/>
        <cfvo type="num" val="1"/>
      </iconSet>
    </cfRule>
  </conditionalFormatting>
  <conditionalFormatting sqref="O296">
    <cfRule type="iconSet" priority="640">
      <iconSet iconSet="3Symbols2" showValue="0">
        <cfvo type="percent" val="0"/>
        <cfvo type="num" val="0"/>
        <cfvo type="num" val="1"/>
      </iconSet>
    </cfRule>
  </conditionalFormatting>
  <conditionalFormatting sqref="O268">
    <cfRule type="iconSet" priority="639">
      <iconSet iconSet="3Symbols2" showValue="0">
        <cfvo type="percent" val="0"/>
        <cfvo type="num" val="0"/>
        <cfvo type="num" val="1"/>
      </iconSet>
    </cfRule>
  </conditionalFormatting>
  <conditionalFormatting sqref="O278">
    <cfRule type="iconSet" priority="638">
      <iconSet iconSet="3Symbols2" showValue="0">
        <cfvo type="percent" val="0"/>
        <cfvo type="num" val="0"/>
        <cfvo type="num" val="1"/>
      </iconSet>
    </cfRule>
  </conditionalFormatting>
  <conditionalFormatting sqref="O288">
    <cfRule type="iconSet" priority="637">
      <iconSet iconSet="3Symbols2" showValue="0">
        <cfvo type="percent" val="0"/>
        <cfvo type="num" val="0"/>
        <cfvo type="num" val="1"/>
      </iconSet>
    </cfRule>
  </conditionalFormatting>
  <conditionalFormatting sqref="P305:P307">
    <cfRule type="iconSet" priority="636">
      <iconSet iconSet="3Symbols2" showValue="0">
        <cfvo type="percent" val="0"/>
        <cfvo type="num" val="0"/>
        <cfvo type="num" val="1"/>
      </iconSet>
    </cfRule>
  </conditionalFormatting>
  <conditionalFormatting sqref="O641">
    <cfRule type="iconSet" priority="616">
      <iconSet iconSet="3Symbols2" showValue="0">
        <cfvo type="percent" val="0"/>
        <cfvo type="num" val="0"/>
        <cfvo type="num" val="1"/>
      </iconSet>
    </cfRule>
  </conditionalFormatting>
  <conditionalFormatting sqref="M265:M266">
    <cfRule type="iconSet" priority="615">
      <iconSet iconSet="3Symbols2" showValue="0">
        <cfvo type="percent" val="0"/>
        <cfvo type="num" val="0"/>
        <cfvo type="num" val="1"/>
      </iconSet>
    </cfRule>
  </conditionalFormatting>
  <conditionalFormatting sqref="M267">
    <cfRule type="iconSet" priority="614">
      <iconSet iconSet="3Symbols2" showValue="0">
        <cfvo type="percent" val="0"/>
        <cfvo type="num" val="0"/>
        <cfvo type="num" val="1"/>
      </iconSet>
    </cfRule>
  </conditionalFormatting>
  <conditionalFormatting sqref="N265:N266">
    <cfRule type="iconSet" priority="613">
      <iconSet iconSet="3Symbols2" showValue="0">
        <cfvo type="percent" val="0"/>
        <cfvo type="num" val="0"/>
        <cfvo type="num" val="1"/>
      </iconSet>
    </cfRule>
  </conditionalFormatting>
  <conditionalFormatting sqref="N267">
    <cfRule type="iconSet" priority="612">
      <iconSet iconSet="3Symbols2" showValue="0">
        <cfvo type="percent" val="0"/>
        <cfvo type="num" val="0"/>
        <cfvo type="num" val="1"/>
      </iconSet>
    </cfRule>
  </conditionalFormatting>
  <conditionalFormatting sqref="L265:L267">
    <cfRule type="iconSet" priority="611">
      <iconSet iconSet="3Symbols2" showValue="0">
        <cfvo type="percent" val="0"/>
        <cfvo type="num" val="0"/>
        <cfvo type="num" val="1"/>
      </iconSet>
    </cfRule>
  </conditionalFormatting>
  <conditionalFormatting sqref="M277">
    <cfRule type="iconSet" priority="610">
      <iconSet iconSet="3Symbols2" showValue="0">
        <cfvo type="percent" val="0"/>
        <cfvo type="num" val="0"/>
        <cfvo type="num" val="1"/>
      </iconSet>
    </cfRule>
  </conditionalFormatting>
  <conditionalFormatting sqref="M275:M276">
    <cfRule type="iconSet" priority="609">
      <iconSet iconSet="3Symbols2" showValue="0">
        <cfvo type="percent" val="0"/>
        <cfvo type="num" val="0"/>
        <cfvo type="num" val="1"/>
      </iconSet>
    </cfRule>
  </conditionalFormatting>
  <conditionalFormatting sqref="N275:N276">
    <cfRule type="iconSet" priority="608">
      <iconSet iconSet="3Symbols2" showValue="0">
        <cfvo type="percent" val="0"/>
        <cfvo type="num" val="0"/>
        <cfvo type="num" val="1"/>
      </iconSet>
    </cfRule>
  </conditionalFormatting>
  <conditionalFormatting sqref="N277">
    <cfRule type="iconSet" priority="607">
      <iconSet iconSet="3Symbols2" showValue="0">
        <cfvo type="percent" val="0"/>
        <cfvo type="num" val="0"/>
        <cfvo type="num" val="1"/>
      </iconSet>
    </cfRule>
  </conditionalFormatting>
  <conditionalFormatting sqref="L275:L276">
    <cfRule type="iconSet" priority="606">
      <iconSet iconSet="3Symbols2" showValue="0">
        <cfvo type="percent" val="0"/>
        <cfvo type="num" val="0"/>
        <cfvo type="num" val="1"/>
      </iconSet>
    </cfRule>
  </conditionalFormatting>
  <conditionalFormatting sqref="L277">
    <cfRule type="iconSet" priority="605">
      <iconSet iconSet="3Symbols2" showValue="0">
        <cfvo type="percent" val="0"/>
        <cfvo type="num" val="0"/>
        <cfvo type="num" val="1"/>
      </iconSet>
    </cfRule>
  </conditionalFormatting>
  <conditionalFormatting sqref="L285:L286">
    <cfRule type="iconSet" priority="604">
      <iconSet iconSet="3Symbols2" showValue="0">
        <cfvo type="percent" val="0"/>
        <cfvo type="num" val="0"/>
        <cfvo type="num" val="1"/>
      </iconSet>
    </cfRule>
  </conditionalFormatting>
  <conditionalFormatting sqref="M287">
    <cfRule type="iconSet" priority="603">
      <iconSet iconSet="3Symbols2" showValue="0">
        <cfvo type="percent" val="0"/>
        <cfvo type="num" val="0"/>
        <cfvo type="num" val="1"/>
      </iconSet>
    </cfRule>
  </conditionalFormatting>
  <conditionalFormatting sqref="M285:M286">
    <cfRule type="iconSet" priority="602">
      <iconSet iconSet="3Symbols2" showValue="0">
        <cfvo type="percent" val="0"/>
        <cfvo type="num" val="0"/>
        <cfvo type="num" val="1"/>
      </iconSet>
    </cfRule>
  </conditionalFormatting>
  <conditionalFormatting sqref="L287">
    <cfRule type="iconSet" priority="601">
      <iconSet iconSet="3Symbols2" showValue="0">
        <cfvo type="percent" val="0"/>
        <cfvo type="num" val="0"/>
        <cfvo type="num" val="1"/>
      </iconSet>
    </cfRule>
  </conditionalFormatting>
  <conditionalFormatting sqref="N285:N286">
    <cfRule type="iconSet" priority="600">
      <iconSet iconSet="3Symbols2" showValue="0">
        <cfvo type="percent" val="0"/>
        <cfvo type="num" val="0"/>
        <cfvo type="num" val="1"/>
      </iconSet>
    </cfRule>
  </conditionalFormatting>
  <conditionalFormatting sqref="N287">
    <cfRule type="iconSet" priority="599">
      <iconSet iconSet="3Symbols2" showValue="0">
        <cfvo type="percent" val="0"/>
        <cfvo type="num" val="0"/>
        <cfvo type="num" val="1"/>
      </iconSet>
    </cfRule>
  </conditionalFormatting>
  <conditionalFormatting sqref="L294:L295">
    <cfRule type="iconSet" priority="598">
      <iconSet iconSet="3Symbols2" showValue="0">
        <cfvo type="percent" val="0"/>
        <cfvo type="num" val="0"/>
        <cfvo type="num" val="1"/>
      </iconSet>
    </cfRule>
  </conditionalFormatting>
  <conditionalFormatting sqref="M294:M295">
    <cfRule type="iconSet" priority="597">
      <iconSet iconSet="3Symbols2" showValue="0">
        <cfvo type="percent" val="0"/>
        <cfvo type="num" val="0"/>
        <cfvo type="num" val="1"/>
      </iconSet>
    </cfRule>
  </conditionalFormatting>
  <conditionalFormatting sqref="N294:N295">
    <cfRule type="iconSet" priority="596">
      <iconSet iconSet="3Symbols2" showValue="0">
        <cfvo type="percent" val="0"/>
        <cfvo type="num" val="0"/>
        <cfvo type="num" val="1"/>
      </iconSet>
    </cfRule>
  </conditionalFormatting>
  <conditionalFormatting sqref="N297">
    <cfRule type="iconSet" priority="595">
      <iconSet iconSet="3Symbols2" showValue="0">
        <cfvo type="percent" val="0"/>
        <cfvo type="num" val="0"/>
        <cfvo type="num" val="1"/>
      </iconSet>
    </cfRule>
  </conditionalFormatting>
  <conditionalFormatting sqref="N297">
    <cfRule type="iconSet" priority="594">
      <iconSet iconSet="3Symbols2" showValue="0">
        <cfvo type="percent" val="0"/>
        <cfvo type="num" val="0"/>
        <cfvo type="num" val="1"/>
      </iconSet>
    </cfRule>
  </conditionalFormatting>
  <conditionalFormatting sqref="N296">
    <cfRule type="iconSet" priority="593">
      <iconSet iconSet="3Symbols2" showValue="0">
        <cfvo type="percent" val="0"/>
        <cfvo type="num" val="0"/>
        <cfvo type="num" val="1"/>
      </iconSet>
    </cfRule>
  </conditionalFormatting>
  <conditionalFormatting sqref="N296">
    <cfRule type="iconSet" priority="592">
      <iconSet iconSet="3Symbols2" showValue="0">
        <cfvo type="percent" val="0"/>
        <cfvo type="num" val="0"/>
        <cfvo type="num" val="1"/>
      </iconSet>
    </cfRule>
  </conditionalFormatting>
  <conditionalFormatting sqref="L646:L647">
    <cfRule type="iconSet" priority="590">
      <iconSet iconSet="3Symbols2" showValue="0">
        <cfvo type="percent" val="0"/>
        <cfvo type="num" val="0"/>
        <cfvo type="num" val="1"/>
      </iconSet>
    </cfRule>
  </conditionalFormatting>
  <conditionalFormatting sqref="N646:N647">
    <cfRule type="iconSet" priority="589">
      <iconSet iconSet="3Symbols2" showValue="0">
        <cfvo type="percent" val="0"/>
        <cfvo type="num" val="0"/>
        <cfvo type="num" val="1"/>
      </iconSet>
    </cfRule>
  </conditionalFormatting>
  <conditionalFormatting sqref="M646:M647">
    <cfRule type="iconSet" priority="588">
      <iconSet iconSet="3Symbols2" showValue="0">
        <cfvo type="percent" val="0"/>
        <cfvo type="num" val="0"/>
        <cfvo type="num" val="1"/>
      </iconSet>
    </cfRule>
  </conditionalFormatting>
  <conditionalFormatting sqref="L655:L656">
    <cfRule type="iconSet" priority="586">
      <iconSet iconSet="3Symbols2" showValue="0">
        <cfvo type="percent" val="0"/>
        <cfvo type="num" val="0"/>
        <cfvo type="num" val="1"/>
      </iconSet>
    </cfRule>
  </conditionalFormatting>
  <conditionalFormatting sqref="N655:N656">
    <cfRule type="iconSet" priority="585">
      <iconSet iconSet="3Symbols2" showValue="0">
        <cfvo type="percent" val="0"/>
        <cfvo type="num" val="0"/>
        <cfvo type="num" val="1"/>
      </iconSet>
    </cfRule>
  </conditionalFormatting>
  <conditionalFormatting sqref="M655:M656">
    <cfRule type="iconSet" priority="584">
      <iconSet iconSet="3Symbols2" showValue="0">
        <cfvo type="percent" val="0"/>
        <cfvo type="num" val="0"/>
        <cfvo type="num" val="1"/>
      </iconSet>
    </cfRule>
  </conditionalFormatting>
  <conditionalFormatting sqref="L663:L664">
    <cfRule type="iconSet" priority="582">
      <iconSet iconSet="3Symbols2" showValue="0">
        <cfvo type="percent" val="0"/>
        <cfvo type="num" val="0"/>
        <cfvo type="num" val="1"/>
      </iconSet>
    </cfRule>
  </conditionalFormatting>
  <conditionalFormatting sqref="N663:N664">
    <cfRule type="iconSet" priority="581">
      <iconSet iconSet="3Symbols2" showValue="0">
        <cfvo type="percent" val="0"/>
        <cfvo type="num" val="0"/>
        <cfvo type="num" val="1"/>
      </iconSet>
    </cfRule>
  </conditionalFormatting>
  <conditionalFormatting sqref="M663:M664">
    <cfRule type="iconSet" priority="580">
      <iconSet iconSet="3Symbols2" showValue="0">
        <cfvo type="percent" val="0"/>
        <cfvo type="num" val="0"/>
        <cfvo type="num" val="1"/>
      </iconSet>
    </cfRule>
  </conditionalFormatting>
  <conditionalFormatting sqref="L670:L671">
    <cfRule type="iconSet" priority="578">
      <iconSet iconSet="3Symbols2" showValue="0">
        <cfvo type="percent" val="0"/>
        <cfvo type="num" val="0"/>
        <cfvo type="num" val="1"/>
      </iconSet>
    </cfRule>
  </conditionalFormatting>
  <conditionalFormatting sqref="N670:N671">
    <cfRule type="iconSet" priority="577">
      <iconSet iconSet="3Symbols2" showValue="0">
        <cfvo type="percent" val="0"/>
        <cfvo type="num" val="0"/>
        <cfvo type="num" val="1"/>
      </iconSet>
    </cfRule>
  </conditionalFormatting>
  <conditionalFormatting sqref="M670:M671">
    <cfRule type="iconSet" priority="576">
      <iconSet iconSet="3Symbols2" showValue="0">
        <cfvo type="percent" val="0"/>
        <cfvo type="num" val="0"/>
        <cfvo type="num" val="1"/>
      </iconSet>
    </cfRule>
  </conditionalFormatting>
  <conditionalFormatting sqref="M678:M679">
    <cfRule type="iconSet" priority="575">
      <iconSet iconSet="3Symbols2" showValue="0">
        <cfvo type="percent" val="0"/>
        <cfvo type="num" val="0"/>
        <cfvo type="num" val="1"/>
      </iconSet>
    </cfRule>
  </conditionalFormatting>
  <conditionalFormatting sqref="L678:L679">
    <cfRule type="iconSet" priority="574">
      <iconSet iconSet="3Symbols2" showValue="0">
        <cfvo type="percent" val="0"/>
        <cfvo type="num" val="0"/>
        <cfvo type="num" val="1"/>
      </iconSet>
    </cfRule>
  </conditionalFormatting>
  <conditionalFormatting sqref="N678:N679">
    <cfRule type="iconSet" priority="573">
      <iconSet iconSet="3Symbols2" showValue="0">
        <cfvo type="percent" val="0"/>
        <cfvo type="num" val="0"/>
        <cfvo type="num" val="1"/>
      </iconSet>
    </cfRule>
  </conditionalFormatting>
  <conditionalFormatting sqref="M91:M93 M85:M87">
    <cfRule type="iconSet" priority="549">
      <iconSet iconSet="3Symbols2" showValue="0">
        <cfvo type="percent" val="0"/>
        <cfvo type="num" val="0"/>
        <cfvo type="num" val="1"/>
      </iconSet>
    </cfRule>
  </conditionalFormatting>
  <conditionalFormatting sqref="M81">
    <cfRule type="iconSet" priority="546">
      <iconSet iconSet="3Symbols2" showValue="0">
        <cfvo type="percent" val="0"/>
        <cfvo type="num" val="0"/>
        <cfvo type="num" val="1"/>
      </iconSet>
    </cfRule>
  </conditionalFormatting>
  <conditionalFormatting sqref="N561">
    <cfRule type="iconSet" priority="461">
      <iconSet iconSet="3Symbols2" showValue="0">
        <cfvo type="percent" val="0"/>
        <cfvo type="num" val="0"/>
        <cfvo type="num" val="1"/>
      </iconSet>
    </cfRule>
  </conditionalFormatting>
  <conditionalFormatting sqref="O561">
    <cfRule type="iconSet" priority="459">
      <iconSet iconSet="3Symbols2" showValue="0">
        <cfvo type="percent" val="0"/>
        <cfvo type="num" val="0"/>
        <cfvo type="num" val="1"/>
      </iconSet>
    </cfRule>
  </conditionalFormatting>
  <conditionalFormatting sqref="J561:L561">
    <cfRule type="iconSet" priority="458">
      <iconSet iconSet="3Symbols2" showValue="0">
        <cfvo type="percent" val="0"/>
        <cfvo type="num" val="0"/>
        <cfvo type="num" val="1"/>
      </iconSet>
    </cfRule>
  </conditionalFormatting>
  <conditionalFormatting sqref="M561">
    <cfRule type="iconSet" priority="457">
      <iconSet iconSet="3Symbols2" showValue="0">
        <cfvo type="percent" val="0"/>
        <cfvo type="num" val="0"/>
        <cfvo type="num" val="1"/>
      </iconSet>
    </cfRule>
  </conditionalFormatting>
  <conditionalFormatting sqref="Q407">
    <cfRule type="iconSet" priority="436">
      <iconSet iconSet="3Symbols2" showValue="0">
        <cfvo type="percent" val="0"/>
        <cfvo type="num" val="0"/>
        <cfvo type="num" val="1"/>
      </iconSet>
    </cfRule>
  </conditionalFormatting>
  <conditionalFormatting sqref="Q464">
    <cfRule type="iconSet" priority="435">
      <iconSet iconSet="3Symbols2" showValue="0">
        <cfvo type="percent" val="0"/>
        <cfvo type="num" val="0"/>
        <cfvo type="num" val="1"/>
      </iconSet>
    </cfRule>
  </conditionalFormatting>
  <conditionalFormatting sqref="Q562">
    <cfRule type="iconSet" priority="434">
      <iconSet iconSet="3Symbols2" showValue="0">
        <cfvo type="percent" val="0"/>
        <cfvo type="num" val="0"/>
        <cfvo type="num" val="1"/>
      </iconSet>
    </cfRule>
  </conditionalFormatting>
  <conditionalFormatting sqref="Q625">
    <cfRule type="iconSet" priority="433">
      <iconSet iconSet="3Symbols2" showValue="0">
        <cfvo type="percent" val="0"/>
        <cfvo type="num" val="0"/>
        <cfvo type="num" val="1"/>
      </iconSet>
    </cfRule>
  </conditionalFormatting>
  <conditionalFormatting sqref="Q680">
    <cfRule type="iconSet" priority="432">
      <iconSet iconSet="3Symbols2" showValue="0">
        <cfvo type="percent" val="0"/>
        <cfvo type="num" val="0"/>
        <cfvo type="num" val="1"/>
      </iconSet>
    </cfRule>
  </conditionalFormatting>
  <conditionalFormatting sqref="Q697">
    <cfRule type="iconSet" priority="431">
      <iconSet iconSet="3Symbols2" showValue="0">
        <cfvo type="percent" val="0"/>
        <cfvo type="num" val="0"/>
        <cfvo type="num" val="1"/>
      </iconSet>
    </cfRule>
  </conditionalFormatting>
  <conditionalFormatting sqref="Q350">
    <cfRule type="iconSet" priority="429">
      <iconSet iconSet="3Symbols2" showValue="0">
        <cfvo type="percent" val="0"/>
        <cfvo type="num" val="0"/>
        <cfvo type="num" val="1"/>
      </iconSet>
    </cfRule>
  </conditionalFormatting>
  <conditionalFormatting sqref="Q768:Q773">
    <cfRule type="iconSet" priority="427">
      <iconSet iconSet="3Symbols2" showValue="0">
        <cfvo type="percent" val="0"/>
        <cfvo type="num" val="0"/>
        <cfvo type="num" val="1"/>
      </iconSet>
    </cfRule>
  </conditionalFormatting>
  <conditionalFormatting sqref="Q748:Q754">
    <cfRule type="iconSet" priority="426">
      <iconSet iconSet="3Symbols2" showValue="0">
        <cfvo type="percent" val="0"/>
        <cfvo type="num" val="0"/>
        <cfvo type="num" val="1"/>
      </iconSet>
    </cfRule>
  </conditionalFormatting>
  <conditionalFormatting sqref="Q232:Q233">
    <cfRule type="iconSet" priority="425">
      <iconSet iconSet="3Symbols2" showValue="0">
        <cfvo type="percent" val="0"/>
        <cfvo type="num" val="0"/>
        <cfvo type="num" val="1"/>
      </iconSet>
    </cfRule>
  </conditionalFormatting>
  <conditionalFormatting sqref="Q234">
    <cfRule type="iconSet" priority="424">
      <iconSet iconSet="3Symbols2" showValue="0">
        <cfvo type="percent" val="0"/>
        <cfvo type="num" val="0"/>
        <cfvo type="num" val="1"/>
      </iconSet>
    </cfRule>
  </conditionalFormatting>
  <conditionalFormatting sqref="Q721">
    <cfRule type="iconSet" priority="423">
      <iconSet iconSet="3Symbols2" showValue="0">
        <cfvo type="percent" val="0"/>
        <cfvo type="num" val="0"/>
        <cfvo type="num" val="1"/>
      </iconSet>
    </cfRule>
  </conditionalFormatting>
  <conditionalFormatting sqref="Q718">
    <cfRule type="iconSet" priority="422">
      <iconSet iconSet="3Symbols2" showValue="0">
        <cfvo type="percent" val="0"/>
        <cfvo type="num" val="0"/>
        <cfvo type="num" val="1"/>
      </iconSet>
    </cfRule>
  </conditionalFormatting>
  <conditionalFormatting sqref="Q720">
    <cfRule type="iconSet" priority="421">
      <iconSet iconSet="3Symbols2" showValue="0">
        <cfvo type="percent" val="0"/>
        <cfvo type="num" val="0"/>
        <cfvo type="num" val="1"/>
      </iconSet>
    </cfRule>
  </conditionalFormatting>
  <conditionalFormatting sqref="Q722">
    <cfRule type="iconSet" priority="420">
      <iconSet iconSet="3Symbols2" showValue="0">
        <cfvo type="percent" val="0"/>
        <cfvo type="num" val="0"/>
        <cfvo type="num" val="1"/>
      </iconSet>
    </cfRule>
  </conditionalFormatting>
  <conditionalFormatting sqref="Q191:Q192">
    <cfRule type="iconSet" priority="419">
      <iconSet iconSet="3Symbols2" showValue="0">
        <cfvo type="percent" val="0"/>
        <cfvo type="num" val="0"/>
        <cfvo type="num" val="1"/>
      </iconSet>
    </cfRule>
  </conditionalFormatting>
  <conditionalFormatting sqref="Q200:Q201">
    <cfRule type="iconSet" priority="418">
      <iconSet iconSet="3Symbols2" showValue="0">
        <cfvo type="percent" val="0"/>
        <cfvo type="num" val="0"/>
        <cfvo type="num" val="1"/>
      </iconSet>
    </cfRule>
  </conditionalFormatting>
  <conditionalFormatting sqref="Q208:Q210">
    <cfRule type="iconSet" priority="417">
      <iconSet iconSet="3Symbols2" showValue="0">
        <cfvo type="percent" val="0"/>
        <cfvo type="num" val="0"/>
        <cfvo type="num" val="1"/>
      </iconSet>
    </cfRule>
  </conditionalFormatting>
  <conditionalFormatting sqref="Q211:Q212">
    <cfRule type="iconSet" priority="416">
      <iconSet iconSet="3Symbols2" showValue="0">
        <cfvo type="percent" val="0"/>
        <cfvo type="num" val="0"/>
        <cfvo type="num" val="1"/>
      </iconSet>
    </cfRule>
  </conditionalFormatting>
  <conditionalFormatting sqref="Q215:Q216">
    <cfRule type="iconSet" priority="415">
      <iconSet iconSet="3Symbols2" showValue="0">
        <cfvo type="percent" val="0"/>
        <cfvo type="num" val="0"/>
        <cfvo type="num" val="1"/>
      </iconSet>
    </cfRule>
  </conditionalFormatting>
  <conditionalFormatting sqref="Q217:Q218">
    <cfRule type="iconSet" priority="414">
      <iconSet iconSet="3Symbols2" showValue="0">
        <cfvo type="percent" val="0"/>
        <cfvo type="num" val="0"/>
        <cfvo type="num" val="1"/>
      </iconSet>
    </cfRule>
  </conditionalFormatting>
  <conditionalFormatting sqref="Q219">
    <cfRule type="iconSet" priority="413">
      <iconSet iconSet="3Symbols2" showValue="0">
        <cfvo type="percent" val="0"/>
        <cfvo type="num" val="0"/>
        <cfvo type="num" val="1"/>
      </iconSet>
    </cfRule>
  </conditionalFormatting>
  <conditionalFormatting sqref="Q228:Q229">
    <cfRule type="iconSet" priority="412">
      <iconSet iconSet="3Symbols2" showValue="0">
        <cfvo type="percent" val="0"/>
        <cfvo type="num" val="0"/>
        <cfvo type="num" val="1"/>
      </iconSet>
    </cfRule>
  </conditionalFormatting>
  <conditionalFormatting sqref="Q235">
    <cfRule type="iconSet" priority="411">
      <iconSet iconSet="3Symbols2" showValue="0">
        <cfvo type="percent" val="0"/>
        <cfvo type="num" val="0"/>
        <cfvo type="num" val="1"/>
      </iconSet>
    </cfRule>
  </conditionalFormatting>
  <conditionalFormatting sqref="Q236">
    <cfRule type="iconSet" priority="410">
      <iconSet iconSet="3Symbols2" showValue="0">
        <cfvo type="percent" val="0"/>
        <cfvo type="num" val="0"/>
        <cfvo type="num" val="1"/>
      </iconSet>
    </cfRule>
  </conditionalFormatting>
  <conditionalFormatting sqref="Q719">
    <cfRule type="iconSet" priority="409">
      <iconSet iconSet="3Symbols2" showValue="0">
        <cfvo type="percent" val="0"/>
        <cfvo type="num" val="0"/>
        <cfvo type="num" val="1"/>
      </iconSet>
    </cfRule>
  </conditionalFormatting>
  <conditionalFormatting sqref="Q461">
    <cfRule type="iconSet" priority="408">
      <iconSet iconSet="3Symbols2" showValue="0">
        <cfvo type="percent" val="0"/>
        <cfvo type="num" val="0"/>
        <cfvo type="num" val="1"/>
      </iconSet>
    </cfRule>
  </conditionalFormatting>
  <conditionalFormatting sqref="Q285:Q286">
    <cfRule type="iconSet" priority="406">
      <iconSet iconSet="3Symbols2" showValue="0">
        <cfvo type="percent" val="0"/>
        <cfvo type="num" val="0"/>
        <cfvo type="num" val="1"/>
      </iconSet>
    </cfRule>
  </conditionalFormatting>
  <conditionalFormatting sqref="Q294:Q295">
    <cfRule type="iconSet" priority="405">
      <iconSet iconSet="3Symbols2" showValue="0">
        <cfvo type="percent" val="0"/>
        <cfvo type="num" val="0"/>
        <cfvo type="num" val="1"/>
      </iconSet>
    </cfRule>
  </conditionalFormatting>
  <conditionalFormatting sqref="Q622">
    <cfRule type="iconSet" priority="403">
      <iconSet iconSet="3Symbols2" showValue="0">
        <cfvo type="percent" val="0"/>
        <cfvo type="num" val="0"/>
        <cfvo type="num" val="1"/>
      </iconSet>
    </cfRule>
  </conditionalFormatting>
  <conditionalFormatting sqref="R407">
    <cfRule type="iconSet" priority="399">
      <iconSet iconSet="3Symbols2" showValue="0">
        <cfvo type="percent" val="0"/>
        <cfvo type="num" val="0"/>
        <cfvo type="num" val="1"/>
      </iconSet>
    </cfRule>
  </conditionalFormatting>
  <conditionalFormatting sqref="R464">
    <cfRule type="iconSet" priority="398">
      <iconSet iconSet="3Symbols2" showValue="0">
        <cfvo type="percent" val="0"/>
        <cfvo type="num" val="0"/>
        <cfvo type="num" val="1"/>
      </iconSet>
    </cfRule>
  </conditionalFormatting>
  <conditionalFormatting sqref="R562">
    <cfRule type="iconSet" priority="397">
      <iconSet iconSet="3Symbols2" showValue="0">
        <cfvo type="percent" val="0"/>
        <cfvo type="num" val="0"/>
        <cfvo type="num" val="1"/>
      </iconSet>
    </cfRule>
  </conditionalFormatting>
  <conditionalFormatting sqref="R625">
    <cfRule type="iconSet" priority="396">
      <iconSet iconSet="3Symbols2" showValue="0">
        <cfvo type="percent" val="0"/>
        <cfvo type="num" val="0"/>
        <cfvo type="num" val="1"/>
      </iconSet>
    </cfRule>
  </conditionalFormatting>
  <conditionalFormatting sqref="R680">
    <cfRule type="iconSet" priority="395">
      <iconSet iconSet="3Symbols2" showValue="0">
        <cfvo type="percent" val="0"/>
        <cfvo type="num" val="0"/>
        <cfvo type="num" val="1"/>
      </iconSet>
    </cfRule>
  </conditionalFormatting>
  <conditionalFormatting sqref="R697">
    <cfRule type="iconSet" priority="394">
      <iconSet iconSet="3Symbols2" showValue="0">
        <cfvo type="percent" val="0"/>
        <cfvo type="num" val="0"/>
        <cfvo type="num" val="1"/>
      </iconSet>
    </cfRule>
  </conditionalFormatting>
  <conditionalFormatting sqref="R350">
    <cfRule type="iconSet" priority="392">
      <iconSet iconSet="3Symbols2" showValue="0">
        <cfvo type="percent" val="0"/>
        <cfvo type="num" val="0"/>
        <cfvo type="num" val="1"/>
      </iconSet>
    </cfRule>
  </conditionalFormatting>
  <conditionalFormatting sqref="R768:R777">
    <cfRule type="iconSet" priority="390">
      <iconSet iconSet="3Symbols2" showValue="0">
        <cfvo type="percent" val="0"/>
        <cfvo type="num" val="0"/>
        <cfvo type="num" val="1"/>
      </iconSet>
    </cfRule>
  </conditionalFormatting>
  <conditionalFormatting sqref="R748:R754">
    <cfRule type="iconSet" priority="389">
      <iconSet iconSet="3Symbols2" showValue="0">
        <cfvo type="percent" val="0"/>
        <cfvo type="num" val="0"/>
        <cfvo type="num" val="1"/>
      </iconSet>
    </cfRule>
  </conditionalFormatting>
  <conditionalFormatting sqref="R232:R233">
    <cfRule type="iconSet" priority="388">
      <iconSet iconSet="3Symbols2" showValue="0">
        <cfvo type="percent" val="0"/>
        <cfvo type="num" val="0"/>
        <cfvo type="num" val="1"/>
      </iconSet>
    </cfRule>
  </conditionalFormatting>
  <conditionalFormatting sqref="R234">
    <cfRule type="iconSet" priority="387">
      <iconSet iconSet="3Symbols2" showValue="0">
        <cfvo type="percent" val="0"/>
        <cfvo type="num" val="0"/>
        <cfvo type="num" val="1"/>
      </iconSet>
    </cfRule>
  </conditionalFormatting>
  <conditionalFormatting sqref="R721">
    <cfRule type="iconSet" priority="386">
      <iconSet iconSet="3Symbols2" showValue="0">
        <cfvo type="percent" val="0"/>
        <cfvo type="num" val="0"/>
        <cfvo type="num" val="1"/>
      </iconSet>
    </cfRule>
  </conditionalFormatting>
  <conditionalFormatting sqref="R718">
    <cfRule type="iconSet" priority="385">
      <iconSet iconSet="3Symbols2" showValue="0">
        <cfvo type="percent" val="0"/>
        <cfvo type="num" val="0"/>
        <cfvo type="num" val="1"/>
      </iconSet>
    </cfRule>
  </conditionalFormatting>
  <conditionalFormatting sqref="R720">
    <cfRule type="iconSet" priority="384">
      <iconSet iconSet="3Symbols2" showValue="0">
        <cfvo type="percent" val="0"/>
        <cfvo type="num" val="0"/>
        <cfvo type="num" val="1"/>
      </iconSet>
    </cfRule>
  </conditionalFormatting>
  <conditionalFormatting sqref="R722">
    <cfRule type="iconSet" priority="383">
      <iconSet iconSet="3Symbols2" showValue="0">
        <cfvo type="percent" val="0"/>
        <cfvo type="num" val="0"/>
        <cfvo type="num" val="1"/>
      </iconSet>
    </cfRule>
  </conditionalFormatting>
  <conditionalFormatting sqref="R191:R192">
    <cfRule type="iconSet" priority="382">
      <iconSet iconSet="3Symbols2" showValue="0">
        <cfvo type="percent" val="0"/>
        <cfvo type="num" val="0"/>
        <cfvo type="num" val="1"/>
      </iconSet>
    </cfRule>
  </conditionalFormatting>
  <conditionalFormatting sqref="R200:R201">
    <cfRule type="iconSet" priority="381">
      <iconSet iconSet="3Symbols2" showValue="0">
        <cfvo type="percent" val="0"/>
        <cfvo type="num" val="0"/>
        <cfvo type="num" val="1"/>
      </iconSet>
    </cfRule>
  </conditionalFormatting>
  <conditionalFormatting sqref="R208:R210">
    <cfRule type="iconSet" priority="380">
      <iconSet iconSet="3Symbols2" showValue="0">
        <cfvo type="percent" val="0"/>
        <cfvo type="num" val="0"/>
        <cfvo type="num" val="1"/>
      </iconSet>
    </cfRule>
  </conditionalFormatting>
  <conditionalFormatting sqref="R211:R212">
    <cfRule type="iconSet" priority="379">
      <iconSet iconSet="3Symbols2" showValue="0">
        <cfvo type="percent" val="0"/>
        <cfvo type="num" val="0"/>
        <cfvo type="num" val="1"/>
      </iconSet>
    </cfRule>
  </conditionalFormatting>
  <conditionalFormatting sqref="R215:R216">
    <cfRule type="iconSet" priority="378">
      <iconSet iconSet="3Symbols2" showValue="0">
        <cfvo type="percent" val="0"/>
        <cfvo type="num" val="0"/>
        <cfvo type="num" val="1"/>
      </iconSet>
    </cfRule>
  </conditionalFormatting>
  <conditionalFormatting sqref="R217:R218">
    <cfRule type="iconSet" priority="377">
      <iconSet iconSet="3Symbols2" showValue="0">
        <cfvo type="percent" val="0"/>
        <cfvo type="num" val="0"/>
        <cfvo type="num" val="1"/>
      </iconSet>
    </cfRule>
  </conditionalFormatting>
  <conditionalFormatting sqref="R219">
    <cfRule type="iconSet" priority="376">
      <iconSet iconSet="3Symbols2" showValue="0">
        <cfvo type="percent" val="0"/>
        <cfvo type="num" val="0"/>
        <cfvo type="num" val="1"/>
      </iconSet>
    </cfRule>
  </conditionalFormatting>
  <conditionalFormatting sqref="R228:R229">
    <cfRule type="iconSet" priority="375">
      <iconSet iconSet="3Symbols2" showValue="0">
        <cfvo type="percent" val="0"/>
        <cfvo type="num" val="0"/>
        <cfvo type="num" val="1"/>
      </iconSet>
    </cfRule>
  </conditionalFormatting>
  <conditionalFormatting sqref="R235">
    <cfRule type="iconSet" priority="374">
      <iconSet iconSet="3Symbols2" showValue="0">
        <cfvo type="percent" val="0"/>
        <cfvo type="num" val="0"/>
        <cfvo type="num" val="1"/>
      </iconSet>
    </cfRule>
  </conditionalFormatting>
  <conditionalFormatting sqref="R236">
    <cfRule type="iconSet" priority="373">
      <iconSet iconSet="3Symbols2" showValue="0">
        <cfvo type="percent" val="0"/>
        <cfvo type="num" val="0"/>
        <cfvo type="num" val="1"/>
      </iconSet>
    </cfRule>
  </conditionalFormatting>
  <conditionalFormatting sqref="R719">
    <cfRule type="iconSet" priority="372">
      <iconSet iconSet="3Symbols2" showValue="0">
        <cfvo type="percent" val="0"/>
        <cfvo type="num" val="0"/>
        <cfvo type="num" val="1"/>
      </iconSet>
    </cfRule>
  </conditionalFormatting>
  <conditionalFormatting sqref="R778 R741:R747 R627:R640 R466:R477 R682:R696 R755:R767 R193:R199 R213:R214 R202:R207 R230:R231 R221:R227 R351:R353 R699:R714 R564:R571 R237:R242 R43:R46 R74 R182:R190 R269:R274 R277 R287 R298:R304 R308 R326:R329 R333:R339 R358:R361 R367:R375 R380:R382 R395:R397 R400:R401 R9:R39 R97:R151 R153:R180 R246:R264 R310:R322 R716:R717 R650:R654 R659:R662 R667:R669 R673:R677 R51:R54 R345:R349 R426 R457:R460 R94 R404 R436 R387:R390 R642:R645 R446 R244 R279:R284 R289:R293 R615:R620 R586:R591 R596:R601 R606:R609 R573:R581 R67 R60 R428:R431 R438:R441 R448:R450 R738 R409:R421 R723:R728">
    <cfRule type="iconSet" priority="371">
      <iconSet iconSet="3Symbols2" showValue="0">
        <cfvo type="percent" val="0"/>
        <cfvo type="num" val="0"/>
        <cfvo type="num" val="1"/>
      </iconSet>
    </cfRule>
  </conditionalFormatting>
  <conditionalFormatting sqref="R461">
    <cfRule type="iconSet" priority="370">
      <iconSet iconSet="3Symbols2" showValue="0">
        <cfvo type="percent" val="0"/>
        <cfvo type="num" val="0"/>
        <cfvo type="num" val="1"/>
      </iconSet>
    </cfRule>
  </conditionalFormatting>
  <conditionalFormatting sqref="R40:R42">
    <cfRule type="iconSet" priority="369">
      <iconSet iconSet="3Symbols2" showValue="0">
        <cfvo type="percent" val="0"/>
        <cfvo type="num" val="0"/>
        <cfvo type="num" val="1"/>
      </iconSet>
    </cfRule>
  </conditionalFormatting>
  <conditionalFormatting sqref="R265:R266">
    <cfRule type="iconSet" priority="368">
      <iconSet iconSet="3Symbols2" showValue="0">
        <cfvo type="percent" val="0"/>
        <cfvo type="num" val="0"/>
        <cfvo type="num" val="1"/>
      </iconSet>
    </cfRule>
  </conditionalFormatting>
  <conditionalFormatting sqref="R267">
    <cfRule type="iconSet" priority="367">
      <iconSet iconSet="3Symbols2" showValue="0">
        <cfvo type="percent" val="0"/>
        <cfvo type="num" val="0"/>
        <cfvo type="num" val="1"/>
      </iconSet>
    </cfRule>
  </conditionalFormatting>
  <conditionalFormatting sqref="R275:R276">
    <cfRule type="iconSet" priority="366">
      <iconSet iconSet="3Symbols2" showValue="0">
        <cfvo type="percent" val="0"/>
        <cfvo type="num" val="0"/>
        <cfvo type="num" val="1"/>
      </iconSet>
    </cfRule>
  </conditionalFormatting>
  <conditionalFormatting sqref="R285:R286">
    <cfRule type="iconSet" priority="365">
      <iconSet iconSet="3Symbols2" showValue="0">
        <cfvo type="percent" val="0"/>
        <cfvo type="num" val="0"/>
        <cfvo type="num" val="1"/>
      </iconSet>
    </cfRule>
  </conditionalFormatting>
  <conditionalFormatting sqref="R294:R295">
    <cfRule type="iconSet" priority="364">
      <iconSet iconSet="3Symbols2" showValue="0">
        <cfvo type="percent" val="0"/>
        <cfvo type="num" val="0"/>
        <cfvo type="num" val="1"/>
      </iconSet>
    </cfRule>
  </conditionalFormatting>
  <conditionalFormatting sqref="R406">
    <cfRule type="iconSet" priority="363">
      <iconSet iconSet="3Symbols2" showValue="0">
        <cfvo type="percent" val="0"/>
        <cfvo type="num" val="0"/>
        <cfvo type="num" val="1"/>
      </iconSet>
    </cfRule>
  </conditionalFormatting>
  <conditionalFormatting sqref="R622">
    <cfRule type="iconSet" priority="362">
      <iconSet iconSet="3Symbols2" showValue="0">
        <cfvo type="percent" val="0"/>
        <cfvo type="num" val="0"/>
        <cfvo type="num" val="1"/>
      </iconSet>
    </cfRule>
  </conditionalFormatting>
  <conditionalFormatting sqref="Q778 Q627:Q640 Q682:Q696 Q755:Q762 Q193:Q199 Q213:Q214 Q202:Q207 Q230:Q231 Q351:Q353 Q703:Q714 Q564:Q571 Q237:Q242 Q46 Q74 Q269:Q274 Q279:Q284 Q287 Q298:Q304 Q308 Q326:Q329 Q333:Q339 Q358:Q361 Q367:Q375 Q380:Q382 Q395:Q397 Q400:Q401 Q9:Q39 Q97:Q151 Q246:Q264 Q310:Q322 Q716:Q717 Q650:Q654 Q659:Q662 Q667:Q669 Q673:Q675 Q53 Q345:Q349 Q426 Q457:Q460 Q94 Q436 Q387:Q390 Q642:Q645 Q466:Q485 Q153:Q190 Q220:Q227 Q623:Q624 Q446 Q244 Q489:Q561 Q60 Q404:Q406 Q289:Q293 Q677 Q615:Q620 Q586:Q591 Q596:Q601 Q606:Q609 Q573:Q581 Q67 Q428:Q431 Q438:Q441 Q448:Q450 Q738 Q740:Q747 Q409:Q415 Q417:Q421 Q723:Q728">
    <cfRule type="iconSet" priority="361">
      <iconSet iconSet="3Symbols2" showValue="0">
        <cfvo type="percent" val="0"/>
        <cfvo type="num" val="0"/>
        <cfvo type="num" val="1"/>
      </iconSet>
    </cfRule>
  </conditionalFormatting>
  <conditionalFormatting sqref="S265:S266">
    <cfRule type="iconSet" priority="360">
      <iconSet iconSet="3Symbols2" showValue="0">
        <cfvo type="percent" val="0"/>
        <cfvo type="num" val="0"/>
        <cfvo type="num" val="1"/>
      </iconSet>
    </cfRule>
  </conditionalFormatting>
  <conditionalFormatting sqref="S267">
    <cfRule type="iconSet" priority="359">
      <iconSet iconSet="3Symbols2" showValue="0">
        <cfvo type="percent" val="0"/>
        <cfvo type="num" val="0"/>
        <cfvo type="num" val="1"/>
      </iconSet>
    </cfRule>
  </conditionalFormatting>
  <conditionalFormatting sqref="S275:S276">
    <cfRule type="iconSet" priority="358">
      <iconSet iconSet="3Symbols2" showValue="0">
        <cfvo type="percent" val="0"/>
        <cfvo type="num" val="0"/>
        <cfvo type="num" val="1"/>
      </iconSet>
    </cfRule>
  </conditionalFormatting>
  <conditionalFormatting sqref="S277">
    <cfRule type="iconSet" priority="357">
      <iconSet iconSet="3Symbols2" showValue="0">
        <cfvo type="percent" val="0"/>
        <cfvo type="num" val="0"/>
        <cfvo type="num" val="1"/>
      </iconSet>
    </cfRule>
  </conditionalFormatting>
  <conditionalFormatting sqref="S285:S286">
    <cfRule type="iconSet" priority="356">
      <iconSet iconSet="3Symbols2" showValue="0">
        <cfvo type="percent" val="0"/>
        <cfvo type="num" val="0"/>
        <cfvo type="num" val="1"/>
      </iconSet>
    </cfRule>
  </conditionalFormatting>
  <conditionalFormatting sqref="S287">
    <cfRule type="iconSet" priority="355">
      <iconSet iconSet="3Symbols2" showValue="0">
        <cfvo type="percent" val="0"/>
        <cfvo type="num" val="0"/>
        <cfvo type="num" val="1"/>
      </iconSet>
    </cfRule>
  </conditionalFormatting>
  <conditionalFormatting sqref="S294:S295">
    <cfRule type="iconSet" priority="354">
      <iconSet iconSet="3Symbols2" showValue="0">
        <cfvo type="percent" val="0"/>
        <cfvo type="num" val="0"/>
        <cfvo type="num" val="1"/>
      </iconSet>
    </cfRule>
  </conditionalFormatting>
  <conditionalFormatting sqref="Q265:Q267">
    <cfRule type="iconSet" priority="353">
      <iconSet iconSet="3Symbols2" showValue="0">
        <cfvo type="percent" val="0"/>
        <cfvo type="num" val="0"/>
        <cfvo type="num" val="1"/>
      </iconSet>
    </cfRule>
  </conditionalFormatting>
  <conditionalFormatting sqref="Q275:Q276">
    <cfRule type="iconSet" priority="352">
      <iconSet iconSet="3Symbols2" showValue="0">
        <cfvo type="percent" val="0"/>
        <cfvo type="num" val="0"/>
        <cfvo type="num" val="1"/>
      </iconSet>
    </cfRule>
  </conditionalFormatting>
  <conditionalFormatting sqref="Q277">
    <cfRule type="iconSet" priority="351">
      <iconSet iconSet="3Symbols2" showValue="0">
        <cfvo type="percent" val="0"/>
        <cfvo type="num" val="0"/>
        <cfvo type="num" val="1"/>
      </iconSet>
    </cfRule>
  </conditionalFormatting>
  <conditionalFormatting sqref="R646:R647">
    <cfRule type="iconSet" priority="350">
      <iconSet iconSet="3Symbols2" showValue="0">
        <cfvo type="percent" val="0"/>
        <cfvo type="num" val="0"/>
        <cfvo type="num" val="1"/>
      </iconSet>
    </cfRule>
  </conditionalFormatting>
  <conditionalFormatting sqref="Q646:Q647">
    <cfRule type="iconSet" priority="349">
      <iconSet iconSet="3Symbols2" showValue="0">
        <cfvo type="percent" val="0"/>
        <cfvo type="num" val="0"/>
        <cfvo type="num" val="1"/>
      </iconSet>
    </cfRule>
  </conditionalFormatting>
  <conditionalFormatting sqref="S646:S647">
    <cfRule type="iconSet" priority="348">
      <iconSet iconSet="3Symbols2" showValue="0">
        <cfvo type="percent" val="0"/>
        <cfvo type="num" val="0"/>
        <cfvo type="num" val="1"/>
      </iconSet>
    </cfRule>
  </conditionalFormatting>
  <conditionalFormatting sqref="R655:R656">
    <cfRule type="iconSet" priority="347">
      <iconSet iconSet="3Symbols2" showValue="0">
        <cfvo type="percent" val="0"/>
        <cfvo type="num" val="0"/>
        <cfvo type="num" val="1"/>
      </iconSet>
    </cfRule>
  </conditionalFormatting>
  <conditionalFormatting sqref="Q655:Q656">
    <cfRule type="iconSet" priority="346">
      <iconSet iconSet="3Symbols2" showValue="0">
        <cfvo type="percent" val="0"/>
        <cfvo type="num" val="0"/>
        <cfvo type="num" val="1"/>
      </iconSet>
    </cfRule>
  </conditionalFormatting>
  <conditionalFormatting sqref="S655:S656">
    <cfRule type="iconSet" priority="345">
      <iconSet iconSet="3Symbols2" showValue="0">
        <cfvo type="percent" val="0"/>
        <cfvo type="num" val="0"/>
        <cfvo type="num" val="1"/>
      </iconSet>
    </cfRule>
  </conditionalFormatting>
  <conditionalFormatting sqref="R663:R664">
    <cfRule type="iconSet" priority="344">
      <iconSet iconSet="3Symbols2" showValue="0">
        <cfvo type="percent" val="0"/>
        <cfvo type="num" val="0"/>
        <cfvo type="num" val="1"/>
      </iconSet>
    </cfRule>
  </conditionalFormatting>
  <conditionalFormatting sqref="Q663:Q664">
    <cfRule type="iconSet" priority="343">
      <iconSet iconSet="3Symbols2" showValue="0">
        <cfvo type="percent" val="0"/>
        <cfvo type="num" val="0"/>
        <cfvo type="num" val="1"/>
      </iconSet>
    </cfRule>
  </conditionalFormatting>
  <conditionalFormatting sqref="S663:S664">
    <cfRule type="iconSet" priority="342">
      <iconSet iconSet="3Symbols2" showValue="0">
        <cfvo type="percent" val="0"/>
        <cfvo type="num" val="0"/>
        <cfvo type="num" val="1"/>
      </iconSet>
    </cfRule>
  </conditionalFormatting>
  <conditionalFormatting sqref="R670:R671">
    <cfRule type="iconSet" priority="341">
      <iconSet iconSet="3Symbols2" showValue="0">
        <cfvo type="percent" val="0"/>
        <cfvo type="num" val="0"/>
        <cfvo type="num" val="1"/>
      </iconSet>
    </cfRule>
  </conditionalFormatting>
  <conditionalFormatting sqref="Q670:Q671">
    <cfRule type="iconSet" priority="340">
      <iconSet iconSet="3Symbols2" showValue="0">
        <cfvo type="percent" val="0"/>
        <cfvo type="num" val="0"/>
        <cfvo type="num" val="1"/>
      </iconSet>
    </cfRule>
  </conditionalFormatting>
  <conditionalFormatting sqref="S670:S671">
    <cfRule type="iconSet" priority="339">
      <iconSet iconSet="3Symbols2" showValue="0">
        <cfvo type="percent" val="0"/>
        <cfvo type="num" val="0"/>
        <cfvo type="num" val="1"/>
      </iconSet>
    </cfRule>
  </conditionalFormatting>
  <conditionalFormatting sqref="S680">
    <cfRule type="iconSet" priority="338">
      <iconSet iconSet="3Symbols2" showValue="0">
        <cfvo type="percent" val="0"/>
        <cfvo type="num" val="0"/>
        <cfvo type="num" val="1"/>
      </iconSet>
    </cfRule>
  </conditionalFormatting>
  <conditionalFormatting sqref="R68:R73">
    <cfRule type="iconSet" priority="337">
      <iconSet iconSet="3Symbols2" showValue="0">
        <cfvo type="percent" val="0"/>
        <cfvo type="num" val="0"/>
        <cfvo type="num" val="1"/>
      </iconSet>
    </cfRule>
  </conditionalFormatting>
  <conditionalFormatting sqref="Q68:Q73">
    <cfRule type="iconSet" priority="336">
      <iconSet iconSet="3Symbols2" showValue="0">
        <cfvo type="percent" val="0"/>
        <cfvo type="num" val="0"/>
        <cfvo type="num" val="1"/>
      </iconSet>
    </cfRule>
  </conditionalFormatting>
  <conditionalFormatting sqref="S68:S73">
    <cfRule type="iconSet" priority="335">
      <iconSet iconSet="3Symbols2" showValue="0">
        <cfvo type="percent" val="0"/>
        <cfvo type="num" val="0"/>
        <cfvo type="num" val="1"/>
      </iconSet>
    </cfRule>
  </conditionalFormatting>
  <conditionalFormatting sqref="R47:R48">
    <cfRule type="iconSet" priority="334">
      <iconSet iconSet="3Symbols2" showValue="0">
        <cfvo type="percent" val="0"/>
        <cfvo type="num" val="0"/>
        <cfvo type="num" val="1"/>
      </iconSet>
    </cfRule>
  </conditionalFormatting>
  <conditionalFormatting sqref="Q47:Q48">
    <cfRule type="iconSet" priority="333">
      <iconSet iconSet="3Symbols2" showValue="0">
        <cfvo type="percent" val="0"/>
        <cfvo type="num" val="0"/>
        <cfvo type="num" val="1"/>
      </iconSet>
    </cfRule>
  </conditionalFormatting>
  <conditionalFormatting sqref="S47:S48">
    <cfRule type="iconSet" priority="332">
      <iconSet iconSet="3Symbols2" showValue="0">
        <cfvo type="percent" val="0"/>
        <cfvo type="num" val="0"/>
        <cfvo type="num" val="1"/>
      </iconSet>
    </cfRule>
  </conditionalFormatting>
  <conditionalFormatting sqref="Q340">
    <cfRule type="iconSet" priority="330">
      <iconSet iconSet="3Symbols2" showValue="0">
        <cfvo type="percent" val="0"/>
        <cfvo type="num" val="0"/>
        <cfvo type="num" val="1"/>
      </iconSet>
    </cfRule>
  </conditionalFormatting>
  <conditionalFormatting sqref="S340">
    <cfRule type="iconSet" priority="329">
      <iconSet iconSet="3Symbols2" showValue="0">
        <cfvo type="percent" val="0"/>
        <cfvo type="num" val="0"/>
        <cfvo type="num" val="1"/>
      </iconSet>
    </cfRule>
  </conditionalFormatting>
  <conditionalFormatting sqref="R422:R425">
    <cfRule type="iconSet" priority="328">
      <iconSet iconSet="3Symbols2" showValue="0">
        <cfvo type="percent" val="0"/>
        <cfvo type="num" val="0"/>
        <cfvo type="num" val="1"/>
      </iconSet>
    </cfRule>
  </conditionalFormatting>
  <conditionalFormatting sqref="Q422:Q425">
    <cfRule type="iconSet" priority="327">
      <iconSet iconSet="3Symbols2" showValue="0">
        <cfvo type="percent" val="0"/>
        <cfvo type="num" val="0"/>
        <cfvo type="num" val="1"/>
      </iconSet>
    </cfRule>
  </conditionalFormatting>
  <conditionalFormatting sqref="S422:S425">
    <cfRule type="iconSet" priority="326">
      <iconSet iconSet="3Symbols2" showValue="0">
        <cfvo type="percent" val="0"/>
        <cfvo type="num" val="0"/>
        <cfvo type="num" val="1"/>
      </iconSet>
    </cfRule>
  </conditionalFormatting>
  <conditionalFormatting sqref="R451">
    <cfRule type="iconSet" priority="325">
      <iconSet iconSet="3Symbols2" showValue="0">
        <cfvo type="percent" val="0"/>
        <cfvo type="num" val="0"/>
        <cfvo type="num" val="1"/>
      </iconSet>
    </cfRule>
  </conditionalFormatting>
  <conditionalFormatting sqref="Q451">
    <cfRule type="iconSet" priority="324">
      <iconSet iconSet="3Symbols2" showValue="0">
        <cfvo type="percent" val="0"/>
        <cfvo type="num" val="0"/>
        <cfvo type="num" val="1"/>
      </iconSet>
    </cfRule>
  </conditionalFormatting>
  <conditionalFormatting sqref="S451">
    <cfRule type="iconSet" priority="323">
      <iconSet iconSet="3Symbols2" showValue="0">
        <cfvo type="percent" val="0"/>
        <cfvo type="num" val="0"/>
        <cfvo type="num" val="1"/>
      </iconSet>
    </cfRule>
  </conditionalFormatting>
  <conditionalFormatting sqref="R49">
    <cfRule type="iconSet" priority="322">
      <iconSet iconSet="3Symbols2" showValue="0">
        <cfvo type="percent" val="0"/>
        <cfvo type="num" val="0"/>
        <cfvo type="num" val="1"/>
      </iconSet>
    </cfRule>
  </conditionalFormatting>
  <conditionalFormatting sqref="Q49">
    <cfRule type="iconSet" priority="321">
      <iconSet iconSet="3Symbols2" showValue="0">
        <cfvo type="percent" val="0"/>
        <cfvo type="num" val="0"/>
        <cfvo type="num" val="1"/>
      </iconSet>
    </cfRule>
  </conditionalFormatting>
  <conditionalFormatting sqref="S49">
    <cfRule type="iconSet" priority="320">
      <iconSet iconSet="3Symbols2" showValue="0">
        <cfvo type="percent" val="0"/>
        <cfvo type="num" val="0"/>
        <cfvo type="num" val="1"/>
      </iconSet>
    </cfRule>
  </conditionalFormatting>
  <conditionalFormatting sqref="R50">
    <cfRule type="iconSet" priority="319">
      <iconSet iconSet="3Symbols2" showValue="0">
        <cfvo type="percent" val="0"/>
        <cfvo type="num" val="0"/>
        <cfvo type="num" val="1"/>
      </iconSet>
    </cfRule>
  </conditionalFormatting>
  <conditionalFormatting sqref="S91:S93 S81 S85:S88">
    <cfRule type="iconSet" priority="316">
      <iconSet iconSet="3Symbols2" showValue="0">
        <cfvo type="percent" val="0"/>
        <cfvo type="num" val="0"/>
        <cfvo type="num" val="1"/>
      </iconSet>
    </cfRule>
  </conditionalFormatting>
  <conditionalFormatting sqref="R81 R88">
    <cfRule type="iconSet" priority="313">
      <iconSet iconSet="3Symbols2" showValue="0">
        <cfvo type="percent" val="0"/>
        <cfvo type="num" val="0"/>
        <cfvo type="num" val="1"/>
      </iconSet>
    </cfRule>
  </conditionalFormatting>
  <conditionalFormatting sqref="Q81 Q88">
    <cfRule type="iconSet" priority="312">
      <iconSet iconSet="3Symbols2" showValue="0">
        <cfvo type="percent" val="0"/>
        <cfvo type="num" val="0"/>
        <cfvo type="num" val="1"/>
      </iconSet>
    </cfRule>
  </conditionalFormatting>
  <conditionalFormatting sqref="R342:R344">
    <cfRule type="iconSet" priority="311">
      <iconSet iconSet="3Symbols2" showValue="0">
        <cfvo type="percent" val="0"/>
        <cfvo type="num" val="0"/>
        <cfvo type="num" val="1"/>
      </iconSet>
    </cfRule>
  </conditionalFormatting>
  <conditionalFormatting sqref="Q341:Q344">
    <cfRule type="iconSet" priority="310">
      <iconSet iconSet="3Symbols2" showValue="0">
        <cfvo type="percent" val="0"/>
        <cfvo type="num" val="0"/>
        <cfvo type="num" val="1"/>
      </iconSet>
    </cfRule>
  </conditionalFormatting>
  <conditionalFormatting sqref="S341:S344">
    <cfRule type="iconSet" priority="309">
      <iconSet iconSet="3Symbols2" showValue="0">
        <cfvo type="percent" val="0"/>
        <cfvo type="num" val="0"/>
        <cfvo type="num" val="1"/>
      </iconSet>
    </cfRule>
  </conditionalFormatting>
  <conditionalFormatting sqref="S402:S403">
    <cfRule type="iconSet" priority="308">
      <iconSet iconSet="3Symbols2" showValue="0">
        <cfvo type="percent" val="0"/>
        <cfvo type="num" val="0"/>
        <cfvo type="num" val="1"/>
      </iconSet>
    </cfRule>
  </conditionalFormatting>
  <conditionalFormatting sqref="R402:R403">
    <cfRule type="iconSet" priority="307">
      <iconSet iconSet="3Symbols2" showValue="0">
        <cfvo type="percent" val="0"/>
        <cfvo type="num" val="0"/>
        <cfvo type="num" val="1"/>
      </iconSet>
    </cfRule>
  </conditionalFormatting>
  <conditionalFormatting sqref="Q402:Q403">
    <cfRule type="iconSet" priority="306">
      <iconSet iconSet="3Symbols2" showValue="0">
        <cfvo type="percent" val="0"/>
        <cfvo type="num" val="0"/>
        <cfvo type="num" val="1"/>
      </iconSet>
    </cfRule>
  </conditionalFormatting>
  <conditionalFormatting sqref="R432">
    <cfRule type="iconSet" priority="305">
      <iconSet iconSet="3Symbols2" showValue="0">
        <cfvo type="percent" val="0"/>
        <cfvo type="num" val="0"/>
        <cfvo type="num" val="1"/>
      </iconSet>
    </cfRule>
  </conditionalFormatting>
  <conditionalFormatting sqref="Q432">
    <cfRule type="iconSet" priority="304">
      <iconSet iconSet="3Symbols2" showValue="0">
        <cfvo type="percent" val="0"/>
        <cfvo type="num" val="0"/>
        <cfvo type="num" val="1"/>
      </iconSet>
    </cfRule>
  </conditionalFormatting>
  <conditionalFormatting sqref="S432">
    <cfRule type="iconSet" priority="303">
      <iconSet iconSet="3Symbols2" showValue="0">
        <cfvo type="percent" val="0"/>
        <cfvo type="num" val="0"/>
        <cfvo type="num" val="1"/>
      </iconSet>
    </cfRule>
  </conditionalFormatting>
  <conditionalFormatting sqref="R325">
    <cfRule type="iconSet" priority="301">
      <iconSet iconSet="3Symbols2" showValue="0">
        <cfvo type="percent" val="0"/>
        <cfvo type="num" val="0"/>
        <cfvo type="num" val="1"/>
      </iconSet>
    </cfRule>
  </conditionalFormatting>
  <conditionalFormatting sqref="Q323:Q325">
    <cfRule type="iconSet" priority="300">
      <iconSet iconSet="3Symbols2" showValue="0">
        <cfvo type="percent" val="0"/>
        <cfvo type="num" val="0"/>
        <cfvo type="num" val="1"/>
      </iconSet>
    </cfRule>
  </conditionalFormatting>
  <conditionalFormatting sqref="S323:S324">
    <cfRule type="iconSet" priority="299">
      <iconSet iconSet="3Symbols2" showValue="0">
        <cfvo type="percent" val="0"/>
        <cfvo type="num" val="0"/>
        <cfvo type="num" val="1"/>
      </iconSet>
    </cfRule>
  </conditionalFormatting>
  <conditionalFormatting sqref="S325">
    <cfRule type="iconSet" priority="298">
      <iconSet iconSet="3Symbols2" showValue="0">
        <cfvo type="percent" val="0"/>
        <cfvo type="num" val="0"/>
        <cfvo type="num" val="1"/>
      </iconSet>
    </cfRule>
  </conditionalFormatting>
  <conditionalFormatting sqref="R332">
    <cfRule type="iconSet" priority="297">
      <iconSet iconSet="3Symbols2" showValue="0">
        <cfvo type="percent" val="0"/>
        <cfvo type="num" val="0"/>
        <cfvo type="num" val="1"/>
      </iconSet>
    </cfRule>
  </conditionalFormatting>
  <conditionalFormatting sqref="Q330:Q332">
    <cfRule type="iconSet" priority="296">
      <iconSet iconSet="3Symbols2" showValue="0">
        <cfvo type="percent" val="0"/>
        <cfvo type="num" val="0"/>
        <cfvo type="num" val="1"/>
      </iconSet>
    </cfRule>
  </conditionalFormatting>
  <conditionalFormatting sqref="S330:S332">
    <cfRule type="iconSet" priority="295">
      <iconSet iconSet="3Symbols2" showValue="0">
        <cfvo type="percent" val="0"/>
        <cfvo type="num" val="0"/>
        <cfvo type="num" val="1"/>
      </iconSet>
    </cfRule>
  </conditionalFormatting>
  <conditionalFormatting sqref="R75:R80">
    <cfRule type="iconSet" priority="294">
      <iconSet iconSet="3Symbols2" showValue="0">
        <cfvo type="percent" val="0"/>
        <cfvo type="num" val="0"/>
        <cfvo type="num" val="1"/>
      </iconSet>
    </cfRule>
  </conditionalFormatting>
  <conditionalFormatting sqref="Q75:Q80">
    <cfRule type="iconSet" priority="293">
      <iconSet iconSet="3Symbols2" showValue="0">
        <cfvo type="percent" val="0"/>
        <cfvo type="num" val="0"/>
        <cfvo type="num" val="1"/>
      </iconSet>
    </cfRule>
  </conditionalFormatting>
  <conditionalFormatting sqref="S75:S80">
    <cfRule type="iconSet" priority="292">
      <iconSet iconSet="3Symbols2" showValue="0">
        <cfvo type="percent" val="0"/>
        <cfvo type="num" val="0"/>
        <cfvo type="num" val="1"/>
      </iconSet>
    </cfRule>
  </conditionalFormatting>
  <conditionalFormatting sqref="R356:R357">
    <cfRule type="iconSet" priority="291">
      <iconSet iconSet="3Symbols2" showValue="0">
        <cfvo type="percent" val="0"/>
        <cfvo type="num" val="0"/>
        <cfvo type="num" val="1"/>
      </iconSet>
    </cfRule>
  </conditionalFormatting>
  <conditionalFormatting sqref="Q354:Q357">
    <cfRule type="iconSet" priority="290">
      <iconSet iconSet="3Symbols2" showValue="0">
        <cfvo type="percent" val="0"/>
        <cfvo type="num" val="0"/>
        <cfvo type="num" val="1"/>
      </iconSet>
    </cfRule>
  </conditionalFormatting>
  <conditionalFormatting sqref="S354:S357">
    <cfRule type="iconSet" priority="289">
      <iconSet iconSet="3Symbols2" showValue="0">
        <cfvo type="percent" val="0"/>
        <cfvo type="num" val="0"/>
        <cfvo type="num" val="1"/>
      </iconSet>
    </cfRule>
  </conditionalFormatting>
  <conditionalFormatting sqref="R364:R366">
    <cfRule type="iconSet" priority="288">
      <iconSet iconSet="3Symbols2" showValue="0">
        <cfvo type="percent" val="0"/>
        <cfvo type="num" val="0"/>
        <cfvo type="num" val="1"/>
      </iconSet>
    </cfRule>
  </conditionalFormatting>
  <conditionalFormatting sqref="Q363:Q366">
    <cfRule type="iconSet" priority="287">
      <iconSet iconSet="3Symbols2" showValue="0">
        <cfvo type="percent" val="0"/>
        <cfvo type="num" val="0"/>
        <cfvo type="num" val="1"/>
      </iconSet>
    </cfRule>
  </conditionalFormatting>
  <conditionalFormatting sqref="S363:S366">
    <cfRule type="iconSet" priority="286">
      <iconSet iconSet="3Symbols2" showValue="0">
        <cfvo type="percent" val="0"/>
        <cfvo type="num" val="0"/>
        <cfvo type="num" val="1"/>
      </iconSet>
    </cfRule>
  </conditionalFormatting>
  <conditionalFormatting sqref="Q362">
    <cfRule type="iconSet" priority="284">
      <iconSet iconSet="3Symbols2" showValue="0">
        <cfvo type="percent" val="0"/>
        <cfvo type="num" val="0"/>
        <cfvo type="num" val="1"/>
      </iconSet>
    </cfRule>
  </conditionalFormatting>
  <conditionalFormatting sqref="S362">
    <cfRule type="iconSet" priority="283">
      <iconSet iconSet="3Symbols2" showValue="0">
        <cfvo type="percent" val="0"/>
        <cfvo type="num" val="0"/>
        <cfvo type="num" val="1"/>
      </iconSet>
    </cfRule>
  </conditionalFormatting>
  <conditionalFormatting sqref="R378:R379">
    <cfRule type="iconSet" priority="282">
      <iconSet iconSet="3Symbols2" showValue="0">
        <cfvo type="percent" val="0"/>
        <cfvo type="num" val="0"/>
        <cfvo type="num" val="1"/>
      </iconSet>
    </cfRule>
  </conditionalFormatting>
  <conditionalFormatting sqref="Q376:Q379">
    <cfRule type="iconSet" priority="281">
      <iconSet iconSet="3Symbols2" showValue="0">
        <cfvo type="percent" val="0"/>
        <cfvo type="num" val="0"/>
        <cfvo type="num" val="1"/>
      </iconSet>
    </cfRule>
  </conditionalFormatting>
  <conditionalFormatting sqref="S376:S379">
    <cfRule type="iconSet" priority="280">
      <iconSet iconSet="3Symbols2" showValue="0">
        <cfvo type="percent" val="0"/>
        <cfvo type="num" val="0"/>
        <cfvo type="num" val="1"/>
      </iconSet>
    </cfRule>
  </conditionalFormatting>
  <conditionalFormatting sqref="R385:R386">
    <cfRule type="iconSet" priority="279">
      <iconSet iconSet="3Symbols2" showValue="0">
        <cfvo type="percent" val="0"/>
        <cfvo type="num" val="0"/>
        <cfvo type="num" val="1"/>
      </iconSet>
    </cfRule>
  </conditionalFormatting>
  <conditionalFormatting sqref="Q383:Q386">
    <cfRule type="iconSet" priority="278">
      <iconSet iconSet="3Symbols2" showValue="0">
        <cfvo type="percent" val="0"/>
        <cfvo type="num" val="0"/>
        <cfvo type="num" val="1"/>
      </iconSet>
    </cfRule>
  </conditionalFormatting>
  <conditionalFormatting sqref="S383:S386">
    <cfRule type="iconSet" priority="277">
      <iconSet iconSet="3Symbols2" showValue="0">
        <cfvo type="percent" val="0"/>
        <cfvo type="num" val="0"/>
        <cfvo type="num" val="1"/>
      </iconSet>
    </cfRule>
  </conditionalFormatting>
  <conditionalFormatting sqref="R393:R394">
    <cfRule type="iconSet" priority="276">
      <iconSet iconSet="3Symbols2" showValue="0">
        <cfvo type="percent" val="0"/>
        <cfvo type="num" val="0"/>
        <cfvo type="num" val="1"/>
      </iconSet>
    </cfRule>
  </conditionalFormatting>
  <conditionalFormatting sqref="Q391:Q394">
    <cfRule type="iconSet" priority="275">
      <iconSet iconSet="3Symbols2" showValue="0">
        <cfvo type="percent" val="0"/>
        <cfvo type="num" val="0"/>
        <cfvo type="num" val="1"/>
      </iconSet>
    </cfRule>
  </conditionalFormatting>
  <conditionalFormatting sqref="S391:S394">
    <cfRule type="iconSet" priority="274">
      <iconSet iconSet="3Symbols2" showValue="0">
        <cfvo type="percent" val="0"/>
        <cfvo type="num" val="0"/>
        <cfvo type="num" val="1"/>
      </iconSet>
    </cfRule>
  </conditionalFormatting>
  <conditionalFormatting sqref="Q398:Q399">
    <cfRule type="iconSet" priority="272">
      <iconSet iconSet="3Symbols2" showValue="0">
        <cfvo type="percent" val="0"/>
        <cfvo type="num" val="0"/>
        <cfvo type="num" val="1"/>
      </iconSet>
    </cfRule>
  </conditionalFormatting>
  <conditionalFormatting sqref="S398:S399">
    <cfRule type="iconSet" priority="271">
      <iconSet iconSet="3Symbols2" showValue="0">
        <cfvo type="percent" val="0"/>
        <cfvo type="num" val="0"/>
        <cfvo type="num" val="1"/>
      </iconSet>
    </cfRule>
  </conditionalFormatting>
  <conditionalFormatting sqref="R641">
    <cfRule type="iconSet" priority="270">
      <iconSet iconSet="3Symbols2" showValue="0">
        <cfvo type="percent" val="0"/>
        <cfvo type="num" val="0"/>
        <cfvo type="num" val="1"/>
      </iconSet>
    </cfRule>
  </conditionalFormatting>
  <conditionalFormatting sqref="S641">
    <cfRule type="iconSet" priority="269">
      <iconSet iconSet="3Symbols2" showValue="0">
        <cfvo type="percent" val="0"/>
        <cfvo type="num" val="0"/>
        <cfvo type="num" val="1"/>
      </iconSet>
    </cfRule>
  </conditionalFormatting>
  <conditionalFormatting sqref="Q641">
    <cfRule type="iconSet" priority="268">
      <iconSet iconSet="3Symbols2" showValue="0">
        <cfvo type="percent" val="0"/>
        <cfvo type="num" val="0"/>
        <cfvo type="num" val="1"/>
      </iconSet>
    </cfRule>
  </conditionalFormatting>
  <conditionalFormatting sqref="T641">
    <cfRule type="iconSet" priority="267">
      <iconSet iconSet="3Symbols2" showValue="0">
        <cfvo type="percent" val="0"/>
        <cfvo type="num" val="0"/>
        <cfvo type="num" val="1"/>
      </iconSet>
    </cfRule>
  </conditionalFormatting>
  <conditionalFormatting sqref="Q486:Q488">
    <cfRule type="iconSet" priority="266">
      <iconSet iconSet="3Symbols2" showValue="0">
        <cfvo type="percent" val="0"/>
        <cfvo type="num" val="0"/>
        <cfvo type="num" val="1"/>
      </iconSet>
    </cfRule>
  </conditionalFormatting>
  <conditionalFormatting sqref="R481">
    <cfRule type="iconSet" priority="265">
      <iconSet iconSet="3Symbols2" showValue="0">
        <cfvo type="percent" val="0"/>
        <cfvo type="num" val="0"/>
        <cfvo type="num" val="1"/>
      </iconSet>
    </cfRule>
  </conditionalFormatting>
  <conditionalFormatting sqref="R498:R500">
    <cfRule type="iconSet" priority="264">
      <iconSet iconSet="3Symbols2" showValue="0">
        <cfvo type="percent" val="0"/>
        <cfvo type="num" val="0"/>
        <cfvo type="num" val="1"/>
      </iconSet>
    </cfRule>
  </conditionalFormatting>
  <conditionalFormatting sqref="R512:R514">
    <cfRule type="iconSet" priority="263">
      <iconSet iconSet="3Symbols2" showValue="0">
        <cfvo type="percent" val="0"/>
        <cfvo type="num" val="0"/>
        <cfvo type="num" val="1"/>
      </iconSet>
    </cfRule>
  </conditionalFormatting>
  <conditionalFormatting sqref="R520:R521">
    <cfRule type="iconSet" priority="262">
      <iconSet iconSet="3Symbols2" showValue="0">
        <cfvo type="percent" val="0"/>
        <cfvo type="num" val="0"/>
        <cfvo type="num" val="1"/>
      </iconSet>
    </cfRule>
  </conditionalFormatting>
  <conditionalFormatting sqref="R533:R534">
    <cfRule type="iconSet" priority="261">
      <iconSet iconSet="3Symbols2" showValue="0">
        <cfvo type="percent" val="0"/>
        <cfvo type="num" val="0"/>
        <cfvo type="num" val="1"/>
      </iconSet>
    </cfRule>
  </conditionalFormatting>
  <conditionalFormatting sqref="R540:R541">
    <cfRule type="iconSet" priority="260">
      <iconSet iconSet="3Symbols2" showValue="0">
        <cfvo type="percent" val="0"/>
        <cfvo type="num" val="0"/>
        <cfvo type="num" val="1"/>
      </iconSet>
    </cfRule>
  </conditionalFormatting>
  <conditionalFormatting sqref="R548:R549">
    <cfRule type="iconSet" priority="259">
      <iconSet iconSet="3Symbols2" showValue="0">
        <cfvo type="percent" val="0"/>
        <cfvo type="num" val="0"/>
        <cfvo type="num" val="1"/>
      </iconSet>
    </cfRule>
  </conditionalFormatting>
  <conditionalFormatting sqref="R554">
    <cfRule type="iconSet" priority="258">
      <iconSet iconSet="3Symbols2" showValue="0">
        <cfvo type="percent" val="0"/>
        <cfvo type="num" val="0"/>
        <cfvo type="num" val="1"/>
      </iconSet>
    </cfRule>
  </conditionalFormatting>
  <conditionalFormatting sqref="R557:R561">
    <cfRule type="iconSet" priority="257">
      <iconSet iconSet="3Symbols2" showValue="0">
        <cfvo type="percent" val="0"/>
        <cfvo type="num" val="0"/>
        <cfvo type="num" val="1"/>
      </iconSet>
    </cfRule>
  </conditionalFormatting>
  <conditionalFormatting sqref="R489:S495 R482:S485 R501:S509 R515:S517 R522:S530 R535:S537 R542:S545 R550:S551 R555:S556">
    <cfRule type="iconSet" priority="255">
      <iconSet iconSet="3Symbols2" showValue="0">
        <cfvo type="percent" val="0"/>
        <cfvo type="num" val="0"/>
        <cfvo type="num" val="1"/>
      </iconSet>
    </cfRule>
  </conditionalFormatting>
  <conditionalFormatting sqref="T478:T558">
    <cfRule type="iconSet" priority="254">
      <iconSet iconSet="3Symbols2" showValue="0">
        <cfvo type="percent" val="0"/>
        <cfvo type="num" val="0"/>
        <cfvo type="num" val="1"/>
      </iconSet>
    </cfRule>
  </conditionalFormatting>
  <conditionalFormatting sqref="U478:U560">
    <cfRule type="iconSet" priority="253">
      <iconSet iconSet="3Symbols2" showValue="0">
        <cfvo type="percent" val="0"/>
        <cfvo type="num" val="0"/>
        <cfvo type="num" val="1"/>
      </iconSet>
    </cfRule>
  </conditionalFormatting>
  <conditionalFormatting sqref="R488">
    <cfRule type="iconSet" priority="252">
      <iconSet iconSet="3Symbols2" showValue="0">
        <cfvo type="percent" val="0"/>
        <cfvo type="num" val="0"/>
        <cfvo type="num" val="1"/>
      </iconSet>
    </cfRule>
  </conditionalFormatting>
  <conditionalFormatting sqref="S478:S481">
    <cfRule type="iconSet" priority="251">
      <iconSet iconSet="3Symbols2" showValue="0">
        <cfvo type="percent" val="0"/>
        <cfvo type="num" val="0"/>
        <cfvo type="num" val="1"/>
      </iconSet>
    </cfRule>
  </conditionalFormatting>
  <conditionalFormatting sqref="S496:S500">
    <cfRule type="iconSet" priority="250">
      <iconSet iconSet="3Symbols2" showValue="0">
        <cfvo type="percent" val="0"/>
        <cfvo type="num" val="0"/>
        <cfvo type="num" val="1"/>
      </iconSet>
    </cfRule>
  </conditionalFormatting>
  <conditionalFormatting sqref="S510:S514">
    <cfRule type="iconSet" priority="249">
      <iconSet iconSet="3Symbols2" showValue="0">
        <cfvo type="percent" val="0"/>
        <cfvo type="num" val="0"/>
        <cfvo type="num" val="1"/>
      </iconSet>
    </cfRule>
  </conditionalFormatting>
  <conditionalFormatting sqref="S518:S521">
    <cfRule type="iconSet" priority="248">
      <iconSet iconSet="3Symbols2" showValue="0">
        <cfvo type="percent" val="0"/>
        <cfvo type="num" val="0"/>
        <cfvo type="num" val="1"/>
      </iconSet>
    </cfRule>
  </conditionalFormatting>
  <conditionalFormatting sqref="S531:S534">
    <cfRule type="iconSet" priority="247">
      <iconSet iconSet="3Symbols2" showValue="0">
        <cfvo type="percent" val="0"/>
        <cfvo type="num" val="0"/>
        <cfvo type="num" val="1"/>
      </iconSet>
    </cfRule>
  </conditionalFormatting>
  <conditionalFormatting sqref="S538:S541">
    <cfRule type="iconSet" priority="246">
      <iconSet iconSet="3Symbols2" showValue="0">
        <cfvo type="percent" val="0"/>
        <cfvo type="num" val="0"/>
        <cfvo type="num" val="1"/>
      </iconSet>
    </cfRule>
  </conditionalFormatting>
  <conditionalFormatting sqref="S546:S549">
    <cfRule type="iconSet" priority="245">
      <iconSet iconSet="3Symbols2" showValue="0">
        <cfvo type="percent" val="0"/>
        <cfvo type="num" val="0"/>
        <cfvo type="num" val="1"/>
      </iconSet>
    </cfRule>
  </conditionalFormatting>
  <conditionalFormatting sqref="S552:S554">
    <cfRule type="iconSet" priority="244">
      <iconSet iconSet="3Symbols2" showValue="0">
        <cfvo type="percent" val="0"/>
        <cfvo type="num" val="0"/>
        <cfvo type="num" val="1"/>
      </iconSet>
    </cfRule>
  </conditionalFormatting>
  <conditionalFormatting sqref="S557:S561">
    <cfRule type="iconSet" priority="243">
      <iconSet iconSet="3Symbols2" showValue="0">
        <cfvo type="percent" val="0"/>
        <cfvo type="num" val="0"/>
        <cfvo type="num" val="1"/>
      </iconSet>
    </cfRule>
  </conditionalFormatting>
  <conditionalFormatting sqref="S486:S488">
    <cfRule type="iconSet" priority="242">
      <iconSet iconSet="3Symbols2" showValue="0">
        <cfvo type="percent" val="0"/>
        <cfvo type="num" val="0"/>
        <cfvo type="num" val="1"/>
      </iconSet>
    </cfRule>
  </conditionalFormatting>
  <conditionalFormatting sqref="R84">
    <cfRule type="iconSet" priority="239">
      <iconSet iconSet="3Symbols2" showValue="0">
        <cfvo type="percent" val="0"/>
        <cfvo type="num" val="0"/>
        <cfvo type="num" val="1"/>
      </iconSet>
    </cfRule>
  </conditionalFormatting>
  <conditionalFormatting sqref="Q84">
    <cfRule type="iconSet" priority="238">
      <iconSet iconSet="3Symbols2" showValue="0">
        <cfvo type="percent" val="0"/>
        <cfvo type="num" val="0"/>
        <cfvo type="num" val="1"/>
      </iconSet>
    </cfRule>
  </conditionalFormatting>
  <conditionalFormatting sqref="S82:S84">
    <cfRule type="iconSet" priority="237">
      <iconSet iconSet="3Symbols2" showValue="0">
        <cfvo type="percent" val="0"/>
        <cfvo type="num" val="0"/>
        <cfvo type="num" val="1"/>
      </iconSet>
    </cfRule>
  </conditionalFormatting>
  <conditionalFormatting sqref="R181:S181">
    <cfRule type="iconSet" priority="236">
      <iconSet iconSet="3Symbols2" showValue="0">
        <cfvo type="percent" val="0"/>
        <cfvo type="num" val="0"/>
        <cfvo type="num" val="1"/>
      </iconSet>
    </cfRule>
  </conditionalFormatting>
  <conditionalFormatting sqref="R220:S220">
    <cfRule type="iconSet" priority="235">
      <iconSet iconSet="3Symbols2" showValue="0">
        <cfvo type="percent" val="0"/>
        <cfvo type="num" val="0"/>
        <cfvo type="num" val="1"/>
      </iconSet>
    </cfRule>
  </conditionalFormatting>
  <conditionalFormatting sqref="Q305:Q306">
    <cfRule type="iconSet" priority="234">
      <iconSet iconSet="3Symbols2" showValue="0">
        <cfvo type="percent" val="0"/>
        <cfvo type="num" val="0"/>
        <cfvo type="num" val="1"/>
      </iconSet>
    </cfRule>
  </conditionalFormatting>
  <conditionalFormatting sqref="R305:R306">
    <cfRule type="iconSet" priority="233">
      <iconSet iconSet="3Symbols2" showValue="0">
        <cfvo type="percent" val="0"/>
        <cfvo type="num" val="0"/>
        <cfvo type="num" val="1"/>
      </iconSet>
    </cfRule>
  </conditionalFormatting>
  <conditionalFormatting sqref="S305:S307">
    <cfRule type="iconSet" priority="232">
      <iconSet iconSet="3Symbols2" showValue="0">
        <cfvo type="percent" val="0"/>
        <cfvo type="num" val="0"/>
        <cfvo type="num" val="1"/>
      </iconSet>
    </cfRule>
  </conditionalFormatting>
  <conditionalFormatting sqref="S405">
    <cfRule type="iconSet" priority="231">
      <iconSet iconSet="3Symbols2" showValue="0">
        <cfvo type="percent" val="0"/>
        <cfvo type="num" val="0"/>
        <cfvo type="num" val="1"/>
      </iconSet>
    </cfRule>
  </conditionalFormatting>
  <conditionalFormatting sqref="R405">
    <cfRule type="iconSet" priority="230">
      <iconSet iconSet="3Symbols2" showValue="0">
        <cfvo type="percent" val="0"/>
        <cfvo type="num" val="0"/>
        <cfvo type="num" val="1"/>
      </iconSet>
    </cfRule>
  </conditionalFormatting>
  <conditionalFormatting sqref="R462:R463">
    <cfRule type="iconSet" priority="229">
      <iconSet iconSet="3Symbols2" showValue="0">
        <cfvo type="percent" val="0"/>
        <cfvo type="num" val="0"/>
        <cfvo type="num" val="1"/>
      </iconSet>
    </cfRule>
  </conditionalFormatting>
  <conditionalFormatting sqref="S462:S463">
    <cfRule type="iconSet" priority="228">
      <iconSet iconSet="3Symbols2" showValue="0">
        <cfvo type="percent" val="0"/>
        <cfvo type="num" val="0"/>
        <cfvo type="num" val="1"/>
      </iconSet>
    </cfRule>
  </conditionalFormatting>
  <conditionalFormatting sqref="Q462:Q463">
    <cfRule type="iconSet" priority="227">
      <iconSet iconSet="3Symbols2" showValue="0">
        <cfvo type="percent" val="0"/>
        <cfvo type="num" val="0"/>
        <cfvo type="num" val="1"/>
      </iconSet>
    </cfRule>
  </conditionalFormatting>
  <conditionalFormatting sqref="S623:S624">
    <cfRule type="iconSet" priority="226">
      <iconSet iconSet="3Symbols2" showValue="0">
        <cfvo type="percent" val="0"/>
        <cfvo type="num" val="0"/>
        <cfvo type="num" val="1"/>
      </iconSet>
    </cfRule>
  </conditionalFormatting>
  <conditionalFormatting sqref="R623:R624">
    <cfRule type="iconSet" priority="225">
      <iconSet iconSet="3Symbols2" showValue="0">
        <cfvo type="percent" val="0"/>
        <cfvo type="num" val="0"/>
        <cfvo type="num" val="1"/>
      </iconSet>
    </cfRule>
  </conditionalFormatting>
  <conditionalFormatting sqref="R678:R679">
    <cfRule type="iconSet" priority="224">
      <iconSet iconSet="3Symbols2" showValue="0">
        <cfvo type="percent" val="0"/>
        <cfvo type="num" val="0"/>
        <cfvo type="num" val="1"/>
      </iconSet>
    </cfRule>
  </conditionalFormatting>
  <conditionalFormatting sqref="Q678:Q679">
    <cfRule type="iconSet" priority="223">
      <iconSet iconSet="3Symbols2" showValue="0">
        <cfvo type="percent" val="0"/>
        <cfvo type="num" val="0"/>
        <cfvo type="num" val="1"/>
      </iconSet>
    </cfRule>
  </conditionalFormatting>
  <conditionalFormatting sqref="S678:S679">
    <cfRule type="iconSet" priority="222">
      <iconSet iconSet="3Symbols2" showValue="0">
        <cfvo type="percent" val="0"/>
        <cfvo type="num" val="0"/>
        <cfvo type="num" val="1"/>
      </iconSet>
    </cfRule>
  </conditionalFormatting>
  <conditionalFormatting sqref="R740">
    <cfRule type="iconSet" priority="221">
      <iconSet iconSet="3Symbols2" showValue="0">
        <cfvo type="percent" val="0"/>
        <cfvo type="num" val="0"/>
        <cfvo type="num" val="1"/>
      </iconSet>
    </cfRule>
  </conditionalFormatting>
  <conditionalFormatting sqref="S740">
    <cfRule type="iconSet" priority="220">
      <iconSet iconSet="3Symbols2" showValue="0">
        <cfvo type="percent" val="0"/>
        <cfvo type="num" val="0"/>
        <cfvo type="num" val="1"/>
      </iconSet>
    </cfRule>
  </conditionalFormatting>
  <conditionalFormatting sqref="T423:T425">
    <cfRule type="iconSet" priority="219">
      <iconSet iconSet="3Symbols2" showValue="0">
        <cfvo type="percent" val="0"/>
        <cfvo type="num" val="0"/>
        <cfvo type="num" val="1"/>
      </iconSet>
    </cfRule>
  </conditionalFormatting>
  <conditionalFormatting sqref="R433">
    <cfRule type="iconSet" priority="218">
      <iconSet iconSet="3Symbols2" showValue="0">
        <cfvo type="percent" val="0"/>
        <cfvo type="num" val="0"/>
        <cfvo type="num" val="1"/>
      </iconSet>
    </cfRule>
  </conditionalFormatting>
  <conditionalFormatting sqref="Q433">
    <cfRule type="iconSet" priority="217">
      <iconSet iconSet="3Symbols2" showValue="0">
        <cfvo type="percent" val="0"/>
        <cfvo type="num" val="0"/>
        <cfvo type="num" val="1"/>
      </iconSet>
    </cfRule>
  </conditionalFormatting>
  <conditionalFormatting sqref="S433">
    <cfRule type="iconSet" priority="216">
      <iconSet iconSet="3Symbols2" showValue="0">
        <cfvo type="percent" val="0"/>
        <cfvo type="num" val="0"/>
        <cfvo type="num" val="1"/>
      </iconSet>
    </cfRule>
  </conditionalFormatting>
  <conditionalFormatting sqref="T433">
    <cfRule type="iconSet" priority="215">
      <iconSet iconSet="3Symbols2" showValue="0">
        <cfvo type="percent" val="0"/>
        <cfvo type="num" val="0"/>
        <cfvo type="num" val="1"/>
      </iconSet>
    </cfRule>
  </conditionalFormatting>
  <conditionalFormatting sqref="R434">
    <cfRule type="iconSet" priority="214">
      <iconSet iconSet="3Symbols2" showValue="0">
        <cfvo type="percent" val="0"/>
        <cfvo type="num" val="0"/>
        <cfvo type="num" val="1"/>
      </iconSet>
    </cfRule>
  </conditionalFormatting>
  <conditionalFormatting sqref="Q434">
    <cfRule type="iconSet" priority="213">
      <iconSet iconSet="3Symbols2" showValue="0">
        <cfvo type="percent" val="0"/>
        <cfvo type="num" val="0"/>
        <cfvo type="num" val="1"/>
      </iconSet>
    </cfRule>
  </conditionalFormatting>
  <conditionalFormatting sqref="S434">
    <cfRule type="iconSet" priority="212">
      <iconSet iconSet="3Symbols2" showValue="0">
        <cfvo type="percent" val="0"/>
        <cfvo type="num" val="0"/>
        <cfvo type="num" val="1"/>
      </iconSet>
    </cfRule>
  </conditionalFormatting>
  <conditionalFormatting sqref="T434">
    <cfRule type="iconSet" priority="211">
      <iconSet iconSet="3Symbols2" showValue="0">
        <cfvo type="percent" val="0"/>
        <cfvo type="num" val="0"/>
        <cfvo type="num" val="1"/>
      </iconSet>
    </cfRule>
  </conditionalFormatting>
  <conditionalFormatting sqref="R442">
    <cfRule type="iconSet" priority="210">
      <iconSet iconSet="3Symbols2" showValue="0">
        <cfvo type="percent" val="0"/>
        <cfvo type="num" val="0"/>
        <cfvo type="num" val="1"/>
      </iconSet>
    </cfRule>
  </conditionalFormatting>
  <conditionalFormatting sqref="Q442">
    <cfRule type="iconSet" priority="209">
      <iconSet iconSet="3Symbols2" showValue="0">
        <cfvo type="percent" val="0"/>
        <cfvo type="num" val="0"/>
        <cfvo type="num" val="1"/>
      </iconSet>
    </cfRule>
  </conditionalFormatting>
  <conditionalFormatting sqref="S442:T442">
    <cfRule type="iconSet" priority="207">
      <iconSet iconSet="3Symbols2" showValue="0">
        <cfvo type="percent" val="0"/>
        <cfvo type="num" val="0"/>
        <cfvo type="num" val="1"/>
      </iconSet>
    </cfRule>
  </conditionalFormatting>
  <conditionalFormatting sqref="R443:R444">
    <cfRule type="iconSet" priority="206">
      <iconSet iconSet="3Symbols2" showValue="0">
        <cfvo type="percent" val="0"/>
        <cfvo type="num" val="0"/>
        <cfvo type="num" val="1"/>
      </iconSet>
    </cfRule>
  </conditionalFormatting>
  <conditionalFormatting sqref="Q443:Q444">
    <cfRule type="iconSet" priority="205">
      <iconSet iconSet="3Symbols2" showValue="0">
        <cfvo type="percent" val="0"/>
        <cfvo type="num" val="0"/>
        <cfvo type="num" val="1"/>
      </iconSet>
    </cfRule>
  </conditionalFormatting>
  <conditionalFormatting sqref="S443:S444">
    <cfRule type="iconSet" priority="204">
      <iconSet iconSet="3Symbols2" showValue="0">
        <cfvo type="percent" val="0"/>
        <cfvo type="num" val="0"/>
        <cfvo type="num" val="1"/>
      </iconSet>
    </cfRule>
  </conditionalFormatting>
  <conditionalFormatting sqref="T443:T444">
    <cfRule type="iconSet" priority="203">
      <iconSet iconSet="3Symbols2" showValue="0">
        <cfvo type="percent" val="0"/>
        <cfvo type="num" val="0"/>
        <cfvo type="num" val="1"/>
      </iconSet>
    </cfRule>
  </conditionalFormatting>
  <conditionalFormatting sqref="R452">
    <cfRule type="iconSet" priority="202">
      <iconSet iconSet="3Symbols2" showValue="0">
        <cfvo type="percent" val="0"/>
        <cfvo type="num" val="0"/>
        <cfvo type="num" val="1"/>
      </iconSet>
    </cfRule>
  </conditionalFormatting>
  <conditionalFormatting sqref="Q452">
    <cfRule type="iconSet" priority="201">
      <iconSet iconSet="3Symbols2" showValue="0">
        <cfvo type="percent" val="0"/>
        <cfvo type="num" val="0"/>
        <cfvo type="num" val="1"/>
      </iconSet>
    </cfRule>
  </conditionalFormatting>
  <conditionalFormatting sqref="S452">
    <cfRule type="iconSet" priority="200">
      <iconSet iconSet="3Symbols2" showValue="0">
        <cfvo type="percent" val="0"/>
        <cfvo type="num" val="0"/>
        <cfvo type="num" val="1"/>
      </iconSet>
    </cfRule>
  </conditionalFormatting>
  <conditionalFormatting sqref="T452">
    <cfRule type="iconSet" priority="199">
      <iconSet iconSet="3Symbols2" showValue="0">
        <cfvo type="percent" val="0"/>
        <cfvo type="num" val="0"/>
        <cfvo type="num" val="1"/>
      </iconSet>
    </cfRule>
  </conditionalFormatting>
  <conditionalFormatting sqref="R453">
    <cfRule type="iconSet" priority="198">
      <iconSet iconSet="3Symbols2" showValue="0">
        <cfvo type="percent" val="0"/>
        <cfvo type="num" val="0"/>
        <cfvo type="num" val="1"/>
      </iconSet>
    </cfRule>
  </conditionalFormatting>
  <conditionalFormatting sqref="Q453">
    <cfRule type="iconSet" priority="197">
      <iconSet iconSet="3Symbols2" showValue="0">
        <cfvo type="percent" val="0"/>
        <cfvo type="num" val="0"/>
        <cfvo type="num" val="1"/>
      </iconSet>
    </cfRule>
  </conditionalFormatting>
  <conditionalFormatting sqref="S453">
    <cfRule type="iconSet" priority="196">
      <iconSet iconSet="3Symbols2" showValue="0">
        <cfvo type="percent" val="0"/>
        <cfvo type="num" val="0"/>
        <cfvo type="num" val="1"/>
      </iconSet>
    </cfRule>
  </conditionalFormatting>
  <conditionalFormatting sqref="T453">
    <cfRule type="iconSet" priority="195">
      <iconSet iconSet="3Symbols2" showValue="0">
        <cfvo type="percent" val="0"/>
        <cfvo type="num" val="0"/>
        <cfvo type="num" val="1"/>
      </iconSet>
    </cfRule>
  </conditionalFormatting>
  <conditionalFormatting sqref="S243">
    <cfRule type="iconSet" priority="194">
      <iconSet iconSet="3Symbols2" showValue="0">
        <cfvo type="percent" val="0"/>
        <cfvo type="num" val="0"/>
        <cfvo type="num" val="1"/>
      </iconSet>
    </cfRule>
  </conditionalFormatting>
  <conditionalFormatting sqref="R243">
    <cfRule type="iconSet" priority="193">
      <iconSet iconSet="3Symbols2" showValue="0">
        <cfvo type="percent" val="0"/>
        <cfvo type="num" val="0"/>
        <cfvo type="num" val="1"/>
      </iconSet>
    </cfRule>
  </conditionalFormatting>
  <conditionalFormatting sqref="T243">
    <cfRule type="iconSet" priority="192">
      <iconSet iconSet="3Symbols2" showValue="0">
        <cfvo type="percent" val="0"/>
        <cfvo type="num" val="0"/>
        <cfvo type="num" val="1"/>
      </iconSet>
    </cfRule>
  </conditionalFormatting>
  <conditionalFormatting sqref="Q243">
    <cfRule type="iconSet" priority="191">
      <iconSet iconSet="3Symbols2" showValue="0">
        <cfvo type="percent" val="0"/>
        <cfvo type="num" val="0"/>
        <cfvo type="num" val="1"/>
      </iconSet>
    </cfRule>
  </conditionalFormatting>
  <conditionalFormatting sqref="S268">
    <cfRule type="iconSet" priority="190">
      <iconSet iconSet="3Symbols2" showValue="0">
        <cfvo type="percent" val="0"/>
        <cfvo type="num" val="0"/>
        <cfvo type="num" val="1"/>
      </iconSet>
    </cfRule>
  </conditionalFormatting>
  <conditionalFormatting sqref="R268">
    <cfRule type="iconSet" priority="189">
      <iconSet iconSet="3Symbols2" showValue="0">
        <cfvo type="percent" val="0"/>
        <cfvo type="num" val="0"/>
        <cfvo type="num" val="1"/>
      </iconSet>
    </cfRule>
  </conditionalFormatting>
  <conditionalFormatting sqref="Q268">
    <cfRule type="iconSet" priority="188">
      <iconSet iconSet="3Symbols2" showValue="0">
        <cfvo type="percent" val="0"/>
        <cfvo type="num" val="0"/>
        <cfvo type="num" val="1"/>
      </iconSet>
    </cfRule>
  </conditionalFormatting>
  <conditionalFormatting sqref="T268">
    <cfRule type="iconSet" priority="187">
      <iconSet iconSet="3Symbols2" showValue="0">
        <cfvo type="percent" val="0"/>
        <cfvo type="num" val="0"/>
        <cfvo type="num" val="1"/>
      </iconSet>
    </cfRule>
  </conditionalFormatting>
  <conditionalFormatting sqref="S278">
    <cfRule type="iconSet" priority="186">
      <iconSet iconSet="3Symbols2" showValue="0">
        <cfvo type="percent" val="0"/>
        <cfvo type="num" val="0"/>
        <cfvo type="num" val="1"/>
      </iconSet>
    </cfRule>
  </conditionalFormatting>
  <conditionalFormatting sqref="R278">
    <cfRule type="iconSet" priority="185">
      <iconSet iconSet="3Symbols2" showValue="0">
        <cfvo type="percent" val="0"/>
        <cfvo type="num" val="0"/>
        <cfvo type="num" val="1"/>
      </iconSet>
    </cfRule>
  </conditionalFormatting>
  <conditionalFormatting sqref="Q278">
    <cfRule type="iconSet" priority="184">
      <iconSet iconSet="3Symbols2" showValue="0">
        <cfvo type="percent" val="0"/>
        <cfvo type="num" val="0"/>
        <cfvo type="num" val="1"/>
      </iconSet>
    </cfRule>
  </conditionalFormatting>
  <conditionalFormatting sqref="T278">
    <cfRule type="iconSet" priority="183">
      <iconSet iconSet="3Symbols2" showValue="0">
        <cfvo type="percent" val="0"/>
        <cfvo type="num" val="0"/>
        <cfvo type="num" val="1"/>
      </iconSet>
    </cfRule>
  </conditionalFormatting>
  <conditionalFormatting sqref="T559:T561">
    <cfRule type="iconSet" priority="182">
      <iconSet iconSet="3Symbols2" showValue="0">
        <cfvo type="percent" val="0"/>
        <cfvo type="num" val="0"/>
        <cfvo type="num" val="1"/>
      </iconSet>
    </cfRule>
  </conditionalFormatting>
  <conditionalFormatting sqref="R648:R649">
    <cfRule type="iconSet" priority="181">
      <iconSet iconSet="3Symbols2" showValue="0">
        <cfvo type="percent" val="0"/>
        <cfvo type="num" val="0"/>
        <cfvo type="num" val="1"/>
      </iconSet>
    </cfRule>
  </conditionalFormatting>
  <conditionalFormatting sqref="S648:S649">
    <cfRule type="iconSet" priority="180">
      <iconSet iconSet="3Symbols2" showValue="0">
        <cfvo type="percent" val="0"/>
        <cfvo type="num" val="0"/>
        <cfvo type="num" val="1"/>
      </iconSet>
    </cfRule>
  </conditionalFormatting>
  <conditionalFormatting sqref="Q648:Q649">
    <cfRule type="iconSet" priority="179">
      <iconSet iconSet="3Symbols2" showValue="0">
        <cfvo type="percent" val="0"/>
        <cfvo type="num" val="0"/>
        <cfvo type="num" val="1"/>
      </iconSet>
    </cfRule>
  </conditionalFormatting>
  <conditionalFormatting sqref="T648:T649">
    <cfRule type="iconSet" priority="178">
      <iconSet iconSet="3Symbols2" showValue="0">
        <cfvo type="percent" val="0"/>
        <cfvo type="num" val="0"/>
        <cfvo type="num" val="1"/>
      </iconSet>
    </cfRule>
  </conditionalFormatting>
  <conditionalFormatting sqref="R657:R658">
    <cfRule type="iconSet" priority="177">
      <iconSet iconSet="3Symbols2" showValue="0">
        <cfvo type="percent" val="0"/>
        <cfvo type="num" val="0"/>
        <cfvo type="num" val="1"/>
      </iconSet>
    </cfRule>
  </conditionalFormatting>
  <conditionalFormatting sqref="S657:S658">
    <cfRule type="iconSet" priority="176">
      <iconSet iconSet="3Symbols2" showValue="0">
        <cfvo type="percent" val="0"/>
        <cfvo type="num" val="0"/>
        <cfvo type="num" val="1"/>
      </iconSet>
    </cfRule>
  </conditionalFormatting>
  <conditionalFormatting sqref="Q657:Q658">
    <cfRule type="iconSet" priority="175">
      <iconSet iconSet="3Symbols2" showValue="0">
        <cfvo type="percent" val="0"/>
        <cfvo type="num" val="0"/>
        <cfvo type="num" val="1"/>
      </iconSet>
    </cfRule>
  </conditionalFormatting>
  <conditionalFormatting sqref="T657:T658">
    <cfRule type="iconSet" priority="174">
      <iconSet iconSet="3Symbols2" showValue="0">
        <cfvo type="percent" val="0"/>
        <cfvo type="num" val="0"/>
        <cfvo type="num" val="1"/>
      </iconSet>
    </cfRule>
  </conditionalFormatting>
  <conditionalFormatting sqref="R665:R666">
    <cfRule type="iconSet" priority="173">
      <iconSet iconSet="3Symbols2" showValue="0">
        <cfvo type="percent" val="0"/>
        <cfvo type="num" val="0"/>
        <cfvo type="num" val="1"/>
      </iconSet>
    </cfRule>
  </conditionalFormatting>
  <conditionalFormatting sqref="S665:S666">
    <cfRule type="iconSet" priority="172">
      <iconSet iconSet="3Symbols2" showValue="0">
        <cfvo type="percent" val="0"/>
        <cfvo type="num" val="0"/>
        <cfvo type="num" val="1"/>
      </iconSet>
    </cfRule>
  </conditionalFormatting>
  <conditionalFormatting sqref="Q665:Q666">
    <cfRule type="iconSet" priority="171">
      <iconSet iconSet="3Symbols2" showValue="0">
        <cfvo type="percent" val="0"/>
        <cfvo type="num" val="0"/>
        <cfvo type="num" val="1"/>
      </iconSet>
    </cfRule>
  </conditionalFormatting>
  <conditionalFormatting sqref="T665:T666">
    <cfRule type="iconSet" priority="170">
      <iconSet iconSet="3Symbols2" showValue="0">
        <cfvo type="percent" val="0"/>
        <cfvo type="num" val="0"/>
        <cfvo type="num" val="1"/>
      </iconSet>
    </cfRule>
  </conditionalFormatting>
  <conditionalFormatting sqref="R672">
    <cfRule type="iconSet" priority="169">
      <iconSet iconSet="3Symbols2" showValue="0">
        <cfvo type="percent" val="0"/>
        <cfvo type="num" val="0"/>
        <cfvo type="num" val="1"/>
      </iconSet>
    </cfRule>
  </conditionalFormatting>
  <conditionalFormatting sqref="S672">
    <cfRule type="iconSet" priority="168">
      <iconSet iconSet="3Symbols2" showValue="0">
        <cfvo type="percent" val="0"/>
        <cfvo type="num" val="0"/>
        <cfvo type="num" val="1"/>
      </iconSet>
    </cfRule>
  </conditionalFormatting>
  <conditionalFormatting sqref="Q672">
    <cfRule type="iconSet" priority="167">
      <iconSet iconSet="3Symbols2" showValue="0">
        <cfvo type="percent" val="0"/>
        <cfvo type="num" val="0"/>
        <cfvo type="num" val="1"/>
      </iconSet>
    </cfRule>
  </conditionalFormatting>
  <conditionalFormatting sqref="T672">
    <cfRule type="iconSet" priority="166">
      <iconSet iconSet="3Symbols2" showValue="0">
        <cfvo type="percent" val="0"/>
        <cfvo type="num" val="0"/>
        <cfvo type="num" val="1"/>
      </iconSet>
    </cfRule>
  </conditionalFormatting>
  <conditionalFormatting sqref="T77:T80">
    <cfRule type="iconSet" priority="165">
      <iconSet iconSet="3Symbols2" showValue="0">
        <cfvo type="percent" val="0"/>
        <cfvo type="num" val="0"/>
        <cfvo type="num" val="1"/>
      </iconSet>
    </cfRule>
  </conditionalFormatting>
  <conditionalFormatting sqref="Q40:Q45">
    <cfRule type="iconSet" priority="164">
      <iconSet iconSet="3Symbols2" showValue="0">
        <cfvo type="percent" val="0"/>
        <cfvo type="num" val="0"/>
        <cfvo type="num" val="1"/>
      </iconSet>
    </cfRule>
  </conditionalFormatting>
  <conditionalFormatting sqref="S40:S42">
    <cfRule type="iconSet" priority="163">
      <iconSet iconSet="3Symbols2" showValue="0">
        <cfvo type="percent" val="0"/>
        <cfvo type="num" val="0"/>
        <cfvo type="num" val="1"/>
      </iconSet>
    </cfRule>
  </conditionalFormatting>
  <conditionalFormatting sqref="S296:S297">
    <cfRule type="iconSet" priority="162">
      <iconSet iconSet="3Symbols2" showValue="0">
        <cfvo type="percent" val="0"/>
        <cfvo type="num" val="0"/>
        <cfvo type="num" val="1"/>
      </iconSet>
    </cfRule>
  </conditionalFormatting>
  <conditionalFormatting sqref="R296:R297">
    <cfRule type="iconSet" priority="161">
      <iconSet iconSet="3Symbols2" showValue="0">
        <cfvo type="percent" val="0"/>
        <cfvo type="num" val="0"/>
        <cfvo type="num" val="1"/>
      </iconSet>
    </cfRule>
  </conditionalFormatting>
  <conditionalFormatting sqref="Q296:Q297">
    <cfRule type="iconSet" priority="160">
      <iconSet iconSet="3Symbols2" showValue="0">
        <cfvo type="percent" val="0"/>
        <cfvo type="num" val="0"/>
        <cfvo type="num" val="1"/>
      </iconSet>
    </cfRule>
  </conditionalFormatting>
  <conditionalFormatting sqref="T296:T297">
    <cfRule type="iconSet" priority="159">
      <iconSet iconSet="3Symbols2" showValue="0">
        <cfvo type="percent" val="0"/>
        <cfvo type="num" val="0"/>
        <cfvo type="num" val="1"/>
      </iconSet>
    </cfRule>
  </conditionalFormatting>
  <conditionalFormatting sqref="Q54">
    <cfRule type="iconSet" priority="158">
      <iconSet iconSet="3Symbols2" showValue="0">
        <cfvo type="percent" val="0"/>
        <cfvo type="num" val="0"/>
        <cfvo type="num" val="1"/>
      </iconSet>
    </cfRule>
  </conditionalFormatting>
  <conditionalFormatting sqref="T54">
    <cfRule type="iconSet" priority="157">
      <iconSet iconSet="3Symbols2" showValue="0">
        <cfvo type="percent" val="0"/>
        <cfvo type="num" val="0"/>
        <cfvo type="num" val="1"/>
      </iconSet>
    </cfRule>
  </conditionalFormatting>
  <conditionalFormatting sqref="K799:K801 K790">
    <cfRule type="iconSet" priority="156">
      <iconSet iconSet="3Symbols2" showValue="0">
        <cfvo type="percent" val="0"/>
        <cfvo type="num" val="0"/>
        <cfvo type="num" val="1"/>
      </iconSet>
    </cfRule>
  </conditionalFormatting>
  <conditionalFormatting sqref="V796:V798">
    <cfRule type="iconSet" priority="155">
      <iconSet iconSet="3Symbols2" showValue="0">
        <cfvo type="percent" val="0"/>
        <cfvo type="num" val="0"/>
        <cfvo type="num" val="1"/>
      </iconSet>
    </cfRule>
  </conditionalFormatting>
  <conditionalFormatting sqref="V799:V800 V790">
    <cfRule type="iconSet" priority="154">
      <iconSet iconSet="3Symbols2" showValue="0">
        <cfvo type="percent" val="0"/>
        <cfvo type="num" val="0"/>
        <cfvo type="num" val="1"/>
      </iconSet>
    </cfRule>
  </conditionalFormatting>
  <conditionalFormatting sqref="Q796">
    <cfRule type="iconSet" priority="153">
      <iconSet iconSet="3Symbols2" showValue="0">
        <cfvo type="percent" val="0"/>
        <cfvo type="num" val="0"/>
        <cfvo type="num" val="1"/>
      </iconSet>
    </cfRule>
  </conditionalFormatting>
  <conditionalFormatting sqref="Q797">
    <cfRule type="iconSet" priority="152">
      <iconSet iconSet="3Symbols2" showValue="0">
        <cfvo type="percent" val="0"/>
        <cfvo type="num" val="0"/>
        <cfvo type="num" val="1"/>
      </iconSet>
    </cfRule>
  </conditionalFormatting>
  <conditionalFormatting sqref="Q798">
    <cfRule type="iconSet" priority="151">
      <iconSet iconSet="3Symbols2" showValue="0">
        <cfvo type="percent" val="0"/>
        <cfvo type="num" val="0"/>
        <cfvo type="num" val="1"/>
      </iconSet>
    </cfRule>
  </conditionalFormatting>
  <conditionalFormatting sqref="Q799:Q800 Q790">
    <cfRule type="iconSet" priority="150">
      <iconSet iconSet="3Symbols2" showValue="0">
        <cfvo type="percent" val="0"/>
        <cfvo type="num" val="0"/>
        <cfvo type="num" val="1"/>
      </iconSet>
    </cfRule>
  </conditionalFormatting>
  <conditionalFormatting sqref="J796:J800">
    <cfRule type="iconSet" priority="149">
      <iconSet iconSet="3Symbols2" showValue="0">
        <cfvo type="percent" val="0"/>
        <cfvo type="num" val="0"/>
        <cfvo type="num" val="1"/>
      </iconSet>
    </cfRule>
  </conditionalFormatting>
  <conditionalFormatting sqref="J793:J795">
    <cfRule type="iconSet" priority="148">
      <iconSet iconSet="3Symbols2" showValue="0">
        <cfvo type="percent" val="0"/>
        <cfvo type="num" val="0"/>
        <cfvo type="num" val="1"/>
      </iconSet>
    </cfRule>
  </conditionalFormatting>
  <conditionalFormatting sqref="R796">
    <cfRule type="iconSet" priority="146">
      <iconSet iconSet="3Symbols2" showValue="0">
        <cfvo type="percent" val="0"/>
        <cfvo type="num" val="0"/>
        <cfvo type="num" val="1"/>
      </iconSet>
    </cfRule>
  </conditionalFormatting>
  <conditionalFormatting sqref="R797">
    <cfRule type="iconSet" priority="145">
      <iconSet iconSet="3Symbols2" showValue="0">
        <cfvo type="percent" val="0"/>
        <cfvo type="num" val="0"/>
        <cfvo type="num" val="1"/>
      </iconSet>
    </cfRule>
  </conditionalFormatting>
  <conditionalFormatting sqref="R798">
    <cfRule type="iconSet" priority="144">
      <iconSet iconSet="3Symbols2" showValue="0">
        <cfvo type="percent" val="0"/>
        <cfvo type="num" val="0"/>
        <cfvo type="num" val="1"/>
      </iconSet>
    </cfRule>
  </conditionalFormatting>
  <conditionalFormatting sqref="R799:R800 R790">
    <cfRule type="iconSet" priority="143">
      <iconSet iconSet="3Symbols2" showValue="0">
        <cfvo type="percent" val="0"/>
        <cfvo type="num" val="0"/>
        <cfvo type="num" val="1"/>
      </iconSet>
    </cfRule>
  </conditionalFormatting>
  <conditionalFormatting sqref="O793:O795">
    <cfRule type="iconSet" priority="141">
      <iconSet iconSet="3Symbols2" showValue="0">
        <cfvo type="percent" val="0"/>
        <cfvo type="num" val="0"/>
        <cfvo type="num" val="1"/>
      </iconSet>
    </cfRule>
  </conditionalFormatting>
  <conditionalFormatting sqref="O796:O800 O790">
    <cfRule type="iconSet" priority="140">
      <iconSet iconSet="3Symbols2" showValue="0">
        <cfvo type="percent" val="0"/>
        <cfvo type="num" val="0"/>
        <cfvo type="num" val="1"/>
      </iconSet>
    </cfRule>
  </conditionalFormatting>
  <conditionalFormatting sqref="P793:P795">
    <cfRule type="iconSet" priority="139">
      <iconSet iconSet="3Symbols2" showValue="0">
        <cfvo type="percent" val="0"/>
        <cfvo type="num" val="0"/>
        <cfvo type="num" val="1"/>
      </iconSet>
    </cfRule>
  </conditionalFormatting>
  <conditionalFormatting sqref="P796:P800 P790">
    <cfRule type="iconSet" priority="138">
      <iconSet iconSet="3Symbols2" showValue="0">
        <cfvo type="percent" val="0"/>
        <cfvo type="num" val="0"/>
        <cfvo type="num" val="1"/>
      </iconSet>
    </cfRule>
  </conditionalFormatting>
  <conditionalFormatting sqref="R323">
    <cfRule type="iconSet" priority="137">
      <iconSet iconSet="3Symbols2" showValue="0">
        <cfvo type="percent" val="0"/>
        <cfvo type="num" val="0"/>
        <cfvo type="num" val="1"/>
      </iconSet>
    </cfRule>
  </conditionalFormatting>
  <conditionalFormatting sqref="R330">
    <cfRule type="iconSet" priority="136">
      <iconSet iconSet="3Symbols2" showValue="0">
        <cfvo type="percent" val="0"/>
        <cfvo type="num" val="0"/>
        <cfvo type="num" val="1"/>
      </iconSet>
    </cfRule>
  </conditionalFormatting>
  <conditionalFormatting sqref="R341">
    <cfRule type="iconSet" priority="135">
      <iconSet iconSet="3Symbols2" showValue="0">
        <cfvo type="percent" val="0"/>
        <cfvo type="num" val="0"/>
        <cfvo type="num" val="1"/>
      </iconSet>
    </cfRule>
  </conditionalFormatting>
  <conditionalFormatting sqref="R363 R355">
    <cfRule type="iconSet" priority="134">
      <iconSet iconSet="3Symbols2" showValue="0">
        <cfvo type="percent" val="0"/>
        <cfvo type="num" val="0"/>
        <cfvo type="num" val="1"/>
      </iconSet>
    </cfRule>
  </conditionalFormatting>
  <conditionalFormatting sqref="R377">
    <cfRule type="iconSet" priority="133">
      <iconSet iconSet="3Symbols2" showValue="0">
        <cfvo type="percent" val="0"/>
        <cfvo type="num" val="0"/>
        <cfvo type="num" val="1"/>
      </iconSet>
    </cfRule>
  </conditionalFormatting>
  <conditionalFormatting sqref="R384">
    <cfRule type="iconSet" priority="132">
      <iconSet iconSet="3Symbols2" showValue="0">
        <cfvo type="percent" val="0"/>
        <cfvo type="num" val="0"/>
        <cfvo type="num" val="1"/>
      </iconSet>
    </cfRule>
  </conditionalFormatting>
  <conditionalFormatting sqref="R392">
    <cfRule type="iconSet" priority="131">
      <iconSet iconSet="3Symbols2" showValue="0">
        <cfvo type="percent" val="0"/>
        <cfvo type="num" val="0"/>
        <cfvo type="num" val="1"/>
      </iconSet>
    </cfRule>
  </conditionalFormatting>
  <conditionalFormatting sqref="R399">
    <cfRule type="iconSet" priority="130">
      <iconSet iconSet="3Symbols2" showValue="0">
        <cfvo type="percent" val="0"/>
        <cfvo type="num" val="0"/>
        <cfvo type="num" val="1"/>
      </iconSet>
    </cfRule>
  </conditionalFormatting>
  <conditionalFormatting sqref="R324">
    <cfRule type="iconSet" priority="129">
      <iconSet iconSet="3Symbols2" showValue="0">
        <cfvo type="percent" val="0"/>
        <cfvo type="num" val="0"/>
        <cfvo type="num" val="1"/>
      </iconSet>
    </cfRule>
  </conditionalFormatting>
  <conditionalFormatting sqref="R331">
    <cfRule type="iconSet" priority="128">
      <iconSet iconSet="3Symbols2" showValue="0">
        <cfvo type="percent" val="0"/>
        <cfvo type="num" val="0"/>
        <cfvo type="num" val="1"/>
      </iconSet>
    </cfRule>
  </conditionalFormatting>
  <conditionalFormatting sqref="R340">
    <cfRule type="iconSet" priority="127">
      <iconSet iconSet="3Symbols2" showValue="0">
        <cfvo type="percent" val="0"/>
        <cfvo type="num" val="0"/>
        <cfvo type="num" val="1"/>
      </iconSet>
    </cfRule>
  </conditionalFormatting>
  <conditionalFormatting sqref="R354">
    <cfRule type="iconSet" priority="126">
      <iconSet iconSet="3Symbols2" showValue="0">
        <cfvo type="percent" val="0"/>
        <cfvo type="num" val="0"/>
        <cfvo type="num" val="1"/>
      </iconSet>
    </cfRule>
  </conditionalFormatting>
  <conditionalFormatting sqref="R362">
    <cfRule type="iconSet" priority="125">
      <iconSet iconSet="3Symbols2" showValue="0">
        <cfvo type="percent" val="0"/>
        <cfvo type="num" val="0"/>
        <cfvo type="num" val="1"/>
      </iconSet>
    </cfRule>
  </conditionalFormatting>
  <conditionalFormatting sqref="R383 R376">
    <cfRule type="iconSet" priority="124">
      <iconSet iconSet="3Symbols2" showValue="0">
        <cfvo type="percent" val="0"/>
        <cfvo type="num" val="0"/>
        <cfvo type="num" val="1"/>
      </iconSet>
    </cfRule>
  </conditionalFormatting>
  <conditionalFormatting sqref="R398 R391">
    <cfRule type="iconSet" priority="123">
      <iconSet iconSet="3Symbols2" showValue="0">
        <cfvo type="percent" val="0"/>
        <cfvo type="num" val="0"/>
        <cfvo type="num" val="1"/>
      </iconSet>
    </cfRule>
  </conditionalFormatting>
  <conditionalFormatting sqref="R478:R480">
    <cfRule type="iconSet" priority="122">
      <iconSet iconSet="3Symbols2" showValue="0">
        <cfvo type="percent" val="0"/>
        <cfvo type="num" val="0"/>
        <cfvo type="num" val="1"/>
      </iconSet>
    </cfRule>
  </conditionalFormatting>
  <conditionalFormatting sqref="R486:R487">
    <cfRule type="iconSet" priority="121">
      <iconSet iconSet="3Symbols2" showValue="0">
        <cfvo type="percent" val="0"/>
        <cfvo type="num" val="0"/>
        <cfvo type="num" val="1"/>
      </iconSet>
    </cfRule>
  </conditionalFormatting>
  <conditionalFormatting sqref="R496:R497">
    <cfRule type="iconSet" priority="120">
      <iconSet iconSet="3Symbols2" showValue="0">
        <cfvo type="percent" val="0"/>
        <cfvo type="num" val="0"/>
        <cfvo type="num" val="1"/>
      </iconSet>
    </cfRule>
  </conditionalFormatting>
  <conditionalFormatting sqref="R510:R511">
    <cfRule type="iconSet" priority="119">
      <iconSet iconSet="3Symbols2" showValue="0">
        <cfvo type="percent" val="0"/>
        <cfvo type="num" val="0"/>
        <cfvo type="num" val="1"/>
      </iconSet>
    </cfRule>
  </conditionalFormatting>
  <conditionalFormatting sqref="R518:R519">
    <cfRule type="iconSet" priority="118">
      <iconSet iconSet="3Symbols2" showValue="0">
        <cfvo type="percent" val="0"/>
        <cfvo type="num" val="0"/>
        <cfvo type="num" val="1"/>
      </iconSet>
    </cfRule>
  </conditionalFormatting>
  <conditionalFormatting sqref="R538:R539 R531:R532">
    <cfRule type="iconSet" priority="117">
      <iconSet iconSet="3Symbols2" showValue="0">
        <cfvo type="percent" val="0"/>
        <cfvo type="num" val="0"/>
        <cfvo type="num" val="1"/>
      </iconSet>
    </cfRule>
  </conditionalFormatting>
  <conditionalFormatting sqref="R552:R553 R546:R547">
    <cfRule type="iconSet" priority="116">
      <iconSet iconSet="3Symbols2" showValue="0">
        <cfvo type="percent" val="0"/>
        <cfvo type="num" val="0"/>
        <cfvo type="num" val="1"/>
      </iconSet>
    </cfRule>
  </conditionalFormatting>
  <conditionalFormatting sqref="T406">
    <cfRule type="iconSet" priority="115">
      <iconSet iconSet="3Symbols2" showValue="0">
        <cfvo type="percent" val="0"/>
        <cfvo type="num" val="0"/>
        <cfvo type="num" val="1"/>
      </iconSet>
    </cfRule>
  </conditionalFormatting>
  <conditionalFormatting sqref="S564:S622 S9:S39 S97:S151 S153:S180 S246:S264 S310:S322 S466:S477 S627:S640 S682:S697 S699:S714 S269:S274 S279:S284 S289:S293 S298:S304 S650:S654 S659:S662 S667:S669 S673:S677 S74 S53:S56 S60:S67 S345:S353 S426:S431 S455:S461 S94 S404 S436:S441 S326:S329 S333:S339 S358:S361 S367:S375 S380:S382 S387:S390 S395:S397 S400:S401 S642:S645 S562 S182:S219 S221:S242 S308 S406:S407 S464 S625 S446:S450 S244 S43:S46 S409:S415 S417:S421 S741:S762 S716:S739 S768:S778">
    <cfRule type="iconSet" priority="90218">
      <iconSet iconSet="3Symbols2" showValue="0">
        <cfvo type="percent" val="0"/>
        <cfvo type="num" val="0"/>
        <cfvo type="num" val="1"/>
      </iconSet>
    </cfRule>
  </conditionalFormatting>
  <conditionalFormatting sqref="T564:T625 T9:T42 T97:T151 T153:T242 T246:T267 T310:T405 T466:T477 T627:T640 T682:T697 T707:T714 T94 T642:T647 T562 T426:T432 T436:T441 T446:T451 T455:T464 T244 T269:T277 T279:T287 T650:T656 T659:T664 T667:T671 T673:T675 T298:T308 T55:T76 T407 T289:T295 T677:T680 T46:T53 T409:T422 T716:T778">
    <cfRule type="iconSet" priority="90267">
      <iconSet iconSet="3Symbols2" showValue="0">
        <cfvo type="percent" val="0"/>
        <cfvo type="num" val="0"/>
        <cfvo type="num" val="1"/>
      </iconSet>
    </cfRule>
  </conditionalFormatting>
  <conditionalFormatting sqref="U564:U625 U9:U80 U97:U151 U153:U244 U246:U308 U310:U407 U466:U477 U627:U680 U682:U697 U699:U714 U94 U561:U562 U409:U464 U716:U778">
    <cfRule type="iconSet" priority="90298">
      <iconSet iconSet="3Symbols2" showValue="0">
        <cfvo type="percent" val="0"/>
        <cfvo type="num" val="0"/>
        <cfvo type="num" val="1"/>
      </iconSet>
    </cfRule>
  </conditionalFormatting>
  <conditionalFormatting sqref="S288">
    <cfRule type="iconSet" priority="114">
      <iconSet iconSet="3Symbols2" showValue="0">
        <cfvo type="percent" val="0"/>
        <cfvo type="num" val="0"/>
        <cfvo type="num" val="1"/>
      </iconSet>
    </cfRule>
  </conditionalFormatting>
  <conditionalFormatting sqref="R288">
    <cfRule type="iconSet" priority="113">
      <iconSet iconSet="3Symbols2" showValue="0">
        <cfvo type="percent" val="0"/>
        <cfvo type="num" val="0"/>
        <cfvo type="num" val="1"/>
      </iconSet>
    </cfRule>
  </conditionalFormatting>
  <conditionalFormatting sqref="Q288">
    <cfRule type="iconSet" priority="112">
      <iconSet iconSet="3Symbols2" showValue="0">
        <cfvo type="percent" val="0"/>
        <cfvo type="num" val="0"/>
        <cfvo type="num" val="1"/>
      </iconSet>
    </cfRule>
  </conditionalFormatting>
  <conditionalFormatting sqref="T288">
    <cfRule type="iconSet" priority="111">
      <iconSet iconSet="3Symbols2" showValue="0">
        <cfvo type="percent" val="0"/>
        <cfvo type="num" val="0"/>
        <cfvo type="num" val="1"/>
      </iconSet>
    </cfRule>
  </conditionalFormatting>
  <conditionalFormatting sqref="Q676">
    <cfRule type="iconSet" priority="110">
      <iconSet iconSet="3Symbols2" showValue="0">
        <cfvo type="percent" val="0"/>
        <cfvo type="num" val="0"/>
        <cfvo type="num" val="1"/>
      </iconSet>
    </cfRule>
  </conditionalFormatting>
  <conditionalFormatting sqref="T676">
    <cfRule type="iconSet" priority="109">
      <iconSet iconSet="3Symbols2" showValue="0">
        <cfvo type="percent" val="0"/>
        <cfvo type="num" val="0"/>
        <cfvo type="num" val="1"/>
      </iconSet>
    </cfRule>
  </conditionalFormatting>
  <conditionalFormatting sqref="T43:T45">
    <cfRule type="iconSet" priority="108">
      <iconSet iconSet="3Symbols2" showValue="0">
        <cfvo type="percent" val="0"/>
        <cfvo type="num" val="0"/>
        <cfvo type="num" val="1"/>
      </iconSet>
    </cfRule>
  </conditionalFormatting>
  <conditionalFormatting sqref="R435">
    <cfRule type="iconSet" priority="107">
      <iconSet iconSet="3Symbols2" showValue="0">
        <cfvo type="percent" val="0"/>
        <cfvo type="num" val="0"/>
        <cfvo type="num" val="1"/>
      </iconSet>
    </cfRule>
  </conditionalFormatting>
  <conditionalFormatting sqref="Q435">
    <cfRule type="iconSet" priority="106">
      <iconSet iconSet="3Symbols2" showValue="0">
        <cfvo type="percent" val="0"/>
        <cfvo type="num" val="0"/>
        <cfvo type="num" val="1"/>
      </iconSet>
    </cfRule>
  </conditionalFormatting>
  <conditionalFormatting sqref="S435">
    <cfRule type="iconSet" priority="105">
      <iconSet iconSet="3Symbols2" showValue="0">
        <cfvo type="percent" val="0"/>
        <cfvo type="num" val="0"/>
        <cfvo type="num" val="1"/>
      </iconSet>
    </cfRule>
  </conditionalFormatting>
  <conditionalFormatting sqref="T435">
    <cfRule type="iconSet" priority="104">
      <iconSet iconSet="3Symbols2" showValue="0">
        <cfvo type="percent" val="0"/>
        <cfvo type="num" val="0"/>
        <cfvo type="num" val="1"/>
      </iconSet>
    </cfRule>
  </conditionalFormatting>
  <conditionalFormatting sqref="R445">
    <cfRule type="iconSet" priority="103">
      <iconSet iconSet="3Symbols2" showValue="0">
        <cfvo type="percent" val="0"/>
        <cfvo type="num" val="0"/>
        <cfvo type="num" val="1"/>
      </iconSet>
    </cfRule>
  </conditionalFormatting>
  <conditionalFormatting sqref="Q445">
    <cfRule type="iconSet" priority="102">
      <iconSet iconSet="3Symbols2" showValue="0">
        <cfvo type="percent" val="0"/>
        <cfvo type="num" val="0"/>
        <cfvo type="num" val="1"/>
      </iconSet>
    </cfRule>
  </conditionalFormatting>
  <conditionalFormatting sqref="S445">
    <cfRule type="iconSet" priority="101">
      <iconSet iconSet="3Symbols2" showValue="0">
        <cfvo type="percent" val="0"/>
        <cfvo type="num" val="0"/>
        <cfvo type="num" val="1"/>
      </iconSet>
    </cfRule>
  </conditionalFormatting>
  <conditionalFormatting sqref="T445">
    <cfRule type="iconSet" priority="100">
      <iconSet iconSet="3Symbols2" showValue="0">
        <cfvo type="percent" val="0"/>
        <cfvo type="num" val="0"/>
        <cfvo type="num" val="1"/>
      </iconSet>
    </cfRule>
  </conditionalFormatting>
  <conditionalFormatting sqref="R454">
    <cfRule type="iconSet" priority="99">
      <iconSet iconSet="3Symbols2" showValue="0">
        <cfvo type="percent" val="0"/>
        <cfvo type="num" val="0"/>
        <cfvo type="num" val="1"/>
      </iconSet>
    </cfRule>
  </conditionalFormatting>
  <conditionalFormatting sqref="Q454">
    <cfRule type="iconSet" priority="98">
      <iconSet iconSet="3Symbols2" showValue="0">
        <cfvo type="percent" val="0"/>
        <cfvo type="num" val="0"/>
        <cfvo type="num" val="1"/>
      </iconSet>
    </cfRule>
  </conditionalFormatting>
  <conditionalFormatting sqref="S454">
    <cfRule type="iconSet" priority="97">
      <iconSet iconSet="3Symbols2" showValue="0">
        <cfvo type="percent" val="0"/>
        <cfvo type="num" val="0"/>
        <cfvo type="num" val="1"/>
      </iconSet>
    </cfRule>
  </conditionalFormatting>
  <conditionalFormatting sqref="T454">
    <cfRule type="iconSet" priority="96">
      <iconSet iconSet="3Symbols2" showValue="0">
        <cfvo type="percent" val="0"/>
        <cfvo type="num" val="0"/>
        <cfvo type="num" val="1"/>
      </iconSet>
    </cfRule>
  </conditionalFormatting>
  <conditionalFormatting sqref="L763:L767 L756:L761 L739 L716 L699:L702 L610:L614 L602:L605 L592:L595 L582:L585 L572 L455:L456 L447 L437 L427 L85:L87 L61:L66 L55:L59 L51:L52 L91:L93 L769:L777 L728:L737">
    <cfRule type="iconSet" priority="95">
      <iconSet iconSet="3Symbols2" showValue="0">
        <cfvo type="percent" val="0"/>
        <cfvo type="num" val="0"/>
        <cfvo type="num" val="1"/>
      </iconSet>
    </cfRule>
  </conditionalFormatting>
  <conditionalFormatting sqref="R610:R612">
    <cfRule type="iconSet" priority="94">
      <iconSet iconSet="3Symbols2" showValue="0">
        <cfvo type="percent" val="0"/>
        <cfvo type="num" val="0"/>
        <cfvo type="num" val="1"/>
      </iconSet>
    </cfRule>
  </conditionalFormatting>
  <conditionalFormatting sqref="Q610:Q612">
    <cfRule type="iconSet" priority="93">
      <iconSet iconSet="3Symbols2" showValue="0">
        <cfvo type="percent" val="0"/>
        <cfvo type="num" val="0"/>
        <cfvo type="num" val="1"/>
      </iconSet>
    </cfRule>
  </conditionalFormatting>
  <conditionalFormatting sqref="L82:M84">
    <cfRule type="iconSet" priority="92">
      <iconSet iconSet="3Symbols2" showValue="0">
        <cfvo type="percent" val="0"/>
        <cfvo type="num" val="0"/>
        <cfvo type="num" val="1"/>
      </iconSet>
    </cfRule>
  </conditionalFormatting>
  <conditionalFormatting sqref="Q82:R83">
    <cfRule type="iconSet" priority="91">
      <iconSet iconSet="3Symbols2" showValue="0">
        <cfvo type="percent" val="0"/>
        <cfvo type="num" val="0"/>
        <cfvo type="num" val="1"/>
      </iconSet>
    </cfRule>
  </conditionalFormatting>
  <conditionalFormatting sqref="Q82:R83">
    <cfRule type="iconSet" priority="90">
      <iconSet iconSet="3Symbols2" showValue="0">
        <cfvo type="percent" val="0"/>
        <cfvo type="num" val="0"/>
        <cfvo type="num" val="1"/>
      </iconSet>
    </cfRule>
  </conditionalFormatting>
  <conditionalFormatting sqref="J82:J84">
    <cfRule type="iconSet" priority="89">
      <iconSet iconSet="3Symbols2" showValue="0">
        <cfvo type="percent" val="0"/>
        <cfvo type="num" val="0"/>
        <cfvo type="num" val="1"/>
      </iconSet>
    </cfRule>
  </conditionalFormatting>
  <conditionalFormatting sqref="M75:M80">
    <cfRule type="iconSet" priority="93113">
      <iconSet iconSet="3Symbols2" showValue="0">
        <cfvo type="percent" val="0"/>
        <cfvo type="num" val="0"/>
        <cfvo type="num" val="1"/>
      </iconSet>
    </cfRule>
  </conditionalFormatting>
  <conditionalFormatting sqref="M88">
    <cfRule type="iconSet" priority="88">
      <iconSet iconSet="3Symbols2" showValue="0">
        <cfvo type="percent" val="0"/>
        <cfvo type="num" val="0"/>
        <cfvo type="num" val="1"/>
      </iconSet>
    </cfRule>
  </conditionalFormatting>
  <conditionalFormatting sqref="Q89:R91 Q92:Q93 T92:T93">
    <cfRule type="iconSet" priority="78">
      <iconSet iconSet="3Symbols2" showValue="0">
        <cfvo type="percent" val="0"/>
        <cfvo type="num" val="0"/>
        <cfvo type="num" val="1"/>
      </iconSet>
    </cfRule>
  </conditionalFormatting>
  <conditionalFormatting sqref="Q621:R621">
    <cfRule type="iconSet" priority="74">
      <iconSet iconSet="3Symbols2" showValue="0">
        <cfvo type="percent" val="0"/>
        <cfvo type="num" val="0"/>
        <cfvo type="num" val="1"/>
      </iconSet>
    </cfRule>
  </conditionalFormatting>
  <conditionalFormatting sqref="R582:R585">
    <cfRule type="iconSet" priority="73">
      <iconSet iconSet="3Symbols2" showValue="0">
        <cfvo type="percent" val="0"/>
        <cfvo type="num" val="0"/>
        <cfvo type="num" val="1"/>
      </iconSet>
    </cfRule>
  </conditionalFormatting>
  <conditionalFormatting sqref="Q582:Q585">
    <cfRule type="iconSet" priority="72">
      <iconSet iconSet="3Symbols2" showValue="0">
        <cfvo type="percent" val="0"/>
        <cfvo type="num" val="0"/>
        <cfvo type="num" val="1"/>
      </iconSet>
    </cfRule>
  </conditionalFormatting>
  <conditionalFormatting sqref="R592">
    <cfRule type="iconSet" priority="71">
      <iconSet iconSet="3Symbols2" showValue="0">
        <cfvo type="percent" val="0"/>
        <cfvo type="num" val="0"/>
        <cfvo type="num" val="1"/>
      </iconSet>
    </cfRule>
  </conditionalFormatting>
  <conditionalFormatting sqref="Q592">
    <cfRule type="iconSet" priority="70">
      <iconSet iconSet="3Symbols2" showValue="0">
        <cfvo type="percent" val="0"/>
        <cfvo type="num" val="0"/>
        <cfvo type="num" val="1"/>
      </iconSet>
    </cfRule>
  </conditionalFormatting>
  <conditionalFormatting sqref="R602">
    <cfRule type="iconSet" priority="69">
      <iconSet iconSet="3Symbols2" showValue="0">
        <cfvo type="percent" val="0"/>
        <cfvo type="num" val="0"/>
        <cfvo type="num" val="1"/>
      </iconSet>
    </cfRule>
  </conditionalFormatting>
  <conditionalFormatting sqref="Q602">
    <cfRule type="iconSet" priority="68">
      <iconSet iconSet="3Symbols2" showValue="0">
        <cfvo type="percent" val="0"/>
        <cfvo type="num" val="0"/>
        <cfvo type="num" val="1"/>
      </iconSet>
    </cfRule>
  </conditionalFormatting>
  <conditionalFormatting sqref="L789:M789 L791:M791">
    <cfRule type="iconSet" priority="67">
      <iconSet iconSet="3Symbols2" showValue="0">
        <cfvo type="percent" val="0"/>
        <cfvo type="num" val="0"/>
        <cfvo type="num" val="1"/>
      </iconSet>
    </cfRule>
  </conditionalFormatting>
  <conditionalFormatting sqref="Q789:R789 Q791:R791">
    <cfRule type="iconSet" priority="65">
      <iconSet iconSet="3Symbols2" showValue="0">
        <cfvo type="percent" val="0"/>
        <cfvo type="num" val="0"/>
        <cfvo type="num" val="1"/>
      </iconSet>
    </cfRule>
  </conditionalFormatting>
  <conditionalFormatting sqref="Q307:R307">
    <cfRule type="iconSet" priority="63">
      <iconSet iconSet="3Symbols2" showValue="0">
        <cfvo type="percent" val="0"/>
        <cfvo type="num" val="0"/>
        <cfvo type="num" val="1"/>
      </iconSet>
    </cfRule>
  </conditionalFormatting>
  <conditionalFormatting sqref="R593">
    <cfRule type="iconSet" priority="62">
      <iconSet iconSet="3Symbols2" showValue="0">
        <cfvo type="percent" val="0"/>
        <cfvo type="num" val="0"/>
        <cfvo type="num" val="1"/>
      </iconSet>
    </cfRule>
  </conditionalFormatting>
  <conditionalFormatting sqref="Q593">
    <cfRule type="iconSet" priority="61">
      <iconSet iconSet="3Symbols2" showValue="0">
        <cfvo type="percent" val="0"/>
        <cfvo type="num" val="0"/>
        <cfvo type="num" val="1"/>
      </iconSet>
    </cfRule>
  </conditionalFormatting>
  <conditionalFormatting sqref="R603">
    <cfRule type="iconSet" priority="60">
      <iconSet iconSet="3Symbols2" showValue="0">
        <cfvo type="percent" val="0"/>
        <cfvo type="num" val="0"/>
        <cfvo type="num" val="1"/>
      </iconSet>
    </cfRule>
  </conditionalFormatting>
  <conditionalFormatting sqref="Q603">
    <cfRule type="iconSet" priority="59">
      <iconSet iconSet="3Symbols2" showValue="0">
        <cfvo type="percent" val="0"/>
        <cfvo type="num" val="0"/>
        <cfvo type="num" val="1"/>
      </iconSet>
    </cfRule>
  </conditionalFormatting>
  <conditionalFormatting sqref="R572">
    <cfRule type="iconSet" priority="54">
      <iconSet iconSet="3Symbols2" showValue="0">
        <cfvo type="percent" val="0"/>
        <cfvo type="num" val="0"/>
        <cfvo type="num" val="1"/>
      </iconSet>
    </cfRule>
  </conditionalFormatting>
  <conditionalFormatting sqref="Q572">
    <cfRule type="iconSet" priority="53">
      <iconSet iconSet="3Symbols2" showValue="0">
        <cfvo type="percent" val="0"/>
        <cfvo type="num" val="0"/>
        <cfvo type="num" val="1"/>
      </iconSet>
    </cfRule>
  </conditionalFormatting>
  <conditionalFormatting sqref="R61:R66">
    <cfRule type="iconSet" priority="50">
      <iconSet iconSet="3Symbols2" showValue="0">
        <cfvo type="percent" val="0"/>
        <cfvo type="num" val="0"/>
        <cfvo type="num" val="1"/>
      </iconSet>
    </cfRule>
  </conditionalFormatting>
  <conditionalFormatting sqref="Q61:Q66">
    <cfRule type="iconSet" priority="49">
      <iconSet iconSet="3Symbols2" showValue="0">
        <cfvo type="percent" val="0"/>
        <cfvo type="num" val="0"/>
        <cfvo type="num" val="1"/>
      </iconSet>
    </cfRule>
  </conditionalFormatting>
  <conditionalFormatting sqref="R85:R87">
    <cfRule type="iconSet" priority="48">
      <iconSet iconSet="3Symbols2" showValue="0">
        <cfvo type="percent" val="0"/>
        <cfvo type="num" val="0"/>
        <cfvo type="num" val="1"/>
      </iconSet>
    </cfRule>
  </conditionalFormatting>
  <conditionalFormatting sqref="Q85:Q87">
    <cfRule type="iconSet" priority="47">
      <iconSet iconSet="3Symbols2" showValue="0">
        <cfvo type="percent" val="0"/>
        <cfvo type="num" val="0"/>
        <cfvo type="num" val="1"/>
      </iconSet>
    </cfRule>
  </conditionalFormatting>
  <conditionalFormatting sqref="R55:R56 S57:S59">
    <cfRule type="iconSet" priority="46">
      <iconSet iconSet="3Symbols2" showValue="0">
        <cfvo type="percent" val="0"/>
        <cfvo type="num" val="0"/>
        <cfvo type="num" val="1"/>
      </iconSet>
    </cfRule>
  </conditionalFormatting>
  <conditionalFormatting sqref="Q55:Q59">
    <cfRule type="iconSet" priority="45">
      <iconSet iconSet="3Symbols2" showValue="0">
        <cfvo type="percent" val="0"/>
        <cfvo type="num" val="0"/>
        <cfvo type="num" val="1"/>
      </iconSet>
    </cfRule>
  </conditionalFormatting>
  <conditionalFormatting sqref="V81:V93">
    <cfRule type="iconSet" priority="94788">
      <iconSet iconSet="3Symbols2" showValue="0">
        <cfvo type="percent" val="0"/>
        <cfvo type="num" val="0"/>
        <cfvo type="num" val="1"/>
      </iconSet>
    </cfRule>
  </conditionalFormatting>
  <conditionalFormatting sqref="N81:N93">
    <cfRule type="iconSet" priority="94791">
      <iconSet iconSet="3Symbols2" showValue="0">
        <cfvo type="percent" val="0"/>
        <cfvo type="num" val="0"/>
        <cfvo type="num" val="1"/>
      </iconSet>
    </cfRule>
  </conditionalFormatting>
  <conditionalFormatting sqref="O81:O93">
    <cfRule type="iconSet" priority="94793">
      <iconSet iconSet="3Symbols2" showValue="0">
        <cfvo type="percent" val="0"/>
        <cfvo type="num" val="0"/>
        <cfvo type="num" val="1"/>
      </iconSet>
    </cfRule>
  </conditionalFormatting>
  <conditionalFormatting sqref="P81:P93">
    <cfRule type="iconSet" priority="94795">
      <iconSet iconSet="3Symbols2" showValue="0">
        <cfvo type="percent" val="0"/>
        <cfvo type="num" val="0"/>
        <cfvo type="num" val="1"/>
      </iconSet>
    </cfRule>
  </conditionalFormatting>
  <conditionalFormatting sqref="J81:L81 J82:M84 J88:L88 K91:K93 K89:M90 K85:K87">
    <cfRule type="iconSet" priority="94797">
      <iconSet iconSet="3Symbols2" showValue="0">
        <cfvo type="percent" val="0"/>
        <cfvo type="num" val="0"/>
        <cfvo type="num" val="1"/>
      </iconSet>
    </cfRule>
  </conditionalFormatting>
  <conditionalFormatting sqref="T81:T91">
    <cfRule type="iconSet" priority="94928">
      <iconSet iconSet="3Symbols2" showValue="0">
        <cfvo type="percent" val="0"/>
        <cfvo type="num" val="0"/>
        <cfvo type="num" val="1"/>
      </iconSet>
    </cfRule>
  </conditionalFormatting>
  <conditionalFormatting sqref="U81:U93">
    <cfRule type="iconSet" priority="94930">
      <iconSet iconSet="3Symbols2" showValue="0">
        <cfvo type="percent" val="0"/>
        <cfvo type="num" val="0"/>
        <cfvo type="num" val="1"/>
      </iconSet>
    </cfRule>
  </conditionalFormatting>
  <conditionalFormatting sqref="S89:S90">
    <cfRule type="iconSet" priority="95060">
      <iconSet iconSet="3Symbols2" showValue="0">
        <cfvo type="percent" val="0"/>
        <cfvo type="num" val="0"/>
        <cfvo type="num" val="1"/>
      </iconSet>
    </cfRule>
  </conditionalFormatting>
  <conditionalFormatting sqref="L89:M90">
    <cfRule type="iconSet" priority="95061">
      <iconSet iconSet="3Symbols2" showValue="0">
        <cfvo type="percent" val="0"/>
        <cfvo type="num" val="0"/>
        <cfvo type="num" val="1"/>
      </iconSet>
    </cfRule>
  </conditionalFormatting>
  <conditionalFormatting sqref="R594:R595">
    <cfRule type="iconSet" priority="44">
      <iconSet iconSet="3Symbols2" showValue="0">
        <cfvo type="percent" val="0"/>
        <cfvo type="num" val="0"/>
        <cfvo type="num" val="1"/>
      </iconSet>
    </cfRule>
  </conditionalFormatting>
  <conditionalFormatting sqref="Q594:Q595">
    <cfRule type="iconSet" priority="43">
      <iconSet iconSet="3Symbols2" showValue="0">
        <cfvo type="percent" val="0"/>
        <cfvo type="num" val="0"/>
        <cfvo type="num" val="1"/>
      </iconSet>
    </cfRule>
  </conditionalFormatting>
  <conditionalFormatting sqref="R604">
    <cfRule type="iconSet" priority="42">
      <iconSet iconSet="3Symbols2" showValue="0">
        <cfvo type="percent" val="0"/>
        <cfvo type="num" val="0"/>
        <cfvo type="num" val="1"/>
      </iconSet>
    </cfRule>
  </conditionalFormatting>
  <conditionalFormatting sqref="Q604">
    <cfRule type="iconSet" priority="41">
      <iconSet iconSet="3Symbols2" showValue="0">
        <cfvo type="percent" val="0"/>
        <cfvo type="num" val="0"/>
        <cfvo type="num" val="1"/>
      </iconSet>
    </cfRule>
  </conditionalFormatting>
  <conditionalFormatting sqref="R605">
    <cfRule type="iconSet" priority="40">
      <iconSet iconSet="3Symbols2" showValue="0">
        <cfvo type="percent" val="0"/>
        <cfvo type="num" val="0"/>
        <cfvo type="num" val="1"/>
      </iconSet>
    </cfRule>
  </conditionalFormatting>
  <conditionalFormatting sqref="Q605">
    <cfRule type="iconSet" priority="39">
      <iconSet iconSet="3Symbols2" showValue="0">
        <cfvo type="percent" val="0"/>
        <cfvo type="num" val="0"/>
        <cfvo type="num" val="1"/>
      </iconSet>
    </cfRule>
  </conditionalFormatting>
  <conditionalFormatting sqref="R613:R614">
    <cfRule type="iconSet" priority="38">
      <iconSet iconSet="3Symbols2" showValue="0">
        <cfvo type="percent" val="0"/>
        <cfvo type="num" val="0"/>
        <cfvo type="num" val="1"/>
      </iconSet>
    </cfRule>
  </conditionalFormatting>
  <conditionalFormatting sqref="Q613:Q614">
    <cfRule type="iconSet" priority="37">
      <iconSet iconSet="3Symbols2" showValue="0">
        <cfvo type="percent" val="0"/>
        <cfvo type="num" val="0"/>
        <cfvo type="num" val="1"/>
      </iconSet>
    </cfRule>
  </conditionalFormatting>
  <conditionalFormatting sqref="R427">
    <cfRule type="iconSet" priority="36">
      <iconSet iconSet="3Symbols2" showValue="0">
        <cfvo type="percent" val="0"/>
        <cfvo type="num" val="0"/>
        <cfvo type="num" val="1"/>
      </iconSet>
    </cfRule>
  </conditionalFormatting>
  <conditionalFormatting sqref="Q427">
    <cfRule type="iconSet" priority="35">
      <iconSet iconSet="3Symbols2" showValue="0">
        <cfvo type="percent" val="0"/>
        <cfvo type="num" val="0"/>
        <cfvo type="num" val="1"/>
      </iconSet>
    </cfRule>
  </conditionalFormatting>
  <conditionalFormatting sqref="R437">
    <cfRule type="iconSet" priority="34">
      <iconSet iconSet="3Symbols2" showValue="0">
        <cfvo type="percent" val="0"/>
        <cfvo type="num" val="0"/>
        <cfvo type="num" val="1"/>
      </iconSet>
    </cfRule>
  </conditionalFormatting>
  <conditionalFormatting sqref="Q437">
    <cfRule type="iconSet" priority="33">
      <iconSet iconSet="3Symbols2" showValue="0">
        <cfvo type="percent" val="0"/>
        <cfvo type="num" val="0"/>
        <cfvo type="num" val="1"/>
      </iconSet>
    </cfRule>
  </conditionalFormatting>
  <conditionalFormatting sqref="R447">
    <cfRule type="iconSet" priority="32">
      <iconSet iconSet="3Symbols2" showValue="0">
        <cfvo type="percent" val="0"/>
        <cfvo type="num" val="0"/>
        <cfvo type="num" val="1"/>
      </iconSet>
    </cfRule>
  </conditionalFormatting>
  <conditionalFormatting sqref="Q447">
    <cfRule type="iconSet" priority="31">
      <iconSet iconSet="3Symbols2" showValue="0">
        <cfvo type="percent" val="0"/>
        <cfvo type="num" val="0"/>
        <cfvo type="num" val="1"/>
      </iconSet>
    </cfRule>
  </conditionalFormatting>
  <conditionalFormatting sqref="R455:R456">
    <cfRule type="iconSet" priority="30">
      <iconSet iconSet="3Symbols2" showValue="0">
        <cfvo type="percent" val="0"/>
        <cfvo type="num" val="0"/>
        <cfvo type="num" val="1"/>
      </iconSet>
    </cfRule>
  </conditionalFormatting>
  <conditionalFormatting sqref="Q455:Q456">
    <cfRule type="iconSet" priority="29">
      <iconSet iconSet="3Symbols2" showValue="0">
        <cfvo type="percent" val="0"/>
        <cfvo type="num" val="0"/>
        <cfvo type="num" val="1"/>
      </iconSet>
    </cfRule>
  </conditionalFormatting>
  <conditionalFormatting sqref="R737">
    <cfRule type="iconSet" priority="28">
      <iconSet iconSet="3Symbols2" showValue="0">
        <cfvo type="percent" val="0"/>
        <cfvo type="num" val="0"/>
        <cfvo type="num" val="1"/>
      </iconSet>
    </cfRule>
  </conditionalFormatting>
  <conditionalFormatting sqref="Q737">
    <cfRule type="iconSet" priority="27">
      <iconSet iconSet="3Symbols2" showValue="0">
        <cfvo type="percent" val="0"/>
        <cfvo type="num" val="0"/>
        <cfvo type="num" val="1"/>
      </iconSet>
    </cfRule>
  </conditionalFormatting>
  <conditionalFormatting sqref="R739">
    <cfRule type="iconSet" priority="26">
      <iconSet iconSet="3Symbols2" showValue="0">
        <cfvo type="percent" val="0"/>
        <cfvo type="num" val="0"/>
        <cfvo type="num" val="1"/>
      </iconSet>
    </cfRule>
  </conditionalFormatting>
  <conditionalFormatting sqref="Q739">
    <cfRule type="iconSet" priority="25">
      <iconSet iconSet="3Symbols2" showValue="0">
        <cfvo type="percent" val="0"/>
        <cfvo type="num" val="0"/>
        <cfvo type="num" val="1"/>
      </iconSet>
    </cfRule>
  </conditionalFormatting>
  <conditionalFormatting sqref="M416">
    <cfRule type="iconSet" priority="23">
      <iconSet iconSet="3Symbols2" showValue="0">
        <cfvo type="percent" val="0"/>
        <cfvo type="num" val="0"/>
        <cfvo type="num" val="1"/>
      </iconSet>
    </cfRule>
  </conditionalFormatting>
  <conditionalFormatting sqref="Q416">
    <cfRule type="iconSet" priority="22">
      <iconSet iconSet="3Symbols2" showValue="0">
        <cfvo type="percent" val="0"/>
        <cfvo type="num" val="0"/>
        <cfvo type="num" val="1"/>
      </iconSet>
    </cfRule>
  </conditionalFormatting>
  <conditionalFormatting sqref="S416">
    <cfRule type="iconSet" priority="21">
      <iconSet iconSet="3Symbols2" showValue="0">
        <cfvo type="percent" val="0"/>
        <cfvo type="num" val="0"/>
        <cfvo type="num" val="1"/>
      </iconSet>
    </cfRule>
  </conditionalFormatting>
  <conditionalFormatting sqref="B1:I8 B805:I1048576">
    <cfRule type="expression" dxfId="111" priority="20">
      <formula>AND($L1=1,$Q1&lt;&gt;1)</formula>
    </cfRule>
  </conditionalFormatting>
  <conditionalFormatting sqref="N703:P712 L703:M713">
    <cfRule type="iconSet" priority="19">
      <iconSet iconSet="3Symbols2" showValue="0">
        <cfvo type="percent" val="0"/>
        <cfvo type="num" val="0"/>
        <cfvo type="num" val="1"/>
      </iconSet>
    </cfRule>
  </conditionalFormatting>
  <conditionalFormatting sqref="L793:L801 L790">
    <cfRule type="iconSet" priority="18">
      <iconSet iconSet="3Symbols2" showValue="0">
        <cfvo type="percent" val="0"/>
        <cfvo type="num" val="0"/>
        <cfvo type="num" val="1"/>
      </iconSet>
    </cfRule>
  </conditionalFormatting>
  <conditionalFormatting sqref="Q50:Q52">
    <cfRule type="iconSet" priority="16">
      <iconSet iconSet="3Symbols2" showValue="0">
        <cfvo type="percent" val="0"/>
        <cfvo type="num" val="0"/>
        <cfvo type="num" val="1"/>
      </iconSet>
    </cfRule>
  </conditionalFormatting>
  <conditionalFormatting sqref="S50:S52">
    <cfRule type="iconSet" priority="15">
      <iconSet iconSet="3Symbols2" showValue="0">
        <cfvo type="percent" val="0"/>
        <cfvo type="num" val="0"/>
        <cfvo type="num" val="1"/>
      </iconSet>
    </cfRule>
  </conditionalFormatting>
  <conditionalFormatting sqref="J801 J739 J737 J621 J610:J614 J602:J605 J592:J595 J582:J585 J572 J455:J456 J447 J437 J427 J416 J307 J89:J93 J85:J87 J61:J66 J55:J59 J50:J52 J789:J791">
    <cfRule type="iconSet" priority="14">
      <iconSet iconSet="3Symbols2" showValue="0">
        <cfvo type="percent" val="0"/>
        <cfvo type="num" val="0"/>
        <cfvo type="num" val="1"/>
      </iconSet>
    </cfRule>
  </conditionalFormatting>
  <conditionalFormatting sqref="M793:M800 M790">
    <cfRule type="iconSet" priority="13">
      <iconSet iconSet="3Symbols2" showValue="0">
        <cfvo type="percent" val="0"/>
        <cfvo type="num" val="0"/>
        <cfvo type="num" val="1"/>
      </iconSet>
    </cfRule>
  </conditionalFormatting>
  <conditionalFormatting sqref="B9:I804">
    <cfRule type="expression" dxfId="110" priority="10">
      <formula>AND($L9=1,$Q9&lt;&gt;1)</formula>
    </cfRule>
    <cfRule type="expression" dxfId="109" priority="11">
      <formula>OR($J9=1,$Q9=1)</formula>
    </cfRule>
    <cfRule type="expression" dxfId="108" priority="12">
      <formula>($I9="NA")</formula>
    </cfRule>
  </conditionalFormatting>
  <conditionalFormatting sqref="Q774:Q777">
    <cfRule type="iconSet" priority="9">
      <iconSet iconSet="3Symbols2" showValue="0">
        <cfvo type="percent" val="0"/>
        <cfvo type="num" val="0"/>
        <cfvo type="num" val="1"/>
      </iconSet>
    </cfRule>
  </conditionalFormatting>
  <conditionalFormatting sqref="R802">
    <cfRule type="iconSet" priority="8">
      <iconSet iconSet="3Symbols2" showValue="0">
        <cfvo type="percent" val="0"/>
        <cfvo type="num" val="0"/>
        <cfvo type="num" val="1"/>
      </iconSet>
    </cfRule>
  </conditionalFormatting>
  <conditionalFormatting sqref="Q802">
    <cfRule type="iconSet" priority="7">
      <iconSet iconSet="3Symbols2" showValue="0">
        <cfvo type="percent" val="0"/>
        <cfvo type="num" val="0"/>
        <cfvo type="num" val="1"/>
      </iconSet>
    </cfRule>
  </conditionalFormatting>
  <conditionalFormatting sqref="R729:R736">
    <cfRule type="iconSet" priority="6">
      <iconSet iconSet="3Symbols2" showValue="0">
        <cfvo type="percent" val="0"/>
        <cfvo type="num" val="0"/>
        <cfvo type="num" val="1"/>
      </iconSet>
    </cfRule>
  </conditionalFormatting>
  <conditionalFormatting sqref="Q729:Q736">
    <cfRule type="iconSet" priority="5">
      <iconSet iconSet="3Symbols2" showValue="0">
        <cfvo type="percent" val="0"/>
        <cfvo type="num" val="0"/>
        <cfvo type="num" val="1"/>
      </iconSet>
    </cfRule>
  </conditionalFormatting>
  <conditionalFormatting sqref="S780:S800">
    <cfRule type="iconSet" priority="105420">
      <iconSet iconSet="3Symbols2" showValue="0">
        <cfvo type="percent" val="0"/>
        <cfvo type="num" val="0"/>
        <cfvo type="num" val="1"/>
      </iconSet>
    </cfRule>
  </conditionalFormatting>
  <conditionalFormatting sqref="T780:T800">
    <cfRule type="iconSet" priority="105422">
      <iconSet iconSet="3Symbols2" showValue="0">
        <cfvo type="percent" val="0"/>
        <cfvo type="num" val="0"/>
        <cfvo type="num" val="1"/>
      </iconSet>
    </cfRule>
  </conditionalFormatting>
  <conditionalFormatting sqref="U780:U800">
    <cfRule type="iconSet" priority="105424">
      <iconSet iconSet="3Symbols2" showValue="0">
        <cfvo type="percent" val="0"/>
        <cfvo type="num" val="0"/>
        <cfvo type="num" val="1"/>
      </iconSet>
    </cfRule>
  </conditionalFormatting>
  <conditionalFormatting sqref="Q699:Q702">
    <cfRule type="iconSet" priority="4">
      <iconSet iconSet="3Symbols2" showValue="0">
        <cfvo type="percent" val="0"/>
        <cfvo type="num" val="0"/>
        <cfvo type="num" val="1"/>
      </iconSet>
    </cfRule>
  </conditionalFormatting>
  <conditionalFormatting sqref="T699:T706">
    <cfRule type="iconSet" priority="3">
      <iconSet iconSet="3Symbols2" showValue="0">
        <cfvo type="percent" val="0"/>
        <cfvo type="num" val="0"/>
        <cfvo type="num" val="1"/>
      </iconSet>
    </cfRule>
  </conditionalFormatting>
  <conditionalFormatting sqref="Q763:Q767">
    <cfRule type="iconSet" priority="2">
      <iconSet iconSet="3Symbols2" showValue="0">
        <cfvo type="percent" val="0"/>
        <cfvo type="num" val="0"/>
        <cfvo type="num" val="1"/>
      </iconSet>
    </cfRule>
  </conditionalFormatting>
  <conditionalFormatting sqref="S763:S767">
    <cfRule type="iconSet" priority="1">
      <iconSet iconSet="3Symbols2" showValue="0">
        <cfvo type="percent" val="0"/>
        <cfvo type="num" val="0"/>
        <cfvo type="num" val="1"/>
      </iconSet>
    </cfRule>
  </conditionalFormatting>
  <pageMargins left="0.7" right="0.7" top="0.75" bottom="0.75" header="0.3" footer="0.3"/>
  <pageSetup scale="70"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outlinePr summaryBelow="0" summaryRight="0"/>
  </sheetPr>
  <dimension ref="A2:XFD989"/>
  <sheetViews>
    <sheetView zoomScale="111" zoomScaleNormal="70" workbookViewId="0">
      <pane xSplit="5" ySplit="5" topLeftCell="J560" activePane="bottomRight" state="frozen"/>
      <selection pane="topRight" activeCell="F1" sqref="F1"/>
      <selection pane="bottomLeft" activeCell="A6" sqref="A6"/>
      <selection pane="bottomRight" activeCell="M654" sqref="M654"/>
    </sheetView>
  </sheetViews>
  <sheetFormatPr defaultColWidth="8.5703125" defaultRowHeight="12.75" customHeight="1" outlineLevelRow="5" outlineLevelCol="1"/>
  <cols>
    <col min="1" max="1" width="2.42578125" style="16" customWidth="1"/>
    <col min="2" max="2" width="7.28515625" style="17" customWidth="1"/>
    <col min="3" max="3" width="15" style="17" customWidth="1"/>
    <col min="4" max="4" width="12.5703125" style="310" customWidth="1"/>
    <col min="5" max="5" width="75.5703125" style="304" customWidth="1"/>
    <col min="6" max="6" width="2.5703125" style="16" customWidth="1"/>
    <col min="7" max="7" width="8.42578125" style="16" bestFit="1" customWidth="1"/>
    <col min="8" max="8" width="14.42578125" style="16" bestFit="1" customWidth="1"/>
    <col min="9" max="9" width="5.5703125" style="302" bestFit="1" customWidth="1"/>
    <col min="10" max="10" width="9.42578125" style="310" customWidth="1"/>
    <col min="11" max="11" width="11.42578125" style="310" customWidth="1"/>
    <col min="12" max="12" width="10.42578125" style="310" customWidth="1"/>
    <col min="13" max="16" width="10.42578125" style="310" customWidth="1" outlineLevel="1"/>
    <col min="17" max="17" width="10.42578125" style="310" customWidth="1"/>
    <col min="18" max="21" width="10.42578125" style="310" customWidth="1" outlineLevel="1"/>
    <col min="22" max="16384" width="8.5703125" style="16"/>
  </cols>
  <sheetData>
    <row r="2" spans="1:21" s="1" customFormat="1" ht="20.25" customHeight="1">
      <c r="A2" s="663" t="s">
        <v>256</v>
      </c>
      <c r="B2" s="151"/>
      <c r="C2" s="289"/>
      <c r="D2" s="290"/>
      <c r="E2" s="291"/>
      <c r="F2" s="292"/>
      <c r="G2" s="807" t="s">
        <v>257</v>
      </c>
      <c r="H2" s="807" t="s">
        <v>258</v>
      </c>
      <c r="I2" s="808" t="s">
        <v>259</v>
      </c>
      <c r="J2" s="808" t="s">
        <v>260</v>
      </c>
      <c r="K2" s="808"/>
      <c r="L2" s="806" t="s">
        <v>1488</v>
      </c>
      <c r="M2" s="295"/>
      <c r="N2" s="295"/>
      <c r="O2" s="295"/>
      <c r="P2" s="295"/>
      <c r="Q2" s="806" t="s">
        <v>1795</v>
      </c>
      <c r="R2" s="295"/>
      <c r="S2" s="295"/>
      <c r="T2" s="295"/>
      <c r="U2" s="295"/>
    </row>
    <row r="3" spans="1:21" s="1" customFormat="1" ht="19.5" customHeight="1">
      <c r="A3" s="288"/>
      <c r="B3" s="151"/>
      <c r="C3" s="289"/>
      <c r="D3" s="290"/>
      <c r="E3" s="291"/>
      <c r="F3" s="292"/>
      <c r="G3" s="807"/>
      <c r="H3" s="807"/>
      <c r="I3" s="808"/>
      <c r="J3" s="293"/>
      <c r="K3" s="293"/>
      <c r="L3" s="806"/>
      <c r="M3" s="295"/>
      <c r="N3" s="295"/>
      <c r="O3" s="295"/>
      <c r="P3" s="295"/>
      <c r="Q3" s="806"/>
      <c r="R3" s="295"/>
      <c r="S3" s="295"/>
      <c r="T3" s="295"/>
      <c r="U3" s="295"/>
    </row>
    <row r="4" spans="1:21" s="1" customFormat="1" ht="19.5" customHeight="1">
      <c r="A4" s="288"/>
      <c r="B4" s="151"/>
      <c r="C4" s="289"/>
      <c r="D4" s="290"/>
      <c r="E4" s="291"/>
      <c r="F4" s="292"/>
      <c r="G4" s="807"/>
      <c r="H4" s="807"/>
      <c r="I4" s="808"/>
      <c r="J4" s="294" t="s">
        <v>264</v>
      </c>
      <c r="K4" s="296" t="s">
        <v>265</v>
      </c>
      <c r="L4" s="806"/>
      <c r="M4" s="295" t="s">
        <v>7</v>
      </c>
      <c r="N4" s="295" t="s">
        <v>8</v>
      </c>
      <c r="O4" s="295" t="s">
        <v>9</v>
      </c>
      <c r="P4" s="295" t="s">
        <v>10</v>
      </c>
      <c r="Q4" s="806"/>
      <c r="R4" s="295" t="s">
        <v>7</v>
      </c>
      <c r="S4" s="295" t="s">
        <v>8</v>
      </c>
      <c r="T4" s="295" t="s">
        <v>9</v>
      </c>
      <c r="U4" s="295" t="s">
        <v>10</v>
      </c>
    </row>
    <row r="5" spans="1:21" s="1" customFormat="1" ht="12.75" customHeight="1">
      <c r="A5" s="288"/>
      <c r="B5" s="151"/>
      <c r="C5" s="289"/>
      <c r="D5" s="290"/>
      <c r="E5" s="291"/>
      <c r="F5" s="292"/>
      <c r="G5" s="151"/>
      <c r="H5" s="152"/>
      <c r="I5" s="152"/>
      <c r="J5" s="290"/>
      <c r="K5" s="293"/>
      <c r="L5" s="293"/>
      <c r="M5" s="293"/>
      <c r="N5" s="293"/>
      <c r="O5" s="293"/>
      <c r="P5" s="293"/>
      <c r="Q5" s="293"/>
      <c r="R5" s="293"/>
      <c r="S5" s="293"/>
      <c r="T5" s="293"/>
      <c r="U5" s="293"/>
    </row>
    <row r="6" spans="1:21" s="1" customFormat="1" ht="12.75" customHeight="1">
      <c r="A6" s="288"/>
      <c r="B6" s="151"/>
      <c r="C6" s="289"/>
      <c r="D6" s="290"/>
      <c r="E6" s="291"/>
      <c r="F6" s="292"/>
      <c r="G6" s="151"/>
      <c r="H6" s="152"/>
      <c r="I6" s="152"/>
      <c r="J6" s="290"/>
      <c r="K6" s="293"/>
      <c r="L6" s="149"/>
      <c r="M6" s="149"/>
      <c r="N6" s="149"/>
      <c r="O6" s="149"/>
      <c r="P6" s="149"/>
      <c r="Q6" s="293"/>
      <c r="R6" s="293"/>
      <c r="S6" s="293"/>
      <c r="T6" s="293"/>
      <c r="U6" s="293"/>
    </row>
    <row r="7" spans="1:21" s="18" customFormat="1" ht="12.75" customHeight="1">
      <c r="A7" s="288" t="s">
        <v>266</v>
      </c>
      <c r="B7" s="297"/>
      <c r="C7" s="297"/>
      <c r="D7" s="298"/>
      <c r="E7" s="299"/>
      <c r="F7" s="46"/>
      <c r="G7" s="41" t="s">
        <v>257</v>
      </c>
      <c r="H7" s="41" t="s">
        <v>258</v>
      </c>
      <c r="I7" s="42" t="s">
        <v>259</v>
      </c>
      <c r="J7" s="300"/>
      <c r="K7" s="300"/>
      <c r="L7" s="149"/>
      <c r="M7" s="149"/>
      <c r="N7" s="149"/>
      <c r="O7" s="149"/>
      <c r="P7" s="149"/>
      <c r="Q7" s="300"/>
      <c r="R7" s="300"/>
      <c r="S7" s="300"/>
      <c r="T7" s="300"/>
      <c r="U7" s="300"/>
    </row>
    <row r="8" spans="1:21" s="18" customFormat="1" ht="12.75" customHeight="1" outlineLevel="1">
      <c r="A8" s="301"/>
      <c r="B8" s="297"/>
      <c r="C8" s="297"/>
      <c r="D8" s="298"/>
      <c r="E8" s="299"/>
      <c r="F8" s="46"/>
      <c r="G8" s="46"/>
      <c r="H8" s="46"/>
      <c r="I8" s="302"/>
      <c r="J8" s="300"/>
      <c r="K8" s="300"/>
      <c r="L8" s="300"/>
      <c r="M8" s="300"/>
      <c r="N8" s="300"/>
      <c r="O8" s="300"/>
      <c r="P8" s="300"/>
      <c r="Q8" s="300"/>
      <c r="R8" s="300"/>
      <c r="S8" s="300"/>
      <c r="T8" s="300"/>
      <c r="U8" s="300"/>
    </row>
    <row r="9" spans="1:21" s="18" customFormat="1" ht="12.75" customHeight="1" outlineLevel="1">
      <c r="A9" s="301"/>
      <c r="B9" s="301" t="s">
        <v>1796</v>
      </c>
      <c r="C9" s="297"/>
      <c r="D9" s="298"/>
      <c r="E9" s="299"/>
      <c r="F9" s="46"/>
      <c r="G9" s="46"/>
      <c r="H9" s="46"/>
      <c r="I9" s="302"/>
      <c r="J9" s="300"/>
      <c r="K9" s="300"/>
      <c r="L9" s="300"/>
      <c r="M9" s="300"/>
      <c r="N9" s="300"/>
      <c r="O9" s="300"/>
      <c r="P9" s="300"/>
      <c r="Q9" s="300"/>
      <c r="R9" s="300"/>
      <c r="S9" s="300"/>
      <c r="T9" s="300"/>
      <c r="U9" s="300"/>
    </row>
    <row r="10" spans="1:21" ht="12.75" customHeight="1" outlineLevel="2">
      <c r="A10" s="304"/>
      <c r="B10" s="297" t="s">
        <v>1797</v>
      </c>
      <c r="C10" s="17" t="s">
        <v>1798</v>
      </c>
      <c r="D10" s="305">
        <v>1011</v>
      </c>
      <c r="E10" s="306" t="s">
        <v>1799</v>
      </c>
      <c r="F10" s="307"/>
      <c r="G10" s="297" t="s">
        <v>272</v>
      </c>
      <c r="H10" s="308" t="str">
        <f t="shared" ref="H10:H16" si="0">CONCATENATE("MEP-",G10,"-",I10)</f>
        <v>MEP-SS0-2</v>
      </c>
      <c r="I10" s="309">
        <v>2</v>
      </c>
      <c r="J10" s="310">
        <v>1</v>
      </c>
      <c r="M10" s="311"/>
      <c r="N10" s="311"/>
      <c r="O10" s="311"/>
      <c r="P10" s="311"/>
      <c r="Q10" s="312"/>
      <c r="R10" s="311"/>
      <c r="S10" s="311"/>
      <c r="T10" s="311"/>
      <c r="U10" s="311"/>
    </row>
    <row r="11" spans="1:21" ht="12.75" customHeight="1" outlineLevel="2">
      <c r="A11" s="304"/>
      <c r="B11" s="297" t="s">
        <v>1797</v>
      </c>
      <c r="C11" s="17" t="s">
        <v>1798</v>
      </c>
      <c r="D11" s="305">
        <v>1016</v>
      </c>
      <c r="E11" s="306" t="s">
        <v>1800</v>
      </c>
      <c r="F11" s="307"/>
      <c r="G11" s="297" t="s">
        <v>272</v>
      </c>
      <c r="H11" s="308" t="str">
        <f t="shared" si="0"/>
        <v>MEP-SS0-2</v>
      </c>
      <c r="I11" s="309">
        <v>2</v>
      </c>
      <c r="J11" s="310">
        <v>1</v>
      </c>
      <c r="M11" s="311"/>
      <c r="N11" s="311"/>
      <c r="O11" s="311"/>
      <c r="P11" s="311"/>
      <c r="Q11" s="312"/>
      <c r="R11" s="311"/>
      <c r="S11" s="311"/>
      <c r="T11" s="311"/>
      <c r="U11" s="311"/>
    </row>
    <row r="12" spans="1:21" ht="12.75" customHeight="1" outlineLevel="2">
      <c r="A12" s="304"/>
      <c r="B12" s="297" t="s">
        <v>1797</v>
      </c>
      <c r="C12" s="17" t="s">
        <v>1801</v>
      </c>
      <c r="D12" s="305">
        <v>1012</v>
      </c>
      <c r="E12" s="306" t="s">
        <v>1800</v>
      </c>
      <c r="F12" s="307"/>
      <c r="G12" s="297" t="s">
        <v>272</v>
      </c>
      <c r="H12" s="308" t="str">
        <f t="shared" ref="H12:H15" si="1">CONCATENATE("MEP-",G12,"-",I12)</f>
        <v>MEP-SS0-2</v>
      </c>
      <c r="I12" s="309">
        <v>2</v>
      </c>
      <c r="J12" s="310">
        <v>1</v>
      </c>
      <c r="M12" s="311"/>
      <c r="N12" s="311"/>
      <c r="O12" s="311"/>
      <c r="P12" s="311"/>
      <c r="Q12" s="312"/>
      <c r="R12" s="311"/>
      <c r="S12" s="311"/>
      <c r="T12" s="311"/>
      <c r="U12" s="311"/>
    </row>
    <row r="13" spans="1:21" ht="12.75" customHeight="1" outlineLevel="2">
      <c r="A13" s="304"/>
      <c r="B13" s="297" t="s">
        <v>1797</v>
      </c>
      <c r="C13" s="17" t="s">
        <v>1801</v>
      </c>
      <c r="D13" s="305">
        <v>1017</v>
      </c>
      <c r="E13" s="306" t="s">
        <v>1800</v>
      </c>
      <c r="F13" s="307"/>
      <c r="G13" s="297" t="s">
        <v>272</v>
      </c>
      <c r="H13" s="308" t="str">
        <f t="shared" si="1"/>
        <v>MEP-SS0-2</v>
      </c>
      <c r="I13" s="309">
        <v>2</v>
      </c>
      <c r="J13" s="310">
        <v>1</v>
      </c>
      <c r="M13" s="311"/>
      <c r="N13" s="311"/>
      <c r="O13" s="311"/>
      <c r="P13" s="311"/>
      <c r="Q13" s="312"/>
      <c r="R13" s="311"/>
      <c r="S13" s="311"/>
      <c r="T13" s="311"/>
      <c r="U13" s="311"/>
    </row>
    <row r="14" spans="1:21" ht="12.75" customHeight="1" outlineLevel="2">
      <c r="A14" s="304"/>
      <c r="B14" s="297" t="s">
        <v>1797</v>
      </c>
      <c r="C14" s="17" t="s">
        <v>1802</v>
      </c>
      <c r="D14" s="305" t="s">
        <v>1048</v>
      </c>
      <c r="E14" s="306" t="s">
        <v>1800</v>
      </c>
      <c r="F14" s="307"/>
      <c r="G14" s="297" t="s">
        <v>272</v>
      </c>
      <c r="H14" s="308" t="str">
        <f t="shared" si="1"/>
        <v>MEP-SS0-2</v>
      </c>
      <c r="I14" s="309">
        <v>2</v>
      </c>
      <c r="J14" s="310">
        <v>1</v>
      </c>
      <c r="M14" s="311"/>
      <c r="N14" s="311"/>
      <c r="O14" s="311"/>
      <c r="P14" s="311"/>
      <c r="Q14" s="312"/>
      <c r="R14" s="311"/>
      <c r="S14" s="311"/>
      <c r="T14" s="311"/>
      <c r="U14" s="311"/>
    </row>
    <row r="15" spans="1:21" ht="12.75" customHeight="1" outlineLevel="2">
      <c r="A15" s="304"/>
      <c r="B15" s="297" t="s">
        <v>1797</v>
      </c>
      <c r="C15" s="17" t="s">
        <v>1802</v>
      </c>
      <c r="D15" s="305" t="s">
        <v>1803</v>
      </c>
      <c r="E15" s="306" t="s">
        <v>1800</v>
      </c>
      <c r="F15" s="307"/>
      <c r="G15" s="297" t="s">
        <v>272</v>
      </c>
      <c r="H15" s="308" t="str">
        <f t="shared" si="1"/>
        <v>MEP-SS0-2</v>
      </c>
      <c r="I15" s="309">
        <v>2</v>
      </c>
      <c r="J15" s="310">
        <v>1</v>
      </c>
      <c r="M15" s="311"/>
      <c r="N15" s="311"/>
      <c r="O15" s="311"/>
      <c r="P15" s="311"/>
      <c r="Q15" s="312"/>
      <c r="R15" s="311"/>
      <c r="S15" s="311"/>
      <c r="T15" s="311"/>
      <c r="U15" s="311"/>
    </row>
    <row r="16" spans="1:21" ht="12.75" customHeight="1" outlineLevel="2">
      <c r="A16" s="304"/>
      <c r="B16" s="297" t="s">
        <v>1797</v>
      </c>
      <c r="C16" s="17" t="s">
        <v>1804</v>
      </c>
      <c r="D16" s="305">
        <v>1014</v>
      </c>
      <c r="E16" s="306" t="s">
        <v>1805</v>
      </c>
      <c r="F16" s="307"/>
      <c r="G16" s="297" t="s">
        <v>272</v>
      </c>
      <c r="H16" s="308" t="str">
        <f t="shared" si="0"/>
        <v>MEP-SS0-2</v>
      </c>
      <c r="I16" s="309">
        <v>2</v>
      </c>
      <c r="J16" s="310">
        <v>1</v>
      </c>
      <c r="M16" s="311"/>
      <c r="N16" s="311"/>
      <c r="O16" s="311"/>
      <c r="P16" s="311"/>
      <c r="Q16" s="312"/>
      <c r="R16" s="311"/>
      <c r="S16" s="311"/>
      <c r="T16" s="311"/>
      <c r="U16" s="311"/>
    </row>
    <row r="17" spans="2:13" ht="12.75" customHeight="1" outlineLevel="2">
      <c r="B17" s="297" t="s">
        <v>1797</v>
      </c>
      <c r="C17" s="17" t="s">
        <v>1798</v>
      </c>
      <c r="D17" s="305">
        <v>1011</v>
      </c>
      <c r="E17" s="313" t="s">
        <v>1806</v>
      </c>
      <c r="F17" s="307"/>
      <c r="G17" s="297" t="s">
        <v>272</v>
      </c>
      <c r="H17" s="308" t="str">
        <f t="shared" ref="H17:H19" si="2">CONCATENATE("MEP-",G17,"-",I17)</f>
        <v>MEP-SS0-3</v>
      </c>
      <c r="I17" s="309">
        <v>3</v>
      </c>
      <c r="J17" s="310">
        <v>1</v>
      </c>
      <c r="M17" s="311"/>
    </row>
    <row r="18" spans="2:13" ht="12.75" customHeight="1" outlineLevel="2">
      <c r="B18" s="297" t="s">
        <v>1797</v>
      </c>
      <c r="C18" s="17" t="s">
        <v>1798</v>
      </c>
      <c r="D18" s="305">
        <v>1011</v>
      </c>
      <c r="E18" s="313" t="s">
        <v>1807</v>
      </c>
      <c r="F18" s="307"/>
      <c r="G18" s="297" t="s">
        <v>272</v>
      </c>
      <c r="H18" s="308" t="str">
        <f t="shared" si="2"/>
        <v>MEP-SS0-3</v>
      </c>
      <c r="I18" s="309">
        <v>3</v>
      </c>
      <c r="J18" s="310">
        <v>1</v>
      </c>
      <c r="M18" s="311"/>
    </row>
    <row r="19" spans="2:13" ht="12.75" customHeight="1" outlineLevel="2">
      <c r="B19" s="297" t="s">
        <v>1797</v>
      </c>
      <c r="C19" s="17" t="s">
        <v>1804</v>
      </c>
      <c r="D19" s="305"/>
      <c r="E19" s="313" t="s">
        <v>1808</v>
      </c>
      <c r="F19" s="307"/>
      <c r="G19" s="297" t="s">
        <v>272</v>
      </c>
      <c r="H19" s="308" t="str">
        <f t="shared" si="2"/>
        <v>MEP-SS0-3</v>
      </c>
      <c r="I19" s="309">
        <v>3</v>
      </c>
      <c r="L19" s="311">
        <v>1</v>
      </c>
      <c r="M19" s="311">
        <v>1</v>
      </c>
    </row>
    <row r="20" spans="2:13" ht="12.75" customHeight="1" outlineLevel="2">
      <c r="B20" s="297" t="s">
        <v>1797</v>
      </c>
      <c r="C20" s="17" t="s">
        <v>1801</v>
      </c>
      <c r="D20" s="305"/>
      <c r="E20" s="313" t="s">
        <v>1806</v>
      </c>
      <c r="F20" s="307"/>
      <c r="G20" s="297" t="s">
        <v>272</v>
      </c>
      <c r="H20" s="308" t="str">
        <f t="shared" ref="H20" si="3">CONCATENATE("MEP-",G20,"-",I20)</f>
        <v>MEP-SS0-3</v>
      </c>
      <c r="I20" s="309">
        <v>3</v>
      </c>
      <c r="L20" s="311">
        <v>1</v>
      </c>
      <c r="M20" s="311">
        <v>1</v>
      </c>
    </row>
    <row r="21" spans="2:13" ht="12.75" customHeight="1" outlineLevel="2">
      <c r="B21" s="297" t="s">
        <v>1797</v>
      </c>
      <c r="C21" s="17" t="s">
        <v>1801</v>
      </c>
      <c r="D21" s="305"/>
      <c r="E21" s="313" t="s">
        <v>1807</v>
      </c>
      <c r="F21" s="307"/>
      <c r="G21" s="297" t="s">
        <v>272</v>
      </c>
      <c r="H21" s="308" t="str">
        <f t="shared" ref="H21:H22" si="4">CONCATENATE("MEP-",G21,"-",I21)</f>
        <v>MEP-SS0-3</v>
      </c>
      <c r="I21" s="309">
        <v>3</v>
      </c>
      <c r="L21" s="311">
        <v>1</v>
      </c>
      <c r="M21" s="311">
        <v>1</v>
      </c>
    </row>
    <row r="22" spans="2:13" ht="12.75" customHeight="1" outlineLevel="2">
      <c r="B22" s="297" t="s">
        <v>1797</v>
      </c>
      <c r="C22" s="17" t="s">
        <v>1802</v>
      </c>
      <c r="D22" s="305"/>
      <c r="E22" s="313" t="s">
        <v>1806</v>
      </c>
      <c r="F22" s="307"/>
      <c r="G22" s="297" t="s">
        <v>272</v>
      </c>
      <c r="H22" s="308" t="str">
        <f t="shared" si="4"/>
        <v>MEP-SS0-3</v>
      </c>
      <c r="I22" s="309">
        <v>3</v>
      </c>
      <c r="L22" s="311">
        <v>1</v>
      </c>
      <c r="M22" s="311">
        <v>1</v>
      </c>
    </row>
    <row r="23" spans="2:13" ht="12.75" customHeight="1" outlineLevel="2">
      <c r="B23" s="297" t="s">
        <v>1797</v>
      </c>
      <c r="C23" s="17" t="s">
        <v>1802</v>
      </c>
      <c r="D23" s="305"/>
      <c r="E23" s="313" t="s">
        <v>1807</v>
      </c>
      <c r="F23" s="307"/>
      <c r="G23" s="297" t="s">
        <v>272</v>
      </c>
      <c r="H23" s="308" t="str">
        <f t="shared" ref="H23" si="5">CONCATENATE("MEP-",G23,"-",I23)</f>
        <v>MEP-SS0-3</v>
      </c>
      <c r="I23" s="309">
        <v>3</v>
      </c>
      <c r="L23" s="311">
        <v>1</v>
      </c>
      <c r="M23" s="311">
        <v>1</v>
      </c>
    </row>
    <row r="24" spans="2:13" ht="12.75" customHeight="1" outlineLevel="2">
      <c r="B24" s="297" t="s">
        <v>1797</v>
      </c>
      <c r="C24" s="17" t="s">
        <v>1804</v>
      </c>
      <c r="D24" s="305"/>
      <c r="E24" s="313" t="s">
        <v>1809</v>
      </c>
      <c r="F24" s="307"/>
      <c r="G24" s="297" t="s">
        <v>272</v>
      </c>
      <c r="H24" s="308" t="str">
        <f t="shared" ref="H24" si="6">CONCATENATE("MEP-",G24,"-",I24)</f>
        <v>MEP-SS0-3</v>
      </c>
      <c r="I24" s="309">
        <v>3</v>
      </c>
      <c r="L24" s="311">
        <v>1</v>
      </c>
      <c r="M24" s="311">
        <v>1</v>
      </c>
    </row>
    <row r="25" spans="2:13" ht="12.75" customHeight="1" outlineLevel="2">
      <c r="B25" s="297"/>
      <c r="D25" s="305"/>
      <c r="E25" s="313"/>
      <c r="F25" s="307"/>
      <c r="G25" s="297"/>
      <c r="H25" s="308"/>
      <c r="I25" s="309"/>
      <c r="L25" s="311"/>
      <c r="M25" s="311"/>
    </row>
    <row r="26" spans="2:13" ht="12.75" customHeight="1" outlineLevel="1">
      <c r="B26" s="297"/>
      <c r="D26" s="298"/>
      <c r="E26" s="306"/>
      <c r="F26" s="307"/>
      <c r="G26" s="297"/>
      <c r="H26" s="314"/>
      <c r="I26" s="309"/>
      <c r="M26" s="311"/>
    </row>
    <row r="27" spans="2:13" ht="12.75" customHeight="1" outlineLevel="1">
      <c r="B27" s="301" t="s">
        <v>1810</v>
      </c>
      <c r="D27" s="298"/>
      <c r="E27" s="306"/>
      <c r="F27" s="307"/>
      <c r="G27" s="297"/>
      <c r="H27" s="314"/>
      <c r="I27" s="309"/>
      <c r="M27" s="311"/>
    </row>
    <row r="28" spans="2:13" ht="12.75" customHeight="1" outlineLevel="2">
      <c r="B28" s="297" t="s">
        <v>1811</v>
      </c>
      <c r="C28" s="17" t="s">
        <v>1798</v>
      </c>
      <c r="D28" s="298">
        <v>1011</v>
      </c>
      <c r="E28" s="306" t="s">
        <v>1812</v>
      </c>
      <c r="F28" s="307"/>
      <c r="G28" s="297" t="s">
        <v>272</v>
      </c>
      <c r="H28" s="308" t="str">
        <f t="shared" ref="H28:H39" si="7">CONCATENATE("MEP-",G28,"-",I28)</f>
        <v>MEP-SS0-3</v>
      </c>
      <c r="I28" s="309">
        <v>3</v>
      </c>
      <c r="J28" s="310">
        <v>1</v>
      </c>
      <c r="M28" s="311"/>
    </row>
    <row r="29" spans="2:13" ht="12.75" customHeight="1" outlineLevel="2">
      <c r="B29" s="297" t="s">
        <v>1811</v>
      </c>
      <c r="C29" s="17" t="s">
        <v>1798</v>
      </c>
      <c r="D29" s="298">
        <v>1012</v>
      </c>
      <c r="E29" s="306" t="s">
        <v>1813</v>
      </c>
      <c r="F29" s="307"/>
      <c r="G29" s="297" t="s">
        <v>272</v>
      </c>
      <c r="H29" s="308" t="str">
        <f t="shared" si="7"/>
        <v>MEP-SS0-3</v>
      </c>
      <c r="I29" s="309">
        <v>3</v>
      </c>
      <c r="J29" s="310">
        <v>1</v>
      </c>
      <c r="M29" s="311"/>
    </row>
    <row r="30" spans="2:13" ht="12.75" customHeight="1" outlineLevel="2">
      <c r="B30" s="297" t="s">
        <v>1811</v>
      </c>
      <c r="C30" s="17" t="s">
        <v>1798</v>
      </c>
      <c r="D30" s="298">
        <v>1014</v>
      </c>
      <c r="E30" s="306" t="s">
        <v>1814</v>
      </c>
      <c r="F30" s="307"/>
      <c r="G30" s="297" t="s">
        <v>272</v>
      </c>
      <c r="H30" s="308" t="str">
        <f t="shared" si="7"/>
        <v>MEP-SS0-3</v>
      </c>
      <c r="I30" s="309">
        <v>3</v>
      </c>
      <c r="J30" s="310">
        <v>1</v>
      </c>
      <c r="M30" s="315"/>
    </row>
    <row r="31" spans="2:13" ht="12.75" customHeight="1" outlineLevel="2">
      <c r="B31" s="297" t="s">
        <v>1811</v>
      </c>
      <c r="C31" s="17" t="s">
        <v>1798</v>
      </c>
      <c r="D31" s="298">
        <v>1015</v>
      </c>
      <c r="E31" s="306" t="s">
        <v>1815</v>
      </c>
      <c r="F31" s="307"/>
      <c r="G31" s="297" t="s">
        <v>272</v>
      </c>
      <c r="H31" s="308" t="str">
        <f t="shared" ref="H31" si="8">CONCATENATE("MEP-",G31,"-",I31)</f>
        <v>MEP-SS0-3</v>
      </c>
      <c r="I31" s="309">
        <v>3</v>
      </c>
      <c r="J31" s="310">
        <v>1</v>
      </c>
      <c r="M31" s="311"/>
    </row>
    <row r="32" spans="2:13" ht="12.75" customHeight="1" outlineLevel="2">
      <c r="B32" s="297" t="s">
        <v>1811</v>
      </c>
      <c r="C32" s="17" t="s">
        <v>1816</v>
      </c>
      <c r="D32" s="298">
        <v>1011</v>
      </c>
      <c r="E32" s="306" t="s">
        <v>1817</v>
      </c>
      <c r="F32" s="307"/>
      <c r="G32" s="297" t="s">
        <v>272</v>
      </c>
      <c r="H32" s="308" t="str">
        <f t="shared" ref="H32" si="9">CONCATENATE("MEP-",G32,"-",I32)</f>
        <v>MEP-SS0-3</v>
      </c>
      <c r="I32" s="309">
        <v>3</v>
      </c>
      <c r="J32" s="310">
        <v>1</v>
      </c>
      <c r="M32" s="311"/>
    </row>
    <row r="33" spans="2:13" ht="12.75" customHeight="1" outlineLevel="2">
      <c r="B33" s="297" t="s">
        <v>1811</v>
      </c>
      <c r="C33" s="17" t="s">
        <v>1816</v>
      </c>
      <c r="D33" s="298">
        <v>1012</v>
      </c>
      <c r="E33" s="306" t="s">
        <v>1818</v>
      </c>
      <c r="F33" s="307"/>
      <c r="G33" s="297" t="s">
        <v>272</v>
      </c>
      <c r="H33" s="308" t="str">
        <f t="shared" ref="H33" si="10">CONCATENATE("MEP-",G33,"-",I33)</f>
        <v>MEP-SS0-3</v>
      </c>
      <c r="I33" s="309">
        <v>3</v>
      </c>
      <c r="J33" s="310">
        <v>1</v>
      </c>
      <c r="M33" s="311"/>
    </row>
    <row r="34" spans="2:13" ht="12.75" customHeight="1" outlineLevel="2">
      <c r="B34" s="297" t="s">
        <v>1811</v>
      </c>
      <c r="C34" s="17" t="s">
        <v>1801</v>
      </c>
      <c r="D34" s="298">
        <v>1011</v>
      </c>
      <c r="E34" s="306" t="s">
        <v>1812</v>
      </c>
      <c r="F34" s="307"/>
      <c r="G34" s="297" t="s">
        <v>272</v>
      </c>
      <c r="H34" s="308" t="str">
        <f t="shared" si="7"/>
        <v>MEP-SS0-3</v>
      </c>
      <c r="I34" s="309">
        <v>3</v>
      </c>
      <c r="J34" s="310">
        <v>1</v>
      </c>
      <c r="M34" s="311"/>
    </row>
    <row r="35" spans="2:13" ht="12.75" customHeight="1" outlineLevel="2">
      <c r="B35" s="297" t="s">
        <v>1811</v>
      </c>
      <c r="C35" s="17" t="s">
        <v>1801</v>
      </c>
      <c r="D35" s="298">
        <v>1012</v>
      </c>
      <c r="E35" s="306" t="s">
        <v>1813</v>
      </c>
      <c r="F35" s="307"/>
      <c r="G35" s="297" t="s">
        <v>272</v>
      </c>
      <c r="H35" s="308" t="str">
        <f t="shared" si="7"/>
        <v>MEP-SS0-3</v>
      </c>
      <c r="I35" s="309">
        <v>3</v>
      </c>
      <c r="J35" s="310">
        <v>1</v>
      </c>
      <c r="M35" s="311"/>
    </row>
    <row r="36" spans="2:13" ht="12.75" customHeight="1" outlineLevel="2">
      <c r="B36" s="297" t="s">
        <v>1811</v>
      </c>
      <c r="C36" s="17" t="s">
        <v>1801</v>
      </c>
      <c r="D36" s="298">
        <v>1014</v>
      </c>
      <c r="E36" s="306" t="s">
        <v>1814</v>
      </c>
      <c r="F36" s="307"/>
      <c r="G36" s="297" t="s">
        <v>272</v>
      </c>
      <c r="H36" s="308" t="str">
        <f t="shared" si="7"/>
        <v>MEP-SS0-3</v>
      </c>
      <c r="I36" s="309">
        <v>3</v>
      </c>
      <c r="J36" s="310">
        <v>1</v>
      </c>
      <c r="M36" s="311"/>
    </row>
    <row r="37" spans="2:13" ht="12.75" customHeight="1" outlineLevel="2">
      <c r="B37" s="297" t="s">
        <v>1811</v>
      </c>
      <c r="C37" s="17" t="s">
        <v>1802</v>
      </c>
      <c r="D37" s="298">
        <v>1011</v>
      </c>
      <c r="E37" s="306" t="s">
        <v>1812</v>
      </c>
      <c r="F37" s="307"/>
      <c r="G37" s="297" t="s">
        <v>272</v>
      </c>
      <c r="H37" s="308" t="str">
        <f t="shared" si="7"/>
        <v>MEP-SS0-3</v>
      </c>
      <c r="I37" s="309">
        <v>3</v>
      </c>
      <c r="J37" s="310">
        <v>1</v>
      </c>
      <c r="M37" s="311"/>
    </row>
    <row r="38" spans="2:13" ht="12.75" customHeight="1" outlineLevel="2">
      <c r="B38" s="297" t="s">
        <v>1811</v>
      </c>
      <c r="C38" s="17" t="s">
        <v>1802</v>
      </c>
      <c r="D38" s="298">
        <v>1012</v>
      </c>
      <c r="E38" s="306" t="s">
        <v>1813</v>
      </c>
      <c r="F38" s="307"/>
      <c r="G38" s="297" t="s">
        <v>272</v>
      </c>
      <c r="H38" s="308" t="str">
        <f t="shared" si="7"/>
        <v>MEP-SS0-3</v>
      </c>
      <c r="I38" s="309">
        <v>3</v>
      </c>
      <c r="J38" s="310">
        <v>1</v>
      </c>
      <c r="M38" s="311"/>
    </row>
    <row r="39" spans="2:13" ht="12.75" customHeight="1" outlineLevel="2">
      <c r="B39" s="297" t="s">
        <v>1811</v>
      </c>
      <c r="C39" s="17" t="s">
        <v>1802</v>
      </c>
      <c r="D39" s="298">
        <v>1014</v>
      </c>
      <c r="E39" s="306" t="s">
        <v>1814</v>
      </c>
      <c r="F39" s="307"/>
      <c r="G39" s="297" t="s">
        <v>272</v>
      </c>
      <c r="H39" s="308" t="str">
        <f t="shared" si="7"/>
        <v>MEP-SS0-3</v>
      </c>
      <c r="I39" s="309">
        <v>3</v>
      </c>
      <c r="J39" s="310">
        <v>1</v>
      </c>
      <c r="M39" s="311"/>
    </row>
    <row r="40" spans="2:13" ht="12.75" customHeight="1" outlineLevel="1">
      <c r="B40" s="301" t="s">
        <v>1819</v>
      </c>
      <c r="D40" s="298"/>
      <c r="E40" s="306"/>
      <c r="F40" s="307"/>
      <c r="G40" s="297"/>
      <c r="H40" s="314"/>
      <c r="I40" s="309"/>
      <c r="M40" s="311"/>
    </row>
    <row r="41" spans="2:13" ht="12.75" customHeight="1" outlineLevel="2">
      <c r="B41" s="297" t="s">
        <v>1819</v>
      </c>
      <c r="C41" s="17" t="s">
        <v>1798</v>
      </c>
      <c r="D41" s="298" t="s">
        <v>506</v>
      </c>
      <c r="E41" s="306" t="s">
        <v>1820</v>
      </c>
      <c r="F41" s="307"/>
      <c r="G41" s="297" t="s">
        <v>272</v>
      </c>
      <c r="H41" s="308" t="str">
        <f>CONCATENATE("MEP-",G41,"-",I41)</f>
        <v>MEP-SS0-4</v>
      </c>
      <c r="I41" s="309">
        <v>4</v>
      </c>
      <c r="J41" s="310">
        <v>1</v>
      </c>
      <c r="M41" s="311"/>
    </row>
    <row r="42" spans="2:13" ht="12.75" customHeight="1" outlineLevel="2">
      <c r="B42" s="297" t="s">
        <v>1819</v>
      </c>
      <c r="C42" s="17" t="s">
        <v>1801</v>
      </c>
      <c r="D42" s="298" t="s">
        <v>506</v>
      </c>
      <c r="E42" s="306" t="s">
        <v>1820</v>
      </c>
      <c r="F42" s="307"/>
      <c r="G42" s="297" t="s">
        <v>272</v>
      </c>
      <c r="H42" s="308" t="str">
        <f>CONCATENATE("MEP-",G42,"-",I42)</f>
        <v>MEP-SS0-4</v>
      </c>
      <c r="I42" s="309">
        <v>4</v>
      </c>
      <c r="J42" s="310">
        <v>1</v>
      </c>
      <c r="M42" s="311"/>
    </row>
    <row r="43" spans="2:13" ht="12.75" customHeight="1" outlineLevel="2">
      <c r="B43" s="297" t="s">
        <v>1819</v>
      </c>
      <c r="C43" s="17" t="s">
        <v>1802</v>
      </c>
      <c r="D43" s="298" t="s">
        <v>506</v>
      </c>
      <c r="E43" s="306" t="s">
        <v>1820</v>
      </c>
      <c r="F43" s="307"/>
      <c r="G43" s="297" t="s">
        <v>272</v>
      </c>
      <c r="H43" s="308" t="str">
        <f>CONCATENATE("MEP-",G43,"-",I43)</f>
        <v>MEP-SS0-4</v>
      </c>
      <c r="I43" s="309">
        <v>4</v>
      </c>
      <c r="J43" s="310">
        <v>1</v>
      </c>
      <c r="M43" s="311"/>
    </row>
    <row r="44" spans="2:13" ht="12.75" customHeight="1" outlineLevel="1">
      <c r="B44" s="297"/>
      <c r="D44" s="298"/>
      <c r="E44" s="306"/>
      <c r="F44" s="307"/>
      <c r="G44" s="297"/>
      <c r="H44" s="314"/>
      <c r="I44" s="309"/>
      <c r="M44" s="311"/>
    </row>
    <row r="45" spans="2:13" ht="12.75" customHeight="1" outlineLevel="1">
      <c r="B45" s="301" t="s">
        <v>1821</v>
      </c>
      <c r="D45" s="298"/>
      <c r="E45" s="306"/>
      <c r="F45" s="307"/>
      <c r="G45" s="297"/>
      <c r="H45" s="314"/>
      <c r="I45" s="309"/>
      <c r="M45" s="311"/>
    </row>
    <row r="46" spans="2:13" ht="12.75" customHeight="1" outlineLevel="2">
      <c r="B46" s="297" t="s">
        <v>1822</v>
      </c>
      <c r="C46" s="17" t="s">
        <v>1798</v>
      </c>
      <c r="D46" s="298" t="s">
        <v>506</v>
      </c>
      <c r="E46" s="306" t="s">
        <v>1823</v>
      </c>
      <c r="F46" s="307"/>
      <c r="G46" s="297" t="s">
        <v>272</v>
      </c>
      <c r="H46" s="308" t="str">
        <f t="shared" ref="H46:H51" si="11">CONCATENATE("MEP-",G46,"-",I46)</f>
        <v>MEP-SS0-3</v>
      </c>
      <c r="I46" s="309">
        <v>3</v>
      </c>
      <c r="J46" s="310">
        <v>1</v>
      </c>
      <c r="M46" s="311"/>
    </row>
    <row r="47" spans="2:13" ht="12.75" customHeight="1" outlineLevel="2">
      <c r="B47" s="297" t="s">
        <v>1822</v>
      </c>
      <c r="C47" s="17" t="s">
        <v>1798</v>
      </c>
      <c r="D47" s="298" t="s">
        <v>1048</v>
      </c>
      <c r="E47" s="306" t="s">
        <v>1824</v>
      </c>
      <c r="F47" s="307"/>
      <c r="G47" s="297" t="s">
        <v>272</v>
      </c>
      <c r="H47" s="308" t="str">
        <f t="shared" si="11"/>
        <v>MEP-SS0-3</v>
      </c>
      <c r="I47" s="309">
        <v>3</v>
      </c>
      <c r="J47" s="310">
        <v>1</v>
      </c>
      <c r="M47" s="311"/>
    </row>
    <row r="48" spans="2:13" ht="12.75" customHeight="1" outlineLevel="2">
      <c r="B48" s="297" t="s">
        <v>1822</v>
      </c>
      <c r="C48" s="17" t="s">
        <v>1801</v>
      </c>
      <c r="D48" s="298" t="s">
        <v>506</v>
      </c>
      <c r="E48" s="306" t="s">
        <v>1823</v>
      </c>
      <c r="F48" s="307"/>
      <c r="G48" s="297" t="s">
        <v>272</v>
      </c>
      <c r="H48" s="308" t="str">
        <f t="shared" si="11"/>
        <v>MEP-SS0-3</v>
      </c>
      <c r="I48" s="309">
        <v>3</v>
      </c>
      <c r="L48" s="311">
        <v>1</v>
      </c>
      <c r="M48" s="311">
        <v>1</v>
      </c>
    </row>
    <row r="49" spans="2:13" ht="12.75" customHeight="1" outlineLevel="2">
      <c r="B49" s="297" t="s">
        <v>1822</v>
      </c>
      <c r="C49" s="17" t="s">
        <v>1801</v>
      </c>
      <c r="D49" s="298" t="s">
        <v>1048</v>
      </c>
      <c r="E49" s="306" t="s">
        <v>1824</v>
      </c>
      <c r="F49" s="307"/>
      <c r="G49" s="297" t="s">
        <v>272</v>
      </c>
      <c r="H49" s="308" t="str">
        <f t="shared" si="11"/>
        <v>MEP-SS0-3</v>
      </c>
      <c r="I49" s="309">
        <v>3</v>
      </c>
      <c r="L49" s="311">
        <v>1</v>
      </c>
      <c r="M49" s="311">
        <v>1</v>
      </c>
    </row>
    <row r="50" spans="2:13" ht="12.75" customHeight="1" outlineLevel="2">
      <c r="B50" s="297" t="s">
        <v>1822</v>
      </c>
      <c r="C50" s="17" t="s">
        <v>1802</v>
      </c>
      <c r="D50" s="298" t="s">
        <v>506</v>
      </c>
      <c r="E50" s="306" t="s">
        <v>1823</v>
      </c>
      <c r="F50" s="307"/>
      <c r="G50" s="297" t="s">
        <v>272</v>
      </c>
      <c r="H50" s="308" t="str">
        <f t="shared" si="11"/>
        <v>MEP-SS0-3</v>
      </c>
      <c r="I50" s="309">
        <v>3</v>
      </c>
      <c r="L50" s="311">
        <v>1</v>
      </c>
      <c r="M50" s="311">
        <v>1</v>
      </c>
    </row>
    <row r="51" spans="2:13" ht="12.75" customHeight="1" outlineLevel="2">
      <c r="B51" s="297" t="s">
        <v>1822</v>
      </c>
      <c r="C51" s="17" t="s">
        <v>1802</v>
      </c>
      <c r="D51" s="298" t="s">
        <v>1048</v>
      </c>
      <c r="E51" s="306" t="s">
        <v>1824</v>
      </c>
      <c r="F51" s="307"/>
      <c r="G51" s="297" t="s">
        <v>272</v>
      </c>
      <c r="H51" s="308" t="str">
        <f t="shared" si="11"/>
        <v>MEP-SS0-3</v>
      </c>
      <c r="I51" s="309">
        <v>3</v>
      </c>
      <c r="L51" s="311">
        <v>1</v>
      </c>
      <c r="M51" s="311">
        <v>1</v>
      </c>
    </row>
    <row r="52" spans="2:13" ht="12.75" customHeight="1" outlineLevel="1">
      <c r="B52" s="297"/>
      <c r="D52" s="298"/>
      <c r="E52" s="306"/>
      <c r="F52" s="307"/>
      <c r="G52" s="297"/>
      <c r="H52" s="314"/>
      <c r="I52" s="309"/>
      <c r="M52" s="311"/>
    </row>
    <row r="53" spans="2:13" ht="12.75" customHeight="1" outlineLevel="1">
      <c r="B53" s="301" t="s">
        <v>1825</v>
      </c>
      <c r="D53" s="298"/>
      <c r="E53" s="306"/>
      <c r="F53" s="307"/>
      <c r="G53" s="297"/>
      <c r="H53" s="314"/>
      <c r="I53" s="309"/>
      <c r="M53" s="311"/>
    </row>
    <row r="54" spans="2:13" ht="12.75" customHeight="1" outlineLevel="2">
      <c r="B54" s="297" t="s">
        <v>1465</v>
      </c>
      <c r="C54" s="17" t="s">
        <v>1798</v>
      </c>
      <c r="D54" s="298" t="s">
        <v>506</v>
      </c>
      <c r="E54" s="306" t="s">
        <v>1826</v>
      </c>
      <c r="F54" s="307"/>
      <c r="G54" s="297" t="s">
        <v>272</v>
      </c>
      <c r="H54" s="308" t="str">
        <f t="shared" ref="H54:H71" si="12">CONCATENATE("MEP-",G54,"-",I54)</f>
        <v>MEP-SS0-3</v>
      </c>
      <c r="I54" s="309">
        <v>3</v>
      </c>
      <c r="J54" s="310">
        <v>1</v>
      </c>
      <c r="M54" s="311"/>
    </row>
    <row r="55" spans="2:13" ht="12.75" customHeight="1" outlineLevel="2">
      <c r="B55" s="297" t="s">
        <v>1465</v>
      </c>
      <c r="C55" s="17" t="s">
        <v>1798</v>
      </c>
      <c r="D55" s="298">
        <v>1012</v>
      </c>
      <c r="E55" s="306" t="s">
        <v>1826</v>
      </c>
      <c r="F55" s="307"/>
      <c r="G55" s="297" t="s">
        <v>272</v>
      </c>
      <c r="H55" s="308" t="str">
        <f t="shared" si="12"/>
        <v>MEP-SS0-3</v>
      </c>
      <c r="I55" s="309">
        <v>3</v>
      </c>
      <c r="J55" s="310">
        <v>1</v>
      </c>
    </row>
    <row r="56" spans="2:13" ht="12.75" customHeight="1" outlineLevel="2">
      <c r="B56" s="297" t="s">
        <v>1465</v>
      </c>
      <c r="C56" s="17" t="s">
        <v>1798</v>
      </c>
      <c r="D56" s="298">
        <v>1013</v>
      </c>
      <c r="E56" s="306" t="s">
        <v>1826</v>
      </c>
      <c r="F56" s="307"/>
      <c r="G56" s="297" t="s">
        <v>272</v>
      </c>
      <c r="H56" s="308" t="str">
        <f t="shared" ref="H56:H57" si="13">CONCATENATE("MEP-",G56,"-",I56)</f>
        <v>MEP-SS0-3</v>
      </c>
      <c r="I56" s="309">
        <v>3</v>
      </c>
      <c r="J56" s="310">
        <v>1</v>
      </c>
    </row>
    <row r="57" spans="2:13" ht="12.75" customHeight="1" outlineLevel="2">
      <c r="B57" s="297" t="s">
        <v>1465</v>
      </c>
      <c r="C57" s="17" t="s">
        <v>1798</v>
      </c>
      <c r="D57" s="298">
        <v>1014</v>
      </c>
      <c r="E57" s="306" t="s">
        <v>1826</v>
      </c>
      <c r="F57" s="307"/>
      <c r="G57" s="297" t="s">
        <v>272</v>
      </c>
      <c r="H57" s="308" t="str">
        <f t="shared" si="13"/>
        <v>MEP-SS0-3</v>
      </c>
      <c r="I57" s="309">
        <v>3</v>
      </c>
      <c r="J57" s="310">
        <v>1</v>
      </c>
    </row>
    <row r="58" spans="2:13" ht="12.75" customHeight="1" outlineLevel="2">
      <c r="B58" s="297" t="s">
        <v>1465</v>
      </c>
      <c r="C58" s="17" t="s">
        <v>1798</v>
      </c>
      <c r="D58" s="298">
        <v>1016</v>
      </c>
      <c r="E58" s="306" t="s">
        <v>1827</v>
      </c>
      <c r="F58" s="307"/>
      <c r="G58" s="297" t="s">
        <v>272</v>
      </c>
      <c r="H58" s="308" t="str">
        <f t="shared" ref="H58:H65" si="14">CONCATENATE("MEP-",G58,"-",I58)</f>
        <v>MEP-SS0-3</v>
      </c>
      <c r="I58" s="309">
        <v>3</v>
      </c>
      <c r="J58" s="310">
        <v>1</v>
      </c>
    </row>
    <row r="59" spans="2:13" ht="12.75" customHeight="1" outlineLevel="2">
      <c r="B59" s="297" t="s">
        <v>1465</v>
      </c>
      <c r="C59" s="17" t="s">
        <v>1798</v>
      </c>
      <c r="D59" s="298">
        <v>1017</v>
      </c>
      <c r="E59" s="306" t="s">
        <v>1827</v>
      </c>
      <c r="F59" s="307"/>
      <c r="G59" s="297" t="s">
        <v>272</v>
      </c>
      <c r="H59" s="308" t="str">
        <f t="shared" si="14"/>
        <v>MEP-SS0-3</v>
      </c>
      <c r="I59" s="309">
        <v>3</v>
      </c>
      <c r="J59" s="310">
        <v>1</v>
      </c>
    </row>
    <row r="60" spans="2:13" ht="12.75" customHeight="1" outlineLevel="2">
      <c r="B60" s="297" t="s">
        <v>1465</v>
      </c>
      <c r="C60" s="17" t="s">
        <v>1798</v>
      </c>
      <c r="D60" s="298">
        <v>1018</v>
      </c>
      <c r="E60" s="306" t="s">
        <v>1827</v>
      </c>
      <c r="F60" s="307"/>
      <c r="G60" s="297" t="s">
        <v>272</v>
      </c>
      <c r="H60" s="308" t="str">
        <f t="shared" si="14"/>
        <v>MEP-SS0-3</v>
      </c>
      <c r="I60" s="309">
        <v>3</v>
      </c>
      <c r="J60" s="310">
        <v>1</v>
      </c>
    </row>
    <row r="61" spans="2:13" ht="12.75" customHeight="1" outlineLevel="2">
      <c r="B61" s="297" t="s">
        <v>1465</v>
      </c>
      <c r="C61" s="17" t="s">
        <v>1798</v>
      </c>
      <c r="D61" s="298">
        <v>1019</v>
      </c>
      <c r="E61" s="306" t="s">
        <v>1827</v>
      </c>
      <c r="F61" s="307"/>
      <c r="G61" s="297" t="s">
        <v>272</v>
      </c>
      <c r="H61" s="308" t="str">
        <f t="shared" si="14"/>
        <v>MEP-SS0-3</v>
      </c>
      <c r="I61" s="309">
        <v>3</v>
      </c>
      <c r="J61" s="310">
        <v>1</v>
      </c>
    </row>
    <row r="62" spans="2:13" ht="12.75" customHeight="1" outlineLevel="2">
      <c r="B62" s="297" t="s">
        <v>1465</v>
      </c>
      <c r="C62" s="17" t="s">
        <v>1798</v>
      </c>
      <c r="D62" s="298">
        <v>1020</v>
      </c>
      <c r="E62" s="306" t="s">
        <v>1827</v>
      </c>
      <c r="F62" s="307"/>
      <c r="G62" s="297" t="s">
        <v>272</v>
      </c>
      <c r="H62" s="308" t="str">
        <f t="shared" si="14"/>
        <v>MEP-SS0-3</v>
      </c>
      <c r="I62" s="309">
        <v>3</v>
      </c>
      <c r="J62" s="310">
        <v>1</v>
      </c>
    </row>
    <row r="63" spans="2:13" ht="12.75" customHeight="1" outlineLevel="2">
      <c r="B63" s="297" t="s">
        <v>1465</v>
      </c>
      <c r="C63" s="17" t="s">
        <v>1798</v>
      </c>
      <c r="D63" s="298">
        <v>1021</v>
      </c>
      <c r="E63" s="306" t="s">
        <v>1827</v>
      </c>
      <c r="F63" s="307"/>
      <c r="G63" s="297" t="s">
        <v>272</v>
      </c>
      <c r="H63" s="308" t="str">
        <f t="shared" si="14"/>
        <v>MEP-SS0-3</v>
      </c>
      <c r="I63" s="309">
        <v>3</v>
      </c>
      <c r="J63" s="310">
        <v>1</v>
      </c>
    </row>
    <row r="64" spans="2:13" ht="12.75" customHeight="1" outlineLevel="2">
      <c r="B64" s="297" t="s">
        <v>1465</v>
      </c>
      <c r="C64" s="17" t="s">
        <v>1798</v>
      </c>
      <c r="D64" s="298" t="s">
        <v>506</v>
      </c>
      <c r="E64" s="306" t="s">
        <v>1828</v>
      </c>
      <c r="F64" s="307"/>
      <c r="G64" s="297" t="s">
        <v>272</v>
      </c>
      <c r="H64" s="308" t="str">
        <f t="shared" si="14"/>
        <v>MEP-SS0-3</v>
      </c>
      <c r="I64" s="309">
        <v>3</v>
      </c>
      <c r="J64" s="310">
        <v>1</v>
      </c>
    </row>
    <row r="65" spans="1:10" ht="12.75" customHeight="1" outlineLevel="2">
      <c r="B65" s="297" t="s">
        <v>1465</v>
      </c>
      <c r="C65" s="17" t="s">
        <v>1798</v>
      </c>
      <c r="D65" s="298">
        <v>1014</v>
      </c>
      <c r="E65" s="306" t="s">
        <v>1829</v>
      </c>
      <c r="F65" s="307"/>
      <c r="G65" s="297" t="s">
        <v>272</v>
      </c>
      <c r="H65" s="308" t="str">
        <f t="shared" si="14"/>
        <v>MEP-SS0-3</v>
      </c>
      <c r="I65" s="309">
        <v>3</v>
      </c>
      <c r="J65" s="310">
        <v>1</v>
      </c>
    </row>
    <row r="66" spans="1:10" ht="12.75" customHeight="1" outlineLevel="2">
      <c r="B66" s="297" t="s">
        <v>1465</v>
      </c>
      <c r="C66" s="17" t="s">
        <v>1801</v>
      </c>
      <c r="D66" s="298" t="s">
        <v>506</v>
      </c>
      <c r="E66" s="306" t="s">
        <v>1830</v>
      </c>
      <c r="F66" s="307"/>
      <c r="G66" s="297" t="s">
        <v>272</v>
      </c>
      <c r="H66" s="308" t="str">
        <f t="shared" si="12"/>
        <v>MEP-SS0-3</v>
      </c>
      <c r="I66" s="309">
        <v>3</v>
      </c>
      <c r="J66" s="310">
        <v>1</v>
      </c>
    </row>
    <row r="67" spans="1:10" ht="12.75" customHeight="1" outlineLevel="2">
      <c r="B67" s="297" t="s">
        <v>1465</v>
      </c>
      <c r="C67" s="17" t="s">
        <v>1801</v>
      </c>
      <c r="D67" s="298">
        <v>1012</v>
      </c>
      <c r="E67" s="306" t="s">
        <v>1831</v>
      </c>
      <c r="F67" s="307"/>
      <c r="G67" s="297" t="s">
        <v>272</v>
      </c>
      <c r="H67" s="308" t="str">
        <f t="shared" si="12"/>
        <v>MEP-SS0-3</v>
      </c>
      <c r="I67" s="309">
        <v>3</v>
      </c>
      <c r="J67" s="310">
        <v>1</v>
      </c>
    </row>
    <row r="68" spans="1:10" ht="12.75" customHeight="1" outlineLevel="2">
      <c r="B68" s="297" t="s">
        <v>1465</v>
      </c>
      <c r="C68" s="17" t="s">
        <v>1801</v>
      </c>
      <c r="D68" s="298">
        <v>1011</v>
      </c>
      <c r="E68" s="306" t="s">
        <v>1828</v>
      </c>
      <c r="F68" s="307"/>
      <c r="G68" s="297" t="s">
        <v>272</v>
      </c>
      <c r="H68" s="308" t="str">
        <f t="shared" si="12"/>
        <v>MEP-SS0-3</v>
      </c>
      <c r="I68" s="309">
        <v>3</v>
      </c>
      <c r="J68" s="310">
        <v>1</v>
      </c>
    </row>
    <row r="69" spans="1:10" ht="12.75" customHeight="1" outlineLevel="2">
      <c r="B69" s="297" t="s">
        <v>1465</v>
      </c>
      <c r="C69" s="17" t="s">
        <v>1801</v>
      </c>
      <c r="D69" s="298">
        <v>1014</v>
      </c>
      <c r="E69" s="306" t="s">
        <v>1829</v>
      </c>
      <c r="F69" s="307"/>
      <c r="G69" s="297" t="s">
        <v>272</v>
      </c>
      <c r="H69" s="308" t="str">
        <f t="shared" si="12"/>
        <v>MEP-SS0-3</v>
      </c>
      <c r="I69" s="309">
        <v>3</v>
      </c>
      <c r="J69" s="310">
        <v>1</v>
      </c>
    </row>
    <row r="70" spans="1:10" ht="12.75" customHeight="1" outlineLevel="2">
      <c r="B70" s="297" t="s">
        <v>1465</v>
      </c>
      <c r="C70" s="17" t="s">
        <v>1802</v>
      </c>
      <c r="D70" s="298" t="s">
        <v>506</v>
      </c>
      <c r="E70" s="306" t="s">
        <v>1830</v>
      </c>
      <c r="F70" s="307"/>
      <c r="G70" s="297" t="s">
        <v>272</v>
      </c>
      <c r="H70" s="308" t="str">
        <f t="shared" si="12"/>
        <v>MEP-SS0-3</v>
      </c>
      <c r="I70" s="309">
        <v>3</v>
      </c>
      <c r="J70" s="310">
        <v>1</v>
      </c>
    </row>
    <row r="71" spans="1:10" ht="12.75" customHeight="1" outlineLevel="2">
      <c r="A71" s="304"/>
      <c r="B71" s="297" t="s">
        <v>1465</v>
      </c>
      <c r="C71" s="17" t="s">
        <v>1802</v>
      </c>
      <c r="D71" s="298">
        <v>1012</v>
      </c>
      <c r="E71" s="306" t="s">
        <v>1831</v>
      </c>
      <c r="F71" s="307"/>
      <c r="G71" s="297" t="s">
        <v>272</v>
      </c>
      <c r="H71" s="308" t="str">
        <f t="shared" si="12"/>
        <v>MEP-SS0-3</v>
      </c>
      <c r="I71" s="309">
        <v>3</v>
      </c>
      <c r="J71" s="310">
        <v>1</v>
      </c>
    </row>
    <row r="72" spans="1:10" ht="12.75" customHeight="1" outlineLevel="2">
      <c r="A72" s="304"/>
      <c r="B72" s="297" t="s">
        <v>1465</v>
      </c>
      <c r="C72" s="17" t="s">
        <v>1802</v>
      </c>
      <c r="D72" s="298">
        <v>1011</v>
      </c>
      <c r="E72" s="306" t="s">
        <v>1828</v>
      </c>
      <c r="F72" s="307"/>
      <c r="G72" s="297" t="s">
        <v>272</v>
      </c>
      <c r="H72" s="308" t="str">
        <f t="shared" ref="H72:H73" si="15">CONCATENATE("MEP-",G72,"-",I72)</f>
        <v>MEP-SS0-3</v>
      </c>
      <c r="I72" s="309">
        <v>3</v>
      </c>
      <c r="J72" s="310">
        <v>1</v>
      </c>
    </row>
    <row r="73" spans="1:10" ht="12.75" customHeight="1" outlineLevel="2">
      <c r="A73" s="304"/>
      <c r="B73" s="297" t="s">
        <v>1465</v>
      </c>
      <c r="C73" s="17" t="s">
        <v>1802</v>
      </c>
      <c r="D73" s="298">
        <v>1014</v>
      </c>
      <c r="E73" s="306" t="s">
        <v>1829</v>
      </c>
      <c r="F73" s="307"/>
      <c r="G73" s="297" t="s">
        <v>272</v>
      </c>
      <c r="H73" s="308" t="str">
        <f t="shared" si="15"/>
        <v>MEP-SS0-3</v>
      </c>
      <c r="I73" s="309">
        <v>3</v>
      </c>
      <c r="J73" s="310">
        <v>1</v>
      </c>
    </row>
    <row r="74" spans="1:10" ht="3" customHeight="1">
      <c r="A74" s="304"/>
      <c r="B74" s="297"/>
      <c r="D74" s="298"/>
      <c r="E74" s="306"/>
      <c r="F74" s="307"/>
      <c r="G74" s="297"/>
      <c r="H74" s="314"/>
      <c r="I74" s="309"/>
    </row>
    <row r="75" spans="1:10" s="18" customFormat="1" ht="12.75" customHeight="1">
      <c r="A75" s="288" t="s">
        <v>1832</v>
      </c>
      <c r="B75" s="297"/>
      <c r="C75" s="297"/>
      <c r="D75" s="298"/>
      <c r="E75" s="299"/>
      <c r="F75" s="46"/>
      <c r="G75" s="41" t="s">
        <v>257</v>
      </c>
      <c r="H75" s="41" t="s">
        <v>258</v>
      </c>
      <c r="I75" s="42" t="s">
        <v>259</v>
      </c>
      <c r="J75" s="300"/>
    </row>
    <row r="76" spans="1:10" s="18" customFormat="1" ht="12.75" customHeight="1" outlineLevel="1">
      <c r="A76" s="288"/>
      <c r="B76" s="297"/>
      <c r="C76" s="297"/>
      <c r="D76" s="298"/>
      <c r="E76" s="299"/>
      <c r="F76" s="46"/>
      <c r="G76" s="46"/>
      <c r="H76" s="46"/>
      <c r="I76" s="302"/>
      <c r="J76" s="300"/>
    </row>
    <row r="77" spans="1:10" s="18" customFormat="1" ht="12.75" customHeight="1" outlineLevel="1">
      <c r="A77" s="288"/>
      <c r="B77" s="301" t="s">
        <v>1796</v>
      </c>
      <c r="C77" s="297"/>
      <c r="D77" s="298"/>
      <c r="E77" s="299"/>
      <c r="F77" s="46"/>
      <c r="G77" s="46"/>
      <c r="H77" s="46"/>
      <c r="I77" s="302"/>
      <c r="J77" s="300"/>
    </row>
    <row r="78" spans="1:10" s="18" customFormat="1" ht="12.75" customHeight="1" outlineLevel="2">
      <c r="A78" s="288"/>
      <c r="B78" s="316" t="s">
        <v>1833</v>
      </c>
      <c r="C78" s="297"/>
      <c r="D78" s="298"/>
      <c r="E78" s="299"/>
      <c r="F78" s="46"/>
      <c r="G78" s="46"/>
      <c r="H78" s="46"/>
      <c r="I78" s="302"/>
      <c r="J78" s="300"/>
    </row>
    <row r="79" spans="1:10" s="18" customFormat="1" ht="12.75" customHeight="1" outlineLevel="2">
      <c r="A79" s="288"/>
      <c r="B79" s="316"/>
      <c r="C79" s="297"/>
      <c r="D79" s="298"/>
      <c r="E79" s="299" t="s">
        <v>1834</v>
      </c>
      <c r="F79" s="46"/>
      <c r="G79" s="46"/>
      <c r="H79" s="46"/>
      <c r="I79" s="302"/>
      <c r="J79" s="300"/>
    </row>
    <row r="80" spans="1:10" s="18" customFormat="1" ht="12.75" customHeight="1" outlineLevel="3">
      <c r="A80" s="288"/>
      <c r="B80" s="297" t="s">
        <v>1797</v>
      </c>
      <c r="C80" s="297" t="s">
        <v>63</v>
      </c>
      <c r="D80" s="298">
        <v>1281</v>
      </c>
      <c r="E80" s="299" t="s">
        <v>1835</v>
      </c>
      <c r="F80" s="46"/>
      <c r="G80" s="297" t="s">
        <v>63</v>
      </c>
      <c r="H80" s="308" t="str">
        <f>CONCATENATE("MEP-",G80,"-",I80)</f>
        <v>MEP-T01-07-9</v>
      </c>
      <c r="I80" s="302">
        <v>9</v>
      </c>
      <c r="J80" s="300">
        <v>1</v>
      </c>
    </row>
    <row r="81" spans="1:10" s="18" customFormat="1" ht="12.75" customHeight="1" outlineLevel="3">
      <c r="A81" s="288"/>
      <c r="B81" s="297" t="s">
        <v>1797</v>
      </c>
      <c r="C81" s="297" t="s">
        <v>63</v>
      </c>
      <c r="D81" s="298">
        <v>1295</v>
      </c>
      <c r="E81" s="299" t="s">
        <v>1836</v>
      </c>
      <c r="F81" s="46"/>
      <c r="G81" s="297" t="s">
        <v>63</v>
      </c>
      <c r="H81" s="308" t="str">
        <f>CONCATENATE("MEP-",G81,"-",I81)</f>
        <v>MEP-T01-07-9</v>
      </c>
      <c r="I81" s="302">
        <v>9</v>
      </c>
      <c r="J81" s="300">
        <v>1</v>
      </c>
    </row>
    <row r="82" spans="1:10" s="18" customFormat="1" ht="12.75" customHeight="1" outlineLevel="3">
      <c r="A82" s="288"/>
      <c r="B82" s="297" t="s">
        <v>1797</v>
      </c>
      <c r="C82" s="297" t="s">
        <v>63</v>
      </c>
      <c r="D82" s="298">
        <v>1275</v>
      </c>
      <c r="E82" s="299" t="s">
        <v>1837</v>
      </c>
      <c r="F82" s="46"/>
      <c r="G82" s="297" t="s">
        <v>63</v>
      </c>
      <c r="H82" s="308" t="str">
        <f>CONCATENATE("MEP-",G82,"-",I82)</f>
        <v>MEP-T01-07-9</v>
      </c>
      <c r="I82" s="302">
        <v>9</v>
      </c>
      <c r="J82" s="300">
        <v>1</v>
      </c>
    </row>
    <row r="83" spans="1:10" s="18" customFormat="1" ht="12.75" customHeight="1" outlineLevel="3">
      <c r="A83" s="288"/>
      <c r="B83" s="297" t="s">
        <v>1797</v>
      </c>
      <c r="C83" s="297" t="s">
        <v>63</v>
      </c>
      <c r="D83" s="298">
        <v>1287</v>
      </c>
      <c r="E83" s="299" t="s">
        <v>1838</v>
      </c>
      <c r="F83" s="46"/>
      <c r="G83" s="297" t="s">
        <v>63</v>
      </c>
      <c r="H83" s="308" t="str">
        <f>CONCATENATE("MEP-",G83,"-",I83)</f>
        <v>MEP-T01-07-9</v>
      </c>
      <c r="I83" s="302">
        <v>9</v>
      </c>
      <c r="J83" s="300">
        <v>1</v>
      </c>
    </row>
    <row r="84" spans="1:10" s="18" customFormat="1" ht="12.75" customHeight="1" outlineLevel="2">
      <c r="A84" s="288"/>
      <c r="B84" s="316" t="s">
        <v>1839</v>
      </c>
      <c r="C84" s="297"/>
      <c r="D84" s="298"/>
      <c r="E84" s="299"/>
      <c r="F84" s="46"/>
      <c r="G84" s="46"/>
      <c r="H84" s="46"/>
      <c r="I84" s="302"/>
      <c r="J84" s="300"/>
    </row>
    <row r="85" spans="1:10" s="18" customFormat="1" ht="12.75" customHeight="1" outlineLevel="3">
      <c r="A85" s="288"/>
      <c r="B85" s="297" t="s">
        <v>1797</v>
      </c>
      <c r="C85" s="297" t="s">
        <v>63</v>
      </c>
      <c r="D85" s="298">
        <v>4101</v>
      </c>
      <c r="E85" s="299" t="s">
        <v>1840</v>
      </c>
      <c r="F85" s="46"/>
      <c r="G85" s="297" t="s">
        <v>63</v>
      </c>
      <c r="H85" s="308" t="str">
        <f>CONCATENATE("MEP-",G85,"-",I85)</f>
        <v>MEP-T01-07-7</v>
      </c>
      <c r="I85" s="302">
        <v>7</v>
      </c>
      <c r="J85" s="300">
        <v>1</v>
      </c>
    </row>
    <row r="86" spans="1:10" s="18" customFormat="1" ht="12.75" customHeight="1" outlineLevel="3">
      <c r="A86" s="288"/>
      <c r="B86" s="297" t="s">
        <v>1797</v>
      </c>
      <c r="C86" s="297" t="s">
        <v>63</v>
      </c>
      <c r="D86" s="298">
        <v>4102</v>
      </c>
      <c r="E86" s="299" t="s">
        <v>1840</v>
      </c>
      <c r="F86" s="46"/>
      <c r="G86" s="297" t="s">
        <v>63</v>
      </c>
      <c r="H86" s="308" t="str">
        <f>CONCATENATE("MEP-",G86,"-",I86)</f>
        <v>MEP-T01-07-7</v>
      </c>
      <c r="I86" s="302">
        <v>7</v>
      </c>
      <c r="J86" s="300">
        <v>1</v>
      </c>
    </row>
    <row r="87" spans="1:10" s="18" customFormat="1" ht="12.75" customHeight="1" outlineLevel="3">
      <c r="B87" s="297" t="s">
        <v>1797</v>
      </c>
      <c r="C87" s="297" t="s">
        <v>63</v>
      </c>
      <c r="D87" s="298">
        <v>4103</v>
      </c>
      <c r="E87" s="299" t="s">
        <v>1841</v>
      </c>
      <c r="F87" s="46"/>
      <c r="G87" s="297" t="s">
        <v>63</v>
      </c>
      <c r="H87" s="308" t="str">
        <f>CONCATENATE("MEP-",G87,"-",I87)</f>
        <v>MEP-T01-07-7</v>
      </c>
      <c r="I87" s="302">
        <v>7</v>
      </c>
      <c r="J87" s="300">
        <v>1</v>
      </c>
    </row>
    <row r="88" spans="1:10" s="18" customFormat="1" ht="12.75" customHeight="1" outlineLevel="3">
      <c r="B88" s="297" t="s">
        <v>1797</v>
      </c>
      <c r="C88" s="297" t="s">
        <v>63</v>
      </c>
      <c r="D88" s="298">
        <v>4104</v>
      </c>
      <c r="E88" s="299" t="s">
        <v>1841</v>
      </c>
      <c r="F88" s="46"/>
      <c r="G88" s="297" t="s">
        <v>63</v>
      </c>
      <c r="H88" s="308" t="str">
        <f>CONCATENATE("MEP-",G88,"-",I88)</f>
        <v>MEP-T01-07-7</v>
      </c>
      <c r="I88" s="302">
        <v>7</v>
      </c>
      <c r="J88" s="300">
        <v>1</v>
      </c>
    </row>
    <row r="89" spans="1:10" s="18" customFormat="1" ht="12.75" customHeight="1" outlineLevel="2">
      <c r="B89" s="316" t="s">
        <v>1842</v>
      </c>
      <c r="C89" s="297"/>
      <c r="D89" s="298"/>
      <c r="E89" s="299"/>
      <c r="F89" s="46"/>
      <c r="G89" s="46"/>
      <c r="H89" s="46"/>
      <c r="I89" s="302"/>
      <c r="J89" s="300"/>
    </row>
    <row r="90" spans="1:10" s="18" customFormat="1" ht="12.75" customHeight="1" outlineLevel="3">
      <c r="B90" s="297" t="s">
        <v>1797</v>
      </c>
      <c r="C90" s="297" t="s">
        <v>63</v>
      </c>
      <c r="D90" s="298">
        <v>9001</v>
      </c>
      <c r="E90" s="299" t="s">
        <v>1843</v>
      </c>
      <c r="F90" s="46"/>
      <c r="G90" s="297" t="s">
        <v>63</v>
      </c>
      <c r="H90" s="308" t="str">
        <f>CONCATENATE("MEP-",G90,"-",I90)</f>
        <v>MEP-T01-07-4</v>
      </c>
      <c r="I90" s="302">
        <v>4</v>
      </c>
      <c r="J90" s="300">
        <v>1</v>
      </c>
    </row>
    <row r="91" spans="1:10" s="18" customFormat="1" ht="12.75" customHeight="1" outlineLevel="2">
      <c r="B91" s="316" t="s">
        <v>1844</v>
      </c>
      <c r="C91" s="297"/>
      <c r="D91" s="298"/>
      <c r="E91" s="299"/>
      <c r="F91" s="46"/>
      <c r="G91" s="46"/>
      <c r="H91" s="46"/>
      <c r="I91" s="302"/>
      <c r="J91" s="300"/>
    </row>
    <row r="92" spans="1:10" s="18" customFormat="1" ht="12.75" customHeight="1" outlineLevel="3">
      <c r="B92" s="297" t="s">
        <v>1797</v>
      </c>
      <c r="C92" s="297" t="s">
        <v>1845</v>
      </c>
      <c r="D92" s="298">
        <v>4001</v>
      </c>
      <c r="E92" s="299" t="s">
        <v>1846</v>
      </c>
      <c r="F92" s="46"/>
      <c r="G92" s="297" t="s">
        <v>63</v>
      </c>
      <c r="H92" s="308" t="str">
        <f>CONCATENATE("MEP-",G92,"-",I92)</f>
        <v>MEP-T01-07-9</v>
      </c>
      <c r="I92" s="302">
        <v>9</v>
      </c>
      <c r="J92" s="300">
        <v>1</v>
      </c>
    </row>
    <row r="93" spans="1:10" s="18" customFormat="1" ht="12.75" customHeight="1" outlineLevel="3">
      <c r="B93" s="297" t="s">
        <v>1797</v>
      </c>
      <c r="C93" s="297" t="s">
        <v>1845</v>
      </c>
      <c r="D93" s="298">
        <v>4002</v>
      </c>
      <c r="E93" s="299" t="s">
        <v>1846</v>
      </c>
      <c r="F93" s="46"/>
      <c r="G93" s="297" t="s">
        <v>63</v>
      </c>
      <c r="H93" s="308" t="str">
        <f>CONCATENATE("MEP-",G93,"-",I93)</f>
        <v>MEP-T01-07-9</v>
      </c>
      <c r="I93" s="302">
        <v>9</v>
      </c>
      <c r="J93" s="300">
        <v>1</v>
      </c>
    </row>
    <row r="94" spans="1:10" s="18" customFormat="1" ht="12.75" customHeight="1" outlineLevel="3">
      <c r="B94" s="297" t="s">
        <v>1797</v>
      </c>
      <c r="C94" s="297" t="s">
        <v>1845</v>
      </c>
      <c r="D94" s="298">
        <v>4003</v>
      </c>
      <c r="E94" s="299" t="s">
        <v>1847</v>
      </c>
      <c r="F94" s="46"/>
      <c r="G94" s="297" t="s">
        <v>63</v>
      </c>
      <c r="H94" s="308" t="str">
        <f>CONCATENATE("MEP-",G94,"-",I94)</f>
        <v>MEP-T01-07-9</v>
      </c>
      <c r="I94" s="302">
        <v>9</v>
      </c>
      <c r="J94" s="300">
        <v>1</v>
      </c>
    </row>
    <row r="95" spans="1:10" s="18" customFormat="1" ht="12.75" customHeight="1" outlineLevel="1">
      <c r="B95" s="297"/>
      <c r="C95" s="297"/>
      <c r="D95" s="298"/>
      <c r="E95" s="299"/>
      <c r="F95" s="46"/>
      <c r="G95" s="46"/>
      <c r="H95" s="46"/>
      <c r="I95" s="302"/>
      <c r="J95" s="300"/>
    </row>
    <row r="96" spans="1:10" s="18" customFormat="1" ht="12.75" customHeight="1" outlineLevel="1">
      <c r="B96" s="301" t="s">
        <v>1810</v>
      </c>
      <c r="C96" s="297"/>
      <c r="D96" s="298"/>
      <c r="E96" s="299"/>
      <c r="F96" s="46"/>
      <c r="G96" s="46"/>
      <c r="H96" s="46"/>
      <c r="I96" s="302"/>
      <c r="J96" s="300"/>
    </row>
    <row r="97" spans="2:10" s="18" customFormat="1" ht="12.75" customHeight="1" outlineLevel="2">
      <c r="B97" s="316" t="s">
        <v>1848</v>
      </c>
      <c r="C97" s="297"/>
      <c r="D97" s="298"/>
      <c r="E97" s="299"/>
      <c r="F97" s="46"/>
      <c r="G97" s="46"/>
      <c r="H97" s="46"/>
      <c r="I97" s="302"/>
      <c r="J97" s="300"/>
    </row>
    <row r="98" spans="2:10" s="18" customFormat="1" ht="12.75" customHeight="1" outlineLevel="3">
      <c r="B98" s="297" t="s">
        <v>1811</v>
      </c>
      <c r="C98" s="297" t="s">
        <v>63</v>
      </c>
      <c r="D98" s="298">
        <v>1281</v>
      </c>
      <c r="E98" s="299" t="s">
        <v>1849</v>
      </c>
      <c r="F98" s="46"/>
      <c r="G98" s="297" t="s">
        <v>63</v>
      </c>
      <c r="H98" s="308" t="str">
        <f>CONCATENATE("MEP-",G98,"-",I98)</f>
        <v>MEP-T01-07-9</v>
      </c>
      <c r="I98" s="302">
        <v>9</v>
      </c>
      <c r="J98" s="300">
        <v>1</v>
      </c>
    </row>
    <row r="99" spans="2:10" s="18" customFormat="1" ht="12.75" customHeight="1" outlineLevel="3">
      <c r="B99" s="297" t="s">
        <v>1811</v>
      </c>
      <c r="C99" s="297" t="s">
        <v>63</v>
      </c>
      <c r="D99" s="298">
        <v>1291</v>
      </c>
      <c r="E99" s="299" t="s">
        <v>1849</v>
      </c>
      <c r="F99" s="46"/>
      <c r="G99" s="297" t="s">
        <v>63</v>
      </c>
      <c r="H99" s="308" t="str">
        <f>CONCATENATE("MEP-",G99,"-",I99)</f>
        <v>MEP-T01-07-9</v>
      </c>
      <c r="I99" s="302">
        <v>9</v>
      </c>
      <c r="J99" s="300">
        <v>1</v>
      </c>
    </row>
    <row r="100" spans="2:10" s="18" customFormat="1" ht="12.75" customHeight="1" outlineLevel="3">
      <c r="B100" s="297" t="s">
        <v>1811</v>
      </c>
      <c r="C100" s="297" t="s">
        <v>63</v>
      </c>
      <c r="D100" s="298">
        <v>1005</v>
      </c>
      <c r="E100" s="299" t="s">
        <v>1850</v>
      </c>
      <c r="F100" s="46"/>
      <c r="G100" s="297" t="s">
        <v>63</v>
      </c>
      <c r="H100" s="308" t="str">
        <f>CONCATENATE("MEP-",G100,"-",I100)</f>
        <v>MEP-T01-07-9</v>
      </c>
      <c r="I100" s="302">
        <v>9</v>
      </c>
      <c r="J100" s="300">
        <v>1</v>
      </c>
    </row>
    <row r="101" spans="2:10" s="18" customFormat="1" ht="12.75" customHeight="1" outlineLevel="3">
      <c r="B101" s="297" t="s">
        <v>1811</v>
      </c>
      <c r="C101" s="297" t="s">
        <v>63</v>
      </c>
      <c r="D101" s="298">
        <v>1007</v>
      </c>
      <c r="E101" s="299" t="s">
        <v>1851</v>
      </c>
      <c r="F101" s="46"/>
      <c r="G101" s="297" t="s">
        <v>63</v>
      </c>
      <c r="H101" s="308" t="str">
        <f>CONCATENATE("MEP-",G101,"-",I101)</f>
        <v>MEP-T01-07-9</v>
      </c>
      <c r="I101" s="302">
        <v>9</v>
      </c>
      <c r="J101" s="300">
        <v>1</v>
      </c>
    </row>
    <row r="102" spans="2:10" s="18" customFormat="1" ht="12.75" customHeight="1" outlineLevel="3">
      <c r="B102" s="297" t="s">
        <v>1811</v>
      </c>
      <c r="C102" s="297" t="s">
        <v>63</v>
      </c>
      <c r="D102" s="298">
        <v>1008</v>
      </c>
      <c r="E102" s="299" t="s">
        <v>1852</v>
      </c>
      <c r="F102" s="46"/>
      <c r="G102" s="297" t="s">
        <v>63</v>
      </c>
      <c r="H102" s="308" t="str">
        <f>CONCATENATE("MEP-",G102,"-",I102)</f>
        <v>MEP-T01-07-1</v>
      </c>
      <c r="I102" s="302">
        <v>1</v>
      </c>
      <c r="J102" s="300">
        <v>1</v>
      </c>
    </row>
    <row r="103" spans="2:10" s="18" customFormat="1" ht="12.75" customHeight="1" outlineLevel="2">
      <c r="B103" s="316" t="s">
        <v>1839</v>
      </c>
      <c r="C103" s="297"/>
      <c r="D103" s="298"/>
      <c r="E103" s="299"/>
      <c r="F103" s="46"/>
      <c r="G103" s="46"/>
      <c r="H103" s="46"/>
      <c r="I103" s="302"/>
      <c r="J103" s="300"/>
    </row>
    <row r="104" spans="2:10" s="18" customFormat="1" ht="12.75" customHeight="1" outlineLevel="3">
      <c r="B104" s="297" t="s">
        <v>1811</v>
      </c>
      <c r="C104" s="297" t="s">
        <v>63</v>
      </c>
      <c r="D104" s="298">
        <v>4101</v>
      </c>
      <c r="E104" s="299" t="s">
        <v>1853</v>
      </c>
      <c r="F104" s="46"/>
      <c r="G104" s="297" t="s">
        <v>63</v>
      </c>
      <c r="H104" s="308" t="str">
        <f>CONCATENATE("MEP-",G104,"-",I104)</f>
        <v>MEP-T01-07-7</v>
      </c>
      <c r="I104" s="302">
        <v>7</v>
      </c>
      <c r="J104" s="300">
        <v>1</v>
      </c>
    </row>
    <row r="105" spans="2:10" s="18" customFormat="1" ht="12.75" customHeight="1" outlineLevel="2">
      <c r="B105" s="316" t="s">
        <v>1854</v>
      </c>
      <c r="C105" s="297"/>
      <c r="D105" s="298"/>
      <c r="E105" s="299"/>
      <c r="F105" s="46"/>
      <c r="G105" s="46"/>
      <c r="H105" s="46"/>
      <c r="I105" s="302"/>
      <c r="J105" s="300"/>
    </row>
    <row r="106" spans="2:10" s="18" customFormat="1" ht="12.75" customHeight="1" outlineLevel="3">
      <c r="B106" s="297" t="s">
        <v>1811</v>
      </c>
      <c r="C106" s="297" t="s">
        <v>63</v>
      </c>
      <c r="D106" s="298">
        <v>9001</v>
      </c>
      <c r="E106" s="299" t="s">
        <v>1855</v>
      </c>
      <c r="F106" s="46"/>
      <c r="G106" s="297" t="s">
        <v>63</v>
      </c>
      <c r="H106" s="308" t="str">
        <f>CONCATENATE("MEP-",G106,"-",I106)</f>
        <v>MEP-T01-07-4</v>
      </c>
      <c r="I106" s="302">
        <v>4</v>
      </c>
      <c r="J106" s="300">
        <v>1</v>
      </c>
    </row>
    <row r="107" spans="2:10" s="18" customFormat="1" ht="12.75" customHeight="1" outlineLevel="3">
      <c r="B107" s="297" t="s">
        <v>1811</v>
      </c>
      <c r="C107" s="297" t="s">
        <v>63</v>
      </c>
      <c r="D107" s="298">
        <v>9002</v>
      </c>
      <c r="E107" s="299" t="s">
        <v>1856</v>
      </c>
      <c r="F107" s="46"/>
      <c r="G107" s="297" t="s">
        <v>63</v>
      </c>
      <c r="H107" s="308" t="str">
        <f>CONCATENATE("MEP-",G107,"-",I107)</f>
        <v>MEP-T01-07-4</v>
      </c>
      <c r="I107" s="302">
        <v>4</v>
      </c>
      <c r="J107" s="300">
        <v>1</v>
      </c>
    </row>
    <row r="108" spans="2:10" s="18" customFormat="1" ht="12.75" customHeight="1" outlineLevel="3">
      <c r="B108" s="297" t="s">
        <v>1811</v>
      </c>
      <c r="C108" s="297" t="s">
        <v>63</v>
      </c>
      <c r="D108" s="298">
        <v>9003</v>
      </c>
      <c r="E108" s="299" t="s">
        <v>1857</v>
      </c>
      <c r="F108" s="46"/>
      <c r="G108" s="297" t="s">
        <v>63</v>
      </c>
      <c r="H108" s="308" t="str">
        <f>CONCATENATE("MEP-",G108,"-",I108)</f>
        <v>MEP-T01-07-4</v>
      </c>
      <c r="I108" s="302">
        <v>4</v>
      </c>
      <c r="J108" s="300">
        <v>1</v>
      </c>
    </row>
    <row r="109" spans="2:10" s="18" customFormat="1" ht="12.75" customHeight="1" outlineLevel="3">
      <c r="B109" s="297" t="s">
        <v>1811</v>
      </c>
      <c r="C109" s="297" t="s">
        <v>63</v>
      </c>
      <c r="D109" s="298">
        <v>9006</v>
      </c>
      <c r="E109" s="299" t="s">
        <v>1858</v>
      </c>
      <c r="F109" s="46"/>
      <c r="G109" s="297" t="s">
        <v>63</v>
      </c>
      <c r="H109" s="308" t="str">
        <f>CONCATENATE("MEP-",G109,"-",I109)</f>
        <v>MEP-T01-07-4</v>
      </c>
      <c r="I109" s="302">
        <v>4</v>
      </c>
      <c r="J109" s="300">
        <v>1</v>
      </c>
    </row>
    <row r="110" spans="2:10" s="18" customFormat="1" ht="12.75" customHeight="1" outlineLevel="2">
      <c r="B110" s="316" t="s">
        <v>1859</v>
      </c>
      <c r="C110" s="297"/>
      <c r="D110" s="298"/>
      <c r="E110" s="299"/>
      <c r="F110" s="46"/>
      <c r="G110" s="46"/>
      <c r="H110" s="46"/>
      <c r="I110" s="302"/>
      <c r="J110" s="300"/>
    </row>
    <row r="111" spans="2:10" s="18" customFormat="1" ht="12.75" customHeight="1" outlineLevel="3">
      <c r="B111" s="297" t="s">
        <v>1811</v>
      </c>
      <c r="C111" s="297" t="s">
        <v>63</v>
      </c>
      <c r="D111" s="298">
        <v>1015</v>
      </c>
      <c r="E111" s="299" t="s">
        <v>1860</v>
      </c>
      <c r="F111" s="46"/>
      <c r="G111" s="297" t="s">
        <v>63</v>
      </c>
      <c r="H111" s="308" t="str">
        <f>CONCATENATE("MEP-",G111,"-",I111)</f>
        <v>MEP-T01-07-4</v>
      </c>
      <c r="I111" s="302">
        <v>4</v>
      </c>
      <c r="J111" s="300">
        <v>1</v>
      </c>
    </row>
    <row r="112" spans="2:10" s="18" customFormat="1" ht="12.75" customHeight="1" outlineLevel="3">
      <c r="B112" s="297" t="s">
        <v>1811</v>
      </c>
      <c r="C112" s="297" t="s">
        <v>63</v>
      </c>
      <c r="D112" s="298" t="s">
        <v>1861</v>
      </c>
      <c r="E112" s="299" t="s">
        <v>1862</v>
      </c>
      <c r="F112" s="46"/>
      <c r="G112" s="297" t="s">
        <v>63</v>
      </c>
      <c r="H112" s="308" t="str">
        <f>CONCATENATE("MEP-",G112,"-",I112)</f>
        <v>MEP-T01-07-4</v>
      </c>
      <c r="I112" s="302">
        <v>4</v>
      </c>
      <c r="J112" s="300">
        <v>1</v>
      </c>
    </row>
    <row r="113" spans="2:10" s="18" customFormat="1" ht="12.75" customHeight="1" outlineLevel="3">
      <c r="B113" s="297" t="s">
        <v>1811</v>
      </c>
      <c r="C113" s="297" t="s">
        <v>63</v>
      </c>
      <c r="D113" s="298" t="s">
        <v>1863</v>
      </c>
      <c r="E113" s="299" t="s">
        <v>1864</v>
      </c>
      <c r="F113" s="46"/>
      <c r="G113" s="297" t="s">
        <v>63</v>
      </c>
      <c r="H113" s="308" t="str">
        <f>CONCATENATE("MEP-",G113,"-",I113)</f>
        <v>MEP-T01-07-4</v>
      </c>
      <c r="I113" s="302">
        <v>4</v>
      </c>
      <c r="J113" s="300">
        <v>1</v>
      </c>
    </row>
    <row r="114" spans="2:10" s="18" customFormat="1" ht="12.75" customHeight="1" outlineLevel="3">
      <c r="B114" s="297" t="s">
        <v>1811</v>
      </c>
      <c r="C114" s="297" t="s">
        <v>63</v>
      </c>
      <c r="D114" s="298" t="s">
        <v>1865</v>
      </c>
      <c r="E114" s="299" t="s">
        <v>1866</v>
      </c>
      <c r="F114" s="46"/>
      <c r="G114" s="297" t="s">
        <v>63</v>
      </c>
      <c r="H114" s="308" t="str">
        <f>CONCATENATE("MEP-",G114,"-",I114)</f>
        <v>MEP-T01-07-8</v>
      </c>
      <c r="I114" s="302">
        <v>8</v>
      </c>
      <c r="J114" s="300">
        <v>1</v>
      </c>
    </row>
    <row r="115" spans="2:10" s="18" customFormat="1" ht="12.75" customHeight="1" outlineLevel="3">
      <c r="B115" s="297" t="s">
        <v>1811</v>
      </c>
      <c r="C115" s="297" t="s">
        <v>63</v>
      </c>
      <c r="D115" s="298" t="s">
        <v>1867</v>
      </c>
      <c r="E115" s="299" t="s">
        <v>1868</v>
      </c>
      <c r="F115" s="46"/>
      <c r="G115" s="297" t="s">
        <v>63</v>
      </c>
      <c r="H115" s="308" t="str">
        <f>CONCATENATE("MEP-",G115,"-",I115)</f>
        <v>MEP-T01-07-8</v>
      </c>
      <c r="I115" s="302">
        <v>8</v>
      </c>
      <c r="J115" s="300">
        <v>1</v>
      </c>
    </row>
    <row r="116" spans="2:10" s="18" customFormat="1" ht="12.75" customHeight="1" outlineLevel="2">
      <c r="B116" s="316" t="s">
        <v>1869</v>
      </c>
      <c r="C116" s="297"/>
      <c r="D116" s="298"/>
      <c r="E116" s="299"/>
      <c r="F116" s="46"/>
      <c r="G116" s="46"/>
      <c r="H116" s="46"/>
      <c r="I116" s="302"/>
      <c r="J116" s="300"/>
    </row>
    <row r="117" spans="2:10" s="18" customFormat="1" ht="12.75" customHeight="1" outlineLevel="3">
      <c r="B117" s="297" t="s">
        <v>1811</v>
      </c>
      <c r="C117" s="297" t="s">
        <v>63</v>
      </c>
      <c r="D117" s="298" t="s">
        <v>1870</v>
      </c>
      <c r="E117" s="299" t="s">
        <v>1871</v>
      </c>
      <c r="F117" s="46"/>
      <c r="G117" s="297" t="s">
        <v>63</v>
      </c>
      <c r="H117" s="308" t="str">
        <f>CONCATENATE("MEP-",G117,"-",I117)</f>
        <v>MEP-T01-07-4</v>
      </c>
      <c r="I117" s="302">
        <v>4</v>
      </c>
      <c r="J117" s="300">
        <v>1</v>
      </c>
    </row>
    <row r="118" spans="2:10" s="18" customFormat="1" ht="12.75" customHeight="1" outlineLevel="1"/>
    <row r="119" spans="2:10" s="18" customFormat="1" ht="12.75" customHeight="1" outlineLevel="1">
      <c r="B119" s="301" t="s">
        <v>1819</v>
      </c>
      <c r="C119" s="297"/>
      <c r="D119" s="298"/>
      <c r="E119" s="299"/>
      <c r="F119" s="46"/>
      <c r="G119" s="46"/>
      <c r="H119" s="46"/>
      <c r="I119" s="302"/>
      <c r="J119" s="300"/>
    </row>
    <row r="120" spans="2:10" s="18" customFormat="1" ht="12.75" customHeight="1" outlineLevel="2">
      <c r="B120" s="316" t="s">
        <v>1833</v>
      </c>
      <c r="C120" s="297"/>
      <c r="D120" s="298"/>
      <c r="E120" s="299"/>
      <c r="F120" s="46"/>
      <c r="G120" s="46"/>
      <c r="H120" s="46"/>
      <c r="I120" s="302"/>
      <c r="J120" s="300"/>
    </row>
    <row r="121" spans="2:10" s="18" customFormat="1" ht="12.75" customHeight="1" outlineLevel="3">
      <c r="B121" s="297" t="s">
        <v>1819</v>
      </c>
      <c r="C121" s="297" t="s">
        <v>63</v>
      </c>
      <c r="D121" s="298">
        <v>1001</v>
      </c>
      <c r="E121" s="299" t="s">
        <v>1872</v>
      </c>
      <c r="F121" s="46"/>
      <c r="G121" s="297" t="s">
        <v>63</v>
      </c>
      <c r="H121" s="308" t="str">
        <f>CONCATENATE("MEP-",G121,"-",I121)</f>
        <v>MEP-T01-07-9</v>
      </c>
      <c r="I121" s="302">
        <v>9</v>
      </c>
      <c r="J121" s="300">
        <v>1</v>
      </c>
    </row>
    <row r="122" spans="2:10" s="18" customFormat="1" ht="12.75" customHeight="1" outlineLevel="2">
      <c r="B122" s="316" t="s">
        <v>1873</v>
      </c>
      <c r="C122" s="297"/>
      <c r="D122" s="298"/>
      <c r="E122" s="299"/>
      <c r="F122" s="46"/>
      <c r="G122" s="46"/>
      <c r="H122" s="46"/>
      <c r="I122" s="302"/>
      <c r="J122" s="300"/>
    </row>
    <row r="123" spans="2:10" s="18" customFormat="1" ht="12.75" customHeight="1" outlineLevel="3">
      <c r="B123" s="297" t="s">
        <v>1819</v>
      </c>
      <c r="C123" s="297" t="s">
        <v>63</v>
      </c>
      <c r="D123" s="298" t="s">
        <v>1874</v>
      </c>
      <c r="E123" s="299" t="s">
        <v>1875</v>
      </c>
      <c r="F123" s="46"/>
      <c r="G123" s="297" t="s">
        <v>63</v>
      </c>
      <c r="H123" s="308" t="str">
        <f t="shared" ref="H123:H129" si="16">CONCATENATE("MEP-",G123,"-",I123)</f>
        <v>MEP-T01-07-4</v>
      </c>
      <c r="I123" s="302">
        <v>4</v>
      </c>
      <c r="J123" s="300">
        <v>1</v>
      </c>
    </row>
    <row r="124" spans="2:10" s="18" customFormat="1" ht="12.75" customHeight="1" outlineLevel="3">
      <c r="B124" s="297" t="s">
        <v>1819</v>
      </c>
      <c r="C124" s="297" t="s">
        <v>63</v>
      </c>
      <c r="D124" s="298">
        <v>1015</v>
      </c>
      <c r="E124" s="299" t="s">
        <v>1876</v>
      </c>
      <c r="F124" s="46"/>
      <c r="G124" s="297" t="s">
        <v>63</v>
      </c>
      <c r="H124" s="308" t="str">
        <f t="shared" si="16"/>
        <v>MEP-T01-07-4</v>
      </c>
      <c r="I124" s="302">
        <v>4</v>
      </c>
      <c r="J124" s="300">
        <v>1</v>
      </c>
    </row>
    <row r="125" spans="2:10" s="18" customFormat="1" ht="12.75" customHeight="1" outlineLevel="3">
      <c r="B125" s="297" t="s">
        <v>1819</v>
      </c>
      <c r="C125" s="297" t="s">
        <v>63</v>
      </c>
      <c r="D125" s="298">
        <v>1017</v>
      </c>
      <c r="E125" s="299" t="s">
        <v>1877</v>
      </c>
      <c r="F125" s="46"/>
      <c r="G125" s="297" t="s">
        <v>63</v>
      </c>
      <c r="H125" s="308" t="str">
        <f t="shared" si="16"/>
        <v>MEP-T01-07-4</v>
      </c>
      <c r="I125" s="302">
        <v>4</v>
      </c>
      <c r="J125" s="300">
        <v>1</v>
      </c>
    </row>
    <row r="126" spans="2:10" s="18" customFormat="1" ht="12.75" customHeight="1" outlineLevel="3">
      <c r="B126" s="297" t="s">
        <v>1819</v>
      </c>
      <c r="C126" s="297" t="s">
        <v>63</v>
      </c>
      <c r="D126" s="298">
        <v>1271</v>
      </c>
      <c r="E126" s="299" t="s">
        <v>1878</v>
      </c>
      <c r="F126" s="46"/>
      <c r="G126" s="297" t="s">
        <v>63</v>
      </c>
      <c r="H126" s="308" t="str">
        <f t="shared" si="16"/>
        <v>MEP-T01-07-8</v>
      </c>
      <c r="I126" s="302">
        <v>8</v>
      </c>
      <c r="J126" s="300">
        <v>1</v>
      </c>
    </row>
    <row r="127" spans="2:10" s="18" customFormat="1" ht="12.75" customHeight="1" outlineLevel="3">
      <c r="B127" s="297" t="s">
        <v>1819</v>
      </c>
      <c r="C127" s="297" t="s">
        <v>63</v>
      </c>
      <c r="D127" s="298">
        <v>1281</v>
      </c>
      <c r="E127" s="299" t="s">
        <v>1879</v>
      </c>
      <c r="F127" s="46"/>
      <c r="G127" s="297" t="s">
        <v>63</v>
      </c>
      <c r="H127" s="308" t="str">
        <f t="shared" si="16"/>
        <v>MEP-T01-07-8</v>
      </c>
      <c r="I127" s="302">
        <v>8</v>
      </c>
      <c r="J127" s="300">
        <v>1</v>
      </c>
    </row>
    <row r="128" spans="2:10" s="18" customFormat="1" ht="12.75" customHeight="1" outlineLevel="3">
      <c r="B128" s="297" t="s">
        <v>1819</v>
      </c>
      <c r="C128" s="297" t="s">
        <v>63</v>
      </c>
      <c r="D128" s="298">
        <v>1276</v>
      </c>
      <c r="E128" s="299" t="s">
        <v>1880</v>
      </c>
      <c r="F128" s="46"/>
      <c r="G128" s="297" t="s">
        <v>63</v>
      </c>
      <c r="H128" s="308" t="str">
        <f t="shared" si="16"/>
        <v>MEP-T01-07-8</v>
      </c>
      <c r="I128" s="302">
        <v>8</v>
      </c>
      <c r="J128" s="300">
        <v>1</v>
      </c>
    </row>
    <row r="129" spans="2:10" ht="12.75" customHeight="1" outlineLevel="3">
      <c r="B129" s="297" t="s">
        <v>1819</v>
      </c>
      <c r="C129" s="17" t="s">
        <v>63</v>
      </c>
      <c r="D129" s="298">
        <v>1286</v>
      </c>
      <c r="E129" s="306" t="s">
        <v>1881</v>
      </c>
      <c r="F129" s="307"/>
      <c r="G129" s="297" t="s">
        <v>63</v>
      </c>
      <c r="H129" s="308" t="str">
        <f t="shared" si="16"/>
        <v>MEP-T01-07-8</v>
      </c>
      <c r="I129" s="309">
        <v>8</v>
      </c>
      <c r="J129" s="310">
        <v>1</v>
      </c>
    </row>
    <row r="130" spans="2:10" ht="12.75" customHeight="1" outlineLevel="1">
      <c r="B130" s="297"/>
      <c r="D130" s="298"/>
      <c r="E130" s="306"/>
      <c r="F130" s="307"/>
      <c r="G130" s="297"/>
      <c r="H130" s="314"/>
      <c r="I130" s="309"/>
    </row>
    <row r="131" spans="2:10" ht="12.75" customHeight="1" outlineLevel="1">
      <c r="B131" s="301" t="s">
        <v>1821</v>
      </c>
      <c r="D131" s="298"/>
      <c r="E131" s="306"/>
      <c r="F131" s="307"/>
      <c r="G131" s="297"/>
      <c r="H131" s="314"/>
      <c r="I131" s="309"/>
    </row>
    <row r="132" spans="2:10" ht="12.75" customHeight="1" outlineLevel="2">
      <c r="B132" s="316" t="s">
        <v>1833</v>
      </c>
      <c r="D132" s="298"/>
      <c r="E132" s="306"/>
      <c r="F132" s="307"/>
      <c r="G132" s="297"/>
      <c r="H132" s="314"/>
      <c r="I132" s="309"/>
    </row>
    <row r="133" spans="2:10" ht="12.75" customHeight="1" outlineLevel="2">
      <c r="B133" s="297" t="s">
        <v>1822</v>
      </c>
      <c r="C133" s="17" t="s">
        <v>63</v>
      </c>
      <c r="D133" s="298">
        <v>1001</v>
      </c>
      <c r="E133" s="306" t="s">
        <v>1882</v>
      </c>
      <c r="F133" s="307"/>
      <c r="G133" s="297" t="s">
        <v>63</v>
      </c>
      <c r="H133" s="308" t="str">
        <f t="shared" ref="H133:H137" si="17">CONCATENATE("MEP-",G133,"-",I133)</f>
        <v>MEP-T01-07-8</v>
      </c>
      <c r="I133" s="309">
        <v>8</v>
      </c>
      <c r="J133" s="310">
        <v>1</v>
      </c>
    </row>
    <row r="134" spans="2:10" ht="12.75" customHeight="1" outlineLevel="2">
      <c r="B134" s="297" t="s">
        <v>1822</v>
      </c>
      <c r="C134" s="17" t="s">
        <v>63</v>
      </c>
      <c r="D134" s="298">
        <v>1002</v>
      </c>
      <c r="E134" s="306" t="s">
        <v>1883</v>
      </c>
      <c r="F134" s="307"/>
      <c r="G134" s="297" t="s">
        <v>63</v>
      </c>
      <c r="H134" s="308" t="str">
        <f t="shared" si="17"/>
        <v>MEP-T01-07-8</v>
      </c>
      <c r="I134" s="309">
        <v>8</v>
      </c>
      <c r="J134" s="310">
        <v>1</v>
      </c>
    </row>
    <row r="135" spans="2:10" ht="12.75" customHeight="1" outlineLevel="2">
      <c r="B135" s="297" t="s">
        <v>1822</v>
      </c>
      <c r="C135" s="17" t="s">
        <v>63</v>
      </c>
      <c r="D135" s="298">
        <v>1005</v>
      </c>
      <c r="E135" s="306" t="s">
        <v>1884</v>
      </c>
      <c r="F135" s="307"/>
      <c r="G135" s="297" t="s">
        <v>63</v>
      </c>
      <c r="H135" s="308" t="str">
        <f t="shared" si="17"/>
        <v>MEP-T01-07-8</v>
      </c>
      <c r="I135" s="309">
        <v>8</v>
      </c>
      <c r="J135" s="310">
        <v>1</v>
      </c>
    </row>
    <row r="136" spans="2:10" ht="12.75" customHeight="1" outlineLevel="2">
      <c r="B136" s="297" t="s">
        <v>1822</v>
      </c>
      <c r="C136" s="17" t="s">
        <v>63</v>
      </c>
      <c r="D136" s="298">
        <v>1006</v>
      </c>
      <c r="E136" s="306" t="s">
        <v>1885</v>
      </c>
      <c r="F136" s="307"/>
      <c r="G136" s="297" t="s">
        <v>63</v>
      </c>
      <c r="H136" s="308" t="str">
        <f t="shared" si="17"/>
        <v>MEP-T01-07-8</v>
      </c>
      <c r="I136" s="309">
        <v>8</v>
      </c>
      <c r="J136" s="310">
        <v>1</v>
      </c>
    </row>
    <row r="137" spans="2:10" ht="12.75" customHeight="1" outlineLevel="2">
      <c r="B137" s="297" t="s">
        <v>1822</v>
      </c>
      <c r="C137" s="17" t="s">
        <v>63</v>
      </c>
      <c r="D137" s="298">
        <v>1007</v>
      </c>
      <c r="E137" s="306" t="s">
        <v>1886</v>
      </c>
      <c r="F137" s="307"/>
      <c r="G137" s="297" t="s">
        <v>63</v>
      </c>
      <c r="H137" s="308" t="str">
        <f t="shared" si="17"/>
        <v>MEP-T01-07-8</v>
      </c>
      <c r="I137" s="309">
        <v>8</v>
      </c>
      <c r="J137" s="310">
        <v>1</v>
      </c>
    </row>
    <row r="138" spans="2:10" ht="12.75" customHeight="1" outlineLevel="2">
      <c r="B138" s="316" t="s">
        <v>1854</v>
      </c>
      <c r="D138" s="298"/>
      <c r="E138" s="306"/>
      <c r="F138" s="307"/>
      <c r="G138" s="297"/>
      <c r="H138" s="314"/>
      <c r="I138" s="309"/>
    </row>
    <row r="139" spans="2:10" ht="12.75" customHeight="1" outlineLevel="3">
      <c r="B139" s="297" t="s">
        <v>1822</v>
      </c>
      <c r="C139" s="17" t="s">
        <v>63</v>
      </c>
      <c r="D139" s="298">
        <v>9001</v>
      </c>
      <c r="E139" s="306" t="s">
        <v>1887</v>
      </c>
      <c r="F139" s="307"/>
      <c r="G139" s="297" t="s">
        <v>63</v>
      </c>
      <c r="H139" s="308" t="str">
        <f>CONCATENATE("MEP-",G139,"-",I139)</f>
        <v>MEP-T01-07-4</v>
      </c>
      <c r="I139" s="309">
        <v>4</v>
      </c>
      <c r="J139" s="310">
        <v>1</v>
      </c>
    </row>
    <row r="140" spans="2:10" ht="12.75" customHeight="1" outlineLevel="3">
      <c r="B140" s="297" t="s">
        <v>1822</v>
      </c>
      <c r="C140" s="17" t="s">
        <v>63</v>
      </c>
      <c r="D140" s="298">
        <v>9002</v>
      </c>
      <c r="E140" s="306" t="s">
        <v>1888</v>
      </c>
      <c r="F140" s="307"/>
      <c r="G140" s="297" t="s">
        <v>63</v>
      </c>
      <c r="H140" s="308" t="str">
        <f>CONCATENATE("MEP-",G140,"-",I140)</f>
        <v>MEP-T01-07-4</v>
      </c>
      <c r="I140" s="309">
        <v>4</v>
      </c>
      <c r="J140" s="310">
        <v>1</v>
      </c>
    </row>
    <row r="141" spans="2:10" ht="12.75" customHeight="1" outlineLevel="2">
      <c r="B141" s="316" t="s">
        <v>1873</v>
      </c>
      <c r="D141" s="298"/>
      <c r="E141" s="306"/>
      <c r="F141" s="307"/>
      <c r="G141" s="297"/>
      <c r="H141" s="314"/>
      <c r="I141" s="309"/>
    </row>
    <row r="142" spans="2:10" ht="12.75" customHeight="1" outlineLevel="3">
      <c r="B142" s="297" t="s">
        <v>1822</v>
      </c>
      <c r="C142" s="17" t="s">
        <v>63</v>
      </c>
      <c r="D142" s="298">
        <v>1011</v>
      </c>
      <c r="E142" s="306" t="s">
        <v>1889</v>
      </c>
      <c r="F142" s="307"/>
      <c r="G142" s="297" t="s">
        <v>63</v>
      </c>
      <c r="H142" s="308" t="str">
        <f t="shared" ref="H142:H149" si="18">CONCATENATE("MEP-",G142,"-",I142)</f>
        <v>MEP-T01-07-4</v>
      </c>
      <c r="I142" s="309">
        <v>4</v>
      </c>
      <c r="J142" s="310">
        <v>1</v>
      </c>
    </row>
    <row r="143" spans="2:10" ht="12.75" customHeight="1" outlineLevel="3">
      <c r="B143" s="297" t="s">
        <v>1822</v>
      </c>
      <c r="C143" s="17" t="s">
        <v>63</v>
      </c>
      <c r="D143" s="298">
        <v>1012</v>
      </c>
      <c r="E143" s="306" t="s">
        <v>1890</v>
      </c>
      <c r="F143" s="307"/>
      <c r="G143" s="297" t="s">
        <v>63</v>
      </c>
      <c r="H143" s="308" t="str">
        <f t="shared" si="18"/>
        <v>MEP-T01-07-4</v>
      </c>
      <c r="I143" s="309">
        <v>4</v>
      </c>
      <c r="J143" s="310">
        <v>1</v>
      </c>
    </row>
    <row r="144" spans="2:10" ht="12.75" customHeight="1" outlineLevel="3">
      <c r="B144" s="297" t="s">
        <v>1822</v>
      </c>
      <c r="C144" s="17" t="s">
        <v>63</v>
      </c>
      <c r="D144" s="298" t="s">
        <v>1861</v>
      </c>
      <c r="E144" s="306" t="s">
        <v>1891</v>
      </c>
      <c r="F144" s="307"/>
      <c r="G144" s="297" t="s">
        <v>63</v>
      </c>
      <c r="H144" s="308" t="str">
        <f t="shared" si="18"/>
        <v>MEP-T01-07-4</v>
      </c>
      <c r="I144" s="309">
        <v>4</v>
      </c>
      <c r="J144" s="310">
        <v>1</v>
      </c>
    </row>
    <row r="145" spans="1:10" ht="12.75" customHeight="1" outlineLevel="3">
      <c r="B145" s="297" t="s">
        <v>1822</v>
      </c>
      <c r="C145" s="17" t="s">
        <v>63</v>
      </c>
      <c r="D145" s="298" t="s">
        <v>1892</v>
      </c>
      <c r="E145" s="306" t="s">
        <v>1893</v>
      </c>
      <c r="F145" s="307"/>
      <c r="G145" s="297" t="s">
        <v>63</v>
      </c>
      <c r="H145" s="308" t="str">
        <f t="shared" si="18"/>
        <v>MEP-T01-07-4</v>
      </c>
      <c r="I145" s="309">
        <v>4</v>
      </c>
      <c r="J145" s="310">
        <v>1</v>
      </c>
    </row>
    <row r="146" spans="1:10" ht="12.75" customHeight="1" outlineLevel="3">
      <c r="B146" s="297" t="s">
        <v>1822</v>
      </c>
      <c r="C146" s="17" t="s">
        <v>63</v>
      </c>
      <c r="D146" s="298" t="s">
        <v>1863</v>
      </c>
      <c r="E146" s="306" t="s">
        <v>1894</v>
      </c>
      <c r="F146" s="307"/>
      <c r="G146" s="297" t="s">
        <v>63</v>
      </c>
      <c r="H146" s="308" t="str">
        <f t="shared" si="18"/>
        <v>MEP-T01-07-4</v>
      </c>
      <c r="I146" s="309">
        <v>4</v>
      </c>
      <c r="J146" s="310">
        <v>1</v>
      </c>
    </row>
    <row r="147" spans="1:10" ht="12.75" customHeight="1" outlineLevel="3">
      <c r="B147" s="297" t="s">
        <v>1822</v>
      </c>
      <c r="C147" s="17" t="s">
        <v>63</v>
      </c>
      <c r="D147" s="298" t="s">
        <v>1895</v>
      </c>
      <c r="E147" s="306" t="s">
        <v>1896</v>
      </c>
      <c r="F147" s="307"/>
      <c r="G147" s="297" t="s">
        <v>63</v>
      </c>
      <c r="H147" s="308" t="str">
        <f t="shared" si="18"/>
        <v>MEP-T01-07-6</v>
      </c>
      <c r="I147" s="309">
        <v>6</v>
      </c>
      <c r="J147" s="310">
        <v>1</v>
      </c>
    </row>
    <row r="148" spans="1:10" ht="12.75" customHeight="1" outlineLevel="3">
      <c r="B148" s="297" t="s">
        <v>1822</v>
      </c>
      <c r="C148" s="17" t="s">
        <v>63</v>
      </c>
      <c r="D148" s="298">
        <v>1271</v>
      </c>
      <c r="E148" s="306" t="s">
        <v>1897</v>
      </c>
      <c r="F148" s="307"/>
      <c r="G148" s="297" t="s">
        <v>63</v>
      </c>
      <c r="H148" s="308" t="str">
        <f t="shared" si="18"/>
        <v>MEP-T01-07-8</v>
      </c>
      <c r="I148" s="309">
        <v>8</v>
      </c>
      <c r="J148" s="310">
        <v>1</v>
      </c>
    </row>
    <row r="149" spans="1:10" ht="12.75" customHeight="1" outlineLevel="3">
      <c r="B149" s="297" t="s">
        <v>1822</v>
      </c>
      <c r="C149" s="17" t="s">
        <v>63</v>
      </c>
      <c r="D149" s="298">
        <v>1281</v>
      </c>
      <c r="E149" s="306" t="s">
        <v>1898</v>
      </c>
      <c r="F149" s="307"/>
      <c r="G149" s="297" t="s">
        <v>63</v>
      </c>
      <c r="H149" s="308" t="str">
        <f t="shared" si="18"/>
        <v>MEP-T01-07-8</v>
      </c>
      <c r="I149" s="309">
        <v>8</v>
      </c>
      <c r="J149" s="310">
        <v>1</v>
      </c>
    </row>
    <row r="150" spans="1:10" ht="12.75" customHeight="1" outlineLevel="1"/>
    <row r="151" spans="1:10" ht="12.75" customHeight="1" outlineLevel="1">
      <c r="A151" s="304"/>
      <c r="B151" s="301" t="s">
        <v>1899</v>
      </c>
      <c r="D151" s="298"/>
      <c r="E151" s="306"/>
      <c r="F151" s="307"/>
      <c r="G151" s="297"/>
      <c r="H151" s="314"/>
      <c r="I151" s="309"/>
    </row>
    <row r="152" spans="1:10" ht="12.75" customHeight="1" outlineLevel="2">
      <c r="A152" s="304"/>
      <c r="B152" s="316" t="s">
        <v>1833</v>
      </c>
      <c r="D152" s="298"/>
      <c r="E152" s="306"/>
      <c r="F152" s="307"/>
      <c r="G152" s="297"/>
      <c r="H152" s="314"/>
      <c r="I152" s="309"/>
    </row>
    <row r="153" spans="1:10" ht="12.75" customHeight="1" outlineLevel="3">
      <c r="A153" s="304"/>
      <c r="B153" s="297" t="s">
        <v>1465</v>
      </c>
      <c r="C153" s="17" t="s">
        <v>63</v>
      </c>
      <c r="D153" s="298">
        <v>1001</v>
      </c>
      <c r="E153" s="306" t="s">
        <v>1900</v>
      </c>
      <c r="F153" s="307"/>
      <c r="G153" s="297" t="s">
        <v>63</v>
      </c>
      <c r="H153" s="308" t="str">
        <f>CONCATENATE("MEP-",G153,"-",I153)</f>
        <v>MEP-T01-07-9</v>
      </c>
      <c r="I153" s="309">
        <v>9</v>
      </c>
      <c r="J153" s="310">
        <v>1</v>
      </c>
    </row>
    <row r="154" spans="1:10" ht="12.75" customHeight="1" outlineLevel="3">
      <c r="A154" s="304"/>
      <c r="B154" s="297" t="s">
        <v>1465</v>
      </c>
      <c r="C154" s="17" t="s">
        <v>63</v>
      </c>
      <c r="D154" s="298">
        <v>1002</v>
      </c>
      <c r="E154" s="306" t="s">
        <v>1901</v>
      </c>
      <c r="F154" s="307"/>
      <c r="G154" s="297" t="s">
        <v>63</v>
      </c>
      <c r="H154" s="308" t="str">
        <f t="shared" ref="H154:H155" si="19">CONCATENATE("MEP-",G154,"-",I154)</f>
        <v>MEP-T01-07-9</v>
      </c>
      <c r="I154" s="309">
        <v>9</v>
      </c>
      <c r="J154" s="310">
        <v>1</v>
      </c>
    </row>
    <row r="155" spans="1:10" ht="12.75" customHeight="1" outlineLevel="3">
      <c r="A155" s="304"/>
      <c r="B155" s="297" t="s">
        <v>1465</v>
      </c>
      <c r="C155" s="17" t="s">
        <v>63</v>
      </c>
      <c r="D155" s="298">
        <v>1003</v>
      </c>
      <c r="E155" s="306" t="s">
        <v>1902</v>
      </c>
      <c r="F155" s="307"/>
      <c r="G155" s="297" t="s">
        <v>63</v>
      </c>
      <c r="H155" s="308" t="str">
        <f t="shared" si="19"/>
        <v>MEP-T01-07-9</v>
      </c>
      <c r="I155" s="309">
        <v>9</v>
      </c>
      <c r="J155" s="300">
        <v>1</v>
      </c>
    </row>
    <row r="156" spans="1:10" ht="12.75" customHeight="1" outlineLevel="2">
      <c r="A156" s="304"/>
      <c r="B156" s="316" t="s">
        <v>1903</v>
      </c>
      <c r="D156" s="298"/>
      <c r="E156" s="306"/>
      <c r="F156" s="307"/>
      <c r="G156" s="297"/>
      <c r="H156" s="314"/>
      <c r="I156" s="309"/>
    </row>
    <row r="157" spans="1:10" ht="12.75" customHeight="1" outlineLevel="3">
      <c r="A157" s="304"/>
      <c r="B157" s="297" t="s">
        <v>1465</v>
      </c>
      <c r="C157" s="17" t="s">
        <v>63</v>
      </c>
      <c r="D157" s="298"/>
      <c r="E157" s="306" t="s">
        <v>1904</v>
      </c>
      <c r="F157" s="307"/>
      <c r="G157" s="297" t="s">
        <v>63</v>
      </c>
      <c r="H157" s="308" t="str">
        <f>CONCATENATE("MEP-",G157,"-",I157)</f>
        <v>MEP-T01-07-7</v>
      </c>
      <c r="I157" s="309">
        <v>7</v>
      </c>
      <c r="J157" s="310">
        <v>1</v>
      </c>
    </row>
    <row r="158" spans="1:10" ht="3" customHeight="1">
      <c r="A158" s="304"/>
      <c r="B158" s="297"/>
      <c r="D158" s="298"/>
      <c r="E158" s="306"/>
      <c r="F158" s="307"/>
      <c r="G158" s="297"/>
      <c r="H158" s="314"/>
      <c r="I158" s="309"/>
    </row>
    <row r="159" spans="1:10" s="18" customFormat="1" ht="12.75" customHeight="1">
      <c r="A159" s="288" t="s">
        <v>1905</v>
      </c>
      <c r="B159" s="297"/>
      <c r="C159" s="297"/>
      <c r="D159" s="298"/>
      <c r="E159" s="306"/>
      <c r="F159" s="46"/>
      <c r="G159" s="41" t="s">
        <v>257</v>
      </c>
      <c r="H159" s="41" t="s">
        <v>258</v>
      </c>
      <c r="I159" s="42" t="s">
        <v>259</v>
      </c>
      <c r="J159" s="300"/>
    </row>
    <row r="160" spans="1:10" s="18" customFormat="1" ht="12.75" customHeight="1" outlineLevel="1">
      <c r="A160" s="288"/>
      <c r="B160" s="301" t="s">
        <v>1796</v>
      </c>
      <c r="C160" s="297"/>
      <c r="D160" s="298"/>
      <c r="E160" s="306"/>
      <c r="F160" s="46"/>
      <c r="G160" s="46"/>
      <c r="H160" s="46"/>
      <c r="I160" s="302"/>
      <c r="J160" s="300"/>
    </row>
    <row r="161" spans="1:19" s="18" customFormat="1" ht="12.75" customHeight="1" outlineLevel="2">
      <c r="A161" s="288"/>
      <c r="B161" s="316" t="s">
        <v>1833</v>
      </c>
      <c r="C161" s="297"/>
      <c r="D161" s="298"/>
      <c r="E161" s="306"/>
      <c r="F161" s="46"/>
      <c r="G161" s="46"/>
      <c r="H161" s="46"/>
      <c r="I161" s="302"/>
      <c r="J161" s="300"/>
    </row>
    <row r="162" spans="1:19" s="18" customFormat="1" ht="12.75" customHeight="1" outlineLevel="3">
      <c r="A162" s="288"/>
      <c r="B162" s="297" t="s">
        <v>1797</v>
      </c>
      <c r="C162" s="297" t="s">
        <v>1906</v>
      </c>
      <c r="D162" s="298">
        <v>1281</v>
      </c>
      <c r="E162" s="306" t="s">
        <v>1907</v>
      </c>
      <c r="F162" s="46"/>
      <c r="G162" s="297" t="s">
        <v>1906</v>
      </c>
      <c r="H162" s="308" t="str">
        <f>CONCATENATE("MEP-",G162,"-",I162)</f>
        <v>MEP-T2V-6V-9</v>
      </c>
      <c r="I162" s="309">
        <v>9</v>
      </c>
      <c r="J162" s="300">
        <v>1</v>
      </c>
    </row>
    <row r="163" spans="1:19" s="18" customFormat="1" ht="12.75" customHeight="1" outlineLevel="3">
      <c r="A163" s="288"/>
      <c r="B163" s="297" t="s">
        <v>1797</v>
      </c>
      <c r="C163" s="297" t="s">
        <v>1906</v>
      </c>
      <c r="D163" s="298">
        <v>1281</v>
      </c>
      <c r="E163" s="306" t="s">
        <v>1908</v>
      </c>
      <c r="F163" s="46"/>
      <c r="G163" s="297" t="s">
        <v>1906</v>
      </c>
      <c r="H163" s="308" t="str">
        <f>CONCATENATE("MEP-",G163,"-",I163)</f>
        <v>MEP-T2V-6V-9</v>
      </c>
      <c r="I163" s="309">
        <v>9</v>
      </c>
      <c r="J163" s="300">
        <v>1</v>
      </c>
    </row>
    <row r="164" spans="1:19" s="18" customFormat="1" ht="12.75" customHeight="1" outlineLevel="3">
      <c r="A164" s="288"/>
      <c r="B164" s="297" t="s">
        <v>1797</v>
      </c>
      <c r="C164" s="297" t="s">
        <v>1906</v>
      </c>
      <c r="D164" s="298">
        <v>1295</v>
      </c>
      <c r="E164" s="306" t="s">
        <v>1909</v>
      </c>
      <c r="F164" s="46"/>
      <c r="G164" s="297" t="s">
        <v>1906</v>
      </c>
      <c r="H164" s="308" t="str">
        <f>CONCATENATE("MEP-",G164,"-",I164)</f>
        <v>MEP-T2V-6V-9</v>
      </c>
      <c r="I164" s="309">
        <v>9</v>
      </c>
      <c r="J164" s="300">
        <v>1</v>
      </c>
    </row>
    <row r="165" spans="1:19" s="18" customFormat="1" ht="12.75" customHeight="1" outlineLevel="3">
      <c r="A165" s="288"/>
      <c r="B165" s="297" t="s">
        <v>1797</v>
      </c>
      <c r="C165" s="297" t="s">
        <v>1906</v>
      </c>
      <c r="D165" s="298">
        <v>1285</v>
      </c>
      <c r="E165" s="306" t="s">
        <v>1910</v>
      </c>
      <c r="F165" s="46"/>
      <c r="G165" s="297" t="s">
        <v>1906</v>
      </c>
      <c r="H165" s="308" t="str">
        <f>CONCATENATE("MEP-",G165,"-",I165)</f>
        <v>MEP-T2V-6V-9</v>
      </c>
      <c r="I165" s="309">
        <v>9</v>
      </c>
      <c r="J165" s="311">
        <v>1</v>
      </c>
    </row>
    <row r="166" spans="1:19" s="18" customFormat="1" ht="12.75" customHeight="1" outlineLevel="3">
      <c r="A166" s="288"/>
      <c r="B166" s="297" t="s">
        <v>1797</v>
      </c>
      <c r="C166" s="297" t="s">
        <v>1906</v>
      </c>
      <c r="D166" s="298">
        <v>1295</v>
      </c>
      <c r="E166" s="306" t="s">
        <v>1911</v>
      </c>
      <c r="F166" s="46"/>
      <c r="G166" s="297" t="s">
        <v>1906</v>
      </c>
      <c r="H166" s="308" t="str">
        <f>CONCATENATE("MEP-",G166,"-",I166)</f>
        <v>MEP-T2V-6V-9</v>
      </c>
      <c r="I166" s="309">
        <v>9</v>
      </c>
      <c r="J166" s="311">
        <v>1</v>
      </c>
    </row>
    <row r="167" spans="1:19" s="18" customFormat="1" ht="12.75" customHeight="1" outlineLevel="2">
      <c r="A167" s="288"/>
      <c r="B167" s="316" t="s">
        <v>1839</v>
      </c>
      <c r="C167" s="297"/>
      <c r="D167" s="298"/>
      <c r="E167" s="306"/>
      <c r="F167" s="46"/>
      <c r="G167" s="46"/>
      <c r="H167" s="46"/>
      <c r="I167" s="302"/>
      <c r="J167" s="300"/>
      <c r="K167" s="300"/>
      <c r="L167" s="300"/>
      <c r="M167" s="311"/>
    </row>
    <row r="168" spans="1:19" s="18" customFormat="1" ht="12.75" customHeight="1" outlineLevel="3">
      <c r="A168" s="288"/>
      <c r="B168" s="297" t="s">
        <v>1797</v>
      </c>
      <c r="C168" s="297" t="s">
        <v>1912</v>
      </c>
      <c r="D168" s="298">
        <v>4141</v>
      </c>
      <c r="E168" s="306" t="s">
        <v>1913</v>
      </c>
      <c r="F168" s="46"/>
      <c r="G168" s="297" t="s">
        <v>1906</v>
      </c>
      <c r="H168" s="308" t="str">
        <f>CONCATENATE("MEP-",G168,"-",I168)</f>
        <v>MEP-T2V-6V-7</v>
      </c>
      <c r="I168" s="302">
        <v>7</v>
      </c>
      <c r="J168" s="311">
        <v>1</v>
      </c>
      <c r="K168" s="300"/>
      <c r="L168" s="311"/>
      <c r="M168" s="311"/>
    </row>
    <row r="169" spans="1:19" s="18" customFormat="1" ht="12.75" customHeight="1" outlineLevel="2">
      <c r="A169" s="288"/>
      <c r="B169" s="316" t="s">
        <v>1842</v>
      </c>
      <c r="C169" s="297"/>
      <c r="D169" s="298"/>
      <c r="E169" s="306"/>
      <c r="F169" s="46"/>
      <c r="G169" s="46"/>
      <c r="H169" s="46"/>
      <c r="I169" s="302"/>
      <c r="J169" s="300"/>
      <c r="K169" s="300"/>
      <c r="L169" s="300"/>
      <c r="M169" s="311"/>
    </row>
    <row r="170" spans="1:19" s="18" customFormat="1" ht="12.75" customHeight="1" outlineLevel="3">
      <c r="A170" s="288"/>
      <c r="B170" s="297" t="s">
        <v>1797</v>
      </c>
      <c r="C170" s="297" t="s">
        <v>1906</v>
      </c>
      <c r="D170" s="298">
        <v>9001</v>
      </c>
      <c r="E170" s="306" t="s">
        <v>1914</v>
      </c>
      <c r="F170" s="46"/>
      <c r="G170" s="297" t="s">
        <v>1906</v>
      </c>
      <c r="H170" s="308" t="str">
        <f>CONCATENATE("MEP-",G170,"-",I170)</f>
        <v>MEP-T2V-6V-4</v>
      </c>
      <c r="I170" s="302">
        <v>4</v>
      </c>
      <c r="J170" s="300">
        <v>1</v>
      </c>
      <c r="K170" s="300"/>
      <c r="L170" s="300"/>
      <c r="M170" s="311"/>
    </row>
    <row r="171" spans="1:19" s="18" customFormat="1" ht="12.75" customHeight="1" outlineLevel="2">
      <c r="A171" s="288"/>
      <c r="B171" s="316" t="s">
        <v>1915</v>
      </c>
      <c r="C171" s="297"/>
      <c r="D171" s="298"/>
      <c r="E171" s="306"/>
      <c r="F171" s="46"/>
      <c r="G171" s="46"/>
      <c r="H171" s="46"/>
      <c r="I171" s="302"/>
      <c r="J171" s="300"/>
      <c r="K171" s="300"/>
      <c r="L171" s="300"/>
      <c r="M171" s="311"/>
    </row>
    <row r="172" spans="1:19" s="18" customFormat="1" ht="12.75" customHeight="1" outlineLevel="3">
      <c r="A172" s="288"/>
      <c r="B172" s="297" t="s">
        <v>1797</v>
      </c>
      <c r="C172" s="297" t="s">
        <v>1906</v>
      </c>
      <c r="D172" s="298">
        <v>1011</v>
      </c>
      <c r="E172" s="306" t="s">
        <v>1916</v>
      </c>
      <c r="F172" s="46"/>
      <c r="G172" s="297" t="s">
        <v>1906</v>
      </c>
      <c r="H172" s="308" t="str">
        <f t="shared" ref="H172:H176" si="20">CONCATENATE("MEP-",G172,"-",I172)</f>
        <v>MEP-T2V-6V-NA</v>
      </c>
      <c r="I172" s="302" t="s">
        <v>293</v>
      </c>
      <c r="J172" s="300"/>
      <c r="K172" s="300"/>
      <c r="L172" s="311"/>
      <c r="M172" s="311"/>
    </row>
    <row r="173" spans="1:19" s="18" customFormat="1" ht="12.75" customHeight="1" outlineLevel="3">
      <c r="A173" s="288"/>
      <c r="B173" s="297" t="s">
        <v>1797</v>
      </c>
      <c r="C173" s="297" t="s">
        <v>1906</v>
      </c>
      <c r="D173" s="298">
        <v>1021</v>
      </c>
      <c r="E173" s="306" t="s">
        <v>1917</v>
      </c>
      <c r="F173" s="46"/>
      <c r="G173" s="297" t="s">
        <v>1906</v>
      </c>
      <c r="H173" s="308" t="str">
        <f t="shared" si="20"/>
        <v>MEP-T2V-6V-7</v>
      </c>
      <c r="I173" s="302">
        <v>7</v>
      </c>
      <c r="J173" s="311">
        <v>1</v>
      </c>
      <c r="K173" s="300"/>
      <c r="L173" s="311"/>
      <c r="M173" s="311"/>
    </row>
    <row r="174" spans="1:19" s="18" customFormat="1" ht="12.75" customHeight="1" outlineLevel="3">
      <c r="A174" s="288"/>
      <c r="B174" s="297" t="s">
        <v>1797</v>
      </c>
      <c r="C174" s="297" t="s">
        <v>1906</v>
      </c>
      <c r="D174" s="298">
        <v>1031</v>
      </c>
      <c r="E174" s="306" t="s">
        <v>1918</v>
      </c>
      <c r="F174" s="46"/>
      <c r="G174" s="297" t="s">
        <v>1906</v>
      </c>
      <c r="H174" s="308" t="str">
        <f t="shared" si="20"/>
        <v>MEP-T2V-6V-7</v>
      </c>
      <c r="I174" s="302">
        <v>7</v>
      </c>
      <c r="J174" s="311">
        <v>1</v>
      </c>
      <c r="K174" s="300"/>
      <c r="L174" s="311"/>
      <c r="M174" s="311"/>
    </row>
    <row r="175" spans="1:19" s="18" customFormat="1" ht="12.75" customHeight="1" outlineLevel="3">
      <c r="A175" s="288"/>
      <c r="B175" s="297" t="s">
        <v>1797</v>
      </c>
      <c r="C175" s="297" t="s">
        <v>1906</v>
      </c>
      <c r="D175" s="298">
        <v>1041</v>
      </c>
      <c r="E175" s="306" t="s">
        <v>1919</v>
      </c>
      <c r="F175" s="46"/>
      <c r="G175" s="297" t="s">
        <v>1906</v>
      </c>
      <c r="H175" s="308" t="str">
        <f t="shared" si="20"/>
        <v>MEP-T2V-6V-7</v>
      </c>
      <c r="I175" s="302">
        <v>7</v>
      </c>
      <c r="J175" s="311">
        <v>1</v>
      </c>
      <c r="K175" s="300"/>
      <c r="L175" s="311"/>
      <c r="M175" s="311"/>
    </row>
    <row r="176" spans="1:19" s="18" customFormat="1" ht="12.75" customHeight="1" outlineLevel="3">
      <c r="A176" s="288"/>
      <c r="B176" s="297" t="s">
        <v>1797</v>
      </c>
      <c r="C176" s="297" t="s">
        <v>1906</v>
      </c>
      <c r="D176" s="298">
        <v>1051</v>
      </c>
      <c r="E176" s="306" t="s">
        <v>1920</v>
      </c>
      <c r="F176" s="46"/>
      <c r="G176" s="297" t="s">
        <v>1906</v>
      </c>
      <c r="H176" s="308" t="str">
        <f t="shared" si="20"/>
        <v>MEP-T2V-6V-7</v>
      </c>
      <c r="I176" s="302">
        <v>7</v>
      </c>
      <c r="J176" s="300"/>
      <c r="K176" s="300"/>
      <c r="L176" s="311">
        <v>1</v>
      </c>
      <c r="M176" s="311">
        <v>1</v>
      </c>
      <c r="Q176" s="18">
        <v>1</v>
      </c>
      <c r="S176" s="18">
        <v>1</v>
      </c>
    </row>
    <row r="177" spans="1:13" s="18" customFormat="1" ht="12.75" customHeight="1" outlineLevel="3">
      <c r="A177" s="288"/>
      <c r="B177" s="297" t="s">
        <v>1797</v>
      </c>
      <c r="C177" s="297" t="s">
        <v>1906</v>
      </c>
      <c r="D177" s="298" t="s">
        <v>1921</v>
      </c>
      <c r="E177" s="306" t="s">
        <v>1922</v>
      </c>
      <c r="F177" s="46"/>
      <c r="G177" s="297" t="s">
        <v>1906</v>
      </c>
      <c r="H177" s="308" t="str">
        <f t="shared" ref="H177:H180" si="21">CONCATENATE("MEP-",G177,"-",I177)</f>
        <v>MEP-T2V-6V-7</v>
      </c>
      <c r="I177" s="302">
        <v>7</v>
      </c>
      <c r="J177" s="311">
        <v>1</v>
      </c>
      <c r="K177" s="300"/>
      <c r="L177" s="311"/>
      <c r="M177" s="311"/>
    </row>
    <row r="178" spans="1:13" s="18" customFormat="1" ht="12.75" customHeight="1" outlineLevel="3">
      <c r="A178" s="288"/>
      <c r="B178" s="297" t="s">
        <v>1797</v>
      </c>
      <c r="C178" s="297" t="s">
        <v>1906</v>
      </c>
      <c r="D178" s="298" t="s">
        <v>1923</v>
      </c>
      <c r="E178" s="306" t="s">
        <v>1924</v>
      </c>
      <c r="F178" s="46"/>
      <c r="G178" s="297" t="s">
        <v>1906</v>
      </c>
      <c r="H178" s="308" t="str">
        <f t="shared" si="21"/>
        <v>MEP-T2V-6V-7</v>
      </c>
      <c r="I178" s="302">
        <v>7</v>
      </c>
      <c r="J178" s="311">
        <v>1</v>
      </c>
      <c r="K178" s="300"/>
      <c r="L178" s="311"/>
      <c r="M178" s="311"/>
    </row>
    <row r="179" spans="1:13" s="601" customFormat="1" ht="12.75" customHeight="1" outlineLevel="3">
      <c r="A179" s="598"/>
      <c r="B179" s="646" t="s">
        <v>1797</v>
      </c>
      <c r="C179" s="646" t="s">
        <v>1906</v>
      </c>
      <c r="D179" s="647">
        <v>1271</v>
      </c>
      <c r="E179" s="648" t="s">
        <v>1925</v>
      </c>
      <c r="F179" s="646"/>
      <c r="G179" s="646" t="s">
        <v>1906</v>
      </c>
      <c r="H179" s="649" t="str">
        <f t="shared" si="21"/>
        <v>MEP-T2V-6V-NA</v>
      </c>
      <c r="I179" s="599" t="s">
        <v>293</v>
      </c>
      <c r="J179" s="600"/>
      <c r="K179" s="600"/>
      <c r="L179" s="600"/>
      <c r="M179" s="600"/>
    </row>
    <row r="180" spans="1:13" s="601" customFormat="1" outlineLevel="3">
      <c r="A180" s="598"/>
      <c r="B180" s="646" t="s">
        <v>1797</v>
      </c>
      <c r="C180" s="646" t="s">
        <v>1906</v>
      </c>
      <c r="D180" s="647">
        <v>1281</v>
      </c>
      <c r="E180" s="648" t="s">
        <v>1926</v>
      </c>
      <c r="F180" s="646"/>
      <c r="G180" s="646" t="s">
        <v>1906</v>
      </c>
      <c r="H180" s="649" t="str">
        <f t="shared" si="21"/>
        <v>MEP-T2V-6V-NA</v>
      </c>
      <c r="I180" s="599" t="s">
        <v>293</v>
      </c>
      <c r="J180" s="600"/>
      <c r="K180" s="600"/>
      <c r="L180" s="600"/>
      <c r="M180" s="600"/>
    </row>
    <row r="181" spans="1:13" s="18" customFormat="1" ht="12.75" customHeight="1" outlineLevel="2">
      <c r="A181" s="288"/>
      <c r="B181" s="316" t="s">
        <v>1845</v>
      </c>
      <c r="C181" s="297"/>
      <c r="D181" s="298"/>
      <c r="E181" s="306"/>
      <c r="F181" s="46"/>
      <c r="G181" s="46"/>
      <c r="H181" s="46"/>
      <c r="I181" s="302"/>
      <c r="J181" s="300"/>
      <c r="K181" s="300"/>
      <c r="L181" s="300"/>
      <c r="M181" s="311"/>
    </row>
    <row r="182" spans="1:13" s="18" customFormat="1" ht="12.75" customHeight="1" outlineLevel="3">
      <c r="A182" s="288"/>
      <c r="B182" s="297" t="s">
        <v>1797</v>
      </c>
      <c r="C182" s="297" t="s">
        <v>1845</v>
      </c>
      <c r="D182" s="298">
        <v>4001</v>
      </c>
      <c r="E182" s="306" t="s">
        <v>1927</v>
      </c>
      <c r="F182" s="46"/>
      <c r="G182" s="297" t="s">
        <v>1906</v>
      </c>
      <c r="H182" s="308" t="str">
        <f>CONCATENATE("MEP-",G182,"-",I182)</f>
        <v>MEP-T2V-6V-9</v>
      </c>
      <c r="I182" s="302">
        <v>9</v>
      </c>
      <c r="J182" s="300">
        <v>1</v>
      </c>
      <c r="K182" s="300"/>
      <c r="L182" s="300"/>
      <c r="M182" s="311"/>
    </row>
    <row r="183" spans="1:13" s="18" customFormat="1" ht="12.75" customHeight="1" outlineLevel="1"/>
    <row r="184" spans="1:13" s="18" customFormat="1" ht="12.75" customHeight="1" outlineLevel="1">
      <c r="B184" s="301" t="s">
        <v>1810</v>
      </c>
      <c r="C184" s="297"/>
      <c r="D184" s="298"/>
      <c r="E184" s="306"/>
      <c r="F184" s="46"/>
      <c r="G184" s="46"/>
      <c r="H184" s="46"/>
      <c r="I184" s="302"/>
      <c r="J184" s="300"/>
    </row>
    <row r="185" spans="1:13" s="18" customFormat="1" ht="12.75" customHeight="1" outlineLevel="2">
      <c r="B185" s="316" t="s">
        <v>1833</v>
      </c>
      <c r="C185" s="297"/>
      <c r="D185" s="298"/>
      <c r="E185" s="306"/>
      <c r="F185" s="46"/>
      <c r="G185" s="46"/>
      <c r="H185" s="46"/>
      <c r="I185" s="302"/>
      <c r="J185" s="300"/>
    </row>
    <row r="186" spans="1:13" s="18" customFormat="1" ht="12.75" customHeight="1" outlineLevel="3">
      <c r="B186" s="297" t="s">
        <v>1811</v>
      </c>
      <c r="C186" s="297" t="s">
        <v>1906</v>
      </c>
      <c r="D186" s="298">
        <v>1281</v>
      </c>
      <c r="E186" s="306" t="s">
        <v>1928</v>
      </c>
      <c r="F186" s="46"/>
      <c r="G186" s="297" t="s">
        <v>1906</v>
      </c>
      <c r="H186" s="308" t="str">
        <f>CONCATENATE("MEP-",G186,"-",I186)</f>
        <v>MEP-T2V-6V-9</v>
      </c>
      <c r="I186" s="302">
        <v>9</v>
      </c>
      <c r="J186" s="300">
        <v>1</v>
      </c>
    </row>
    <row r="187" spans="1:13" s="18" customFormat="1" ht="12.75" customHeight="1" outlineLevel="3">
      <c r="B187" s="297" t="s">
        <v>1811</v>
      </c>
      <c r="C187" s="297" t="s">
        <v>1906</v>
      </c>
      <c r="D187" s="298">
        <v>1291</v>
      </c>
      <c r="E187" s="306" t="s">
        <v>1929</v>
      </c>
      <c r="F187" s="46"/>
      <c r="G187" s="297" t="s">
        <v>1906</v>
      </c>
      <c r="H187" s="308" t="str">
        <f>CONCATENATE("MEP-",G187,"-",I187)</f>
        <v>MEP-T2V-6V-9</v>
      </c>
      <c r="I187" s="302">
        <v>9</v>
      </c>
      <c r="J187" s="300">
        <v>1</v>
      </c>
    </row>
    <row r="188" spans="1:13" s="18" customFormat="1" ht="12.75" customHeight="1" outlineLevel="3">
      <c r="B188" s="297" t="s">
        <v>1811</v>
      </c>
      <c r="C188" s="297" t="s">
        <v>1906</v>
      </c>
      <c r="D188" s="298">
        <v>1005</v>
      </c>
      <c r="E188" s="306" t="s">
        <v>1930</v>
      </c>
      <c r="F188" s="46"/>
      <c r="G188" s="297" t="s">
        <v>1906</v>
      </c>
      <c r="H188" s="308" t="str">
        <f>CONCATENATE("MEP-",G188,"-",I188)</f>
        <v>MEP-T2V-6V-7</v>
      </c>
      <c r="I188" s="302">
        <v>7</v>
      </c>
      <c r="J188" s="300">
        <v>1</v>
      </c>
    </row>
    <row r="189" spans="1:13" s="18" customFormat="1" ht="12.75" customHeight="1" outlineLevel="3">
      <c r="B189" s="297" t="s">
        <v>1811</v>
      </c>
      <c r="C189" s="297" t="s">
        <v>1906</v>
      </c>
      <c r="D189" s="298">
        <v>1002</v>
      </c>
      <c r="E189" s="306" t="s">
        <v>1931</v>
      </c>
      <c r="F189" s="46"/>
      <c r="G189" s="297" t="s">
        <v>1906</v>
      </c>
      <c r="H189" s="308" t="str">
        <f>CONCATENATE("MEP-",G189,"-",I189)</f>
        <v>MEP-T2V-6V-9</v>
      </c>
      <c r="I189" s="302">
        <v>9</v>
      </c>
      <c r="J189" s="300">
        <v>1</v>
      </c>
    </row>
    <row r="190" spans="1:13" s="18" customFormat="1" ht="12.75" customHeight="1" outlineLevel="3">
      <c r="B190" s="297" t="s">
        <v>1811</v>
      </c>
      <c r="C190" s="297" t="s">
        <v>1906</v>
      </c>
      <c r="D190" s="298">
        <v>1008</v>
      </c>
      <c r="E190" s="306" t="s">
        <v>1852</v>
      </c>
      <c r="F190" s="46"/>
      <c r="G190" s="297" t="s">
        <v>1906</v>
      </c>
      <c r="H190" s="308" t="str">
        <f>CONCATENATE("MEP-",G190,"-",I190)</f>
        <v>MEP-T2V-6V-1</v>
      </c>
      <c r="I190" s="302">
        <v>1</v>
      </c>
      <c r="J190" s="300">
        <v>1</v>
      </c>
    </row>
    <row r="191" spans="1:13" s="18" customFormat="1" ht="12.75" customHeight="1" outlineLevel="2">
      <c r="B191" s="316" t="s">
        <v>1854</v>
      </c>
      <c r="C191" s="297"/>
      <c r="D191" s="298"/>
      <c r="E191" s="306"/>
      <c r="F191" s="46"/>
      <c r="G191" s="46"/>
      <c r="H191" s="46"/>
      <c r="I191" s="302"/>
      <c r="J191" s="300"/>
    </row>
    <row r="192" spans="1:13" s="18" customFormat="1" ht="12.75" customHeight="1" outlineLevel="3">
      <c r="B192" s="297" t="s">
        <v>1811</v>
      </c>
      <c r="C192" s="297" t="s">
        <v>1906</v>
      </c>
      <c r="D192" s="298">
        <v>9001</v>
      </c>
      <c r="E192" s="306" t="s">
        <v>1855</v>
      </c>
      <c r="F192" s="46"/>
      <c r="G192" s="297" t="s">
        <v>1906</v>
      </c>
      <c r="H192" s="308" t="str">
        <f>CONCATENATE("MEP-",G192,"-",I192)</f>
        <v>MEP-T2V-6V-4</v>
      </c>
      <c r="I192" s="302">
        <v>4</v>
      </c>
      <c r="J192" s="311">
        <v>1</v>
      </c>
    </row>
    <row r="193" spans="2:10" s="18" customFormat="1" ht="12.75" customHeight="1" outlineLevel="3">
      <c r="B193" s="297" t="s">
        <v>1811</v>
      </c>
      <c r="C193" s="297" t="s">
        <v>1906</v>
      </c>
      <c r="D193" s="298">
        <v>9002</v>
      </c>
      <c r="E193" s="306" t="s">
        <v>1932</v>
      </c>
      <c r="F193" s="46"/>
      <c r="G193" s="297" t="s">
        <v>1906</v>
      </c>
      <c r="H193" s="308" t="str">
        <f>CONCATENATE("MEP-",G193,"-",I193)</f>
        <v>MEP-T2V-6V-4</v>
      </c>
      <c r="I193" s="302">
        <v>4</v>
      </c>
      <c r="J193" s="300">
        <v>1</v>
      </c>
    </row>
    <row r="194" spans="2:10" s="18" customFormat="1" ht="12.75" customHeight="1" outlineLevel="3">
      <c r="B194" s="297" t="s">
        <v>1811</v>
      </c>
      <c r="C194" s="297" t="s">
        <v>1906</v>
      </c>
      <c r="D194" s="298">
        <v>9003</v>
      </c>
      <c r="E194" s="306" t="s">
        <v>1933</v>
      </c>
      <c r="F194" s="46"/>
      <c r="G194" s="297" t="s">
        <v>1906</v>
      </c>
      <c r="H194" s="308" t="str">
        <f>CONCATENATE("MEP-",G194,"-",I194)</f>
        <v>MEP-T2V-6V-4</v>
      </c>
      <c r="I194" s="302">
        <v>4</v>
      </c>
      <c r="J194" s="300">
        <v>1</v>
      </c>
    </row>
    <row r="195" spans="2:10" s="18" customFormat="1" ht="12.75" customHeight="1" outlineLevel="3">
      <c r="B195" s="297" t="s">
        <v>1811</v>
      </c>
      <c r="C195" s="297" t="s">
        <v>1906</v>
      </c>
      <c r="D195" s="298">
        <v>9005</v>
      </c>
      <c r="E195" s="306" t="s">
        <v>1934</v>
      </c>
      <c r="F195" s="46"/>
      <c r="G195" s="297" t="s">
        <v>1906</v>
      </c>
      <c r="H195" s="308" t="str">
        <f>CONCATENATE("MEP-",G195,"-",I195)</f>
        <v>MEP-T2V-6V-4</v>
      </c>
      <c r="I195" s="302">
        <v>4</v>
      </c>
      <c r="J195" s="300">
        <v>1</v>
      </c>
    </row>
    <row r="196" spans="2:10" s="18" customFormat="1" ht="12.75" customHeight="1" outlineLevel="3">
      <c r="B196" s="297" t="s">
        <v>1811</v>
      </c>
      <c r="C196" s="297" t="s">
        <v>1906</v>
      </c>
      <c r="D196" s="298">
        <v>9006</v>
      </c>
      <c r="E196" s="306" t="s">
        <v>1935</v>
      </c>
      <c r="F196" s="46"/>
      <c r="G196" s="297" t="s">
        <v>1906</v>
      </c>
      <c r="H196" s="308" t="str">
        <f>CONCATENATE("MEP-",G196,"-",I196)</f>
        <v>MEP-T2V-6V-4</v>
      </c>
      <c r="I196" s="302">
        <v>4</v>
      </c>
      <c r="J196" s="300">
        <v>1</v>
      </c>
    </row>
    <row r="197" spans="2:10" s="18" customFormat="1" ht="12.75" customHeight="1" outlineLevel="2">
      <c r="B197" s="316" t="s">
        <v>1839</v>
      </c>
      <c r="C197" s="297"/>
      <c r="D197" s="298"/>
      <c r="E197" s="306"/>
      <c r="F197" s="46"/>
      <c r="G197" s="46"/>
      <c r="H197" s="46"/>
      <c r="I197" s="302"/>
      <c r="J197" s="300"/>
    </row>
    <row r="198" spans="2:10" s="18" customFormat="1" ht="12.75" customHeight="1" outlineLevel="3">
      <c r="B198" s="297" t="s">
        <v>1811</v>
      </c>
      <c r="C198" s="297" t="s">
        <v>1906</v>
      </c>
      <c r="D198" s="298">
        <v>4101</v>
      </c>
      <c r="E198" s="306" t="s">
        <v>1936</v>
      </c>
      <c r="F198" s="46"/>
      <c r="G198" s="297" t="s">
        <v>1906</v>
      </c>
      <c r="H198" s="308" t="str">
        <f>CONCATENATE("MEP-",G198,"-",I198)</f>
        <v>MEP-T2V-6V-7</v>
      </c>
      <c r="I198" s="302">
        <v>7</v>
      </c>
      <c r="J198" s="300">
        <v>1</v>
      </c>
    </row>
    <row r="199" spans="2:10" s="18" customFormat="1" ht="12.75" customHeight="1" outlineLevel="2">
      <c r="B199" s="316" t="s">
        <v>1859</v>
      </c>
      <c r="C199" s="297"/>
      <c r="D199" s="298"/>
      <c r="E199" s="306"/>
      <c r="F199" s="46"/>
      <c r="G199" s="46"/>
      <c r="H199" s="46"/>
      <c r="I199" s="302"/>
      <c r="J199" s="300"/>
    </row>
    <row r="200" spans="2:10" s="18" customFormat="1" ht="12.75" customHeight="1" outlineLevel="3">
      <c r="B200" s="297" t="s">
        <v>1811</v>
      </c>
      <c r="C200" s="297" t="s">
        <v>1906</v>
      </c>
      <c r="D200" s="298">
        <v>1015</v>
      </c>
      <c r="E200" s="306" t="s">
        <v>1937</v>
      </c>
      <c r="F200" s="46"/>
      <c r="G200" s="297" t="s">
        <v>1906</v>
      </c>
      <c r="H200" s="308" t="str">
        <f t="shared" ref="H200:H222" si="22">CONCATENATE("MEP-",G200,"-",I200)</f>
        <v>MEP-T2V-6V-4</v>
      </c>
      <c r="I200" s="302">
        <v>4</v>
      </c>
      <c r="J200" s="300">
        <v>1</v>
      </c>
    </row>
    <row r="201" spans="2:10" s="18" customFormat="1" ht="12.75" customHeight="1" outlineLevel="3">
      <c r="B201" s="297" t="s">
        <v>1811</v>
      </c>
      <c r="C201" s="297" t="s">
        <v>1906</v>
      </c>
      <c r="D201" s="298">
        <v>1016</v>
      </c>
      <c r="E201" s="306" t="s">
        <v>1938</v>
      </c>
      <c r="F201" s="46"/>
      <c r="G201" s="297" t="s">
        <v>1906</v>
      </c>
      <c r="H201" s="308" t="str">
        <f t="shared" si="22"/>
        <v>MEP-T2V-6V-4</v>
      </c>
      <c r="I201" s="302">
        <v>4</v>
      </c>
      <c r="J201" s="300">
        <v>1</v>
      </c>
    </row>
    <row r="202" spans="2:10" s="18" customFormat="1" ht="12.75" customHeight="1" outlineLevel="3">
      <c r="B202" s="297" t="s">
        <v>1811</v>
      </c>
      <c r="C202" s="297" t="s">
        <v>1906</v>
      </c>
      <c r="D202" s="298" t="s">
        <v>1861</v>
      </c>
      <c r="E202" s="306" t="s">
        <v>1939</v>
      </c>
      <c r="F202" s="46"/>
      <c r="G202" s="297" t="s">
        <v>1906</v>
      </c>
      <c r="H202" s="308" t="str">
        <f t="shared" si="22"/>
        <v>MEP-T2V-6V-4</v>
      </c>
      <c r="I202" s="302">
        <v>4</v>
      </c>
      <c r="J202" s="300">
        <v>1</v>
      </c>
    </row>
    <row r="203" spans="2:10" s="18" customFormat="1" ht="12.75" customHeight="1" outlineLevel="3">
      <c r="B203" s="297" t="s">
        <v>1811</v>
      </c>
      <c r="C203" s="297" t="s">
        <v>1906</v>
      </c>
      <c r="D203" s="298" t="s">
        <v>1863</v>
      </c>
      <c r="E203" s="306" t="s">
        <v>1940</v>
      </c>
      <c r="F203" s="46"/>
      <c r="G203" s="297" t="s">
        <v>1906</v>
      </c>
      <c r="H203" s="308" t="str">
        <f t="shared" si="22"/>
        <v>MEP-T2V-6V-4</v>
      </c>
      <c r="I203" s="302">
        <v>4</v>
      </c>
      <c r="J203" s="300">
        <v>1</v>
      </c>
    </row>
    <row r="204" spans="2:10" s="18" customFormat="1" ht="12.75" customHeight="1" outlineLevel="3">
      <c r="B204" s="297" t="s">
        <v>1811</v>
      </c>
      <c r="C204" s="297" t="s">
        <v>1906</v>
      </c>
      <c r="D204" s="298">
        <v>1017</v>
      </c>
      <c r="E204" s="306" t="s">
        <v>1941</v>
      </c>
      <c r="F204" s="46"/>
      <c r="G204" s="297" t="s">
        <v>1906</v>
      </c>
      <c r="H204" s="308" t="str">
        <f t="shared" si="22"/>
        <v>MEP-T2V-6V-4</v>
      </c>
      <c r="I204" s="302">
        <v>4</v>
      </c>
      <c r="J204" s="300">
        <v>1</v>
      </c>
    </row>
    <row r="205" spans="2:10" s="18" customFormat="1" ht="12.75" customHeight="1" outlineLevel="3">
      <c r="B205" s="297" t="s">
        <v>1811</v>
      </c>
      <c r="C205" s="297" t="s">
        <v>1906</v>
      </c>
      <c r="D205" s="298">
        <v>9007</v>
      </c>
      <c r="E205" s="306" t="s">
        <v>1942</v>
      </c>
      <c r="F205" s="46"/>
      <c r="G205" s="297" t="s">
        <v>1906</v>
      </c>
      <c r="H205" s="308" t="str">
        <f t="shared" si="22"/>
        <v>MEP-T2V-6V-4</v>
      </c>
      <c r="I205" s="302">
        <v>4</v>
      </c>
      <c r="J205" s="300">
        <v>1</v>
      </c>
    </row>
    <row r="206" spans="2:10" s="18" customFormat="1" ht="12.75" customHeight="1" outlineLevel="3">
      <c r="B206" s="297" t="s">
        <v>1811</v>
      </c>
      <c r="C206" s="297" t="s">
        <v>1906</v>
      </c>
      <c r="D206" s="298">
        <v>1018</v>
      </c>
      <c r="E206" s="306" t="s">
        <v>1943</v>
      </c>
      <c r="F206" s="46"/>
      <c r="G206" s="297" t="s">
        <v>1906</v>
      </c>
      <c r="H206" s="308" t="str">
        <f t="shared" si="22"/>
        <v>MEP-T2V-6V-4</v>
      </c>
      <c r="I206" s="302">
        <v>4</v>
      </c>
      <c r="J206" s="300">
        <v>1</v>
      </c>
    </row>
    <row r="207" spans="2:10" s="18" customFormat="1" ht="12.75" customHeight="1" outlineLevel="3">
      <c r="B207" s="297" t="s">
        <v>1811</v>
      </c>
      <c r="C207" s="297" t="s">
        <v>1906</v>
      </c>
      <c r="D207" s="298">
        <v>9008</v>
      </c>
      <c r="E207" s="306" t="s">
        <v>1944</v>
      </c>
      <c r="F207" s="46"/>
      <c r="G207" s="297" t="s">
        <v>1906</v>
      </c>
      <c r="H207" s="308" t="str">
        <f t="shared" si="22"/>
        <v>MEP-T2V-6V-4</v>
      </c>
      <c r="I207" s="302">
        <v>4</v>
      </c>
      <c r="J207" s="300">
        <v>1</v>
      </c>
    </row>
    <row r="208" spans="2:10" s="18" customFormat="1" ht="12.75" customHeight="1" outlineLevel="3">
      <c r="B208" s="297" t="s">
        <v>1811</v>
      </c>
      <c r="C208" s="297" t="s">
        <v>1906</v>
      </c>
      <c r="D208" s="298">
        <v>1019</v>
      </c>
      <c r="E208" s="306" t="s">
        <v>1945</v>
      </c>
      <c r="F208" s="46"/>
      <c r="G208" s="297" t="s">
        <v>1906</v>
      </c>
      <c r="H208" s="308" t="str">
        <f t="shared" si="22"/>
        <v>MEP-T2V-6V-4</v>
      </c>
      <c r="I208" s="302">
        <v>4</v>
      </c>
      <c r="J208" s="300">
        <v>1</v>
      </c>
    </row>
    <row r="209" spans="2:10" s="18" customFormat="1" ht="12.75" customHeight="1" outlineLevel="3">
      <c r="B209" s="297" t="s">
        <v>1811</v>
      </c>
      <c r="C209" s="297" t="s">
        <v>1906</v>
      </c>
      <c r="D209" s="298">
        <v>9009</v>
      </c>
      <c r="E209" s="306" t="s">
        <v>1946</v>
      </c>
      <c r="F209" s="46"/>
      <c r="G209" s="297" t="s">
        <v>1906</v>
      </c>
      <c r="H209" s="308" t="str">
        <f t="shared" si="22"/>
        <v>MEP-T2V-6V-4</v>
      </c>
      <c r="I209" s="302">
        <v>4</v>
      </c>
      <c r="J209" s="300">
        <v>1</v>
      </c>
    </row>
    <row r="210" spans="2:10" s="18" customFormat="1" ht="12.75" customHeight="1" outlineLevel="3">
      <c r="B210" s="297" t="s">
        <v>1811</v>
      </c>
      <c r="C210" s="297" t="s">
        <v>1906</v>
      </c>
      <c r="D210" s="298">
        <v>9010</v>
      </c>
      <c r="E210" s="306" t="s">
        <v>1947</v>
      </c>
      <c r="F210" s="46"/>
      <c r="G210" s="297" t="s">
        <v>1906</v>
      </c>
      <c r="H210" s="308" t="str">
        <f t="shared" si="22"/>
        <v>MEP-T2V-6V-4</v>
      </c>
      <c r="I210" s="302">
        <v>4</v>
      </c>
      <c r="J210" s="300">
        <v>1</v>
      </c>
    </row>
    <row r="211" spans="2:10" s="18" customFormat="1" ht="12.75" customHeight="1" outlineLevel="3">
      <c r="B211" s="297" t="s">
        <v>1811</v>
      </c>
      <c r="C211" s="297" t="s">
        <v>1906</v>
      </c>
      <c r="D211" s="298" t="s">
        <v>374</v>
      </c>
      <c r="E211" s="306" t="s">
        <v>1948</v>
      </c>
      <c r="F211" s="46"/>
      <c r="G211" s="297" t="s">
        <v>1906</v>
      </c>
      <c r="H211" s="308" t="str">
        <f t="shared" si="22"/>
        <v>MEP-T2V-6V-4</v>
      </c>
      <c r="I211" s="302">
        <v>4</v>
      </c>
      <c r="J211" s="300">
        <v>1</v>
      </c>
    </row>
    <row r="212" spans="2:10" s="18" customFormat="1" ht="12.75" customHeight="1" outlineLevel="3">
      <c r="B212" s="297" t="s">
        <v>1811</v>
      </c>
      <c r="C212" s="297" t="s">
        <v>1906</v>
      </c>
      <c r="D212" s="298" t="s">
        <v>384</v>
      </c>
      <c r="E212" s="306" t="s">
        <v>1949</v>
      </c>
      <c r="F212" s="46"/>
      <c r="G212" s="297" t="s">
        <v>1906</v>
      </c>
      <c r="H212" s="308" t="str">
        <f t="shared" si="22"/>
        <v>MEP-T2V-6V-4</v>
      </c>
      <c r="I212" s="302">
        <v>4</v>
      </c>
      <c r="J212" s="300">
        <v>1</v>
      </c>
    </row>
    <row r="213" spans="2:10" s="18" customFormat="1" ht="12.75" customHeight="1" outlineLevel="3">
      <c r="B213" s="297" t="s">
        <v>1811</v>
      </c>
      <c r="C213" s="297" t="s">
        <v>1906</v>
      </c>
      <c r="D213" s="298" t="s">
        <v>1950</v>
      </c>
      <c r="E213" s="306" t="s">
        <v>1951</v>
      </c>
      <c r="F213" s="46"/>
      <c r="G213" s="297" t="s">
        <v>1906</v>
      </c>
      <c r="H213" s="308" t="str">
        <f t="shared" si="22"/>
        <v>MEP-T2V-6V-4</v>
      </c>
      <c r="I213" s="302">
        <v>4</v>
      </c>
      <c r="J213" s="300">
        <v>1</v>
      </c>
    </row>
    <row r="214" spans="2:10" s="18" customFormat="1" ht="12.75" customHeight="1" outlineLevel="3">
      <c r="B214" s="297" t="s">
        <v>1811</v>
      </c>
      <c r="C214" s="297" t="s">
        <v>1906</v>
      </c>
      <c r="D214" s="298" t="s">
        <v>1952</v>
      </c>
      <c r="E214" s="306" t="s">
        <v>1953</v>
      </c>
      <c r="F214" s="46"/>
      <c r="G214" s="297" t="s">
        <v>1906</v>
      </c>
      <c r="H214" s="308" t="str">
        <f t="shared" si="22"/>
        <v>MEP-T2V-6V-4</v>
      </c>
      <c r="I214" s="302">
        <v>4</v>
      </c>
      <c r="J214" s="300">
        <v>1</v>
      </c>
    </row>
    <row r="215" spans="2:10" s="18" customFormat="1" ht="12.75" customHeight="1" outlineLevel="3">
      <c r="B215" s="297" t="s">
        <v>1811</v>
      </c>
      <c r="C215" s="297" t="s">
        <v>1906</v>
      </c>
      <c r="D215" s="298" t="s">
        <v>1954</v>
      </c>
      <c r="E215" s="306" t="s">
        <v>1955</v>
      </c>
      <c r="F215" s="46"/>
      <c r="G215" s="297" t="s">
        <v>1906</v>
      </c>
      <c r="H215" s="308" t="str">
        <f t="shared" si="22"/>
        <v>MEP-T2V-6V-4</v>
      </c>
      <c r="I215" s="302">
        <v>4</v>
      </c>
      <c r="J215" s="300">
        <v>1</v>
      </c>
    </row>
    <row r="216" spans="2:10" s="18" customFormat="1" ht="12.75" customHeight="1" outlineLevel="3">
      <c r="B216" s="297" t="s">
        <v>1811</v>
      </c>
      <c r="C216" s="297" t="s">
        <v>1906</v>
      </c>
      <c r="D216" s="298" t="s">
        <v>1956</v>
      </c>
      <c r="E216" s="306" t="s">
        <v>1957</v>
      </c>
      <c r="F216" s="46"/>
      <c r="G216" s="297" t="s">
        <v>1906</v>
      </c>
      <c r="H216" s="308" t="str">
        <f t="shared" si="22"/>
        <v>MEP-T2V-6V-4</v>
      </c>
      <c r="I216" s="302">
        <v>4</v>
      </c>
      <c r="J216" s="300">
        <v>1</v>
      </c>
    </row>
    <row r="217" spans="2:10" s="601" customFormat="1" ht="12.75" customHeight="1" outlineLevel="3">
      <c r="B217" s="646" t="s">
        <v>1811</v>
      </c>
      <c r="C217" s="646" t="s">
        <v>1906</v>
      </c>
      <c r="D217" s="647" t="s">
        <v>1865</v>
      </c>
      <c r="E217" s="648" t="s">
        <v>1958</v>
      </c>
      <c r="F217" s="646"/>
      <c r="G217" s="646" t="s">
        <v>1906</v>
      </c>
      <c r="H217" s="649" t="str">
        <f t="shared" si="22"/>
        <v>MEP-T2V-6V-NA</v>
      </c>
      <c r="I217" s="599" t="s">
        <v>293</v>
      </c>
      <c r="J217" s="600"/>
    </row>
    <row r="218" spans="2:10" s="601" customFormat="1" ht="12.75" customHeight="1" outlineLevel="3">
      <c r="B218" s="646" t="s">
        <v>1811</v>
      </c>
      <c r="C218" s="646" t="s">
        <v>1906</v>
      </c>
      <c r="D218" s="647" t="s">
        <v>1959</v>
      </c>
      <c r="E218" s="648" t="s">
        <v>1960</v>
      </c>
      <c r="F218" s="646"/>
      <c r="G218" s="646" t="s">
        <v>1906</v>
      </c>
      <c r="H218" s="649" t="str">
        <f t="shared" si="22"/>
        <v>MEP-T2V-6V-NA</v>
      </c>
      <c r="I218" s="599" t="s">
        <v>293</v>
      </c>
      <c r="J218" s="600"/>
    </row>
    <row r="219" spans="2:10" s="18" customFormat="1" ht="12.75" customHeight="1" outlineLevel="3">
      <c r="B219" s="297" t="s">
        <v>1811</v>
      </c>
      <c r="C219" s="297" t="s">
        <v>1906</v>
      </c>
      <c r="D219" s="298" t="s">
        <v>1867</v>
      </c>
      <c r="E219" s="306" t="s">
        <v>1961</v>
      </c>
      <c r="F219" s="46"/>
      <c r="G219" s="297" t="s">
        <v>1906</v>
      </c>
      <c r="H219" s="308" t="str">
        <f t="shared" si="22"/>
        <v>MEP-T2V-6V-9</v>
      </c>
      <c r="I219" s="302">
        <v>9</v>
      </c>
      <c r="J219" s="300">
        <v>1</v>
      </c>
    </row>
    <row r="220" spans="2:10" s="18" customFormat="1" ht="12.75" customHeight="1" outlineLevel="3">
      <c r="B220" s="297" t="s">
        <v>1811</v>
      </c>
      <c r="C220" s="297" t="s">
        <v>1906</v>
      </c>
      <c r="D220" s="298">
        <v>1291</v>
      </c>
      <c r="E220" s="306" t="s">
        <v>1962</v>
      </c>
      <c r="F220" s="46"/>
      <c r="G220" s="297" t="s">
        <v>1906</v>
      </c>
      <c r="H220" s="308" t="str">
        <f t="shared" si="22"/>
        <v>MEP-T2V-6V-9</v>
      </c>
      <c r="I220" s="302">
        <v>9</v>
      </c>
      <c r="J220" s="300">
        <v>1</v>
      </c>
    </row>
    <row r="221" spans="2:10" s="18" customFormat="1" ht="12.75" customHeight="1" outlineLevel="3">
      <c r="B221" s="297" t="s">
        <v>1811</v>
      </c>
      <c r="C221" s="297" t="s">
        <v>1906</v>
      </c>
      <c r="D221" s="298">
        <v>1005</v>
      </c>
      <c r="E221" s="306" t="s">
        <v>1850</v>
      </c>
      <c r="F221" s="46"/>
      <c r="G221" s="297" t="s">
        <v>1906</v>
      </c>
      <c r="H221" s="308" t="str">
        <f t="shared" si="22"/>
        <v>MEP-T2V-6V-7</v>
      </c>
      <c r="I221" s="302">
        <v>7</v>
      </c>
      <c r="J221" s="300">
        <v>1</v>
      </c>
    </row>
    <row r="222" spans="2:10" s="18" customFormat="1" ht="12.75" customHeight="1" outlineLevel="3">
      <c r="B222" s="297" t="s">
        <v>1811</v>
      </c>
      <c r="C222" s="297" t="s">
        <v>1906</v>
      </c>
      <c r="D222" s="298">
        <v>1008</v>
      </c>
      <c r="E222" s="306" t="s">
        <v>1852</v>
      </c>
      <c r="F222" s="46"/>
      <c r="G222" s="297" t="s">
        <v>1906</v>
      </c>
      <c r="H222" s="308" t="str">
        <f t="shared" si="22"/>
        <v>MEP-T2V-6V-1</v>
      </c>
      <c r="I222" s="302">
        <v>1</v>
      </c>
      <c r="J222" s="300">
        <v>1</v>
      </c>
    </row>
    <row r="223" spans="2:10" s="18" customFormat="1" ht="12.75" customHeight="1" outlineLevel="3">
      <c r="B223" s="297" t="s">
        <v>1811</v>
      </c>
      <c r="C223" s="297" t="s">
        <v>1906</v>
      </c>
      <c r="D223" s="298">
        <v>1051</v>
      </c>
      <c r="E223" s="306" t="s">
        <v>1963</v>
      </c>
      <c r="F223" s="46"/>
      <c r="G223" s="297" t="s">
        <v>1906</v>
      </c>
      <c r="H223" s="308" t="str">
        <f t="shared" ref="H223" si="23">CONCATENATE("MEP-",G223,"-",I223)</f>
        <v>MEP-T2V-6V-2</v>
      </c>
      <c r="I223" s="302">
        <v>2</v>
      </c>
      <c r="J223" s="311">
        <v>1</v>
      </c>
    </row>
    <row r="224" spans="2:10" s="18" customFormat="1" ht="12.75" customHeight="1" outlineLevel="1">
      <c r="B224" s="297"/>
      <c r="C224" s="297"/>
      <c r="D224" s="298"/>
      <c r="E224" s="306"/>
      <c r="F224" s="46"/>
      <c r="G224" s="46"/>
      <c r="H224" s="46"/>
      <c r="I224" s="302"/>
      <c r="J224" s="300"/>
    </row>
    <row r="225" spans="2:10" s="18" customFormat="1" ht="12.75" customHeight="1" outlineLevel="1">
      <c r="B225" s="301" t="s">
        <v>1819</v>
      </c>
      <c r="C225" s="297"/>
      <c r="D225" s="298"/>
      <c r="E225" s="306"/>
      <c r="F225" s="46"/>
      <c r="G225" s="46"/>
      <c r="H225" s="46"/>
      <c r="I225" s="302"/>
      <c r="J225" s="300"/>
    </row>
    <row r="226" spans="2:10" s="18" customFormat="1" ht="12.75" customHeight="1" outlineLevel="2">
      <c r="B226" s="316" t="s">
        <v>1859</v>
      </c>
      <c r="C226" s="297"/>
      <c r="D226" s="298"/>
      <c r="E226" s="306"/>
      <c r="F226" s="46"/>
      <c r="G226" s="46"/>
      <c r="H226" s="46"/>
      <c r="I226" s="302"/>
      <c r="J226" s="300"/>
    </row>
    <row r="227" spans="2:10" s="601" customFormat="1" ht="12.75" customHeight="1" outlineLevel="3">
      <c r="B227" s="646" t="s">
        <v>1819</v>
      </c>
      <c r="C227" s="646" t="s">
        <v>1906</v>
      </c>
      <c r="D227" s="647">
        <v>1271</v>
      </c>
      <c r="E227" s="648" t="s">
        <v>1964</v>
      </c>
      <c r="F227" s="646"/>
      <c r="G227" s="646" t="s">
        <v>1906</v>
      </c>
      <c r="H227" s="649" t="str">
        <f t="shared" ref="H227:H234" si="24">CONCATENATE("MEP-",G227,"-",I227)</f>
        <v>MEP-T2V-6V-NA</v>
      </c>
      <c r="I227" s="599" t="s">
        <v>293</v>
      </c>
      <c r="J227" s="600"/>
    </row>
    <row r="228" spans="2:10" s="601" customFormat="1" ht="12.75" customHeight="1" outlineLevel="3">
      <c r="B228" s="646" t="s">
        <v>1819</v>
      </c>
      <c r="C228" s="646" t="s">
        <v>1906</v>
      </c>
      <c r="D228" s="647">
        <v>1281</v>
      </c>
      <c r="E228" s="648" t="s">
        <v>1965</v>
      </c>
      <c r="F228" s="646"/>
      <c r="G228" s="646" t="s">
        <v>1906</v>
      </c>
      <c r="H228" s="649" t="str">
        <f t="shared" si="24"/>
        <v>MEP-T2V-6V-NA</v>
      </c>
      <c r="I228" s="599" t="s">
        <v>293</v>
      </c>
      <c r="J228" s="600"/>
    </row>
    <row r="229" spans="2:10" s="601" customFormat="1" ht="12.75" customHeight="1" outlineLevel="3">
      <c r="B229" s="646" t="s">
        <v>1819</v>
      </c>
      <c r="C229" s="646" t="s">
        <v>1906</v>
      </c>
      <c r="D229" s="647">
        <v>1273</v>
      </c>
      <c r="E229" s="648" t="s">
        <v>1966</v>
      </c>
      <c r="F229" s="646"/>
      <c r="G229" s="646" t="s">
        <v>1906</v>
      </c>
      <c r="H229" s="649" t="str">
        <f t="shared" si="24"/>
        <v>MEP-T2V-6V-NA</v>
      </c>
      <c r="I229" s="599" t="s">
        <v>293</v>
      </c>
      <c r="J229" s="600"/>
    </row>
    <row r="230" spans="2:10" s="601" customFormat="1" ht="12.75" customHeight="1" outlineLevel="3">
      <c r="B230" s="646" t="s">
        <v>1819</v>
      </c>
      <c r="C230" s="646" t="s">
        <v>1906</v>
      </c>
      <c r="D230" s="647">
        <v>1283</v>
      </c>
      <c r="E230" s="648" t="s">
        <v>1967</v>
      </c>
      <c r="F230" s="646"/>
      <c r="G230" s="646" t="s">
        <v>1906</v>
      </c>
      <c r="H230" s="649" t="str">
        <f t="shared" si="24"/>
        <v>MEP-T2V-6V-NA</v>
      </c>
      <c r="I230" s="599" t="s">
        <v>293</v>
      </c>
      <c r="J230" s="600"/>
    </row>
    <row r="231" spans="2:10" s="601" customFormat="1" ht="12.75" customHeight="1" outlineLevel="3">
      <c r="B231" s="646" t="s">
        <v>1819</v>
      </c>
      <c r="C231" s="646" t="s">
        <v>1906</v>
      </c>
      <c r="D231" s="647">
        <v>1275</v>
      </c>
      <c r="E231" s="648" t="s">
        <v>1968</v>
      </c>
      <c r="F231" s="646"/>
      <c r="G231" s="646" t="s">
        <v>1906</v>
      </c>
      <c r="H231" s="649" t="str">
        <f t="shared" si="24"/>
        <v>MEP-T2V-6V-NA</v>
      </c>
      <c r="I231" s="599" t="s">
        <v>293</v>
      </c>
      <c r="J231" s="600"/>
    </row>
    <row r="232" spans="2:10" s="601" customFormat="1" ht="12.75" customHeight="1" outlineLevel="3">
      <c r="B232" s="646" t="s">
        <v>1819</v>
      </c>
      <c r="C232" s="646" t="s">
        <v>1906</v>
      </c>
      <c r="D232" s="647">
        <v>1285</v>
      </c>
      <c r="E232" s="648" t="s">
        <v>1969</v>
      </c>
      <c r="F232" s="646"/>
      <c r="G232" s="646" t="s">
        <v>1906</v>
      </c>
      <c r="H232" s="649" t="str">
        <f t="shared" si="24"/>
        <v>MEP-T2V-6V-NA</v>
      </c>
      <c r="I232" s="599" t="s">
        <v>293</v>
      </c>
      <c r="J232" s="600"/>
    </row>
    <row r="233" spans="2:10" s="601" customFormat="1" ht="12.75" customHeight="1" outlineLevel="3">
      <c r="B233" s="646" t="s">
        <v>1819</v>
      </c>
      <c r="C233" s="646" t="s">
        <v>1906</v>
      </c>
      <c r="D233" s="647">
        <v>1277</v>
      </c>
      <c r="E233" s="648" t="s">
        <v>1970</v>
      </c>
      <c r="F233" s="646"/>
      <c r="G233" s="646" t="s">
        <v>1906</v>
      </c>
      <c r="H233" s="649" t="str">
        <f t="shared" si="24"/>
        <v>MEP-T2V-6V-NA</v>
      </c>
      <c r="I233" s="599" t="s">
        <v>293</v>
      </c>
      <c r="J233" s="600"/>
    </row>
    <row r="234" spans="2:10" s="601" customFormat="1" ht="12.75" customHeight="1" outlineLevel="3">
      <c r="B234" s="646" t="s">
        <v>1819</v>
      </c>
      <c r="C234" s="646" t="s">
        <v>1906</v>
      </c>
      <c r="D234" s="647">
        <v>1287</v>
      </c>
      <c r="E234" s="648" t="s">
        <v>1971</v>
      </c>
      <c r="F234" s="646"/>
      <c r="G234" s="646" t="s">
        <v>1906</v>
      </c>
      <c r="H234" s="649" t="str">
        <f t="shared" si="24"/>
        <v>MEP-T2V-6V-NA</v>
      </c>
      <c r="I234" s="599" t="s">
        <v>293</v>
      </c>
      <c r="J234" s="600"/>
    </row>
    <row r="235" spans="2:10" s="18" customFormat="1" ht="12.75" customHeight="1" outlineLevel="1">
      <c r="B235" s="297"/>
      <c r="C235" s="297"/>
      <c r="D235" s="298"/>
      <c r="E235" s="306"/>
      <c r="F235" s="46"/>
      <c r="G235" s="46"/>
      <c r="H235" s="46"/>
      <c r="I235" s="302"/>
      <c r="J235" s="300"/>
    </row>
    <row r="236" spans="2:10" s="18" customFormat="1" ht="12.75" customHeight="1" outlineLevel="1">
      <c r="B236" s="301" t="s">
        <v>1821</v>
      </c>
      <c r="C236" s="297"/>
      <c r="D236" s="298"/>
      <c r="E236" s="306"/>
      <c r="F236" s="46"/>
      <c r="G236" s="46"/>
      <c r="H236" s="46"/>
      <c r="I236" s="302"/>
      <c r="J236" s="300"/>
    </row>
    <row r="237" spans="2:10" s="18" customFormat="1" ht="12.75" customHeight="1" outlineLevel="2">
      <c r="B237" s="316" t="s">
        <v>1833</v>
      </c>
      <c r="C237" s="297"/>
      <c r="D237" s="298"/>
      <c r="E237" s="306"/>
      <c r="F237" s="46"/>
      <c r="G237" s="46"/>
      <c r="H237" s="46"/>
      <c r="I237" s="302"/>
      <c r="J237" s="300"/>
    </row>
    <row r="238" spans="2:10" s="18" customFormat="1" ht="12.75" customHeight="1" outlineLevel="3">
      <c r="B238" s="297" t="s">
        <v>1822</v>
      </c>
      <c r="C238" s="297" t="s">
        <v>1972</v>
      </c>
      <c r="D238" s="298">
        <v>1001</v>
      </c>
      <c r="E238" s="306" t="s">
        <v>1973</v>
      </c>
      <c r="F238" s="46"/>
      <c r="G238" s="297" t="s">
        <v>1906</v>
      </c>
      <c r="H238" s="308" t="str">
        <f>CONCATENATE("MEP-",G238,"-",I238)</f>
        <v>MEP-T2V-6V-9</v>
      </c>
      <c r="I238" s="302">
        <v>9</v>
      </c>
      <c r="J238" s="300">
        <v>1</v>
      </c>
    </row>
    <row r="239" spans="2:10" s="18" customFormat="1" ht="12.75" customHeight="1" outlineLevel="3">
      <c r="B239" s="297" t="s">
        <v>1822</v>
      </c>
      <c r="C239" s="297" t="s">
        <v>1972</v>
      </c>
      <c r="D239" s="298">
        <v>1002</v>
      </c>
      <c r="E239" s="306" t="s">
        <v>1974</v>
      </c>
      <c r="F239" s="46"/>
      <c r="G239" s="297" t="s">
        <v>1906</v>
      </c>
      <c r="H239" s="308" t="str">
        <f>CONCATENATE("MEP-",G239,"-",I239)</f>
        <v>MEP-T2V-6V-9</v>
      </c>
      <c r="I239" s="302">
        <v>9</v>
      </c>
      <c r="J239" s="300">
        <v>1</v>
      </c>
    </row>
    <row r="240" spans="2:10" s="18" customFormat="1" ht="12.75" customHeight="1" outlineLevel="2">
      <c r="B240" s="316" t="s">
        <v>1859</v>
      </c>
      <c r="C240" s="297"/>
      <c r="D240" s="298"/>
      <c r="E240" s="306"/>
      <c r="F240" s="46"/>
      <c r="G240" s="46"/>
      <c r="H240" s="46"/>
      <c r="I240" s="302"/>
      <c r="J240" s="300"/>
    </row>
    <row r="241" spans="2:10" s="18" customFormat="1" ht="12.75" customHeight="1" outlineLevel="3">
      <c r="B241" s="297" t="s">
        <v>1822</v>
      </c>
      <c r="C241" s="297" t="s">
        <v>1906</v>
      </c>
      <c r="D241" s="298" t="s">
        <v>1861</v>
      </c>
      <c r="E241" s="306" t="s">
        <v>1975</v>
      </c>
      <c r="F241" s="46"/>
      <c r="G241" s="297" t="s">
        <v>1906</v>
      </c>
      <c r="H241" s="308" t="str">
        <f t="shared" ref="H241:H249" si="25">CONCATENATE("MEP-",G241,"-",I241)</f>
        <v>MEP-T2V-6V-7</v>
      </c>
      <c r="I241" s="302">
        <v>7</v>
      </c>
      <c r="J241" s="300">
        <v>1</v>
      </c>
    </row>
    <row r="242" spans="2:10" s="18" customFormat="1" ht="12.75" customHeight="1" outlineLevel="3">
      <c r="B242" s="297" t="s">
        <v>1822</v>
      </c>
      <c r="C242" s="297" t="s">
        <v>1906</v>
      </c>
      <c r="D242" s="298" t="s">
        <v>1950</v>
      </c>
      <c r="E242" s="306" t="s">
        <v>1976</v>
      </c>
      <c r="F242" s="46"/>
      <c r="G242" s="297" t="s">
        <v>1906</v>
      </c>
      <c r="H242" s="308" t="str">
        <f t="shared" si="25"/>
        <v>MEP-T2V-6V-7</v>
      </c>
      <c r="I242" s="302">
        <v>7</v>
      </c>
      <c r="J242" s="300">
        <v>1</v>
      </c>
    </row>
    <row r="243" spans="2:10" s="18" customFormat="1" ht="12.75" customHeight="1" outlineLevel="3">
      <c r="B243" s="297" t="s">
        <v>1822</v>
      </c>
      <c r="C243" s="297" t="s">
        <v>1906</v>
      </c>
      <c r="D243" s="298" t="s">
        <v>1892</v>
      </c>
      <c r="E243" s="306" t="s">
        <v>1977</v>
      </c>
      <c r="F243" s="46"/>
      <c r="G243" s="297" t="s">
        <v>1906</v>
      </c>
      <c r="H243" s="308" t="str">
        <f t="shared" si="25"/>
        <v>MEP-T2V-6V-7</v>
      </c>
      <c r="I243" s="302">
        <v>7</v>
      </c>
      <c r="J243" s="300">
        <v>1</v>
      </c>
    </row>
    <row r="244" spans="2:10" s="18" customFormat="1" ht="12.75" customHeight="1" outlineLevel="3">
      <c r="B244" s="297" t="s">
        <v>1822</v>
      </c>
      <c r="C244" s="297" t="s">
        <v>1906</v>
      </c>
      <c r="D244" s="298" t="s">
        <v>1978</v>
      </c>
      <c r="E244" s="306" t="s">
        <v>1979</v>
      </c>
      <c r="F244" s="46"/>
      <c r="G244" s="297" t="s">
        <v>1906</v>
      </c>
      <c r="H244" s="308" t="str">
        <f t="shared" si="25"/>
        <v>MEP-T2V-6V-7</v>
      </c>
      <c r="I244" s="302">
        <v>7</v>
      </c>
      <c r="J244" s="300">
        <v>1</v>
      </c>
    </row>
    <row r="245" spans="2:10" s="18" customFormat="1" ht="12.75" customHeight="1" outlineLevel="3">
      <c r="B245" s="297" t="s">
        <v>1822</v>
      </c>
      <c r="C245" s="297" t="s">
        <v>1906</v>
      </c>
      <c r="D245" s="298" t="s">
        <v>1863</v>
      </c>
      <c r="E245" s="306" t="s">
        <v>1980</v>
      </c>
      <c r="F245" s="46"/>
      <c r="G245" s="297" t="s">
        <v>1906</v>
      </c>
      <c r="H245" s="308" t="str">
        <f t="shared" si="25"/>
        <v>MEP-T2V-6V-7</v>
      </c>
      <c r="I245" s="302">
        <v>7</v>
      </c>
      <c r="J245" s="300">
        <v>1</v>
      </c>
    </row>
    <row r="246" spans="2:10" s="18" customFormat="1" ht="12.75" customHeight="1" outlineLevel="3">
      <c r="B246" s="297" t="s">
        <v>1822</v>
      </c>
      <c r="C246" s="297" t="s">
        <v>1906</v>
      </c>
      <c r="D246" s="298" t="s">
        <v>1954</v>
      </c>
      <c r="E246" s="306" t="s">
        <v>1981</v>
      </c>
      <c r="F246" s="46"/>
      <c r="G246" s="297" t="s">
        <v>1906</v>
      </c>
      <c r="H246" s="308" t="str">
        <f t="shared" si="25"/>
        <v>MEP-T2V-6V-7</v>
      </c>
      <c r="I246" s="302">
        <v>7</v>
      </c>
      <c r="J246" s="300">
        <v>1</v>
      </c>
    </row>
    <row r="247" spans="2:10" s="18" customFormat="1" ht="12.75" customHeight="1" outlineLevel="3">
      <c r="B247" s="297" t="s">
        <v>1822</v>
      </c>
      <c r="C247" s="297" t="s">
        <v>1906</v>
      </c>
      <c r="D247" s="298" t="s">
        <v>1895</v>
      </c>
      <c r="E247" s="306" t="s">
        <v>1982</v>
      </c>
      <c r="F247" s="46"/>
      <c r="G247" s="297" t="s">
        <v>1906</v>
      </c>
      <c r="H247" s="308" t="str">
        <f t="shared" si="25"/>
        <v>MEP-T2V-6V-7</v>
      </c>
      <c r="I247" s="302">
        <v>7</v>
      </c>
      <c r="J247" s="300">
        <v>1</v>
      </c>
    </row>
    <row r="248" spans="2:10" s="18" customFormat="1" ht="12.75" customHeight="1" outlineLevel="3">
      <c r="B248" s="297" t="s">
        <v>1822</v>
      </c>
      <c r="C248" s="297" t="s">
        <v>1906</v>
      </c>
      <c r="D248" s="298" t="s">
        <v>1983</v>
      </c>
      <c r="E248" s="306" t="s">
        <v>1984</v>
      </c>
      <c r="F248" s="46"/>
      <c r="G248" s="297" t="s">
        <v>1906</v>
      </c>
      <c r="H248" s="308" t="str">
        <f t="shared" si="25"/>
        <v>MEP-T2V-6V-7</v>
      </c>
      <c r="I248" s="302">
        <v>7</v>
      </c>
      <c r="J248" s="300">
        <v>1</v>
      </c>
    </row>
    <row r="249" spans="2:10" s="18" customFormat="1" ht="12.75" customHeight="1" outlineLevel="3">
      <c r="B249" s="297" t="s">
        <v>1822</v>
      </c>
      <c r="C249" s="297" t="s">
        <v>1906</v>
      </c>
      <c r="D249" s="298">
        <v>1011</v>
      </c>
      <c r="E249" s="306" t="s">
        <v>1985</v>
      </c>
      <c r="F249" s="46"/>
      <c r="G249" s="297" t="s">
        <v>1906</v>
      </c>
      <c r="H249" s="308" t="str">
        <f t="shared" si="25"/>
        <v>MEP-T2V-6V-7</v>
      </c>
      <c r="I249" s="302">
        <v>7</v>
      </c>
      <c r="J249" s="300">
        <v>1</v>
      </c>
    </row>
    <row r="250" spans="2:10" s="18" customFormat="1" ht="12.75" customHeight="1" outlineLevel="3">
      <c r="B250" s="297" t="s">
        <v>1822</v>
      </c>
      <c r="C250" s="297" t="s">
        <v>1906</v>
      </c>
      <c r="D250" s="298">
        <v>1012</v>
      </c>
      <c r="E250" s="306" t="s">
        <v>1986</v>
      </c>
      <c r="F250" s="46"/>
      <c r="G250" s="297" t="s">
        <v>1906</v>
      </c>
      <c r="H250" s="308" t="str">
        <f t="shared" ref="H250:H265" si="26">CONCATENATE("MEP-",G250,"-",I250)</f>
        <v>MEP-T2V-6V-7</v>
      </c>
      <c r="I250" s="302">
        <v>7</v>
      </c>
      <c r="J250" s="300">
        <v>1</v>
      </c>
    </row>
    <row r="251" spans="2:10" s="18" customFormat="1" ht="12.75" customHeight="1" outlineLevel="3">
      <c r="B251" s="297" t="s">
        <v>1822</v>
      </c>
      <c r="C251" s="297" t="s">
        <v>1906</v>
      </c>
      <c r="D251" s="298">
        <v>1021</v>
      </c>
      <c r="E251" s="306" t="s">
        <v>1987</v>
      </c>
      <c r="F251" s="46"/>
      <c r="G251" s="297" t="s">
        <v>1906</v>
      </c>
      <c r="H251" s="308" t="str">
        <f t="shared" si="26"/>
        <v>MEP-T2V-6V-7</v>
      </c>
      <c r="I251" s="302">
        <v>7</v>
      </c>
      <c r="J251" s="300">
        <v>1</v>
      </c>
    </row>
    <row r="252" spans="2:10" s="18" customFormat="1" ht="12.75" customHeight="1" outlineLevel="3">
      <c r="B252" s="297" t="s">
        <v>1822</v>
      </c>
      <c r="C252" s="297" t="s">
        <v>1906</v>
      </c>
      <c r="D252" s="298">
        <v>1022</v>
      </c>
      <c r="E252" s="306" t="s">
        <v>1988</v>
      </c>
      <c r="F252" s="46"/>
      <c r="G252" s="297" t="s">
        <v>1906</v>
      </c>
      <c r="H252" s="308" t="str">
        <f t="shared" si="26"/>
        <v>MEP-T2V-6V-7</v>
      </c>
      <c r="I252" s="302">
        <v>7</v>
      </c>
      <c r="J252" s="300">
        <v>1</v>
      </c>
    </row>
    <row r="253" spans="2:10" s="18" customFormat="1" ht="12.75" customHeight="1" outlineLevel="3">
      <c r="B253" s="297" t="s">
        <v>1822</v>
      </c>
      <c r="C253" s="297" t="s">
        <v>1906</v>
      </c>
      <c r="D253" s="298">
        <v>1031</v>
      </c>
      <c r="E253" s="306" t="s">
        <v>1989</v>
      </c>
      <c r="F253" s="46"/>
      <c r="G253" s="297" t="s">
        <v>1906</v>
      </c>
      <c r="H253" s="308" t="str">
        <f t="shared" si="26"/>
        <v>MEP-T2V-6V-7</v>
      </c>
      <c r="I253" s="302">
        <v>7</v>
      </c>
      <c r="J253" s="300">
        <v>1</v>
      </c>
    </row>
    <row r="254" spans="2:10" s="18" customFormat="1" ht="12.75" customHeight="1" outlineLevel="3">
      <c r="B254" s="297" t="s">
        <v>1822</v>
      </c>
      <c r="C254" s="297" t="s">
        <v>1906</v>
      </c>
      <c r="D254" s="298">
        <v>1032</v>
      </c>
      <c r="E254" s="306" t="s">
        <v>1990</v>
      </c>
      <c r="F254" s="46"/>
      <c r="G254" s="297" t="s">
        <v>1906</v>
      </c>
      <c r="H254" s="308" t="str">
        <f t="shared" si="26"/>
        <v>MEP-T2V-6V-7</v>
      </c>
      <c r="I254" s="302">
        <v>7</v>
      </c>
      <c r="J254" s="300">
        <v>1</v>
      </c>
    </row>
    <row r="255" spans="2:10" s="18" customFormat="1" ht="12.75" customHeight="1" outlineLevel="3">
      <c r="B255" s="297" t="s">
        <v>1822</v>
      </c>
      <c r="C255" s="297" t="s">
        <v>1906</v>
      </c>
      <c r="D255" s="298">
        <v>1041</v>
      </c>
      <c r="E255" s="306" t="s">
        <v>1991</v>
      </c>
      <c r="F255" s="46"/>
      <c r="G255" s="297" t="s">
        <v>1906</v>
      </c>
      <c r="H255" s="308" t="str">
        <f t="shared" si="26"/>
        <v>MEP-T2V-6V-7</v>
      </c>
      <c r="I255" s="302">
        <v>7</v>
      </c>
      <c r="J255" s="300">
        <v>1</v>
      </c>
    </row>
    <row r="256" spans="2:10" s="18" customFormat="1" ht="12.75" customHeight="1" outlineLevel="3">
      <c r="B256" s="297" t="s">
        <v>1822</v>
      </c>
      <c r="C256" s="297" t="s">
        <v>1906</v>
      </c>
      <c r="D256" s="298">
        <v>1042</v>
      </c>
      <c r="E256" s="306" t="s">
        <v>1992</v>
      </c>
      <c r="F256" s="46"/>
      <c r="G256" s="297" t="s">
        <v>1906</v>
      </c>
      <c r="H256" s="308" t="str">
        <f t="shared" si="26"/>
        <v>MEP-T2V-6V-7</v>
      </c>
      <c r="I256" s="302">
        <v>7</v>
      </c>
      <c r="J256" s="300">
        <v>1</v>
      </c>
    </row>
    <row r="257" spans="1:10" s="18" customFormat="1" ht="12.75" customHeight="1" outlineLevel="3">
      <c r="B257" s="297" t="s">
        <v>1822</v>
      </c>
      <c r="C257" s="297" t="s">
        <v>1906</v>
      </c>
      <c r="D257" s="298">
        <v>1051</v>
      </c>
      <c r="E257" s="306" t="s">
        <v>1993</v>
      </c>
      <c r="F257" s="46"/>
      <c r="G257" s="297" t="s">
        <v>1906</v>
      </c>
      <c r="H257" s="308" t="str">
        <f t="shared" si="26"/>
        <v>MEP-T2V-6V-7</v>
      </c>
      <c r="I257" s="302">
        <v>7</v>
      </c>
      <c r="J257" s="300">
        <v>1</v>
      </c>
    </row>
    <row r="258" spans="1:10" s="18" customFormat="1" ht="12.75" customHeight="1" outlineLevel="3">
      <c r="B258" s="297" t="s">
        <v>1822</v>
      </c>
      <c r="C258" s="297" t="s">
        <v>1906</v>
      </c>
      <c r="D258" s="298">
        <v>1052</v>
      </c>
      <c r="E258" s="306" t="s">
        <v>1994</v>
      </c>
      <c r="F258" s="46"/>
      <c r="G258" s="297" t="s">
        <v>1906</v>
      </c>
      <c r="H258" s="308" t="str">
        <f t="shared" si="26"/>
        <v>MEP-T2V-6V-7</v>
      </c>
      <c r="I258" s="302">
        <v>7</v>
      </c>
      <c r="J258" s="300">
        <v>1</v>
      </c>
    </row>
    <row r="259" spans="1:10" s="18" customFormat="1" ht="12.75" customHeight="1" outlineLevel="3">
      <c r="B259" s="297" t="s">
        <v>1822</v>
      </c>
      <c r="C259" s="297" t="s">
        <v>1906</v>
      </c>
      <c r="D259" s="298">
        <v>1061</v>
      </c>
      <c r="E259" s="306" t="s">
        <v>1995</v>
      </c>
      <c r="F259" s="46"/>
      <c r="G259" s="297" t="s">
        <v>1906</v>
      </c>
      <c r="H259" s="308" t="str">
        <f t="shared" si="26"/>
        <v>MEP-T2V-6V-7</v>
      </c>
      <c r="I259" s="302">
        <v>7</v>
      </c>
      <c r="J259" s="300">
        <v>1</v>
      </c>
    </row>
    <row r="260" spans="1:10" s="18" customFormat="1" ht="12.75" customHeight="1" outlineLevel="3">
      <c r="B260" s="297" t="s">
        <v>1822</v>
      </c>
      <c r="C260" s="297" t="s">
        <v>1906</v>
      </c>
      <c r="D260" s="298">
        <v>1062</v>
      </c>
      <c r="E260" s="306" t="s">
        <v>1996</v>
      </c>
      <c r="F260" s="46"/>
      <c r="G260" s="297" t="s">
        <v>1906</v>
      </c>
      <c r="H260" s="308" t="str">
        <f t="shared" si="26"/>
        <v>MEP-T2V-6V-7</v>
      </c>
      <c r="I260" s="302">
        <v>7</v>
      </c>
      <c r="J260" s="300">
        <v>1</v>
      </c>
    </row>
    <row r="261" spans="1:10" s="18" customFormat="1" ht="12.75" customHeight="1" outlineLevel="3">
      <c r="B261" s="297" t="s">
        <v>1822</v>
      </c>
      <c r="C261" s="297" t="s">
        <v>1906</v>
      </c>
      <c r="D261" s="298">
        <v>1071</v>
      </c>
      <c r="E261" s="306" t="s">
        <v>1997</v>
      </c>
      <c r="F261" s="46"/>
      <c r="G261" s="297" t="s">
        <v>1906</v>
      </c>
      <c r="H261" s="308" t="str">
        <f t="shared" si="26"/>
        <v>MEP-T2V-6V-7</v>
      </c>
      <c r="I261" s="302">
        <v>7</v>
      </c>
      <c r="J261" s="300">
        <v>1</v>
      </c>
    </row>
    <row r="262" spans="1:10" s="18" customFormat="1" ht="12.75" customHeight="1" outlineLevel="3">
      <c r="B262" s="297" t="s">
        <v>1822</v>
      </c>
      <c r="C262" s="297" t="s">
        <v>1906</v>
      </c>
      <c r="D262" s="298">
        <v>1072</v>
      </c>
      <c r="E262" s="306" t="s">
        <v>1998</v>
      </c>
      <c r="F262" s="46"/>
      <c r="G262" s="297" t="s">
        <v>1906</v>
      </c>
      <c r="H262" s="308" t="str">
        <f t="shared" si="26"/>
        <v>MEP-T2V-6V-7</v>
      </c>
      <c r="I262" s="302">
        <v>7</v>
      </c>
      <c r="J262" s="300">
        <v>1</v>
      </c>
    </row>
    <row r="263" spans="1:10" s="18" customFormat="1" ht="12.75" customHeight="1" outlineLevel="3">
      <c r="A263" s="288"/>
      <c r="B263" s="297" t="s">
        <v>1822</v>
      </c>
      <c r="C263" s="297" t="s">
        <v>1906</v>
      </c>
      <c r="D263" s="298">
        <v>1081</v>
      </c>
      <c r="E263" s="306" t="s">
        <v>1999</v>
      </c>
      <c r="F263" s="46"/>
      <c r="G263" s="297" t="s">
        <v>1906</v>
      </c>
      <c r="H263" s="308" t="str">
        <f t="shared" si="26"/>
        <v>MEP-T2V-6V-7</v>
      </c>
      <c r="I263" s="302">
        <v>7</v>
      </c>
      <c r="J263" s="300">
        <v>1</v>
      </c>
    </row>
    <row r="264" spans="1:10" s="18" customFormat="1" ht="12.75" customHeight="1" outlineLevel="3">
      <c r="A264" s="288"/>
      <c r="B264" s="297" t="s">
        <v>1822</v>
      </c>
      <c r="C264" s="297" t="s">
        <v>1906</v>
      </c>
      <c r="D264" s="298">
        <v>1082</v>
      </c>
      <c r="E264" s="306" t="s">
        <v>2000</v>
      </c>
      <c r="F264" s="46"/>
      <c r="G264" s="297" t="s">
        <v>1906</v>
      </c>
      <c r="H264" s="308" t="str">
        <f t="shared" si="26"/>
        <v>MEP-T2V-6V-7</v>
      </c>
      <c r="I264" s="302">
        <v>7</v>
      </c>
      <c r="J264" s="300">
        <v>1</v>
      </c>
    </row>
    <row r="265" spans="1:10" s="18" customFormat="1" ht="12.75" customHeight="1" outlineLevel="3">
      <c r="A265" s="288"/>
      <c r="B265" s="297" t="s">
        <v>1822</v>
      </c>
      <c r="C265" s="297" t="s">
        <v>1906</v>
      </c>
      <c r="D265" s="298">
        <v>1271</v>
      </c>
      <c r="E265" s="306" t="s">
        <v>2001</v>
      </c>
      <c r="F265" s="46"/>
      <c r="G265" s="297" t="s">
        <v>1906</v>
      </c>
      <c r="H265" s="308" t="str">
        <f t="shared" si="26"/>
        <v>MEP-T2V-6V-7</v>
      </c>
      <c r="I265" s="302">
        <v>7</v>
      </c>
      <c r="J265" s="300">
        <v>1</v>
      </c>
    </row>
    <row r="266" spans="1:10" s="18" customFormat="1" ht="12.75" customHeight="1" outlineLevel="3">
      <c r="A266" s="288"/>
      <c r="B266" s="297" t="s">
        <v>1822</v>
      </c>
      <c r="C266" s="297" t="s">
        <v>1906</v>
      </c>
      <c r="D266" s="298">
        <v>1271</v>
      </c>
      <c r="E266" s="306" t="s">
        <v>2002</v>
      </c>
      <c r="F266" s="46"/>
      <c r="G266" s="297" t="s">
        <v>1906</v>
      </c>
      <c r="H266" s="308" t="str">
        <f t="shared" ref="H266" si="27">CONCATENATE("MEP-",G266,"-",I266)</f>
        <v>MEP-T2V-6V-7</v>
      </c>
      <c r="I266" s="302">
        <v>7</v>
      </c>
      <c r="J266" s="311">
        <v>1</v>
      </c>
    </row>
    <row r="267" spans="1:10" s="18" customFormat="1" ht="12.75" customHeight="1" outlineLevel="3">
      <c r="A267" s="288"/>
      <c r="B267" s="297"/>
      <c r="C267" s="297"/>
      <c r="D267" s="298"/>
      <c r="E267" s="306"/>
      <c r="F267" s="46"/>
      <c r="G267" s="297"/>
      <c r="H267" s="308"/>
      <c r="I267" s="302"/>
      <c r="J267" s="300"/>
    </row>
    <row r="268" spans="1:10" s="18" customFormat="1" ht="12.75" customHeight="1" outlineLevel="1">
      <c r="A268" s="288"/>
      <c r="B268" s="301" t="s">
        <v>2003</v>
      </c>
      <c r="C268" s="297"/>
      <c r="D268" s="298"/>
      <c r="E268" s="306"/>
      <c r="F268" s="46"/>
      <c r="G268" s="46"/>
      <c r="H268" s="46"/>
      <c r="I268" s="302"/>
      <c r="J268" s="300"/>
    </row>
    <row r="269" spans="1:10" s="18" customFormat="1" ht="12.75" customHeight="1" outlineLevel="2">
      <c r="A269" s="288"/>
      <c r="B269" s="316" t="s">
        <v>1833</v>
      </c>
      <c r="C269" s="297"/>
      <c r="D269" s="298"/>
      <c r="E269" s="306"/>
      <c r="F269" s="46"/>
      <c r="G269" s="46"/>
      <c r="H269" s="46"/>
      <c r="I269" s="302"/>
      <c r="J269" s="300"/>
    </row>
    <row r="270" spans="1:10" s="18" customFormat="1" ht="12.75" customHeight="1" outlineLevel="3">
      <c r="A270" s="288"/>
      <c r="B270" s="297" t="s">
        <v>1465</v>
      </c>
      <c r="C270" s="297" t="s">
        <v>1906</v>
      </c>
      <c r="D270" s="298">
        <v>1001</v>
      </c>
      <c r="E270" s="306" t="s">
        <v>2004</v>
      </c>
      <c r="F270" s="46"/>
      <c r="G270" s="297" t="s">
        <v>1906</v>
      </c>
      <c r="H270" s="308" t="str">
        <f>CONCATENATE("MEP-",G270,"-",I270)</f>
        <v>MEP-T2V-6V-9</v>
      </c>
      <c r="I270" s="302">
        <v>9</v>
      </c>
      <c r="J270" s="300">
        <v>1</v>
      </c>
    </row>
    <row r="271" spans="1:10" s="18" customFormat="1" ht="12.75" customHeight="1" outlineLevel="3">
      <c r="A271" s="288"/>
      <c r="B271" s="297" t="s">
        <v>1465</v>
      </c>
      <c r="C271" s="297" t="s">
        <v>1906</v>
      </c>
      <c r="D271" s="298">
        <v>1003</v>
      </c>
      <c r="E271" s="306" t="s">
        <v>2005</v>
      </c>
      <c r="F271" s="46"/>
      <c r="G271" s="297" t="s">
        <v>1906</v>
      </c>
      <c r="H271" s="308" t="str">
        <f>CONCATENATE("MEP-",G271,"-",I271)</f>
        <v>MEP-T2V-6V-9</v>
      </c>
      <c r="I271" s="302">
        <v>9</v>
      </c>
      <c r="J271" s="300">
        <v>1</v>
      </c>
    </row>
    <row r="272" spans="1:10" ht="3" customHeight="1">
      <c r="A272" s="304"/>
      <c r="B272" s="297"/>
      <c r="D272" s="298"/>
      <c r="E272" s="306"/>
      <c r="F272" s="307"/>
      <c r="G272" s="297"/>
      <c r="H272" s="314"/>
      <c r="I272" s="309"/>
    </row>
    <row r="273" spans="1:19" s="18" customFormat="1" ht="12.75" customHeight="1">
      <c r="A273" s="288" t="s">
        <v>2006</v>
      </c>
      <c r="B273" s="297"/>
      <c r="C273" s="297"/>
      <c r="D273" s="298"/>
      <c r="E273" s="306"/>
      <c r="F273" s="46"/>
      <c r="G273" s="41" t="s">
        <v>257</v>
      </c>
      <c r="H273" s="41" t="s">
        <v>258</v>
      </c>
      <c r="I273" s="42" t="s">
        <v>259</v>
      </c>
      <c r="J273" s="300"/>
    </row>
    <row r="274" spans="1:19" s="18" customFormat="1" ht="12.75" customHeight="1" outlineLevel="1">
      <c r="A274" s="288"/>
      <c r="B274" s="297"/>
      <c r="C274" s="297"/>
      <c r="D274" s="298"/>
      <c r="E274" s="306"/>
      <c r="F274" s="46"/>
      <c r="G274" s="46"/>
      <c r="H274" s="46"/>
      <c r="I274" s="302"/>
      <c r="J274" s="300"/>
    </row>
    <row r="275" spans="1:19" s="18" customFormat="1" ht="12.75" customHeight="1" outlineLevel="1">
      <c r="A275" s="288"/>
      <c r="B275" s="301" t="s">
        <v>1796</v>
      </c>
      <c r="C275" s="297"/>
      <c r="D275" s="298"/>
      <c r="E275" s="306"/>
      <c r="F275" s="46"/>
      <c r="G275" s="46"/>
      <c r="H275" s="46"/>
      <c r="I275" s="302"/>
      <c r="J275" s="300"/>
    </row>
    <row r="276" spans="1:19" s="18" customFormat="1" ht="12.75" customHeight="1" outlineLevel="2">
      <c r="A276" s="288"/>
      <c r="B276" s="316" t="s">
        <v>1839</v>
      </c>
      <c r="C276" s="297"/>
      <c r="D276" s="298"/>
      <c r="E276" s="306"/>
      <c r="F276" s="46"/>
      <c r="G276" s="46"/>
      <c r="H276" s="46"/>
      <c r="I276" s="302"/>
      <c r="J276" s="300"/>
    </row>
    <row r="277" spans="1:19" s="18" customFormat="1" ht="12.75" customHeight="1" outlineLevel="3">
      <c r="A277" s="288"/>
      <c r="B277" s="297" t="s">
        <v>1797</v>
      </c>
      <c r="C277" s="297" t="s">
        <v>2007</v>
      </c>
      <c r="D277" s="298">
        <v>4141</v>
      </c>
      <c r="E277" s="306" t="s">
        <v>2008</v>
      </c>
      <c r="F277" s="46"/>
      <c r="G277" s="297" t="s">
        <v>2009</v>
      </c>
      <c r="H277" s="308" t="str">
        <f t="shared" ref="H277:H290" si="28">CONCATENATE("MEP-",G277,"-",I277)</f>
        <v>MEP-T2S-6S-6</v>
      </c>
      <c r="I277" s="302">
        <v>6</v>
      </c>
      <c r="J277" s="311">
        <v>1</v>
      </c>
    </row>
    <row r="278" spans="1:19" s="18" customFormat="1" ht="12.75" customHeight="1" outlineLevel="2">
      <c r="A278" s="288"/>
      <c r="B278" s="316" t="s">
        <v>1842</v>
      </c>
      <c r="C278" s="297"/>
      <c r="D278" s="298"/>
      <c r="E278" s="306"/>
      <c r="F278" s="46"/>
      <c r="G278" s="46"/>
      <c r="H278" s="46"/>
      <c r="I278" s="302"/>
      <c r="J278" s="300"/>
    </row>
    <row r="279" spans="1:19" s="18" customFormat="1" ht="12.75" customHeight="1" outlineLevel="3">
      <c r="B279" s="297" t="s">
        <v>1797</v>
      </c>
      <c r="C279" s="297" t="s">
        <v>2009</v>
      </c>
      <c r="D279" s="298">
        <v>9001</v>
      </c>
      <c r="E279" s="306" t="s">
        <v>2010</v>
      </c>
      <c r="F279" s="46"/>
      <c r="G279" s="297" t="s">
        <v>2009</v>
      </c>
      <c r="H279" s="308" t="str">
        <f t="shared" si="28"/>
        <v>MEP-T2S-6S-4</v>
      </c>
      <c r="I279" s="302">
        <v>4</v>
      </c>
      <c r="J279" s="300"/>
      <c r="K279" s="300"/>
      <c r="L279" s="311">
        <v>1</v>
      </c>
      <c r="M279" s="311">
        <v>1</v>
      </c>
      <c r="Q279" s="18">
        <v>1</v>
      </c>
      <c r="S279" s="18">
        <v>1</v>
      </c>
    </row>
    <row r="280" spans="1:19" s="18" customFormat="1" ht="12.75" customHeight="1" outlineLevel="2">
      <c r="B280" s="316" t="s">
        <v>1915</v>
      </c>
      <c r="C280" s="297"/>
      <c r="D280" s="298"/>
      <c r="E280" s="306"/>
      <c r="F280" s="46"/>
      <c r="G280" s="46"/>
      <c r="H280" s="46"/>
      <c r="I280" s="302"/>
      <c r="J280" s="300"/>
      <c r="K280" s="300"/>
      <c r="L280" s="300"/>
      <c r="M280" s="311"/>
    </row>
    <row r="281" spans="1:19" s="18" customFormat="1" ht="12.75" customHeight="1" outlineLevel="3">
      <c r="B281" s="297" t="s">
        <v>1797</v>
      </c>
      <c r="C281" s="297" t="s">
        <v>2009</v>
      </c>
      <c r="D281" s="298">
        <v>1004</v>
      </c>
      <c r="E281" s="306" t="s">
        <v>2011</v>
      </c>
      <c r="F281" s="46"/>
      <c r="G281" s="297" t="s">
        <v>2009</v>
      </c>
      <c r="H281" s="308" t="str">
        <f t="shared" si="28"/>
        <v>MEP-T2S-6S-4</v>
      </c>
      <c r="I281" s="302">
        <v>4</v>
      </c>
      <c r="J281" s="300">
        <v>1</v>
      </c>
      <c r="K281" s="300"/>
      <c r="L281" s="300"/>
      <c r="M281" s="311"/>
    </row>
    <row r="282" spans="1:19" s="18" customFormat="1" ht="12.75" customHeight="1" outlineLevel="3">
      <c r="B282" s="297" t="s">
        <v>1797</v>
      </c>
      <c r="C282" s="297" t="s">
        <v>2009</v>
      </c>
      <c r="D282" s="298">
        <v>1011</v>
      </c>
      <c r="E282" s="306" t="s">
        <v>2012</v>
      </c>
      <c r="F282" s="46"/>
      <c r="G282" s="297" t="s">
        <v>2009</v>
      </c>
      <c r="H282" s="308" t="str">
        <f t="shared" ref="H282" si="29">CONCATENATE("MEP-",G282,"-",I282)</f>
        <v>MEP-T2S-6S-4</v>
      </c>
      <c r="I282" s="302">
        <v>4</v>
      </c>
      <c r="J282" s="300">
        <v>1</v>
      </c>
      <c r="K282" s="300"/>
      <c r="L282" s="300"/>
      <c r="M282" s="311"/>
    </row>
    <row r="283" spans="1:19" s="18" customFormat="1" ht="12.75" customHeight="1" outlineLevel="3">
      <c r="B283" s="297" t="s">
        <v>1797</v>
      </c>
      <c r="C283" s="297" t="s">
        <v>2009</v>
      </c>
      <c r="D283" s="298">
        <v>1014</v>
      </c>
      <c r="E283" s="306" t="s">
        <v>2011</v>
      </c>
      <c r="F283" s="46"/>
      <c r="G283" s="297" t="s">
        <v>2009</v>
      </c>
      <c r="H283" s="308" t="str">
        <f t="shared" si="28"/>
        <v>MEP-T2S-6S-4</v>
      </c>
      <c r="I283" s="302">
        <v>4</v>
      </c>
      <c r="J283" s="300">
        <v>1</v>
      </c>
      <c r="K283" s="300"/>
      <c r="L283" s="300"/>
      <c r="M283" s="311"/>
    </row>
    <row r="284" spans="1:19" s="18" customFormat="1" ht="12.75" customHeight="1" outlineLevel="3">
      <c r="B284" s="297" t="s">
        <v>1797</v>
      </c>
      <c r="C284" s="297" t="s">
        <v>2009</v>
      </c>
      <c r="D284" s="298">
        <v>1017</v>
      </c>
      <c r="E284" s="306" t="s">
        <v>2013</v>
      </c>
      <c r="F284" s="46"/>
      <c r="G284" s="297" t="s">
        <v>2009</v>
      </c>
      <c r="H284" s="308" t="str">
        <f t="shared" si="28"/>
        <v>MEP-T2S-6S-4</v>
      </c>
      <c r="I284" s="302">
        <v>4</v>
      </c>
      <c r="J284" s="311">
        <v>1</v>
      </c>
      <c r="K284" s="300"/>
      <c r="L284" s="311"/>
      <c r="M284" s="311"/>
    </row>
    <row r="285" spans="1:19" s="18" customFormat="1" ht="12.75" customHeight="1" outlineLevel="3">
      <c r="B285" s="297" t="s">
        <v>1797</v>
      </c>
      <c r="C285" s="297" t="s">
        <v>2009</v>
      </c>
      <c r="D285" s="298">
        <v>1021</v>
      </c>
      <c r="E285" s="306" t="s">
        <v>2014</v>
      </c>
      <c r="F285" s="46"/>
      <c r="G285" s="297" t="s">
        <v>2009</v>
      </c>
      <c r="H285" s="308" t="str">
        <f t="shared" si="28"/>
        <v>MEP-T2S-6S-5</v>
      </c>
      <c r="I285" s="302">
        <v>5</v>
      </c>
      <c r="J285" s="311">
        <v>1</v>
      </c>
      <c r="K285" s="300"/>
      <c r="L285" s="311"/>
      <c r="M285" s="311"/>
    </row>
    <row r="286" spans="1:19" s="18" customFormat="1" ht="12.75" customHeight="1" outlineLevel="3">
      <c r="B286" s="297" t="s">
        <v>1797</v>
      </c>
      <c r="C286" s="297" t="s">
        <v>2009</v>
      </c>
      <c r="D286" s="298">
        <v>1024</v>
      </c>
      <c r="E286" s="306" t="s">
        <v>2015</v>
      </c>
      <c r="F286" s="46"/>
      <c r="G286" s="297" t="s">
        <v>2009</v>
      </c>
      <c r="H286" s="308" t="str">
        <f t="shared" si="28"/>
        <v>MEP-T2S-6S-5</v>
      </c>
      <c r="I286" s="302">
        <v>5</v>
      </c>
      <c r="J286" s="300">
        <v>1</v>
      </c>
      <c r="K286" s="300"/>
      <c r="M286" s="311"/>
    </row>
    <row r="287" spans="1:19" s="18" customFormat="1" ht="12.75" customHeight="1" outlineLevel="3">
      <c r="B287" s="297" t="s">
        <v>1797</v>
      </c>
      <c r="C287" s="297" t="s">
        <v>2009</v>
      </c>
      <c r="D287" s="298">
        <v>1027</v>
      </c>
      <c r="E287" s="306" t="s">
        <v>2016</v>
      </c>
      <c r="F287" s="46"/>
      <c r="G287" s="297" t="s">
        <v>2009</v>
      </c>
      <c r="H287" s="308" t="str">
        <f t="shared" si="28"/>
        <v>MEP-T2S-6S-5</v>
      </c>
      <c r="I287" s="302">
        <v>5</v>
      </c>
      <c r="J287" s="311">
        <v>1</v>
      </c>
      <c r="K287" s="300"/>
      <c r="L287" s="311"/>
      <c r="M287" s="311"/>
    </row>
    <row r="288" spans="1:19" s="18" customFormat="1" ht="12.75" customHeight="1" outlineLevel="3">
      <c r="B288" s="297" t="s">
        <v>1797</v>
      </c>
      <c r="C288" s="297" t="s">
        <v>2009</v>
      </c>
      <c r="D288" s="298">
        <v>1031</v>
      </c>
      <c r="E288" s="306" t="s">
        <v>2017</v>
      </c>
      <c r="F288" s="46"/>
      <c r="G288" s="297" t="s">
        <v>2009</v>
      </c>
      <c r="H288" s="308" t="str">
        <f t="shared" si="28"/>
        <v>MEP-T2S-6S-5</v>
      </c>
      <c r="I288" s="302">
        <v>5</v>
      </c>
      <c r="J288" s="311">
        <v>1</v>
      </c>
      <c r="K288" s="300"/>
      <c r="L288" s="311"/>
      <c r="M288" s="311"/>
    </row>
    <row r="289" spans="2:13" s="18" customFormat="1" ht="12.75" customHeight="1" outlineLevel="3">
      <c r="B289" s="297" t="s">
        <v>1797</v>
      </c>
      <c r="C289" s="297" t="s">
        <v>2009</v>
      </c>
      <c r="D289" s="298">
        <v>1034</v>
      </c>
      <c r="E289" s="306" t="s">
        <v>2018</v>
      </c>
      <c r="F289" s="46"/>
      <c r="G289" s="297" t="s">
        <v>2009</v>
      </c>
      <c r="H289" s="308" t="str">
        <f t="shared" si="28"/>
        <v>MEP-T2S-6S-5</v>
      </c>
      <c r="I289" s="302">
        <v>5</v>
      </c>
      <c r="J289" s="300">
        <v>1</v>
      </c>
      <c r="K289" s="300"/>
      <c r="L289" s="300"/>
      <c r="M289" s="311"/>
    </row>
    <row r="290" spans="2:13" s="18" customFormat="1" ht="12.75" customHeight="1" outlineLevel="3">
      <c r="B290" s="297" t="s">
        <v>1797</v>
      </c>
      <c r="C290" s="297" t="s">
        <v>2009</v>
      </c>
      <c r="D290" s="298">
        <v>1037</v>
      </c>
      <c r="E290" s="306" t="s">
        <v>2019</v>
      </c>
      <c r="F290" s="46"/>
      <c r="G290" s="297" t="s">
        <v>2009</v>
      </c>
      <c r="H290" s="308" t="str">
        <f t="shared" si="28"/>
        <v>MEP-T2S-6S-5</v>
      </c>
      <c r="I290" s="302">
        <v>5</v>
      </c>
      <c r="J290" s="311">
        <v>1</v>
      </c>
      <c r="K290" s="300"/>
      <c r="L290" s="311"/>
      <c r="M290" s="311"/>
    </row>
    <row r="291" spans="2:13" s="18" customFormat="1" ht="12.75" customHeight="1" outlineLevel="3">
      <c r="B291" s="297" t="s">
        <v>1797</v>
      </c>
      <c r="C291" s="297" t="s">
        <v>2009</v>
      </c>
      <c r="D291" s="298">
        <v>1041</v>
      </c>
      <c r="E291" s="306" t="s">
        <v>2020</v>
      </c>
      <c r="F291" s="46"/>
      <c r="G291" s="297" t="s">
        <v>2009</v>
      </c>
      <c r="H291" s="308" t="str">
        <f t="shared" ref="H291:H294" si="30">CONCATENATE("MEP-",G291,"-",I291)</f>
        <v>MEP-T2S-6S-5</v>
      </c>
      <c r="I291" s="302">
        <v>5</v>
      </c>
      <c r="J291" s="311">
        <v>1</v>
      </c>
      <c r="K291" s="300"/>
      <c r="L291" s="311"/>
      <c r="M291" s="311"/>
    </row>
    <row r="292" spans="2:13" s="18" customFormat="1" ht="12.75" customHeight="1" outlineLevel="3">
      <c r="B292" s="297" t="s">
        <v>1797</v>
      </c>
      <c r="C292" s="297" t="s">
        <v>2009</v>
      </c>
      <c r="D292" s="298">
        <v>1044</v>
      </c>
      <c r="E292" s="306" t="s">
        <v>2021</v>
      </c>
      <c r="F292" s="46"/>
      <c r="G292" s="297" t="s">
        <v>2009</v>
      </c>
      <c r="H292" s="308" t="str">
        <f t="shared" si="30"/>
        <v>MEP-T2S-6S-5</v>
      </c>
      <c r="I292" s="302">
        <v>5</v>
      </c>
      <c r="J292" s="300">
        <v>1</v>
      </c>
      <c r="K292" s="300"/>
      <c r="L292" s="300"/>
      <c r="M292" s="311"/>
    </row>
    <row r="293" spans="2:13" s="18" customFormat="1" ht="12.75" customHeight="1" outlineLevel="3">
      <c r="B293" s="297" t="s">
        <v>1797</v>
      </c>
      <c r="C293" s="297" t="s">
        <v>2009</v>
      </c>
      <c r="D293" s="298">
        <v>1047</v>
      </c>
      <c r="E293" s="306" t="s">
        <v>2022</v>
      </c>
      <c r="F293" s="46"/>
      <c r="G293" s="297" t="s">
        <v>2009</v>
      </c>
      <c r="H293" s="308" t="str">
        <f t="shared" si="30"/>
        <v>MEP-T2S-6S-5</v>
      </c>
      <c r="I293" s="302">
        <v>5</v>
      </c>
      <c r="J293" s="311">
        <v>1</v>
      </c>
      <c r="K293" s="300"/>
      <c r="L293" s="311"/>
      <c r="M293" s="311"/>
    </row>
    <row r="294" spans="2:13" s="18" customFormat="1" ht="12.75" customHeight="1" outlineLevel="3">
      <c r="B294" s="297" t="s">
        <v>1797</v>
      </c>
      <c r="C294" s="297" t="s">
        <v>2009</v>
      </c>
      <c r="D294" s="298">
        <v>1061</v>
      </c>
      <c r="E294" s="306" t="s">
        <v>2023</v>
      </c>
      <c r="F294" s="46"/>
      <c r="G294" s="297" t="s">
        <v>2009</v>
      </c>
      <c r="H294" s="308" t="str">
        <f t="shared" si="30"/>
        <v>MEP-T2S-6S-NA</v>
      </c>
      <c r="I294" s="302" t="s">
        <v>293</v>
      </c>
      <c r="J294" s="300"/>
      <c r="K294" s="300"/>
      <c r="L294" s="311"/>
      <c r="M294" s="311"/>
    </row>
    <row r="295" spans="2:13" s="18" customFormat="1" ht="12.75" customHeight="1" outlineLevel="1"/>
    <row r="296" spans="2:13" s="18" customFormat="1" ht="12.75" customHeight="1" outlineLevel="1">
      <c r="B296" s="301" t="s">
        <v>1810</v>
      </c>
      <c r="C296" s="297"/>
      <c r="D296" s="298"/>
      <c r="E296" s="306"/>
      <c r="F296" s="46"/>
      <c r="G296" s="46"/>
      <c r="H296" s="46"/>
      <c r="I296" s="302"/>
      <c r="J296" s="300"/>
    </row>
    <row r="297" spans="2:13" s="18" customFormat="1" ht="12.75" customHeight="1" outlineLevel="2">
      <c r="B297" s="316" t="s">
        <v>1833</v>
      </c>
      <c r="C297" s="297"/>
      <c r="D297" s="298"/>
      <c r="E297" s="306"/>
      <c r="F297" s="46"/>
      <c r="G297" s="46"/>
      <c r="H297" s="46"/>
      <c r="I297" s="302"/>
      <c r="J297" s="300"/>
    </row>
    <row r="298" spans="2:13" s="18" customFormat="1" ht="12.75" customHeight="1" outlineLevel="3">
      <c r="B298" s="297" t="s">
        <v>1811</v>
      </c>
      <c r="C298" s="297" t="s">
        <v>2009</v>
      </c>
      <c r="D298" s="298">
        <v>1081</v>
      </c>
      <c r="E298" s="306" t="s">
        <v>2024</v>
      </c>
      <c r="F298" s="46"/>
      <c r="G298" s="297" t="s">
        <v>2009</v>
      </c>
      <c r="H298" s="308" t="str">
        <f>CONCATENATE("MEP-",G298,"-",I298)</f>
        <v>MEP-T2S-6S-NA</v>
      </c>
      <c r="I298" s="302" t="s">
        <v>293</v>
      </c>
      <c r="J298" s="300"/>
    </row>
    <row r="299" spans="2:13" s="18" customFormat="1" ht="12.75" customHeight="1" outlineLevel="2">
      <c r="B299" s="316" t="s">
        <v>1839</v>
      </c>
      <c r="C299" s="297"/>
      <c r="D299" s="298"/>
      <c r="E299" s="306"/>
      <c r="F299" s="46"/>
      <c r="G299" s="46"/>
      <c r="H299" s="46"/>
      <c r="I299" s="302"/>
      <c r="J299" s="300"/>
    </row>
    <row r="300" spans="2:13" s="18" customFormat="1" ht="12.75" customHeight="1" outlineLevel="3">
      <c r="B300" s="297" t="s">
        <v>1811</v>
      </c>
      <c r="C300" s="297" t="s">
        <v>2009</v>
      </c>
      <c r="D300" s="298">
        <v>4101</v>
      </c>
      <c r="E300" s="306" t="s">
        <v>2025</v>
      </c>
      <c r="F300" s="46"/>
      <c r="G300" s="297" t="s">
        <v>2009</v>
      </c>
      <c r="H300" s="308" t="str">
        <f>CONCATENATE("MEP-",G300,"-",I300)</f>
        <v>MEP-T2S-6S-NA</v>
      </c>
      <c r="I300" s="302" t="s">
        <v>293</v>
      </c>
      <c r="J300" s="300"/>
    </row>
    <row r="301" spans="2:13" s="18" customFormat="1" ht="12.75" customHeight="1" outlineLevel="2">
      <c r="B301" s="316" t="s">
        <v>1859</v>
      </c>
      <c r="C301" s="297"/>
      <c r="D301" s="298"/>
      <c r="E301" s="306"/>
      <c r="F301" s="46"/>
      <c r="G301" s="46"/>
      <c r="H301" s="46"/>
      <c r="I301" s="302"/>
      <c r="J301" s="300"/>
    </row>
    <row r="302" spans="2:13" s="18" customFormat="1" ht="12.75" customHeight="1" outlineLevel="3">
      <c r="B302" s="297" t="s">
        <v>1811</v>
      </c>
      <c r="C302" s="297" t="s">
        <v>2009</v>
      </c>
      <c r="D302" s="298">
        <v>1021</v>
      </c>
      <c r="E302" s="306" t="s">
        <v>2026</v>
      </c>
      <c r="F302" s="46"/>
      <c r="G302" s="297" t="s">
        <v>2009</v>
      </c>
      <c r="H302" s="308" t="str">
        <f t="shared" ref="H302:H309" si="31">CONCATENATE("MEP-",G302,"-",I302)</f>
        <v>MEP-T2S-6S-5</v>
      </c>
      <c r="I302" s="302">
        <v>5</v>
      </c>
      <c r="J302" s="300">
        <v>1</v>
      </c>
    </row>
    <row r="303" spans="2:13" s="18" customFormat="1" ht="12.75" customHeight="1" outlineLevel="3">
      <c r="B303" s="297" t="s">
        <v>1811</v>
      </c>
      <c r="C303" s="297" t="s">
        <v>2009</v>
      </c>
      <c r="D303" s="298">
        <v>1022</v>
      </c>
      <c r="E303" s="306" t="s">
        <v>2027</v>
      </c>
      <c r="F303" s="46"/>
      <c r="G303" s="297" t="s">
        <v>2009</v>
      </c>
      <c r="H303" s="308" t="str">
        <f t="shared" si="31"/>
        <v>MEP-T2S-6S-5</v>
      </c>
      <c r="I303" s="302">
        <v>5</v>
      </c>
      <c r="J303" s="300">
        <v>1</v>
      </c>
    </row>
    <row r="304" spans="2:13" s="18" customFormat="1" ht="12.75" customHeight="1" outlineLevel="3">
      <c r="B304" s="297" t="s">
        <v>1811</v>
      </c>
      <c r="C304" s="297" t="s">
        <v>2009</v>
      </c>
      <c r="D304" s="298">
        <v>1023</v>
      </c>
      <c r="E304" s="306" t="s">
        <v>2028</v>
      </c>
      <c r="F304" s="46"/>
      <c r="G304" s="297" t="s">
        <v>2009</v>
      </c>
      <c r="H304" s="308" t="str">
        <f t="shared" si="31"/>
        <v>MEP-T2S-6S-5</v>
      </c>
      <c r="I304" s="302">
        <v>5</v>
      </c>
      <c r="J304" s="300">
        <v>1</v>
      </c>
    </row>
    <row r="305" spans="2:10" s="18" customFormat="1" ht="12.75" customHeight="1" outlineLevel="3">
      <c r="B305" s="297" t="s">
        <v>1811</v>
      </c>
      <c r="C305" s="297" t="s">
        <v>2009</v>
      </c>
      <c r="D305" s="298">
        <v>1024</v>
      </c>
      <c r="E305" s="306" t="s">
        <v>2029</v>
      </c>
      <c r="F305" s="46"/>
      <c r="G305" s="297" t="s">
        <v>2009</v>
      </c>
      <c r="H305" s="308" t="str">
        <f t="shared" si="31"/>
        <v>MEP-T2S-6S-5</v>
      </c>
      <c r="I305" s="302">
        <v>5</v>
      </c>
      <c r="J305" s="300">
        <v>1</v>
      </c>
    </row>
    <row r="306" spans="2:10" s="18" customFormat="1" ht="12.75" customHeight="1" outlineLevel="3">
      <c r="B306" s="297" t="s">
        <v>1811</v>
      </c>
      <c r="C306" s="297" t="s">
        <v>2009</v>
      </c>
      <c r="D306" s="298">
        <v>1031</v>
      </c>
      <c r="E306" s="306" t="s">
        <v>2030</v>
      </c>
      <c r="F306" s="46"/>
      <c r="G306" s="297" t="s">
        <v>2009</v>
      </c>
      <c r="H306" s="308" t="str">
        <f t="shared" si="31"/>
        <v>MEP-T2S-6S-5</v>
      </c>
      <c r="I306" s="302">
        <v>5</v>
      </c>
      <c r="J306" s="300">
        <v>1</v>
      </c>
    </row>
    <row r="307" spans="2:10" s="18" customFormat="1" ht="12.75" customHeight="1" outlineLevel="3">
      <c r="B307" s="297" t="s">
        <v>1811</v>
      </c>
      <c r="C307" s="297" t="s">
        <v>2009</v>
      </c>
      <c r="D307" s="298">
        <v>1032</v>
      </c>
      <c r="E307" s="306" t="s">
        <v>2031</v>
      </c>
      <c r="F307" s="46"/>
      <c r="G307" s="297" t="s">
        <v>2009</v>
      </c>
      <c r="H307" s="308" t="str">
        <f t="shared" si="31"/>
        <v>MEP-T2S-6S-5</v>
      </c>
      <c r="I307" s="302">
        <v>5</v>
      </c>
      <c r="J307" s="300">
        <v>1</v>
      </c>
    </row>
    <row r="308" spans="2:10" s="18" customFormat="1" ht="12.75" customHeight="1" outlineLevel="3">
      <c r="B308" s="297" t="s">
        <v>1811</v>
      </c>
      <c r="C308" s="297" t="s">
        <v>2009</v>
      </c>
      <c r="D308" s="298">
        <v>1033</v>
      </c>
      <c r="E308" s="306" t="s">
        <v>2032</v>
      </c>
      <c r="F308" s="46"/>
      <c r="G308" s="297" t="s">
        <v>2009</v>
      </c>
      <c r="H308" s="308" t="str">
        <f t="shared" si="31"/>
        <v>MEP-T2S-6S-5</v>
      </c>
      <c r="I308" s="302">
        <v>5</v>
      </c>
      <c r="J308" s="300">
        <v>1</v>
      </c>
    </row>
    <row r="309" spans="2:10" s="18" customFormat="1" ht="12.75" customHeight="1" outlineLevel="3">
      <c r="B309" s="297" t="s">
        <v>1811</v>
      </c>
      <c r="C309" s="297" t="s">
        <v>2009</v>
      </c>
      <c r="D309" s="298">
        <v>1034</v>
      </c>
      <c r="E309" s="306" t="s">
        <v>2033</v>
      </c>
      <c r="F309" s="46"/>
      <c r="G309" s="297" t="s">
        <v>2009</v>
      </c>
      <c r="H309" s="308" t="str">
        <f t="shared" si="31"/>
        <v>MEP-T2S-6S-5</v>
      </c>
      <c r="I309" s="302">
        <v>5</v>
      </c>
      <c r="J309" s="300">
        <v>1</v>
      </c>
    </row>
    <row r="310" spans="2:10" s="18" customFormat="1" ht="12.75" customHeight="1" outlineLevel="3">
      <c r="B310" s="297" t="s">
        <v>1811</v>
      </c>
      <c r="C310" s="297" t="s">
        <v>2009</v>
      </c>
      <c r="D310" s="298">
        <v>1041</v>
      </c>
      <c r="E310" s="306" t="s">
        <v>2034</v>
      </c>
      <c r="F310" s="46"/>
      <c r="G310" s="297" t="s">
        <v>2009</v>
      </c>
      <c r="H310" s="308" t="str">
        <f t="shared" ref="H310:H325" si="32">CONCATENATE("MEP-",G310,"-",I310)</f>
        <v>MEP-T2S-6S-5</v>
      </c>
      <c r="I310" s="302">
        <v>5</v>
      </c>
      <c r="J310" s="300">
        <v>1</v>
      </c>
    </row>
    <row r="311" spans="2:10" s="18" customFormat="1" ht="12.75" customHeight="1" outlineLevel="3">
      <c r="B311" s="297" t="s">
        <v>1811</v>
      </c>
      <c r="C311" s="297" t="s">
        <v>2009</v>
      </c>
      <c r="D311" s="298">
        <v>1042</v>
      </c>
      <c r="E311" s="306" t="s">
        <v>2035</v>
      </c>
      <c r="F311" s="46"/>
      <c r="G311" s="297" t="s">
        <v>2009</v>
      </c>
      <c r="H311" s="308" t="str">
        <f t="shared" si="32"/>
        <v>MEP-T2S-6S-5</v>
      </c>
      <c r="I311" s="302">
        <v>5</v>
      </c>
      <c r="J311" s="300">
        <v>1</v>
      </c>
    </row>
    <row r="312" spans="2:10" s="18" customFormat="1" ht="12.75" customHeight="1" outlineLevel="3">
      <c r="B312" s="297" t="s">
        <v>1811</v>
      </c>
      <c r="C312" s="297" t="s">
        <v>2009</v>
      </c>
      <c r="D312" s="298">
        <v>1043</v>
      </c>
      <c r="E312" s="306" t="s">
        <v>2036</v>
      </c>
      <c r="F312" s="46"/>
      <c r="G312" s="297" t="s">
        <v>2009</v>
      </c>
      <c r="H312" s="308" t="str">
        <f t="shared" si="32"/>
        <v>MEP-T2S-6S-5</v>
      </c>
      <c r="I312" s="302">
        <v>5</v>
      </c>
      <c r="J312" s="300">
        <v>1</v>
      </c>
    </row>
    <row r="313" spans="2:10" s="18" customFormat="1" ht="12.75" customHeight="1" outlineLevel="3">
      <c r="B313" s="297" t="s">
        <v>1811</v>
      </c>
      <c r="C313" s="297" t="s">
        <v>2009</v>
      </c>
      <c r="D313" s="298">
        <v>1044</v>
      </c>
      <c r="E313" s="306" t="s">
        <v>2037</v>
      </c>
      <c r="F313" s="46"/>
      <c r="G313" s="297" t="s">
        <v>2009</v>
      </c>
      <c r="H313" s="308" t="str">
        <f t="shared" si="32"/>
        <v>MEP-T2S-6S-5</v>
      </c>
      <c r="I313" s="302">
        <v>5</v>
      </c>
      <c r="J313" s="300">
        <v>1</v>
      </c>
    </row>
    <row r="314" spans="2:10" s="18" customFormat="1" ht="12.75" customHeight="1" outlineLevel="3">
      <c r="B314" s="297" t="s">
        <v>1811</v>
      </c>
      <c r="C314" s="297" t="s">
        <v>2009</v>
      </c>
      <c r="D314" s="298">
        <v>1051</v>
      </c>
      <c r="E314" s="306" t="s">
        <v>2038</v>
      </c>
      <c r="F314" s="46"/>
      <c r="G314" s="297" t="s">
        <v>2009</v>
      </c>
      <c r="H314" s="308" t="str">
        <f t="shared" si="32"/>
        <v>MEP-T2S-6S-5</v>
      </c>
      <c r="I314" s="302">
        <v>5</v>
      </c>
      <c r="J314" s="300">
        <v>1</v>
      </c>
    </row>
    <row r="315" spans="2:10" s="18" customFormat="1" ht="12.75" customHeight="1" outlineLevel="3">
      <c r="B315" s="297" t="s">
        <v>1811</v>
      </c>
      <c r="C315" s="297" t="s">
        <v>2009</v>
      </c>
      <c r="D315" s="298">
        <v>1052</v>
      </c>
      <c r="E315" s="306" t="s">
        <v>2039</v>
      </c>
      <c r="F315" s="46"/>
      <c r="G315" s="297" t="s">
        <v>2009</v>
      </c>
      <c r="H315" s="308" t="str">
        <f t="shared" si="32"/>
        <v>MEP-T2S-6S-5</v>
      </c>
      <c r="I315" s="302">
        <v>5</v>
      </c>
      <c r="J315" s="300">
        <v>1</v>
      </c>
    </row>
    <row r="316" spans="2:10" s="18" customFormat="1" ht="12.75" customHeight="1" outlineLevel="3">
      <c r="B316" s="297" t="s">
        <v>1811</v>
      </c>
      <c r="C316" s="297" t="s">
        <v>2009</v>
      </c>
      <c r="D316" s="298">
        <v>1053</v>
      </c>
      <c r="E316" s="306" t="s">
        <v>2040</v>
      </c>
      <c r="F316" s="46"/>
      <c r="G316" s="297" t="s">
        <v>2009</v>
      </c>
      <c r="H316" s="308" t="str">
        <f t="shared" si="32"/>
        <v>MEP-T2S-6S-5</v>
      </c>
      <c r="I316" s="302">
        <v>5</v>
      </c>
      <c r="J316" s="300">
        <v>1</v>
      </c>
    </row>
    <row r="317" spans="2:10" s="18" customFormat="1" ht="12.75" customHeight="1" outlineLevel="3">
      <c r="B317" s="297" t="s">
        <v>1811</v>
      </c>
      <c r="C317" s="297" t="s">
        <v>2009</v>
      </c>
      <c r="D317" s="298">
        <v>1061</v>
      </c>
      <c r="E317" s="306" t="s">
        <v>2041</v>
      </c>
      <c r="F317" s="46"/>
      <c r="G317" s="297" t="s">
        <v>2009</v>
      </c>
      <c r="H317" s="308" t="str">
        <f t="shared" si="32"/>
        <v>MEP-T2S-6S-7</v>
      </c>
      <c r="I317" s="302">
        <v>7</v>
      </c>
      <c r="J317" s="300">
        <v>1</v>
      </c>
    </row>
    <row r="318" spans="2:10" s="18" customFormat="1" ht="12.75" customHeight="1" outlineLevel="3">
      <c r="B318" s="297" t="s">
        <v>1811</v>
      </c>
      <c r="C318" s="297" t="s">
        <v>2009</v>
      </c>
      <c r="D318" s="298">
        <v>1062</v>
      </c>
      <c r="E318" s="306" t="s">
        <v>2042</v>
      </c>
      <c r="F318" s="46"/>
      <c r="G318" s="297" t="s">
        <v>2009</v>
      </c>
      <c r="H318" s="308" t="str">
        <f t="shared" si="32"/>
        <v>MEP-T2S-6S-7</v>
      </c>
      <c r="I318" s="302">
        <v>7</v>
      </c>
      <c r="J318" s="300">
        <v>1</v>
      </c>
    </row>
    <row r="319" spans="2:10" s="18" customFormat="1" ht="12.75" customHeight="1" outlineLevel="3">
      <c r="B319" s="297" t="s">
        <v>1811</v>
      </c>
      <c r="C319" s="297" t="s">
        <v>2009</v>
      </c>
      <c r="D319" s="298">
        <v>1063</v>
      </c>
      <c r="E319" s="306" t="s">
        <v>2043</v>
      </c>
      <c r="F319" s="46"/>
      <c r="G319" s="297" t="s">
        <v>2009</v>
      </c>
      <c r="H319" s="308" t="str">
        <f t="shared" si="32"/>
        <v>MEP-T2S-6S-7</v>
      </c>
      <c r="I319" s="302">
        <v>7</v>
      </c>
      <c r="J319" s="300">
        <v>1</v>
      </c>
    </row>
    <row r="320" spans="2:10" s="18" customFormat="1" ht="12.75" customHeight="1" outlineLevel="3">
      <c r="B320" s="297" t="s">
        <v>1811</v>
      </c>
      <c r="C320" s="297" t="s">
        <v>2009</v>
      </c>
      <c r="D320" s="298">
        <v>1071</v>
      </c>
      <c r="E320" s="306" t="s">
        <v>2044</v>
      </c>
      <c r="F320" s="46"/>
      <c r="G320" s="297" t="s">
        <v>2009</v>
      </c>
      <c r="H320" s="308" t="str">
        <f t="shared" si="32"/>
        <v>MEP-T2S-6S-8</v>
      </c>
      <c r="I320" s="302">
        <v>8</v>
      </c>
      <c r="J320" s="300">
        <v>1</v>
      </c>
    </row>
    <row r="321" spans="2:10" s="18" customFormat="1" ht="12.75" customHeight="1" outlineLevel="3">
      <c r="B321" s="297" t="s">
        <v>1811</v>
      </c>
      <c r="C321" s="297" t="s">
        <v>2009</v>
      </c>
      <c r="D321" s="298">
        <v>1001</v>
      </c>
      <c r="E321" s="306" t="s">
        <v>2045</v>
      </c>
      <c r="F321" s="46"/>
      <c r="G321" s="297" t="s">
        <v>2009</v>
      </c>
      <c r="H321" s="308" t="str">
        <f t="shared" si="32"/>
        <v>MEP-T2S-6S-4</v>
      </c>
      <c r="I321" s="302">
        <v>4</v>
      </c>
      <c r="J321" s="300">
        <v>1</v>
      </c>
    </row>
    <row r="322" spans="2:10" s="18" customFormat="1" ht="12.75" customHeight="1" outlineLevel="3">
      <c r="B322" s="297" t="s">
        <v>1811</v>
      </c>
      <c r="C322" s="297" t="s">
        <v>2009</v>
      </c>
      <c r="D322" s="298">
        <v>1002</v>
      </c>
      <c r="E322" s="306" t="s">
        <v>2046</v>
      </c>
      <c r="F322" s="46"/>
      <c r="G322" s="297" t="s">
        <v>2009</v>
      </c>
      <c r="H322" s="308" t="str">
        <f t="shared" si="32"/>
        <v>MEP-T2S-6S-4</v>
      </c>
      <c r="I322" s="302">
        <v>4</v>
      </c>
      <c r="J322" s="300">
        <v>1</v>
      </c>
    </row>
    <row r="323" spans="2:10" s="18" customFormat="1" ht="12.75" customHeight="1" outlineLevel="3">
      <c r="B323" s="297" t="s">
        <v>1811</v>
      </c>
      <c r="C323" s="297" t="s">
        <v>2009</v>
      </c>
      <c r="D323" s="298">
        <v>1003</v>
      </c>
      <c r="E323" s="306" t="s">
        <v>2047</v>
      </c>
      <c r="F323" s="46"/>
      <c r="G323" s="297" t="s">
        <v>2009</v>
      </c>
      <c r="H323" s="308" t="str">
        <f t="shared" si="32"/>
        <v>MEP-T2S-6S-4</v>
      </c>
      <c r="I323" s="302">
        <v>4</v>
      </c>
      <c r="J323" s="300">
        <v>1</v>
      </c>
    </row>
    <row r="324" spans="2:10" s="18" customFormat="1" ht="12.75" customHeight="1" outlineLevel="3">
      <c r="B324" s="297" t="s">
        <v>1811</v>
      </c>
      <c r="C324" s="297" t="s">
        <v>2009</v>
      </c>
      <c r="D324" s="298">
        <v>1004</v>
      </c>
      <c r="E324" s="306" t="s">
        <v>2048</v>
      </c>
      <c r="F324" s="46"/>
      <c r="G324" s="297" t="s">
        <v>2009</v>
      </c>
      <c r="H324" s="308" t="str">
        <f t="shared" si="32"/>
        <v>MEP-T2S-6S-4</v>
      </c>
      <c r="I324" s="302">
        <v>4</v>
      </c>
      <c r="J324" s="300">
        <v>1</v>
      </c>
    </row>
    <row r="325" spans="2:10" s="18" customFormat="1" ht="12.75" customHeight="1" outlineLevel="3">
      <c r="B325" s="297" t="s">
        <v>1811</v>
      </c>
      <c r="C325" s="297" t="s">
        <v>2009</v>
      </c>
      <c r="D325" s="298">
        <v>1005</v>
      </c>
      <c r="E325" s="306" t="s">
        <v>2049</v>
      </c>
      <c r="F325" s="46"/>
      <c r="G325" s="297" t="s">
        <v>2009</v>
      </c>
      <c r="H325" s="308" t="str">
        <f t="shared" si="32"/>
        <v>MEP-T2S-6S-1</v>
      </c>
      <c r="I325" s="302">
        <v>1</v>
      </c>
      <c r="J325" s="300">
        <v>1</v>
      </c>
    </row>
    <row r="326" spans="2:10" s="18" customFormat="1" ht="12.75" customHeight="1" outlineLevel="2">
      <c r="B326" s="316" t="s">
        <v>2050</v>
      </c>
      <c r="C326" s="297"/>
      <c r="D326" s="298"/>
      <c r="E326" s="306"/>
      <c r="F326" s="46"/>
      <c r="G326" s="46"/>
      <c r="H326" s="46"/>
      <c r="I326" s="302"/>
      <c r="J326" s="300"/>
    </row>
    <row r="327" spans="2:10" s="18" customFormat="1" ht="12.75" customHeight="1" outlineLevel="1"/>
    <row r="328" spans="2:10" s="18" customFormat="1" ht="12.75" customHeight="1" outlineLevel="1">
      <c r="B328" s="301" t="s">
        <v>1819</v>
      </c>
      <c r="C328" s="297"/>
      <c r="D328" s="298"/>
      <c r="E328" s="306"/>
      <c r="F328" s="46"/>
      <c r="G328" s="46"/>
      <c r="H328" s="46"/>
      <c r="I328" s="302"/>
      <c r="J328" s="300"/>
    </row>
    <row r="329" spans="2:10" s="18" customFormat="1" ht="12.75" customHeight="1" outlineLevel="2">
      <c r="B329" s="316" t="s">
        <v>1859</v>
      </c>
      <c r="C329" s="297"/>
      <c r="D329" s="298"/>
      <c r="E329" s="306"/>
      <c r="F329" s="46"/>
      <c r="G329" s="46"/>
      <c r="H329" s="46"/>
      <c r="I329" s="302"/>
      <c r="J329" s="300"/>
    </row>
    <row r="330" spans="2:10" s="18" customFormat="1" ht="12.75" customHeight="1" outlineLevel="3">
      <c r="B330" s="297" t="s">
        <v>1819</v>
      </c>
      <c r="C330" s="297" t="s">
        <v>2009</v>
      </c>
      <c r="D330" s="298">
        <v>1105</v>
      </c>
      <c r="E330" s="306" t="s">
        <v>2051</v>
      </c>
      <c r="F330" s="46"/>
      <c r="G330" s="297" t="s">
        <v>2009</v>
      </c>
      <c r="H330" s="308" t="str">
        <f>CONCATENATE("MEP-",G330,"-",I330)</f>
        <v>MEP-T2S-6S-NA</v>
      </c>
      <c r="I330" s="302" t="s">
        <v>293</v>
      </c>
      <c r="J330" s="300"/>
    </row>
    <row r="331" spans="2:10" s="18" customFormat="1" ht="12.75" customHeight="1" outlineLevel="3">
      <c r="B331" s="297" t="s">
        <v>1819</v>
      </c>
      <c r="C331" s="297" t="s">
        <v>2009</v>
      </c>
      <c r="D331" s="298">
        <v>1115</v>
      </c>
      <c r="E331" s="306" t="s">
        <v>2052</v>
      </c>
      <c r="F331" s="46"/>
      <c r="G331" s="297" t="s">
        <v>2009</v>
      </c>
      <c r="H331" s="308" t="str">
        <f>CONCATENATE("MEP-",G331,"-",I331)</f>
        <v>MEP-T2S-6S-NA</v>
      </c>
      <c r="I331" s="302" t="s">
        <v>293</v>
      </c>
      <c r="J331" s="300"/>
    </row>
    <row r="332" spans="2:10" s="18" customFormat="1" ht="12.75" customHeight="1" outlineLevel="1">
      <c r="B332" s="297"/>
      <c r="C332" s="297"/>
      <c r="D332" s="298"/>
      <c r="E332" s="306"/>
      <c r="F332" s="46"/>
      <c r="G332" s="46"/>
      <c r="H332" s="46"/>
      <c r="I332" s="302"/>
      <c r="J332" s="300"/>
    </row>
    <row r="333" spans="2:10" s="18" customFormat="1" ht="12.75" customHeight="1" outlineLevel="1">
      <c r="B333" s="301" t="s">
        <v>1821</v>
      </c>
      <c r="C333" s="297"/>
      <c r="D333" s="298"/>
      <c r="E333" s="306"/>
      <c r="F333" s="46"/>
      <c r="G333" s="46"/>
      <c r="H333" s="46"/>
      <c r="I333" s="302"/>
      <c r="J333" s="300"/>
    </row>
    <row r="334" spans="2:10" s="18" customFormat="1" ht="12.75" customHeight="1" outlineLevel="2">
      <c r="B334" s="316" t="s">
        <v>2053</v>
      </c>
      <c r="C334" s="297"/>
      <c r="D334" s="298"/>
      <c r="E334" s="306"/>
      <c r="F334" s="46"/>
      <c r="G334" s="46"/>
      <c r="H334" s="46"/>
      <c r="I334" s="302"/>
      <c r="J334" s="300"/>
    </row>
    <row r="335" spans="2:10" s="18" customFormat="1" ht="12.75" customHeight="1" outlineLevel="3">
      <c r="B335" s="297" t="s">
        <v>1822</v>
      </c>
      <c r="C335" s="297" t="s">
        <v>2009</v>
      </c>
      <c r="D335" s="298" t="s">
        <v>506</v>
      </c>
      <c r="E335" s="306" t="s">
        <v>2054</v>
      </c>
      <c r="F335" s="46"/>
      <c r="G335" s="297" t="s">
        <v>2009</v>
      </c>
      <c r="H335" s="308" t="str">
        <f t="shared" ref="H335:H346" si="33">CONCATENATE("MEP-",G335,"-",I335)</f>
        <v>MEP-T2S-6S-5</v>
      </c>
      <c r="I335" s="302">
        <v>5</v>
      </c>
      <c r="J335" s="300">
        <v>1</v>
      </c>
    </row>
    <row r="336" spans="2:10" s="18" customFormat="1" ht="12.75" customHeight="1" outlineLevel="3">
      <c r="B336" s="297" t="s">
        <v>1822</v>
      </c>
      <c r="C336" s="297" t="s">
        <v>2009</v>
      </c>
      <c r="D336" s="298" t="s">
        <v>1046</v>
      </c>
      <c r="E336" s="306" t="s">
        <v>2055</v>
      </c>
      <c r="F336" s="46"/>
      <c r="G336" s="297" t="s">
        <v>2009</v>
      </c>
      <c r="H336" s="308" t="str">
        <f t="shared" si="33"/>
        <v>MEP-T2S-6S-5</v>
      </c>
      <c r="I336" s="302">
        <v>5</v>
      </c>
      <c r="J336" s="300">
        <v>1</v>
      </c>
    </row>
    <row r="337" spans="2:10" s="18" customFormat="1" ht="12.75" customHeight="1" outlineLevel="3">
      <c r="B337" s="297" t="s">
        <v>1822</v>
      </c>
      <c r="C337" s="297" t="s">
        <v>2009</v>
      </c>
      <c r="D337" s="298" t="s">
        <v>1050</v>
      </c>
      <c r="E337" s="306" t="s">
        <v>2056</v>
      </c>
      <c r="F337" s="46"/>
      <c r="G337" s="297" t="s">
        <v>2009</v>
      </c>
      <c r="H337" s="308" t="str">
        <f t="shared" si="33"/>
        <v>MEP-T2S-6S-5</v>
      </c>
      <c r="I337" s="302">
        <v>5</v>
      </c>
      <c r="J337" s="300">
        <v>1</v>
      </c>
    </row>
    <row r="338" spans="2:10" s="18" customFormat="1" ht="12.75" customHeight="1" outlineLevel="3">
      <c r="B338" s="297" t="s">
        <v>1822</v>
      </c>
      <c r="C338" s="297" t="s">
        <v>2009</v>
      </c>
      <c r="D338" s="298" t="s">
        <v>1052</v>
      </c>
      <c r="E338" s="306" t="s">
        <v>2057</v>
      </c>
      <c r="F338" s="46"/>
      <c r="G338" s="297" t="s">
        <v>2009</v>
      </c>
      <c r="H338" s="308" t="str">
        <f t="shared" si="33"/>
        <v>MEP-T2S-6S-5</v>
      </c>
      <c r="I338" s="302">
        <v>5</v>
      </c>
      <c r="J338" s="300">
        <v>1</v>
      </c>
    </row>
    <row r="339" spans="2:10" s="18" customFormat="1" ht="12.75" customHeight="1" outlineLevel="3">
      <c r="B339" s="297" t="s">
        <v>1822</v>
      </c>
      <c r="C339" s="297" t="s">
        <v>2009</v>
      </c>
      <c r="D339" s="298" t="s">
        <v>352</v>
      </c>
      <c r="E339" s="306" t="s">
        <v>2058</v>
      </c>
      <c r="F339" s="46"/>
      <c r="G339" s="297" t="s">
        <v>2009</v>
      </c>
      <c r="H339" s="308" t="str">
        <f t="shared" si="33"/>
        <v>MEP-T2S-6S-5</v>
      </c>
      <c r="I339" s="302">
        <v>5</v>
      </c>
      <c r="J339" s="300">
        <v>1</v>
      </c>
    </row>
    <row r="340" spans="2:10" s="18" customFormat="1" ht="12.75" customHeight="1" outlineLevel="3">
      <c r="B340" s="297" t="s">
        <v>1822</v>
      </c>
      <c r="C340" s="297" t="s">
        <v>2009</v>
      </c>
      <c r="D340" s="298" t="s">
        <v>2059</v>
      </c>
      <c r="E340" s="306" t="s">
        <v>2060</v>
      </c>
      <c r="F340" s="46"/>
      <c r="G340" s="297" t="s">
        <v>2009</v>
      </c>
      <c r="H340" s="308" t="str">
        <f t="shared" si="33"/>
        <v>MEP-T2S-6S-5</v>
      </c>
      <c r="I340" s="302">
        <v>5</v>
      </c>
      <c r="J340" s="300">
        <v>1</v>
      </c>
    </row>
    <row r="341" spans="2:10" s="18" customFormat="1" ht="12.75" customHeight="1" outlineLevel="3">
      <c r="B341" s="297" t="s">
        <v>1822</v>
      </c>
      <c r="C341" s="297" t="s">
        <v>2009</v>
      </c>
      <c r="D341" s="298" t="s">
        <v>2061</v>
      </c>
      <c r="E341" s="306" t="s">
        <v>2062</v>
      </c>
      <c r="F341" s="46"/>
      <c r="G341" s="297" t="s">
        <v>2009</v>
      </c>
      <c r="H341" s="308" t="str">
        <f t="shared" si="33"/>
        <v>MEP-T2S-6S-5</v>
      </c>
      <c r="I341" s="302">
        <v>5</v>
      </c>
      <c r="J341" s="300">
        <v>1</v>
      </c>
    </row>
    <row r="342" spans="2:10" s="18" customFormat="1" ht="12.75" customHeight="1" outlineLevel="3">
      <c r="B342" s="297" t="s">
        <v>1822</v>
      </c>
      <c r="C342" s="297" t="s">
        <v>2009</v>
      </c>
      <c r="D342" s="298" t="s">
        <v>2063</v>
      </c>
      <c r="E342" s="306" t="s">
        <v>2064</v>
      </c>
      <c r="F342" s="46"/>
      <c r="G342" s="297" t="s">
        <v>2009</v>
      </c>
      <c r="H342" s="308" t="str">
        <f t="shared" si="33"/>
        <v>MEP-T2S-6S-5</v>
      </c>
      <c r="I342" s="302">
        <v>5</v>
      </c>
      <c r="J342" s="300">
        <v>1</v>
      </c>
    </row>
    <row r="343" spans="2:10" s="18" customFormat="1" ht="12.75" customHeight="1" outlineLevel="3">
      <c r="B343" s="297" t="s">
        <v>1822</v>
      </c>
      <c r="C343" s="297" t="s">
        <v>2009</v>
      </c>
      <c r="D343" s="298" t="s">
        <v>2065</v>
      </c>
      <c r="E343" s="306" t="s">
        <v>2066</v>
      </c>
      <c r="F343" s="46"/>
      <c r="G343" s="297" t="s">
        <v>2009</v>
      </c>
      <c r="H343" s="308" t="str">
        <f t="shared" si="33"/>
        <v>MEP-T2S-6S-7</v>
      </c>
      <c r="I343" s="302">
        <v>7</v>
      </c>
      <c r="J343" s="300">
        <v>1</v>
      </c>
    </row>
    <row r="344" spans="2:10" s="18" customFormat="1" ht="12.75" customHeight="1" outlineLevel="3">
      <c r="B344" s="297" t="s">
        <v>1822</v>
      </c>
      <c r="C344" s="297" t="s">
        <v>2009</v>
      </c>
      <c r="D344" s="298" t="s">
        <v>2067</v>
      </c>
      <c r="E344" s="306" t="s">
        <v>2068</v>
      </c>
      <c r="F344" s="46"/>
      <c r="G344" s="297" t="s">
        <v>2009</v>
      </c>
      <c r="H344" s="308" t="str">
        <f t="shared" si="33"/>
        <v>MEP-T2S-6S-7</v>
      </c>
      <c r="I344" s="302">
        <v>7</v>
      </c>
      <c r="J344" s="300">
        <v>1</v>
      </c>
    </row>
    <row r="345" spans="2:10" s="18" customFormat="1" ht="12.75" customHeight="1" outlineLevel="3">
      <c r="B345" s="297" t="s">
        <v>1822</v>
      </c>
      <c r="C345" s="297" t="s">
        <v>2009</v>
      </c>
      <c r="D345" s="298" t="s">
        <v>2069</v>
      </c>
      <c r="E345" s="306" t="s">
        <v>2070</v>
      </c>
      <c r="F345" s="46"/>
      <c r="G345" s="297" t="s">
        <v>2009</v>
      </c>
      <c r="H345" s="308" t="str">
        <f t="shared" si="33"/>
        <v>MEP-T2S-6S-8</v>
      </c>
      <c r="I345" s="302">
        <v>8</v>
      </c>
      <c r="J345" s="311">
        <v>1</v>
      </c>
    </row>
    <row r="346" spans="2:10" s="18" customFormat="1" ht="12.75" customHeight="1" outlineLevel="3">
      <c r="B346" s="297" t="s">
        <v>1822</v>
      </c>
      <c r="C346" s="297" t="s">
        <v>2009</v>
      </c>
      <c r="D346" s="298" t="s">
        <v>2071</v>
      </c>
      <c r="E346" s="306" t="s">
        <v>2072</v>
      </c>
      <c r="F346" s="46"/>
      <c r="G346" s="297" t="s">
        <v>2009</v>
      </c>
      <c r="H346" s="308" t="str">
        <f t="shared" si="33"/>
        <v>MEP-T2S-6S-8</v>
      </c>
      <c r="I346" s="302">
        <v>8</v>
      </c>
      <c r="J346" s="311">
        <v>1</v>
      </c>
    </row>
    <row r="347" spans="2:10" s="18" customFormat="1" ht="12.75" customHeight="1" outlineLevel="3">
      <c r="B347" s="297" t="s">
        <v>1822</v>
      </c>
      <c r="C347" s="297" t="s">
        <v>2009</v>
      </c>
      <c r="D347" s="298" t="s">
        <v>357</v>
      </c>
      <c r="E347" s="306" t="s">
        <v>2073</v>
      </c>
      <c r="F347" s="46"/>
      <c r="G347" s="297" t="s">
        <v>2009</v>
      </c>
      <c r="H347" s="308" t="str">
        <f t="shared" ref="H347:H358" si="34">CONCATENATE("MEP-",G347,"-",I347)</f>
        <v>MEP-T2S-6S-4</v>
      </c>
      <c r="I347" s="302">
        <v>4</v>
      </c>
      <c r="J347" s="300">
        <v>1</v>
      </c>
    </row>
    <row r="348" spans="2:10" s="18" customFormat="1" ht="12.75" customHeight="1" outlineLevel="3">
      <c r="B348" s="297" t="s">
        <v>1822</v>
      </c>
      <c r="C348" s="297" t="s">
        <v>2009</v>
      </c>
      <c r="D348" s="298" t="s">
        <v>359</v>
      </c>
      <c r="E348" s="306" t="s">
        <v>2074</v>
      </c>
      <c r="F348" s="46"/>
      <c r="G348" s="297" t="s">
        <v>2009</v>
      </c>
      <c r="H348" s="308" t="str">
        <f t="shared" si="34"/>
        <v>MEP-T2S-6S-4</v>
      </c>
      <c r="I348" s="302">
        <v>4</v>
      </c>
      <c r="J348" s="300">
        <v>1</v>
      </c>
    </row>
    <row r="349" spans="2:10" s="18" customFormat="1" ht="12.75" customHeight="1" outlineLevel="3">
      <c r="B349" s="297" t="s">
        <v>1822</v>
      </c>
      <c r="C349" s="297" t="s">
        <v>2009</v>
      </c>
      <c r="D349" s="298" t="s">
        <v>1048</v>
      </c>
      <c r="E349" s="306" t="s">
        <v>2075</v>
      </c>
      <c r="F349" s="46"/>
      <c r="G349" s="297" t="s">
        <v>2009</v>
      </c>
      <c r="H349" s="308" t="str">
        <f t="shared" si="34"/>
        <v>MEP-T2S-6S-4</v>
      </c>
      <c r="I349" s="302">
        <v>4</v>
      </c>
      <c r="J349" s="300">
        <v>1</v>
      </c>
    </row>
    <row r="350" spans="2:10" s="18" customFormat="1" ht="12.75" customHeight="1" outlineLevel="3">
      <c r="B350" s="297" t="s">
        <v>1822</v>
      </c>
      <c r="C350" s="297" t="s">
        <v>2009</v>
      </c>
      <c r="D350" s="298" t="s">
        <v>2076</v>
      </c>
      <c r="E350" s="306" t="s">
        <v>2077</v>
      </c>
      <c r="F350" s="46"/>
      <c r="G350" s="297" t="s">
        <v>2009</v>
      </c>
      <c r="H350" s="308" t="str">
        <f t="shared" si="34"/>
        <v>MEP-T2S-6S-4</v>
      </c>
      <c r="I350" s="302">
        <v>4</v>
      </c>
      <c r="J350" s="300">
        <v>1</v>
      </c>
    </row>
    <row r="351" spans="2:10" s="18" customFormat="1" ht="12.75" customHeight="1" outlineLevel="3">
      <c r="B351" s="297" t="s">
        <v>1822</v>
      </c>
      <c r="C351" s="297" t="s">
        <v>2009</v>
      </c>
      <c r="D351" s="298" t="s">
        <v>1054</v>
      </c>
      <c r="E351" s="306" t="s">
        <v>2078</v>
      </c>
      <c r="F351" s="46"/>
      <c r="G351" s="297" t="s">
        <v>2009</v>
      </c>
      <c r="H351" s="308" t="str">
        <f t="shared" si="34"/>
        <v>MEP-T2S-6S-4</v>
      </c>
      <c r="I351" s="302">
        <v>4</v>
      </c>
      <c r="J351" s="300">
        <v>1</v>
      </c>
    </row>
    <row r="352" spans="2:10" s="18" customFormat="1" ht="12.75" customHeight="1" outlineLevel="3">
      <c r="B352" s="297" t="s">
        <v>1822</v>
      </c>
      <c r="C352" s="297" t="s">
        <v>2009</v>
      </c>
      <c r="D352" s="298" t="s">
        <v>2079</v>
      </c>
      <c r="E352" s="306" t="s">
        <v>2080</v>
      </c>
      <c r="F352" s="46"/>
      <c r="G352" s="297" t="s">
        <v>2009</v>
      </c>
      <c r="H352" s="308" t="str">
        <f t="shared" si="34"/>
        <v>MEP-T2S-6S-4</v>
      </c>
      <c r="I352" s="302">
        <v>4</v>
      </c>
      <c r="J352" s="300">
        <v>1</v>
      </c>
    </row>
    <row r="353" spans="1:10" s="18" customFormat="1" ht="12.75" customHeight="1" outlineLevel="3">
      <c r="B353" s="297" t="s">
        <v>1822</v>
      </c>
      <c r="C353" s="297" t="s">
        <v>2009</v>
      </c>
      <c r="D353" s="298" t="s">
        <v>2081</v>
      </c>
      <c r="E353" s="306" t="s">
        <v>2082</v>
      </c>
      <c r="F353" s="46"/>
      <c r="G353" s="297" t="s">
        <v>2009</v>
      </c>
      <c r="H353" s="308" t="str">
        <f t="shared" si="34"/>
        <v>MEP-T2S-6S-5</v>
      </c>
      <c r="I353" s="302">
        <v>5</v>
      </c>
      <c r="J353" s="300">
        <v>1</v>
      </c>
    </row>
    <row r="354" spans="1:10" s="18" customFormat="1" ht="12.75" customHeight="1" outlineLevel="3">
      <c r="B354" s="297" t="s">
        <v>1822</v>
      </c>
      <c r="C354" s="297" t="s">
        <v>2009</v>
      </c>
      <c r="D354" s="298" t="s">
        <v>2083</v>
      </c>
      <c r="E354" s="306" t="s">
        <v>2084</v>
      </c>
      <c r="F354" s="46"/>
      <c r="G354" s="297" t="s">
        <v>2009</v>
      </c>
      <c r="H354" s="308" t="str">
        <f t="shared" si="34"/>
        <v>MEP-T2S-6S-5</v>
      </c>
      <c r="I354" s="302">
        <v>5</v>
      </c>
      <c r="J354" s="300">
        <v>1</v>
      </c>
    </row>
    <row r="355" spans="1:10" s="18" customFormat="1" ht="12.75" customHeight="1" outlineLevel="3">
      <c r="B355" s="297" t="s">
        <v>1822</v>
      </c>
      <c r="C355" s="297" t="s">
        <v>2009</v>
      </c>
      <c r="D355" s="298" t="s">
        <v>2085</v>
      </c>
      <c r="E355" s="306" t="s">
        <v>2086</v>
      </c>
      <c r="F355" s="46"/>
      <c r="G355" s="297" t="s">
        <v>2009</v>
      </c>
      <c r="H355" s="308" t="str">
        <f t="shared" si="34"/>
        <v>MEP-T2S-6S-5</v>
      </c>
      <c r="I355" s="302">
        <v>5</v>
      </c>
      <c r="J355" s="300">
        <v>1</v>
      </c>
    </row>
    <row r="356" spans="1:10" s="18" customFormat="1" ht="12.75" customHeight="1" outlineLevel="3">
      <c r="B356" s="297" t="s">
        <v>1822</v>
      </c>
      <c r="C356" s="297" t="s">
        <v>2009</v>
      </c>
      <c r="D356" s="298" t="s">
        <v>2087</v>
      </c>
      <c r="E356" s="306" t="s">
        <v>2088</v>
      </c>
      <c r="F356" s="46"/>
      <c r="G356" s="297" t="s">
        <v>2009</v>
      </c>
      <c r="H356" s="308" t="str">
        <f t="shared" si="34"/>
        <v>MEP-T2S-6S-5</v>
      </c>
      <c r="I356" s="302">
        <v>5</v>
      </c>
      <c r="J356" s="300">
        <v>1</v>
      </c>
    </row>
    <row r="357" spans="1:10" s="18" customFormat="1" ht="12.75" customHeight="1" outlineLevel="3">
      <c r="B357" s="297" t="s">
        <v>1822</v>
      </c>
      <c r="C357" s="297" t="s">
        <v>2009</v>
      </c>
      <c r="D357" s="298" t="s">
        <v>2089</v>
      </c>
      <c r="E357" s="306" t="s">
        <v>2090</v>
      </c>
      <c r="F357" s="46"/>
      <c r="G357" s="297" t="s">
        <v>2009</v>
      </c>
      <c r="H357" s="308" t="str">
        <f t="shared" si="34"/>
        <v>MEP-T2S-6S-5</v>
      </c>
      <c r="I357" s="302">
        <v>5</v>
      </c>
      <c r="J357" s="300">
        <v>1</v>
      </c>
    </row>
    <row r="358" spans="1:10" s="18" customFormat="1" ht="12.75" customHeight="1" outlineLevel="3">
      <c r="B358" s="297" t="s">
        <v>1822</v>
      </c>
      <c r="C358" s="297" t="s">
        <v>2009</v>
      </c>
      <c r="D358" s="298" t="s">
        <v>2091</v>
      </c>
      <c r="E358" s="306" t="s">
        <v>2092</v>
      </c>
      <c r="F358" s="46"/>
      <c r="G358" s="297" t="s">
        <v>2009</v>
      </c>
      <c r="H358" s="308" t="str">
        <f t="shared" si="34"/>
        <v>MEP-T2S-6S-5</v>
      </c>
      <c r="I358" s="302">
        <v>5</v>
      </c>
      <c r="J358" s="300">
        <v>1</v>
      </c>
    </row>
    <row r="359" spans="1:10" s="18" customFormat="1" ht="12.75" customHeight="1" outlineLevel="3">
      <c r="A359" s="288"/>
      <c r="B359" s="297" t="s">
        <v>1822</v>
      </c>
      <c r="C359" s="297" t="s">
        <v>2009</v>
      </c>
      <c r="D359" s="298" t="s">
        <v>2091</v>
      </c>
      <c r="E359" s="306" t="s">
        <v>2093</v>
      </c>
      <c r="F359" s="46"/>
      <c r="G359" s="297" t="s">
        <v>2009</v>
      </c>
      <c r="H359" s="308" t="str">
        <f t="shared" ref="H359:H361" si="35">CONCATENATE("MEP-",G359,"-",I359)</f>
        <v>MEP-T2S-6S-5</v>
      </c>
      <c r="I359" s="302">
        <v>5</v>
      </c>
      <c r="J359" s="311">
        <v>1</v>
      </c>
    </row>
    <row r="360" spans="1:10" s="18" customFormat="1" ht="12.75" customHeight="1" outlineLevel="3">
      <c r="A360" s="288"/>
      <c r="B360" s="297" t="s">
        <v>1822</v>
      </c>
      <c r="C360" s="297" t="s">
        <v>2009</v>
      </c>
      <c r="D360" s="298" t="s">
        <v>2091</v>
      </c>
      <c r="E360" s="306" t="s">
        <v>2094</v>
      </c>
      <c r="F360" s="46"/>
      <c r="G360" s="297" t="s">
        <v>2009</v>
      </c>
      <c r="H360" s="308" t="str">
        <f t="shared" si="35"/>
        <v>MEP-T2S-6S-5</v>
      </c>
      <c r="I360" s="302">
        <v>5</v>
      </c>
      <c r="J360" s="311">
        <v>1</v>
      </c>
    </row>
    <row r="361" spans="1:10" s="18" customFormat="1" ht="12.75" customHeight="1" outlineLevel="3">
      <c r="A361" s="288"/>
      <c r="B361" s="297" t="s">
        <v>1822</v>
      </c>
      <c r="C361" s="297" t="s">
        <v>2009</v>
      </c>
      <c r="D361" s="298" t="s">
        <v>2091</v>
      </c>
      <c r="E361" s="306" t="s">
        <v>2095</v>
      </c>
      <c r="F361" s="46"/>
      <c r="G361" s="297" t="s">
        <v>2009</v>
      </c>
      <c r="H361" s="308" t="str">
        <f t="shared" si="35"/>
        <v>MEP-T2S-6S-5</v>
      </c>
      <c r="I361" s="302">
        <v>5</v>
      </c>
      <c r="J361" s="311">
        <v>1</v>
      </c>
    </row>
    <row r="362" spans="1:10" s="18" customFormat="1" ht="12.75" customHeight="1" outlineLevel="3">
      <c r="A362" s="288"/>
      <c r="B362" s="297"/>
      <c r="C362" s="297"/>
      <c r="D362" s="298"/>
      <c r="E362" s="306"/>
      <c r="F362" s="46"/>
      <c r="G362" s="297"/>
      <c r="H362" s="308"/>
      <c r="I362" s="302"/>
      <c r="J362" s="300"/>
    </row>
    <row r="363" spans="1:10" s="18" customFormat="1" ht="12.75" customHeight="1" outlineLevel="3">
      <c r="A363" s="288"/>
      <c r="B363" s="297"/>
      <c r="C363" s="297"/>
      <c r="D363" s="298"/>
      <c r="E363" s="306"/>
      <c r="F363" s="46"/>
      <c r="G363" s="297"/>
      <c r="H363" s="308"/>
      <c r="I363" s="302"/>
      <c r="J363" s="300"/>
    </row>
    <row r="364" spans="1:10" s="18" customFormat="1" ht="12.75" customHeight="1" outlineLevel="3">
      <c r="A364" s="288"/>
      <c r="B364" s="297"/>
      <c r="C364" s="297"/>
      <c r="D364" s="298"/>
      <c r="E364" s="306"/>
      <c r="F364" s="46"/>
      <c r="G364" s="297"/>
      <c r="H364" s="308"/>
      <c r="I364" s="302"/>
      <c r="J364" s="300"/>
    </row>
    <row r="365" spans="1:10" s="18" customFormat="1" ht="12.75" customHeight="1" outlineLevel="2">
      <c r="A365" s="288"/>
      <c r="B365" s="301"/>
      <c r="C365" s="297"/>
      <c r="D365" s="298"/>
      <c r="E365" s="306"/>
      <c r="F365" s="46"/>
      <c r="G365" s="46"/>
      <c r="H365" s="46"/>
      <c r="I365" s="302"/>
      <c r="J365" s="300"/>
    </row>
    <row r="366" spans="1:10" s="18" customFormat="1" ht="3" customHeight="1">
      <c r="A366" s="288"/>
      <c r="B366" s="301"/>
      <c r="C366" s="297"/>
      <c r="D366" s="298"/>
      <c r="E366" s="306"/>
      <c r="F366" s="46"/>
      <c r="G366" s="46"/>
      <c r="H366" s="46"/>
      <c r="I366" s="302"/>
      <c r="J366" s="300"/>
    </row>
    <row r="367" spans="1:10" s="18" customFormat="1" ht="12.75" customHeight="1">
      <c r="A367" s="288" t="s">
        <v>828</v>
      </c>
      <c r="B367" s="297"/>
      <c r="C367" s="297"/>
      <c r="D367" s="298"/>
      <c r="E367" s="306"/>
      <c r="F367" s="46"/>
      <c r="G367" s="41" t="s">
        <v>257</v>
      </c>
      <c r="H367" s="41" t="s">
        <v>258</v>
      </c>
      <c r="I367" s="42" t="s">
        <v>259</v>
      </c>
      <c r="J367" s="300"/>
    </row>
    <row r="368" spans="1:10" s="18" customFormat="1" ht="12.75" customHeight="1" outlineLevel="1">
      <c r="A368" s="288"/>
      <c r="B368" s="297"/>
      <c r="C368" s="297"/>
      <c r="D368" s="298"/>
      <c r="E368" s="306"/>
      <c r="F368" s="46"/>
      <c r="G368" s="41"/>
      <c r="H368" s="41"/>
      <c r="I368" s="42"/>
      <c r="J368" s="300"/>
    </row>
    <row r="369" spans="1:13" s="18" customFormat="1" ht="12.75" customHeight="1" outlineLevel="1">
      <c r="B369" s="301" t="s">
        <v>1796</v>
      </c>
      <c r="C369" s="297"/>
      <c r="D369" s="298"/>
      <c r="E369" s="306"/>
      <c r="F369" s="46"/>
      <c r="G369" s="46"/>
      <c r="H369" s="46"/>
      <c r="I369" s="302"/>
      <c r="J369" s="300"/>
    </row>
    <row r="370" spans="1:13" s="18" customFormat="1" ht="12.75" customHeight="1" outlineLevel="2">
      <c r="A370" s="288"/>
      <c r="B370" s="297" t="s">
        <v>1797</v>
      </c>
      <c r="C370" s="297" t="s">
        <v>1057</v>
      </c>
      <c r="D370" s="298">
        <v>9001</v>
      </c>
      <c r="E370" s="306" t="s">
        <v>2096</v>
      </c>
      <c r="F370" s="46"/>
      <c r="G370" s="297" t="s">
        <v>832</v>
      </c>
      <c r="H370" s="308" t="str">
        <f>CONCATENATE("MEP-",G370,"-",I370)</f>
        <v>MEP-VC1-3</v>
      </c>
      <c r="I370" s="309">
        <v>3</v>
      </c>
      <c r="J370" s="300">
        <v>1</v>
      </c>
    </row>
    <row r="371" spans="1:13" s="18" customFormat="1" ht="12.75" customHeight="1" outlineLevel="2">
      <c r="A371" s="288"/>
      <c r="B371" s="297" t="s">
        <v>1797</v>
      </c>
      <c r="C371" s="297" t="s">
        <v>1057</v>
      </c>
      <c r="D371" s="298">
        <v>1011</v>
      </c>
      <c r="E371" s="306" t="s">
        <v>2097</v>
      </c>
      <c r="F371" s="46"/>
      <c r="G371" s="297" t="s">
        <v>832</v>
      </c>
      <c r="H371" s="308" t="str">
        <f>CONCATENATE("MEP-",G371,"-",I371)</f>
        <v>MEP-VC1-1</v>
      </c>
      <c r="I371" s="309">
        <v>1</v>
      </c>
      <c r="J371" s="300">
        <v>1</v>
      </c>
    </row>
    <row r="372" spans="1:13" s="18" customFormat="1" ht="12.75" customHeight="1" outlineLevel="2">
      <c r="A372" s="288"/>
      <c r="B372" s="297" t="s">
        <v>1797</v>
      </c>
      <c r="C372" s="297" t="s">
        <v>1057</v>
      </c>
      <c r="D372" s="298">
        <v>1012</v>
      </c>
      <c r="E372" s="306" t="s">
        <v>2098</v>
      </c>
      <c r="F372" s="46"/>
      <c r="G372" s="297" t="s">
        <v>832</v>
      </c>
      <c r="H372" s="308" t="str">
        <f>CONCATENATE("MEP-",G372,"-",I372)</f>
        <v>MEP-VC1-1</v>
      </c>
      <c r="I372" s="309">
        <v>1</v>
      </c>
      <c r="J372" s="300">
        <v>1</v>
      </c>
    </row>
    <row r="373" spans="1:13" s="18" customFormat="1" ht="12.75" customHeight="1" outlineLevel="2">
      <c r="A373" s="288"/>
      <c r="B373" s="297" t="s">
        <v>1797</v>
      </c>
      <c r="C373" s="297" t="s">
        <v>1057</v>
      </c>
      <c r="D373" s="298">
        <v>1013</v>
      </c>
      <c r="E373" s="306" t="s">
        <v>2098</v>
      </c>
      <c r="F373" s="46"/>
      <c r="G373" s="297" t="s">
        <v>832</v>
      </c>
      <c r="H373" s="308" t="str">
        <f>CONCATENATE("MEP-",G373,"-",I373)</f>
        <v>MEP-VC1-1</v>
      </c>
      <c r="I373" s="309">
        <v>1</v>
      </c>
      <c r="J373" s="300">
        <v>1</v>
      </c>
    </row>
    <row r="374" spans="1:13" s="18" customFormat="1" ht="12.75" customHeight="1" outlineLevel="1"/>
    <row r="375" spans="1:13" s="18" customFormat="1" ht="12.75" customHeight="1" outlineLevel="1">
      <c r="A375" s="288"/>
      <c r="B375" s="301" t="s">
        <v>1810</v>
      </c>
      <c r="C375" s="297"/>
      <c r="D375" s="298"/>
      <c r="E375" s="306"/>
      <c r="F375" s="46"/>
      <c r="G375" s="46"/>
      <c r="H375" s="46"/>
      <c r="I375" s="302"/>
      <c r="J375" s="300"/>
      <c r="K375" s="300"/>
      <c r="L375" s="300"/>
      <c r="M375" s="311"/>
    </row>
    <row r="376" spans="1:13" s="18" customFormat="1" ht="12.75" customHeight="1" outlineLevel="2">
      <c r="A376" s="288"/>
      <c r="B376" s="297" t="s">
        <v>1811</v>
      </c>
      <c r="C376" s="297" t="s">
        <v>1057</v>
      </c>
      <c r="D376" s="298" t="s">
        <v>279</v>
      </c>
      <c r="E376" s="306" t="s">
        <v>2099</v>
      </c>
      <c r="F376" s="46"/>
      <c r="G376" s="297" t="s">
        <v>832</v>
      </c>
      <c r="H376" s="308" t="str">
        <f t="shared" ref="H376:H381" si="36">CONCATENATE("MEP-",G376,"-",I376)</f>
        <v>MEP-VC1-2</v>
      </c>
      <c r="I376" s="309">
        <v>2</v>
      </c>
      <c r="J376" s="300">
        <v>1</v>
      </c>
      <c r="K376" s="300"/>
      <c r="L376" s="300"/>
      <c r="M376" s="311"/>
    </row>
    <row r="377" spans="1:13" s="18" customFormat="1" ht="12.75" customHeight="1" outlineLevel="2">
      <c r="A377" s="288"/>
      <c r="B377" s="297" t="s">
        <v>1811</v>
      </c>
      <c r="C377" s="297" t="s">
        <v>1057</v>
      </c>
      <c r="D377" s="298" t="s">
        <v>506</v>
      </c>
      <c r="E377" s="306" t="s">
        <v>2100</v>
      </c>
      <c r="F377" s="46"/>
      <c r="G377" s="297" t="s">
        <v>832</v>
      </c>
      <c r="H377" s="308" t="str">
        <f t="shared" si="36"/>
        <v>MEP-VC1-1</v>
      </c>
      <c r="I377" s="309">
        <v>1</v>
      </c>
      <c r="J377" s="300">
        <v>1</v>
      </c>
      <c r="K377" s="300"/>
      <c r="L377" s="300"/>
      <c r="M377" s="311"/>
    </row>
    <row r="378" spans="1:13" s="18" customFormat="1" ht="12.75" customHeight="1" outlineLevel="2">
      <c r="A378" s="288"/>
      <c r="B378" s="297" t="s">
        <v>1811</v>
      </c>
      <c r="C378" s="297" t="s">
        <v>1057</v>
      </c>
      <c r="D378" s="298" t="s">
        <v>1046</v>
      </c>
      <c r="E378" s="306" t="s">
        <v>2101</v>
      </c>
      <c r="F378" s="46"/>
      <c r="G378" s="297" t="s">
        <v>832</v>
      </c>
      <c r="H378" s="308" t="str">
        <f t="shared" si="36"/>
        <v>MEP-VC1-2</v>
      </c>
      <c r="I378" s="309">
        <v>2</v>
      </c>
      <c r="J378" s="300">
        <v>1</v>
      </c>
      <c r="K378" s="300"/>
      <c r="L378" s="300"/>
      <c r="M378" s="311"/>
    </row>
    <row r="379" spans="1:13" s="18" customFormat="1" ht="12.75" customHeight="1" outlineLevel="2">
      <c r="A379" s="288"/>
      <c r="B379" s="297" t="s">
        <v>1811</v>
      </c>
      <c r="C379" s="297" t="s">
        <v>1057</v>
      </c>
      <c r="D379" s="298" t="s">
        <v>1048</v>
      </c>
      <c r="E379" s="306" t="s">
        <v>2102</v>
      </c>
      <c r="F379" s="46"/>
      <c r="G379" s="297" t="s">
        <v>832</v>
      </c>
      <c r="H379" s="308" t="str">
        <f t="shared" si="36"/>
        <v>MEP-VC1-3</v>
      </c>
      <c r="I379" s="309">
        <v>3</v>
      </c>
      <c r="J379" s="300">
        <v>1</v>
      </c>
      <c r="K379" s="300"/>
      <c r="L379" s="300"/>
      <c r="M379" s="311"/>
    </row>
    <row r="380" spans="1:13" s="18" customFormat="1" ht="12.75" customHeight="1" outlineLevel="2">
      <c r="A380" s="288"/>
      <c r="B380" s="297" t="s">
        <v>1811</v>
      </c>
      <c r="C380" s="297" t="s">
        <v>1057</v>
      </c>
      <c r="D380" s="298">
        <v>1021</v>
      </c>
      <c r="E380" s="306" t="s">
        <v>2103</v>
      </c>
      <c r="F380" s="46"/>
      <c r="G380" s="297" t="s">
        <v>832</v>
      </c>
      <c r="H380" s="308" t="str">
        <f t="shared" si="36"/>
        <v>MEP-VC1-2</v>
      </c>
      <c r="I380" s="309">
        <v>2</v>
      </c>
      <c r="J380" s="300">
        <v>1</v>
      </c>
      <c r="K380" s="300"/>
      <c r="L380" s="300"/>
      <c r="M380" s="311"/>
    </row>
    <row r="381" spans="1:13" s="18" customFormat="1" ht="12.75" customHeight="1" outlineLevel="2">
      <c r="A381" s="288"/>
      <c r="B381" s="297" t="s">
        <v>1811</v>
      </c>
      <c r="C381" s="297" t="s">
        <v>1057</v>
      </c>
      <c r="D381" s="298">
        <v>1031</v>
      </c>
      <c r="E381" s="306" t="s">
        <v>2104</v>
      </c>
      <c r="F381" s="46"/>
      <c r="G381" s="297" t="s">
        <v>832</v>
      </c>
      <c r="H381" s="308" t="str">
        <f t="shared" si="36"/>
        <v>MEP-VC1-2</v>
      </c>
      <c r="I381" s="309">
        <v>2</v>
      </c>
      <c r="J381" s="300">
        <v>1</v>
      </c>
      <c r="K381" s="300"/>
      <c r="L381" s="300"/>
      <c r="M381" s="311"/>
    </row>
    <row r="382" spans="1:13" s="18" customFormat="1" ht="3" customHeight="1">
      <c r="A382" s="288"/>
      <c r="B382" s="297"/>
      <c r="C382" s="297"/>
      <c r="D382" s="298"/>
      <c r="E382" s="306"/>
      <c r="F382" s="46"/>
      <c r="G382" s="41"/>
      <c r="H382" s="41"/>
      <c r="I382" s="42"/>
      <c r="J382" s="300"/>
      <c r="K382" s="300"/>
      <c r="L382" s="300"/>
      <c r="M382" s="311"/>
    </row>
    <row r="383" spans="1:13" s="18" customFormat="1" ht="12.75" customHeight="1">
      <c r="A383" s="288" t="s">
        <v>916</v>
      </c>
      <c r="B383" s="297"/>
      <c r="C383" s="297"/>
      <c r="D383" s="298"/>
      <c r="E383" s="306"/>
      <c r="F383" s="46"/>
      <c r="G383" s="41" t="s">
        <v>257</v>
      </c>
      <c r="H383" s="41" t="s">
        <v>258</v>
      </c>
      <c r="I383" s="42" t="s">
        <v>259</v>
      </c>
      <c r="J383" s="300"/>
      <c r="K383" s="300"/>
      <c r="L383" s="149"/>
      <c r="M383" s="149"/>
    </row>
    <row r="384" spans="1:13" s="18" customFormat="1" ht="12.75" customHeight="1" outlineLevel="1">
      <c r="A384" s="288"/>
      <c r="B384" s="297"/>
      <c r="C384" s="297"/>
      <c r="D384" s="298"/>
      <c r="E384" s="306"/>
      <c r="F384" s="46"/>
      <c r="G384" s="41"/>
      <c r="H384" s="41"/>
      <c r="I384" s="42"/>
      <c r="J384" s="300"/>
      <c r="K384" s="300"/>
      <c r="L384" s="300"/>
      <c r="M384" s="311"/>
    </row>
    <row r="385" spans="1:23" s="18" customFormat="1" ht="12.75" customHeight="1" outlineLevel="1">
      <c r="B385" s="301" t="s">
        <v>1796</v>
      </c>
      <c r="C385" s="297"/>
      <c r="D385" s="298"/>
      <c r="E385" s="306"/>
      <c r="F385" s="46"/>
      <c r="G385" s="46"/>
      <c r="H385" s="46"/>
      <c r="I385" s="302"/>
      <c r="J385" s="300"/>
      <c r="K385" s="300"/>
      <c r="L385" s="300"/>
      <c r="M385" s="311"/>
    </row>
    <row r="386" spans="1:23" s="18" customFormat="1" ht="12.75" customHeight="1" outlineLevel="2">
      <c r="A386" s="288"/>
      <c r="B386" s="297" t="s">
        <v>1797</v>
      </c>
      <c r="C386" s="297" t="s">
        <v>935</v>
      </c>
      <c r="D386" s="298">
        <v>1011</v>
      </c>
      <c r="E386" s="306" t="s">
        <v>2097</v>
      </c>
      <c r="F386" s="46"/>
      <c r="G386" s="297" t="s">
        <v>917</v>
      </c>
      <c r="H386" s="308" t="str">
        <f>CONCATENATE("MEP-",G386,"-",I386)</f>
        <v>MEP-VC3-1</v>
      </c>
      <c r="I386" s="309">
        <v>1</v>
      </c>
      <c r="K386" s="300"/>
      <c r="L386" s="311">
        <v>1</v>
      </c>
      <c r="M386" s="311">
        <v>1</v>
      </c>
      <c r="Q386" s="18">
        <v>1</v>
      </c>
      <c r="T386" s="18">
        <v>1</v>
      </c>
      <c r="W386" s="18" t="s">
        <v>2105</v>
      </c>
    </row>
    <row r="387" spans="1:23" s="18" customFormat="1" ht="12.75" customHeight="1" outlineLevel="2">
      <c r="A387" s="288"/>
      <c r="B387" s="297" t="s">
        <v>1797</v>
      </c>
      <c r="C387" s="297" t="s">
        <v>935</v>
      </c>
      <c r="D387" s="298">
        <v>1012</v>
      </c>
      <c r="E387" s="306" t="s">
        <v>2100</v>
      </c>
      <c r="F387" s="46"/>
      <c r="G387" s="297" t="s">
        <v>917</v>
      </c>
      <c r="H387" s="308" t="str">
        <f>CONCATENATE("MEP-",G387,"-",I387)</f>
        <v>MEP-VC3-1</v>
      </c>
      <c r="I387" s="309">
        <v>1</v>
      </c>
      <c r="K387" s="300"/>
      <c r="L387" s="311">
        <v>1</v>
      </c>
      <c r="M387" s="311">
        <v>1</v>
      </c>
      <c r="Q387" s="18">
        <v>1</v>
      </c>
      <c r="T387" s="18">
        <v>1</v>
      </c>
      <c r="W387" s="18" t="s">
        <v>2105</v>
      </c>
    </row>
    <row r="388" spans="1:23" s="18" customFormat="1" ht="12.75" customHeight="1" outlineLevel="2">
      <c r="A388" s="288"/>
      <c r="B388" s="297" t="s">
        <v>1797</v>
      </c>
      <c r="C388" s="297" t="s">
        <v>935</v>
      </c>
      <c r="D388" s="298">
        <v>1013</v>
      </c>
      <c r="E388" s="306" t="s">
        <v>2106</v>
      </c>
      <c r="F388" s="46"/>
      <c r="G388" s="297" t="s">
        <v>917</v>
      </c>
      <c r="H388" s="308" t="str">
        <f>CONCATENATE("MEP-",G388,"-",I388)</f>
        <v>MEP-VC3-1</v>
      </c>
      <c r="I388" s="309">
        <v>1</v>
      </c>
      <c r="K388" s="300"/>
      <c r="L388" s="311">
        <v>1</v>
      </c>
      <c r="M388" s="311">
        <v>1</v>
      </c>
      <c r="Q388" s="18">
        <v>1</v>
      </c>
      <c r="T388" s="18">
        <v>1</v>
      </c>
      <c r="W388" s="18" t="s">
        <v>2105</v>
      </c>
    </row>
    <row r="389" spans="1:23" s="18" customFormat="1" ht="12.75" customHeight="1" outlineLevel="2">
      <c r="A389" s="288"/>
      <c r="B389" s="297" t="s">
        <v>1797</v>
      </c>
      <c r="C389" s="297" t="s">
        <v>935</v>
      </c>
      <c r="D389" s="298">
        <v>9001</v>
      </c>
      <c r="E389" s="306" t="s">
        <v>2096</v>
      </c>
      <c r="F389" s="46"/>
      <c r="G389" s="297" t="s">
        <v>917</v>
      </c>
      <c r="H389" s="308" t="str">
        <f>CONCATENATE("MEP-",G389,"-",I389)</f>
        <v>MEP-VC3-3</v>
      </c>
      <c r="I389" s="309">
        <v>3</v>
      </c>
      <c r="K389" s="300"/>
      <c r="L389" s="311">
        <v>1</v>
      </c>
      <c r="M389" s="311">
        <v>1</v>
      </c>
      <c r="Q389" s="18">
        <v>1</v>
      </c>
      <c r="T389" s="18">
        <v>1</v>
      </c>
    </row>
    <row r="390" spans="1:23" s="18" customFormat="1" ht="12.75" customHeight="1" outlineLevel="2">
      <c r="A390" s="288"/>
      <c r="B390" s="297" t="s">
        <v>1797</v>
      </c>
      <c r="C390" s="297" t="s">
        <v>935</v>
      </c>
      <c r="D390" s="298"/>
      <c r="E390" s="306" t="s">
        <v>2107</v>
      </c>
      <c r="F390" s="46"/>
      <c r="G390" s="297" t="s">
        <v>917</v>
      </c>
      <c r="H390" s="308" t="str">
        <f t="shared" ref="H390:H392" si="37">CONCATENATE("MEP-",G390,"-",I390)</f>
        <v>MEP-VC3-3</v>
      </c>
      <c r="I390" s="309">
        <v>3</v>
      </c>
      <c r="K390" s="300"/>
      <c r="L390" s="311">
        <v>1</v>
      </c>
      <c r="M390" s="311">
        <v>1</v>
      </c>
      <c r="Q390" s="18">
        <v>1</v>
      </c>
      <c r="T390" s="18">
        <v>1</v>
      </c>
    </row>
    <row r="391" spans="1:23" s="18" customFormat="1" ht="12.75" customHeight="1" outlineLevel="2">
      <c r="A391" s="288"/>
      <c r="B391" s="297" t="s">
        <v>1797</v>
      </c>
      <c r="C391" s="297" t="s">
        <v>935</v>
      </c>
      <c r="D391" s="298"/>
      <c r="E391" s="306" t="s">
        <v>2108</v>
      </c>
      <c r="F391" s="46"/>
      <c r="G391" s="297" t="s">
        <v>917</v>
      </c>
      <c r="H391" s="308" t="str">
        <f t="shared" si="37"/>
        <v>MEP-VC3-3</v>
      </c>
      <c r="I391" s="309">
        <v>3</v>
      </c>
      <c r="K391" s="300"/>
      <c r="L391" s="311">
        <v>1</v>
      </c>
      <c r="M391" s="311">
        <v>1</v>
      </c>
      <c r="Q391" s="18">
        <v>1</v>
      </c>
      <c r="T391" s="18">
        <v>1</v>
      </c>
    </row>
    <row r="392" spans="1:23" s="18" customFormat="1" ht="12.75" customHeight="1" outlineLevel="2">
      <c r="A392" s="288"/>
      <c r="B392" s="297" t="s">
        <v>1797</v>
      </c>
      <c r="C392" s="297" t="s">
        <v>935</v>
      </c>
      <c r="D392" s="298"/>
      <c r="E392" s="306" t="s">
        <v>2109</v>
      </c>
      <c r="F392" s="46"/>
      <c r="G392" s="297" t="s">
        <v>917</v>
      </c>
      <c r="H392" s="308" t="str">
        <f t="shared" si="37"/>
        <v>MEP-VC3-3</v>
      </c>
      <c r="I392" s="309">
        <v>3</v>
      </c>
      <c r="K392" s="300"/>
      <c r="L392" s="311">
        <v>1</v>
      </c>
      <c r="M392" s="311">
        <v>1</v>
      </c>
      <c r="Q392" s="18">
        <v>1</v>
      </c>
      <c r="T392" s="18">
        <v>1</v>
      </c>
    </row>
    <row r="393" spans="1:23" s="18" customFormat="1" ht="12.75" customHeight="1" outlineLevel="1"/>
    <row r="394" spans="1:23" s="18" customFormat="1" ht="12.75" customHeight="1" outlineLevel="1">
      <c r="A394" s="288"/>
      <c r="B394" s="301" t="s">
        <v>1810</v>
      </c>
      <c r="C394" s="297"/>
      <c r="D394" s="298"/>
      <c r="E394" s="306"/>
      <c r="F394" s="46"/>
      <c r="G394" s="46"/>
      <c r="H394" s="46"/>
      <c r="I394" s="302"/>
      <c r="K394" s="300"/>
      <c r="L394" s="300"/>
      <c r="M394" s="311"/>
    </row>
    <row r="395" spans="1:23" s="18" customFormat="1" ht="12.75" customHeight="1" outlineLevel="2">
      <c r="A395" s="288"/>
      <c r="B395" s="297" t="s">
        <v>1811</v>
      </c>
      <c r="C395" s="297" t="s">
        <v>935</v>
      </c>
      <c r="D395" s="298" t="s">
        <v>279</v>
      </c>
      <c r="E395" s="306" t="s">
        <v>2110</v>
      </c>
      <c r="F395" s="46"/>
      <c r="G395" s="297" t="s">
        <v>917</v>
      </c>
      <c r="H395" s="308" t="str">
        <f t="shared" ref="H395:H398" si="38">CONCATENATE("MEP-",G395,"-",I395)</f>
        <v>MEP-VC3-2</v>
      </c>
      <c r="I395" s="309">
        <v>2</v>
      </c>
      <c r="K395" s="300"/>
      <c r="L395" s="311">
        <v>1</v>
      </c>
      <c r="M395" s="311">
        <v>1</v>
      </c>
      <c r="Q395" s="18">
        <v>1</v>
      </c>
      <c r="T395" s="18">
        <v>1</v>
      </c>
    </row>
    <row r="396" spans="1:23" s="18" customFormat="1" ht="12.75" customHeight="1" outlineLevel="2">
      <c r="A396" s="288"/>
      <c r="B396" s="297" t="s">
        <v>1811</v>
      </c>
      <c r="C396" s="297" t="s">
        <v>935</v>
      </c>
      <c r="D396" s="298" t="s">
        <v>1046</v>
      </c>
      <c r="E396" s="306" t="s">
        <v>2111</v>
      </c>
      <c r="F396" s="46"/>
      <c r="G396" s="297" t="s">
        <v>917</v>
      </c>
      <c r="H396" s="308" t="str">
        <f t="shared" si="38"/>
        <v>MEP-VC3-2</v>
      </c>
      <c r="I396" s="309">
        <v>2</v>
      </c>
      <c r="K396" s="300"/>
      <c r="L396" s="311">
        <v>1</v>
      </c>
      <c r="M396" s="311">
        <v>1</v>
      </c>
      <c r="Q396" s="18">
        <v>1</v>
      </c>
      <c r="T396" s="18">
        <v>1</v>
      </c>
    </row>
    <row r="397" spans="1:23" s="18" customFormat="1" ht="12.75" customHeight="1" outlineLevel="2">
      <c r="A397" s="288"/>
      <c r="B397" s="297" t="s">
        <v>1811</v>
      </c>
      <c r="C397" s="297" t="s">
        <v>935</v>
      </c>
      <c r="D397" s="298">
        <v>1021</v>
      </c>
      <c r="E397" s="306" t="s">
        <v>2112</v>
      </c>
      <c r="F397" s="46"/>
      <c r="G397" s="297" t="s">
        <v>917</v>
      </c>
      <c r="H397" s="308" t="str">
        <f t="shared" si="38"/>
        <v>MEP-VC3-2</v>
      </c>
      <c r="I397" s="309">
        <v>2</v>
      </c>
      <c r="K397" s="300"/>
      <c r="L397" s="311">
        <v>1</v>
      </c>
      <c r="M397" s="311">
        <v>1</v>
      </c>
      <c r="Q397" s="18">
        <v>1</v>
      </c>
      <c r="T397" s="18">
        <v>1</v>
      </c>
    </row>
    <row r="398" spans="1:23" s="18" customFormat="1" ht="12.75" customHeight="1" outlineLevel="2">
      <c r="A398" s="288"/>
      <c r="B398" s="297" t="s">
        <v>1811</v>
      </c>
      <c r="C398" s="297" t="s">
        <v>935</v>
      </c>
      <c r="D398" s="298">
        <v>1031</v>
      </c>
      <c r="E398" s="306" t="s">
        <v>2113</v>
      </c>
      <c r="F398" s="46"/>
      <c r="G398" s="297" t="s">
        <v>917</v>
      </c>
      <c r="H398" s="308" t="str">
        <f t="shared" si="38"/>
        <v>MEP-VC3-2</v>
      </c>
      <c r="I398" s="309">
        <v>2</v>
      </c>
      <c r="K398" s="300"/>
      <c r="L398" s="311">
        <v>1</v>
      </c>
      <c r="M398" s="311">
        <v>1</v>
      </c>
      <c r="Q398" s="18">
        <v>1</v>
      </c>
      <c r="T398" s="18">
        <v>1</v>
      </c>
    </row>
    <row r="399" spans="1:23" s="18" customFormat="1" ht="3" customHeight="1">
      <c r="A399" s="288"/>
      <c r="B399" s="297"/>
      <c r="C399" s="297"/>
      <c r="D399" s="298"/>
      <c r="E399" s="306"/>
      <c r="F399" s="46"/>
      <c r="G399" s="41"/>
      <c r="H399" s="41"/>
      <c r="I399" s="42"/>
      <c r="J399" s="300"/>
      <c r="K399" s="300"/>
      <c r="L399" s="300"/>
      <c r="M399" s="311"/>
    </row>
    <row r="400" spans="1:23" s="18" customFormat="1" ht="12.75" customHeight="1">
      <c r="A400" s="288" t="s">
        <v>940</v>
      </c>
      <c r="B400" s="297"/>
      <c r="C400" s="297"/>
      <c r="D400" s="298"/>
      <c r="E400" s="306"/>
      <c r="F400" s="46"/>
      <c r="G400" s="41" t="s">
        <v>257</v>
      </c>
      <c r="H400" s="41" t="s">
        <v>258</v>
      </c>
      <c r="I400" s="42" t="s">
        <v>259</v>
      </c>
      <c r="J400" s="300"/>
      <c r="K400" s="300"/>
      <c r="L400" s="149"/>
      <c r="M400" s="149"/>
    </row>
    <row r="401" spans="1:13" s="18" customFormat="1" ht="3" customHeight="1" outlineLevel="1">
      <c r="A401" s="301"/>
      <c r="B401" s="297"/>
      <c r="C401" s="297"/>
      <c r="D401" s="298"/>
      <c r="E401" s="306"/>
      <c r="F401" s="46"/>
      <c r="G401" s="46"/>
      <c r="H401" s="46"/>
      <c r="I401" s="302"/>
      <c r="J401" s="300"/>
      <c r="K401" s="300"/>
      <c r="L401" s="300"/>
      <c r="M401" s="311"/>
    </row>
    <row r="402" spans="1:13" s="18" customFormat="1" ht="12.75" customHeight="1" outlineLevel="1">
      <c r="A402" s="301"/>
      <c r="B402" s="317" t="s">
        <v>2114</v>
      </c>
      <c r="C402" s="297"/>
      <c r="D402" s="298"/>
      <c r="E402" s="306"/>
      <c r="F402" s="46"/>
      <c r="G402" s="46"/>
      <c r="H402" s="46"/>
      <c r="I402" s="302"/>
      <c r="J402" s="300"/>
      <c r="K402" s="300"/>
      <c r="L402" s="300"/>
      <c r="M402" s="311"/>
    </row>
    <row r="403" spans="1:13" s="18" customFormat="1" ht="12.75" customHeight="1" outlineLevel="2">
      <c r="A403" s="301"/>
      <c r="B403" s="317"/>
      <c r="C403" s="297"/>
      <c r="D403" s="298"/>
      <c r="E403" s="306"/>
      <c r="F403" s="46"/>
      <c r="G403" s="46"/>
      <c r="H403" s="46"/>
      <c r="I403" s="302"/>
      <c r="J403" s="300"/>
      <c r="K403" s="300"/>
      <c r="L403" s="300"/>
      <c r="M403" s="311"/>
    </row>
    <row r="404" spans="1:13" s="18" customFormat="1" ht="12.75" customHeight="1" outlineLevel="2">
      <c r="A404" s="301"/>
      <c r="B404" s="301" t="s">
        <v>1796</v>
      </c>
      <c r="C404" s="297"/>
      <c r="D404" s="298"/>
      <c r="E404" s="306"/>
      <c r="F404" s="46"/>
      <c r="G404" s="46"/>
      <c r="H404" s="46"/>
      <c r="I404" s="302"/>
      <c r="J404" s="300"/>
      <c r="K404" s="300"/>
      <c r="L404" s="300"/>
      <c r="M404" s="311"/>
    </row>
    <row r="405" spans="1:13" s="18" customFormat="1" ht="12.75" customHeight="1" outlineLevel="3">
      <c r="A405" s="301"/>
      <c r="B405" s="297" t="s">
        <v>1797</v>
      </c>
      <c r="C405" s="297" t="s">
        <v>1057</v>
      </c>
      <c r="D405" s="298">
        <v>4011</v>
      </c>
      <c r="E405" s="306" t="s">
        <v>2115</v>
      </c>
      <c r="F405" s="46"/>
      <c r="G405" s="297" t="s">
        <v>878</v>
      </c>
      <c r="H405" s="308" t="str">
        <f t="shared" ref="H405:H413" si="39">CONCATENATE("MEP-",G405,"-",I405)</f>
        <v>MEP-V50-1</v>
      </c>
      <c r="I405" s="309">
        <v>1</v>
      </c>
      <c r="J405" s="300">
        <v>1</v>
      </c>
      <c r="K405" s="300"/>
      <c r="L405" s="300"/>
      <c r="M405" s="311"/>
    </row>
    <row r="406" spans="1:13" s="18" customFormat="1" ht="12.75" customHeight="1" outlineLevel="3">
      <c r="A406" s="301"/>
      <c r="B406" s="297" t="s">
        <v>1797</v>
      </c>
      <c r="C406" s="297" t="s">
        <v>1057</v>
      </c>
      <c r="D406" s="298">
        <v>4021</v>
      </c>
      <c r="E406" s="306" t="s">
        <v>2116</v>
      </c>
      <c r="F406" s="46"/>
      <c r="G406" s="297" t="s">
        <v>878</v>
      </c>
      <c r="H406" s="308" t="str">
        <f t="shared" si="39"/>
        <v>MEP-V50-1</v>
      </c>
      <c r="I406" s="309">
        <v>1</v>
      </c>
      <c r="J406" s="300">
        <v>1</v>
      </c>
      <c r="K406" s="300"/>
      <c r="L406" s="300"/>
      <c r="M406" s="311"/>
    </row>
    <row r="407" spans="1:13" s="18" customFormat="1" ht="12.75" customHeight="1" outlineLevel="3">
      <c r="A407" s="301"/>
      <c r="B407" s="297" t="s">
        <v>1797</v>
      </c>
      <c r="C407" s="297" t="s">
        <v>1057</v>
      </c>
      <c r="D407" s="298">
        <v>4031</v>
      </c>
      <c r="E407" s="306" t="s">
        <v>2117</v>
      </c>
      <c r="F407" s="46"/>
      <c r="G407" s="297" t="s">
        <v>878</v>
      </c>
      <c r="H407" s="308" t="str">
        <f t="shared" si="39"/>
        <v>MEP-V50-1</v>
      </c>
      <c r="I407" s="309">
        <v>1</v>
      </c>
      <c r="J407" s="300">
        <v>1</v>
      </c>
      <c r="K407" s="300"/>
      <c r="L407" s="300"/>
      <c r="M407" s="311"/>
    </row>
    <row r="408" spans="1:13" s="18" customFormat="1" ht="12.75" customHeight="1" outlineLevel="3">
      <c r="B408" s="297" t="s">
        <v>1797</v>
      </c>
      <c r="C408" s="297" t="s">
        <v>1057</v>
      </c>
      <c r="D408" s="298">
        <v>4041</v>
      </c>
      <c r="E408" s="306" t="s">
        <v>2118</v>
      </c>
      <c r="F408" s="46"/>
      <c r="G408" s="297" t="s">
        <v>878</v>
      </c>
      <c r="H408" s="308" t="str">
        <f t="shared" si="39"/>
        <v>MEP-V50-1</v>
      </c>
      <c r="I408" s="309">
        <v>1</v>
      </c>
      <c r="J408" s="300">
        <v>1</v>
      </c>
    </row>
    <row r="409" spans="1:13" s="18" customFormat="1" ht="12.75" customHeight="1" outlineLevel="3">
      <c r="B409" s="297" t="s">
        <v>1797</v>
      </c>
      <c r="C409" s="297" t="s">
        <v>1057</v>
      </c>
      <c r="D409" s="298">
        <v>4051</v>
      </c>
      <c r="E409" s="306" t="s">
        <v>2119</v>
      </c>
      <c r="F409" s="46"/>
      <c r="G409" s="297" t="s">
        <v>878</v>
      </c>
      <c r="H409" s="308" t="str">
        <f t="shared" si="39"/>
        <v>MEP-V50-1</v>
      </c>
      <c r="I409" s="309">
        <v>1</v>
      </c>
      <c r="J409" s="300">
        <v>1</v>
      </c>
    </row>
    <row r="410" spans="1:13" s="18" customFormat="1" ht="12.75" customHeight="1" outlineLevel="3">
      <c r="B410" s="297" t="s">
        <v>1797</v>
      </c>
      <c r="C410" s="297" t="s">
        <v>1057</v>
      </c>
      <c r="D410" s="298">
        <v>4061</v>
      </c>
      <c r="E410" s="306" t="s">
        <v>2120</v>
      </c>
      <c r="F410" s="46"/>
      <c r="G410" s="297" t="s">
        <v>878</v>
      </c>
      <c r="H410" s="308" t="str">
        <f t="shared" si="39"/>
        <v>MEP-V50-1</v>
      </c>
      <c r="I410" s="309">
        <v>1</v>
      </c>
      <c r="J410" s="300">
        <v>1</v>
      </c>
    </row>
    <row r="411" spans="1:13" s="18" customFormat="1" ht="12.75" customHeight="1" outlineLevel="3">
      <c r="B411" s="297" t="s">
        <v>1797</v>
      </c>
      <c r="C411" s="297" t="s">
        <v>1057</v>
      </c>
      <c r="D411" s="298">
        <v>4081</v>
      </c>
      <c r="E411" s="306" t="s">
        <v>2121</v>
      </c>
      <c r="F411" s="46"/>
      <c r="G411" s="297" t="s">
        <v>878</v>
      </c>
      <c r="H411" s="308" t="str">
        <f t="shared" si="39"/>
        <v>MEP-V50-1</v>
      </c>
      <c r="I411" s="309">
        <v>1</v>
      </c>
      <c r="J411" s="300">
        <v>1</v>
      </c>
    </row>
    <row r="412" spans="1:13" s="18" customFormat="1" ht="12.75" customHeight="1" outlineLevel="3">
      <c r="B412" s="297" t="s">
        <v>1797</v>
      </c>
      <c r="C412" s="297" t="s">
        <v>1057</v>
      </c>
      <c r="D412" s="298">
        <v>4091</v>
      </c>
      <c r="E412" s="306" t="s">
        <v>2122</v>
      </c>
      <c r="F412" s="46"/>
      <c r="G412" s="297" t="s">
        <v>878</v>
      </c>
      <c r="H412" s="308" t="str">
        <f t="shared" si="39"/>
        <v>MEP-V50-1</v>
      </c>
      <c r="I412" s="309">
        <v>1</v>
      </c>
      <c r="J412" s="300">
        <v>1</v>
      </c>
    </row>
    <row r="413" spans="1:13" s="18" customFormat="1" ht="12.75" customHeight="1" outlineLevel="3">
      <c r="B413" s="297" t="s">
        <v>1797</v>
      </c>
      <c r="C413" s="297" t="s">
        <v>1057</v>
      </c>
      <c r="D413" s="298">
        <v>4101</v>
      </c>
      <c r="E413" s="306" t="s">
        <v>2123</v>
      </c>
      <c r="F413" s="46"/>
      <c r="G413" s="297" t="s">
        <v>878</v>
      </c>
      <c r="H413" s="308" t="str">
        <f t="shared" si="39"/>
        <v>MEP-V50-1</v>
      </c>
      <c r="I413" s="309">
        <v>1</v>
      </c>
      <c r="J413" s="300">
        <v>1</v>
      </c>
    </row>
    <row r="414" spans="1:13" s="18" customFormat="1" ht="12.75" customHeight="1" outlineLevel="2">
      <c r="B414" s="297"/>
      <c r="C414" s="297"/>
      <c r="D414" s="298"/>
      <c r="E414" s="306"/>
      <c r="F414" s="46"/>
      <c r="G414" s="46"/>
      <c r="H414" s="46"/>
      <c r="I414" s="302"/>
      <c r="J414" s="300"/>
    </row>
    <row r="415" spans="1:13" s="18" customFormat="1" ht="12.75" customHeight="1" outlineLevel="2">
      <c r="B415" s="301" t="s">
        <v>1810</v>
      </c>
      <c r="C415" s="297"/>
      <c r="D415" s="298"/>
      <c r="E415" s="306"/>
      <c r="F415" s="46"/>
      <c r="G415" s="46"/>
      <c r="H415" s="46"/>
      <c r="I415" s="302"/>
      <c r="J415" s="300"/>
    </row>
    <row r="416" spans="1:13" s="18" customFormat="1" ht="12.75" customHeight="1" outlineLevel="3">
      <c r="B416" s="297" t="s">
        <v>1811</v>
      </c>
      <c r="C416" s="297" t="s">
        <v>1057</v>
      </c>
      <c r="D416" s="298">
        <v>9001</v>
      </c>
      <c r="E416" s="306" t="s">
        <v>2124</v>
      </c>
      <c r="F416" s="46"/>
      <c r="G416" s="297" t="s">
        <v>878</v>
      </c>
      <c r="H416" s="308" t="str">
        <f>CONCATENATE("MEP-",G416,"-",I416)</f>
        <v>MEP-V50-1</v>
      </c>
      <c r="I416" s="309">
        <v>1</v>
      </c>
      <c r="J416" s="300">
        <v>1</v>
      </c>
    </row>
    <row r="417" spans="2:10" s="18" customFormat="1" ht="12.75" customHeight="1" outlineLevel="3">
      <c r="B417" s="297" t="s">
        <v>1811</v>
      </c>
      <c r="C417" s="297" t="s">
        <v>1057</v>
      </c>
      <c r="D417" s="298" t="s">
        <v>2076</v>
      </c>
      <c r="E417" s="306" t="s">
        <v>2125</v>
      </c>
      <c r="F417" s="46"/>
      <c r="G417" s="297" t="s">
        <v>878</v>
      </c>
      <c r="H417" s="308" t="str">
        <f>CONCATENATE("MEP-",G417,"-",I417)</f>
        <v>MEP-V50-1</v>
      </c>
      <c r="I417" s="309">
        <v>1</v>
      </c>
      <c r="J417" s="300">
        <v>1</v>
      </c>
    </row>
    <row r="418" spans="2:10" s="18" customFormat="1" ht="12.75" customHeight="1" outlineLevel="3">
      <c r="B418" s="297" t="s">
        <v>1811</v>
      </c>
      <c r="C418" s="297" t="s">
        <v>1057</v>
      </c>
      <c r="D418" s="298">
        <v>1022</v>
      </c>
      <c r="E418" s="306" t="s">
        <v>2126</v>
      </c>
      <c r="F418" s="46"/>
      <c r="G418" s="297" t="s">
        <v>878</v>
      </c>
      <c r="H418" s="308" t="str">
        <f>CONCATENATE("MEP-",G418,"-",I418)</f>
        <v>MEP-V50-1</v>
      </c>
      <c r="I418" s="309">
        <v>1</v>
      </c>
      <c r="J418" s="300">
        <v>1</v>
      </c>
    </row>
    <row r="419" spans="2:10" s="18" customFormat="1" ht="12.75" customHeight="1" outlineLevel="3">
      <c r="B419" s="297" t="s">
        <v>1811</v>
      </c>
      <c r="C419" s="297" t="s">
        <v>1057</v>
      </c>
      <c r="D419" s="298" t="s">
        <v>1870</v>
      </c>
      <c r="E419" s="306" t="s">
        <v>2127</v>
      </c>
      <c r="F419" s="46"/>
      <c r="G419" s="297" t="s">
        <v>878</v>
      </c>
      <c r="H419" s="308" t="str">
        <f>CONCATENATE("MEP-",G419,"-",I419)</f>
        <v>MEP-V50-1</v>
      </c>
      <c r="I419" s="309">
        <v>1</v>
      </c>
      <c r="J419" s="300">
        <v>1</v>
      </c>
    </row>
    <row r="420" spans="2:10" s="18" customFormat="1" ht="12.75" customHeight="1" outlineLevel="2">
      <c r="B420" s="297"/>
      <c r="C420" s="297"/>
      <c r="D420" s="298"/>
      <c r="E420" s="306"/>
      <c r="F420" s="46"/>
      <c r="G420" s="46"/>
      <c r="H420" s="46"/>
      <c r="I420" s="302"/>
      <c r="J420" s="300"/>
    </row>
    <row r="421" spans="2:10" s="18" customFormat="1" ht="12.75" customHeight="1" outlineLevel="2">
      <c r="B421" s="301" t="s">
        <v>1819</v>
      </c>
      <c r="C421" s="297"/>
      <c r="D421" s="298"/>
      <c r="E421" s="306"/>
      <c r="F421" s="46"/>
      <c r="G421" s="46"/>
      <c r="H421" s="46"/>
      <c r="I421" s="302"/>
      <c r="J421" s="300"/>
    </row>
    <row r="422" spans="2:10" s="18" customFormat="1" ht="12.75" customHeight="1" outlineLevel="3">
      <c r="B422" s="297" t="s">
        <v>1819</v>
      </c>
      <c r="C422" s="297" t="s">
        <v>1057</v>
      </c>
      <c r="D422" s="298">
        <v>1011</v>
      </c>
      <c r="E422" s="306" t="s">
        <v>2128</v>
      </c>
      <c r="F422" s="46"/>
      <c r="G422" s="297" t="s">
        <v>878</v>
      </c>
      <c r="H422" s="308" t="str">
        <f t="shared" ref="H422:H435" si="40">CONCATENATE("MEP-",G422,"-",I422)</f>
        <v>MEP-V50-1</v>
      </c>
      <c r="I422" s="309">
        <v>1</v>
      </c>
      <c r="J422" s="300">
        <v>1</v>
      </c>
    </row>
    <row r="423" spans="2:10" s="18" customFormat="1" ht="12.75" customHeight="1" outlineLevel="3">
      <c r="B423" s="297" t="s">
        <v>1819</v>
      </c>
      <c r="C423" s="297" t="s">
        <v>1057</v>
      </c>
      <c r="D423" s="298">
        <v>1021</v>
      </c>
      <c r="E423" s="306" t="s">
        <v>2129</v>
      </c>
      <c r="F423" s="46"/>
      <c r="G423" s="297" t="s">
        <v>878</v>
      </c>
      <c r="H423" s="308" t="str">
        <f t="shared" si="40"/>
        <v>MEP-V50-1</v>
      </c>
      <c r="I423" s="309">
        <v>1</v>
      </c>
      <c r="J423" s="300">
        <v>1</v>
      </c>
    </row>
    <row r="424" spans="2:10" s="18" customFormat="1" ht="12.75" customHeight="1" outlineLevel="3">
      <c r="B424" s="297" t="s">
        <v>1819</v>
      </c>
      <c r="C424" s="297" t="s">
        <v>1057</v>
      </c>
      <c r="D424" s="298">
        <v>1022</v>
      </c>
      <c r="E424" s="306" t="s">
        <v>2130</v>
      </c>
      <c r="F424" s="46"/>
      <c r="G424" s="297" t="s">
        <v>878</v>
      </c>
      <c r="H424" s="308" t="str">
        <f t="shared" si="40"/>
        <v>MEP-V50-1</v>
      </c>
      <c r="I424" s="309">
        <v>1</v>
      </c>
      <c r="J424" s="300">
        <v>1</v>
      </c>
    </row>
    <row r="425" spans="2:10" s="18" customFormat="1" ht="12.75" customHeight="1" outlineLevel="3">
      <c r="B425" s="297" t="s">
        <v>1819</v>
      </c>
      <c r="C425" s="297" t="s">
        <v>1057</v>
      </c>
      <c r="D425" s="298">
        <v>1031</v>
      </c>
      <c r="E425" s="306" t="s">
        <v>2131</v>
      </c>
      <c r="F425" s="46"/>
      <c r="G425" s="297" t="s">
        <v>878</v>
      </c>
      <c r="H425" s="308" t="str">
        <f t="shared" si="40"/>
        <v>MEP-V50-1</v>
      </c>
      <c r="I425" s="309">
        <v>1</v>
      </c>
      <c r="J425" s="300">
        <v>1</v>
      </c>
    </row>
    <row r="426" spans="2:10" s="18" customFormat="1" ht="12.75" customHeight="1" outlineLevel="3">
      <c r="B426" s="297" t="s">
        <v>1819</v>
      </c>
      <c r="C426" s="297" t="s">
        <v>1057</v>
      </c>
      <c r="D426" s="298">
        <v>1041</v>
      </c>
      <c r="E426" s="306" t="s">
        <v>2132</v>
      </c>
      <c r="F426" s="46"/>
      <c r="G426" s="297" t="s">
        <v>878</v>
      </c>
      <c r="H426" s="308" t="str">
        <f t="shared" si="40"/>
        <v>MEP-V50-1</v>
      </c>
      <c r="I426" s="309">
        <v>1</v>
      </c>
      <c r="J426" s="300">
        <v>1</v>
      </c>
    </row>
    <row r="427" spans="2:10" s="18" customFormat="1" ht="12.75" customHeight="1" outlineLevel="3">
      <c r="B427" s="297" t="s">
        <v>1819</v>
      </c>
      <c r="C427" s="297" t="s">
        <v>1057</v>
      </c>
      <c r="D427" s="298">
        <v>1042</v>
      </c>
      <c r="E427" s="306" t="s">
        <v>2133</v>
      </c>
      <c r="F427" s="46"/>
      <c r="G427" s="297" t="s">
        <v>878</v>
      </c>
      <c r="H427" s="308" t="str">
        <f t="shared" si="40"/>
        <v>MEP-V50-1</v>
      </c>
      <c r="I427" s="309">
        <v>1</v>
      </c>
      <c r="J427" s="300">
        <v>1</v>
      </c>
    </row>
    <row r="428" spans="2:10" s="18" customFormat="1" ht="12.75" customHeight="1" outlineLevel="3">
      <c r="B428" s="297" t="s">
        <v>1819</v>
      </c>
      <c r="C428" s="297" t="s">
        <v>1057</v>
      </c>
      <c r="D428" s="298">
        <v>1051</v>
      </c>
      <c r="E428" s="306" t="s">
        <v>2134</v>
      </c>
      <c r="F428" s="46"/>
      <c r="G428" s="297" t="s">
        <v>878</v>
      </c>
      <c r="H428" s="308" t="str">
        <f t="shared" si="40"/>
        <v>MEP-V50-1</v>
      </c>
      <c r="I428" s="309">
        <v>1</v>
      </c>
      <c r="J428" s="300">
        <v>1</v>
      </c>
    </row>
    <row r="429" spans="2:10" s="18" customFormat="1" ht="12.75" customHeight="1" outlineLevel="3">
      <c r="B429" s="297" t="s">
        <v>1819</v>
      </c>
      <c r="C429" s="297" t="s">
        <v>1057</v>
      </c>
      <c r="D429" s="298">
        <v>1061</v>
      </c>
      <c r="E429" s="306" t="s">
        <v>2135</v>
      </c>
      <c r="F429" s="46"/>
      <c r="G429" s="297" t="s">
        <v>878</v>
      </c>
      <c r="H429" s="308" t="str">
        <f t="shared" si="40"/>
        <v>MEP-V50-1</v>
      </c>
      <c r="I429" s="309">
        <v>1</v>
      </c>
      <c r="J429" s="300">
        <v>1</v>
      </c>
    </row>
    <row r="430" spans="2:10" s="18" customFormat="1" ht="12.75" customHeight="1" outlineLevel="3">
      <c r="B430" s="297" t="s">
        <v>1819</v>
      </c>
      <c r="C430" s="297" t="s">
        <v>1057</v>
      </c>
      <c r="D430" s="298">
        <v>1015</v>
      </c>
      <c r="E430" s="306" t="s">
        <v>2136</v>
      </c>
      <c r="F430" s="46"/>
      <c r="G430" s="297" t="s">
        <v>878</v>
      </c>
      <c r="H430" s="308" t="str">
        <f t="shared" si="40"/>
        <v>MEP-V50-1</v>
      </c>
      <c r="I430" s="309">
        <v>1</v>
      </c>
      <c r="J430" s="300">
        <v>1</v>
      </c>
    </row>
    <row r="431" spans="2:10" s="18" customFormat="1" ht="12.75" customHeight="1" outlineLevel="3">
      <c r="B431" s="297" t="s">
        <v>1819</v>
      </c>
      <c r="C431" s="297" t="s">
        <v>1057</v>
      </c>
      <c r="D431" s="298">
        <v>1025</v>
      </c>
      <c r="E431" s="306" t="s">
        <v>2136</v>
      </c>
      <c r="F431" s="46"/>
      <c r="G431" s="297" t="s">
        <v>878</v>
      </c>
      <c r="H431" s="308" t="str">
        <f t="shared" si="40"/>
        <v>MEP-V50-1</v>
      </c>
      <c r="I431" s="309">
        <v>1</v>
      </c>
      <c r="J431" s="300">
        <v>1</v>
      </c>
    </row>
    <row r="432" spans="2:10" s="18" customFormat="1" ht="12.75" customHeight="1" outlineLevel="3">
      <c r="B432" s="297" t="s">
        <v>1819</v>
      </c>
      <c r="C432" s="297" t="s">
        <v>1057</v>
      </c>
      <c r="D432" s="298">
        <v>1035</v>
      </c>
      <c r="E432" s="306" t="s">
        <v>2136</v>
      </c>
      <c r="F432" s="46"/>
      <c r="G432" s="297" t="s">
        <v>878</v>
      </c>
      <c r="H432" s="308" t="str">
        <f t="shared" si="40"/>
        <v>MEP-V50-1</v>
      </c>
      <c r="I432" s="309">
        <v>1</v>
      </c>
      <c r="J432" s="300">
        <v>1</v>
      </c>
    </row>
    <row r="433" spans="2:13" s="18" customFormat="1" ht="12.75" customHeight="1" outlineLevel="3">
      <c r="B433" s="297" t="s">
        <v>1819</v>
      </c>
      <c r="C433" s="297" t="s">
        <v>1057</v>
      </c>
      <c r="D433" s="298">
        <v>1045</v>
      </c>
      <c r="E433" s="306" t="s">
        <v>2136</v>
      </c>
      <c r="F433" s="46"/>
      <c r="G433" s="297" t="s">
        <v>878</v>
      </c>
      <c r="H433" s="308" t="str">
        <f t="shared" si="40"/>
        <v>MEP-V50-1</v>
      </c>
      <c r="I433" s="309">
        <v>1</v>
      </c>
      <c r="J433" s="300">
        <v>1</v>
      </c>
    </row>
    <row r="434" spans="2:13" s="18" customFormat="1" ht="12.75" customHeight="1" outlineLevel="3">
      <c r="B434" s="297" t="s">
        <v>1819</v>
      </c>
      <c r="C434" s="297" t="s">
        <v>1057</v>
      </c>
      <c r="D434" s="298">
        <v>1055</v>
      </c>
      <c r="E434" s="306" t="s">
        <v>2136</v>
      </c>
      <c r="F434" s="46"/>
      <c r="G434" s="297" t="s">
        <v>878</v>
      </c>
      <c r="H434" s="308" t="str">
        <f t="shared" si="40"/>
        <v>MEP-V50-1</v>
      </c>
      <c r="I434" s="309">
        <v>1</v>
      </c>
      <c r="J434" s="300">
        <v>1</v>
      </c>
    </row>
    <row r="435" spans="2:13" s="18" customFormat="1" ht="12.75" customHeight="1" outlineLevel="3">
      <c r="B435" s="297" t="s">
        <v>1819</v>
      </c>
      <c r="C435" s="297" t="s">
        <v>1057</v>
      </c>
      <c r="D435" s="298">
        <v>1065</v>
      </c>
      <c r="E435" s="306" t="s">
        <v>2136</v>
      </c>
      <c r="F435" s="46"/>
      <c r="G435" s="297" t="s">
        <v>878</v>
      </c>
      <c r="H435" s="308" t="str">
        <f t="shared" si="40"/>
        <v>MEP-V50-1</v>
      </c>
      <c r="I435" s="309">
        <v>1</v>
      </c>
      <c r="J435" s="300">
        <v>1</v>
      </c>
    </row>
    <row r="436" spans="2:13" s="18" customFormat="1" ht="12.75" customHeight="1" outlineLevel="2">
      <c r="B436" s="297"/>
      <c r="C436" s="297"/>
      <c r="D436" s="298"/>
      <c r="E436" s="306"/>
      <c r="F436" s="46"/>
      <c r="G436" s="46"/>
      <c r="H436" s="46"/>
      <c r="I436" s="302"/>
      <c r="J436" s="300"/>
    </row>
    <row r="437" spans="2:13" s="18" customFormat="1" ht="12.75" customHeight="1" outlineLevel="2">
      <c r="B437" s="301" t="s">
        <v>2003</v>
      </c>
      <c r="C437" s="297"/>
      <c r="D437" s="298"/>
      <c r="E437" s="306"/>
      <c r="F437" s="46"/>
      <c r="G437" s="46"/>
      <c r="H437" s="46"/>
      <c r="I437" s="302"/>
      <c r="J437" s="300"/>
    </row>
    <row r="438" spans="2:13" s="18" customFormat="1" ht="12.75" customHeight="1" outlineLevel="3">
      <c r="B438" s="297" t="s">
        <v>1465</v>
      </c>
      <c r="C438" s="297" t="s">
        <v>1057</v>
      </c>
      <c r="D438" s="298">
        <v>5011</v>
      </c>
      <c r="E438" s="306" t="s">
        <v>2137</v>
      </c>
      <c r="F438" s="46"/>
      <c r="G438" s="297" t="s">
        <v>878</v>
      </c>
      <c r="H438" s="308" t="str">
        <f>CONCATENATE("MEP-",G438,"-",I438)</f>
        <v>MEP-V50-1</v>
      </c>
      <c r="I438" s="309">
        <v>1</v>
      </c>
      <c r="J438" s="300">
        <v>1</v>
      </c>
    </row>
    <row r="439" spans="2:13" s="18" customFormat="1" ht="12.75" customHeight="1" outlineLevel="2"/>
    <row r="440" spans="2:13" s="18" customFormat="1" ht="12.75" customHeight="1" outlineLevel="2">
      <c r="B440" s="301" t="s">
        <v>2138</v>
      </c>
      <c r="C440" s="297"/>
      <c r="D440" s="298"/>
      <c r="E440" s="306"/>
      <c r="F440" s="46"/>
      <c r="G440" s="46"/>
      <c r="H440" s="46"/>
      <c r="I440" s="302"/>
      <c r="J440" s="300"/>
      <c r="K440" s="300"/>
      <c r="L440" s="300"/>
      <c r="M440" s="311"/>
    </row>
    <row r="441" spans="2:13" s="18" customFormat="1" ht="12.75" customHeight="1" outlineLevel="3">
      <c r="B441" s="297" t="s">
        <v>2139</v>
      </c>
      <c r="C441" s="297" t="s">
        <v>2140</v>
      </c>
      <c r="D441" s="298" t="s">
        <v>2141</v>
      </c>
      <c r="E441" s="306" t="s">
        <v>2142</v>
      </c>
      <c r="F441" s="46"/>
      <c r="G441" s="297" t="s">
        <v>878</v>
      </c>
      <c r="H441" s="308" t="str">
        <f>CONCATENATE("MEP-",G441,"-",I441)</f>
        <v>MEP-V50-1</v>
      </c>
      <c r="I441" s="309">
        <v>1</v>
      </c>
      <c r="J441" s="300">
        <v>1</v>
      </c>
      <c r="K441" s="300"/>
      <c r="L441" s="300"/>
      <c r="M441" s="311"/>
    </row>
    <row r="442" spans="2:13" s="18" customFormat="1" ht="12.75" customHeight="1" outlineLevel="3">
      <c r="B442" s="297" t="s">
        <v>2139</v>
      </c>
      <c r="C442" s="297" t="s">
        <v>2140</v>
      </c>
      <c r="D442" s="298" t="s">
        <v>2143</v>
      </c>
      <c r="E442" s="306" t="s">
        <v>2144</v>
      </c>
      <c r="F442" s="46"/>
      <c r="G442" s="297" t="s">
        <v>878</v>
      </c>
      <c r="H442" s="308" t="str">
        <f>CONCATENATE("MEP-",G442,"-",I442)</f>
        <v>MEP-V50-1</v>
      </c>
      <c r="I442" s="309">
        <v>1</v>
      </c>
      <c r="J442" s="300">
        <v>1</v>
      </c>
      <c r="K442" s="300"/>
      <c r="L442" s="300"/>
      <c r="M442" s="311"/>
    </row>
    <row r="443" spans="2:13" s="18" customFormat="1" ht="12.75" customHeight="1" outlineLevel="3">
      <c r="B443" s="297" t="s">
        <v>2139</v>
      </c>
      <c r="C443" s="297" t="s">
        <v>2140</v>
      </c>
      <c r="D443" s="298">
        <v>9001</v>
      </c>
      <c r="E443" s="306" t="s">
        <v>2145</v>
      </c>
      <c r="F443" s="46"/>
      <c r="G443" s="297" t="s">
        <v>878</v>
      </c>
      <c r="H443" s="308" t="str">
        <f>CONCATENATE("MEP-",G443,"-",I443)</f>
        <v>MEP-V50-1</v>
      </c>
      <c r="I443" s="309">
        <v>1</v>
      </c>
      <c r="J443" s="300">
        <v>1</v>
      </c>
      <c r="K443" s="300"/>
      <c r="L443" s="300"/>
      <c r="M443" s="311"/>
    </row>
    <row r="444" spans="2:13" s="18" customFormat="1" ht="3" customHeight="1" outlineLevel="1">
      <c r="B444" s="297"/>
      <c r="C444" s="297"/>
      <c r="D444" s="298"/>
      <c r="E444" s="306"/>
      <c r="F444" s="46"/>
      <c r="G444" s="46"/>
      <c r="H444" s="46"/>
      <c r="I444" s="302"/>
      <c r="J444" s="300"/>
      <c r="K444" s="300"/>
      <c r="L444" s="300"/>
      <c r="M444" s="311"/>
    </row>
    <row r="445" spans="2:13" s="18" customFormat="1" ht="12.75" customHeight="1" outlineLevel="1">
      <c r="B445" s="317" t="s">
        <v>2146</v>
      </c>
      <c r="C445" s="297"/>
      <c r="D445" s="298"/>
      <c r="E445" s="306"/>
      <c r="F445" s="46"/>
      <c r="G445" s="46"/>
      <c r="H445" s="46"/>
      <c r="I445" s="302"/>
      <c r="J445" s="300"/>
      <c r="K445" s="300"/>
      <c r="L445" s="300"/>
      <c r="M445" s="311"/>
    </row>
    <row r="446" spans="2:13" s="18" customFormat="1" ht="12.75" customHeight="1" outlineLevel="2">
      <c r="B446" s="297"/>
      <c r="C446" s="297"/>
      <c r="D446" s="298"/>
      <c r="E446" s="306"/>
      <c r="F446" s="46"/>
      <c r="G446" s="46"/>
      <c r="H446" s="46"/>
      <c r="I446" s="302"/>
      <c r="J446" s="300"/>
      <c r="K446" s="300"/>
      <c r="L446" s="300"/>
      <c r="M446" s="311"/>
    </row>
    <row r="447" spans="2:13" s="18" customFormat="1" ht="12.75" customHeight="1" outlineLevel="2">
      <c r="B447" s="301" t="s">
        <v>1796</v>
      </c>
      <c r="C447" s="297"/>
      <c r="D447" s="298"/>
      <c r="E447" s="306"/>
      <c r="F447" s="46"/>
      <c r="G447" s="46"/>
      <c r="H447" s="46"/>
      <c r="I447" s="302"/>
      <c r="J447" s="300"/>
      <c r="K447" s="300"/>
      <c r="L447" s="300"/>
      <c r="M447" s="311"/>
    </row>
    <row r="448" spans="2:13" s="18" customFormat="1" ht="12.75" customHeight="1" outlineLevel="3">
      <c r="B448" s="297" t="s">
        <v>1797</v>
      </c>
      <c r="C448" s="297" t="s">
        <v>935</v>
      </c>
      <c r="D448" s="298">
        <v>4011</v>
      </c>
      <c r="E448" s="306" t="s">
        <v>2115</v>
      </c>
      <c r="F448" s="46"/>
      <c r="G448" s="297" t="s">
        <v>935</v>
      </c>
      <c r="H448" s="308" t="str">
        <f t="shared" ref="H448:H456" si="41">CONCATENATE("MEP-",G448,"-",I448)</f>
        <v>MEP-V40-1</v>
      </c>
      <c r="I448" s="309">
        <v>1</v>
      </c>
      <c r="J448" s="300"/>
      <c r="K448" s="300"/>
      <c r="L448" s="311">
        <v>1</v>
      </c>
      <c r="M448" s="311">
        <v>1</v>
      </c>
    </row>
    <row r="449" spans="2:13" s="18" customFormat="1" ht="12.75" customHeight="1" outlineLevel="3">
      <c r="B449" s="297" t="s">
        <v>1797</v>
      </c>
      <c r="C449" s="297" t="s">
        <v>935</v>
      </c>
      <c r="D449" s="298">
        <v>4021</v>
      </c>
      <c r="E449" s="306" t="s">
        <v>2116</v>
      </c>
      <c r="F449" s="46"/>
      <c r="G449" s="297" t="s">
        <v>935</v>
      </c>
      <c r="H449" s="308" t="str">
        <f t="shared" si="41"/>
        <v>MEP-V40-1</v>
      </c>
      <c r="I449" s="309">
        <v>1</v>
      </c>
      <c r="J449" s="300"/>
      <c r="K449" s="300"/>
      <c r="L449" s="311">
        <v>1</v>
      </c>
      <c r="M449" s="311">
        <v>1</v>
      </c>
    </row>
    <row r="450" spans="2:13" s="18" customFormat="1" ht="12.75" customHeight="1" outlineLevel="3">
      <c r="B450" s="297" t="s">
        <v>1797</v>
      </c>
      <c r="C450" s="297" t="s">
        <v>935</v>
      </c>
      <c r="D450" s="298">
        <v>4031</v>
      </c>
      <c r="E450" s="306" t="s">
        <v>2117</v>
      </c>
      <c r="F450" s="46"/>
      <c r="G450" s="297" t="s">
        <v>935</v>
      </c>
      <c r="H450" s="308" t="str">
        <f t="shared" si="41"/>
        <v>MEP-V40-1</v>
      </c>
      <c r="I450" s="309">
        <v>1</v>
      </c>
      <c r="J450" s="300"/>
      <c r="K450" s="300"/>
      <c r="L450" s="311">
        <v>1</v>
      </c>
      <c r="M450" s="311">
        <v>1</v>
      </c>
    </row>
    <row r="451" spans="2:13" s="18" customFormat="1" ht="12.75" customHeight="1" outlineLevel="3">
      <c r="B451" s="297" t="s">
        <v>1797</v>
      </c>
      <c r="C451" s="297" t="s">
        <v>935</v>
      </c>
      <c r="D451" s="298">
        <v>4041</v>
      </c>
      <c r="E451" s="306" t="s">
        <v>2118</v>
      </c>
      <c r="F451" s="46"/>
      <c r="G451" s="297" t="s">
        <v>935</v>
      </c>
      <c r="H451" s="308" t="str">
        <f t="shared" si="41"/>
        <v>MEP-V40-1</v>
      </c>
      <c r="I451" s="309">
        <v>1</v>
      </c>
      <c r="J451" s="300"/>
      <c r="K451" s="300"/>
      <c r="L451" s="311">
        <v>1</v>
      </c>
      <c r="M451" s="311">
        <v>1</v>
      </c>
    </row>
    <row r="452" spans="2:13" s="18" customFormat="1" ht="12.75" customHeight="1" outlineLevel="3">
      <c r="B452" s="297" t="s">
        <v>1797</v>
      </c>
      <c r="C452" s="297" t="s">
        <v>935</v>
      </c>
      <c r="D452" s="298">
        <v>4051</v>
      </c>
      <c r="E452" s="306" t="s">
        <v>2119</v>
      </c>
      <c r="F452" s="46"/>
      <c r="G452" s="297" t="s">
        <v>935</v>
      </c>
      <c r="H452" s="308" t="str">
        <f t="shared" si="41"/>
        <v>MEP-V40-1</v>
      </c>
      <c r="I452" s="309">
        <v>1</v>
      </c>
      <c r="J452" s="300"/>
      <c r="K452" s="300"/>
      <c r="L452" s="311">
        <v>1</v>
      </c>
      <c r="M452" s="311">
        <v>1</v>
      </c>
    </row>
    <row r="453" spans="2:13" s="18" customFormat="1" ht="12.75" customHeight="1" outlineLevel="3">
      <c r="B453" s="297" t="s">
        <v>1797</v>
      </c>
      <c r="C453" s="297" t="s">
        <v>935</v>
      </c>
      <c r="D453" s="298">
        <v>4061</v>
      </c>
      <c r="E453" s="306" t="s">
        <v>2120</v>
      </c>
      <c r="F453" s="46"/>
      <c r="G453" s="297" t="s">
        <v>935</v>
      </c>
      <c r="H453" s="308" t="str">
        <f t="shared" si="41"/>
        <v>MEP-V40-1</v>
      </c>
      <c r="I453" s="309">
        <v>1</v>
      </c>
      <c r="J453" s="300"/>
      <c r="K453" s="300"/>
      <c r="L453" s="311">
        <v>1</v>
      </c>
      <c r="M453" s="311">
        <v>1</v>
      </c>
    </row>
    <row r="454" spans="2:13" s="18" customFormat="1" ht="12.75" customHeight="1" outlineLevel="3">
      <c r="B454" s="297" t="s">
        <v>1797</v>
      </c>
      <c r="C454" s="297" t="s">
        <v>935</v>
      </c>
      <c r="D454" s="298">
        <v>4081</v>
      </c>
      <c r="E454" s="306" t="s">
        <v>2121</v>
      </c>
      <c r="F454" s="46"/>
      <c r="G454" s="297" t="s">
        <v>935</v>
      </c>
      <c r="H454" s="308" t="str">
        <f t="shared" si="41"/>
        <v>MEP-V40-1</v>
      </c>
      <c r="I454" s="309">
        <v>1</v>
      </c>
      <c r="J454" s="300"/>
      <c r="K454" s="300"/>
      <c r="L454" s="311">
        <v>1</v>
      </c>
      <c r="M454" s="311">
        <v>1</v>
      </c>
    </row>
    <row r="455" spans="2:13" s="18" customFormat="1" ht="12.75" customHeight="1" outlineLevel="3">
      <c r="B455" s="297" t="s">
        <v>1797</v>
      </c>
      <c r="C455" s="297" t="s">
        <v>935</v>
      </c>
      <c r="D455" s="298">
        <v>4091</v>
      </c>
      <c r="E455" s="306" t="s">
        <v>2122</v>
      </c>
      <c r="F455" s="46"/>
      <c r="G455" s="297" t="s">
        <v>935</v>
      </c>
      <c r="H455" s="308" t="str">
        <f t="shared" si="41"/>
        <v>MEP-V40-1</v>
      </c>
      <c r="I455" s="309">
        <v>1</v>
      </c>
      <c r="J455" s="300"/>
      <c r="K455" s="300"/>
      <c r="L455" s="311">
        <v>1</v>
      </c>
      <c r="M455" s="311">
        <v>1</v>
      </c>
    </row>
    <row r="456" spans="2:13" s="18" customFormat="1" ht="12.75" customHeight="1" outlineLevel="3">
      <c r="B456" s="297" t="s">
        <v>1797</v>
      </c>
      <c r="C456" s="297" t="s">
        <v>935</v>
      </c>
      <c r="D456" s="298">
        <v>4101</v>
      </c>
      <c r="E456" s="306" t="s">
        <v>2123</v>
      </c>
      <c r="F456" s="46"/>
      <c r="G456" s="297" t="s">
        <v>935</v>
      </c>
      <c r="H456" s="308" t="str">
        <f t="shared" si="41"/>
        <v>MEP-V40-1</v>
      </c>
      <c r="I456" s="309">
        <v>1</v>
      </c>
      <c r="J456" s="300"/>
      <c r="K456" s="300"/>
      <c r="L456" s="311">
        <v>1</v>
      </c>
      <c r="M456" s="311">
        <v>1</v>
      </c>
    </row>
    <row r="457" spans="2:13" s="18" customFormat="1" ht="12.75" customHeight="1" outlineLevel="2">
      <c r="B457" s="297"/>
      <c r="C457" s="297"/>
      <c r="D457" s="298"/>
      <c r="E457" s="306"/>
      <c r="F457" s="46"/>
      <c r="G457" s="46"/>
      <c r="H457" s="46"/>
      <c r="I457" s="302"/>
      <c r="J457" s="300"/>
      <c r="K457" s="300"/>
      <c r="L457" s="300"/>
      <c r="M457" s="311"/>
    </row>
    <row r="458" spans="2:13" s="18" customFormat="1" ht="12.75" customHeight="1" outlineLevel="2">
      <c r="B458" s="301" t="s">
        <v>1810</v>
      </c>
      <c r="C458" s="297"/>
      <c r="D458" s="298"/>
      <c r="E458" s="306"/>
      <c r="F458" s="46"/>
      <c r="G458" s="46"/>
      <c r="H458" s="46"/>
      <c r="I458" s="302"/>
      <c r="J458" s="300"/>
      <c r="K458" s="300"/>
      <c r="L458" s="300"/>
      <c r="M458" s="311"/>
    </row>
    <row r="459" spans="2:13" s="18" customFormat="1" ht="12.75" customHeight="1" outlineLevel="3">
      <c r="B459" s="297" t="s">
        <v>1811</v>
      </c>
      <c r="C459" s="297" t="s">
        <v>935</v>
      </c>
      <c r="D459" s="298">
        <v>9001</v>
      </c>
      <c r="E459" s="306" t="s">
        <v>2147</v>
      </c>
      <c r="F459" s="46"/>
      <c r="G459" s="297" t="s">
        <v>935</v>
      </c>
      <c r="H459" s="308" t="str">
        <f>CONCATENATE("MEP-",G459,"-",I459)</f>
        <v>MEP-V40-1</v>
      </c>
      <c r="I459" s="309">
        <v>1</v>
      </c>
      <c r="J459" s="300"/>
      <c r="K459" s="300"/>
      <c r="L459" s="311">
        <v>1</v>
      </c>
      <c r="M459" s="311">
        <v>1</v>
      </c>
    </row>
    <row r="460" spans="2:13" s="18" customFormat="1" ht="12.75" customHeight="1" outlineLevel="3">
      <c r="B460" s="297" t="s">
        <v>1811</v>
      </c>
      <c r="C460" s="297" t="s">
        <v>935</v>
      </c>
      <c r="D460" s="298" t="s">
        <v>2076</v>
      </c>
      <c r="E460" s="306" t="s">
        <v>2148</v>
      </c>
      <c r="F460" s="46"/>
      <c r="G460" s="297" t="s">
        <v>935</v>
      </c>
      <c r="H460" s="308" t="str">
        <f>CONCATENATE("MEP-",G460,"-",I460)</f>
        <v>MEP-V40-1</v>
      </c>
      <c r="I460" s="309">
        <v>1</v>
      </c>
      <c r="J460" s="300"/>
      <c r="K460" s="300"/>
      <c r="L460" s="311">
        <v>1</v>
      </c>
      <c r="M460" s="311">
        <v>1</v>
      </c>
    </row>
    <row r="461" spans="2:13" s="18" customFormat="1" ht="12.75" customHeight="1" outlineLevel="3">
      <c r="B461" s="297" t="s">
        <v>1811</v>
      </c>
      <c r="C461" s="297" t="s">
        <v>935</v>
      </c>
      <c r="D461" s="298">
        <v>1021</v>
      </c>
      <c r="E461" s="306" t="s">
        <v>2149</v>
      </c>
      <c r="F461" s="46"/>
      <c r="G461" s="297" t="s">
        <v>935</v>
      </c>
      <c r="H461" s="308" t="str">
        <f>CONCATENATE("MEP-",G461,"-",I461)</f>
        <v>MEP-V40-1</v>
      </c>
      <c r="I461" s="309">
        <v>1</v>
      </c>
      <c r="J461" s="300"/>
      <c r="K461" s="300"/>
      <c r="L461" s="311">
        <v>1</v>
      </c>
      <c r="M461" s="311">
        <v>1</v>
      </c>
    </row>
    <row r="462" spans="2:13" s="18" customFormat="1" ht="12.75" customHeight="1" outlineLevel="3">
      <c r="B462" s="297" t="s">
        <v>1811</v>
      </c>
      <c r="C462" s="297" t="s">
        <v>935</v>
      </c>
      <c r="D462" s="298">
        <v>1022</v>
      </c>
      <c r="E462" s="306" t="s">
        <v>2150</v>
      </c>
      <c r="F462" s="46"/>
      <c r="G462" s="297" t="s">
        <v>935</v>
      </c>
      <c r="H462" s="308" t="str">
        <f>CONCATENATE("MEP-",G462,"-",I462)</f>
        <v>MEP-V40-1</v>
      </c>
      <c r="I462" s="309">
        <v>1</v>
      </c>
      <c r="J462" s="300"/>
      <c r="K462" s="300"/>
      <c r="L462" s="311">
        <v>1</v>
      </c>
      <c r="M462" s="311">
        <v>1</v>
      </c>
    </row>
    <row r="463" spans="2:13" s="18" customFormat="1" ht="12.75" customHeight="1" outlineLevel="3">
      <c r="B463" s="297" t="s">
        <v>1811</v>
      </c>
      <c r="C463" s="297" t="s">
        <v>935</v>
      </c>
      <c r="D463" s="298" t="s">
        <v>1870</v>
      </c>
      <c r="E463" s="306" t="s">
        <v>2127</v>
      </c>
      <c r="F463" s="46"/>
      <c r="G463" s="297" t="s">
        <v>935</v>
      </c>
      <c r="H463" s="308" t="str">
        <f>CONCATENATE("MEP-",G463,"-",I463)</f>
        <v>MEP-V40-1</v>
      </c>
      <c r="I463" s="309">
        <v>1</v>
      </c>
      <c r="J463" s="300"/>
      <c r="K463" s="300"/>
      <c r="L463" s="311">
        <v>1</v>
      </c>
      <c r="M463" s="311">
        <v>1</v>
      </c>
    </row>
    <row r="464" spans="2:13" s="18" customFormat="1" ht="12.75" customHeight="1" outlineLevel="2">
      <c r="B464" s="297"/>
      <c r="C464" s="297"/>
      <c r="D464" s="298"/>
      <c r="E464" s="306"/>
      <c r="F464" s="46"/>
      <c r="G464" s="46"/>
      <c r="H464" s="46"/>
      <c r="I464" s="302"/>
      <c r="J464" s="300"/>
      <c r="K464" s="300"/>
      <c r="L464" s="300"/>
      <c r="M464" s="311"/>
    </row>
    <row r="465" spans="2:13" s="18" customFormat="1" ht="12.75" customHeight="1" outlineLevel="2">
      <c r="B465" s="301" t="s">
        <v>1819</v>
      </c>
      <c r="C465" s="297"/>
      <c r="D465" s="298"/>
      <c r="E465" s="306"/>
      <c r="F465" s="46"/>
      <c r="G465" s="46"/>
      <c r="H465" s="46"/>
      <c r="I465" s="302"/>
      <c r="J465" s="300"/>
      <c r="K465" s="300"/>
      <c r="L465" s="300"/>
      <c r="M465" s="311"/>
    </row>
    <row r="466" spans="2:13" s="18" customFormat="1" ht="12.75" customHeight="1" outlineLevel="3">
      <c r="B466" s="297" t="s">
        <v>1819</v>
      </c>
      <c r="C466" s="297" t="s">
        <v>935</v>
      </c>
      <c r="D466" s="298">
        <v>1011</v>
      </c>
      <c r="E466" s="306" t="s">
        <v>2151</v>
      </c>
      <c r="F466" s="46"/>
      <c r="G466" s="297" t="s">
        <v>935</v>
      </c>
      <c r="H466" s="308" t="str">
        <f t="shared" ref="H466:H479" si="42">CONCATENATE("MEP-",G466,"-",I466)</f>
        <v>MEP-V40-1</v>
      </c>
      <c r="I466" s="309">
        <v>1</v>
      </c>
      <c r="J466" s="300"/>
      <c r="K466" s="300"/>
      <c r="L466" s="311">
        <v>1</v>
      </c>
      <c r="M466" s="311">
        <v>1</v>
      </c>
    </row>
    <row r="467" spans="2:13" s="18" customFormat="1" ht="12.75" customHeight="1" outlineLevel="3">
      <c r="B467" s="297" t="s">
        <v>1819</v>
      </c>
      <c r="C467" s="297" t="s">
        <v>935</v>
      </c>
      <c r="D467" s="298">
        <v>1021</v>
      </c>
      <c r="E467" s="306" t="s">
        <v>2152</v>
      </c>
      <c r="F467" s="46"/>
      <c r="G467" s="297" t="s">
        <v>935</v>
      </c>
      <c r="H467" s="308" t="str">
        <f t="shared" si="42"/>
        <v>MEP-V40-1</v>
      </c>
      <c r="I467" s="309">
        <v>1</v>
      </c>
      <c r="J467" s="300"/>
      <c r="K467" s="300"/>
      <c r="L467" s="311">
        <v>1</v>
      </c>
      <c r="M467" s="311">
        <v>1</v>
      </c>
    </row>
    <row r="468" spans="2:13" s="18" customFormat="1" ht="12.75" customHeight="1" outlineLevel="3">
      <c r="B468" s="297" t="s">
        <v>1819</v>
      </c>
      <c r="C468" s="297" t="s">
        <v>935</v>
      </c>
      <c r="D468" s="298">
        <v>1022</v>
      </c>
      <c r="E468" s="306" t="s">
        <v>2153</v>
      </c>
      <c r="F468" s="46"/>
      <c r="G468" s="297" t="s">
        <v>935</v>
      </c>
      <c r="H468" s="308" t="str">
        <f t="shared" si="42"/>
        <v>MEP-V40-1</v>
      </c>
      <c r="I468" s="309">
        <v>1</v>
      </c>
      <c r="J468" s="300"/>
      <c r="K468" s="300"/>
      <c r="L468" s="311">
        <v>1</v>
      </c>
      <c r="M468" s="311">
        <v>1</v>
      </c>
    </row>
    <row r="469" spans="2:13" s="18" customFormat="1" ht="12.75" customHeight="1" outlineLevel="3">
      <c r="B469" s="297" t="s">
        <v>1819</v>
      </c>
      <c r="C469" s="297" t="s">
        <v>935</v>
      </c>
      <c r="D469" s="298">
        <v>1031</v>
      </c>
      <c r="E469" s="306" t="s">
        <v>2154</v>
      </c>
      <c r="F469" s="46"/>
      <c r="G469" s="297" t="s">
        <v>935</v>
      </c>
      <c r="H469" s="308" t="str">
        <f t="shared" si="42"/>
        <v>MEP-V40-1</v>
      </c>
      <c r="I469" s="309">
        <v>1</v>
      </c>
      <c r="J469" s="300"/>
      <c r="K469" s="300"/>
      <c r="L469" s="311">
        <v>1</v>
      </c>
      <c r="M469" s="311">
        <v>1</v>
      </c>
    </row>
    <row r="470" spans="2:13" s="18" customFormat="1" ht="12.75" customHeight="1" outlineLevel="3">
      <c r="B470" s="297" t="s">
        <v>1819</v>
      </c>
      <c r="C470" s="297" t="s">
        <v>935</v>
      </c>
      <c r="D470" s="298">
        <v>1041</v>
      </c>
      <c r="E470" s="306" t="s">
        <v>2132</v>
      </c>
      <c r="F470" s="46"/>
      <c r="G470" s="297" t="s">
        <v>935</v>
      </c>
      <c r="H470" s="308" t="str">
        <f t="shared" si="42"/>
        <v>MEP-V40-1</v>
      </c>
      <c r="I470" s="309">
        <v>1</v>
      </c>
      <c r="J470" s="300"/>
      <c r="K470" s="300"/>
      <c r="L470" s="311">
        <v>1</v>
      </c>
      <c r="M470" s="311">
        <v>1</v>
      </c>
    </row>
    <row r="471" spans="2:13" s="18" customFormat="1" ht="12.75" customHeight="1" outlineLevel="3">
      <c r="B471" s="297" t="s">
        <v>1819</v>
      </c>
      <c r="C471" s="297" t="s">
        <v>935</v>
      </c>
      <c r="D471" s="298">
        <v>1042</v>
      </c>
      <c r="E471" s="306" t="s">
        <v>2133</v>
      </c>
      <c r="F471" s="46"/>
      <c r="G471" s="297" t="s">
        <v>935</v>
      </c>
      <c r="H471" s="308" t="str">
        <f t="shared" si="42"/>
        <v>MEP-V40-1</v>
      </c>
      <c r="I471" s="309">
        <v>1</v>
      </c>
      <c r="J471" s="300"/>
      <c r="K471" s="300"/>
      <c r="L471" s="311">
        <v>1</v>
      </c>
      <c r="M471" s="311">
        <v>1</v>
      </c>
    </row>
    <row r="472" spans="2:13" s="18" customFormat="1" ht="12.75" customHeight="1" outlineLevel="3">
      <c r="B472" s="297" t="s">
        <v>1819</v>
      </c>
      <c r="C472" s="297" t="s">
        <v>935</v>
      </c>
      <c r="D472" s="298">
        <v>1051</v>
      </c>
      <c r="E472" s="306" t="s">
        <v>2134</v>
      </c>
      <c r="F472" s="46"/>
      <c r="G472" s="297" t="s">
        <v>935</v>
      </c>
      <c r="H472" s="308" t="str">
        <f t="shared" si="42"/>
        <v>MEP-V40-1</v>
      </c>
      <c r="I472" s="309">
        <v>1</v>
      </c>
      <c r="J472" s="300"/>
      <c r="K472" s="300"/>
      <c r="L472" s="311">
        <v>1</v>
      </c>
      <c r="M472" s="311">
        <v>1</v>
      </c>
    </row>
    <row r="473" spans="2:13" s="18" customFormat="1" ht="12.75" customHeight="1" outlineLevel="3">
      <c r="B473" s="297" t="s">
        <v>1819</v>
      </c>
      <c r="C473" s="297" t="s">
        <v>935</v>
      </c>
      <c r="D473" s="298">
        <v>1061</v>
      </c>
      <c r="E473" s="306" t="s">
        <v>2135</v>
      </c>
      <c r="F473" s="46"/>
      <c r="G473" s="297" t="s">
        <v>935</v>
      </c>
      <c r="H473" s="308" t="str">
        <f t="shared" si="42"/>
        <v>MEP-V40-1</v>
      </c>
      <c r="I473" s="309">
        <v>1</v>
      </c>
      <c r="J473" s="300"/>
      <c r="K473" s="300"/>
      <c r="L473" s="311">
        <v>1</v>
      </c>
      <c r="M473" s="311">
        <v>1</v>
      </c>
    </row>
    <row r="474" spans="2:13" s="18" customFormat="1" ht="12.75" customHeight="1" outlineLevel="3">
      <c r="B474" s="297" t="s">
        <v>1819</v>
      </c>
      <c r="C474" s="297" t="s">
        <v>935</v>
      </c>
      <c r="D474" s="298">
        <v>1015</v>
      </c>
      <c r="E474" s="306" t="s">
        <v>2155</v>
      </c>
      <c r="F474" s="46"/>
      <c r="G474" s="297" t="s">
        <v>935</v>
      </c>
      <c r="H474" s="308" t="str">
        <f t="shared" si="42"/>
        <v>MEP-V40-1</v>
      </c>
      <c r="I474" s="309">
        <v>1</v>
      </c>
      <c r="J474" s="300"/>
      <c r="K474" s="300"/>
      <c r="L474" s="311">
        <v>1</v>
      </c>
      <c r="M474" s="311">
        <v>1</v>
      </c>
    </row>
    <row r="475" spans="2:13" s="18" customFormat="1" ht="12.75" customHeight="1" outlineLevel="3">
      <c r="B475" s="297" t="s">
        <v>1819</v>
      </c>
      <c r="C475" s="297" t="s">
        <v>935</v>
      </c>
      <c r="D475" s="298">
        <v>1025</v>
      </c>
      <c r="E475" s="306" t="s">
        <v>2155</v>
      </c>
      <c r="F475" s="46"/>
      <c r="G475" s="297" t="s">
        <v>935</v>
      </c>
      <c r="H475" s="308" t="str">
        <f t="shared" si="42"/>
        <v>MEP-V40-1</v>
      </c>
      <c r="I475" s="309">
        <v>1</v>
      </c>
      <c r="J475" s="300"/>
      <c r="K475" s="300"/>
      <c r="L475" s="311">
        <v>1</v>
      </c>
      <c r="M475" s="311">
        <v>1</v>
      </c>
    </row>
    <row r="476" spans="2:13" s="18" customFormat="1" ht="12.75" customHeight="1" outlineLevel="3">
      <c r="B476" s="297" t="s">
        <v>1819</v>
      </c>
      <c r="C476" s="297" t="s">
        <v>935</v>
      </c>
      <c r="D476" s="298">
        <v>1035</v>
      </c>
      <c r="E476" s="306" t="s">
        <v>2155</v>
      </c>
      <c r="F476" s="46"/>
      <c r="G476" s="297" t="s">
        <v>935</v>
      </c>
      <c r="H476" s="308" t="str">
        <f t="shared" si="42"/>
        <v>MEP-V40-1</v>
      </c>
      <c r="I476" s="309">
        <v>1</v>
      </c>
      <c r="J476" s="300"/>
      <c r="K476" s="300"/>
      <c r="L476" s="311">
        <v>1</v>
      </c>
      <c r="M476" s="311">
        <v>1</v>
      </c>
    </row>
    <row r="477" spans="2:13" s="18" customFormat="1" ht="12.75" customHeight="1" outlineLevel="3">
      <c r="B477" s="297" t="s">
        <v>1819</v>
      </c>
      <c r="C477" s="297" t="s">
        <v>935</v>
      </c>
      <c r="D477" s="298">
        <v>1045</v>
      </c>
      <c r="E477" s="306" t="s">
        <v>2155</v>
      </c>
      <c r="F477" s="46"/>
      <c r="G477" s="297" t="s">
        <v>935</v>
      </c>
      <c r="H477" s="308" t="str">
        <f t="shared" si="42"/>
        <v>MEP-V40-1</v>
      </c>
      <c r="I477" s="309">
        <v>1</v>
      </c>
      <c r="J477" s="300"/>
      <c r="K477" s="300"/>
      <c r="L477" s="311">
        <v>1</v>
      </c>
      <c r="M477" s="311">
        <v>1</v>
      </c>
    </row>
    <row r="478" spans="2:13" s="18" customFormat="1" ht="12.75" customHeight="1" outlineLevel="3">
      <c r="B478" s="297" t="s">
        <v>1819</v>
      </c>
      <c r="C478" s="297" t="s">
        <v>935</v>
      </c>
      <c r="D478" s="298">
        <v>1055</v>
      </c>
      <c r="E478" s="306" t="s">
        <v>2155</v>
      </c>
      <c r="F478" s="46"/>
      <c r="G478" s="297" t="s">
        <v>935</v>
      </c>
      <c r="H478" s="308" t="str">
        <f t="shared" si="42"/>
        <v>MEP-V40-1</v>
      </c>
      <c r="I478" s="309">
        <v>1</v>
      </c>
      <c r="J478" s="300"/>
      <c r="K478" s="300"/>
      <c r="L478" s="311">
        <v>1</v>
      </c>
      <c r="M478" s="311">
        <v>1</v>
      </c>
    </row>
    <row r="479" spans="2:13" s="18" customFormat="1" ht="12.75" customHeight="1" outlineLevel="3">
      <c r="B479" s="297" t="s">
        <v>1819</v>
      </c>
      <c r="C479" s="297" t="s">
        <v>935</v>
      </c>
      <c r="D479" s="298">
        <v>1065</v>
      </c>
      <c r="E479" s="306" t="s">
        <v>2155</v>
      </c>
      <c r="F479" s="46"/>
      <c r="G479" s="297" t="s">
        <v>935</v>
      </c>
      <c r="H479" s="308" t="str">
        <f t="shared" si="42"/>
        <v>MEP-V40-1</v>
      </c>
      <c r="I479" s="309">
        <v>1</v>
      </c>
      <c r="J479" s="300"/>
      <c r="K479" s="300"/>
      <c r="L479" s="311">
        <v>1</v>
      </c>
      <c r="M479" s="311">
        <v>1</v>
      </c>
    </row>
    <row r="480" spans="2:13" s="18" customFormat="1" ht="3" customHeight="1" outlineLevel="1">
      <c r="B480" s="297"/>
      <c r="C480" s="297"/>
      <c r="D480" s="298"/>
      <c r="E480" s="306"/>
      <c r="F480" s="46"/>
      <c r="G480" s="46"/>
      <c r="H480" s="46"/>
      <c r="I480" s="302"/>
      <c r="J480" s="300"/>
      <c r="K480" s="300"/>
      <c r="L480" s="300"/>
      <c r="M480" s="311"/>
    </row>
    <row r="481" spans="2:13" s="18" customFormat="1" ht="12.75" customHeight="1" outlineLevel="1">
      <c r="B481" s="317" t="s">
        <v>2156</v>
      </c>
      <c r="C481" s="297"/>
      <c r="D481" s="298"/>
      <c r="E481" s="306"/>
      <c r="F481" s="46"/>
      <c r="G481" s="46"/>
      <c r="H481" s="46"/>
      <c r="I481" s="302"/>
      <c r="J481" s="300"/>
      <c r="K481" s="300"/>
      <c r="L481" s="300"/>
      <c r="M481" s="311"/>
    </row>
    <row r="482" spans="2:13" s="18" customFormat="1" ht="12.75" customHeight="1" outlineLevel="2">
      <c r="B482" s="297"/>
      <c r="C482" s="297"/>
      <c r="D482" s="298"/>
      <c r="E482" s="306"/>
      <c r="F482" s="46"/>
      <c r="G482" s="46"/>
      <c r="H482" s="46"/>
      <c r="I482" s="302"/>
      <c r="J482" s="300"/>
      <c r="K482" s="300"/>
      <c r="L482" s="300"/>
      <c r="M482" s="311"/>
    </row>
    <row r="483" spans="2:13" s="18" customFormat="1" ht="12.75" customHeight="1" outlineLevel="2">
      <c r="B483" s="301" t="s">
        <v>1796</v>
      </c>
      <c r="C483" s="297"/>
      <c r="D483" s="298"/>
      <c r="E483" s="306"/>
      <c r="F483" s="46"/>
      <c r="G483" s="46"/>
      <c r="H483" s="46"/>
      <c r="I483" s="302"/>
      <c r="J483" s="300"/>
      <c r="K483" s="300"/>
      <c r="L483" s="300"/>
      <c r="M483" s="311"/>
    </row>
    <row r="484" spans="2:13" s="18" customFormat="1" ht="12.75" customHeight="1" outlineLevel="3">
      <c r="B484" s="316" t="s">
        <v>2157</v>
      </c>
      <c r="C484" s="297"/>
      <c r="D484" s="298"/>
      <c r="E484" s="299"/>
      <c r="F484" s="46"/>
      <c r="G484" s="46"/>
      <c r="H484" s="46"/>
      <c r="I484" s="302"/>
      <c r="J484" s="300"/>
      <c r="K484" s="300"/>
      <c r="L484" s="300"/>
      <c r="M484" s="311"/>
    </row>
    <row r="485" spans="2:13" s="18" customFormat="1" ht="12.75" customHeight="1" outlineLevel="4">
      <c r="B485" s="297" t="s">
        <v>1797</v>
      </c>
      <c r="C485" s="297" t="s">
        <v>342</v>
      </c>
      <c r="D485" s="298">
        <v>4011</v>
      </c>
      <c r="E485" s="299" t="s">
        <v>2158</v>
      </c>
      <c r="F485" s="46"/>
      <c r="G485" s="297" t="s">
        <v>943</v>
      </c>
      <c r="H485" s="308" t="str">
        <f>CONCATENATE("MEP-",G485,"-",I485)</f>
        <v>MEP-C20-1</v>
      </c>
      <c r="I485" s="302">
        <v>1</v>
      </c>
      <c r="J485" s="300">
        <v>1</v>
      </c>
      <c r="K485" s="300"/>
      <c r="L485" s="300"/>
      <c r="M485" s="311"/>
    </row>
    <row r="486" spans="2:13" s="18" customFormat="1" ht="12.75" customHeight="1" outlineLevel="4">
      <c r="B486" s="297" t="s">
        <v>1797</v>
      </c>
      <c r="C486" s="297" t="s">
        <v>342</v>
      </c>
      <c r="D486" s="298">
        <v>4012</v>
      </c>
      <c r="E486" s="299" t="s">
        <v>2158</v>
      </c>
      <c r="F486" s="46"/>
      <c r="G486" s="297" t="s">
        <v>943</v>
      </c>
      <c r="H486" s="308" t="str">
        <f t="shared" ref="H486:H493" si="43">CONCATENATE("MEP-",G486,"-",I486)</f>
        <v>MEP-C20-1</v>
      </c>
      <c r="I486" s="302">
        <v>1</v>
      </c>
      <c r="J486" s="300">
        <v>1</v>
      </c>
      <c r="K486" s="300"/>
      <c r="L486" s="300"/>
      <c r="M486" s="311"/>
    </row>
    <row r="487" spans="2:13" s="18" customFormat="1" ht="12.75" customHeight="1" outlineLevel="4">
      <c r="B487" s="297" t="s">
        <v>1797</v>
      </c>
      <c r="C487" s="297" t="s">
        <v>342</v>
      </c>
      <c r="D487" s="298">
        <v>4021</v>
      </c>
      <c r="E487" s="299" t="s">
        <v>2159</v>
      </c>
      <c r="F487" s="46"/>
      <c r="G487" s="297" t="s">
        <v>943</v>
      </c>
      <c r="H487" s="308" t="str">
        <f t="shared" si="43"/>
        <v>MEP-C20-1</v>
      </c>
      <c r="I487" s="302">
        <v>1</v>
      </c>
      <c r="J487" s="300">
        <v>1</v>
      </c>
      <c r="K487" s="300"/>
      <c r="L487" s="300"/>
      <c r="M487" s="311"/>
    </row>
    <row r="488" spans="2:13" s="18" customFormat="1" ht="12.75" customHeight="1" outlineLevel="4">
      <c r="B488" s="297" t="s">
        <v>1797</v>
      </c>
      <c r="C488" s="297" t="s">
        <v>342</v>
      </c>
      <c r="D488" s="298">
        <v>4022</v>
      </c>
      <c r="E488" s="299" t="s">
        <v>2159</v>
      </c>
      <c r="F488" s="46"/>
      <c r="G488" s="297" t="s">
        <v>943</v>
      </c>
      <c r="H488" s="308" t="str">
        <f t="shared" si="43"/>
        <v>MEP-C20-1</v>
      </c>
      <c r="I488" s="302">
        <v>1</v>
      </c>
      <c r="J488" s="300">
        <v>1</v>
      </c>
    </row>
    <row r="489" spans="2:13" s="18" customFormat="1" ht="12.75" customHeight="1" outlineLevel="4">
      <c r="B489" s="297" t="s">
        <v>1797</v>
      </c>
      <c r="C489" s="297" t="s">
        <v>342</v>
      </c>
      <c r="D489" s="298">
        <v>4031</v>
      </c>
      <c r="E489" s="299" t="s">
        <v>2160</v>
      </c>
      <c r="F489" s="46"/>
      <c r="G489" s="297" t="s">
        <v>943</v>
      </c>
      <c r="H489" s="308" t="str">
        <f t="shared" si="43"/>
        <v>MEP-C20-1</v>
      </c>
      <c r="I489" s="302">
        <v>1</v>
      </c>
      <c r="J489" s="300">
        <v>1</v>
      </c>
    </row>
    <row r="490" spans="2:13" s="18" customFormat="1" ht="12.75" customHeight="1" outlineLevel="4">
      <c r="B490" s="297" t="s">
        <v>1797</v>
      </c>
      <c r="C490" s="297" t="s">
        <v>342</v>
      </c>
      <c r="D490" s="298">
        <v>4032</v>
      </c>
      <c r="E490" s="299" t="s">
        <v>2160</v>
      </c>
      <c r="F490" s="46"/>
      <c r="G490" s="297" t="s">
        <v>943</v>
      </c>
      <c r="H490" s="308" t="str">
        <f t="shared" si="43"/>
        <v>MEP-C20-1</v>
      </c>
      <c r="I490" s="302">
        <v>1</v>
      </c>
      <c r="J490" s="300">
        <v>1</v>
      </c>
    </row>
    <row r="491" spans="2:13" s="18" customFormat="1" ht="12.75" customHeight="1" outlineLevel="4">
      <c r="B491" s="297" t="s">
        <v>1797</v>
      </c>
      <c r="C491" s="297" t="s">
        <v>342</v>
      </c>
      <c r="D491" s="298">
        <v>4071</v>
      </c>
      <c r="E491" s="299" t="s">
        <v>2161</v>
      </c>
      <c r="F491" s="46"/>
      <c r="G491" s="297" t="s">
        <v>943</v>
      </c>
      <c r="H491" s="308" t="str">
        <f t="shared" si="43"/>
        <v>MEP-C20-1</v>
      </c>
      <c r="I491" s="302">
        <v>1</v>
      </c>
      <c r="J491" s="300">
        <v>1</v>
      </c>
    </row>
    <row r="492" spans="2:13" s="18" customFormat="1" ht="12.75" customHeight="1" outlineLevel="4">
      <c r="B492" s="297" t="s">
        <v>1797</v>
      </c>
      <c r="C492" s="297" t="s">
        <v>342</v>
      </c>
      <c r="D492" s="298">
        <v>4072</v>
      </c>
      <c r="E492" s="299" t="s">
        <v>2161</v>
      </c>
      <c r="F492" s="46"/>
      <c r="G492" s="297" t="s">
        <v>943</v>
      </c>
      <c r="H492" s="308" t="str">
        <f t="shared" si="43"/>
        <v>MEP-C20-1</v>
      </c>
      <c r="I492" s="302">
        <v>1</v>
      </c>
      <c r="J492" s="300">
        <v>1</v>
      </c>
    </row>
    <row r="493" spans="2:13" s="18" customFormat="1" ht="12.75" customHeight="1" outlineLevel="4">
      <c r="B493" s="297" t="s">
        <v>1797</v>
      </c>
      <c r="C493" s="297" t="s">
        <v>342</v>
      </c>
      <c r="D493" s="298">
        <v>4073</v>
      </c>
      <c r="E493" s="299" t="s">
        <v>2161</v>
      </c>
      <c r="F493" s="46"/>
      <c r="G493" s="297" t="s">
        <v>943</v>
      </c>
      <c r="H493" s="308" t="str">
        <f t="shared" si="43"/>
        <v>MEP-C20-1</v>
      </c>
      <c r="I493" s="302">
        <v>1</v>
      </c>
      <c r="J493" s="300">
        <v>1</v>
      </c>
    </row>
    <row r="494" spans="2:13" s="18" customFormat="1" ht="12.75" customHeight="1" outlineLevel="2">
      <c r="B494" s="297"/>
      <c r="C494" s="297"/>
      <c r="D494" s="298"/>
      <c r="E494" s="306"/>
      <c r="F494" s="46"/>
      <c r="G494" s="46"/>
      <c r="H494" s="46"/>
      <c r="I494" s="302"/>
      <c r="J494" s="300"/>
    </row>
    <row r="495" spans="2:13" s="18" customFormat="1" ht="12.75" customHeight="1" outlineLevel="2">
      <c r="B495" s="301" t="s">
        <v>1810</v>
      </c>
      <c r="C495" s="297"/>
      <c r="D495" s="298"/>
      <c r="E495" s="306"/>
      <c r="F495" s="46"/>
      <c r="G495" s="46"/>
      <c r="H495" s="46"/>
      <c r="I495" s="302"/>
      <c r="J495" s="300"/>
    </row>
    <row r="496" spans="2:13" s="18" customFormat="1" ht="12.75" customHeight="1" outlineLevel="3">
      <c r="B496" s="297" t="s">
        <v>1811</v>
      </c>
      <c r="C496" s="297" t="s">
        <v>342</v>
      </c>
      <c r="D496" s="298">
        <v>9004</v>
      </c>
      <c r="E496" s="299" t="s">
        <v>2162</v>
      </c>
      <c r="F496" s="46"/>
      <c r="G496" s="297" t="s">
        <v>943</v>
      </c>
      <c r="H496" s="308" t="str">
        <f>CONCATENATE("MEP-",G496,"-",I496)</f>
        <v>MEP-C20-1</v>
      </c>
      <c r="I496" s="302">
        <v>1</v>
      </c>
      <c r="J496" s="300">
        <v>1</v>
      </c>
    </row>
    <row r="497" spans="2:10" s="18" customFormat="1" ht="12.75" customHeight="1" outlineLevel="3">
      <c r="B497" s="297" t="s">
        <v>1811</v>
      </c>
      <c r="C497" s="297" t="s">
        <v>342</v>
      </c>
      <c r="D497" s="298">
        <v>9005</v>
      </c>
      <c r="E497" s="299" t="s">
        <v>2163</v>
      </c>
      <c r="F497" s="46"/>
      <c r="G497" s="297" t="s">
        <v>943</v>
      </c>
      <c r="H497" s="308" t="str">
        <f>CONCATENATE("MEP-",G497,"-",I497)</f>
        <v>MEP-C20-1</v>
      </c>
      <c r="I497" s="302">
        <v>1</v>
      </c>
      <c r="J497" s="300">
        <v>1</v>
      </c>
    </row>
    <row r="498" spans="2:10" s="18" customFormat="1" ht="12.75" customHeight="1" outlineLevel="3">
      <c r="B498" s="297" t="s">
        <v>1811</v>
      </c>
      <c r="C498" s="297" t="s">
        <v>342</v>
      </c>
      <c r="D498" s="298" t="s">
        <v>1954</v>
      </c>
      <c r="E498" s="299" t="s">
        <v>2164</v>
      </c>
      <c r="F498" s="46"/>
      <c r="G498" s="297" t="s">
        <v>943</v>
      </c>
      <c r="H498" s="308" t="str">
        <f>CONCATENATE("MEP-",G498,"-",I498)</f>
        <v>MEP-C20-1</v>
      </c>
      <c r="I498" s="302">
        <v>1</v>
      </c>
      <c r="J498" s="300">
        <v>1</v>
      </c>
    </row>
    <row r="499" spans="2:10" s="18" customFormat="1" ht="12.75" customHeight="1" outlineLevel="2">
      <c r="B499" s="297"/>
      <c r="C499" s="297"/>
      <c r="D499" s="298"/>
      <c r="E499" s="306"/>
      <c r="F499" s="46"/>
      <c r="G499" s="46"/>
      <c r="H499" s="46"/>
      <c r="I499" s="302"/>
      <c r="J499" s="300"/>
    </row>
    <row r="500" spans="2:10" s="18" customFormat="1" ht="12.75" customHeight="1" outlineLevel="2">
      <c r="B500" s="301" t="s">
        <v>1819</v>
      </c>
      <c r="C500" s="297"/>
      <c r="D500" s="298"/>
      <c r="E500" s="306"/>
      <c r="F500" s="46"/>
      <c r="G500" s="46"/>
      <c r="H500" s="46"/>
      <c r="I500" s="302"/>
      <c r="J500" s="300"/>
    </row>
    <row r="501" spans="2:10" s="18" customFormat="1" ht="12.75" customHeight="1" outlineLevel="3">
      <c r="B501" s="297" t="s">
        <v>1819</v>
      </c>
      <c r="C501" s="297" t="s">
        <v>342</v>
      </c>
      <c r="D501" s="298" t="s">
        <v>1861</v>
      </c>
      <c r="E501" s="299" t="s">
        <v>2165</v>
      </c>
      <c r="F501" s="46"/>
      <c r="G501" s="297" t="s">
        <v>943</v>
      </c>
      <c r="H501" s="308" t="str">
        <f>CONCATENATE("MEP-",G501,"-",I501)</f>
        <v>MEP-C20-1</v>
      </c>
      <c r="I501" s="302">
        <v>1</v>
      </c>
      <c r="J501" s="300">
        <v>1</v>
      </c>
    </row>
    <row r="502" spans="2:10" s="18" customFormat="1" ht="12.75" customHeight="1" outlineLevel="2">
      <c r="B502" s="297"/>
      <c r="C502" s="297"/>
      <c r="D502" s="298"/>
      <c r="E502" s="306"/>
      <c r="F502" s="46"/>
      <c r="G502" s="46"/>
      <c r="H502" s="46"/>
      <c r="I502" s="302"/>
      <c r="J502" s="300"/>
    </row>
    <row r="503" spans="2:10" s="18" customFormat="1" ht="12.75" customHeight="1" outlineLevel="2">
      <c r="B503" s="301" t="s">
        <v>1899</v>
      </c>
      <c r="C503" s="297"/>
      <c r="D503" s="298"/>
      <c r="E503" s="306"/>
      <c r="F503" s="46"/>
      <c r="G503" s="46"/>
      <c r="H503" s="46"/>
      <c r="I503" s="302"/>
      <c r="J503" s="300"/>
    </row>
    <row r="504" spans="2:10" ht="12.75" customHeight="1" outlineLevel="5">
      <c r="B504" s="297" t="s">
        <v>1465</v>
      </c>
      <c r="C504" s="17" t="s">
        <v>342</v>
      </c>
      <c r="D504" s="298">
        <v>4011</v>
      </c>
      <c r="E504" s="306" t="s">
        <v>2166</v>
      </c>
      <c r="F504" s="307"/>
      <c r="G504" s="297" t="s">
        <v>943</v>
      </c>
      <c r="H504" s="308" t="str">
        <f t="shared" ref="H504:H512" si="44">CONCATENATE("MEP-",G504,"-",I504)</f>
        <v>MEP-C20-1</v>
      </c>
      <c r="I504" s="302">
        <v>1</v>
      </c>
      <c r="J504" s="310">
        <v>1</v>
      </c>
    </row>
    <row r="505" spans="2:10" ht="12.75" customHeight="1" outlineLevel="5">
      <c r="B505" s="297" t="s">
        <v>1465</v>
      </c>
      <c r="C505" s="17" t="s">
        <v>342</v>
      </c>
      <c r="D505" s="298">
        <v>4021</v>
      </c>
      <c r="E505" s="306" t="s">
        <v>2167</v>
      </c>
      <c r="F505" s="307"/>
      <c r="G505" s="297" t="s">
        <v>943</v>
      </c>
      <c r="H505" s="308" t="str">
        <f t="shared" si="44"/>
        <v>MEP-C20-1</v>
      </c>
      <c r="I505" s="302">
        <v>1</v>
      </c>
      <c r="J505" s="310">
        <v>1</v>
      </c>
    </row>
    <row r="506" spans="2:10" ht="12.75" customHeight="1" outlineLevel="5">
      <c r="B506" s="297" t="s">
        <v>1465</v>
      </c>
      <c r="C506" s="17" t="s">
        <v>342</v>
      </c>
      <c r="D506" s="298">
        <v>4031</v>
      </c>
      <c r="E506" s="306" t="s">
        <v>2168</v>
      </c>
      <c r="F506" s="307"/>
      <c r="G506" s="297" t="s">
        <v>943</v>
      </c>
      <c r="H506" s="308" t="str">
        <f t="shared" si="44"/>
        <v>MEP-C20-1</v>
      </c>
      <c r="I506" s="302">
        <v>1</v>
      </c>
      <c r="J506" s="310">
        <v>1</v>
      </c>
    </row>
    <row r="507" spans="2:10" ht="12.75" customHeight="1" outlineLevel="5">
      <c r="B507" s="297" t="s">
        <v>1465</v>
      </c>
      <c r="C507" s="17" t="s">
        <v>342</v>
      </c>
      <c r="D507" s="298">
        <v>4071</v>
      </c>
      <c r="E507" s="306" t="s">
        <v>2169</v>
      </c>
      <c r="F507" s="307"/>
      <c r="G507" s="297" t="s">
        <v>943</v>
      </c>
      <c r="H507" s="308" t="str">
        <f t="shared" si="44"/>
        <v>MEP-C20-1</v>
      </c>
      <c r="I507" s="302">
        <v>1</v>
      </c>
      <c r="J507" s="310">
        <v>1</v>
      </c>
    </row>
    <row r="508" spans="2:10" ht="12.75" customHeight="1" outlineLevel="5">
      <c r="B508" s="297" t="s">
        <v>1465</v>
      </c>
      <c r="C508" s="17" t="s">
        <v>342</v>
      </c>
      <c r="D508" s="298">
        <v>1001</v>
      </c>
      <c r="E508" s="306" t="s">
        <v>2170</v>
      </c>
      <c r="F508" s="307"/>
      <c r="G508" s="297" t="s">
        <v>943</v>
      </c>
      <c r="H508" s="308" t="str">
        <f t="shared" si="44"/>
        <v>MEP-C20-1</v>
      </c>
      <c r="I508" s="302">
        <v>1</v>
      </c>
      <c r="J508" s="310">
        <v>1</v>
      </c>
    </row>
    <row r="509" spans="2:10" ht="12.75" customHeight="1" outlineLevel="5">
      <c r="B509" s="297" t="s">
        <v>1465</v>
      </c>
      <c r="C509" s="17" t="s">
        <v>342</v>
      </c>
      <c r="D509" s="298">
        <v>5011</v>
      </c>
      <c r="E509" s="306" t="s">
        <v>2171</v>
      </c>
      <c r="F509" s="307"/>
      <c r="G509" s="297" t="s">
        <v>943</v>
      </c>
      <c r="H509" s="308" t="str">
        <f t="shared" si="44"/>
        <v>MEP-C20-1</v>
      </c>
      <c r="I509" s="302">
        <v>1</v>
      </c>
      <c r="J509" s="310">
        <v>1</v>
      </c>
    </row>
    <row r="510" spans="2:10" ht="12.75" customHeight="1" outlineLevel="5">
      <c r="B510" s="297" t="s">
        <v>1465</v>
      </c>
      <c r="C510" s="17" t="s">
        <v>342</v>
      </c>
      <c r="D510" s="298">
        <v>5016</v>
      </c>
      <c r="E510" s="306" t="s">
        <v>2172</v>
      </c>
      <c r="F510" s="307"/>
      <c r="G510" s="297" t="s">
        <v>943</v>
      </c>
      <c r="H510" s="308" t="str">
        <f t="shared" si="44"/>
        <v>MEP-C20-1</v>
      </c>
      <c r="I510" s="302">
        <v>1</v>
      </c>
      <c r="J510" s="310">
        <v>1</v>
      </c>
    </row>
    <row r="511" spans="2:10" ht="12.75" customHeight="1" outlineLevel="5">
      <c r="B511" s="297" t="s">
        <v>1465</v>
      </c>
      <c r="C511" s="17" t="s">
        <v>342</v>
      </c>
      <c r="D511" s="298">
        <v>5021</v>
      </c>
      <c r="E511" s="306" t="s">
        <v>2173</v>
      </c>
      <c r="F511" s="307"/>
      <c r="G511" s="297" t="s">
        <v>943</v>
      </c>
      <c r="H511" s="308" t="str">
        <f t="shared" si="44"/>
        <v>MEP-C20-1</v>
      </c>
      <c r="I511" s="302">
        <v>1</v>
      </c>
      <c r="J511" s="310">
        <v>1</v>
      </c>
    </row>
    <row r="512" spans="2:10" ht="12.75" customHeight="1" outlineLevel="5">
      <c r="B512" s="297" t="s">
        <v>1465</v>
      </c>
      <c r="C512" s="17" t="s">
        <v>342</v>
      </c>
      <c r="D512" s="298">
        <v>5026</v>
      </c>
      <c r="E512" s="306" t="s">
        <v>2174</v>
      </c>
      <c r="F512" s="307"/>
      <c r="G512" s="297" t="s">
        <v>943</v>
      </c>
      <c r="H512" s="308" t="str">
        <f t="shared" si="44"/>
        <v>MEP-C20-1</v>
      </c>
      <c r="I512" s="302">
        <v>1</v>
      </c>
      <c r="J512" s="310">
        <v>1</v>
      </c>
    </row>
    <row r="513" spans="2:10" s="18" customFormat="1" ht="12.75" customHeight="1" outlineLevel="2">
      <c r="B513" s="297"/>
      <c r="C513" s="297"/>
      <c r="D513" s="298"/>
      <c r="E513" s="306"/>
      <c r="F513" s="46"/>
      <c r="G513" s="46"/>
      <c r="H513" s="46"/>
      <c r="I513" s="302"/>
      <c r="J513" s="300"/>
    </row>
    <row r="514" spans="2:10" s="18" customFormat="1" ht="12.75" customHeight="1" outlineLevel="2">
      <c r="B514" s="301" t="s">
        <v>2138</v>
      </c>
      <c r="C514" s="297"/>
      <c r="D514" s="298"/>
      <c r="E514" s="306"/>
      <c r="F514" s="46"/>
      <c r="G514" s="46"/>
      <c r="H514" s="46"/>
      <c r="I514" s="302"/>
      <c r="J514" s="300"/>
    </row>
    <row r="515" spans="2:10" ht="12.75" customHeight="1" outlineLevel="4">
      <c r="B515" s="297" t="s">
        <v>2175</v>
      </c>
      <c r="C515" s="17" t="s">
        <v>943</v>
      </c>
      <c r="D515" s="298">
        <v>1001</v>
      </c>
      <c r="E515" s="306" t="s">
        <v>2176</v>
      </c>
      <c r="F515" s="307"/>
      <c r="G515" s="297" t="s">
        <v>943</v>
      </c>
      <c r="H515" s="308" t="str">
        <f>CONCATENATE("MEP-",G515,"-",I515)</f>
        <v>MEP-C20-1</v>
      </c>
      <c r="I515" s="302">
        <v>1</v>
      </c>
      <c r="J515" s="310">
        <v>1</v>
      </c>
    </row>
    <row r="516" spans="2:10" ht="12.75" customHeight="1" outlineLevel="4">
      <c r="B516" s="297" t="s">
        <v>2175</v>
      </c>
      <c r="C516" s="17" t="s">
        <v>943</v>
      </c>
      <c r="D516" s="298">
        <v>9001</v>
      </c>
      <c r="E516" s="306" t="s">
        <v>2177</v>
      </c>
      <c r="F516" s="307"/>
      <c r="G516" s="297" t="s">
        <v>943</v>
      </c>
      <c r="H516" s="308" t="str">
        <f>CONCATENATE("MEP-",G516,"-",I516)</f>
        <v>MEP-C20-1</v>
      </c>
      <c r="I516" s="302">
        <v>1</v>
      </c>
      <c r="J516" s="310">
        <v>1</v>
      </c>
    </row>
    <row r="517" spans="2:10" ht="3" customHeight="1" outlineLevel="1">
      <c r="B517" s="297"/>
      <c r="D517" s="298"/>
      <c r="E517" s="306"/>
      <c r="F517" s="307"/>
      <c r="G517" s="297"/>
      <c r="H517" s="314"/>
      <c r="I517" s="309"/>
    </row>
    <row r="518" spans="2:10" s="18" customFormat="1" ht="12.75" customHeight="1" outlineLevel="1">
      <c r="B518" s="317" t="s">
        <v>2178</v>
      </c>
      <c r="C518" s="297"/>
      <c r="D518" s="298"/>
      <c r="E518" s="306"/>
      <c r="F518" s="46"/>
      <c r="G518" s="46"/>
      <c r="H518" s="46"/>
      <c r="I518" s="302"/>
      <c r="J518" s="300"/>
    </row>
    <row r="519" spans="2:10" s="18" customFormat="1" ht="12.75" customHeight="1" outlineLevel="2"/>
    <row r="520" spans="2:10" s="18" customFormat="1" ht="12.75" customHeight="1" outlineLevel="2">
      <c r="B520" s="301" t="s">
        <v>1796</v>
      </c>
      <c r="C520" s="297"/>
      <c r="D520" s="298"/>
      <c r="E520" s="306"/>
      <c r="F520" s="46"/>
      <c r="G520" s="46"/>
      <c r="H520" s="46"/>
      <c r="I520" s="302"/>
      <c r="J520" s="300"/>
    </row>
    <row r="521" spans="2:10" s="18" customFormat="1" ht="12.75" customHeight="1" outlineLevel="3">
      <c r="B521" s="316" t="s">
        <v>2157</v>
      </c>
      <c r="C521" s="297"/>
      <c r="D521" s="298"/>
      <c r="E521" s="306"/>
      <c r="F521" s="46"/>
      <c r="G521" s="46"/>
      <c r="H521" s="46"/>
      <c r="I521" s="302"/>
      <c r="J521" s="300"/>
    </row>
    <row r="522" spans="2:10" s="18" customFormat="1" ht="12.75" customHeight="1" outlineLevel="4">
      <c r="B522" s="297" t="s">
        <v>1797</v>
      </c>
      <c r="C522" s="297" t="s">
        <v>2179</v>
      </c>
      <c r="D522" s="298">
        <v>4051</v>
      </c>
      <c r="E522" s="306" t="s">
        <v>2180</v>
      </c>
      <c r="F522" s="46"/>
      <c r="G522" s="297" t="s">
        <v>1000</v>
      </c>
      <c r="H522" s="308" t="str">
        <f>CONCATENATE("MEP-",G522,"-",I522)</f>
        <v>MEP-L30-1</v>
      </c>
      <c r="I522" s="302">
        <v>1</v>
      </c>
      <c r="J522" s="311">
        <v>1</v>
      </c>
    </row>
    <row r="523" spans="2:10" s="18" customFormat="1" ht="12.75" customHeight="1" outlineLevel="4">
      <c r="B523" s="297" t="s">
        <v>1797</v>
      </c>
      <c r="C523" s="297" t="s">
        <v>2179</v>
      </c>
      <c r="D523" s="298">
        <v>4061</v>
      </c>
      <c r="E523" s="306" t="s">
        <v>2181</v>
      </c>
      <c r="F523" s="46"/>
      <c r="G523" s="297" t="s">
        <v>1000</v>
      </c>
      <c r="H523" s="308" t="str">
        <f t="shared" ref="H523:H530" si="45">CONCATENATE("MEP-",G523,"-",I523)</f>
        <v>MEP-L30-1</v>
      </c>
      <c r="I523" s="302">
        <v>1</v>
      </c>
      <c r="J523" s="311">
        <v>1</v>
      </c>
    </row>
    <row r="524" spans="2:10" s="18" customFormat="1" ht="12.75" customHeight="1" outlineLevel="4">
      <c r="B524" s="297" t="s">
        <v>1797</v>
      </c>
      <c r="C524" s="297" t="s">
        <v>2179</v>
      </c>
      <c r="D524" s="298">
        <v>4071</v>
      </c>
      <c r="E524" s="306" t="s">
        <v>2182</v>
      </c>
      <c r="F524" s="46"/>
      <c r="G524" s="297" t="s">
        <v>1000</v>
      </c>
      <c r="H524" s="308" t="str">
        <f t="shared" si="45"/>
        <v>MEP-L30-1</v>
      </c>
      <c r="I524" s="302">
        <v>1</v>
      </c>
      <c r="J524" s="311">
        <v>1</v>
      </c>
    </row>
    <row r="525" spans="2:10" s="18" customFormat="1" ht="12.75" customHeight="1" outlineLevel="4">
      <c r="B525" s="297" t="s">
        <v>1797</v>
      </c>
      <c r="C525" s="297" t="s">
        <v>2179</v>
      </c>
      <c r="D525" s="298">
        <v>4081</v>
      </c>
      <c r="E525" s="306" t="s">
        <v>2183</v>
      </c>
      <c r="F525" s="46"/>
      <c r="G525" s="297" t="s">
        <v>1000</v>
      </c>
      <c r="H525" s="308" t="str">
        <f t="shared" si="45"/>
        <v>MEP-L30-1</v>
      </c>
      <c r="I525" s="302">
        <v>1</v>
      </c>
      <c r="J525" s="311">
        <v>1</v>
      </c>
    </row>
    <row r="526" spans="2:10" s="18" customFormat="1" ht="12.75" customHeight="1" outlineLevel="4">
      <c r="B526" s="297" t="s">
        <v>1797</v>
      </c>
      <c r="C526" s="297" t="s">
        <v>2179</v>
      </c>
      <c r="D526" s="298">
        <v>4091</v>
      </c>
      <c r="E526" s="306" t="s">
        <v>2184</v>
      </c>
      <c r="F526" s="46"/>
      <c r="G526" s="297" t="s">
        <v>1000</v>
      </c>
      <c r="H526" s="308" t="str">
        <f t="shared" si="45"/>
        <v>MEP-L30-1</v>
      </c>
      <c r="I526" s="302">
        <v>1</v>
      </c>
      <c r="J526" s="311">
        <v>1</v>
      </c>
    </row>
    <row r="527" spans="2:10" s="18" customFormat="1" ht="12.75" customHeight="1" outlineLevel="4">
      <c r="B527" s="297" t="s">
        <v>1797</v>
      </c>
      <c r="C527" s="297" t="s">
        <v>2179</v>
      </c>
      <c r="D527" s="298">
        <v>4101</v>
      </c>
      <c r="E527" s="306" t="s">
        <v>2185</v>
      </c>
      <c r="F527" s="46"/>
      <c r="G527" s="297" t="s">
        <v>1000</v>
      </c>
      <c r="H527" s="308" t="str">
        <f t="shared" si="45"/>
        <v>MEP-L30-1</v>
      </c>
      <c r="I527" s="302">
        <v>1</v>
      </c>
      <c r="J527" s="311">
        <v>1</v>
      </c>
    </row>
    <row r="528" spans="2:10" s="18" customFormat="1" ht="12.75" customHeight="1" outlineLevel="4">
      <c r="B528" s="297" t="s">
        <v>1797</v>
      </c>
      <c r="C528" s="297" t="s">
        <v>2179</v>
      </c>
      <c r="D528" s="298">
        <v>4105</v>
      </c>
      <c r="E528" s="306" t="s">
        <v>2186</v>
      </c>
      <c r="F528" s="46"/>
      <c r="G528" s="297" t="s">
        <v>1000</v>
      </c>
      <c r="H528" s="308" t="str">
        <f t="shared" si="45"/>
        <v>MEP-L30-1</v>
      </c>
      <c r="I528" s="302">
        <v>1</v>
      </c>
      <c r="J528" s="311">
        <v>1</v>
      </c>
    </row>
    <row r="529" spans="2:10" s="18" customFormat="1" ht="12.75" customHeight="1" outlineLevel="4">
      <c r="B529" s="297" t="s">
        <v>1797</v>
      </c>
      <c r="C529" s="297" t="s">
        <v>2179</v>
      </c>
      <c r="D529" s="298">
        <v>4111</v>
      </c>
      <c r="E529" s="306" t="s">
        <v>2187</v>
      </c>
      <c r="F529" s="46"/>
      <c r="G529" s="297" t="s">
        <v>1000</v>
      </c>
      <c r="H529" s="308" t="str">
        <f t="shared" si="45"/>
        <v>MEP-L30-1</v>
      </c>
      <c r="I529" s="302">
        <v>1</v>
      </c>
      <c r="J529" s="311">
        <v>1</v>
      </c>
    </row>
    <row r="530" spans="2:10" s="18" customFormat="1" ht="12.75" customHeight="1" outlineLevel="4">
      <c r="B530" s="297" t="s">
        <v>1797</v>
      </c>
      <c r="C530" s="297" t="s">
        <v>2179</v>
      </c>
      <c r="D530" s="298">
        <v>4115</v>
      </c>
      <c r="E530" s="306" t="s">
        <v>2188</v>
      </c>
      <c r="F530" s="46"/>
      <c r="G530" s="297" t="s">
        <v>1000</v>
      </c>
      <c r="H530" s="308" t="str">
        <f t="shared" si="45"/>
        <v>MEP-L30-1</v>
      </c>
      <c r="I530" s="302">
        <v>1</v>
      </c>
      <c r="J530" s="311">
        <v>1</v>
      </c>
    </row>
    <row r="531" spans="2:10" s="18" customFormat="1" ht="12.75" customHeight="1" outlineLevel="2">
      <c r="B531" s="297"/>
      <c r="C531" s="297"/>
      <c r="D531" s="298"/>
      <c r="E531" s="306"/>
      <c r="F531" s="46"/>
      <c r="G531" s="46"/>
      <c r="H531" s="46"/>
      <c r="I531" s="302"/>
      <c r="J531" s="300"/>
    </row>
    <row r="532" spans="2:10" s="18" customFormat="1" ht="12.75" customHeight="1" outlineLevel="2">
      <c r="B532" s="301" t="s">
        <v>1810</v>
      </c>
      <c r="C532" s="297"/>
      <c r="D532" s="298"/>
      <c r="E532" s="306"/>
      <c r="F532" s="46"/>
      <c r="G532" s="46"/>
      <c r="H532" s="46"/>
      <c r="I532" s="302"/>
      <c r="J532" s="300"/>
    </row>
    <row r="533" spans="2:10" s="18" customFormat="1" ht="12.75" customHeight="1" outlineLevel="3">
      <c r="B533" s="297" t="s">
        <v>1811</v>
      </c>
      <c r="C533" s="297" t="s">
        <v>2179</v>
      </c>
      <c r="D533" s="298" t="s">
        <v>1954</v>
      </c>
      <c r="E533" s="306" t="s">
        <v>2189</v>
      </c>
      <c r="F533" s="46"/>
      <c r="G533" s="297" t="s">
        <v>1000</v>
      </c>
      <c r="H533" s="308" t="str">
        <f>CONCATENATE("MEP-",G533,"-",I533)</f>
        <v>MEP-L30-1</v>
      </c>
      <c r="I533" s="302">
        <v>1</v>
      </c>
      <c r="J533" s="300">
        <v>1</v>
      </c>
    </row>
    <row r="534" spans="2:10" s="18" customFormat="1" ht="12.75" customHeight="1" outlineLevel="2">
      <c r="B534" s="297"/>
      <c r="C534" s="297"/>
      <c r="D534" s="298"/>
      <c r="E534" s="306"/>
      <c r="F534" s="46"/>
      <c r="G534" s="46"/>
      <c r="H534" s="46"/>
      <c r="I534" s="302"/>
      <c r="J534" s="300"/>
    </row>
    <row r="535" spans="2:10" s="18" customFormat="1" ht="12.75" customHeight="1" outlineLevel="2">
      <c r="B535" s="301" t="s">
        <v>1819</v>
      </c>
      <c r="C535" s="297"/>
      <c r="D535" s="298"/>
      <c r="E535" s="306"/>
      <c r="F535" s="46"/>
      <c r="G535" s="46"/>
      <c r="H535" s="46"/>
      <c r="I535" s="302"/>
      <c r="J535" s="300"/>
    </row>
    <row r="536" spans="2:10" s="18" customFormat="1" ht="12.75" customHeight="1" outlineLevel="3">
      <c r="B536" s="297" t="s">
        <v>1819</v>
      </c>
      <c r="C536" s="297" t="s">
        <v>2179</v>
      </c>
      <c r="D536" s="298" t="s">
        <v>1861</v>
      </c>
      <c r="E536" s="306" t="s">
        <v>2190</v>
      </c>
      <c r="F536" s="46"/>
      <c r="G536" s="297" t="s">
        <v>1000</v>
      </c>
      <c r="H536" s="308" t="str">
        <f>CONCATENATE("MEP-",G536,"-",I536)</f>
        <v>MEP-L30-1</v>
      </c>
      <c r="I536" s="302">
        <v>1</v>
      </c>
      <c r="J536" s="300">
        <v>1</v>
      </c>
    </row>
    <row r="537" spans="2:10" s="18" customFormat="1" ht="12.75" customHeight="1" outlineLevel="3">
      <c r="B537" s="297" t="s">
        <v>1819</v>
      </c>
      <c r="C537" s="297" t="s">
        <v>2179</v>
      </c>
      <c r="D537" s="298" t="s">
        <v>1921</v>
      </c>
      <c r="E537" s="306" t="s">
        <v>2191</v>
      </c>
      <c r="F537" s="46"/>
      <c r="G537" s="297" t="s">
        <v>1000</v>
      </c>
      <c r="H537" s="308" t="str">
        <f>CONCATENATE("MEP-",G537,"-",I537)</f>
        <v>MEP-L30-1</v>
      </c>
      <c r="I537" s="302">
        <v>1</v>
      </c>
      <c r="J537" s="300">
        <v>1</v>
      </c>
    </row>
    <row r="538" spans="2:10" s="18" customFormat="1" ht="12.75" customHeight="1" outlineLevel="2">
      <c r="B538" s="297"/>
      <c r="C538" s="297"/>
      <c r="D538" s="298"/>
      <c r="E538" s="306"/>
      <c r="F538" s="46"/>
      <c r="G538" s="46"/>
      <c r="H538" s="46"/>
      <c r="I538" s="302"/>
      <c r="J538" s="300"/>
    </row>
    <row r="539" spans="2:10" s="18" customFormat="1" ht="12.75" customHeight="1" outlineLevel="2">
      <c r="B539" s="301" t="s">
        <v>2003</v>
      </c>
      <c r="C539" s="297"/>
      <c r="D539" s="298"/>
      <c r="E539" s="306"/>
      <c r="F539" s="46"/>
      <c r="G539" s="46"/>
      <c r="H539" s="46"/>
      <c r="I539" s="302"/>
      <c r="J539" s="300"/>
    </row>
    <row r="540" spans="2:10" s="18" customFormat="1" ht="12.75" customHeight="1" outlineLevel="3">
      <c r="B540" s="297" t="s">
        <v>1465</v>
      </c>
      <c r="C540" s="297" t="s">
        <v>2179</v>
      </c>
      <c r="D540" s="298">
        <v>4051</v>
      </c>
      <c r="E540" s="306" t="s">
        <v>2192</v>
      </c>
      <c r="F540" s="46"/>
      <c r="G540" s="297" t="s">
        <v>1000</v>
      </c>
      <c r="H540" s="308" t="str">
        <f t="shared" ref="H540:H550" si="46">CONCATENATE("MEP-",G540,"-",I540)</f>
        <v>MEP-L30-1</v>
      </c>
      <c r="I540" s="302">
        <v>1</v>
      </c>
      <c r="J540" s="300">
        <v>1</v>
      </c>
    </row>
    <row r="541" spans="2:10" s="18" customFormat="1" ht="12.75" customHeight="1" outlineLevel="3">
      <c r="B541" s="297" t="s">
        <v>1465</v>
      </c>
      <c r="C541" s="297" t="s">
        <v>2179</v>
      </c>
      <c r="D541" s="298">
        <v>4061</v>
      </c>
      <c r="E541" s="306" t="s">
        <v>2193</v>
      </c>
      <c r="F541" s="46"/>
      <c r="G541" s="297" t="s">
        <v>1000</v>
      </c>
      <c r="H541" s="308" t="str">
        <f t="shared" si="46"/>
        <v>MEP-L30-1</v>
      </c>
      <c r="I541" s="302">
        <v>1</v>
      </c>
      <c r="J541" s="300">
        <v>1</v>
      </c>
    </row>
    <row r="542" spans="2:10" s="18" customFormat="1" ht="12.75" customHeight="1" outlineLevel="3">
      <c r="B542" s="297" t="s">
        <v>1465</v>
      </c>
      <c r="C542" s="297" t="s">
        <v>2179</v>
      </c>
      <c r="D542" s="298">
        <v>4071</v>
      </c>
      <c r="E542" s="306" t="s">
        <v>2194</v>
      </c>
      <c r="F542" s="46"/>
      <c r="G542" s="297" t="s">
        <v>1000</v>
      </c>
      <c r="H542" s="308" t="str">
        <f t="shared" si="46"/>
        <v>MEP-L30-1</v>
      </c>
      <c r="I542" s="302">
        <v>1</v>
      </c>
      <c r="J542" s="300">
        <v>1</v>
      </c>
    </row>
    <row r="543" spans="2:10" s="18" customFormat="1" ht="12.75" customHeight="1" outlineLevel="3">
      <c r="B543" s="297" t="s">
        <v>1465</v>
      </c>
      <c r="C543" s="297" t="s">
        <v>2179</v>
      </c>
      <c r="D543" s="298">
        <v>4081</v>
      </c>
      <c r="E543" s="306" t="s">
        <v>2195</v>
      </c>
      <c r="F543" s="46"/>
      <c r="G543" s="297" t="s">
        <v>1000</v>
      </c>
      <c r="H543" s="308" t="str">
        <f t="shared" si="46"/>
        <v>MEP-L30-1</v>
      </c>
      <c r="I543" s="302">
        <v>1</v>
      </c>
      <c r="J543" s="300">
        <v>1</v>
      </c>
    </row>
    <row r="544" spans="2:10" s="18" customFormat="1" ht="12.75" customHeight="1" outlineLevel="3">
      <c r="B544" s="297" t="s">
        <v>1465</v>
      </c>
      <c r="C544" s="297" t="s">
        <v>2179</v>
      </c>
      <c r="D544" s="298">
        <v>4091</v>
      </c>
      <c r="E544" s="306" t="s">
        <v>2196</v>
      </c>
      <c r="F544" s="46"/>
      <c r="G544" s="297" t="s">
        <v>1000</v>
      </c>
      <c r="H544" s="308" t="str">
        <f t="shared" si="46"/>
        <v>MEP-L30-1</v>
      </c>
      <c r="I544" s="302">
        <v>1</v>
      </c>
      <c r="J544" s="300">
        <v>1</v>
      </c>
    </row>
    <row r="545" spans="2:10" s="18" customFormat="1" ht="12.75" customHeight="1" outlineLevel="3">
      <c r="B545" s="297" t="s">
        <v>1465</v>
      </c>
      <c r="C545" s="297" t="s">
        <v>2179</v>
      </c>
      <c r="D545" s="298">
        <v>4101</v>
      </c>
      <c r="E545" s="306" t="s">
        <v>2197</v>
      </c>
      <c r="F545" s="46"/>
      <c r="G545" s="297" t="s">
        <v>1000</v>
      </c>
      <c r="H545" s="308" t="str">
        <f t="shared" si="46"/>
        <v>MEP-L30-1</v>
      </c>
      <c r="I545" s="302">
        <v>1</v>
      </c>
      <c r="J545" s="300">
        <v>1</v>
      </c>
    </row>
    <row r="546" spans="2:10" s="18" customFormat="1" ht="12.75" customHeight="1" outlineLevel="3">
      <c r="B546" s="297" t="s">
        <v>1465</v>
      </c>
      <c r="C546" s="297" t="s">
        <v>2179</v>
      </c>
      <c r="D546" s="298">
        <v>4101</v>
      </c>
      <c r="E546" s="306" t="s">
        <v>2198</v>
      </c>
      <c r="F546" s="46"/>
      <c r="G546" s="297" t="s">
        <v>1000</v>
      </c>
      <c r="H546" s="308" t="str">
        <f t="shared" si="46"/>
        <v>MEP-L30-1</v>
      </c>
      <c r="I546" s="302">
        <v>1</v>
      </c>
      <c r="J546" s="300">
        <v>1</v>
      </c>
    </row>
    <row r="547" spans="2:10" s="18" customFormat="1" ht="12.75" customHeight="1" outlineLevel="3">
      <c r="B547" s="297" t="s">
        <v>1465</v>
      </c>
      <c r="C547" s="297" t="s">
        <v>2179</v>
      </c>
      <c r="D547" s="298">
        <v>4111</v>
      </c>
      <c r="E547" s="306" t="s">
        <v>2199</v>
      </c>
      <c r="F547" s="46"/>
      <c r="G547" s="297" t="s">
        <v>1000</v>
      </c>
      <c r="H547" s="308" t="str">
        <f t="shared" si="46"/>
        <v>MEP-L30-1</v>
      </c>
      <c r="I547" s="302">
        <v>1</v>
      </c>
      <c r="J547" s="300">
        <v>1</v>
      </c>
    </row>
    <row r="548" spans="2:10" s="18" customFormat="1" ht="12.75" customHeight="1" outlineLevel="3">
      <c r="B548" s="297" t="s">
        <v>1465</v>
      </c>
      <c r="C548" s="297" t="s">
        <v>2179</v>
      </c>
      <c r="D548" s="298">
        <v>4111</v>
      </c>
      <c r="E548" s="306" t="s">
        <v>2200</v>
      </c>
      <c r="F548" s="46"/>
      <c r="G548" s="297" t="s">
        <v>1000</v>
      </c>
      <c r="H548" s="308" t="str">
        <f t="shared" si="46"/>
        <v>MEP-L30-1</v>
      </c>
      <c r="I548" s="302">
        <v>1</v>
      </c>
      <c r="J548" s="300">
        <v>1</v>
      </c>
    </row>
    <row r="549" spans="2:10" s="18" customFormat="1" ht="12.75" customHeight="1" outlineLevel="3">
      <c r="B549" s="297" t="s">
        <v>1465</v>
      </c>
      <c r="C549" s="297" t="s">
        <v>2179</v>
      </c>
      <c r="D549" s="298">
        <v>1015</v>
      </c>
      <c r="E549" s="306" t="s">
        <v>2201</v>
      </c>
      <c r="F549" s="46"/>
      <c r="G549" s="297" t="s">
        <v>1000</v>
      </c>
      <c r="H549" s="308" t="str">
        <f t="shared" si="46"/>
        <v>MEP-L30-1</v>
      </c>
      <c r="I549" s="302">
        <v>1</v>
      </c>
      <c r="J549" s="300">
        <v>1</v>
      </c>
    </row>
    <row r="550" spans="2:10" s="18" customFormat="1" ht="12.75" customHeight="1" outlineLevel="3">
      <c r="B550" s="297" t="s">
        <v>1465</v>
      </c>
      <c r="C550" s="297" t="s">
        <v>2179</v>
      </c>
      <c r="D550" s="298">
        <v>1017</v>
      </c>
      <c r="E550" s="306" t="s">
        <v>2202</v>
      </c>
      <c r="F550" s="46"/>
      <c r="G550" s="297" t="s">
        <v>1000</v>
      </c>
      <c r="H550" s="308" t="str">
        <f t="shared" si="46"/>
        <v>MEP-L30-1</v>
      </c>
      <c r="I550" s="302">
        <v>1</v>
      </c>
      <c r="J550" s="300">
        <v>1</v>
      </c>
    </row>
    <row r="551" spans="2:10" s="18" customFormat="1" ht="3" customHeight="1" outlineLevel="1"/>
    <row r="552" spans="2:10" s="18" customFormat="1" ht="12.75" customHeight="1" outlineLevel="1">
      <c r="B552" s="317" t="s">
        <v>2203</v>
      </c>
      <c r="C552" s="297"/>
      <c r="D552" s="298"/>
      <c r="E552" s="306"/>
      <c r="F552" s="46"/>
      <c r="G552" s="46"/>
      <c r="H552" s="46"/>
      <c r="I552" s="302"/>
      <c r="J552" s="300"/>
    </row>
    <row r="553" spans="2:10" s="18" customFormat="1" ht="12.75" customHeight="1" outlineLevel="2">
      <c r="B553" s="297"/>
      <c r="C553" s="297"/>
      <c r="D553" s="298"/>
      <c r="E553" s="306"/>
      <c r="F553" s="46"/>
      <c r="G553" s="46"/>
      <c r="H553" s="46"/>
      <c r="I553" s="302"/>
      <c r="J553" s="300"/>
    </row>
    <row r="554" spans="2:10" s="18" customFormat="1" ht="12.75" customHeight="1" outlineLevel="2">
      <c r="B554" s="301" t="s">
        <v>1796</v>
      </c>
      <c r="C554" s="297"/>
      <c r="D554" s="298"/>
      <c r="E554" s="306"/>
      <c r="F554" s="46"/>
      <c r="G554" s="46"/>
      <c r="H554" s="46"/>
      <c r="I554" s="302"/>
      <c r="J554" s="300"/>
    </row>
    <row r="555" spans="2:10" s="18" customFormat="1" ht="12.75" customHeight="1" outlineLevel="3">
      <c r="B555" s="316" t="s">
        <v>2157</v>
      </c>
      <c r="C555" s="297"/>
      <c r="D555" s="298"/>
      <c r="E555" s="306"/>
      <c r="F555" s="46"/>
      <c r="G555" s="46"/>
      <c r="H555" s="46"/>
      <c r="I555" s="302"/>
      <c r="J555" s="300"/>
    </row>
    <row r="556" spans="2:10" s="18" customFormat="1" ht="12.75" customHeight="1" outlineLevel="4">
      <c r="B556" s="297" t="s">
        <v>1797</v>
      </c>
      <c r="C556" s="297" t="s">
        <v>2204</v>
      </c>
      <c r="D556" s="298">
        <v>4121</v>
      </c>
      <c r="E556" s="306" t="s">
        <v>2205</v>
      </c>
      <c r="F556" s="46"/>
      <c r="G556" s="297" t="s">
        <v>1013</v>
      </c>
      <c r="H556" s="308" t="str">
        <f>CONCATENATE("MEP-",G556,"-",I556)</f>
        <v>MEP-L45-1</v>
      </c>
      <c r="I556" s="302">
        <v>1</v>
      </c>
      <c r="J556" s="311">
        <v>1</v>
      </c>
    </row>
    <row r="557" spans="2:10" s="18" customFormat="1" ht="12.75" customHeight="1" outlineLevel="4">
      <c r="B557" s="297" t="s">
        <v>1797</v>
      </c>
      <c r="C557" s="297" t="s">
        <v>2204</v>
      </c>
      <c r="D557" s="298">
        <v>4131</v>
      </c>
      <c r="E557" s="306" t="s">
        <v>2206</v>
      </c>
      <c r="F557" s="46"/>
      <c r="G557" s="297" t="s">
        <v>1013</v>
      </c>
      <c r="H557" s="308" t="str">
        <f t="shared" ref="H557:H565" si="47">CONCATENATE("MEP-",G557,"-",I557)</f>
        <v>MEP-L45-1</v>
      </c>
      <c r="I557" s="302">
        <v>1</v>
      </c>
      <c r="J557" s="311">
        <v>1</v>
      </c>
    </row>
    <row r="558" spans="2:10" s="18" customFormat="1" ht="12.75" customHeight="1" outlineLevel="4">
      <c r="B558" s="297" t="s">
        <v>1797</v>
      </c>
      <c r="C558" s="297" t="s">
        <v>2204</v>
      </c>
      <c r="D558" s="298">
        <v>4141</v>
      </c>
      <c r="E558" s="306" t="s">
        <v>2207</v>
      </c>
      <c r="F558" s="46"/>
      <c r="G558" s="297" t="s">
        <v>1013</v>
      </c>
      <c r="H558" s="308" t="str">
        <f t="shared" si="47"/>
        <v>MEP-L45-1</v>
      </c>
      <c r="I558" s="302">
        <v>1</v>
      </c>
      <c r="J558" s="311">
        <v>1</v>
      </c>
    </row>
    <row r="559" spans="2:10" s="18" customFormat="1" ht="12.75" customHeight="1" outlineLevel="4">
      <c r="B559" s="297" t="s">
        <v>1797</v>
      </c>
      <c r="C559" s="297" t="s">
        <v>2204</v>
      </c>
      <c r="D559" s="298">
        <v>4151</v>
      </c>
      <c r="E559" s="306" t="s">
        <v>2208</v>
      </c>
      <c r="F559" s="46"/>
      <c r="G559" s="297" t="s">
        <v>1013</v>
      </c>
      <c r="H559" s="308" t="str">
        <f t="shared" si="47"/>
        <v>MEP-L45-1</v>
      </c>
      <c r="I559" s="302">
        <v>1</v>
      </c>
      <c r="J559" s="311">
        <v>1</v>
      </c>
    </row>
    <row r="560" spans="2:10" s="18" customFormat="1" ht="12.75" customHeight="1" outlineLevel="4">
      <c r="B560" s="297" t="s">
        <v>1797</v>
      </c>
      <c r="C560" s="297" t="s">
        <v>2204</v>
      </c>
      <c r="D560" s="298">
        <v>4161</v>
      </c>
      <c r="E560" s="306" t="s">
        <v>2209</v>
      </c>
      <c r="F560" s="46"/>
      <c r="G560" s="297" t="s">
        <v>1013</v>
      </c>
      <c r="H560" s="308" t="str">
        <f t="shared" si="47"/>
        <v>MEP-L45-1</v>
      </c>
      <c r="I560" s="302">
        <v>1</v>
      </c>
      <c r="J560" s="311">
        <v>1</v>
      </c>
    </row>
    <row r="561" spans="2:10" s="18" customFormat="1" ht="12.75" customHeight="1" outlineLevel="4">
      <c r="B561" s="297" t="s">
        <v>1797</v>
      </c>
      <c r="C561" s="297" t="s">
        <v>2204</v>
      </c>
      <c r="D561" s="298">
        <v>4161</v>
      </c>
      <c r="E561" s="306" t="s">
        <v>2210</v>
      </c>
      <c r="F561" s="46"/>
      <c r="G561" s="297" t="s">
        <v>1013</v>
      </c>
      <c r="H561" s="308" t="str">
        <f t="shared" si="47"/>
        <v>MEP-L45-1</v>
      </c>
      <c r="I561" s="302">
        <v>1</v>
      </c>
      <c r="J561" s="311">
        <v>1</v>
      </c>
    </row>
    <row r="562" spans="2:10" s="18" customFormat="1" ht="12.75" customHeight="1" outlineLevel="4">
      <c r="B562" s="297" t="s">
        <v>1797</v>
      </c>
      <c r="C562" s="297" t="s">
        <v>2204</v>
      </c>
      <c r="D562" s="298">
        <v>4181</v>
      </c>
      <c r="E562" s="306" t="s">
        <v>2211</v>
      </c>
      <c r="F562" s="46"/>
      <c r="G562" s="297" t="s">
        <v>1013</v>
      </c>
      <c r="H562" s="308" t="str">
        <f t="shared" si="47"/>
        <v>MEP-L45-1</v>
      </c>
      <c r="I562" s="302">
        <v>1</v>
      </c>
      <c r="J562" s="311">
        <v>1</v>
      </c>
    </row>
    <row r="563" spans="2:10" s="18" customFormat="1" ht="12.75" customHeight="1" outlineLevel="4">
      <c r="B563" s="297" t="s">
        <v>1797</v>
      </c>
      <c r="C563" s="297" t="s">
        <v>2204</v>
      </c>
      <c r="D563" s="298">
        <v>4191</v>
      </c>
      <c r="E563" s="306" t="s">
        <v>2212</v>
      </c>
      <c r="F563" s="46"/>
      <c r="G563" s="297" t="s">
        <v>1013</v>
      </c>
      <c r="H563" s="308" t="str">
        <f t="shared" si="47"/>
        <v>MEP-L45-1</v>
      </c>
      <c r="I563" s="302">
        <v>1</v>
      </c>
      <c r="J563" s="311">
        <v>1</v>
      </c>
    </row>
    <row r="564" spans="2:10" s="18" customFormat="1" ht="12.75" customHeight="1" outlineLevel="4">
      <c r="B564" s="297" t="s">
        <v>1797</v>
      </c>
      <c r="C564" s="297" t="s">
        <v>2204</v>
      </c>
      <c r="D564" s="298">
        <v>4201</v>
      </c>
      <c r="E564" s="306" t="s">
        <v>2213</v>
      </c>
      <c r="F564" s="46"/>
      <c r="G564" s="297" t="s">
        <v>1013</v>
      </c>
      <c r="H564" s="308" t="str">
        <f t="shared" si="47"/>
        <v>MEP-L45-1</v>
      </c>
      <c r="I564" s="302">
        <v>1</v>
      </c>
      <c r="J564" s="311">
        <v>1</v>
      </c>
    </row>
    <row r="565" spans="2:10" s="18" customFormat="1" ht="12.75" customHeight="1" outlineLevel="4">
      <c r="B565" s="297" t="s">
        <v>1797</v>
      </c>
      <c r="C565" s="297" t="s">
        <v>2204</v>
      </c>
      <c r="D565" s="298">
        <v>4211</v>
      </c>
      <c r="E565" s="306" t="s">
        <v>2214</v>
      </c>
      <c r="F565" s="46"/>
      <c r="G565" s="297" t="s">
        <v>1013</v>
      </c>
      <c r="H565" s="308" t="str">
        <f t="shared" si="47"/>
        <v>MEP-L45-1</v>
      </c>
      <c r="I565" s="302">
        <v>1</v>
      </c>
      <c r="J565" s="311">
        <v>1</v>
      </c>
    </row>
    <row r="566" spans="2:10" s="18" customFormat="1" ht="12.75" customHeight="1" outlineLevel="2">
      <c r="B566" s="297"/>
      <c r="C566" s="297"/>
      <c r="D566" s="298"/>
      <c r="E566" s="306"/>
      <c r="F566" s="46"/>
      <c r="G566" s="297"/>
      <c r="H566" s="308"/>
      <c r="I566" s="302"/>
      <c r="J566" s="300"/>
    </row>
    <row r="567" spans="2:10" s="18" customFormat="1" ht="12.75" customHeight="1" outlineLevel="2">
      <c r="B567" s="301" t="s">
        <v>1810</v>
      </c>
      <c r="C567" s="297"/>
      <c r="D567" s="298"/>
      <c r="E567" s="306"/>
      <c r="F567" s="46"/>
      <c r="G567" s="46"/>
      <c r="H567" s="46"/>
      <c r="I567" s="302"/>
      <c r="J567" s="300"/>
    </row>
    <row r="568" spans="2:10" s="18" customFormat="1" ht="12.75" customHeight="1" outlineLevel="5">
      <c r="B568" s="297" t="s">
        <v>1811</v>
      </c>
      <c r="C568" s="297" t="s">
        <v>2204</v>
      </c>
      <c r="D568" s="298">
        <v>1021</v>
      </c>
      <c r="E568" s="306" t="s">
        <v>2026</v>
      </c>
      <c r="F568" s="46"/>
      <c r="G568" s="297" t="s">
        <v>1013</v>
      </c>
      <c r="H568" s="308" t="str">
        <f>CONCATENATE("MEP-",G568,"-",I568)</f>
        <v>MEP-L45-1</v>
      </c>
      <c r="I568" s="302">
        <v>1</v>
      </c>
      <c r="J568" s="300">
        <v>1</v>
      </c>
    </row>
    <row r="569" spans="2:10" s="18" customFormat="1" ht="12.75" customHeight="1" outlineLevel="5">
      <c r="B569" s="297" t="s">
        <v>1811</v>
      </c>
      <c r="C569" s="297" t="s">
        <v>2204</v>
      </c>
      <c r="D569" s="298">
        <v>1051</v>
      </c>
      <c r="E569" s="306" t="s">
        <v>2038</v>
      </c>
      <c r="F569" s="46"/>
      <c r="G569" s="297" t="s">
        <v>1013</v>
      </c>
      <c r="H569" s="308" t="str">
        <f>CONCATENATE("MEP-",G569,"-",I569)</f>
        <v>MEP-L45-1</v>
      </c>
      <c r="I569" s="302">
        <v>1</v>
      </c>
      <c r="J569" s="300">
        <v>1</v>
      </c>
    </row>
    <row r="570" spans="2:10" s="18" customFormat="1" ht="12.75" customHeight="1" outlineLevel="5">
      <c r="B570" s="297" t="s">
        <v>1811</v>
      </c>
      <c r="C570" s="297" t="s">
        <v>2204</v>
      </c>
      <c r="D570" s="298">
        <v>1052</v>
      </c>
      <c r="E570" s="306" t="s">
        <v>2215</v>
      </c>
      <c r="F570" s="46"/>
      <c r="G570" s="297" t="s">
        <v>1013</v>
      </c>
      <c r="H570" s="308" t="str">
        <f>CONCATENATE("MEP-",G570,"-",I570)</f>
        <v>MEP-L45-1</v>
      </c>
      <c r="I570" s="302">
        <v>1</v>
      </c>
      <c r="J570" s="300">
        <v>1</v>
      </c>
    </row>
    <row r="571" spans="2:10" s="18" customFormat="1" ht="12.75" customHeight="1" outlineLevel="5">
      <c r="B571" s="297" t="s">
        <v>1811</v>
      </c>
      <c r="C571" s="297" t="s">
        <v>2204</v>
      </c>
      <c r="D571" s="298">
        <v>1061</v>
      </c>
      <c r="E571" s="306" t="s">
        <v>2216</v>
      </c>
      <c r="F571" s="46"/>
      <c r="G571" s="297" t="s">
        <v>1013</v>
      </c>
      <c r="H571" s="308" t="str">
        <f>CONCATENATE("MEP-",G571,"-",I571)</f>
        <v>MEP-L45-1</v>
      </c>
      <c r="I571" s="302">
        <v>1</v>
      </c>
      <c r="J571" s="300">
        <v>1</v>
      </c>
    </row>
    <row r="572" spans="2:10" s="18" customFormat="1" ht="12.75" customHeight="1" outlineLevel="5">
      <c r="B572" s="297" t="s">
        <v>1811</v>
      </c>
      <c r="C572" s="297" t="s">
        <v>2204</v>
      </c>
      <c r="D572" s="298">
        <v>1062</v>
      </c>
      <c r="E572" s="306" t="s">
        <v>2042</v>
      </c>
      <c r="F572" s="46"/>
      <c r="G572" s="297" t="s">
        <v>1013</v>
      </c>
      <c r="H572" s="308" t="str">
        <f>CONCATENATE("MEP-",G572,"-",I572)</f>
        <v>MEP-L45-1</v>
      </c>
      <c r="I572" s="302">
        <v>1</v>
      </c>
      <c r="J572" s="300">
        <v>1</v>
      </c>
    </row>
    <row r="573" spans="2:10" s="18" customFormat="1" ht="12.75" customHeight="1" outlineLevel="2">
      <c r="B573" s="297"/>
      <c r="C573" s="297"/>
      <c r="D573" s="298"/>
      <c r="E573" s="306"/>
      <c r="F573" s="46"/>
      <c r="G573" s="297"/>
      <c r="H573" s="308"/>
      <c r="I573" s="302"/>
      <c r="J573" s="300"/>
    </row>
    <row r="574" spans="2:10" s="18" customFormat="1" ht="12.75" customHeight="1" outlineLevel="2">
      <c r="B574" s="301" t="s">
        <v>1819</v>
      </c>
      <c r="C574" s="297"/>
      <c r="D574" s="298"/>
      <c r="E574" s="306"/>
      <c r="F574" s="46"/>
      <c r="G574" s="46"/>
      <c r="H574" s="46"/>
      <c r="I574" s="302"/>
      <c r="J574" s="300"/>
    </row>
    <row r="575" spans="2:10" s="18" customFormat="1" ht="12.75" customHeight="1" outlineLevel="5">
      <c r="B575" s="297" t="s">
        <v>1819</v>
      </c>
      <c r="C575" s="297" t="s">
        <v>2204</v>
      </c>
      <c r="D575" s="298" t="s">
        <v>1861</v>
      </c>
      <c r="E575" s="306" t="s">
        <v>2217</v>
      </c>
      <c r="F575" s="46"/>
      <c r="G575" s="297" t="s">
        <v>1013</v>
      </c>
      <c r="H575" s="308" t="str">
        <f t="shared" ref="H575:H580" si="48">CONCATENATE("MEP-",G575,"-",I575)</f>
        <v>MEP-L45-1</v>
      </c>
      <c r="I575" s="302">
        <v>1</v>
      </c>
      <c r="J575" s="311">
        <v>1</v>
      </c>
    </row>
    <row r="576" spans="2:10" s="18" customFormat="1" ht="12.75" customHeight="1" outlineLevel="5">
      <c r="B576" s="297" t="s">
        <v>1819</v>
      </c>
      <c r="C576" s="297" t="s">
        <v>2204</v>
      </c>
      <c r="D576" s="298">
        <v>1011</v>
      </c>
      <c r="E576" s="306" t="s">
        <v>2218</v>
      </c>
      <c r="F576" s="46"/>
      <c r="G576" s="297" t="s">
        <v>1013</v>
      </c>
      <c r="H576" s="308" t="str">
        <f t="shared" si="48"/>
        <v>MEP-L45-1</v>
      </c>
      <c r="I576" s="302">
        <v>1</v>
      </c>
      <c r="J576" s="311">
        <v>1</v>
      </c>
    </row>
    <row r="577" spans="2:10" s="18" customFormat="1" ht="12.75" customHeight="1" outlineLevel="5">
      <c r="B577" s="297" t="s">
        <v>1819</v>
      </c>
      <c r="C577" s="297" t="s">
        <v>2204</v>
      </c>
      <c r="D577" s="298">
        <v>1021</v>
      </c>
      <c r="E577" s="306" t="s">
        <v>2219</v>
      </c>
      <c r="F577" s="46"/>
      <c r="G577" s="297" t="s">
        <v>1013</v>
      </c>
      <c r="H577" s="308" t="str">
        <f t="shared" si="48"/>
        <v>MEP-L45-1</v>
      </c>
      <c r="I577" s="302">
        <v>1</v>
      </c>
      <c r="J577" s="311">
        <v>1</v>
      </c>
    </row>
    <row r="578" spans="2:10" s="18" customFormat="1" ht="12.75" customHeight="1" outlineLevel="5">
      <c r="B578" s="297" t="s">
        <v>1819</v>
      </c>
      <c r="C578" s="297" t="s">
        <v>2204</v>
      </c>
      <c r="D578" s="298">
        <v>1031</v>
      </c>
      <c r="E578" s="306" t="s">
        <v>2220</v>
      </c>
      <c r="F578" s="46"/>
      <c r="G578" s="297" t="s">
        <v>1013</v>
      </c>
      <c r="H578" s="308" t="str">
        <f t="shared" si="48"/>
        <v>MEP-L45-1</v>
      </c>
      <c r="I578" s="302">
        <v>1</v>
      </c>
      <c r="J578" s="311">
        <v>1</v>
      </c>
    </row>
    <row r="579" spans="2:10" s="18" customFormat="1" ht="12.75" customHeight="1" outlineLevel="5">
      <c r="B579" s="297" t="s">
        <v>1819</v>
      </c>
      <c r="C579" s="297" t="s">
        <v>2204</v>
      </c>
      <c r="D579" s="298">
        <v>1041</v>
      </c>
      <c r="E579" s="306" t="s">
        <v>2221</v>
      </c>
      <c r="F579" s="46"/>
      <c r="G579" s="297" t="s">
        <v>1013</v>
      </c>
      <c r="H579" s="308" t="str">
        <f t="shared" si="48"/>
        <v>MEP-L45-1</v>
      </c>
      <c r="I579" s="302">
        <v>1</v>
      </c>
      <c r="J579" s="311">
        <v>1</v>
      </c>
    </row>
    <row r="580" spans="2:10" s="18" customFormat="1" ht="12.75" customHeight="1" outlineLevel="5">
      <c r="B580" s="297" t="s">
        <v>1819</v>
      </c>
      <c r="C580" s="297" t="s">
        <v>2204</v>
      </c>
      <c r="D580" s="298">
        <v>1051</v>
      </c>
      <c r="E580" s="306" t="s">
        <v>2222</v>
      </c>
      <c r="F580" s="46"/>
      <c r="G580" s="297" t="s">
        <v>1013</v>
      </c>
      <c r="H580" s="308" t="str">
        <f t="shared" si="48"/>
        <v>MEP-L45-1</v>
      </c>
      <c r="I580" s="302">
        <v>1</v>
      </c>
      <c r="J580" s="311">
        <v>1</v>
      </c>
    </row>
    <row r="581" spans="2:10" s="18" customFormat="1" ht="12.75" customHeight="1" outlineLevel="2">
      <c r="B581" s="297"/>
      <c r="C581" s="297"/>
      <c r="D581" s="298"/>
      <c r="E581" s="306"/>
      <c r="F581" s="46"/>
      <c r="G581" s="297"/>
      <c r="H581" s="308"/>
      <c r="I581" s="302"/>
      <c r="J581" s="300"/>
    </row>
    <row r="582" spans="2:10" s="18" customFormat="1" ht="12.75" customHeight="1" outlineLevel="2">
      <c r="B582" s="301" t="s">
        <v>2003</v>
      </c>
      <c r="C582" s="297"/>
      <c r="D582" s="298"/>
      <c r="E582" s="306"/>
      <c r="F582" s="46"/>
      <c r="G582" s="46"/>
      <c r="H582" s="46"/>
      <c r="I582" s="302"/>
      <c r="J582" s="300"/>
    </row>
    <row r="583" spans="2:10" s="18" customFormat="1" ht="12.75" customHeight="1" outlineLevel="3">
      <c r="B583" s="297" t="s">
        <v>1465</v>
      </c>
      <c r="C583" s="297" t="s">
        <v>2204</v>
      </c>
      <c r="D583" s="298">
        <v>4121</v>
      </c>
      <c r="E583" s="306" t="s">
        <v>2223</v>
      </c>
      <c r="F583" s="46"/>
      <c r="G583" s="297" t="s">
        <v>1013</v>
      </c>
      <c r="H583" s="308" t="str">
        <f t="shared" ref="H583:H610" si="49">CONCATENATE("MEP-",G583,"-",I583)</f>
        <v>MEP-L45-1</v>
      </c>
      <c r="I583" s="302">
        <v>1</v>
      </c>
      <c r="J583" s="311">
        <v>1</v>
      </c>
    </row>
    <row r="584" spans="2:10" s="18" customFormat="1" ht="12.75" customHeight="1" outlineLevel="3">
      <c r="B584" s="297" t="s">
        <v>1465</v>
      </c>
      <c r="C584" s="297" t="s">
        <v>2204</v>
      </c>
      <c r="D584" s="298">
        <v>4131</v>
      </c>
      <c r="E584" s="306" t="s">
        <v>2224</v>
      </c>
      <c r="F584" s="46"/>
      <c r="G584" s="297" t="s">
        <v>1013</v>
      </c>
      <c r="H584" s="308" t="str">
        <f t="shared" si="49"/>
        <v>MEP-L45-1</v>
      </c>
      <c r="I584" s="302">
        <v>1</v>
      </c>
      <c r="J584" s="311">
        <v>1</v>
      </c>
    </row>
    <row r="585" spans="2:10" s="18" customFormat="1" ht="12.75" customHeight="1" outlineLevel="3">
      <c r="B585" s="297" t="s">
        <v>1465</v>
      </c>
      <c r="C585" s="297" t="s">
        <v>2204</v>
      </c>
      <c r="D585" s="298">
        <v>4141</v>
      </c>
      <c r="E585" s="306" t="s">
        <v>2225</v>
      </c>
      <c r="F585" s="46"/>
      <c r="G585" s="297" t="s">
        <v>1013</v>
      </c>
      <c r="H585" s="308" t="str">
        <f t="shared" si="49"/>
        <v>MEP-L45-1</v>
      </c>
      <c r="I585" s="302">
        <v>1</v>
      </c>
      <c r="J585" s="311">
        <v>1</v>
      </c>
    </row>
    <row r="586" spans="2:10" s="18" customFormat="1" ht="12.75" customHeight="1" outlineLevel="3">
      <c r="B586" s="297" t="s">
        <v>1465</v>
      </c>
      <c r="C586" s="297" t="s">
        <v>2204</v>
      </c>
      <c r="D586" s="298">
        <v>4151</v>
      </c>
      <c r="E586" s="306" t="s">
        <v>2226</v>
      </c>
      <c r="F586" s="46"/>
      <c r="G586" s="297" t="s">
        <v>1013</v>
      </c>
      <c r="H586" s="308" t="str">
        <f t="shared" si="49"/>
        <v>MEP-L45-1</v>
      </c>
      <c r="I586" s="302">
        <v>1</v>
      </c>
      <c r="J586" s="311">
        <v>1</v>
      </c>
    </row>
    <row r="587" spans="2:10" s="18" customFormat="1" ht="12.75" customHeight="1" outlineLevel="3">
      <c r="B587" s="297" t="s">
        <v>1465</v>
      </c>
      <c r="C587" s="297" t="s">
        <v>2204</v>
      </c>
      <c r="D587" s="298">
        <v>4161</v>
      </c>
      <c r="E587" s="306" t="s">
        <v>2227</v>
      </c>
      <c r="F587" s="46"/>
      <c r="G587" s="297" t="s">
        <v>1013</v>
      </c>
      <c r="H587" s="308" t="str">
        <f t="shared" si="49"/>
        <v>MEP-L45-1</v>
      </c>
      <c r="I587" s="302">
        <v>1</v>
      </c>
      <c r="J587" s="311">
        <v>1</v>
      </c>
    </row>
    <row r="588" spans="2:10" s="18" customFormat="1" ht="12.75" customHeight="1" outlineLevel="3">
      <c r="B588" s="297" t="s">
        <v>1465</v>
      </c>
      <c r="C588" s="297" t="s">
        <v>2204</v>
      </c>
      <c r="D588" s="298">
        <v>4161</v>
      </c>
      <c r="E588" s="306" t="s">
        <v>2228</v>
      </c>
      <c r="F588" s="46"/>
      <c r="G588" s="297" t="s">
        <v>1013</v>
      </c>
      <c r="H588" s="308" t="str">
        <f t="shared" si="49"/>
        <v>MEP-L45-1</v>
      </c>
      <c r="I588" s="302">
        <v>1</v>
      </c>
      <c r="J588" s="311">
        <v>1</v>
      </c>
    </row>
    <row r="589" spans="2:10" s="18" customFormat="1" ht="12.75" customHeight="1" outlineLevel="3">
      <c r="B589" s="297" t="s">
        <v>1465</v>
      </c>
      <c r="C589" s="297" t="s">
        <v>2204</v>
      </c>
      <c r="D589" s="298">
        <v>4181</v>
      </c>
      <c r="E589" s="306" t="s">
        <v>2229</v>
      </c>
      <c r="F589" s="46"/>
      <c r="G589" s="297" t="s">
        <v>1013</v>
      </c>
      <c r="H589" s="308" t="str">
        <f t="shared" si="49"/>
        <v>MEP-L45-1</v>
      </c>
      <c r="I589" s="302">
        <v>1</v>
      </c>
      <c r="J589" s="311">
        <v>1</v>
      </c>
    </row>
    <row r="590" spans="2:10" s="18" customFormat="1" ht="12.75" customHeight="1" outlineLevel="3">
      <c r="B590" s="297" t="s">
        <v>1465</v>
      </c>
      <c r="C590" s="297" t="s">
        <v>2204</v>
      </c>
      <c r="D590" s="298">
        <v>4191</v>
      </c>
      <c r="E590" s="306" t="s">
        <v>2230</v>
      </c>
      <c r="F590" s="46"/>
      <c r="G590" s="297" t="s">
        <v>1013</v>
      </c>
      <c r="H590" s="308" t="str">
        <f t="shared" si="49"/>
        <v>MEP-L45-1</v>
      </c>
      <c r="I590" s="302">
        <v>1</v>
      </c>
      <c r="J590" s="311">
        <v>1</v>
      </c>
    </row>
    <row r="591" spans="2:10" s="18" customFormat="1" ht="12.75" customHeight="1" outlineLevel="3">
      <c r="B591" s="297" t="s">
        <v>1465</v>
      </c>
      <c r="C591" s="297" t="s">
        <v>2204</v>
      </c>
      <c r="D591" s="298">
        <v>4201</v>
      </c>
      <c r="E591" s="306" t="s">
        <v>2231</v>
      </c>
      <c r="F591" s="46"/>
      <c r="G591" s="297" t="s">
        <v>1013</v>
      </c>
      <c r="H591" s="308" t="str">
        <f t="shared" si="49"/>
        <v>MEP-L45-1</v>
      </c>
      <c r="I591" s="302">
        <v>1</v>
      </c>
      <c r="J591" s="311">
        <v>1</v>
      </c>
    </row>
    <row r="592" spans="2:10" s="18" customFormat="1" ht="12.75" customHeight="1" outlineLevel="3">
      <c r="B592" s="297" t="s">
        <v>1465</v>
      </c>
      <c r="C592" s="297" t="s">
        <v>2204</v>
      </c>
      <c r="D592" s="298">
        <v>4211</v>
      </c>
      <c r="E592" s="306" t="s">
        <v>2232</v>
      </c>
      <c r="F592" s="46"/>
      <c r="G592" s="297" t="s">
        <v>1013</v>
      </c>
      <c r="H592" s="308" t="str">
        <f t="shared" si="49"/>
        <v>MEP-L45-1</v>
      </c>
      <c r="I592" s="302">
        <v>1</v>
      </c>
      <c r="J592" s="311">
        <v>1</v>
      </c>
    </row>
    <row r="593" spans="2:10" s="18" customFormat="1" ht="12.75" customHeight="1" outlineLevel="3">
      <c r="B593" s="297" t="s">
        <v>1465</v>
      </c>
      <c r="C593" s="297" t="s">
        <v>2204</v>
      </c>
      <c r="D593" s="298">
        <v>1015</v>
      </c>
      <c r="E593" s="306" t="s">
        <v>2233</v>
      </c>
      <c r="F593" s="46"/>
      <c r="G593" s="297" t="s">
        <v>1013</v>
      </c>
      <c r="H593" s="308" t="str">
        <f t="shared" si="49"/>
        <v>MEP-L45-1</v>
      </c>
      <c r="I593" s="302">
        <v>1</v>
      </c>
      <c r="J593" s="311">
        <v>1</v>
      </c>
    </row>
    <row r="594" spans="2:10" s="18" customFormat="1" ht="12.75" customHeight="1" outlineLevel="3">
      <c r="B594" s="297" t="s">
        <v>1465</v>
      </c>
      <c r="C594" s="297" t="s">
        <v>2204</v>
      </c>
      <c r="D594" s="298">
        <v>1011</v>
      </c>
      <c r="E594" s="306" t="s">
        <v>2234</v>
      </c>
      <c r="F594" s="46"/>
      <c r="G594" s="297" t="s">
        <v>1013</v>
      </c>
      <c r="H594" s="308" t="str">
        <f t="shared" si="49"/>
        <v>MEP-L45-1</v>
      </c>
      <c r="I594" s="302">
        <v>1</v>
      </c>
      <c r="J594" s="311">
        <v>1</v>
      </c>
    </row>
    <row r="595" spans="2:10" s="18" customFormat="1" ht="12.75" customHeight="1" outlineLevel="3">
      <c r="B595" s="297" t="s">
        <v>1465</v>
      </c>
      <c r="C595" s="297" t="s">
        <v>2204</v>
      </c>
      <c r="D595" s="298">
        <v>1021</v>
      </c>
      <c r="E595" s="306" t="s">
        <v>2235</v>
      </c>
      <c r="F595" s="46"/>
      <c r="G595" s="297" t="s">
        <v>1013</v>
      </c>
      <c r="H595" s="308" t="str">
        <f t="shared" si="49"/>
        <v>MEP-L45-1</v>
      </c>
      <c r="I595" s="302">
        <v>1</v>
      </c>
      <c r="J595" s="311">
        <v>1</v>
      </c>
    </row>
    <row r="596" spans="2:10" s="18" customFormat="1" ht="12.75" customHeight="1" outlineLevel="3">
      <c r="B596" s="297" t="s">
        <v>1465</v>
      </c>
      <c r="C596" s="297" t="s">
        <v>2204</v>
      </c>
      <c r="D596" s="298">
        <v>1031</v>
      </c>
      <c r="E596" s="306" t="s">
        <v>2236</v>
      </c>
      <c r="F596" s="46"/>
      <c r="G596" s="297" t="s">
        <v>1013</v>
      </c>
      <c r="H596" s="308" t="str">
        <f t="shared" si="49"/>
        <v>MEP-L45-1</v>
      </c>
      <c r="I596" s="302">
        <v>1</v>
      </c>
      <c r="J596" s="311">
        <v>1</v>
      </c>
    </row>
    <row r="597" spans="2:10" s="18" customFormat="1" ht="12.75" customHeight="1" outlineLevel="3">
      <c r="B597" s="297" t="s">
        <v>1465</v>
      </c>
      <c r="C597" s="297" t="s">
        <v>2204</v>
      </c>
      <c r="D597" s="298">
        <v>1041</v>
      </c>
      <c r="E597" s="306" t="s">
        <v>2237</v>
      </c>
      <c r="F597" s="46"/>
      <c r="G597" s="297" t="s">
        <v>1013</v>
      </c>
      <c r="H597" s="308" t="str">
        <f t="shared" si="49"/>
        <v>MEP-L45-1</v>
      </c>
      <c r="I597" s="302">
        <v>1</v>
      </c>
      <c r="J597" s="311">
        <v>1</v>
      </c>
    </row>
    <row r="598" spans="2:10" s="18" customFormat="1" ht="12.75" customHeight="1" outlineLevel="3">
      <c r="B598" s="297" t="s">
        <v>1465</v>
      </c>
      <c r="C598" s="297" t="s">
        <v>2204</v>
      </c>
      <c r="D598" s="298">
        <v>1051</v>
      </c>
      <c r="E598" s="306" t="s">
        <v>2238</v>
      </c>
      <c r="F598" s="46"/>
      <c r="G598" s="297" t="s">
        <v>1013</v>
      </c>
      <c r="H598" s="308" t="str">
        <f t="shared" si="49"/>
        <v>MEP-L45-1</v>
      </c>
      <c r="I598" s="302">
        <v>1</v>
      </c>
      <c r="J598" s="311">
        <v>1</v>
      </c>
    </row>
    <row r="599" spans="2:10" s="18" customFormat="1" ht="12.75" customHeight="1" outlineLevel="3">
      <c r="B599" s="297" t="s">
        <v>1465</v>
      </c>
      <c r="C599" s="297" t="s">
        <v>2204</v>
      </c>
      <c r="D599" s="298">
        <v>1061</v>
      </c>
      <c r="E599" s="306" t="s">
        <v>2239</v>
      </c>
      <c r="F599" s="46"/>
      <c r="G599" s="297" t="s">
        <v>1013</v>
      </c>
      <c r="H599" s="308" t="str">
        <f t="shared" si="49"/>
        <v>MEP-L45-1</v>
      </c>
      <c r="I599" s="302">
        <v>1</v>
      </c>
      <c r="J599" s="311">
        <v>1</v>
      </c>
    </row>
    <row r="600" spans="2:10" s="18" customFormat="1" ht="12.75" customHeight="1" outlineLevel="3">
      <c r="B600" s="297" t="s">
        <v>1465</v>
      </c>
      <c r="C600" s="297" t="s">
        <v>2204</v>
      </c>
      <c r="D600" s="298">
        <v>1071</v>
      </c>
      <c r="E600" s="306" t="s">
        <v>2240</v>
      </c>
      <c r="F600" s="46"/>
      <c r="G600" s="297" t="s">
        <v>1013</v>
      </c>
      <c r="H600" s="308" t="str">
        <f t="shared" si="49"/>
        <v>MEP-L45-1</v>
      </c>
      <c r="I600" s="302">
        <v>1</v>
      </c>
      <c r="J600" s="311">
        <v>1</v>
      </c>
    </row>
    <row r="601" spans="2:10" s="18" customFormat="1" ht="12.75" customHeight="1" outlineLevel="3">
      <c r="B601" s="297" t="s">
        <v>1465</v>
      </c>
      <c r="C601" s="297" t="s">
        <v>2204</v>
      </c>
      <c r="D601" s="298">
        <v>1081</v>
      </c>
      <c r="E601" s="306" t="s">
        <v>2241</v>
      </c>
      <c r="F601" s="46"/>
      <c r="G601" s="297" t="s">
        <v>1013</v>
      </c>
      <c r="H601" s="308" t="str">
        <f t="shared" si="49"/>
        <v>MEP-L45-1</v>
      </c>
      <c r="I601" s="302">
        <v>1</v>
      </c>
      <c r="J601" s="311">
        <v>1</v>
      </c>
    </row>
    <row r="602" spans="2:10" s="18" customFormat="1" ht="12.75" customHeight="1" outlineLevel="3">
      <c r="B602" s="297" t="s">
        <v>1465</v>
      </c>
      <c r="C602" s="297" t="s">
        <v>2204</v>
      </c>
      <c r="D602" s="298">
        <v>1091</v>
      </c>
      <c r="E602" s="306" t="s">
        <v>2242</v>
      </c>
      <c r="F602" s="46"/>
      <c r="G602" s="297" t="s">
        <v>1013</v>
      </c>
      <c r="H602" s="308" t="str">
        <f t="shared" si="49"/>
        <v>MEP-L45-1</v>
      </c>
      <c r="I602" s="302">
        <v>1</v>
      </c>
      <c r="J602" s="311">
        <v>1</v>
      </c>
    </row>
    <row r="603" spans="2:10" s="18" customFormat="1" ht="12.75" customHeight="1" outlineLevel="3">
      <c r="B603" s="297" t="s">
        <v>1465</v>
      </c>
      <c r="C603" s="297" t="s">
        <v>2204</v>
      </c>
      <c r="D603" s="298">
        <v>5011</v>
      </c>
      <c r="E603" s="306" t="s">
        <v>2243</v>
      </c>
      <c r="F603" s="46"/>
      <c r="G603" s="297" t="s">
        <v>1013</v>
      </c>
      <c r="H603" s="308" t="str">
        <f t="shared" si="49"/>
        <v>MEP-L45-1</v>
      </c>
      <c r="I603" s="302">
        <v>1</v>
      </c>
      <c r="J603" s="300">
        <v>1</v>
      </c>
    </row>
    <row r="604" spans="2:10" s="18" customFormat="1" ht="12.75" customHeight="1" outlineLevel="3">
      <c r="B604" s="297" t="s">
        <v>1465</v>
      </c>
      <c r="C604" s="297" t="s">
        <v>2204</v>
      </c>
      <c r="D604" s="298">
        <v>5021</v>
      </c>
      <c r="E604" s="306" t="s">
        <v>2244</v>
      </c>
      <c r="F604" s="46"/>
      <c r="G604" s="297" t="s">
        <v>1013</v>
      </c>
      <c r="H604" s="308" t="str">
        <f t="shared" si="49"/>
        <v>MEP-L45-1</v>
      </c>
      <c r="I604" s="302">
        <v>1</v>
      </c>
      <c r="J604" s="300">
        <v>1</v>
      </c>
    </row>
    <row r="605" spans="2:10" s="18" customFormat="1" ht="12.75" customHeight="1" outlineLevel="3">
      <c r="B605" s="297" t="s">
        <v>1465</v>
      </c>
      <c r="C605" s="297" t="s">
        <v>2204</v>
      </c>
      <c r="D605" s="298">
        <v>5031</v>
      </c>
      <c r="E605" s="306" t="s">
        <v>2245</v>
      </c>
      <c r="F605" s="46"/>
      <c r="G605" s="297" t="s">
        <v>1013</v>
      </c>
      <c r="H605" s="308" t="str">
        <f t="shared" si="49"/>
        <v>MEP-L45-1</v>
      </c>
      <c r="I605" s="302">
        <v>1</v>
      </c>
      <c r="J605" s="300">
        <v>1</v>
      </c>
    </row>
    <row r="606" spans="2:10" s="18" customFormat="1" ht="12.75" customHeight="1" outlineLevel="3">
      <c r="B606" s="297" t="s">
        <v>1465</v>
      </c>
      <c r="C606" s="297" t="s">
        <v>2204</v>
      </c>
      <c r="D606" s="298">
        <v>5041</v>
      </c>
      <c r="E606" s="306" t="s">
        <v>2246</v>
      </c>
      <c r="F606" s="46"/>
      <c r="G606" s="297" t="s">
        <v>1013</v>
      </c>
      <c r="H606" s="308" t="str">
        <f t="shared" si="49"/>
        <v>MEP-L45-1</v>
      </c>
      <c r="I606" s="302">
        <v>1</v>
      </c>
      <c r="J606" s="300">
        <v>1</v>
      </c>
    </row>
    <row r="607" spans="2:10" s="18" customFormat="1" ht="12.75" customHeight="1" outlineLevel="3">
      <c r="B607" s="297" t="s">
        <v>1465</v>
      </c>
      <c r="C607" s="297" t="s">
        <v>2204</v>
      </c>
      <c r="D607" s="298">
        <v>5051</v>
      </c>
      <c r="E607" s="306" t="s">
        <v>2247</v>
      </c>
      <c r="F607" s="46"/>
      <c r="G607" s="297" t="s">
        <v>1013</v>
      </c>
      <c r="H607" s="308" t="str">
        <f t="shared" si="49"/>
        <v>MEP-L45-1</v>
      </c>
      <c r="I607" s="302">
        <v>1</v>
      </c>
      <c r="J607" s="300">
        <v>1</v>
      </c>
    </row>
    <row r="608" spans="2:10" s="18" customFormat="1" ht="12.75" customHeight="1" outlineLevel="3">
      <c r="B608" s="297" t="s">
        <v>1465</v>
      </c>
      <c r="C608" s="297" t="s">
        <v>2204</v>
      </c>
      <c r="D608" s="298">
        <v>5061</v>
      </c>
      <c r="E608" s="306" t="s">
        <v>2248</v>
      </c>
      <c r="F608" s="46"/>
      <c r="G608" s="297" t="s">
        <v>1013</v>
      </c>
      <c r="H608" s="308" t="str">
        <f t="shared" si="49"/>
        <v>MEP-L45-1</v>
      </c>
      <c r="I608" s="302">
        <v>1</v>
      </c>
      <c r="J608" s="300">
        <v>1</v>
      </c>
    </row>
    <row r="609" spans="2:13" s="18" customFormat="1" ht="12.75" customHeight="1" outlineLevel="3">
      <c r="B609" s="297" t="s">
        <v>1465</v>
      </c>
      <c r="C609" s="297" t="s">
        <v>2204</v>
      </c>
      <c r="D609" s="298">
        <v>5071</v>
      </c>
      <c r="E609" s="306" t="s">
        <v>2249</v>
      </c>
      <c r="F609" s="46"/>
      <c r="G609" s="297" t="s">
        <v>1013</v>
      </c>
      <c r="H609" s="308" t="str">
        <f t="shared" si="49"/>
        <v>MEP-L45-1</v>
      </c>
      <c r="I609" s="302">
        <v>1</v>
      </c>
      <c r="J609" s="300">
        <v>1</v>
      </c>
    </row>
    <row r="610" spans="2:13" s="18" customFormat="1" ht="12.75" customHeight="1" outlineLevel="3">
      <c r="B610" s="297" t="s">
        <v>1465</v>
      </c>
      <c r="C610" s="297" t="s">
        <v>2204</v>
      </c>
      <c r="D610" s="298">
        <v>5081</v>
      </c>
      <c r="E610" s="306" t="s">
        <v>2250</v>
      </c>
      <c r="F610" s="46"/>
      <c r="G610" s="297" t="s">
        <v>1013</v>
      </c>
      <c r="H610" s="308" t="str">
        <f t="shared" si="49"/>
        <v>MEP-L45-1</v>
      </c>
      <c r="I610" s="302">
        <v>1</v>
      </c>
      <c r="J610" s="300">
        <v>1</v>
      </c>
    </row>
    <row r="611" spans="2:13" s="18" customFormat="1" ht="3" customHeight="1" outlineLevel="1">
      <c r="B611" s="297"/>
      <c r="C611" s="297"/>
      <c r="D611" s="298"/>
      <c r="E611" s="306"/>
      <c r="F611" s="46"/>
      <c r="G611" s="297"/>
      <c r="H611" s="308"/>
      <c r="I611" s="302"/>
      <c r="J611" s="300"/>
    </row>
    <row r="612" spans="2:13" s="18" customFormat="1" ht="12.75" customHeight="1" outlineLevel="1">
      <c r="B612" s="317" t="s">
        <v>2251</v>
      </c>
      <c r="C612" s="297"/>
      <c r="D612" s="298"/>
      <c r="E612" s="306"/>
      <c r="F612" s="46"/>
      <c r="G612" s="46"/>
      <c r="H612" s="46"/>
      <c r="I612" s="302"/>
      <c r="J612" s="300"/>
    </row>
    <row r="613" spans="2:13" s="18" customFormat="1" ht="12.75" customHeight="1" outlineLevel="2">
      <c r="B613" s="297"/>
      <c r="C613" s="297"/>
      <c r="D613" s="298"/>
      <c r="E613" s="306"/>
      <c r="F613" s="46"/>
      <c r="G613" s="46"/>
      <c r="H613" s="46"/>
      <c r="I613" s="302"/>
      <c r="J613" s="300"/>
    </row>
    <row r="614" spans="2:13" s="18" customFormat="1" ht="12.75" customHeight="1" outlineLevel="2">
      <c r="B614" s="301" t="s">
        <v>1796</v>
      </c>
      <c r="C614" s="297"/>
      <c r="D614" s="298"/>
      <c r="E614" s="306"/>
      <c r="F614" s="46"/>
      <c r="G614" s="46"/>
      <c r="H614" s="46"/>
      <c r="I614" s="302"/>
      <c r="J614" s="300"/>
    </row>
    <row r="615" spans="2:13" s="18" customFormat="1" ht="12.75" customHeight="1" outlineLevel="3">
      <c r="B615" s="316" t="s">
        <v>2157</v>
      </c>
      <c r="C615" s="297"/>
      <c r="D615" s="298"/>
      <c r="E615" s="306"/>
      <c r="F615" s="46"/>
      <c r="G615" s="46"/>
      <c r="H615" s="46"/>
      <c r="I615" s="302"/>
      <c r="J615" s="300"/>
    </row>
    <row r="616" spans="2:13" s="18" customFormat="1" ht="12.75" customHeight="1" outlineLevel="4">
      <c r="B616" s="297" t="s">
        <v>1797</v>
      </c>
      <c r="C616" s="297" t="s">
        <v>550</v>
      </c>
      <c r="D616" s="298">
        <v>4121</v>
      </c>
      <c r="E616" s="306" t="s">
        <v>2252</v>
      </c>
      <c r="F616" s="46"/>
      <c r="G616" s="297" t="s">
        <v>1131</v>
      </c>
      <c r="H616" s="308" t="str">
        <f>CONCATENATE("MEP-",G616,"-",I616)</f>
        <v>MEP-R11-1</v>
      </c>
      <c r="I616" s="302">
        <v>1</v>
      </c>
      <c r="J616" s="300"/>
      <c r="K616" s="300"/>
      <c r="L616" s="311">
        <v>1</v>
      </c>
      <c r="M616" s="311">
        <v>1</v>
      </c>
    </row>
    <row r="617" spans="2:13" s="18" customFormat="1" ht="12.75" customHeight="1" outlineLevel="4">
      <c r="B617" s="297" t="s">
        <v>1797</v>
      </c>
      <c r="C617" s="297" t="s">
        <v>550</v>
      </c>
      <c r="D617" s="298">
        <v>4131</v>
      </c>
      <c r="E617" s="306" t="s">
        <v>2253</v>
      </c>
      <c r="F617" s="46"/>
      <c r="G617" s="297" t="s">
        <v>1131</v>
      </c>
      <c r="H617" s="308" t="str">
        <f t="shared" ref="H617:H619" si="50">CONCATENATE("MEP-",G617,"-",I617)</f>
        <v>MEP-R11-1</v>
      </c>
      <c r="I617" s="302">
        <v>1</v>
      </c>
      <c r="J617" s="300"/>
      <c r="K617" s="300"/>
      <c r="L617" s="311">
        <v>1</v>
      </c>
      <c r="M617" s="311">
        <v>1</v>
      </c>
    </row>
    <row r="618" spans="2:13" s="18" customFormat="1" ht="12.75" customHeight="1" outlineLevel="4">
      <c r="B618" s="297" t="s">
        <v>1797</v>
      </c>
      <c r="C618" s="297" t="s">
        <v>550</v>
      </c>
      <c r="D618" s="298">
        <v>4191</v>
      </c>
      <c r="E618" s="306" t="s">
        <v>2254</v>
      </c>
      <c r="F618" s="46"/>
      <c r="G618" s="297" t="s">
        <v>1131</v>
      </c>
      <c r="H618" s="308" t="str">
        <f t="shared" si="50"/>
        <v>MEP-R11-1</v>
      </c>
      <c r="I618" s="302">
        <v>1</v>
      </c>
      <c r="J618" s="300"/>
      <c r="K618" s="300"/>
      <c r="L618" s="311">
        <v>1</v>
      </c>
      <c r="M618" s="311">
        <v>1</v>
      </c>
    </row>
    <row r="619" spans="2:13" s="18" customFormat="1" ht="12.75" customHeight="1" outlineLevel="4">
      <c r="B619" s="297" t="s">
        <v>1797</v>
      </c>
      <c r="C619" s="297" t="s">
        <v>550</v>
      </c>
      <c r="D619" s="298">
        <v>4201</v>
      </c>
      <c r="E619" s="306" t="s">
        <v>2255</v>
      </c>
      <c r="F619" s="46"/>
      <c r="G619" s="297" t="s">
        <v>1131</v>
      </c>
      <c r="H619" s="308" t="str">
        <f t="shared" si="50"/>
        <v>MEP-R11-1</v>
      </c>
      <c r="I619" s="302">
        <v>1</v>
      </c>
      <c r="J619" s="300"/>
      <c r="K619" s="300"/>
      <c r="L619" s="311">
        <v>1</v>
      </c>
      <c r="M619" s="311">
        <v>1</v>
      </c>
    </row>
    <row r="620" spans="2:13" s="18" customFormat="1" ht="12.75" customHeight="1" outlineLevel="2">
      <c r="B620" s="297"/>
      <c r="C620" s="297"/>
      <c r="D620" s="298"/>
      <c r="E620" s="306"/>
      <c r="F620" s="46"/>
      <c r="G620" s="297"/>
      <c r="H620" s="308"/>
      <c r="I620" s="302"/>
      <c r="J620" s="300"/>
      <c r="K620" s="300"/>
      <c r="L620" s="300"/>
      <c r="M620" s="300"/>
    </row>
    <row r="621" spans="2:13" s="18" customFormat="1" ht="12.75" customHeight="1" outlineLevel="2">
      <c r="B621" s="301" t="s">
        <v>1810</v>
      </c>
      <c r="C621" s="297"/>
      <c r="D621" s="298"/>
      <c r="E621" s="306"/>
      <c r="F621" s="46"/>
      <c r="G621" s="46"/>
      <c r="H621" s="46"/>
      <c r="I621" s="302"/>
      <c r="J621" s="300"/>
      <c r="K621" s="300"/>
      <c r="L621" s="300"/>
      <c r="M621" s="300"/>
    </row>
    <row r="622" spans="2:13" s="18" customFormat="1" ht="12.75" customHeight="1" outlineLevel="5">
      <c r="B622" s="297" t="s">
        <v>1811</v>
      </c>
      <c r="C622" s="297" t="s">
        <v>550</v>
      </c>
      <c r="D622" s="298">
        <v>1021</v>
      </c>
      <c r="E622" s="306" t="s">
        <v>2256</v>
      </c>
      <c r="F622" s="46"/>
      <c r="G622" s="297" t="s">
        <v>1131</v>
      </c>
      <c r="H622" s="308" t="str">
        <f>CONCATENATE("MEP-",G622,"-",I622)</f>
        <v>MEP-R11-1</v>
      </c>
      <c r="I622" s="302">
        <v>1</v>
      </c>
      <c r="K622" s="300"/>
      <c r="L622" s="300">
        <v>1</v>
      </c>
      <c r="M622" s="311">
        <v>1</v>
      </c>
    </row>
    <row r="623" spans="2:13" s="18" customFormat="1" ht="12.75" customHeight="1" outlineLevel="5">
      <c r="B623" s="297" t="s">
        <v>1811</v>
      </c>
      <c r="C623" s="297" t="s">
        <v>550</v>
      </c>
      <c r="D623" s="298">
        <v>1052</v>
      </c>
      <c r="E623" s="306" t="s">
        <v>2257</v>
      </c>
      <c r="F623" s="46"/>
      <c r="G623" s="297" t="s">
        <v>1131</v>
      </c>
      <c r="H623" s="308" t="str">
        <f>CONCATENATE("MEP-",G623,"-",I623)</f>
        <v>MEP-R11-1</v>
      </c>
      <c r="I623" s="302">
        <v>1</v>
      </c>
      <c r="K623" s="300"/>
      <c r="L623" s="300">
        <v>1</v>
      </c>
      <c r="M623" s="311">
        <v>1</v>
      </c>
    </row>
    <row r="624" spans="2:13" s="18" customFormat="1" ht="12.75" customHeight="1" outlineLevel="2">
      <c r="B624" s="297"/>
      <c r="C624" s="297"/>
      <c r="D624" s="298"/>
      <c r="E624" s="306"/>
      <c r="F624" s="46"/>
      <c r="G624" s="297"/>
      <c r="H624" s="308"/>
      <c r="I624" s="302"/>
      <c r="J624" s="300"/>
      <c r="K624" s="300"/>
      <c r="L624" s="300"/>
      <c r="M624" s="300"/>
    </row>
    <row r="625" spans="2:13" s="18" customFormat="1" ht="12.75" customHeight="1" outlineLevel="2">
      <c r="B625" s="301" t="s">
        <v>1819</v>
      </c>
      <c r="C625" s="297"/>
      <c r="D625" s="298"/>
      <c r="E625" s="306"/>
      <c r="F625" s="46"/>
      <c r="G625" s="46"/>
      <c r="H625" s="46"/>
      <c r="I625" s="302"/>
      <c r="J625" s="300"/>
      <c r="K625" s="300"/>
      <c r="L625" s="300"/>
      <c r="M625" s="300"/>
    </row>
    <row r="626" spans="2:13" s="18" customFormat="1" ht="12.75" customHeight="1" outlineLevel="5">
      <c r="B626" s="297" t="s">
        <v>1819</v>
      </c>
      <c r="C626" s="297" t="s">
        <v>550</v>
      </c>
      <c r="D626" s="298" t="s">
        <v>1861</v>
      </c>
      <c r="E626" s="306" t="s">
        <v>2258</v>
      </c>
      <c r="F626" s="46"/>
      <c r="G626" s="297" t="s">
        <v>1131</v>
      </c>
      <c r="H626" s="308" t="str">
        <f t="shared" ref="H626" si="51">CONCATENATE("MEP-",G626,"-",I626)</f>
        <v>MEP-R11-1</v>
      </c>
      <c r="I626" s="302">
        <v>1</v>
      </c>
      <c r="J626" s="300"/>
      <c r="K626" s="300"/>
      <c r="L626" s="311">
        <v>1</v>
      </c>
      <c r="M626" s="311">
        <v>1</v>
      </c>
    </row>
    <row r="627" spans="2:13" s="18" customFormat="1" ht="12.75" customHeight="1" outlineLevel="5">
      <c r="B627" s="297" t="s">
        <v>1819</v>
      </c>
      <c r="C627" s="297" t="s">
        <v>550</v>
      </c>
      <c r="D627" s="298" t="s">
        <v>1861</v>
      </c>
      <c r="E627" s="306" t="s">
        <v>2259</v>
      </c>
      <c r="F627" s="46"/>
      <c r="G627" s="297" t="s">
        <v>1131</v>
      </c>
      <c r="H627" s="308" t="str">
        <f t="shared" ref="H627" si="52">CONCATENATE("MEP-",G627,"-",I627)</f>
        <v>MEP-R11-1</v>
      </c>
      <c r="I627" s="302">
        <v>1</v>
      </c>
      <c r="J627" s="300"/>
      <c r="K627" s="300"/>
      <c r="L627" s="311">
        <v>1</v>
      </c>
      <c r="M627" s="311">
        <v>1</v>
      </c>
    </row>
    <row r="628" spans="2:13" s="18" customFormat="1" ht="12.75" customHeight="1" outlineLevel="2">
      <c r="B628" s="297"/>
      <c r="C628" s="297"/>
      <c r="D628" s="298"/>
      <c r="E628" s="306"/>
      <c r="F628" s="46"/>
      <c r="G628" s="297"/>
      <c r="H628" s="308"/>
      <c r="I628" s="302"/>
      <c r="J628" s="300"/>
      <c r="K628" s="300"/>
      <c r="L628" s="300"/>
      <c r="M628" s="300"/>
    </row>
    <row r="629" spans="2:13" s="18" customFormat="1" ht="12.75" customHeight="1" outlineLevel="2">
      <c r="B629" s="301" t="s">
        <v>2003</v>
      </c>
      <c r="C629" s="297"/>
      <c r="D629" s="298"/>
      <c r="E629" s="306"/>
      <c r="F629" s="46"/>
      <c r="G629" s="46"/>
      <c r="H629" s="46"/>
      <c r="I629" s="302"/>
      <c r="J629" s="300"/>
      <c r="K629" s="300"/>
      <c r="L629" s="300"/>
      <c r="M629" s="300"/>
    </row>
    <row r="630" spans="2:13" s="18" customFormat="1" ht="12.75" customHeight="1" outlineLevel="3">
      <c r="B630" s="297" t="s">
        <v>1465</v>
      </c>
      <c r="C630" s="297" t="s">
        <v>550</v>
      </c>
      <c r="D630" s="298">
        <v>4121</v>
      </c>
      <c r="E630" s="306" t="s">
        <v>2260</v>
      </c>
      <c r="F630" s="46"/>
      <c r="G630" s="297" t="s">
        <v>1131</v>
      </c>
      <c r="H630" s="308" t="str">
        <f t="shared" ref="H630:H634" si="53">CONCATENATE("MEP-",G630,"-",I630)</f>
        <v>MEP-R11-1</v>
      </c>
      <c r="I630" s="302">
        <v>1</v>
      </c>
      <c r="J630" s="300"/>
      <c r="K630" s="300"/>
      <c r="L630" s="311">
        <v>1</v>
      </c>
      <c r="M630" s="311">
        <v>1</v>
      </c>
    </row>
    <row r="631" spans="2:13" s="18" customFormat="1" ht="12.75" customHeight="1" outlineLevel="3">
      <c r="B631" s="297" t="s">
        <v>1465</v>
      </c>
      <c r="C631" s="297" t="s">
        <v>550</v>
      </c>
      <c r="D631" s="298">
        <v>4131</v>
      </c>
      <c r="E631" s="306" t="s">
        <v>2261</v>
      </c>
      <c r="F631" s="46"/>
      <c r="G631" s="297" t="s">
        <v>1131</v>
      </c>
      <c r="H631" s="308" t="str">
        <f t="shared" si="53"/>
        <v>MEP-R11-1</v>
      </c>
      <c r="I631" s="302">
        <v>1</v>
      </c>
      <c r="J631" s="300"/>
      <c r="K631" s="300"/>
      <c r="L631" s="311">
        <v>1</v>
      </c>
      <c r="M631" s="311">
        <v>1</v>
      </c>
    </row>
    <row r="632" spans="2:13" s="18" customFormat="1" ht="12.75" customHeight="1" outlineLevel="3">
      <c r="B632" s="297" t="s">
        <v>1465</v>
      </c>
      <c r="C632" s="297" t="s">
        <v>550</v>
      </c>
      <c r="D632" s="298">
        <v>4191</v>
      </c>
      <c r="E632" s="306" t="s">
        <v>2262</v>
      </c>
      <c r="F632" s="46"/>
      <c r="G632" s="297" t="s">
        <v>1131</v>
      </c>
      <c r="H632" s="308" t="str">
        <f t="shared" si="53"/>
        <v>MEP-R11-1</v>
      </c>
      <c r="I632" s="302">
        <v>1</v>
      </c>
      <c r="J632" s="300"/>
      <c r="K632" s="300"/>
      <c r="L632" s="311">
        <v>1</v>
      </c>
      <c r="M632" s="311">
        <v>1</v>
      </c>
    </row>
    <row r="633" spans="2:13" s="18" customFormat="1" ht="12.75" customHeight="1" outlineLevel="3">
      <c r="B633" s="297" t="s">
        <v>1465</v>
      </c>
      <c r="C633" s="297" t="s">
        <v>550</v>
      </c>
      <c r="D633" s="298">
        <v>4201</v>
      </c>
      <c r="E633" s="306" t="s">
        <v>2263</v>
      </c>
      <c r="F633" s="46"/>
      <c r="G633" s="297" t="s">
        <v>1131</v>
      </c>
      <c r="H633" s="308" t="str">
        <f t="shared" si="53"/>
        <v>MEP-R11-1</v>
      </c>
      <c r="I633" s="302">
        <v>1</v>
      </c>
      <c r="J633" s="300"/>
      <c r="K633" s="300"/>
      <c r="L633" s="311">
        <v>1</v>
      </c>
      <c r="M633" s="311">
        <v>1</v>
      </c>
    </row>
    <row r="634" spans="2:13" s="18" customFormat="1" ht="12.75" customHeight="1" outlineLevel="3">
      <c r="B634" s="297" t="s">
        <v>1465</v>
      </c>
      <c r="C634" s="297" t="s">
        <v>550</v>
      </c>
      <c r="D634" s="298">
        <v>1015</v>
      </c>
      <c r="E634" s="306" t="s">
        <v>2264</v>
      </c>
      <c r="F634" s="46"/>
      <c r="G634" s="297" t="s">
        <v>1131</v>
      </c>
      <c r="H634" s="308" t="str">
        <f t="shared" si="53"/>
        <v>MEP-R11-1</v>
      </c>
      <c r="I634" s="302">
        <v>1</v>
      </c>
      <c r="J634" s="300"/>
      <c r="K634" s="300"/>
      <c r="L634" s="311">
        <v>1</v>
      </c>
      <c r="M634" s="311">
        <v>1</v>
      </c>
    </row>
    <row r="635" spans="2:13" s="18" customFormat="1" ht="3" customHeight="1" outlineLevel="1">
      <c r="B635" s="297"/>
      <c r="C635" s="297"/>
      <c r="D635" s="298"/>
      <c r="E635" s="306"/>
      <c r="F635" s="46"/>
      <c r="G635" s="297"/>
      <c r="H635" s="308"/>
      <c r="I635" s="302"/>
      <c r="J635" s="300"/>
      <c r="K635" s="300"/>
      <c r="M635" s="300"/>
    </row>
    <row r="636" spans="2:13" s="18" customFormat="1" ht="12.75" customHeight="1" outlineLevel="1">
      <c r="B636" s="317" t="s">
        <v>2265</v>
      </c>
      <c r="C636" s="297"/>
      <c r="D636" s="298"/>
      <c r="E636" s="306"/>
      <c r="F636" s="46"/>
      <c r="G636" s="46"/>
      <c r="H636" s="46"/>
      <c r="I636" s="302"/>
      <c r="J636" s="300"/>
    </row>
    <row r="637" spans="2:13" s="18" customFormat="1" ht="12.75" customHeight="1" outlineLevel="2">
      <c r="B637" s="297"/>
      <c r="C637" s="297"/>
      <c r="D637" s="298"/>
      <c r="E637" s="306"/>
      <c r="F637" s="46"/>
      <c r="G637" s="46"/>
      <c r="H637" s="46"/>
      <c r="I637" s="302"/>
      <c r="J637" s="300"/>
    </row>
    <row r="638" spans="2:13" s="18" customFormat="1" ht="12.75" customHeight="1" outlineLevel="2">
      <c r="B638" s="301" t="s">
        <v>1796</v>
      </c>
      <c r="C638" s="297"/>
      <c r="D638" s="298"/>
      <c r="E638" s="306"/>
      <c r="F638" s="46"/>
      <c r="G638" s="46"/>
      <c r="H638" s="46"/>
      <c r="I638" s="302"/>
      <c r="J638" s="300"/>
    </row>
    <row r="639" spans="2:13" s="18" customFormat="1" ht="12.75" customHeight="1" outlineLevel="3">
      <c r="B639" s="316" t="s">
        <v>2157</v>
      </c>
      <c r="C639" s="297"/>
      <c r="D639" s="298"/>
      <c r="E639" s="306"/>
      <c r="F639" s="46"/>
      <c r="G639" s="46"/>
      <c r="H639" s="46"/>
      <c r="I639" s="302"/>
      <c r="J639" s="300"/>
    </row>
    <row r="640" spans="2:13" s="18" customFormat="1" ht="12.75" customHeight="1" outlineLevel="4">
      <c r="B640" s="297" t="s">
        <v>1797</v>
      </c>
      <c r="C640" s="297" t="s">
        <v>550</v>
      </c>
      <c r="D640" s="298">
        <v>4121</v>
      </c>
      <c r="E640" s="306" t="s">
        <v>2266</v>
      </c>
      <c r="F640" s="46"/>
      <c r="G640" s="297" t="s">
        <v>1133</v>
      </c>
      <c r="H640" s="308" t="str">
        <f>CONCATENATE("MEP-",G640,"-",I640)</f>
        <v>MEP-R22-1</v>
      </c>
      <c r="I640" s="302">
        <v>1</v>
      </c>
      <c r="J640" s="300"/>
      <c r="K640" s="300"/>
      <c r="L640" s="311">
        <v>1</v>
      </c>
      <c r="M640" s="311">
        <v>1</v>
      </c>
    </row>
    <row r="641" spans="2:13" s="18" customFormat="1" ht="12.75" customHeight="1" outlineLevel="4">
      <c r="B641" s="297" t="s">
        <v>1797</v>
      </c>
      <c r="C641" s="297" t="s">
        <v>550</v>
      </c>
      <c r="D641" s="298">
        <v>4131</v>
      </c>
      <c r="E641" s="306" t="s">
        <v>2267</v>
      </c>
      <c r="F641" s="46"/>
      <c r="G641" s="297" t="s">
        <v>1133</v>
      </c>
      <c r="H641" s="308" t="str">
        <f t="shared" ref="H641:H643" si="54">CONCATENATE("MEP-",G641,"-",I641)</f>
        <v>MEP-R22-1</v>
      </c>
      <c r="I641" s="302">
        <v>1</v>
      </c>
      <c r="J641" s="300"/>
      <c r="K641" s="300"/>
      <c r="L641" s="311">
        <v>1</v>
      </c>
      <c r="M641" s="311">
        <v>1</v>
      </c>
    </row>
    <row r="642" spans="2:13" s="18" customFormat="1" ht="12.75" customHeight="1" outlineLevel="4">
      <c r="B642" s="297" t="s">
        <v>1797</v>
      </c>
      <c r="C642" s="297" t="s">
        <v>550</v>
      </c>
      <c r="D642" s="298">
        <v>4191</v>
      </c>
      <c r="E642" s="306" t="s">
        <v>2268</v>
      </c>
      <c r="F642" s="46"/>
      <c r="G642" s="297" t="s">
        <v>1133</v>
      </c>
      <c r="H642" s="308" t="str">
        <f t="shared" si="54"/>
        <v>MEP-R22-1</v>
      </c>
      <c r="I642" s="302">
        <v>1</v>
      </c>
      <c r="J642" s="300"/>
      <c r="K642" s="300"/>
      <c r="L642" s="311">
        <v>1</v>
      </c>
      <c r="M642" s="311">
        <v>1</v>
      </c>
    </row>
    <row r="643" spans="2:13" s="18" customFormat="1" ht="12.75" customHeight="1" outlineLevel="4">
      <c r="B643" s="297" t="s">
        <v>1797</v>
      </c>
      <c r="C643" s="297" t="s">
        <v>550</v>
      </c>
      <c r="D643" s="298">
        <v>4201</v>
      </c>
      <c r="E643" s="306" t="s">
        <v>2269</v>
      </c>
      <c r="F643" s="46"/>
      <c r="G643" s="297" t="s">
        <v>1133</v>
      </c>
      <c r="H643" s="308" t="str">
        <f t="shared" si="54"/>
        <v>MEP-R22-1</v>
      </c>
      <c r="I643" s="302">
        <v>1</v>
      </c>
      <c r="J643" s="300"/>
      <c r="K643" s="300"/>
      <c r="L643" s="311">
        <v>1</v>
      </c>
      <c r="M643" s="311">
        <v>1</v>
      </c>
    </row>
    <row r="644" spans="2:13" s="18" customFormat="1" ht="12.75" customHeight="1" outlineLevel="2">
      <c r="B644" s="297"/>
      <c r="C644" s="297"/>
      <c r="D644" s="298"/>
      <c r="E644" s="306"/>
      <c r="F644" s="46"/>
      <c r="G644" s="297"/>
      <c r="H644" s="308"/>
      <c r="I644" s="302"/>
      <c r="J644" s="300"/>
      <c r="K644" s="300"/>
      <c r="L644" s="300"/>
      <c r="M644" s="300"/>
    </row>
    <row r="645" spans="2:13" s="18" customFormat="1" ht="12.75" customHeight="1" outlineLevel="2">
      <c r="B645" s="301" t="s">
        <v>1810</v>
      </c>
      <c r="C645" s="297"/>
      <c r="D645" s="298"/>
      <c r="E645" s="306"/>
      <c r="F645" s="46"/>
      <c r="G645" s="46"/>
      <c r="H645" s="46"/>
      <c r="I645" s="302"/>
      <c r="J645" s="300"/>
      <c r="K645" s="300"/>
      <c r="L645" s="300"/>
      <c r="M645" s="300"/>
    </row>
    <row r="646" spans="2:13" s="18" customFormat="1" ht="12.75" customHeight="1" outlineLevel="5">
      <c r="B646" s="297" t="s">
        <v>1811</v>
      </c>
      <c r="C646" s="297" t="s">
        <v>550</v>
      </c>
      <c r="D646" s="298">
        <v>1021</v>
      </c>
      <c r="E646" s="306" t="s">
        <v>2270</v>
      </c>
      <c r="F646" s="46"/>
      <c r="G646" s="297" t="s">
        <v>1133</v>
      </c>
      <c r="H646" s="308" t="str">
        <f>CONCATENATE("MEP-",G646,"-",I646)</f>
        <v>MEP-R22-1</v>
      </c>
      <c r="I646" s="302">
        <v>1</v>
      </c>
      <c r="K646" s="300"/>
      <c r="L646" s="300">
        <v>1</v>
      </c>
      <c r="M646" s="311">
        <v>1</v>
      </c>
    </row>
    <row r="647" spans="2:13" s="18" customFormat="1" ht="12.75" customHeight="1" outlineLevel="5">
      <c r="B647" s="297" t="s">
        <v>1811</v>
      </c>
      <c r="C647" s="297" t="s">
        <v>550</v>
      </c>
      <c r="D647" s="298">
        <v>1052</v>
      </c>
      <c r="E647" s="306" t="s">
        <v>2271</v>
      </c>
      <c r="F647" s="46"/>
      <c r="G647" s="297" t="s">
        <v>1133</v>
      </c>
      <c r="H647" s="308" t="str">
        <f>CONCATENATE("MEP-",G647,"-",I647)</f>
        <v>MEP-R22-1</v>
      </c>
      <c r="I647" s="302">
        <v>1</v>
      </c>
      <c r="K647" s="300"/>
      <c r="L647" s="300">
        <v>1</v>
      </c>
      <c r="M647" s="311">
        <v>1</v>
      </c>
    </row>
    <row r="648" spans="2:13" s="18" customFormat="1" ht="12.75" customHeight="1" outlineLevel="2">
      <c r="B648" s="297"/>
      <c r="C648" s="297"/>
      <c r="D648" s="298"/>
      <c r="E648" s="306"/>
      <c r="F648" s="46"/>
      <c r="G648" s="297"/>
      <c r="H648" s="308"/>
      <c r="I648" s="302"/>
      <c r="J648" s="300"/>
      <c r="K648" s="300"/>
      <c r="L648" s="300"/>
      <c r="M648" s="300"/>
    </row>
    <row r="649" spans="2:13" s="18" customFormat="1" ht="12.75" customHeight="1" outlineLevel="2">
      <c r="B649" s="301" t="s">
        <v>1819</v>
      </c>
      <c r="C649" s="297"/>
      <c r="D649" s="298"/>
      <c r="E649" s="306"/>
      <c r="F649" s="46"/>
      <c r="G649" s="46"/>
      <c r="H649" s="46"/>
      <c r="I649" s="302"/>
      <c r="J649" s="300"/>
      <c r="K649" s="300"/>
      <c r="L649" s="300"/>
      <c r="M649" s="300"/>
    </row>
    <row r="650" spans="2:13" s="18" customFormat="1" ht="12.75" customHeight="1" outlineLevel="5">
      <c r="B650" s="297" t="s">
        <v>1819</v>
      </c>
      <c r="C650" s="297" t="s">
        <v>550</v>
      </c>
      <c r="D650" s="298" t="s">
        <v>1861</v>
      </c>
      <c r="E650" s="306" t="s">
        <v>2272</v>
      </c>
      <c r="F650" s="46"/>
      <c r="G650" s="297" t="s">
        <v>1133</v>
      </c>
      <c r="H650" s="308" t="str">
        <f t="shared" ref="H650:H651" si="55">CONCATENATE("MEP-",G650,"-",I650)</f>
        <v>MEP-R22-1</v>
      </c>
      <c r="I650" s="302">
        <v>1</v>
      </c>
      <c r="J650" s="300"/>
      <c r="K650" s="300"/>
      <c r="L650" s="311">
        <v>1</v>
      </c>
      <c r="M650" s="311">
        <v>1</v>
      </c>
    </row>
    <row r="651" spans="2:13" s="18" customFormat="1" ht="12.75" customHeight="1" outlineLevel="5">
      <c r="B651" s="297" t="s">
        <v>1819</v>
      </c>
      <c r="C651" s="297" t="s">
        <v>550</v>
      </c>
      <c r="D651" s="298" t="s">
        <v>1861</v>
      </c>
      <c r="E651" s="306" t="s">
        <v>2273</v>
      </c>
      <c r="F651" s="46"/>
      <c r="G651" s="297" t="s">
        <v>1133</v>
      </c>
      <c r="H651" s="308" t="str">
        <f t="shared" si="55"/>
        <v>MEP-R22-1</v>
      </c>
      <c r="I651" s="302">
        <v>1</v>
      </c>
      <c r="J651" s="300"/>
      <c r="K651" s="300"/>
      <c r="L651" s="311">
        <v>1</v>
      </c>
      <c r="M651" s="311">
        <v>1</v>
      </c>
    </row>
    <row r="652" spans="2:13" s="18" customFormat="1" ht="12.75" customHeight="1" outlineLevel="2">
      <c r="B652" s="297"/>
      <c r="C652" s="297"/>
      <c r="D652" s="298"/>
      <c r="E652" s="306"/>
      <c r="F652" s="46"/>
      <c r="G652" s="297"/>
      <c r="H652" s="308"/>
      <c r="I652" s="302"/>
      <c r="J652" s="300"/>
      <c r="K652" s="300"/>
      <c r="L652" s="300"/>
      <c r="M652" s="300"/>
    </row>
    <row r="653" spans="2:13" s="18" customFormat="1" ht="12.75" customHeight="1" outlineLevel="2">
      <c r="B653" s="301" t="s">
        <v>2003</v>
      </c>
      <c r="C653" s="297"/>
      <c r="D653" s="298"/>
      <c r="E653" s="306"/>
      <c r="F653" s="46"/>
      <c r="G653" s="46"/>
      <c r="H653" s="46"/>
      <c r="I653" s="302"/>
      <c r="J653" s="300"/>
      <c r="K653" s="300"/>
      <c r="L653" s="300"/>
      <c r="M653" s="300"/>
    </row>
    <row r="654" spans="2:13" s="18" customFormat="1" ht="12.75" customHeight="1" outlineLevel="3">
      <c r="B654" s="297" t="s">
        <v>1465</v>
      </c>
      <c r="C654" s="297" t="s">
        <v>550</v>
      </c>
      <c r="D654" s="298">
        <v>4121</v>
      </c>
      <c r="E654" s="306" t="s">
        <v>2274</v>
      </c>
      <c r="F654" s="46"/>
      <c r="G654" s="297" t="s">
        <v>1133</v>
      </c>
      <c r="H654" s="308" t="str">
        <f t="shared" ref="H654:H658" si="56">CONCATENATE("MEP-",G654,"-",I654)</f>
        <v>MEP-R22-1</v>
      </c>
      <c r="I654" s="302">
        <v>1</v>
      </c>
      <c r="J654" s="300"/>
      <c r="K654" s="300"/>
      <c r="L654" s="311">
        <v>1</v>
      </c>
      <c r="M654" s="311">
        <v>1</v>
      </c>
    </row>
    <row r="655" spans="2:13" s="18" customFormat="1" ht="12.75" customHeight="1" outlineLevel="3">
      <c r="B655" s="297" t="s">
        <v>1465</v>
      </c>
      <c r="C655" s="297" t="s">
        <v>550</v>
      </c>
      <c r="D655" s="298">
        <v>4131</v>
      </c>
      <c r="E655" s="306" t="s">
        <v>2275</v>
      </c>
      <c r="F655" s="46"/>
      <c r="G655" s="297" t="s">
        <v>1133</v>
      </c>
      <c r="H655" s="308" t="str">
        <f t="shared" si="56"/>
        <v>MEP-R22-1</v>
      </c>
      <c r="I655" s="302">
        <v>1</v>
      </c>
      <c r="J655" s="300"/>
      <c r="K655" s="300"/>
      <c r="L655" s="311">
        <v>1</v>
      </c>
      <c r="M655" s="311">
        <v>1</v>
      </c>
    </row>
    <row r="656" spans="2:13" s="18" customFormat="1" ht="12.75" customHeight="1" outlineLevel="3">
      <c r="B656" s="297" t="s">
        <v>1465</v>
      </c>
      <c r="C656" s="297" t="s">
        <v>550</v>
      </c>
      <c r="D656" s="298">
        <v>4191</v>
      </c>
      <c r="E656" s="306" t="s">
        <v>2276</v>
      </c>
      <c r="F656" s="46"/>
      <c r="G656" s="297" t="s">
        <v>1133</v>
      </c>
      <c r="H656" s="308" t="str">
        <f t="shared" si="56"/>
        <v>MEP-R22-1</v>
      </c>
      <c r="I656" s="302">
        <v>1</v>
      </c>
      <c r="J656" s="300"/>
      <c r="K656" s="300"/>
      <c r="L656" s="311">
        <v>1</v>
      </c>
      <c r="M656" s="311">
        <v>1</v>
      </c>
    </row>
    <row r="657" spans="2:21" s="18" customFormat="1" ht="12.75" customHeight="1" outlineLevel="3">
      <c r="B657" s="297" t="s">
        <v>1465</v>
      </c>
      <c r="C657" s="297" t="s">
        <v>550</v>
      </c>
      <c r="D657" s="298">
        <v>4201</v>
      </c>
      <c r="E657" s="306" t="s">
        <v>2277</v>
      </c>
      <c r="F657" s="46"/>
      <c r="G657" s="297" t="s">
        <v>1133</v>
      </c>
      <c r="H657" s="308" t="str">
        <f t="shared" si="56"/>
        <v>MEP-R22-1</v>
      </c>
      <c r="I657" s="302">
        <v>1</v>
      </c>
      <c r="J657" s="300"/>
      <c r="K657" s="300"/>
      <c r="L657" s="311">
        <v>1</v>
      </c>
      <c r="M657" s="311">
        <v>1</v>
      </c>
    </row>
    <row r="658" spans="2:21" s="18" customFormat="1" ht="12.75" customHeight="1" outlineLevel="3">
      <c r="B658" s="297" t="s">
        <v>1465</v>
      </c>
      <c r="C658" s="297" t="s">
        <v>550</v>
      </c>
      <c r="D658" s="298">
        <v>1015</v>
      </c>
      <c r="E658" s="306" t="s">
        <v>2278</v>
      </c>
      <c r="F658" s="46"/>
      <c r="G658" s="297" t="s">
        <v>1133</v>
      </c>
      <c r="H658" s="308" t="str">
        <f t="shared" si="56"/>
        <v>MEP-R22-1</v>
      </c>
      <c r="I658" s="302">
        <v>1</v>
      </c>
      <c r="J658" s="300"/>
      <c r="K658" s="300"/>
      <c r="L658" s="311">
        <v>1</v>
      </c>
      <c r="M658" s="311">
        <v>1</v>
      </c>
    </row>
    <row r="659" spans="2:21" s="18" customFormat="1" ht="3" customHeight="1" outlineLevel="1">
      <c r="B659" s="297"/>
      <c r="C659" s="297"/>
      <c r="D659" s="298"/>
      <c r="E659" s="306"/>
      <c r="F659" s="46"/>
      <c r="G659" s="297"/>
      <c r="H659" s="308"/>
      <c r="I659" s="302"/>
      <c r="J659" s="300"/>
      <c r="K659" s="300"/>
      <c r="M659" s="300"/>
    </row>
    <row r="660" spans="2:21" s="18" customFormat="1" ht="12.75" customHeight="1" outlineLevel="1">
      <c r="B660" s="317" t="s">
        <v>2279</v>
      </c>
      <c r="C660" s="297"/>
      <c r="D660" s="298"/>
      <c r="E660" s="306"/>
      <c r="F660" s="46"/>
      <c r="G660" s="46"/>
      <c r="H660" s="46"/>
      <c r="I660" s="302"/>
      <c r="J660" s="300"/>
      <c r="K660" s="300"/>
      <c r="L660" s="300"/>
      <c r="M660" s="311"/>
    </row>
    <row r="661" spans="2:21" s="18" customFormat="1" ht="12.75" customHeight="1" outlineLevel="2">
      <c r="B661" s="297"/>
      <c r="C661" s="297"/>
      <c r="D661" s="298"/>
      <c r="E661" s="306"/>
      <c r="F661" s="46"/>
      <c r="G661" s="46"/>
      <c r="H661" s="46"/>
      <c r="I661" s="302"/>
      <c r="J661" s="300"/>
      <c r="K661" s="300"/>
      <c r="L661" s="300"/>
      <c r="M661" s="311"/>
    </row>
    <row r="662" spans="2:21" s="18" customFormat="1" ht="12.75" customHeight="1" outlineLevel="2">
      <c r="B662" s="301" t="s">
        <v>1796</v>
      </c>
      <c r="C662" s="297"/>
      <c r="D662" s="298"/>
      <c r="E662" s="306"/>
      <c r="F662" s="46"/>
      <c r="G662" s="46"/>
      <c r="H662" s="46"/>
      <c r="I662" s="302"/>
      <c r="J662" s="300"/>
      <c r="K662" s="300"/>
      <c r="L662" s="300"/>
      <c r="M662" s="311"/>
    </row>
    <row r="663" spans="2:21" s="18" customFormat="1" ht="12.75" customHeight="1" outlineLevel="3">
      <c r="B663" s="316" t="s">
        <v>2157</v>
      </c>
      <c r="C663" s="297"/>
      <c r="D663" s="298"/>
      <c r="E663" s="299"/>
      <c r="F663" s="46"/>
      <c r="G663" s="46"/>
      <c r="H663" s="46"/>
      <c r="I663" s="302"/>
      <c r="J663" s="300"/>
      <c r="K663" s="300"/>
      <c r="L663" s="300"/>
      <c r="M663" s="311"/>
    </row>
    <row r="664" spans="2:21" s="18" customFormat="1" ht="12.75" customHeight="1" outlineLevel="4">
      <c r="B664" s="297" t="s">
        <v>1797</v>
      </c>
      <c r="C664" s="297" t="s">
        <v>342</v>
      </c>
      <c r="D664" s="298">
        <v>4011</v>
      </c>
      <c r="E664" s="299" t="s">
        <v>2158</v>
      </c>
      <c r="F664" s="46"/>
      <c r="G664" s="297" t="s">
        <v>1135</v>
      </c>
      <c r="H664" s="308" t="str">
        <f>CONCATENATE("MEP-",G664,"-",I664)</f>
        <v>MEP-C20P-1</v>
      </c>
      <c r="I664" s="302">
        <v>1</v>
      </c>
      <c r="K664" s="300"/>
      <c r="L664" s="300">
        <v>1</v>
      </c>
      <c r="M664" s="300">
        <v>1</v>
      </c>
      <c r="Q664" s="300">
        <v>1</v>
      </c>
      <c r="U664" s="300">
        <v>1</v>
      </c>
    </row>
    <row r="665" spans="2:21" s="18" customFormat="1" ht="12.75" customHeight="1" outlineLevel="4">
      <c r="B665" s="297" t="s">
        <v>1797</v>
      </c>
      <c r="C665" s="297" t="s">
        <v>342</v>
      </c>
      <c r="D665" s="298">
        <v>4012</v>
      </c>
      <c r="E665" s="299" t="s">
        <v>2158</v>
      </c>
      <c r="F665" s="46"/>
      <c r="G665" s="297" t="s">
        <v>1135</v>
      </c>
      <c r="H665" s="308" t="str">
        <f t="shared" ref="H665:H672" si="57">CONCATENATE("MEP-",G665,"-",I665)</f>
        <v>MEP-C20P-1</v>
      </c>
      <c r="I665" s="302">
        <v>1</v>
      </c>
      <c r="K665" s="300"/>
      <c r="L665" s="300">
        <v>1</v>
      </c>
      <c r="M665" s="300">
        <v>1</v>
      </c>
      <c r="Q665" s="300">
        <v>1</v>
      </c>
      <c r="U665" s="300">
        <v>1</v>
      </c>
    </row>
    <row r="666" spans="2:21" s="18" customFormat="1" ht="12.75" customHeight="1" outlineLevel="4">
      <c r="B666" s="297" t="s">
        <v>1797</v>
      </c>
      <c r="C666" s="297" t="s">
        <v>342</v>
      </c>
      <c r="D666" s="298">
        <v>4021</v>
      </c>
      <c r="E666" s="299" t="s">
        <v>2159</v>
      </c>
      <c r="F666" s="46"/>
      <c r="G666" s="297" t="s">
        <v>1135</v>
      </c>
      <c r="H666" s="308" t="str">
        <f t="shared" si="57"/>
        <v>MEP-C20P-1</v>
      </c>
      <c r="I666" s="302">
        <v>1</v>
      </c>
      <c r="K666" s="300"/>
      <c r="L666" s="300">
        <v>1</v>
      </c>
      <c r="M666" s="300">
        <v>1</v>
      </c>
      <c r="Q666" s="300">
        <v>1</v>
      </c>
      <c r="U666" s="300">
        <v>1</v>
      </c>
    </row>
    <row r="667" spans="2:21" s="18" customFormat="1" ht="12.75" customHeight="1" outlineLevel="4">
      <c r="B667" s="297" t="s">
        <v>1797</v>
      </c>
      <c r="C667" s="297" t="s">
        <v>342</v>
      </c>
      <c r="D667" s="298">
        <v>4022</v>
      </c>
      <c r="E667" s="299" t="s">
        <v>2159</v>
      </c>
      <c r="F667" s="46"/>
      <c r="G667" s="297" t="s">
        <v>1135</v>
      </c>
      <c r="H667" s="308" t="str">
        <f t="shared" si="57"/>
        <v>MEP-C20P-1</v>
      </c>
      <c r="I667" s="302">
        <v>1</v>
      </c>
      <c r="K667" s="300"/>
      <c r="L667" s="300">
        <v>1</v>
      </c>
      <c r="M667" s="300">
        <v>1</v>
      </c>
      <c r="Q667" s="300">
        <v>1</v>
      </c>
      <c r="U667" s="300">
        <v>1</v>
      </c>
    </row>
    <row r="668" spans="2:21" s="18" customFormat="1" ht="12.75" customHeight="1" outlineLevel="4">
      <c r="B668" s="297" t="s">
        <v>1797</v>
      </c>
      <c r="C668" s="297" t="s">
        <v>342</v>
      </c>
      <c r="D668" s="298">
        <v>4031</v>
      </c>
      <c r="E668" s="299" t="s">
        <v>2160</v>
      </c>
      <c r="F668" s="46"/>
      <c r="G668" s="297" t="s">
        <v>1135</v>
      </c>
      <c r="H668" s="308" t="str">
        <f t="shared" si="57"/>
        <v>MEP-C20P-1</v>
      </c>
      <c r="I668" s="302">
        <v>1</v>
      </c>
      <c r="K668" s="300"/>
      <c r="L668" s="300">
        <v>1</v>
      </c>
      <c r="M668" s="300">
        <v>1</v>
      </c>
      <c r="Q668" s="300">
        <v>1</v>
      </c>
      <c r="U668" s="300">
        <v>1</v>
      </c>
    </row>
    <row r="669" spans="2:21" s="18" customFormat="1" ht="12.75" customHeight="1" outlineLevel="4">
      <c r="B669" s="297" t="s">
        <v>1797</v>
      </c>
      <c r="C669" s="297" t="s">
        <v>342</v>
      </c>
      <c r="D669" s="298">
        <v>4032</v>
      </c>
      <c r="E669" s="299" t="s">
        <v>2160</v>
      </c>
      <c r="F669" s="46"/>
      <c r="G669" s="297" t="s">
        <v>1135</v>
      </c>
      <c r="H669" s="308" t="str">
        <f t="shared" si="57"/>
        <v>MEP-C20P-1</v>
      </c>
      <c r="I669" s="302">
        <v>1</v>
      </c>
      <c r="K669" s="300"/>
      <c r="L669" s="300">
        <v>1</v>
      </c>
      <c r="M669" s="300">
        <v>1</v>
      </c>
      <c r="Q669" s="300">
        <v>1</v>
      </c>
      <c r="U669" s="300">
        <v>1</v>
      </c>
    </row>
    <row r="670" spans="2:21" s="18" customFormat="1" ht="12.75" customHeight="1" outlineLevel="4">
      <c r="B670" s="297" t="s">
        <v>1797</v>
      </c>
      <c r="C670" s="297" t="s">
        <v>342</v>
      </c>
      <c r="D670" s="298">
        <v>4071</v>
      </c>
      <c r="E670" s="299" t="s">
        <v>2161</v>
      </c>
      <c r="F670" s="46"/>
      <c r="G670" s="297" t="s">
        <v>1135</v>
      </c>
      <c r="H670" s="308" t="str">
        <f t="shared" si="57"/>
        <v>MEP-C20P-1</v>
      </c>
      <c r="I670" s="302">
        <v>1</v>
      </c>
      <c r="K670" s="300"/>
      <c r="L670" s="300">
        <v>1</v>
      </c>
      <c r="M670" s="300">
        <v>1</v>
      </c>
      <c r="Q670" s="300">
        <v>1</v>
      </c>
      <c r="U670" s="300">
        <v>1</v>
      </c>
    </row>
    <row r="671" spans="2:21" s="18" customFormat="1" ht="12.75" customHeight="1" outlineLevel="4">
      <c r="B671" s="297" t="s">
        <v>1797</v>
      </c>
      <c r="C671" s="297" t="s">
        <v>342</v>
      </c>
      <c r="D671" s="298">
        <v>4072</v>
      </c>
      <c r="E671" s="299" t="s">
        <v>2161</v>
      </c>
      <c r="F671" s="46"/>
      <c r="G671" s="297" t="s">
        <v>1135</v>
      </c>
      <c r="H671" s="308" t="str">
        <f t="shared" si="57"/>
        <v>MEP-C20P-1</v>
      </c>
      <c r="I671" s="302">
        <v>1</v>
      </c>
      <c r="K671" s="300"/>
      <c r="L671" s="300">
        <v>1</v>
      </c>
      <c r="M671" s="300">
        <v>1</v>
      </c>
      <c r="Q671" s="300">
        <v>1</v>
      </c>
      <c r="U671" s="300">
        <v>1</v>
      </c>
    </row>
    <row r="672" spans="2:21" s="18" customFormat="1" ht="12.75" customHeight="1" outlineLevel="4">
      <c r="B672" s="297" t="s">
        <v>1797</v>
      </c>
      <c r="C672" s="297" t="s">
        <v>342</v>
      </c>
      <c r="D672" s="298">
        <v>4073</v>
      </c>
      <c r="E672" s="299" t="s">
        <v>2161</v>
      </c>
      <c r="F672" s="46"/>
      <c r="G672" s="297" t="s">
        <v>1135</v>
      </c>
      <c r="H672" s="308" t="str">
        <f t="shared" si="57"/>
        <v>MEP-C20P-1</v>
      </c>
      <c r="I672" s="302">
        <v>1</v>
      </c>
      <c r="K672" s="300"/>
      <c r="L672" s="300">
        <v>1</v>
      </c>
      <c r="M672" s="300">
        <v>1</v>
      </c>
      <c r="N672" s="311"/>
      <c r="O672" s="300"/>
      <c r="P672" s="311"/>
      <c r="Q672" s="300">
        <v>1</v>
      </c>
      <c r="R672" s="311"/>
      <c r="U672" s="300">
        <v>1</v>
      </c>
    </row>
    <row r="673" spans="2:21" s="18" customFormat="1" ht="12.75" customHeight="1" outlineLevel="2">
      <c r="B673" s="297"/>
      <c r="C673" s="297"/>
      <c r="D673" s="298"/>
      <c r="E673" s="306"/>
      <c r="F673" s="46"/>
      <c r="G673" s="46"/>
      <c r="H673" s="46"/>
      <c r="I673" s="302"/>
      <c r="K673" s="300"/>
      <c r="L673" s="300"/>
      <c r="M673" s="311"/>
      <c r="N673" s="311"/>
      <c r="O673" s="300"/>
      <c r="P673" s="311"/>
      <c r="Q673" s="311"/>
      <c r="R673" s="311"/>
      <c r="U673" s="311"/>
    </row>
    <row r="674" spans="2:21" s="18" customFormat="1" ht="12.75" customHeight="1" outlineLevel="2">
      <c r="B674" s="301" t="s">
        <v>1810</v>
      </c>
      <c r="C674" s="297"/>
      <c r="D674" s="298"/>
      <c r="E674" s="306"/>
      <c r="F674" s="46"/>
      <c r="G674" s="46"/>
      <c r="H674" s="46"/>
      <c r="I674" s="302"/>
      <c r="K674" s="300"/>
      <c r="L674" s="300"/>
      <c r="M674" s="311"/>
      <c r="N674" s="311"/>
      <c r="O674" s="300"/>
      <c r="P674" s="311"/>
      <c r="Q674" s="311"/>
      <c r="R674" s="311"/>
      <c r="U674" s="311"/>
    </row>
    <row r="675" spans="2:21" s="18" customFormat="1" ht="12.75" customHeight="1" outlineLevel="3">
      <c r="B675" s="297" t="s">
        <v>1811</v>
      </c>
      <c r="C675" s="297" t="s">
        <v>342</v>
      </c>
      <c r="D675" s="298">
        <v>9004</v>
      </c>
      <c r="E675" s="299" t="s">
        <v>2162</v>
      </c>
      <c r="F675" s="46"/>
      <c r="G675" s="297" t="s">
        <v>1135</v>
      </c>
      <c r="H675" s="308" t="str">
        <f>CONCATENATE("MEP-",G675,"-",I675)</f>
        <v>MEP-C20P-1</v>
      </c>
      <c r="I675" s="302">
        <v>1</v>
      </c>
      <c r="K675" s="300"/>
      <c r="L675" s="300">
        <v>1</v>
      </c>
      <c r="M675" s="300">
        <v>1</v>
      </c>
      <c r="N675" s="311"/>
      <c r="O675" s="300"/>
      <c r="P675" s="311"/>
      <c r="Q675" s="300">
        <v>1</v>
      </c>
      <c r="R675" s="311"/>
      <c r="U675" s="300">
        <v>1</v>
      </c>
    </row>
    <row r="676" spans="2:21" s="18" customFormat="1" ht="12.75" customHeight="1" outlineLevel="3">
      <c r="B676" s="297" t="s">
        <v>1811</v>
      </c>
      <c r="C676" s="297" t="s">
        <v>342</v>
      </c>
      <c r="D676" s="298">
        <v>9005</v>
      </c>
      <c r="E676" s="299" t="s">
        <v>2163</v>
      </c>
      <c r="F676" s="46"/>
      <c r="G676" s="297" t="s">
        <v>1135</v>
      </c>
      <c r="H676" s="308" t="str">
        <f>CONCATENATE("MEP-",G676,"-",I676)</f>
        <v>MEP-C20P-1</v>
      </c>
      <c r="I676" s="302">
        <v>1</v>
      </c>
      <c r="K676" s="300"/>
      <c r="L676" s="300">
        <v>1</v>
      </c>
      <c r="M676" s="300">
        <v>1</v>
      </c>
      <c r="N676" s="311"/>
      <c r="O676" s="300"/>
      <c r="P676" s="311"/>
      <c r="Q676" s="300">
        <v>1</v>
      </c>
      <c r="R676" s="311"/>
      <c r="U676" s="300">
        <v>1</v>
      </c>
    </row>
    <row r="677" spans="2:21" s="18" customFormat="1" ht="12.75" customHeight="1" outlineLevel="3">
      <c r="B677" s="297" t="s">
        <v>1811</v>
      </c>
      <c r="C677" s="297" t="s">
        <v>342</v>
      </c>
      <c r="D677" s="298" t="s">
        <v>1954</v>
      </c>
      <c r="E677" s="299" t="s">
        <v>2164</v>
      </c>
      <c r="F677" s="46"/>
      <c r="G677" s="297" t="s">
        <v>1135</v>
      </c>
      <c r="H677" s="308" t="str">
        <f>CONCATENATE("MEP-",G677,"-",I677)</f>
        <v>MEP-C20P-1</v>
      </c>
      <c r="I677" s="302">
        <v>1</v>
      </c>
      <c r="K677" s="300"/>
      <c r="L677" s="300">
        <v>1</v>
      </c>
      <c r="M677" s="300">
        <v>1</v>
      </c>
      <c r="N677" s="311"/>
      <c r="O677" s="300"/>
      <c r="P677" s="311"/>
      <c r="Q677" s="300">
        <v>1</v>
      </c>
      <c r="R677" s="311"/>
      <c r="U677" s="300">
        <v>1</v>
      </c>
    </row>
    <row r="678" spans="2:21" s="18" customFormat="1" ht="12.75" customHeight="1" outlineLevel="2">
      <c r="B678" s="297"/>
      <c r="C678" s="297"/>
      <c r="D678" s="298"/>
      <c r="E678" s="306"/>
      <c r="F678" s="46"/>
      <c r="G678" s="46"/>
      <c r="H678" s="46"/>
      <c r="I678" s="302"/>
      <c r="K678" s="300"/>
      <c r="L678" s="300"/>
      <c r="M678" s="311"/>
      <c r="N678" s="311"/>
      <c r="O678" s="300"/>
      <c r="P678" s="311"/>
      <c r="Q678" s="311"/>
      <c r="R678" s="311"/>
      <c r="U678" s="311"/>
    </row>
    <row r="679" spans="2:21" s="18" customFormat="1" ht="12.75" customHeight="1" outlineLevel="2">
      <c r="B679" s="301" t="s">
        <v>1819</v>
      </c>
      <c r="C679" s="297"/>
      <c r="D679" s="298"/>
      <c r="E679" s="306"/>
      <c r="F679" s="46"/>
      <c r="G679" s="46"/>
      <c r="H679" s="46"/>
      <c r="I679" s="302"/>
      <c r="K679" s="300"/>
      <c r="L679" s="300"/>
      <c r="M679" s="311"/>
      <c r="N679" s="311"/>
      <c r="O679" s="300"/>
      <c r="P679" s="311"/>
      <c r="Q679" s="311"/>
      <c r="R679" s="311"/>
      <c r="U679" s="311"/>
    </row>
    <row r="680" spans="2:21" s="18" customFormat="1" ht="12.75" customHeight="1" outlineLevel="3">
      <c r="B680" s="297" t="s">
        <v>1819</v>
      </c>
      <c r="C680" s="297" t="s">
        <v>342</v>
      </c>
      <c r="D680" s="298" t="s">
        <v>1861</v>
      </c>
      <c r="E680" s="299" t="s">
        <v>2280</v>
      </c>
      <c r="F680" s="46"/>
      <c r="G680" s="297" t="s">
        <v>1135</v>
      </c>
      <c r="H680" s="308" t="str">
        <f>CONCATENATE("MEP-",G680,"-",I680)</f>
        <v>MEP-C20P-1</v>
      </c>
      <c r="I680" s="302">
        <v>1</v>
      </c>
      <c r="K680" s="300"/>
      <c r="L680" s="300">
        <v>1</v>
      </c>
      <c r="M680" s="300">
        <v>1</v>
      </c>
      <c r="N680" s="311"/>
      <c r="O680" s="300"/>
      <c r="P680" s="311"/>
      <c r="Q680" s="300">
        <v>1</v>
      </c>
      <c r="R680" s="311">
        <v>1</v>
      </c>
      <c r="U680" s="300"/>
    </row>
    <row r="681" spans="2:21" s="18" customFormat="1" ht="12.75" customHeight="1" outlineLevel="2">
      <c r="B681" s="297"/>
      <c r="C681" s="297"/>
      <c r="D681" s="298"/>
      <c r="E681" s="306"/>
      <c r="F681" s="46"/>
      <c r="G681" s="46"/>
      <c r="H681" s="46"/>
      <c r="I681" s="302"/>
      <c r="K681" s="300"/>
      <c r="L681" s="300"/>
      <c r="M681" s="311"/>
      <c r="N681" s="311"/>
      <c r="O681" s="300"/>
      <c r="P681" s="311"/>
      <c r="Q681" s="311"/>
      <c r="R681" s="311"/>
      <c r="U681" s="311"/>
    </row>
    <row r="682" spans="2:21" s="18" customFormat="1" ht="12.75" customHeight="1" outlineLevel="2">
      <c r="B682" s="301" t="s">
        <v>1899</v>
      </c>
      <c r="C682" s="297"/>
      <c r="D682" s="298"/>
      <c r="E682" s="306"/>
      <c r="F682" s="46"/>
      <c r="G682" s="46"/>
      <c r="H682" s="46"/>
      <c r="I682" s="302"/>
      <c r="K682" s="300"/>
      <c r="L682" s="300"/>
      <c r="M682" s="311"/>
      <c r="N682" s="311"/>
      <c r="O682" s="300"/>
      <c r="P682" s="311"/>
      <c r="Q682" s="311"/>
      <c r="R682" s="311"/>
      <c r="U682" s="311"/>
    </row>
    <row r="683" spans="2:21" ht="12.75" customHeight="1" outlineLevel="5">
      <c r="B683" s="297" t="s">
        <v>1465</v>
      </c>
      <c r="C683" s="17" t="s">
        <v>342</v>
      </c>
      <c r="D683" s="298">
        <v>4011</v>
      </c>
      <c r="E683" s="306" t="s">
        <v>2166</v>
      </c>
      <c r="F683" s="307"/>
      <c r="G683" s="297" t="s">
        <v>1135</v>
      </c>
      <c r="H683" s="308" t="str">
        <f t="shared" ref="H683:H691" si="58">CONCATENATE("MEP-",G683,"-",I683)</f>
        <v>MEP-C20P-1</v>
      </c>
      <c r="I683" s="302">
        <v>1</v>
      </c>
      <c r="J683" s="16"/>
      <c r="L683" s="310">
        <v>1</v>
      </c>
      <c r="M683" s="300">
        <v>1</v>
      </c>
      <c r="N683" s="311"/>
      <c r="P683" s="311"/>
      <c r="Q683" s="300">
        <v>1</v>
      </c>
      <c r="R683" s="311"/>
      <c r="U683" s="300">
        <v>1</v>
      </c>
    </row>
    <row r="684" spans="2:21" ht="12.75" customHeight="1" outlineLevel="5">
      <c r="B684" s="297" t="s">
        <v>1465</v>
      </c>
      <c r="C684" s="17" t="s">
        <v>342</v>
      </c>
      <c r="D684" s="298">
        <v>4021</v>
      </c>
      <c r="E684" s="306" t="s">
        <v>2167</v>
      </c>
      <c r="F684" s="307"/>
      <c r="G684" s="297" t="s">
        <v>1135</v>
      </c>
      <c r="H684" s="308" t="str">
        <f t="shared" si="58"/>
        <v>MEP-C20P-1</v>
      </c>
      <c r="I684" s="302">
        <v>1</v>
      </c>
      <c r="J684" s="16"/>
      <c r="L684" s="310">
        <v>1</v>
      </c>
      <c r="M684" s="300">
        <v>1</v>
      </c>
      <c r="N684" s="311"/>
      <c r="P684" s="311"/>
      <c r="Q684" s="300">
        <v>1</v>
      </c>
      <c r="R684" s="311"/>
      <c r="U684" s="300">
        <v>1</v>
      </c>
    </row>
    <row r="685" spans="2:21" ht="12.75" customHeight="1" outlineLevel="5">
      <c r="B685" s="297" t="s">
        <v>1465</v>
      </c>
      <c r="C685" s="17" t="s">
        <v>342</v>
      </c>
      <c r="D685" s="298">
        <v>4031</v>
      </c>
      <c r="E685" s="306" t="s">
        <v>2168</v>
      </c>
      <c r="F685" s="307"/>
      <c r="G685" s="297" t="s">
        <v>1135</v>
      </c>
      <c r="H685" s="308" t="str">
        <f t="shared" si="58"/>
        <v>MEP-C20P-1</v>
      </c>
      <c r="I685" s="302">
        <v>1</v>
      </c>
      <c r="J685" s="16"/>
      <c r="L685" s="310">
        <v>1</v>
      </c>
      <c r="M685" s="300">
        <v>1</v>
      </c>
      <c r="N685" s="311"/>
      <c r="P685" s="311"/>
      <c r="Q685" s="300">
        <v>1</v>
      </c>
      <c r="R685" s="311"/>
      <c r="U685" s="300">
        <v>1</v>
      </c>
    </row>
    <row r="686" spans="2:21" ht="12.75" customHeight="1" outlineLevel="5">
      <c r="B686" s="297" t="s">
        <v>1465</v>
      </c>
      <c r="C686" s="17" t="s">
        <v>342</v>
      </c>
      <c r="D686" s="298">
        <v>4071</v>
      </c>
      <c r="E686" s="306" t="s">
        <v>2169</v>
      </c>
      <c r="F686" s="307"/>
      <c r="G686" s="297" t="s">
        <v>1135</v>
      </c>
      <c r="H686" s="308" t="str">
        <f t="shared" si="58"/>
        <v>MEP-C20P-1</v>
      </c>
      <c r="I686" s="302">
        <v>1</v>
      </c>
      <c r="J686" s="16"/>
      <c r="L686" s="310">
        <v>1</v>
      </c>
      <c r="M686" s="300">
        <v>1</v>
      </c>
      <c r="N686" s="311"/>
      <c r="P686" s="311"/>
      <c r="Q686" s="300">
        <v>1</v>
      </c>
      <c r="R686" s="311"/>
      <c r="U686" s="300">
        <v>1</v>
      </c>
    </row>
    <row r="687" spans="2:21" ht="12.75" customHeight="1" outlineLevel="5">
      <c r="B687" s="297" t="s">
        <v>1465</v>
      </c>
      <c r="C687" s="17" t="s">
        <v>342</v>
      </c>
      <c r="D687" s="298">
        <v>1001</v>
      </c>
      <c r="E687" s="306" t="s">
        <v>2170</v>
      </c>
      <c r="F687" s="307"/>
      <c r="G687" s="297" t="s">
        <v>1135</v>
      </c>
      <c r="H687" s="308" t="str">
        <f t="shared" si="58"/>
        <v>MEP-C20P-1</v>
      </c>
      <c r="I687" s="302">
        <v>1</v>
      </c>
      <c r="J687" s="16"/>
      <c r="L687" s="310">
        <v>1</v>
      </c>
      <c r="M687" s="300">
        <v>1</v>
      </c>
      <c r="N687" s="311"/>
      <c r="P687" s="311"/>
      <c r="Q687" s="300">
        <v>1</v>
      </c>
      <c r="R687" s="311"/>
      <c r="U687" s="300">
        <v>1</v>
      </c>
    </row>
    <row r="688" spans="2:21" ht="12.75" customHeight="1" outlineLevel="5">
      <c r="B688" s="297" t="s">
        <v>1465</v>
      </c>
      <c r="C688" s="17" t="s">
        <v>342</v>
      </c>
      <c r="D688" s="298">
        <v>5011</v>
      </c>
      <c r="E688" s="306" t="s">
        <v>2171</v>
      </c>
      <c r="F688" s="307"/>
      <c r="G688" s="297" t="s">
        <v>1135</v>
      </c>
      <c r="H688" s="308" t="str">
        <f t="shared" si="58"/>
        <v>MEP-C20P-1</v>
      </c>
      <c r="I688" s="302">
        <v>1</v>
      </c>
      <c r="J688" s="16"/>
      <c r="L688" s="310">
        <v>1</v>
      </c>
      <c r="M688" s="300">
        <v>1</v>
      </c>
      <c r="Q688" s="300">
        <v>1</v>
      </c>
      <c r="U688" s="300">
        <v>1</v>
      </c>
    </row>
    <row r="689" spans="2:21" ht="12.75" customHeight="1" outlineLevel="5">
      <c r="B689" s="297" t="s">
        <v>1465</v>
      </c>
      <c r="C689" s="17" t="s">
        <v>342</v>
      </c>
      <c r="D689" s="298">
        <v>5016</v>
      </c>
      <c r="E689" s="306" t="s">
        <v>2172</v>
      </c>
      <c r="F689" s="307"/>
      <c r="G689" s="297" t="s">
        <v>1135</v>
      </c>
      <c r="H689" s="308" t="str">
        <f t="shared" si="58"/>
        <v>MEP-C20P-1</v>
      </c>
      <c r="I689" s="302">
        <v>1</v>
      </c>
      <c r="J689" s="16"/>
      <c r="L689" s="310">
        <v>1</v>
      </c>
      <c r="M689" s="300">
        <v>1</v>
      </c>
      <c r="Q689" s="300">
        <v>1</v>
      </c>
      <c r="U689" s="300">
        <v>1</v>
      </c>
    </row>
    <row r="690" spans="2:21" ht="12.75" customHeight="1" outlineLevel="5">
      <c r="B690" s="297" t="s">
        <v>1465</v>
      </c>
      <c r="C690" s="17" t="s">
        <v>342</v>
      </c>
      <c r="D690" s="298">
        <v>5021</v>
      </c>
      <c r="E690" s="306" t="s">
        <v>2173</v>
      </c>
      <c r="F690" s="307"/>
      <c r="G690" s="297" t="s">
        <v>1135</v>
      </c>
      <c r="H690" s="308" t="str">
        <f t="shared" si="58"/>
        <v>MEP-C20P-1</v>
      </c>
      <c r="I690" s="302">
        <v>1</v>
      </c>
      <c r="J690" s="16"/>
      <c r="L690" s="310">
        <v>1</v>
      </c>
      <c r="M690" s="300">
        <v>1</v>
      </c>
      <c r="Q690" s="300">
        <v>1</v>
      </c>
      <c r="U690" s="300">
        <v>1</v>
      </c>
    </row>
    <row r="691" spans="2:21" ht="12.75" customHeight="1" outlineLevel="5">
      <c r="B691" s="297" t="s">
        <v>1465</v>
      </c>
      <c r="C691" s="17" t="s">
        <v>342</v>
      </c>
      <c r="D691" s="298">
        <v>5026</v>
      </c>
      <c r="E691" s="306" t="s">
        <v>2174</v>
      </c>
      <c r="F691" s="307"/>
      <c r="G691" s="297" t="s">
        <v>1135</v>
      </c>
      <c r="H691" s="308" t="str">
        <f t="shared" si="58"/>
        <v>MEP-C20P-1</v>
      </c>
      <c r="I691" s="302">
        <v>1</v>
      </c>
      <c r="J691" s="16"/>
      <c r="L691" s="310">
        <v>1</v>
      </c>
      <c r="M691" s="300">
        <v>1</v>
      </c>
      <c r="Q691" s="300">
        <v>1</v>
      </c>
      <c r="U691" s="300">
        <v>1</v>
      </c>
    </row>
    <row r="692" spans="2:21" s="18" customFormat="1" ht="12.75" customHeight="1" outlineLevel="2">
      <c r="B692" s="297"/>
      <c r="C692" s="297"/>
      <c r="D692" s="298"/>
      <c r="E692" s="306"/>
      <c r="F692" s="46"/>
      <c r="G692" s="46"/>
      <c r="H692" s="46"/>
      <c r="I692" s="302"/>
      <c r="K692" s="300"/>
      <c r="L692" s="300"/>
      <c r="M692" s="311"/>
      <c r="Q692" s="311"/>
      <c r="U692" s="311"/>
    </row>
    <row r="693" spans="2:21" s="18" customFormat="1" ht="12.75" customHeight="1" outlineLevel="2">
      <c r="B693" s="301" t="s">
        <v>2138</v>
      </c>
      <c r="C693" s="297"/>
      <c r="D693" s="298"/>
      <c r="E693" s="306"/>
      <c r="F693" s="46"/>
      <c r="G693" s="46"/>
      <c r="H693" s="46"/>
      <c r="I693" s="302"/>
      <c r="K693" s="300"/>
      <c r="L693" s="300"/>
      <c r="M693" s="311"/>
      <c r="Q693" s="311"/>
      <c r="U693" s="311"/>
    </row>
    <row r="694" spans="2:21" ht="12.75" customHeight="1" outlineLevel="4">
      <c r="B694" s="297" t="s">
        <v>2175</v>
      </c>
      <c r="C694" s="17" t="s">
        <v>943</v>
      </c>
      <c r="D694" s="298">
        <v>1001</v>
      </c>
      <c r="E694" s="306" t="s">
        <v>2176</v>
      </c>
      <c r="F694" s="307"/>
      <c r="G694" s="297" t="s">
        <v>1135</v>
      </c>
      <c r="H694" s="308" t="str">
        <f>CONCATENATE("MEP-",G694,"-",I694)</f>
        <v>MEP-C20P-1</v>
      </c>
      <c r="I694" s="302">
        <v>1</v>
      </c>
      <c r="J694" s="16"/>
      <c r="L694" s="310">
        <v>1</v>
      </c>
      <c r="M694" s="300">
        <v>1</v>
      </c>
      <c r="Q694" s="300">
        <v>1</v>
      </c>
      <c r="U694" s="300">
        <v>1</v>
      </c>
    </row>
    <row r="695" spans="2:21" ht="12.75" customHeight="1" outlineLevel="4">
      <c r="B695" s="297" t="s">
        <v>2175</v>
      </c>
      <c r="C695" s="17" t="s">
        <v>943</v>
      </c>
      <c r="D695" s="298">
        <v>9001</v>
      </c>
      <c r="E695" s="306" t="s">
        <v>2177</v>
      </c>
      <c r="F695" s="307"/>
      <c r="G695" s="297" t="s">
        <v>1135</v>
      </c>
      <c r="H695" s="308" t="str">
        <f>CONCATENATE("MEP-",G695,"-",I695)</f>
        <v>MEP-C20P-1</v>
      </c>
      <c r="I695" s="302">
        <v>1</v>
      </c>
      <c r="J695" s="16"/>
      <c r="L695" s="310">
        <v>1</v>
      </c>
      <c r="M695" s="300">
        <v>1</v>
      </c>
      <c r="Q695" s="300">
        <v>1</v>
      </c>
      <c r="U695" s="300">
        <v>1</v>
      </c>
    </row>
    <row r="696" spans="2:21" ht="3" customHeight="1" outlineLevel="1">
      <c r="B696" s="297"/>
      <c r="D696" s="298"/>
      <c r="E696" s="306"/>
      <c r="F696" s="307"/>
      <c r="G696" s="297"/>
      <c r="H696" s="314"/>
      <c r="I696" s="309"/>
      <c r="J696" s="16"/>
      <c r="M696" s="311"/>
    </row>
    <row r="697" spans="2:21" s="18" customFormat="1" ht="12.75" customHeight="1" outlineLevel="1">
      <c r="B697" s="317" t="s">
        <v>2281</v>
      </c>
      <c r="C697" s="297"/>
      <c r="D697" s="298"/>
      <c r="E697" s="306"/>
      <c r="F697" s="46"/>
      <c r="G697" s="46"/>
      <c r="H697" s="46"/>
      <c r="I697" s="302"/>
      <c r="K697" s="300"/>
      <c r="L697" s="300"/>
      <c r="M697" s="311"/>
    </row>
    <row r="698" spans="2:21" s="18" customFormat="1" ht="12.75" customHeight="1" outlineLevel="2">
      <c r="B698" s="317"/>
      <c r="C698" s="297"/>
      <c r="D698" s="298"/>
      <c r="E698" s="306"/>
      <c r="F698" s="46"/>
      <c r="G698" s="46"/>
      <c r="H698" s="46"/>
      <c r="I698" s="302"/>
      <c r="K698" s="300"/>
      <c r="L698" s="300"/>
      <c r="M698" s="311"/>
    </row>
    <row r="699" spans="2:21" s="18" customFormat="1" ht="12.75" customHeight="1" outlineLevel="2">
      <c r="B699" s="301" t="s">
        <v>1796</v>
      </c>
      <c r="C699" s="297"/>
      <c r="D699" s="298"/>
      <c r="E699" s="306"/>
      <c r="F699" s="46"/>
      <c r="G699" s="46"/>
      <c r="H699" s="46"/>
      <c r="I699" s="302"/>
      <c r="K699" s="300"/>
      <c r="L699" s="300"/>
      <c r="M699" s="311"/>
    </row>
    <row r="700" spans="2:21" s="18" customFormat="1" ht="12.75" customHeight="1" outlineLevel="3">
      <c r="B700" s="316" t="s">
        <v>2157</v>
      </c>
      <c r="C700" s="297"/>
      <c r="D700" s="298"/>
      <c r="E700" s="306"/>
      <c r="F700" s="46"/>
      <c r="G700" s="46"/>
      <c r="H700" s="46"/>
      <c r="I700" s="302"/>
      <c r="K700" s="300"/>
      <c r="L700" s="300"/>
      <c r="M700" s="311"/>
    </row>
    <row r="701" spans="2:21" s="18" customFormat="1" ht="12.75" customHeight="1" outlineLevel="4">
      <c r="B701" s="297" t="s">
        <v>1797</v>
      </c>
      <c r="C701" s="297" t="s">
        <v>2179</v>
      </c>
      <c r="D701" s="298">
        <v>4051</v>
      </c>
      <c r="E701" s="306" t="s">
        <v>2180</v>
      </c>
      <c r="F701" s="46"/>
      <c r="G701" s="297" t="s">
        <v>1137</v>
      </c>
      <c r="H701" s="308" t="str">
        <f>CONCATENATE("MEP-",G701,"-",I701)</f>
        <v>MEP-L30P-1</v>
      </c>
      <c r="I701" s="302">
        <v>1</v>
      </c>
      <c r="K701" s="300"/>
      <c r="L701" s="300">
        <v>1</v>
      </c>
      <c r="M701" s="300">
        <v>1</v>
      </c>
      <c r="Q701" s="300">
        <v>1</v>
      </c>
      <c r="U701" s="300">
        <v>1</v>
      </c>
    </row>
    <row r="702" spans="2:21" s="18" customFormat="1" ht="12.75" customHeight="1" outlineLevel="4">
      <c r="B702" s="297" t="s">
        <v>1797</v>
      </c>
      <c r="C702" s="297" t="s">
        <v>2179</v>
      </c>
      <c r="D702" s="298">
        <v>4061</v>
      </c>
      <c r="E702" s="306" t="s">
        <v>2181</v>
      </c>
      <c r="F702" s="46"/>
      <c r="G702" s="297" t="s">
        <v>1137</v>
      </c>
      <c r="H702" s="308" t="str">
        <f t="shared" ref="H702:H709" si="59">CONCATENATE("MEP-",G702,"-",I702)</f>
        <v>MEP-L30P-1</v>
      </c>
      <c r="I702" s="302">
        <v>1</v>
      </c>
      <c r="K702" s="300"/>
      <c r="L702" s="300">
        <v>1</v>
      </c>
      <c r="M702" s="300">
        <v>1</v>
      </c>
      <c r="Q702" s="300">
        <v>1</v>
      </c>
      <c r="U702" s="300">
        <v>1</v>
      </c>
    </row>
    <row r="703" spans="2:21" s="18" customFormat="1" ht="12.75" customHeight="1" outlineLevel="4">
      <c r="B703" s="297" t="s">
        <v>1797</v>
      </c>
      <c r="C703" s="297" t="s">
        <v>2179</v>
      </c>
      <c r="D703" s="298">
        <v>4071</v>
      </c>
      <c r="E703" s="306" t="s">
        <v>2182</v>
      </c>
      <c r="F703" s="46"/>
      <c r="G703" s="297" t="s">
        <v>1137</v>
      </c>
      <c r="H703" s="308" t="str">
        <f t="shared" si="59"/>
        <v>MEP-L30P-1</v>
      </c>
      <c r="I703" s="302">
        <v>1</v>
      </c>
      <c r="K703" s="300"/>
      <c r="L703" s="300">
        <v>1</v>
      </c>
      <c r="M703" s="300">
        <v>1</v>
      </c>
      <c r="Q703" s="300">
        <v>1</v>
      </c>
      <c r="U703" s="300">
        <v>1</v>
      </c>
    </row>
    <row r="704" spans="2:21" s="18" customFormat="1" ht="12.75" customHeight="1" outlineLevel="4">
      <c r="B704" s="297" t="s">
        <v>1797</v>
      </c>
      <c r="C704" s="297" t="s">
        <v>2179</v>
      </c>
      <c r="D704" s="298">
        <v>4081</v>
      </c>
      <c r="E704" s="306" t="s">
        <v>2183</v>
      </c>
      <c r="F704" s="46"/>
      <c r="G704" s="297" t="s">
        <v>1137</v>
      </c>
      <c r="H704" s="308" t="str">
        <f t="shared" si="59"/>
        <v>MEP-L30P-1</v>
      </c>
      <c r="I704" s="302">
        <v>1</v>
      </c>
      <c r="K704" s="300"/>
      <c r="L704" s="300">
        <v>1</v>
      </c>
      <c r="M704" s="300">
        <v>1</v>
      </c>
      <c r="Q704" s="300">
        <v>1</v>
      </c>
      <c r="U704" s="300">
        <v>1</v>
      </c>
    </row>
    <row r="705" spans="2:21" s="18" customFormat="1" ht="12.75" customHeight="1" outlineLevel="4">
      <c r="B705" s="297" t="s">
        <v>1797</v>
      </c>
      <c r="C705" s="297" t="s">
        <v>2179</v>
      </c>
      <c r="D705" s="298">
        <v>4091</v>
      </c>
      <c r="E705" s="306" t="s">
        <v>2184</v>
      </c>
      <c r="F705" s="46"/>
      <c r="G705" s="297" t="s">
        <v>1137</v>
      </c>
      <c r="H705" s="308" t="str">
        <f t="shared" si="59"/>
        <v>MEP-L30P-1</v>
      </c>
      <c r="I705" s="302">
        <v>1</v>
      </c>
      <c r="K705" s="300"/>
      <c r="L705" s="300">
        <v>1</v>
      </c>
      <c r="M705" s="300">
        <v>1</v>
      </c>
      <c r="Q705" s="300">
        <v>1</v>
      </c>
      <c r="U705" s="300">
        <v>1</v>
      </c>
    </row>
    <row r="706" spans="2:21" s="18" customFormat="1" ht="12.75" customHeight="1" outlineLevel="4">
      <c r="B706" s="297" t="s">
        <v>1797</v>
      </c>
      <c r="C706" s="297" t="s">
        <v>2179</v>
      </c>
      <c r="D706" s="298">
        <v>4101</v>
      </c>
      <c r="E706" s="306" t="s">
        <v>2185</v>
      </c>
      <c r="F706" s="46"/>
      <c r="G706" s="297" t="s">
        <v>1137</v>
      </c>
      <c r="H706" s="308" t="str">
        <f t="shared" si="59"/>
        <v>MEP-L30P-1</v>
      </c>
      <c r="I706" s="302">
        <v>1</v>
      </c>
      <c r="K706" s="300"/>
      <c r="L706" s="300">
        <v>1</v>
      </c>
      <c r="M706" s="300">
        <v>1</v>
      </c>
      <c r="Q706" s="300">
        <v>1</v>
      </c>
      <c r="U706" s="300">
        <v>1</v>
      </c>
    </row>
    <row r="707" spans="2:21" s="18" customFormat="1" ht="12.75" customHeight="1" outlineLevel="4">
      <c r="B707" s="297" t="s">
        <v>1797</v>
      </c>
      <c r="C707" s="297" t="s">
        <v>2179</v>
      </c>
      <c r="D707" s="298">
        <v>4105</v>
      </c>
      <c r="E707" s="306" t="s">
        <v>2186</v>
      </c>
      <c r="F707" s="46"/>
      <c r="G707" s="297" t="s">
        <v>1137</v>
      </c>
      <c r="H707" s="308" t="str">
        <f t="shared" si="59"/>
        <v>MEP-L30P-1</v>
      </c>
      <c r="I707" s="302">
        <v>1</v>
      </c>
      <c r="K707" s="300"/>
      <c r="L707" s="300">
        <v>1</v>
      </c>
      <c r="M707" s="300">
        <v>1</v>
      </c>
      <c r="Q707" s="300">
        <v>1</v>
      </c>
      <c r="U707" s="300">
        <v>1</v>
      </c>
    </row>
    <row r="708" spans="2:21" s="18" customFormat="1" ht="12.75" customHeight="1" outlineLevel="4">
      <c r="B708" s="297" t="s">
        <v>1797</v>
      </c>
      <c r="C708" s="297" t="s">
        <v>2179</v>
      </c>
      <c r="D708" s="298">
        <v>4111</v>
      </c>
      <c r="E708" s="306" t="s">
        <v>2187</v>
      </c>
      <c r="F708" s="46"/>
      <c r="G708" s="297" t="s">
        <v>1137</v>
      </c>
      <c r="H708" s="308" t="str">
        <f t="shared" si="59"/>
        <v>MEP-L30P-1</v>
      </c>
      <c r="I708" s="302">
        <v>1</v>
      </c>
      <c r="K708" s="300"/>
      <c r="L708" s="300">
        <v>1</v>
      </c>
      <c r="M708" s="300">
        <v>1</v>
      </c>
      <c r="Q708" s="300">
        <v>1</v>
      </c>
      <c r="U708" s="300">
        <v>1</v>
      </c>
    </row>
    <row r="709" spans="2:21" s="18" customFormat="1" ht="12.75" customHeight="1" outlineLevel="4">
      <c r="B709" s="297" t="s">
        <v>1797</v>
      </c>
      <c r="C709" s="297" t="s">
        <v>2179</v>
      </c>
      <c r="D709" s="298">
        <v>4115</v>
      </c>
      <c r="E709" s="306" t="s">
        <v>2188</v>
      </c>
      <c r="F709" s="46"/>
      <c r="G709" s="297" t="s">
        <v>1137</v>
      </c>
      <c r="H709" s="308" t="str">
        <f t="shared" si="59"/>
        <v>MEP-L30P-1</v>
      </c>
      <c r="I709" s="302">
        <v>1</v>
      </c>
      <c r="K709" s="300"/>
      <c r="L709" s="300">
        <v>1</v>
      </c>
      <c r="M709" s="300">
        <v>1</v>
      </c>
      <c r="Q709" s="300">
        <v>1</v>
      </c>
      <c r="U709" s="300">
        <v>1</v>
      </c>
    </row>
    <row r="710" spans="2:21" s="18" customFormat="1" ht="12.75" customHeight="1" outlineLevel="2">
      <c r="B710" s="297"/>
      <c r="C710" s="297"/>
      <c r="D710" s="298"/>
      <c r="E710" s="306"/>
      <c r="F710" s="46"/>
      <c r="G710" s="46"/>
      <c r="H710" s="46"/>
      <c r="I710" s="302"/>
      <c r="K710" s="300"/>
      <c r="L710" s="300"/>
      <c r="M710" s="311"/>
      <c r="Q710" s="311"/>
      <c r="U710" s="311"/>
    </row>
    <row r="711" spans="2:21" s="18" customFormat="1" ht="12.75" customHeight="1" outlineLevel="2">
      <c r="B711" s="301" t="s">
        <v>1810</v>
      </c>
      <c r="C711" s="297"/>
      <c r="D711" s="298"/>
      <c r="E711" s="306"/>
      <c r="F711" s="46"/>
      <c r="G711" s="46"/>
      <c r="H711" s="46"/>
      <c r="I711" s="302"/>
      <c r="K711" s="300"/>
      <c r="L711" s="300"/>
      <c r="M711" s="311"/>
      <c r="Q711" s="311"/>
      <c r="U711" s="311"/>
    </row>
    <row r="712" spans="2:21" s="18" customFormat="1" ht="12.75" customHeight="1" outlineLevel="3">
      <c r="B712" s="297" t="s">
        <v>1811</v>
      </c>
      <c r="C712" s="297" t="s">
        <v>2179</v>
      </c>
      <c r="D712" s="298" t="s">
        <v>1954</v>
      </c>
      <c r="E712" s="306" t="s">
        <v>2189</v>
      </c>
      <c r="F712" s="46"/>
      <c r="G712" s="297" t="s">
        <v>1137</v>
      </c>
      <c r="H712" s="308" t="str">
        <f>CONCATENATE("MEP-",G712,"-",I712)</f>
        <v>MEP-L30P-1</v>
      </c>
      <c r="I712" s="302">
        <v>1</v>
      </c>
      <c r="K712" s="300"/>
      <c r="L712" s="300">
        <v>1</v>
      </c>
      <c r="M712" s="300">
        <v>1</v>
      </c>
      <c r="Q712" s="300">
        <v>1</v>
      </c>
      <c r="U712" s="300">
        <v>1</v>
      </c>
    </row>
    <row r="713" spans="2:21" s="18" customFormat="1" ht="12.75" customHeight="1" outlineLevel="2">
      <c r="B713" s="297"/>
      <c r="C713" s="297"/>
      <c r="D713" s="298"/>
      <c r="E713" s="306"/>
      <c r="F713" s="46"/>
      <c r="G713" s="46"/>
      <c r="H713" s="46"/>
      <c r="I713" s="302"/>
      <c r="K713" s="300"/>
      <c r="L713" s="300"/>
      <c r="M713" s="311"/>
      <c r="Q713" s="311"/>
      <c r="U713" s="311"/>
    </row>
    <row r="714" spans="2:21" s="18" customFormat="1" ht="12.75" customHeight="1" outlineLevel="2">
      <c r="B714" s="301" t="s">
        <v>1819</v>
      </c>
      <c r="C714" s="297"/>
      <c r="D714" s="298"/>
      <c r="E714" s="306"/>
      <c r="F714" s="46"/>
      <c r="G714" s="46"/>
      <c r="H714" s="46"/>
      <c r="I714" s="302"/>
      <c r="K714" s="300"/>
      <c r="L714" s="300"/>
      <c r="M714" s="311"/>
      <c r="Q714" s="311"/>
      <c r="U714" s="311"/>
    </row>
    <row r="715" spans="2:21" s="18" customFormat="1" ht="12.75" customHeight="1" outlineLevel="3">
      <c r="B715" s="297" t="s">
        <v>1819</v>
      </c>
      <c r="C715" s="297" t="s">
        <v>2179</v>
      </c>
      <c r="D715" s="298" t="s">
        <v>1861</v>
      </c>
      <c r="E715" s="306" t="s">
        <v>2190</v>
      </c>
      <c r="F715" s="46"/>
      <c r="G715" s="297" t="s">
        <v>1137</v>
      </c>
      <c r="H715" s="308" t="str">
        <f>CONCATENATE("MEP-",G715,"-",I715)</f>
        <v>MEP-L30P-1</v>
      </c>
      <c r="I715" s="302">
        <v>1</v>
      </c>
      <c r="K715" s="300"/>
      <c r="L715" s="300">
        <v>1</v>
      </c>
      <c r="M715" s="300">
        <v>1</v>
      </c>
      <c r="Q715" s="300">
        <v>1</v>
      </c>
      <c r="U715" s="300">
        <v>1</v>
      </c>
    </row>
    <row r="716" spans="2:21" s="18" customFormat="1" ht="12.75" customHeight="1" outlineLevel="3">
      <c r="B716" s="297" t="s">
        <v>1819</v>
      </c>
      <c r="C716" s="297" t="s">
        <v>2179</v>
      </c>
      <c r="D716" s="298" t="s">
        <v>1921</v>
      </c>
      <c r="E716" s="306" t="s">
        <v>2191</v>
      </c>
      <c r="F716" s="46"/>
      <c r="G716" s="297" t="s">
        <v>1137</v>
      </c>
      <c r="H716" s="308" t="str">
        <f>CONCATENATE("MEP-",G716,"-",I716)</f>
        <v>MEP-L30P-1</v>
      </c>
      <c r="I716" s="302">
        <v>1</v>
      </c>
      <c r="K716" s="300"/>
      <c r="L716" s="300">
        <v>1</v>
      </c>
      <c r="M716" s="300">
        <v>1</v>
      </c>
      <c r="Q716" s="300">
        <v>1</v>
      </c>
      <c r="U716" s="300">
        <v>1</v>
      </c>
    </row>
    <row r="717" spans="2:21" s="18" customFormat="1" ht="12.75" customHeight="1" outlineLevel="2">
      <c r="B717" s="297"/>
      <c r="C717" s="297"/>
      <c r="D717" s="298"/>
      <c r="E717" s="306"/>
      <c r="F717" s="46"/>
      <c r="G717" s="46"/>
      <c r="H717" s="46"/>
      <c r="I717" s="302"/>
      <c r="K717" s="300"/>
      <c r="L717" s="300"/>
      <c r="M717" s="311"/>
      <c r="Q717" s="311"/>
      <c r="U717" s="311"/>
    </row>
    <row r="718" spans="2:21" s="18" customFormat="1" ht="12.75" customHeight="1" outlineLevel="2">
      <c r="B718" s="301" t="s">
        <v>2003</v>
      </c>
      <c r="C718" s="297"/>
      <c r="D718" s="298"/>
      <c r="E718" s="306"/>
      <c r="F718" s="46"/>
      <c r="G718" s="46"/>
      <c r="H718" s="46"/>
      <c r="I718" s="302"/>
      <c r="K718" s="300"/>
      <c r="L718" s="300"/>
      <c r="M718" s="311"/>
      <c r="Q718" s="311"/>
      <c r="U718" s="311"/>
    </row>
    <row r="719" spans="2:21" s="18" customFormat="1" ht="12.75" customHeight="1" outlineLevel="3">
      <c r="B719" s="297" t="s">
        <v>1465</v>
      </c>
      <c r="C719" s="297" t="s">
        <v>2179</v>
      </c>
      <c r="D719" s="298">
        <v>4051</v>
      </c>
      <c r="E719" s="306" t="s">
        <v>2192</v>
      </c>
      <c r="F719" s="46"/>
      <c r="G719" s="297" t="s">
        <v>1137</v>
      </c>
      <c r="H719" s="308" t="str">
        <f t="shared" ref="H719:H729" si="60">CONCATENATE("MEP-",G719,"-",I719)</f>
        <v>MEP-L30P-1</v>
      </c>
      <c r="I719" s="302">
        <v>1</v>
      </c>
      <c r="K719" s="300"/>
      <c r="L719" s="300">
        <v>1</v>
      </c>
      <c r="M719" s="300">
        <v>1</v>
      </c>
      <c r="Q719" s="300">
        <v>1</v>
      </c>
      <c r="U719" s="300">
        <v>1</v>
      </c>
    </row>
    <row r="720" spans="2:21" s="18" customFormat="1" ht="12.75" customHeight="1" outlineLevel="3">
      <c r="B720" s="297" t="s">
        <v>1465</v>
      </c>
      <c r="C720" s="297" t="s">
        <v>2179</v>
      </c>
      <c r="D720" s="298">
        <v>4061</v>
      </c>
      <c r="E720" s="306" t="s">
        <v>2193</v>
      </c>
      <c r="F720" s="46"/>
      <c r="G720" s="297" t="s">
        <v>1137</v>
      </c>
      <c r="H720" s="308" t="str">
        <f t="shared" si="60"/>
        <v>MEP-L30P-1</v>
      </c>
      <c r="I720" s="302">
        <v>1</v>
      </c>
      <c r="K720" s="300"/>
      <c r="L720" s="300">
        <v>1</v>
      </c>
      <c r="M720" s="300">
        <v>1</v>
      </c>
      <c r="Q720" s="300">
        <v>1</v>
      </c>
      <c r="U720" s="300">
        <v>1</v>
      </c>
    </row>
    <row r="721" spans="2:21" s="18" customFormat="1" ht="12.75" customHeight="1" outlineLevel="3">
      <c r="B721" s="297" t="s">
        <v>1465</v>
      </c>
      <c r="C721" s="297" t="s">
        <v>2179</v>
      </c>
      <c r="D721" s="298">
        <v>4071</v>
      </c>
      <c r="E721" s="306" t="s">
        <v>2194</v>
      </c>
      <c r="F721" s="46"/>
      <c r="G721" s="297" t="s">
        <v>1137</v>
      </c>
      <c r="H721" s="308" t="str">
        <f t="shared" si="60"/>
        <v>MEP-L30P-1</v>
      </c>
      <c r="I721" s="302">
        <v>1</v>
      </c>
      <c r="K721" s="300"/>
      <c r="L721" s="300">
        <v>1</v>
      </c>
      <c r="M721" s="300">
        <v>1</v>
      </c>
      <c r="Q721" s="300">
        <v>1</v>
      </c>
      <c r="U721" s="300">
        <v>1</v>
      </c>
    </row>
    <row r="722" spans="2:21" s="18" customFormat="1" ht="12.75" customHeight="1" outlineLevel="3">
      <c r="B722" s="297" t="s">
        <v>1465</v>
      </c>
      <c r="C722" s="297" t="s">
        <v>2179</v>
      </c>
      <c r="D722" s="298">
        <v>4081</v>
      </c>
      <c r="E722" s="306" t="s">
        <v>2195</v>
      </c>
      <c r="F722" s="46"/>
      <c r="G722" s="297" t="s">
        <v>1137</v>
      </c>
      <c r="H722" s="308" t="str">
        <f t="shared" si="60"/>
        <v>MEP-L30P-1</v>
      </c>
      <c r="I722" s="302">
        <v>1</v>
      </c>
      <c r="K722" s="300"/>
      <c r="L722" s="300">
        <v>1</v>
      </c>
      <c r="M722" s="300">
        <v>1</v>
      </c>
      <c r="Q722" s="300">
        <v>1</v>
      </c>
      <c r="U722" s="300">
        <v>1</v>
      </c>
    </row>
    <row r="723" spans="2:21" s="18" customFormat="1" ht="12.75" customHeight="1" outlineLevel="3">
      <c r="B723" s="297" t="s">
        <v>1465</v>
      </c>
      <c r="C723" s="297" t="s">
        <v>2179</v>
      </c>
      <c r="D723" s="298">
        <v>4091</v>
      </c>
      <c r="E723" s="306" t="s">
        <v>2196</v>
      </c>
      <c r="F723" s="46"/>
      <c r="G723" s="297" t="s">
        <v>1137</v>
      </c>
      <c r="H723" s="308" t="str">
        <f t="shared" si="60"/>
        <v>MEP-L30P-1</v>
      </c>
      <c r="I723" s="302">
        <v>1</v>
      </c>
      <c r="K723" s="300"/>
      <c r="L723" s="300">
        <v>1</v>
      </c>
      <c r="M723" s="300">
        <v>1</v>
      </c>
      <c r="Q723" s="300">
        <v>1</v>
      </c>
      <c r="U723" s="300">
        <v>1</v>
      </c>
    </row>
    <row r="724" spans="2:21" s="18" customFormat="1" ht="12.75" customHeight="1" outlineLevel="3">
      <c r="B724" s="297" t="s">
        <v>1465</v>
      </c>
      <c r="C724" s="297" t="s">
        <v>2179</v>
      </c>
      <c r="D724" s="298">
        <v>4101</v>
      </c>
      <c r="E724" s="306" t="s">
        <v>2197</v>
      </c>
      <c r="F724" s="46"/>
      <c r="G724" s="297" t="s">
        <v>1137</v>
      </c>
      <c r="H724" s="308" t="str">
        <f t="shared" si="60"/>
        <v>MEP-L30P-1</v>
      </c>
      <c r="I724" s="302">
        <v>1</v>
      </c>
      <c r="K724" s="300"/>
      <c r="L724" s="300">
        <v>1</v>
      </c>
      <c r="M724" s="300">
        <v>1</v>
      </c>
      <c r="Q724" s="300">
        <v>1</v>
      </c>
      <c r="U724" s="300">
        <v>1</v>
      </c>
    </row>
    <row r="725" spans="2:21" s="18" customFormat="1" ht="12.75" customHeight="1" outlineLevel="3">
      <c r="B725" s="297" t="s">
        <v>1465</v>
      </c>
      <c r="C725" s="297" t="s">
        <v>2179</v>
      </c>
      <c r="D725" s="298">
        <v>4101</v>
      </c>
      <c r="E725" s="306" t="s">
        <v>2198</v>
      </c>
      <c r="F725" s="46"/>
      <c r="G725" s="297" t="s">
        <v>1137</v>
      </c>
      <c r="H725" s="308" t="str">
        <f t="shared" si="60"/>
        <v>MEP-L30P-1</v>
      </c>
      <c r="I725" s="302">
        <v>1</v>
      </c>
      <c r="K725" s="300"/>
      <c r="L725" s="300">
        <v>1</v>
      </c>
      <c r="M725" s="300">
        <v>1</v>
      </c>
      <c r="Q725" s="300">
        <v>1</v>
      </c>
      <c r="U725" s="300">
        <v>1</v>
      </c>
    </row>
    <row r="726" spans="2:21" s="18" customFormat="1" ht="12.75" customHeight="1" outlineLevel="3">
      <c r="B726" s="297" t="s">
        <v>1465</v>
      </c>
      <c r="C726" s="297" t="s">
        <v>2179</v>
      </c>
      <c r="D726" s="298">
        <v>4111</v>
      </c>
      <c r="E726" s="306" t="s">
        <v>2199</v>
      </c>
      <c r="F726" s="46"/>
      <c r="G726" s="297" t="s">
        <v>1137</v>
      </c>
      <c r="H726" s="308" t="str">
        <f t="shared" si="60"/>
        <v>MEP-L30P-1</v>
      </c>
      <c r="I726" s="302">
        <v>1</v>
      </c>
      <c r="K726" s="300"/>
      <c r="L726" s="300">
        <v>1</v>
      </c>
      <c r="M726" s="300">
        <v>1</v>
      </c>
      <c r="Q726" s="300">
        <v>1</v>
      </c>
      <c r="U726" s="300">
        <v>1</v>
      </c>
    </row>
    <row r="727" spans="2:21" s="18" customFormat="1" ht="12.75" customHeight="1" outlineLevel="3">
      <c r="B727" s="297" t="s">
        <v>1465</v>
      </c>
      <c r="C727" s="297" t="s">
        <v>2179</v>
      </c>
      <c r="D727" s="298">
        <v>4111</v>
      </c>
      <c r="E727" s="306" t="s">
        <v>2200</v>
      </c>
      <c r="F727" s="46"/>
      <c r="G727" s="297" t="s">
        <v>1137</v>
      </c>
      <c r="H727" s="308" t="str">
        <f t="shared" si="60"/>
        <v>MEP-L30P-1</v>
      </c>
      <c r="I727" s="302">
        <v>1</v>
      </c>
      <c r="K727" s="300"/>
      <c r="L727" s="300">
        <v>1</v>
      </c>
      <c r="M727" s="300">
        <v>1</v>
      </c>
      <c r="Q727" s="300">
        <v>1</v>
      </c>
      <c r="U727" s="300">
        <v>1</v>
      </c>
    </row>
    <row r="728" spans="2:21" s="18" customFormat="1" ht="12.75" customHeight="1" outlineLevel="3">
      <c r="B728" s="297" t="s">
        <v>1465</v>
      </c>
      <c r="C728" s="297" t="s">
        <v>2179</v>
      </c>
      <c r="D728" s="298">
        <v>1015</v>
      </c>
      <c r="E728" s="306" t="s">
        <v>2201</v>
      </c>
      <c r="F728" s="46"/>
      <c r="G728" s="297" t="s">
        <v>1137</v>
      </c>
      <c r="H728" s="308" t="str">
        <f t="shared" si="60"/>
        <v>MEP-L30P-1</v>
      </c>
      <c r="I728" s="302">
        <v>1</v>
      </c>
      <c r="K728" s="300"/>
      <c r="L728" s="300">
        <v>1</v>
      </c>
      <c r="M728" s="300">
        <v>1</v>
      </c>
      <c r="Q728" s="300">
        <v>1</v>
      </c>
      <c r="U728" s="300">
        <v>1</v>
      </c>
    </row>
    <row r="729" spans="2:21" s="18" customFormat="1" ht="12.75" customHeight="1" outlineLevel="3">
      <c r="B729" s="297" t="s">
        <v>1465</v>
      </c>
      <c r="C729" s="297" t="s">
        <v>2179</v>
      </c>
      <c r="D729" s="298">
        <v>1017</v>
      </c>
      <c r="E729" s="306" t="s">
        <v>2202</v>
      </c>
      <c r="F729" s="46"/>
      <c r="G729" s="297" t="s">
        <v>1137</v>
      </c>
      <c r="H729" s="308" t="str">
        <f t="shared" si="60"/>
        <v>MEP-L30P-1</v>
      </c>
      <c r="I729" s="302">
        <v>1</v>
      </c>
      <c r="K729" s="300"/>
      <c r="L729" s="300">
        <v>1</v>
      </c>
      <c r="M729" s="300">
        <v>1</v>
      </c>
      <c r="Q729" s="300">
        <v>1</v>
      </c>
      <c r="U729" s="300">
        <v>1</v>
      </c>
    </row>
    <row r="730" spans="2:21" s="18" customFormat="1" ht="3" customHeight="1" outlineLevel="1">
      <c r="B730" s="297"/>
      <c r="C730" s="297"/>
      <c r="D730" s="298"/>
      <c r="E730" s="306"/>
      <c r="F730" s="46"/>
      <c r="G730" s="46"/>
      <c r="H730" s="46"/>
      <c r="I730" s="302"/>
      <c r="K730" s="300"/>
      <c r="L730" s="300"/>
      <c r="M730" s="311"/>
    </row>
    <row r="731" spans="2:21" s="18" customFormat="1" ht="12.75" customHeight="1" outlineLevel="1">
      <c r="B731" s="317" t="s">
        <v>2282</v>
      </c>
      <c r="C731" s="297"/>
      <c r="D731" s="298"/>
      <c r="E731" s="306"/>
      <c r="F731" s="46"/>
      <c r="G731" s="46"/>
      <c r="H731" s="46"/>
      <c r="I731" s="302"/>
      <c r="K731" s="300"/>
      <c r="L731" s="300"/>
      <c r="M731" s="311"/>
    </row>
    <row r="732" spans="2:21" s="18" customFormat="1" ht="12.75" customHeight="1" outlineLevel="2">
      <c r="B732" s="297"/>
      <c r="C732" s="297"/>
      <c r="D732" s="298"/>
      <c r="E732" s="306"/>
      <c r="F732" s="46"/>
      <c r="G732" s="46"/>
      <c r="H732" s="46"/>
      <c r="I732" s="302"/>
      <c r="K732" s="300"/>
      <c r="L732" s="300"/>
      <c r="M732" s="311"/>
    </row>
    <row r="733" spans="2:21" s="18" customFormat="1" ht="12.75" customHeight="1" outlineLevel="2">
      <c r="B733" s="301" t="s">
        <v>1796</v>
      </c>
      <c r="C733" s="297"/>
      <c r="D733" s="298"/>
      <c r="E733" s="306"/>
      <c r="F733" s="46"/>
      <c r="G733" s="46"/>
      <c r="H733" s="46"/>
      <c r="I733" s="302"/>
      <c r="K733" s="300"/>
      <c r="L733" s="300"/>
      <c r="M733" s="311"/>
    </row>
    <row r="734" spans="2:21" s="18" customFormat="1" ht="12.75" customHeight="1" outlineLevel="3">
      <c r="B734" s="316" t="s">
        <v>2157</v>
      </c>
      <c r="C734" s="297"/>
      <c r="D734" s="298"/>
      <c r="E734" s="306"/>
      <c r="F734" s="46"/>
      <c r="G734" s="46"/>
      <c r="H734" s="46"/>
      <c r="I734" s="302"/>
      <c r="K734" s="300"/>
      <c r="L734" s="300"/>
      <c r="M734" s="311"/>
    </row>
    <row r="735" spans="2:21" s="18" customFormat="1" ht="12.75" customHeight="1" outlineLevel="4">
      <c r="B735" s="297" t="s">
        <v>1797</v>
      </c>
      <c r="C735" s="297" t="s">
        <v>2204</v>
      </c>
      <c r="D735" s="298">
        <v>4121</v>
      </c>
      <c r="E735" s="306" t="s">
        <v>2205</v>
      </c>
      <c r="F735" s="46"/>
      <c r="G735" s="297" t="s">
        <v>1139</v>
      </c>
      <c r="H735" s="308" t="str">
        <f>CONCATENATE("MEP-",G735,"-",I735)</f>
        <v>MEP-L45P-1</v>
      </c>
      <c r="I735" s="302">
        <v>1</v>
      </c>
      <c r="K735" s="300"/>
      <c r="L735" s="300">
        <v>1</v>
      </c>
      <c r="M735" s="300">
        <v>1</v>
      </c>
      <c r="Q735" s="300">
        <v>1</v>
      </c>
      <c r="U735" s="300">
        <v>1</v>
      </c>
    </row>
    <row r="736" spans="2:21" s="18" customFormat="1" ht="12.75" customHeight="1" outlineLevel="4">
      <c r="B736" s="297" t="s">
        <v>1797</v>
      </c>
      <c r="C736" s="297" t="s">
        <v>2204</v>
      </c>
      <c r="D736" s="298">
        <v>4131</v>
      </c>
      <c r="E736" s="306" t="s">
        <v>2206</v>
      </c>
      <c r="F736" s="46"/>
      <c r="G736" s="297" t="s">
        <v>1139</v>
      </c>
      <c r="H736" s="308" t="str">
        <f t="shared" ref="H736:H744" si="61">CONCATENATE("MEP-",G736,"-",I736)</f>
        <v>MEP-L45P-1</v>
      </c>
      <c r="I736" s="302">
        <v>1</v>
      </c>
      <c r="K736" s="300"/>
      <c r="L736" s="300">
        <v>1</v>
      </c>
      <c r="M736" s="300">
        <v>1</v>
      </c>
      <c r="Q736" s="300">
        <v>1</v>
      </c>
      <c r="U736" s="300">
        <v>1</v>
      </c>
    </row>
    <row r="737" spans="2:21" s="18" customFormat="1" ht="12.75" customHeight="1" outlineLevel="4">
      <c r="B737" s="297" t="s">
        <v>1797</v>
      </c>
      <c r="C737" s="297" t="s">
        <v>2204</v>
      </c>
      <c r="D737" s="298">
        <v>4141</v>
      </c>
      <c r="E737" s="306" t="s">
        <v>2207</v>
      </c>
      <c r="F737" s="46"/>
      <c r="G737" s="297" t="s">
        <v>1139</v>
      </c>
      <c r="H737" s="308" t="str">
        <f t="shared" si="61"/>
        <v>MEP-L45P-1</v>
      </c>
      <c r="I737" s="302">
        <v>1</v>
      </c>
      <c r="K737" s="300"/>
      <c r="L737" s="300">
        <v>1</v>
      </c>
      <c r="M737" s="300">
        <v>1</v>
      </c>
      <c r="Q737" s="300">
        <v>1</v>
      </c>
      <c r="U737" s="300">
        <v>1</v>
      </c>
    </row>
    <row r="738" spans="2:21" s="18" customFormat="1" ht="12.75" customHeight="1" outlineLevel="4">
      <c r="B738" s="297" t="s">
        <v>1797</v>
      </c>
      <c r="C738" s="297" t="s">
        <v>2204</v>
      </c>
      <c r="D738" s="298">
        <v>4151</v>
      </c>
      <c r="E738" s="306" t="s">
        <v>2208</v>
      </c>
      <c r="F738" s="46"/>
      <c r="G738" s="297" t="s">
        <v>1139</v>
      </c>
      <c r="H738" s="308" t="str">
        <f t="shared" si="61"/>
        <v>MEP-L45P-1</v>
      </c>
      <c r="I738" s="302">
        <v>1</v>
      </c>
      <c r="K738" s="300"/>
      <c r="L738" s="300">
        <v>1</v>
      </c>
      <c r="M738" s="300">
        <v>1</v>
      </c>
      <c r="Q738" s="300">
        <v>1</v>
      </c>
      <c r="U738" s="300">
        <v>1</v>
      </c>
    </row>
    <row r="739" spans="2:21" s="18" customFormat="1" ht="12.75" customHeight="1" outlineLevel="4">
      <c r="B739" s="297" t="s">
        <v>1797</v>
      </c>
      <c r="C739" s="297" t="s">
        <v>2204</v>
      </c>
      <c r="D739" s="298">
        <v>4161</v>
      </c>
      <c r="E739" s="306" t="s">
        <v>2209</v>
      </c>
      <c r="F739" s="46"/>
      <c r="G739" s="297" t="s">
        <v>1139</v>
      </c>
      <c r="H739" s="308" t="str">
        <f t="shared" si="61"/>
        <v>MEP-L45P-1</v>
      </c>
      <c r="I739" s="302">
        <v>1</v>
      </c>
      <c r="K739" s="300"/>
      <c r="L739" s="300">
        <v>1</v>
      </c>
      <c r="M739" s="300">
        <v>1</v>
      </c>
      <c r="Q739" s="300">
        <v>1</v>
      </c>
      <c r="U739" s="300">
        <v>1</v>
      </c>
    </row>
    <row r="740" spans="2:21" s="18" customFormat="1" ht="12.75" customHeight="1" outlineLevel="4">
      <c r="B740" s="297" t="s">
        <v>1797</v>
      </c>
      <c r="C740" s="297" t="s">
        <v>2204</v>
      </c>
      <c r="D740" s="298">
        <v>4161</v>
      </c>
      <c r="E740" s="306" t="s">
        <v>2210</v>
      </c>
      <c r="F740" s="46"/>
      <c r="G740" s="297" t="s">
        <v>1139</v>
      </c>
      <c r="H740" s="308" t="str">
        <f t="shared" si="61"/>
        <v>MEP-L45P-1</v>
      </c>
      <c r="I740" s="302">
        <v>1</v>
      </c>
      <c r="K740" s="300"/>
      <c r="L740" s="300">
        <v>1</v>
      </c>
      <c r="M740" s="300">
        <v>1</v>
      </c>
      <c r="Q740" s="300">
        <v>1</v>
      </c>
      <c r="U740" s="300">
        <v>1</v>
      </c>
    </row>
    <row r="741" spans="2:21" s="18" customFormat="1" ht="12.75" customHeight="1" outlineLevel="4">
      <c r="B741" s="297" t="s">
        <v>1797</v>
      </c>
      <c r="C741" s="297" t="s">
        <v>2204</v>
      </c>
      <c r="D741" s="298">
        <v>4181</v>
      </c>
      <c r="E741" s="306" t="s">
        <v>2211</v>
      </c>
      <c r="F741" s="46"/>
      <c r="G741" s="297" t="s">
        <v>1139</v>
      </c>
      <c r="H741" s="308" t="str">
        <f t="shared" si="61"/>
        <v>MEP-L45P-1</v>
      </c>
      <c r="I741" s="302">
        <v>1</v>
      </c>
      <c r="K741" s="300"/>
      <c r="L741" s="300">
        <v>1</v>
      </c>
      <c r="M741" s="300">
        <v>1</v>
      </c>
      <c r="Q741" s="300">
        <v>1</v>
      </c>
      <c r="U741" s="300">
        <v>1</v>
      </c>
    </row>
    <row r="742" spans="2:21" s="18" customFormat="1" ht="12.75" customHeight="1" outlineLevel="4">
      <c r="B742" s="297" t="s">
        <v>1797</v>
      </c>
      <c r="C742" s="297" t="s">
        <v>2204</v>
      </c>
      <c r="D742" s="298">
        <v>4191</v>
      </c>
      <c r="E742" s="306" t="s">
        <v>2212</v>
      </c>
      <c r="F742" s="46"/>
      <c r="G742" s="297" t="s">
        <v>1139</v>
      </c>
      <c r="H742" s="308" t="str">
        <f t="shared" si="61"/>
        <v>MEP-L45P-1</v>
      </c>
      <c r="I742" s="302">
        <v>1</v>
      </c>
      <c r="K742" s="300"/>
      <c r="L742" s="300">
        <v>1</v>
      </c>
      <c r="M742" s="300">
        <v>1</v>
      </c>
      <c r="Q742" s="300">
        <v>1</v>
      </c>
      <c r="U742" s="300">
        <v>1</v>
      </c>
    </row>
    <row r="743" spans="2:21" s="18" customFormat="1" ht="12.75" customHeight="1" outlineLevel="4">
      <c r="B743" s="297" t="s">
        <v>1797</v>
      </c>
      <c r="C743" s="297" t="s">
        <v>2204</v>
      </c>
      <c r="D743" s="298">
        <v>4201</v>
      </c>
      <c r="E743" s="306" t="s">
        <v>2213</v>
      </c>
      <c r="F743" s="46"/>
      <c r="G743" s="297" t="s">
        <v>1139</v>
      </c>
      <c r="H743" s="308" t="str">
        <f t="shared" si="61"/>
        <v>MEP-L45P-1</v>
      </c>
      <c r="I743" s="302">
        <v>1</v>
      </c>
      <c r="K743" s="300"/>
      <c r="L743" s="300">
        <v>1</v>
      </c>
      <c r="M743" s="300">
        <v>1</v>
      </c>
      <c r="Q743" s="300">
        <v>1</v>
      </c>
      <c r="U743" s="300">
        <v>1</v>
      </c>
    </row>
    <row r="744" spans="2:21" s="18" customFormat="1" ht="12.75" customHeight="1" outlineLevel="4">
      <c r="B744" s="297" t="s">
        <v>1797</v>
      </c>
      <c r="C744" s="297" t="s">
        <v>2204</v>
      </c>
      <c r="D744" s="298">
        <v>4211</v>
      </c>
      <c r="E744" s="306" t="s">
        <v>2214</v>
      </c>
      <c r="F744" s="46"/>
      <c r="G744" s="297" t="s">
        <v>1139</v>
      </c>
      <c r="H744" s="308" t="str">
        <f t="shared" si="61"/>
        <v>MEP-L45P-1</v>
      </c>
      <c r="I744" s="302">
        <v>1</v>
      </c>
      <c r="K744" s="300"/>
      <c r="L744" s="300">
        <v>1</v>
      </c>
      <c r="M744" s="300">
        <v>1</v>
      </c>
      <c r="Q744" s="300">
        <v>1</v>
      </c>
      <c r="U744" s="300">
        <v>1</v>
      </c>
    </row>
    <row r="745" spans="2:21" s="18" customFormat="1" ht="12.75" customHeight="1" outlineLevel="2">
      <c r="B745" s="297"/>
      <c r="C745" s="297"/>
      <c r="D745" s="298"/>
      <c r="E745" s="306"/>
      <c r="F745" s="46"/>
      <c r="G745" s="297"/>
      <c r="H745" s="308"/>
      <c r="I745" s="302"/>
      <c r="K745" s="300"/>
      <c r="L745" s="300"/>
      <c r="M745" s="300"/>
      <c r="Q745" s="300"/>
      <c r="U745" s="300"/>
    </row>
    <row r="746" spans="2:21" s="18" customFormat="1" ht="12.75" customHeight="1" outlineLevel="2">
      <c r="B746" s="301" t="s">
        <v>1810</v>
      </c>
      <c r="C746" s="297"/>
      <c r="D746" s="298"/>
      <c r="E746" s="306"/>
      <c r="F746" s="46"/>
      <c r="G746" s="46"/>
      <c r="H746" s="46"/>
      <c r="I746" s="302"/>
      <c r="K746" s="300"/>
      <c r="L746" s="300"/>
      <c r="M746" s="300"/>
      <c r="Q746" s="300"/>
      <c r="U746" s="300"/>
    </row>
    <row r="747" spans="2:21" s="18" customFormat="1" ht="12.75" customHeight="1" outlineLevel="5">
      <c r="B747" s="297" t="s">
        <v>1811</v>
      </c>
      <c r="C747" s="297" t="s">
        <v>2204</v>
      </c>
      <c r="D747" s="298">
        <v>1021</v>
      </c>
      <c r="E747" s="306" t="s">
        <v>2026</v>
      </c>
      <c r="F747" s="46"/>
      <c r="G747" s="297" t="s">
        <v>1139</v>
      </c>
      <c r="H747" s="308" t="str">
        <f>CONCATENATE("MEP-",G747,"-",I747)</f>
        <v>MEP-L45P-1</v>
      </c>
      <c r="I747" s="302">
        <v>1</v>
      </c>
      <c r="K747" s="300"/>
      <c r="L747" s="300">
        <v>1</v>
      </c>
      <c r="M747" s="300">
        <v>1</v>
      </c>
      <c r="Q747" s="300">
        <v>1</v>
      </c>
      <c r="U747" s="300">
        <v>1</v>
      </c>
    </row>
    <row r="748" spans="2:21" s="18" customFormat="1" ht="12.75" customHeight="1" outlineLevel="5">
      <c r="B748" s="297" t="s">
        <v>1811</v>
      </c>
      <c r="C748" s="297" t="s">
        <v>2204</v>
      </c>
      <c r="D748" s="298">
        <v>1051</v>
      </c>
      <c r="E748" s="306" t="s">
        <v>2038</v>
      </c>
      <c r="F748" s="46"/>
      <c r="G748" s="297" t="s">
        <v>1139</v>
      </c>
      <c r="H748" s="308" t="str">
        <f>CONCATENATE("MEP-",G748,"-",I748)</f>
        <v>MEP-L45P-1</v>
      </c>
      <c r="I748" s="302">
        <v>1</v>
      </c>
      <c r="K748" s="300"/>
      <c r="L748" s="300">
        <v>1</v>
      </c>
      <c r="M748" s="300">
        <v>1</v>
      </c>
      <c r="Q748" s="300">
        <v>1</v>
      </c>
      <c r="U748" s="300">
        <v>1</v>
      </c>
    </row>
    <row r="749" spans="2:21" s="18" customFormat="1" ht="12.75" customHeight="1" outlineLevel="5">
      <c r="B749" s="297" t="s">
        <v>1811</v>
      </c>
      <c r="C749" s="297" t="s">
        <v>2204</v>
      </c>
      <c r="D749" s="298">
        <v>1052</v>
      </c>
      <c r="E749" s="306" t="s">
        <v>2215</v>
      </c>
      <c r="F749" s="46"/>
      <c r="G749" s="297" t="s">
        <v>1139</v>
      </c>
      <c r="H749" s="308" t="str">
        <f>CONCATENATE("MEP-",G749,"-",I749)</f>
        <v>MEP-L45P-1</v>
      </c>
      <c r="I749" s="302">
        <v>1</v>
      </c>
      <c r="K749" s="300"/>
      <c r="L749" s="300">
        <v>1</v>
      </c>
      <c r="M749" s="300">
        <v>1</v>
      </c>
      <c r="Q749" s="300">
        <v>1</v>
      </c>
      <c r="U749" s="300">
        <v>1</v>
      </c>
    </row>
    <row r="750" spans="2:21" s="18" customFormat="1" ht="12.75" customHeight="1" outlineLevel="5">
      <c r="B750" s="297" t="s">
        <v>1811</v>
      </c>
      <c r="C750" s="297" t="s">
        <v>2204</v>
      </c>
      <c r="D750" s="298">
        <v>1061</v>
      </c>
      <c r="E750" s="306" t="s">
        <v>2216</v>
      </c>
      <c r="F750" s="46"/>
      <c r="G750" s="297" t="s">
        <v>1139</v>
      </c>
      <c r="H750" s="308" t="str">
        <f>CONCATENATE("MEP-",G750,"-",I750)</f>
        <v>MEP-L45P-1</v>
      </c>
      <c r="I750" s="302">
        <v>1</v>
      </c>
      <c r="K750" s="300"/>
      <c r="L750" s="300">
        <v>1</v>
      </c>
      <c r="M750" s="300">
        <v>1</v>
      </c>
      <c r="Q750" s="300">
        <v>1</v>
      </c>
      <c r="U750" s="300">
        <v>1</v>
      </c>
    </row>
    <row r="751" spans="2:21" s="18" customFormat="1" ht="12.75" customHeight="1" outlineLevel="5">
      <c r="B751" s="297" t="s">
        <v>1811</v>
      </c>
      <c r="C751" s="297" t="s">
        <v>2204</v>
      </c>
      <c r="D751" s="298">
        <v>1062</v>
      </c>
      <c r="E751" s="306" t="s">
        <v>2042</v>
      </c>
      <c r="F751" s="46"/>
      <c r="G751" s="297" t="s">
        <v>1139</v>
      </c>
      <c r="H751" s="308" t="str">
        <f>CONCATENATE("MEP-",G751,"-",I751)</f>
        <v>MEP-L45P-1</v>
      </c>
      <c r="I751" s="302">
        <v>1</v>
      </c>
      <c r="K751" s="300"/>
      <c r="L751" s="300">
        <v>1</v>
      </c>
      <c r="M751" s="300">
        <v>1</v>
      </c>
      <c r="Q751" s="300">
        <v>1</v>
      </c>
      <c r="U751" s="300">
        <v>1</v>
      </c>
    </row>
    <row r="752" spans="2:21" s="18" customFormat="1" ht="12.75" customHeight="1" outlineLevel="2"/>
    <row r="753" spans="2:21" s="18" customFormat="1" ht="12.75" customHeight="1" outlineLevel="2">
      <c r="B753" s="301" t="s">
        <v>1819</v>
      </c>
      <c r="C753" s="297"/>
      <c r="D753" s="298"/>
      <c r="E753" s="306"/>
      <c r="F753" s="46"/>
      <c r="G753" s="46"/>
      <c r="H753" s="46"/>
      <c r="I753" s="302"/>
      <c r="K753" s="300"/>
      <c r="L753" s="300"/>
      <c r="M753" s="300"/>
      <c r="Q753" s="300"/>
      <c r="U753" s="300"/>
    </row>
    <row r="754" spans="2:21" s="18" customFormat="1" ht="12.75" customHeight="1" outlineLevel="5">
      <c r="B754" s="297" t="s">
        <v>1819</v>
      </c>
      <c r="C754" s="297" t="s">
        <v>2204</v>
      </c>
      <c r="D754" s="298" t="s">
        <v>1861</v>
      </c>
      <c r="E754" s="306" t="s">
        <v>2217</v>
      </c>
      <c r="F754" s="46"/>
      <c r="G754" s="297" t="s">
        <v>1139</v>
      </c>
      <c r="H754" s="308" t="str">
        <f t="shared" ref="H754:H759" si="62">CONCATENATE("MEP-",G754,"-",I754)</f>
        <v>MEP-L45P-1</v>
      </c>
      <c r="I754" s="302">
        <v>1</v>
      </c>
      <c r="K754" s="300"/>
      <c r="L754" s="300">
        <v>1</v>
      </c>
      <c r="M754" s="300">
        <v>1</v>
      </c>
      <c r="Q754" s="300">
        <v>1</v>
      </c>
      <c r="U754" s="300">
        <v>1</v>
      </c>
    </row>
    <row r="755" spans="2:21" s="18" customFormat="1" ht="12.75" customHeight="1" outlineLevel="5">
      <c r="B755" s="297" t="s">
        <v>1819</v>
      </c>
      <c r="C755" s="297" t="s">
        <v>2204</v>
      </c>
      <c r="D755" s="298">
        <v>1011</v>
      </c>
      <c r="E755" s="306" t="s">
        <v>2218</v>
      </c>
      <c r="F755" s="46"/>
      <c r="G755" s="297" t="s">
        <v>1139</v>
      </c>
      <c r="H755" s="308" t="str">
        <f t="shared" si="62"/>
        <v>MEP-L45P-1</v>
      </c>
      <c r="I755" s="302">
        <v>1</v>
      </c>
      <c r="K755" s="300"/>
      <c r="L755" s="300">
        <v>1</v>
      </c>
      <c r="M755" s="300">
        <v>1</v>
      </c>
      <c r="Q755" s="300">
        <v>1</v>
      </c>
      <c r="U755" s="300">
        <v>1</v>
      </c>
    </row>
    <row r="756" spans="2:21" s="18" customFormat="1" ht="12.75" customHeight="1" outlineLevel="5">
      <c r="B756" s="297" t="s">
        <v>1819</v>
      </c>
      <c r="C756" s="297" t="s">
        <v>2204</v>
      </c>
      <c r="D756" s="298">
        <v>1021</v>
      </c>
      <c r="E756" s="306" t="s">
        <v>2219</v>
      </c>
      <c r="F756" s="46"/>
      <c r="G756" s="297" t="s">
        <v>1139</v>
      </c>
      <c r="H756" s="308" t="str">
        <f t="shared" si="62"/>
        <v>MEP-L45P-1</v>
      </c>
      <c r="I756" s="302">
        <v>1</v>
      </c>
      <c r="K756" s="300"/>
      <c r="L756" s="300">
        <v>1</v>
      </c>
      <c r="M756" s="300">
        <v>1</v>
      </c>
      <c r="Q756" s="300">
        <v>1</v>
      </c>
      <c r="U756" s="300">
        <v>1</v>
      </c>
    </row>
    <row r="757" spans="2:21" s="18" customFormat="1" ht="12.75" customHeight="1" outlineLevel="5">
      <c r="B757" s="297" t="s">
        <v>1819</v>
      </c>
      <c r="C757" s="297" t="s">
        <v>2204</v>
      </c>
      <c r="D757" s="298">
        <v>1031</v>
      </c>
      <c r="E757" s="306" t="s">
        <v>2220</v>
      </c>
      <c r="F757" s="46"/>
      <c r="G757" s="297" t="s">
        <v>1139</v>
      </c>
      <c r="H757" s="308" t="str">
        <f t="shared" si="62"/>
        <v>MEP-L45P-1</v>
      </c>
      <c r="I757" s="302">
        <v>1</v>
      </c>
      <c r="K757" s="300"/>
      <c r="L757" s="300">
        <v>1</v>
      </c>
      <c r="M757" s="300">
        <v>1</v>
      </c>
      <c r="Q757" s="300">
        <v>1</v>
      </c>
      <c r="U757" s="300">
        <v>1</v>
      </c>
    </row>
    <row r="758" spans="2:21" s="18" customFormat="1" ht="12.75" customHeight="1" outlineLevel="5">
      <c r="B758" s="297" t="s">
        <v>1819</v>
      </c>
      <c r="C758" s="297" t="s">
        <v>2204</v>
      </c>
      <c r="D758" s="298">
        <v>1041</v>
      </c>
      <c r="E758" s="306" t="s">
        <v>2221</v>
      </c>
      <c r="F758" s="46"/>
      <c r="G758" s="297" t="s">
        <v>1139</v>
      </c>
      <c r="H758" s="308" t="str">
        <f t="shared" si="62"/>
        <v>MEP-L45P-1</v>
      </c>
      <c r="I758" s="302">
        <v>1</v>
      </c>
      <c r="K758" s="300"/>
      <c r="L758" s="300">
        <v>1</v>
      </c>
      <c r="M758" s="300">
        <v>1</v>
      </c>
      <c r="Q758" s="300">
        <v>1</v>
      </c>
      <c r="U758" s="300">
        <v>1</v>
      </c>
    </row>
    <row r="759" spans="2:21" s="18" customFormat="1" ht="12.75" customHeight="1" outlineLevel="5">
      <c r="B759" s="297" t="s">
        <v>1819</v>
      </c>
      <c r="C759" s="297" t="s">
        <v>2204</v>
      </c>
      <c r="D759" s="298">
        <v>1051</v>
      </c>
      <c r="E759" s="306" t="s">
        <v>2222</v>
      </c>
      <c r="F759" s="46"/>
      <c r="G759" s="297" t="s">
        <v>1139</v>
      </c>
      <c r="H759" s="308" t="str">
        <f t="shared" si="62"/>
        <v>MEP-L45P-1</v>
      </c>
      <c r="I759" s="302">
        <v>1</v>
      </c>
      <c r="K759" s="300"/>
      <c r="L759" s="300">
        <v>1</v>
      </c>
      <c r="M759" s="300">
        <v>1</v>
      </c>
      <c r="Q759" s="300">
        <v>1</v>
      </c>
      <c r="U759" s="300">
        <v>1</v>
      </c>
    </row>
    <row r="760" spans="2:21" s="18" customFormat="1" ht="12.75" customHeight="1" outlineLevel="2">
      <c r="B760" s="297"/>
      <c r="C760" s="297"/>
      <c r="D760" s="298"/>
      <c r="E760" s="306"/>
      <c r="F760" s="46"/>
      <c r="G760" s="297"/>
      <c r="H760" s="308"/>
      <c r="I760" s="302"/>
      <c r="K760" s="300"/>
      <c r="L760" s="300"/>
    </row>
    <row r="761" spans="2:21" s="18" customFormat="1" ht="12.75" customHeight="1" outlineLevel="2">
      <c r="B761" s="301" t="s">
        <v>2003</v>
      </c>
      <c r="C761" s="297"/>
      <c r="D761" s="298"/>
      <c r="E761" s="306"/>
      <c r="F761" s="46"/>
      <c r="G761" s="46"/>
      <c r="H761" s="46"/>
      <c r="I761" s="302"/>
      <c r="K761" s="300"/>
      <c r="L761" s="300"/>
    </row>
    <row r="762" spans="2:21" s="18" customFormat="1" ht="12.75" customHeight="1" outlineLevel="3">
      <c r="B762" s="297" t="s">
        <v>1465</v>
      </c>
      <c r="C762" s="297" t="s">
        <v>2204</v>
      </c>
      <c r="D762" s="298">
        <v>4121</v>
      </c>
      <c r="E762" s="306" t="s">
        <v>2223</v>
      </c>
      <c r="F762" s="46"/>
      <c r="G762" s="297" t="s">
        <v>1139</v>
      </c>
      <c r="H762" s="308" t="str">
        <f t="shared" ref="H762:H789" si="63">CONCATENATE("MEP-",G762,"-",I762)</f>
        <v>MEP-L45P-1</v>
      </c>
      <c r="I762" s="302">
        <v>1</v>
      </c>
      <c r="K762" s="300"/>
      <c r="L762" s="300">
        <v>1</v>
      </c>
      <c r="M762" s="300">
        <v>1</v>
      </c>
      <c r="Q762" s="300">
        <v>1</v>
      </c>
      <c r="U762" s="300">
        <v>1</v>
      </c>
    </row>
    <row r="763" spans="2:21" s="18" customFormat="1" ht="12.75" customHeight="1" outlineLevel="3">
      <c r="B763" s="297" t="s">
        <v>1465</v>
      </c>
      <c r="C763" s="297" t="s">
        <v>2204</v>
      </c>
      <c r="D763" s="298">
        <v>4131</v>
      </c>
      <c r="E763" s="306" t="s">
        <v>2224</v>
      </c>
      <c r="F763" s="46"/>
      <c r="G763" s="297" t="s">
        <v>1139</v>
      </c>
      <c r="H763" s="308" t="str">
        <f t="shared" si="63"/>
        <v>MEP-L45P-1</v>
      </c>
      <c r="I763" s="302">
        <v>1</v>
      </c>
      <c r="K763" s="300"/>
      <c r="L763" s="300">
        <v>1</v>
      </c>
      <c r="M763" s="300">
        <v>1</v>
      </c>
      <c r="Q763" s="300">
        <v>1</v>
      </c>
      <c r="U763" s="300">
        <v>1</v>
      </c>
    </row>
    <row r="764" spans="2:21" s="18" customFormat="1" ht="12.75" customHeight="1" outlineLevel="3">
      <c r="B764" s="297" t="s">
        <v>1465</v>
      </c>
      <c r="C764" s="297" t="s">
        <v>2204</v>
      </c>
      <c r="D764" s="298">
        <v>4141</v>
      </c>
      <c r="E764" s="306" t="s">
        <v>2225</v>
      </c>
      <c r="F764" s="46"/>
      <c r="G764" s="297" t="s">
        <v>1139</v>
      </c>
      <c r="H764" s="308" t="str">
        <f t="shared" si="63"/>
        <v>MEP-L45P-1</v>
      </c>
      <c r="I764" s="302">
        <v>1</v>
      </c>
      <c r="K764" s="300"/>
      <c r="L764" s="300">
        <v>1</v>
      </c>
      <c r="M764" s="300">
        <v>1</v>
      </c>
      <c r="Q764" s="300">
        <v>1</v>
      </c>
      <c r="U764" s="300">
        <v>1</v>
      </c>
    </row>
    <row r="765" spans="2:21" s="18" customFormat="1" ht="12.75" customHeight="1" outlineLevel="3">
      <c r="B765" s="297" t="s">
        <v>1465</v>
      </c>
      <c r="C765" s="297" t="s">
        <v>2204</v>
      </c>
      <c r="D765" s="298">
        <v>4151</v>
      </c>
      <c r="E765" s="306" t="s">
        <v>2226</v>
      </c>
      <c r="F765" s="46"/>
      <c r="G765" s="297" t="s">
        <v>1139</v>
      </c>
      <c r="H765" s="308" t="str">
        <f t="shared" si="63"/>
        <v>MEP-L45P-1</v>
      </c>
      <c r="I765" s="302">
        <v>1</v>
      </c>
      <c r="K765" s="300"/>
      <c r="L765" s="300">
        <v>1</v>
      </c>
      <c r="M765" s="300">
        <v>1</v>
      </c>
      <c r="Q765" s="300">
        <v>1</v>
      </c>
      <c r="U765" s="300">
        <v>1</v>
      </c>
    </row>
    <row r="766" spans="2:21" s="18" customFormat="1" ht="12.75" customHeight="1" outlineLevel="3">
      <c r="B766" s="297" t="s">
        <v>1465</v>
      </c>
      <c r="C766" s="297" t="s">
        <v>2204</v>
      </c>
      <c r="D766" s="298">
        <v>4161</v>
      </c>
      <c r="E766" s="306" t="s">
        <v>2227</v>
      </c>
      <c r="F766" s="46"/>
      <c r="G766" s="297" t="s">
        <v>1139</v>
      </c>
      <c r="H766" s="308" t="str">
        <f t="shared" si="63"/>
        <v>MEP-L45P-1</v>
      </c>
      <c r="I766" s="302">
        <v>1</v>
      </c>
      <c r="K766" s="300"/>
      <c r="L766" s="300">
        <v>1</v>
      </c>
      <c r="M766" s="300">
        <v>1</v>
      </c>
      <c r="Q766" s="300">
        <v>1</v>
      </c>
      <c r="U766" s="300">
        <v>1</v>
      </c>
    </row>
    <row r="767" spans="2:21" s="18" customFormat="1" ht="12.75" customHeight="1" outlineLevel="3">
      <c r="B767" s="297" t="s">
        <v>1465</v>
      </c>
      <c r="C767" s="297" t="s">
        <v>2204</v>
      </c>
      <c r="D767" s="298">
        <v>4161</v>
      </c>
      <c r="E767" s="306" t="s">
        <v>2228</v>
      </c>
      <c r="F767" s="46"/>
      <c r="G767" s="297" t="s">
        <v>1139</v>
      </c>
      <c r="H767" s="308" t="str">
        <f t="shared" si="63"/>
        <v>MEP-L45P-1</v>
      </c>
      <c r="I767" s="302">
        <v>1</v>
      </c>
      <c r="K767" s="300"/>
      <c r="L767" s="300">
        <v>1</v>
      </c>
      <c r="M767" s="300">
        <v>1</v>
      </c>
      <c r="Q767" s="300">
        <v>1</v>
      </c>
      <c r="U767" s="300">
        <v>1</v>
      </c>
    </row>
    <row r="768" spans="2:21" s="18" customFormat="1" ht="12.75" customHeight="1" outlineLevel="3">
      <c r="B768" s="297" t="s">
        <v>1465</v>
      </c>
      <c r="C768" s="297" t="s">
        <v>2204</v>
      </c>
      <c r="D768" s="298">
        <v>4181</v>
      </c>
      <c r="E768" s="306" t="s">
        <v>2229</v>
      </c>
      <c r="F768" s="46"/>
      <c r="G768" s="297" t="s">
        <v>1139</v>
      </c>
      <c r="H768" s="308" t="str">
        <f t="shared" si="63"/>
        <v>MEP-L45P-1</v>
      </c>
      <c r="I768" s="302">
        <v>1</v>
      </c>
      <c r="K768" s="300"/>
      <c r="L768" s="300">
        <v>1</v>
      </c>
      <c r="M768" s="300">
        <v>1</v>
      </c>
      <c r="Q768" s="300">
        <v>1</v>
      </c>
      <c r="U768" s="300">
        <v>1</v>
      </c>
    </row>
    <row r="769" spans="1:21" s="18" customFormat="1" ht="12.75" customHeight="1" outlineLevel="3">
      <c r="B769" s="297" t="s">
        <v>1465</v>
      </c>
      <c r="C769" s="297" t="s">
        <v>2204</v>
      </c>
      <c r="D769" s="298">
        <v>4191</v>
      </c>
      <c r="E769" s="306" t="s">
        <v>2230</v>
      </c>
      <c r="F769" s="46"/>
      <c r="G769" s="297" t="s">
        <v>1139</v>
      </c>
      <c r="H769" s="308" t="str">
        <f t="shared" si="63"/>
        <v>MEP-L45P-1</v>
      </c>
      <c r="I769" s="302">
        <v>1</v>
      </c>
      <c r="K769" s="300"/>
      <c r="L769" s="300">
        <v>1</v>
      </c>
      <c r="M769" s="300">
        <v>1</v>
      </c>
      <c r="Q769" s="300">
        <v>1</v>
      </c>
      <c r="U769" s="300">
        <v>1</v>
      </c>
    </row>
    <row r="770" spans="1:21" s="18" customFormat="1" ht="12.75" customHeight="1" outlineLevel="3">
      <c r="B770" s="297" t="s">
        <v>1465</v>
      </c>
      <c r="C770" s="297" t="s">
        <v>2204</v>
      </c>
      <c r="D770" s="298">
        <v>4201</v>
      </c>
      <c r="E770" s="306" t="s">
        <v>2231</v>
      </c>
      <c r="F770" s="46"/>
      <c r="G770" s="297" t="s">
        <v>1139</v>
      </c>
      <c r="H770" s="308" t="str">
        <f t="shared" si="63"/>
        <v>MEP-L45P-1</v>
      </c>
      <c r="I770" s="302">
        <v>1</v>
      </c>
      <c r="K770" s="300"/>
      <c r="L770" s="300">
        <v>1</v>
      </c>
      <c r="M770" s="300">
        <v>1</v>
      </c>
      <c r="Q770" s="300">
        <v>1</v>
      </c>
      <c r="U770" s="300">
        <v>1</v>
      </c>
    </row>
    <row r="771" spans="1:21" s="18" customFormat="1" ht="12.75" customHeight="1" outlineLevel="3">
      <c r="B771" s="297" t="s">
        <v>1465</v>
      </c>
      <c r="C771" s="297" t="s">
        <v>2204</v>
      </c>
      <c r="D771" s="298">
        <v>4211</v>
      </c>
      <c r="E771" s="306" t="s">
        <v>2232</v>
      </c>
      <c r="F771" s="46"/>
      <c r="G771" s="297" t="s">
        <v>1139</v>
      </c>
      <c r="H771" s="308" t="str">
        <f t="shared" si="63"/>
        <v>MEP-L45P-1</v>
      </c>
      <c r="I771" s="302">
        <v>1</v>
      </c>
      <c r="K771" s="300"/>
      <c r="L771" s="300">
        <v>1</v>
      </c>
      <c r="M771" s="300">
        <v>1</v>
      </c>
      <c r="Q771" s="300">
        <v>1</v>
      </c>
      <c r="U771" s="300">
        <v>1</v>
      </c>
    </row>
    <row r="772" spans="1:21" s="18" customFormat="1" ht="12.75" customHeight="1" outlineLevel="3">
      <c r="B772" s="297" t="s">
        <v>1465</v>
      </c>
      <c r="C772" s="297" t="s">
        <v>2204</v>
      </c>
      <c r="D772" s="298">
        <v>1015</v>
      </c>
      <c r="E772" s="306" t="s">
        <v>2233</v>
      </c>
      <c r="F772" s="46"/>
      <c r="G772" s="297" t="s">
        <v>1139</v>
      </c>
      <c r="H772" s="308" t="str">
        <f t="shared" si="63"/>
        <v>MEP-L45P-1</v>
      </c>
      <c r="I772" s="302">
        <v>1</v>
      </c>
      <c r="K772" s="300"/>
      <c r="L772" s="300">
        <v>1</v>
      </c>
      <c r="M772" s="300">
        <v>1</v>
      </c>
      <c r="Q772" s="300">
        <v>1</v>
      </c>
      <c r="U772" s="300">
        <v>1</v>
      </c>
    </row>
    <row r="773" spans="1:21" s="18" customFormat="1" ht="12.75" customHeight="1" outlineLevel="3">
      <c r="B773" s="297" t="s">
        <v>1465</v>
      </c>
      <c r="C773" s="297" t="s">
        <v>2204</v>
      </c>
      <c r="D773" s="298">
        <v>1011</v>
      </c>
      <c r="E773" s="306" t="s">
        <v>2234</v>
      </c>
      <c r="F773" s="46"/>
      <c r="G773" s="297" t="s">
        <v>1139</v>
      </c>
      <c r="H773" s="308" t="str">
        <f t="shared" si="63"/>
        <v>MEP-L45P-1</v>
      </c>
      <c r="I773" s="302">
        <v>1</v>
      </c>
      <c r="K773" s="300"/>
      <c r="L773" s="300">
        <v>1</v>
      </c>
      <c r="M773" s="300">
        <v>1</v>
      </c>
      <c r="Q773" s="300">
        <v>1</v>
      </c>
      <c r="U773" s="300">
        <v>1</v>
      </c>
    </row>
    <row r="774" spans="1:21" s="18" customFormat="1" ht="12.75" customHeight="1" outlineLevel="3">
      <c r="B774" s="297" t="s">
        <v>1465</v>
      </c>
      <c r="C774" s="297" t="s">
        <v>2204</v>
      </c>
      <c r="D774" s="298">
        <v>1021</v>
      </c>
      <c r="E774" s="306" t="s">
        <v>2235</v>
      </c>
      <c r="F774" s="46"/>
      <c r="G774" s="297" t="s">
        <v>1139</v>
      </c>
      <c r="H774" s="308" t="str">
        <f t="shared" si="63"/>
        <v>MEP-L45P-1</v>
      </c>
      <c r="I774" s="302">
        <v>1</v>
      </c>
      <c r="K774" s="300"/>
      <c r="L774" s="300">
        <v>1</v>
      </c>
      <c r="M774" s="300">
        <v>1</v>
      </c>
      <c r="Q774" s="300">
        <v>1</v>
      </c>
      <c r="U774" s="300">
        <v>1</v>
      </c>
    </row>
    <row r="775" spans="1:21" s="18" customFormat="1" ht="12.75" customHeight="1" outlineLevel="3">
      <c r="B775" s="297" t="s">
        <v>1465</v>
      </c>
      <c r="C775" s="297" t="s">
        <v>2204</v>
      </c>
      <c r="D775" s="298">
        <v>1031</v>
      </c>
      <c r="E775" s="306" t="s">
        <v>2236</v>
      </c>
      <c r="F775" s="46"/>
      <c r="G775" s="297" t="s">
        <v>1139</v>
      </c>
      <c r="H775" s="308" t="str">
        <f t="shared" si="63"/>
        <v>MEP-L45P-1</v>
      </c>
      <c r="I775" s="302">
        <v>1</v>
      </c>
      <c r="K775" s="300"/>
      <c r="L775" s="300">
        <v>1</v>
      </c>
      <c r="M775" s="300">
        <v>1</v>
      </c>
      <c r="Q775" s="300">
        <v>1</v>
      </c>
      <c r="U775" s="300">
        <v>1</v>
      </c>
    </row>
    <row r="776" spans="1:21" s="18" customFormat="1" ht="12.75" customHeight="1" outlineLevel="3">
      <c r="B776" s="297" t="s">
        <v>1465</v>
      </c>
      <c r="C776" s="297" t="s">
        <v>2204</v>
      </c>
      <c r="D776" s="298">
        <v>1041</v>
      </c>
      <c r="E776" s="306" t="s">
        <v>2237</v>
      </c>
      <c r="F776" s="46"/>
      <c r="G776" s="297" t="s">
        <v>1139</v>
      </c>
      <c r="H776" s="308" t="str">
        <f t="shared" si="63"/>
        <v>MEP-L45P-1</v>
      </c>
      <c r="I776" s="302">
        <v>1</v>
      </c>
      <c r="K776" s="300"/>
      <c r="L776" s="300">
        <v>1</v>
      </c>
      <c r="M776" s="300">
        <v>1</v>
      </c>
      <c r="Q776" s="300">
        <v>1</v>
      </c>
      <c r="U776" s="300">
        <v>1</v>
      </c>
    </row>
    <row r="777" spans="1:21" s="18" customFormat="1" ht="12.75" customHeight="1" outlineLevel="3">
      <c r="B777" s="297" t="s">
        <v>1465</v>
      </c>
      <c r="C777" s="297" t="s">
        <v>2204</v>
      </c>
      <c r="D777" s="298">
        <v>1051</v>
      </c>
      <c r="E777" s="306" t="s">
        <v>2238</v>
      </c>
      <c r="F777" s="46"/>
      <c r="G777" s="297" t="s">
        <v>1139</v>
      </c>
      <c r="H777" s="308" t="str">
        <f t="shared" si="63"/>
        <v>MEP-L45P-1</v>
      </c>
      <c r="I777" s="302">
        <v>1</v>
      </c>
      <c r="K777" s="300"/>
      <c r="L777" s="300">
        <v>1</v>
      </c>
      <c r="M777" s="300">
        <v>1</v>
      </c>
      <c r="Q777" s="300">
        <v>1</v>
      </c>
      <c r="U777" s="300">
        <v>1</v>
      </c>
    </row>
    <row r="778" spans="1:21" s="18" customFormat="1" ht="12.75" customHeight="1" outlineLevel="3">
      <c r="B778" s="297" t="s">
        <v>1465</v>
      </c>
      <c r="C778" s="297" t="s">
        <v>2204</v>
      </c>
      <c r="D778" s="298">
        <v>1061</v>
      </c>
      <c r="E778" s="306" t="s">
        <v>2239</v>
      </c>
      <c r="F778" s="46"/>
      <c r="G778" s="297" t="s">
        <v>1139</v>
      </c>
      <c r="H778" s="308" t="str">
        <f t="shared" si="63"/>
        <v>MEP-L45P-1</v>
      </c>
      <c r="I778" s="302">
        <v>1</v>
      </c>
      <c r="K778" s="300"/>
      <c r="L778" s="300">
        <v>1</v>
      </c>
      <c r="M778" s="300">
        <v>1</v>
      </c>
      <c r="Q778" s="300">
        <v>1</v>
      </c>
      <c r="U778" s="300">
        <v>1</v>
      </c>
    </row>
    <row r="779" spans="1:21" s="18" customFormat="1" ht="12.75" customHeight="1" outlineLevel="3">
      <c r="B779" s="297" t="s">
        <v>1465</v>
      </c>
      <c r="C779" s="297" t="s">
        <v>2204</v>
      </c>
      <c r="D779" s="298">
        <v>1071</v>
      </c>
      <c r="E779" s="306" t="s">
        <v>2240</v>
      </c>
      <c r="F779" s="46"/>
      <c r="G779" s="297" t="s">
        <v>1139</v>
      </c>
      <c r="H779" s="308" t="str">
        <f t="shared" si="63"/>
        <v>MEP-L45P-1</v>
      </c>
      <c r="I779" s="302">
        <v>1</v>
      </c>
      <c r="K779" s="300"/>
      <c r="L779" s="300">
        <v>1</v>
      </c>
      <c r="M779" s="300">
        <v>1</v>
      </c>
      <c r="Q779" s="300">
        <v>1</v>
      </c>
      <c r="U779" s="300">
        <v>1</v>
      </c>
    </row>
    <row r="780" spans="1:21" s="18" customFormat="1" ht="12.75" customHeight="1" outlineLevel="3">
      <c r="B780" s="297" t="s">
        <v>1465</v>
      </c>
      <c r="C780" s="297" t="s">
        <v>2204</v>
      </c>
      <c r="D780" s="298">
        <v>1081</v>
      </c>
      <c r="E780" s="306" t="s">
        <v>2241</v>
      </c>
      <c r="F780" s="46"/>
      <c r="G780" s="297" t="s">
        <v>1139</v>
      </c>
      <c r="H780" s="308" t="str">
        <f t="shared" si="63"/>
        <v>MEP-L45P-1</v>
      </c>
      <c r="I780" s="302">
        <v>1</v>
      </c>
      <c r="K780" s="300"/>
      <c r="L780" s="300">
        <v>1</v>
      </c>
      <c r="M780" s="300">
        <v>1</v>
      </c>
      <c r="Q780" s="300">
        <v>1</v>
      </c>
      <c r="U780" s="300">
        <v>1</v>
      </c>
    </row>
    <row r="781" spans="1:21" s="18" customFormat="1" ht="12.75" customHeight="1" outlineLevel="3">
      <c r="B781" s="297" t="s">
        <v>1465</v>
      </c>
      <c r="C781" s="297" t="s">
        <v>2204</v>
      </c>
      <c r="D781" s="298">
        <v>1091</v>
      </c>
      <c r="E781" s="306" t="s">
        <v>2242</v>
      </c>
      <c r="F781" s="46"/>
      <c r="G781" s="297" t="s">
        <v>1139</v>
      </c>
      <c r="H781" s="308" t="str">
        <f t="shared" si="63"/>
        <v>MEP-L45P-1</v>
      </c>
      <c r="I781" s="302">
        <v>1</v>
      </c>
      <c r="K781" s="300"/>
      <c r="L781" s="300">
        <v>1</v>
      </c>
      <c r="M781" s="300">
        <v>1</v>
      </c>
      <c r="Q781" s="300">
        <v>1</v>
      </c>
      <c r="U781" s="300">
        <v>1</v>
      </c>
    </row>
    <row r="782" spans="1:21" s="18" customFormat="1" ht="12.75" customHeight="1" outlineLevel="3">
      <c r="B782" s="297" t="s">
        <v>1465</v>
      </c>
      <c r="C782" s="297" t="s">
        <v>2204</v>
      </c>
      <c r="D782" s="298">
        <v>5011</v>
      </c>
      <c r="E782" s="306" t="s">
        <v>2243</v>
      </c>
      <c r="F782" s="46"/>
      <c r="G782" s="297" t="s">
        <v>1139</v>
      </c>
      <c r="H782" s="308" t="str">
        <f t="shared" si="63"/>
        <v>MEP-L45P-1</v>
      </c>
      <c r="I782" s="302">
        <v>1</v>
      </c>
      <c r="K782" s="300"/>
      <c r="L782" s="300">
        <v>1</v>
      </c>
      <c r="M782" s="300">
        <v>1</v>
      </c>
      <c r="Q782" s="300">
        <v>1</v>
      </c>
      <c r="U782" s="300">
        <v>1</v>
      </c>
    </row>
    <row r="783" spans="1:21" s="18" customFormat="1" ht="12.75" customHeight="1" outlineLevel="3">
      <c r="B783" s="297" t="s">
        <v>1465</v>
      </c>
      <c r="C783" s="297" t="s">
        <v>2204</v>
      </c>
      <c r="D783" s="298">
        <v>5021</v>
      </c>
      <c r="E783" s="306" t="s">
        <v>2244</v>
      </c>
      <c r="F783" s="46"/>
      <c r="G783" s="297" t="s">
        <v>1139</v>
      </c>
      <c r="H783" s="308" t="str">
        <f t="shared" si="63"/>
        <v>MEP-L45P-1</v>
      </c>
      <c r="I783" s="302">
        <v>1</v>
      </c>
      <c r="K783" s="300"/>
      <c r="L783" s="300">
        <v>1</v>
      </c>
      <c r="M783" s="300">
        <v>1</v>
      </c>
      <c r="Q783" s="300">
        <v>1</v>
      </c>
      <c r="U783" s="300">
        <v>1</v>
      </c>
    </row>
    <row r="784" spans="1:21" s="18" customFormat="1" ht="12.75" customHeight="1" outlineLevel="3">
      <c r="A784" s="288"/>
      <c r="B784" s="297" t="s">
        <v>1465</v>
      </c>
      <c r="C784" s="297" t="s">
        <v>2204</v>
      </c>
      <c r="D784" s="298">
        <v>5031</v>
      </c>
      <c r="E784" s="306" t="s">
        <v>2245</v>
      </c>
      <c r="F784" s="46"/>
      <c r="G784" s="297" t="s">
        <v>1139</v>
      </c>
      <c r="H784" s="308" t="str">
        <f t="shared" si="63"/>
        <v>MEP-L45P-1</v>
      </c>
      <c r="I784" s="302">
        <v>1</v>
      </c>
      <c r="K784" s="300"/>
      <c r="L784" s="300">
        <v>1</v>
      </c>
      <c r="M784" s="300">
        <v>1</v>
      </c>
      <c r="Q784" s="300">
        <v>1</v>
      </c>
      <c r="U784" s="300">
        <v>1</v>
      </c>
    </row>
    <row r="785" spans="1:21" s="18" customFormat="1" ht="12.75" customHeight="1" outlineLevel="3">
      <c r="A785" s="288"/>
      <c r="B785" s="297" t="s">
        <v>1465</v>
      </c>
      <c r="C785" s="297" t="s">
        <v>2204</v>
      </c>
      <c r="D785" s="298">
        <v>5041</v>
      </c>
      <c r="E785" s="306" t="s">
        <v>2246</v>
      </c>
      <c r="F785" s="46"/>
      <c r="G785" s="297" t="s">
        <v>1139</v>
      </c>
      <c r="H785" s="308" t="str">
        <f t="shared" si="63"/>
        <v>MEP-L45P-1</v>
      </c>
      <c r="I785" s="302">
        <v>1</v>
      </c>
      <c r="K785" s="300"/>
      <c r="L785" s="300">
        <v>1</v>
      </c>
      <c r="M785" s="300">
        <v>1</v>
      </c>
      <c r="Q785" s="300">
        <v>1</v>
      </c>
      <c r="U785" s="300">
        <v>1</v>
      </c>
    </row>
    <row r="786" spans="1:21" s="18" customFormat="1" ht="12.75" customHeight="1" outlineLevel="3">
      <c r="A786" s="288"/>
      <c r="B786" s="297" t="s">
        <v>1465</v>
      </c>
      <c r="C786" s="297" t="s">
        <v>2204</v>
      </c>
      <c r="D786" s="298">
        <v>5051</v>
      </c>
      <c r="E786" s="306" t="s">
        <v>2247</v>
      </c>
      <c r="F786" s="46"/>
      <c r="G786" s="297" t="s">
        <v>1139</v>
      </c>
      <c r="H786" s="308" t="str">
        <f t="shared" si="63"/>
        <v>MEP-L45P-1</v>
      </c>
      <c r="I786" s="302">
        <v>1</v>
      </c>
      <c r="K786" s="300"/>
      <c r="L786" s="300">
        <v>1</v>
      </c>
      <c r="M786" s="300">
        <v>1</v>
      </c>
      <c r="Q786" s="300">
        <v>1</v>
      </c>
      <c r="U786" s="300">
        <v>1</v>
      </c>
    </row>
    <row r="787" spans="1:21" s="18" customFormat="1" ht="12.75" customHeight="1" outlineLevel="3">
      <c r="A787" s="288"/>
      <c r="B787" s="297" t="s">
        <v>1465</v>
      </c>
      <c r="C787" s="297" t="s">
        <v>2204</v>
      </c>
      <c r="D787" s="298">
        <v>5061</v>
      </c>
      <c r="E787" s="306" t="s">
        <v>2248</v>
      </c>
      <c r="F787" s="46"/>
      <c r="G787" s="297" t="s">
        <v>1139</v>
      </c>
      <c r="H787" s="308" t="str">
        <f t="shared" si="63"/>
        <v>MEP-L45P-1</v>
      </c>
      <c r="I787" s="302">
        <v>1</v>
      </c>
      <c r="K787" s="300"/>
      <c r="L787" s="300">
        <v>1</v>
      </c>
      <c r="M787" s="300">
        <v>1</v>
      </c>
      <c r="Q787" s="300">
        <v>1</v>
      </c>
      <c r="U787" s="300">
        <v>1</v>
      </c>
    </row>
    <row r="788" spans="1:21" s="18" customFormat="1" ht="12.75" customHeight="1" outlineLevel="3">
      <c r="A788" s="288"/>
      <c r="B788" s="297" t="s">
        <v>1465</v>
      </c>
      <c r="C788" s="297" t="s">
        <v>2204</v>
      </c>
      <c r="D788" s="298">
        <v>5071</v>
      </c>
      <c r="E788" s="306" t="s">
        <v>2249</v>
      </c>
      <c r="F788" s="46"/>
      <c r="G788" s="297" t="s">
        <v>1139</v>
      </c>
      <c r="H788" s="308" t="str">
        <f t="shared" si="63"/>
        <v>MEP-L45P-1</v>
      </c>
      <c r="I788" s="302">
        <v>1</v>
      </c>
      <c r="K788" s="300"/>
      <c r="L788" s="300">
        <v>1</v>
      </c>
      <c r="M788" s="300">
        <v>1</v>
      </c>
      <c r="Q788" s="300">
        <v>1</v>
      </c>
      <c r="U788" s="300">
        <v>1</v>
      </c>
    </row>
    <row r="789" spans="1:21" s="18" customFormat="1" ht="12.75" customHeight="1" outlineLevel="3">
      <c r="A789" s="288"/>
      <c r="B789" s="297" t="s">
        <v>1465</v>
      </c>
      <c r="C789" s="297" t="s">
        <v>2204</v>
      </c>
      <c r="D789" s="298">
        <v>5081</v>
      </c>
      <c r="E789" s="306" t="s">
        <v>2250</v>
      </c>
      <c r="F789" s="46"/>
      <c r="G789" s="297" t="s">
        <v>1139</v>
      </c>
      <c r="H789" s="308" t="str">
        <f t="shared" si="63"/>
        <v>MEP-L45P-1</v>
      </c>
      <c r="I789" s="302">
        <v>1</v>
      </c>
      <c r="K789" s="300"/>
      <c r="L789" s="300">
        <v>1</v>
      </c>
      <c r="M789" s="300">
        <v>1</v>
      </c>
      <c r="Q789" s="300">
        <v>1</v>
      </c>
      <c r="U789" s="300">
        <v>1</v>
      </c>
    </row>
    <row r="790" spans="1:21" s="18" customFormat="1" ht="3" customHeight="1">
      <c r="A790" s="288"/>
      <c r="B790" s="297"/>
      <c r="C790" s="297"/>
      <c r="D790" s="298"/>
      <c r="E790" s="306"/>
      <c r="F790" s="46"/>
      <c r="G790" s="297"/>
      <c r="H790" s="308"/>
      <c r="I790" s="302"/>
      <c r="K790" s="300"/>
      <c r="L790" s="300"/>
      <c r="M790" s="300"/>
    </row>
    <row r="791" spans="1:21" s="18" customFormat="1" ht="12.75" customHeight="1">
      <c r="A791" s="288" t="s">
        <v>204</v>
      </c>
      <c r="B791" s="297"/>
      <c r="C791" s="297"/>
      <c r="D791" s="298"/>
      <c r="E791" s="306"/>
      <c r="F791" s="46"/>
      <c r="G791" s="41" t="s">
        <v>257</v>
      </c>
      <c r="H791" s="41" t="s">
        <v>258</v>
      </c>
      <c r="I791" s="42" t="s">
        <v>259</v>
      </c>
      <c r="J791" s="300"/>
      <c r="K791" s="300"/>
      <c r="L791" s="149"/>
      <c r="M791" s="149"/>
    </row>
    <row r="792" spans="1:21" s="18" customFormat="1" ht="12.75" customHeight="1" outlineLevel="1">
      <c r="B792" s="297"/>
      <c r="C792" s="297"/>
      <c r="D792" s="298"/>
      <c r="E792" s="306"/>
      <c r="F792" s="307"/>
      <c r="G792" s="17"/>
      <c r="H792" s="314"/>
      <c r="I792" s="309"/>
      <c r="J792" s="310"/>
      <c r="K792" s="310"/>
      <c r="L792" s="310"/>
      <c r="M792" s="311"/>
    </row>
    <row r="793" spans="1:21" s="18" customFormat="1" ht="12.75" customHeight="1" outlineLevel="1">
      <c r="B793" s="301" t="s">
        <v>1796</v>
      </c>
      <c r="C793" s="297"/>
      <c r="D793" s="298"/>
      <c r="E793" s="306"/>
      <c r="F793" s="307"/>
      <c r="G793" s="17"/>
      <c r="H793" s="314"/>
      <c r="I793" s="309"/>
      <c r="J793" s="310"/>
      <c r="K793" s="310"/>
      <c r="L793" s="310"/>
      <c r="M793" s="311"/>
    </row>
    <row r="794" spans="1:21" s="18" customFormat="1" ht="12.75" customHeight="1" outlineLevel="2">
      <c r="B794" s="316" t="s">
        <v>1483</v>
      </c>
      <c r="C794" s="297"/>
      <c r="D794" s="298"/>
      <c r="E794" s="306"/>
      <c r="F794" s="307"/>
      <c r="G794" s="17"/>
      <c r="H794" s="314"/>
      <c r="I794" s="309"/>
      <c r="J794" s="310"/>
      <c r="K794" s="310"/>
      <c r="L794" s="310"/>
      <c r="M794" s="311"/>
    </row>
    <row r="795" spans="1:21" s="18" customFormat="1" ht="12.75" customHeight="1" outlineLevel="3">
      <c r="B795" s="297" t="s">
        <v>1797</v>
      </c>
      <c r="C795" s="297" t="s">
        <v>1140</v>
      </c>
      <c r="D795" s="298" t="s">
        <v>273</v>
      </c>
      <c r="E795" s="306" t="s">
        <v>2283</v>
      </c>
      <c r="F795" s="307"/>
      <c r="G795" s="297" t="s">
        <v>1141</v>
      </c>
      <c r="H795" s="308" t="str">
        <f t="shared" ref="H795:H839" si="64">CONCATENATE("MEP-",G795,"-",I795)</f>
        <v>MEP-SDV-1</v>
      </c>
      <c r="I795" s="309">
        <v>1</v>
      </c>
      <c r="J795" s="310">
        <v>1</v>
      </c>
      <c r="K795" s="310"/>
      <c r="L795" s="310"/>
      <c r="M795" s="311"/>
    </row>
    <row r="796" spans="1:21" s="18" customFormat="1" ht="12.75" customHeight="1" outlineLevel="3">
      <c r="B796" s="297" t="s">
        <v>1797</v>
      </c>
      <c r="C796" s="297" t="s">
        <v>1140</v>
      </c>
      <c r="D796" s="298" t="s">
        <v>275</v>
      </c>
      <c r="E796" s="306" t="s">
        <v>2284</v>
      </c>
      <c r="F796" s="307"/>
      <c r="G796" s="297" t="s">
        <v>1141</v>
      </c>
      <c r="H796" s="308" t="str">
        <f t="shared" si="64"/>
        <v>MEP-SDV-1</v>
      </c>
      <c r="I796" s="309">
        <v>1</v>
      </c>
      <c r="J796" s="310">
        <v>1</v>
      </c>
      <c r="K796" s="310"/>
      <c r="L796" s="310"/>
      <c r="M796" s="311"/>
    </row>
    <row r="797" spans="1:21" s="18" customFormat="1" ht="12.75" customHeight="1" outlineLevel="3">
      <c r="B797" s="297" t="s">
        <v>1797</v>
      </c>
      <c r="C797" s="297" t="s">
        <v>1140</v>
      </c>
      <c r="D797" s="298" t="s">
        <v>834</v>
      </c>
      <c r="E797" s="306" t="s">
        <v>2285</v>
      </c>
      <c r="F797" s="307"/>
      <c r="G797" s="297" t="s">
        <v>1141</v>
      </c>
      <c r="H797" s="308" t="str">
        <f t="shared" si="64"/>
        <v>MEP-SDV-1</v>
      </c>
      <c r="I797" s="309">
        <v>1</v>
      </c>
      <c r="J797" s="310">
        <v>1</v>
      </c>
      <c r="K797" s="310"/>
      <c r="L797" s="310"/>
      <c r="M797" s="311"/>
    </row>
    <row r="798" spans="1:21" s="18" customFormat="1" ht="12.75" customHeight="1" outlineLevel="3">
      <c r="B798" s="297" t="s">
        <v>1797</v>
      </c>
      <c r="C798" s="297" t="s">
        <v>1140</v>
      </c>
      <c r="D798" s="298" t="s">
        <v>2286</v>
      </c>
      <c r="E798" s="306" t="s">
        <v>2287</v>
      </c>
      <c r="F798" s="307"/>
      <c r="G798" s="297" t="s">
        <v>1141</v>
      </c>
      <c r="H798" s="308" t="str">
        <f t="shared" si="64"/>
        <v>MEP-SDV-1</v>
      </c>
      <c r="I798" s="309">
        <v>1</v>
      </c>
      <c r="J798" s="310">
        <v>1</v>
      </c>
      <c r="K798" s="310"/>
      <c r="L798" s="310"/>
      <c r="M798" s="311"/>
    </row>
    <row r="799" spans="1:21" s="18" customFormat="1" ht="12.75" customHeight="1" outlineLevel="3">
      <c r="B799" s="297" t="s">
        <v>1797</v>
      </c>
      <c r="C799" s="297" t="s">
        <v>1140</v>
      </c>
      <c r="D799" s="298" t="s">
        <v>2288</v>
      </c>
      <c r="E799" s="306" t="s">
        <v>2289</v>
      </c>
      <c r="F799" s="307"/>
      <c r="G799" s="297" t="s">
        <v>1141</v>
      </c>
      <c r="H799" s="308" t="str">
        <f t="shared" si="64"/>
        <v>MEP-SDV-1</v>
      </c>
      <c r="I799" s="309">
        <v>1</v>
      </c>
      <c r="J799" s="310">
        <v>1</v>
      </c>
      <c r="K799" s="310"/>
      <c r="L799" s="300"/>
      <c r="M799" s="311"/>
    </row>
    <row r="800" spans="1:21" s="18" customFormat="1" ht="12.75" customHeight="1" outlineLevel="3">
      <c r="B800" s="297" t="s">
        <v>1797</v>
      </c>
      <c r="C800" s="297" t="s">
        <v>1140</v>
      </c>
      <c r="D800" s="298" t="s">
        <v>1144</v>
      </c>
      <c r="E800" s="306" t="s">
        <v>2290</v>
      </c>
      <c r="F800" s="307"/>
      <c r="G800" s="297" t="s">
        <v>1141</v>
      </c>
      <c r="H800" s="308" t="str">
        <f t="shared" si="64"/>
        <v>MEP-SDV-1</v>
      </c>
      <c r="I800" s="309">
        <v>1</v>
      </c>
      <c r="J800" s="310">
        <v>1</v>
      </c>
      <c r="K800" s="310"/>
      <c r="L800" s="300"/>
      <c r="M800" s="311"/>
    </row>
    <row r="801" spans="2:13" s="18" customFormat="1" ht="12.75" customHeight="1" outlineLevel="3">
      <c r="B801" s="297" t="s">
        <v>1797</v>
      </c>
      <c r="C801" s="297" t="s">
        <v>1140</v>
      </c>
      <c r="D801" s="298" t="s">
        <v>1153</v>
      </c>
      <c r="E801" s="306" t="s">
        <v>2291</v>
      </c>
      <c r="F801" s="307"/>
      <c r="G801" s="297" t="s">
        <v>1141</v>
      </c>
      <c r="H801" s="308" t="str">
        <f t="shared" si="64"/>
        <v>MEP-SDV-1</v>
      </c>
      <c r="I801" s="309">
        <v>1</v>
      </c>
      <c r="J801" s="310">
        <v>1</v>
      </c>
      <c r="K801" s="310"/>
      <c r="L801" s="300"/>
      <c r="M801" s="311"/>
    </row>
    <row r="802" spans="2:13" s="18" customFormat="1" ht="12.75" customHeight="1" outlineLevel="3">
      <c r="B802" s="297" t="s">
        <v>1797</v>
      </c>
      <c r="C802" s="297" t="s">
        <v>1140</v>
      </c>
      <c r="D802" s="298" t="s">
        <v>2292</v>
      </c>
      <c r="E802" s="306" t="s">
        <v>2293</v>
      </c>
      <c r="F802" s="307"/>
      <c r="G802" s="297" t="s">
        <v>1141</v>
      </c>
      <c r="H802" s="308" t="str">
        <f t="shared" si="64"/>
        <v>MEP-SDV-1</v>
      </c>
      <c r="I802" s="309">
        <v>1</v>
      </c>
      <c r="J802" s="310">
        <v>1</v>
      </c>
      <c r="K802" s="310"/>
      <c r="L802" s="310"/>
      <c r="M802" s="311"/>
    </row>
    <row r="803" spans="2:13" s="18" customFormat="1" ht="12.75" customHeight="1" outlineLevel="3">
      <c r="B803" s="297" t="s">
        <v>1797</v>
      </c>
      <c r="C803" s="297" t="s">
        <v>1140</v>
      </c>
      <c r="D803" s="298" t="s">
        <v>1155</v>
      </c>
      <c r="E803" s="306" t="s">
        <v>2294</v>
      </c>
      <c r="F803" s="307"/>
      <c r="G803" s="297" t="s">
        <v>1141</v>
      </c>
      <c r="H803" s="308" t="str">
        <f t="shared" si="64"/>
        <v>MEP-SDV-1</v>
      </c>
      <c r="I803" s="309">
        <v>1</v>
      </c>
      <c r="J803" s="310">
        <v>1</v>
      </c>
      <c r="K803" s="310"/>
      <c r="L803" s="310"/>
      <c r="M803" s="311"/>
    </row>
    <row r="804" spans="2:13" s="18" customFormat="1" ht="12.75" customHeight="1" outlineLevel="3">
      <c r="B804" s="297" t="s">
        <v>1797</v>
      </c>
      <c r="C804" s="297" t="s">
        <v>1140</v>
      </c>
      <c r="D804" s="298" t="s">
        <v>2295</v>
      </c>
      <c r="E804" s="306" t="s">
        <v>2296</v>
      </c>
      <c r="F804" s="307"/>
      <c r="G804" s="297" t="s">
        <v>1141</v>
      </c>
      <c r="H804" s="308" t="str">
        <f t="shared" si="64"/>
        <v>MEP-SDV-1</v>
      </c>
      <c r="I804" s="309">
        <v>1</v>
      </c>
      <c r="J804" s="310">
        <v>1</v>
      </c>
      <c r="K804" s="310"/>
      <c r="L804" s="300"/>
      <c r="M804" s="311"/>
    </row>
    <row r="805" spans="2:13" s="18" customFormat="1" ht="12.75" customHeight="1" outlineLevel="3">
      <c r="B805" s="297" t="s">
        <v>1797</v>
      </c>
      <c r="C805" s="297" t="s">
        <v>1140</v>
      </c>
      <c r="D805" s="298" t="s">
        <v>1159</v>
      </c>
      <c r="E805" s="306" t="s">
        <v>2297</v>
      </c>
      <c r="F805" s="307"/>
      <c r="G805" s="297" t="s">
        <v>1141</v>
      </c>
      <c r="H805" s="308" t="str">
        <f t="shared" si="64"/>
        <v>MEP-SDV-1</v>
      </c>
      <c r="I805" s="309">
        <v>1</v>
      </c>
      <c r="J805" s="310">
        <v>1</v>
      </c>
      <c r="K805" s="310"/>
      <c r="L805" s="300"/>
      <c r="M805" s="311"/>
    </row>
    <row r="806" spans="2:13" s="18" customFormat="1" ht="12.75" customHeight="1" outlineLevel="3">
      <c r="B806" s="297" t="s">
        <v>1797</v>
      </c>
      <c r="C806" s="297" t="s">
        <v>1140</v>
      </c>
      <c r="D806" s="298" t="s">
        <v>2298</v>
      </c>
      <c r="E806" s="306" t="s">
        <v>2299</v>
      </c>
      <c r="F806" s="307"/>
      <c r="G806" s="297" t="s">
        <v>1141</v>
      </c>
      <c r="H806" s="308" t="str">
        <f t="shared" si="64"/>
        <v>MEP-SDV-1</v>
      </c>
      <c r="I806" s="309">
        <v>1</v>
      </c>
      <c r="J806" s="310">
        <v>1</v>
      </c>
      <c r="K806" s="310"/>
      <c r="L806" s="300"/>
      <c r="M806" s="311"/>
    </row>
    <row r="807" spans="2:13" s="18" customFormat="1" ht="12.75" customHeight="1" outlineLevel="3">
      <c r="B807" s="297" t="s">
        <v>1797</v>
      </c>
      <c r="C807" s="297" t="s">
        <v>1140</v>
      </c>
      <c r="D807" s="298">
        <v>5011</v>
      </c>
      <c r="E807" s="306" t="s">
        <v>2300</v>
      </c>
      <c r="F807" s="307"/>
      <c r="G807" s="297" t="s">
        <v>1141</v>
      </c>
      <c r="H807" s="308" t="str">
        <f t="shared" si="64"/>
        <v>MEP-SDV-1</v>
      </c>
      <c r="I807" s="309">
        <v>1</v>
      </c>
      <c r="J807" s="310">
        <v>1</v>
      </c>
      <c r="K807" s="310"/>
      <c r="L807" s="300"/>
      <c r="M807" s="311"/>
    </row>
    <row r="808" spans="2:13" s="18" customFormat="1" ht="12.75" customHeight="1" outlineLevel="3">
      <c r="B808" s="297" t="s">
        <v>1797</v>
      </c>
      <c r="C808" s="297" t="s">
        <v>1140</v>
      </c>
      <c r="D808" s="298">
        <v>5016</v>
      </c>
      <c r="E808" s="306" t="s">
        <v>2301</v>
      </c>
      <c r="F808" s="307"/>
      <c r="G808" s="297" t="s">
        <v>1141</v>
      </c>
      <c r="H808" s="308" t="str">
        <f t="shared" si="64"/>
        <v>MEP-SDV-1</v>
      </c>
      <c r="I808" s="309">
        <v>1</v>
      </c>
      <c r="J808" s="310">
        <v>1</v>
      </c>
      <c r="K808" s="310"/>
      <c r="L808" s="300"/>
      <c r="M808" s="311"/>
    </row>
    <row r="809" spans="2:13" s="18" customFormat="1" ht="12.75" customHeight="1" outlineLevel="3">
      <c r="B809" s="297" t="s">
        <v>1797</v>
      </c>
      <c r="C809" s="297" t="s">
        <v>1140</v>
      </c>
      <c r="D809" s="298">
        <v>5020</v>
      </c>
      <c r="E809" s="306" t="s">
        <v>2302</v>
      </c>
      <c r="F809" s="307"/>
      <c r="G809" s="297" t="s">
        <v>1141</v>
      </c>
      <c r="H809" s="308" t="str">
        <f t="shared" si="64"/>
        <v>MEP-SDV-1</v>
      </c>
      <c r="I809" s="309">
        <v>1</v>
      </c>
      <c r="J809" s="310">
        <v>1</v>
      </c>
      <c r="K809" s="310"/>
      <c r="L809" s="300"/>
      <c r="M809" s="311"/>
    </row>
    <row r="810" spans="2:13" ht="12.75" customHeight="1" outlineLevel="3">
      <c r="B810" s="297" t="s">
        <v>1797</v>
      </c>
      <c r="C810" s="17" t="s">
        <v>2303</v>
      </c>
      <c r="D810" s="298" t="s">
        <v>273</v>
      </c>
      <c r="E810" s="306" t="s">
        <v>2304</v>
      </c>
      <c r="F810" s="318"/>
      <c r="G810" s="297" t="s">
        <v>1141</v>
      </c>
      <c r="H810" s="308" t="str">
        <f t="shared" ref="H810:H814" si="65">CONCATENATE("MEP-",G810,"-",I810)</f>
        <v>MEP-SDV-1</v>
      </c>
      <c r="I810" s="309">
        <v>1</v>
      </c>
      <c r="L810" s="311">
        <v>1</v>
      </c>
      <c r="M810" s="311">
        <v>1</v>
      </c>
    </row>
    <row r="811" spans="2:13" ht="12.75" customHeight="1" outlineLevel="3">
      <c r="B811" s="297" t="s">
        <v>1797</v>
      </c>
      <c r="C811" s="17" t="s">
        <v>2303</v>
      </c>
      <c r="D811" s="298" t="s">
        <v>2288</v>
      </c>
      <c r="E811" s="306" t="s">
        <v>2305</v>
      </c>
      <c r="F811" s="318"/>
      <c r="G811" s="297" t="s">
        <v>1141</v>
      </c>
      <c r="H811" s="308" t="str">
        <f t="shared" si="65"/>
        <v>MEP-SDV-1</v>
      </c>
      <c r="I811" s="309">
        <v>1</v>
      </c>
      <c r="L811" s="311">
        <v>1</v>
      </c>
      <c r="M811" s="311">
        <v>1</v>
      </c>
    </row>
    <row r="812" spans="2:13" ht="12.75" customHeight="1" outlineLevel="3">
      <c r="B812" s="297" t="s">
        <v>1797</v>
      </c>
      <c r="C812" s="17" t="s">
        <v>2303</v>
      </c>
      <c r="D812" s="298" t="s">
        <v>1144</v>
      </c>
      <c r="E812" s="306" t="s">
        <v>2306</v>
      </c>
      <c r="F812" s="318"/>
      <c r="G812" s="297" t="s">
        <v>1141</v>
      </c>
      <c r="H812" s="308" t="str">
        <f t="shared" si="65"/>
        <v>MEP-SDV-1</v>
      </c>
      <c r="I812" s="309">
        <v>1</v>
      </c>
      <c r="L812" s="311">
        <v>1</v>
      </c>
      <c r="M812" s="311">
        <v>1</v>
      </c>
    </row>
    <row r="813" spans="2:13" ht="12.75" customHeight="1" outlineLevel="3">
      <c r="B813" s="297" t="s">
        <v>1797</v>
      </c>
      <c r="C813" s="17" t="s">
        <v>2303</v>
      </c>
      <c r="D813" s="298" t="s">
        <v>1153</v>
      </c>
      <c r="E813" s="306" t="s">
        <v>2307</v>
      </c>
      <c r="F813" s="318"/>
      <c r="G813" s="297" t="s">
        <v>1141</v>
      </c>
      <c r="H813" s="308" t="str">
        <f t="shared" si="65"/>
        <v>MEP-SDV-1</v>
      </c>
      <c r="I813" s="309">
        <v>1</v>
      </c>
      <c r="L813" s="311">
        <v>1</v>
      </c>
      <c r="M813" s="311">
        <v>1</v>
      </c>
    </row>
    <row r="814" spans="2:13" ht="12.75" customHeight="1" outlineLevel="3">
      <c r="B814" s="297" t="s">
        <v>1797</v>
      </c>
      <c r="C814" s="17" t="s">
        <v>2303</v>
      </c>
      <c r="D814" s="662" t="s">
        <v>2308</v>
      </c>
      <c r="E814" s="306" t="s">
        <v>2309</v>
      </c>
      <c r="F814" s="318"/>
      <c r="G814" s="297" t="s">
        <v>1141</v>
      </c>
      <c r="H814" s="308" t="str">
        <f t="shared" si="65"/>
        <v>MEP-SDV-1</v>
      </c>
      <c r="I814" s="661">
        <v>1</v>
      </c>
      <c r="J814" s="311">
        <v>1</v>
      </c>
      <c r="L814" s="311"/>
      <c r="M814" s="311"/>
    </row>
    <row r="815" spans="2:13" s="18" customFormat="1" ht="12.75" customHeight="1" outlineLevel="2">
      <c r="B815" s="316" t="s">
        <v>2310</v>
      </c>
      <c r="C815" s="297"/>
      <c r="D815" s="298"/>
      <c r="E815" s="306"/>
      <c r="F815" s="307"/>
      <c r="G815" s="17"/>
      <c r="H815" s="314"/>
      <c r="I815" s="309"/>
      <c r="J815" s="310"/>
      <c r="K815" s="310"/>
      <c r="L815" s="310"/>
      <c r="M815" s="311"/>
    </row>
    <row r="816" spans="2:13" s="18" customFormat="1" ht="12.75" customHeight="1" outlineLevel="3">
      <c r="B816" s="297" t="s">
        <v>1797</v>
      </c>
      <c r="C816" s="297" t="s">
        <v>1140</v>
      </c>
      <c r="D816" s="298">
        <v>4001</v>
      </c>
      <c r="E816" s="306" t="s">
        <v>2311</v>
      </c>
      <c r="F816" s="307"/>
      <c r="G816" s="297" t="s">
        <v>1141</v>
      </c>
      <c r="H816" s="308" t="str">
        <f t="shared" si="64"/>
        <v>MEP-SDV-1</v>
      </c>
      <c r="I816" s="309">
        <v>1</v>
      </c>
      <c r="J816" s="310">
        <v>1</v>
      </c>
      <c r="K816" s="310"/>
      <c r="L816" s="300"/>
      <c r="M816" s="311"/>
    </row>
    <row r="817" spans="2:19" s="18" customFormat="1" ht="12.75" customHeight="1" outlineLevel="3">
      <c r="B817" s="297" t="s">
        <v>1797</v>
      </c>
      <c r="C817" s="297" t="s">
        <v>1140</v>
      </c>
      <c r="D817" s="298">
        <v>4011</v>
      </c>
      <c r="E817" s="306" t="s">
        <v>2312</v>
      </c>
      <c r="F817" s="307"/>
      <c r="G817" s="297" t="s">
        <v>1141</v>
      </c>
      <c r="H817" s="308" t="str">
        <f t="shared" si="64"/>
        <v>MEP-SDV-1</v>
      </c>
      <c r="I817" s="309">
        <v>1</v>
      </c>
      <c r="J817" s="310">
        <v>1</v>
      </c>
      <c r="K817" s="310"/>
      <c r="L817" s="300"/>
      <c r="M817" s="311"/>
    </row>
    <row r="818" spans="2:19" s="18" customFormat="1" ht="12.75" customHeight="1" outlineLevel="2">
      <c r="B818" s="316" t="s">
        <v>2313</v>
      </c>
      <c r="C818" s="297"/>
      <c r="D818" s="298"/>
      <c r="E818" s="306"/>
      <c r="F818" s="307"/>
      <c r="G818" s="17"/>
      <c r="H818" s="314"/>
      <c r="I818" s="309"/>
      <c r="J818" s="310"/>
      <c r="K818" s="310"/>
      <c r="L818" s="310"/>
      <c r="M818" s="311"/>
    </row>
    <row r="819" spans="2:19" s="18" customFormat="1" ht="12.75" customHeight="1" outlineLevel="4">
      <c r="B819" s="297" t="s">
        <v>1797</v>
      </c>
      <c r="C819" s="297" t="s">
        <v>2314</v>
      </c>
      <c r="D819" s="298">
        <v>4001</v>
      </c>
      <c r="E819" s="306" t="s">
        <v>2315</v>
      </c>
      <c r="F819" s="307"/>
      <c r="G819" s="297" t="s">
        <v>1141</v>
      </c>
      <c r="H819" s="308" t="str">
        <f t="shared" si="64"/>
        <v>MEP-SDV-3</v>
      </c>
      <c r="I819" s="309">
        <v>3</v>
      </c>
      <c r="J819" s="310">
        <v>1</v>
      </c>
      <c r="K819" s="310"/>
      <c r="L819" s="310"/>
      <c r="M819" s="311"/>
    </row>
    <row r="820" spans="2:19" ht="12.75" customHeight="1" outlineLevel="4">
      <c r="B820" s="297" t="s">
        <v>1797</v>
      </c>
      <c r="C820" s="17" t="s">
        <v>2314</v>
      </c>
      <c r="D820" s="298">
        <v>4001</v>
      </c>
      <c r="E820" s="306" t="s">
        <v>2316</v>
      </c>
      <c r="F820" s="318"/>
      <c r="G820" s="297" t="s">
        <v>1141</v>
      </c>
      <c r="H820" s="308" t="str">
        <f t="shared" si="64"/>
        <v>MEP-SDV-3</v>
      </c>
      <c r="I820" s="309">
        <v>3</v>
      </c>
      <c r="J820" s="310">
        <v>1</v>
      </c>
      <c r="M820" s="311"/>
    </row>
    <row r="821" spans="2:19" ht="12.75" customHeight="1" outlineLevel="4">
      <c r="B821" s="297" t="s">
        <v>1797</v>
      </c>
      <c r="C821" s="17" t="s">
        <v>2314</v>
      </c>
      <c r="D821" s="298">
        <v>4002</v>
      </c>
      <c r="E821" s="306" t="s">
        <v>2317</v>
      </c>
      <c r="F821" s="318"/>
      <c r="G821" s="297" t="s">
        <v>1141</v>
      </c>
      <c r="H821" s="308" t="str">
        <f t="shared" si="64"/>
        <v>MEP-SDV-3</v>
      </c>
      <c r="I821" s="309">
        <v>3</v>
      </c>
      <c r="J821" s="16"/>
      <c r="L821" s="311">
        <v>1</v>
      </c>
      <c r="M821" s="311">
        <v>1</v>
      </c>
      <c r="Q821" s="311">
        <v>1</v>
      </c>
      <c r="S821" s="311">
        <v>1</v>
      </c>
    </row>
    <row r="822" spans="2:19" s="18" customFormat="1" ht="12.75" customHeight="1" outlineLevel="3">
      <c r="B822" s="297"/>
      <c r="C822" s="297"/>
      <c r="D822" s="298"/>
      <c r="E822" s="319" t="s">
        <v>2318</v>
      </c>
      <c r="F822" s="307"/>
      <c r="G822" s="17"/>
      <c r="H822" s="314"/>
      <c r="I822" s="309"/>
      <c r="J822" s="310"/>
      <c r="K822" s="310"/>
      <c r="L822" s="310"/>
      <c r="M822" s="311"/>
    </row>
    <row r="823" spans="2:19" s="18" customFormat="1" ht="12.75" customHeight="1" outlineLevel="3">
      <c r="B823" s="297" t="s">
        <v>1797</v>
      </c>
      <c r="C823" s="297"/>
      <c r="D823" s="298">
        <v>4001</v>
      </c>
      <c r="E823" s="306" t="s">
        <v>2319</v>
      </c>
      <c r="F823" s="307"/>
      <c r="G823" s="297" t="s">
        <v>1141</v>
      </c>
      <c r="H823" s="308" t="str">
        <f>CONCATENATE("MEP-",G823,"-",I823)</f>
        <v>MEP-SDV-3</v>
      </c>
      <c r="I823" s="309">
        <v>3</v>
      </c>
      <c r="J823" s="310">
        <v>1</v>
      </c>
      <c r="K823" s="310"/>
      <c r="L823" s="310"/>
      <c r="M823" s="311"/>
    </row>
    <row r="824" spans="2:19" s="18" customFormat="1" ht="12.75" customHeight="1" outlineLevel="3">
      <c r="B824" s="297"/>
      <c r="C824" s="297"/>
      <c r="D824" s="298"/>
      <c r="E824" s="319" t="s">
        <v>2320</v>
      </c>
      <c r="F824" s="307"/>
      <c r="G824" s="17"/>
      <c r="H824" s="314"/>
      <c r="I824" s="309"/>
      <c r="J824" s="310"/>
      <c r="K824" s="310"/>
      <c r="L824" s="310"/>
      <c r="M824" s="311"/>
    </row>
    <row r="825" spans="2:19" s="18" customFormat="1" ht="12.75" customHeight="1" outlineLevel="3">
      <c r="B825" s="297" t="s">
        <v>1797</v>
      </c>
      <c r="C825" s="297" t="s">
        <v>2321</v>
      </c>
      <c r="D825" s="298">
        <v>4001</v>
      </c>
      <c r="E825" s="306" t="s">
        <v>2322</v>
      </c>
      <c r="F825" s="307"/>
      <c r="G825" s="297" t="s">
        <v>1141</v>
      </c>
      <c r="H825" s="308" t="str">
        <f t="shared" si="64"/>
        <v>MEP-SDV-3</v>
      </c>
      <c r="I825" s="309">
        <v>3</v>
      </c>
      <c r="J825" s="310">
        <v>1</v>
      </c>
      <c r="K825" s="310"/>
      <c r="L825" s="310"/>
      <c r="M825" s="311"/>
    </row>
    <row r="826" spans="2:19" s="18" customFormat="1" ht="12.75" customHeight="1" outlineLevel="3">
      <c r="B826" s="297"/>
      <c r="C826" s="297"/>
      <c r="D826" s="298"/>
      <c r="E826" s="319" t="s">
        <v>2323</v>
      </c>
      <c r="F826" s="307"/>
      <c r="G826" s="17"/>
      <c r="H826" s="314"/>
      <c r="I826" s="309"/>
      <c r="J826" s="310"/>
      <c r="K826" s="310"/>
      <c r="L826" s="310"/>
      <c r="M826" s="311"/>
    </row>
    <row r="827" spans="2:19" s="18" customFormat="1" ht="12.75" customHeight="1" outlineLevel="3">
      <c r="B827" s="297" t="s">
        <v>1797</v>
      </c>
      <c r="C827" s="297" t="s">
        <v>2321</v>
      </c>
      <c r="D827" s="298">
        <v>4004</v>
      </c>
      <c r="E827" s="306" t="s">
        <v>2324</v>
      </c>
      <c r="F827" s="307"/>
      <c r="G827" s="297" t="s">
        <v>1141</v>
      </c>
      <c r="H827" s="308" t="str">
        <f t="shared" si="64"/>
        <v>MEP-SDV-3</v>
      </c>
      <c r="I827" s="309">
        <v>3</v>
      </c>
      <c r="J827" s="310">
        <v>1</v>
      </c>
      <c r="K827" s="310"/>
      <c r="L827" s="300"/>
      <c r="M827" s="300"/>
    </row>
    <row r="828" spans="2:19" s="18" customFormat="1" ht="12.75" customHeight="1" outlineLevel="3">
      <c r="B828" s="297" t="s">
        <v>1797</v>
      </c>
      <c r="C828" s="297" t="s">
        <v>2321</v>
      </c>
      <c r="D828" s="298">
        <v>4005</v>
      </c>
      <c r="E828" s="306" t="s">
        <v>2324</v>
      </c>
      <c r="F828" s="307"/>
      <c r="G828" s="297" t="s">
        <v>1141</v>
      </c>
      <c r="H828" s="308" t="str">
        <f t="shared" si="64"/>
        <v>MEP-SDV-3</v>
      </c>
      <c r="I828" s="309">
        <v>3</v>
      </c>
      <c r="J828" s="310">
        <v>1</v>
      </c>
      <c r="K828" s="310"/>
      <c r="L828" s="300"/>
      <c r="M828" s="300"/>
    </row>
    <row r="829" spans="2:19" s="18" customFormat="1" ht="12.75" customHeight="1" outlineLevel="3">
      <c r="B829" s="297"/>
      <c r="C829" s="297"/>
      <c r="D829" s="298"/>
      <c r="E829" s="319" t="s">
        <v>2325</v>
      </c>
      <c r="F829" s="307"/>
      <c r="G829" s="17"/>
      <c r="H829" s="314"/>
      <c r="I829" s="309"/>
      <c r="J829" s="310"/>
      <c r="K829" s="310"/>
      <c r="L829" s="310"/>
      <c r="M829" s="311"/>
    </row>
    <row r="830" spans="2:19" s="18" customFormat="1" ht="12.75" customHeight="1" outlineLevel="3">
      <c r="B830" s="297" t="s">
        <v>1797</v>
      </c>
      <c r="C830" s="297" t="s">
        <v>2326</v>
      </c>
      <c r="D830" s="298">
        <v>4001</v>
      </c>
      <c r="E830" s="306" t="s">
        <v>2327</v>
      </c>
      <c r="F830" s="307"/>
      <c r="G830" s="297" t="s">
        <v>1141</v>
      </c>
      <c r="H830" s="308" t="str">
        <f t="shared" si="64"/>
        <v>MEP-SDV-3</v>
      </c>
      <c r="I830" s="309">
        <v>3</v>
      </c>
      <c r="J830" s="310">
        <v>1</v>
      </c>
      <c r="K830" s="310"/>
      <c r="L830" s="310"/>
      <c r="M830" s="311"/>
    </row>
    <row r="831" spans="2:19" s="18" customFormat="1" ht="12.75" customHeight="1" outlineLevel="3">
      <c r="B831" s="297"/>
      <c r="C831" s="297"/>
      <c r="D831" s="298"/>
      <c r="E831" s="319" t="s">
        <v>2328</v>
      </c>
      <c r="F831" s="307"/>
      <c r="G831" s="17"/>
      <c r="H831" s="314"/>
      <c r="I831" s="309"/>
      <c r="J831" s="310"/>
      <c r="K831" s="310"/>
      <c r="L831" s="310"/>
      <c r="M831" s="311"/>
    </row>
    <row r="832" spans="2:19" s="18" customFormat="1" ht="12.75" customHeight="1" outlineLevel="3">
      <c r="B832" s="297" t="s">
        <v>1797</v>
      </c>
      <c r="C832" s="297" t="s">
        <v>2326</v>
      </c>
      <c r="D832" s="298">
        <v>4003</v>
      </c>
      <c r="E832" s="306" t="s">
        <v>2329</v>
      </c>
      <c r="F832" s="307"/>
      <c r="G832" s="297" t="s">
        <v>1141</v>
      </c>
      <c r="H832" s="308" t="str">
        <f t="shared" si="64"/>
        <v>MEP-SDV-3</v>
      </c>
      <c r="I832" s="309">
        <v>3</v>
      </c>
      <c r="J832" s="310"/>
      <c r="K832" s="310"/>
      <c r="L832" s="311">
        <v>1</v>
      </c>
      <c r="M832" s="311">
        <v>1</v>
      </c>
    </row>
    <row r="833" spans="2:16" s="18" customFormat="1" ht="12.75" customHeight="1" outlineLevel="3">
      <c r="B833" s="297" t="s">
        <v>1797</v>
      </c>
      <c r="C833" s="297" t="s">
        <v>2330</v>
      </c>
      <c r="D833" s="298">
        <v>9001</v>
      </c>
      <c r="E833" s="306" t="s">
        <v>2331</v>
      </c>
      <c r="F833" s="307"/>
      <c r="G833" s="297" t="s">
        <v>1141</v>
      </c>
      <c r="H833" s="308" t="str">
        <f t="shared" si="64"/>
        <v>MEP-SDV-NA</v>
      </c>
      <c r="I833" s="309" t="s">
        <v>293</v>
      </c>
      <c r="J833" s="310"/>
      <c r="K833" s="310"/>
      <c r="L833" s="311"/>
      <c r="M833" s="311"/>
    </row>
    <row r="834" spans="2:16" s="18" customFormat="1" ht="12.75" customHeight="1" outlineLevel="3">
      <c r="B834" s="297"/>
      <c r="C834" s="297"/>
      <c r="D834" s="298"/>
      <c r="E834" s="319" t="s">
        <v>2332</v>
      </c>
      <c r="F834" s="307"/>
      <c r="G834" s="17"/>
      <c r="H834" s="314"/>
      <c r="I834" s="309"/>
      <c r="J834" s="310"/>
      <c r="K834" s="310"/>
      <c r="L834" s="310"/>
      <c r="M834" s="311"/>
    </row>
    <row r="835" spans="2:16" s="18" customFormat="1" ht="12.75" customHeight="1" outlineLevel="3">
      <c r="B835" s="297" t="s">
        <v>1797</v>
      </c>
      <c r="C835" s="297" t="s">
        <v>2333</v>
      </c>
      <c r="D835" s="298">
        <v>9001</v>
      </c>
      <c r="E835" s="306" t="s">
        <v>2334</v>
      </c>
      <c r="F835" s="307"/>
      <c r="G835" s="297" t="s">
        <v>1141</v>
      </c>
      <c r="H835" s="308" t="str">
        <f t="shared" si="64"/>
        <v>MEP-SDV-3</v>
      </c>
      <c r="I835" s="309">
        <v>3</v>
      </c>
      <c r="J835" s="311">
        <v>1</v>
      </c>
      <c r="K835" s="310"/>
      <c r="L835" s="311"/>
      <c r="M835" s="311"/>
    </row>
    <row r="836" spans="2:16" s="18" customFormat="1" ht="12.75" customHeight="1" outlineLevel="3">
      <c r="B836" s="297"/>
      <c r="C836" s="297"/>
      <c r="D836" s="298"/>
      <c r="E836" s="319" t="s">
        <v>2335</v>
      </c>
      <c r="F836" s="307"/>
      <c r="G836" s="17"/>
      <c r="H836" s="314"/>
      <c r="I836" s="309"/>
      <c r="J836" s="310"/>
      <c r="K836" s="310"/>
      <c r="L836" s="310"/>
      <c r="M836" s="311"/>
    </row>
    <row r="837" spans="2:16" s="18" customFormat="1" ht="12.75" customHeight="1" outlineLevel="3">
      <c r="B837" s="297" t="s">
        <v>1797</v>
      </c>
      <c r="C837" s="297" t="s">
        <v>2333</v>
      </c>
      <c r="D837" s="298">
        <v>9004</v>
      </c>
      <c r="E837" s="306" t="s">
        <v>2336</v>
      </c>
      <c r="F837" s="307"/>
      <c r="G837" s="297" t="s">
        <v>1141</v>
      </c>
      <c r="H837" s="308" t="str">
        <f t="shared" si="64"/>
        <v>MEP-SDV-3</v>
      </c>
      <c r="I837" s="309">
        <v>3</v>
      </c>
      <c r="J837" s="311">
        <v>1</v>
      </c>
      <c r="K837" s="310"/>
      <c r="L837" s="311"/>
      <c r="M837" s="311"/>
    </row>
    <row r="838" spans="2:16" s="18" customFormat="1" ht="12.75" customHeight="1" outlineLevel="3">
      <c r="B838" s="297"/>
      <c r="C838" s="297"/>
      <c r="D838" s="298"/>
      <c r="E838" s="319" t="s">
        <v>2337</v>
      </c>
      <c r="F838" s="307"/>
      <c r="G838" s="17"/>
      <c r="H838" s="314"/>
      <c r="I838" s="309"/>
      <c r="J838" s="310"/>
      <c r="K838" s="310"/>
      <c r="L838" s="310"/>
      <c r="M838" s="311"/>
    </row>
    <row r="839" spans="2:16" s="18" customFormat="1" ht="12.75" customHeight="1" outlineLevel="3">
      <c r="B839" s="297" t="s">
        <v>1797</v>
      </c>
      <c r="C839" s="297" t="s">
        <v>2333</v>
      </c>
      <c r="D839" s="298">
        <v>9006</v>
      </c>
      <c r="E839" s="306" t="s">
        <v>2338</v>
      </c>
      <c r="F839" s="307"/>
      <c r="G839" s="297" t="s">
        <v>1141</v>
      </c>
      <c r="H839" s="308" t="str">
        <f t="shared" si="64"/>
        <v>MEP-SDV-3</v>
      </c>
      <c r="I839" s="309">
        <v>3</v>
      </c>
      <c r="J839" s="310"/>
      <c r="K839" s="310"/>
      <c r="L839" s="311">
        <v>1</v>
      </c>
      <c r="M839" s="311"/>
      <c r="P839" s="18">
        <v>1</v>
      </c>
    </row>
    <row r="840" spans="2:16" s="18" customFormat="1" ht="12.75" customHeight="1" outlineLevel="1">
      <c r="B840" s="297"/>
      <c r="C840" s="297"/>
      <c r="D840" s="298"/>
      <c r="E840" s="306"/>
      <c r="F840" s="307"/>
      <c r="G840" s="17"/>
      <c r="H840" s="314"/>
      <c r="I840" s="309"/>
      <c r="J840" s="310"/>
      <c r="K840" s="310"/>
      <c r="L840" s="310"/>
      <c r="M840" s="311"/>
    </row>
    <row r="841" spans="2:16" s="18" customFormat="1" ht="12.75" customHeight="1" outlineLevel="1">
      <c r="B841" s="301" t="s">
        <v>1810</v>
      </c>
      <c r="C841" s="297"/>
      <c r="D841" s="298"/>
      <c r="E841" s="306"/>
      <c r="F841" s="307"/>
      <c r="G841" s="17"/>
      <c r="H841" s="314"/>
      <c r="I841" s="309"/>
      <c r="J841" s="310"/>
      <c r="K841" s="310"/>
      <c r="L841" s="310"/>
      <c r="M841" s="311"/>
    </row>
    <row r="842" spans="2:16" s="18" customFormat="1" ht="12.75" customHeight="1" outlineLevel="2">
      <c r="B842" s="316" t="s">
        <v>1483</v>
      </c>
      <c r="C842" s="297"/>
      <c r="D842" s="298"/>
      <c r="E842" s="306"/>
      <c r="F842" s="307"/>
      <c r="G842" s="17"/>
      <c r="H842" s="314"/>
      <c r="I842" s="309"/>
      <c r="J842" s="310"/>
      <c r="K842" s="310"/>
      <c r="L842" s="310"/>
      <c r="M842" s="311"/>
    </row>
    <row r="843" spans="2:16" s="18" customFormat="1" ht="12.75" customHeight="1" outlineLevel="3">
      <c r="B843" s="297" t="s">
        <v>1811</v>
      </c>
      <c r="C843" s="297" t="s">
        <v>1140</v>
      </c>
      <c r="D843" s="298" t="s">
        <v>273</v>
      </c>
      <c r="E843" s="306" t="s">
        <v>2339</v>
      </c>
      <c r="F843" s="307"/>
      <c r="G843" s="297" t="s">
        <v>1141</v>
      </c>
      <c r="H843" s="308" t="str">
        <f t="shared" ref="H843:H849" si="66">CONCATENATE("MEP-",G843,"-",I843)</f>
        <v>MEP-SDV-1</v>
      </c>
      <c r="I843" s="309">
        <v>1</v>
      </c>
      <c r="J843" s="310">
        <v>1</v>
      </c>
      <c r="K843" s="310"/>
      <c r="L843" s="310"/>
      <c r="M843" s="311"/>
    </row>
    <row r="844" spans="2:16" s="18" customFormat="1" ht="12.75" customHeight="1" outlineLevel="3">
      <c r="B844" s="297" t="s">
        <v>1811</v>
      </c>
      <c r="C844" s="297" t="s">
        <v>1140</v>
      </c>
      <c r="D844" s="298" t="s">
        <v>2286</v>
      </c>
      <c r="E844" s="306" t="s">
        <v>2340</v>
      </c>
      <c r="F844" s="307"/>
      <c r="G844" s="297" t="s">
        <v>1141</v>
      </c>
      <c r="H844" s="308" t="str">
        <f t="shared" si="66"/>
        <v>MEP-SDV-1</v>
      </c>
      <c r="I844" s="309">
        <v>1</v>
      </c>
      <c r="J844" s="310">
        <v>1</v>
      </c>
      <c r="K844" s="310"/>
      <c r="M844" s="311"/>
    </row>
    <row r="845" spans="2:16" s="18" customFormat="1" ht="12.75" customHeight="1" outlineLevel="3">
      <c r="B845" s="297" t="s">
        <v>1811</v>
      </c>
      <c r="C845" s="297" t="s">
        <v>1140</v>
      </c>
      <c r="D845" s="298" t="s">
        <v>2341</v>
      </c>
      <c r="E845" s="306" t="s">
        <v>2342</v>
      </c>
      <c r="F845" s="307"/>
      <c r="G845" s="297" t="s">
        <v>1141</v>
      </c>
      <c r="H845" s="308" t="str">
        <f t="shared" si="66"/>
        <v>MEP-SDV-1</v>
      </c>
      <c r="I845" s="309">
        <v>1</v>
      </c>
      <c r="J845" s="300">
        <v>1</v>
      </c>
      <c r="K845" s="310"/>
      <c r="M845" s="311"/>
    </row>
    <row r="846" spans="2:16" s="18" customFormat="1" ht="12.75" customHeight="1" outlineLevel="3">
      <c r="B846" s="297" t="s">
        <v>1811</v>
      </c>
      <c r="C846" s="297" t="s">
        <v>1140</v>
      </c>
      <c r="D846" s="298" t="s">
        <v>2343</v>
      </c>
      <c r="E846" s="306" t="s">
        <v>2344</v>
      </c>
      <c r="F846" s="307"/>
      <c r="G846" s="297" t="s">
        <v>1141</v>
      </c>
      <c r="H846" s="308" t="str">
        <f t="shared" si="66"/>
        <v>MEP-SDV-1</v>
      </c>
      <c r="I846" s="309">
        <v>1</v>
      </c>
      <c r="J846" s="300">
        <v>1</v>
      </c>
      <c r="K846" s="310"/>
      <c r="M846" s="311"/>
    </row>
    <row r="847" spans="2:16" s="18" customFormat="1" ht="12.75" customHeight="1" outlineLevel="3">
      <c r="B847" s="297" t="s">
        <v>1811</v>
      </c>
      <c r="C847" s="297" t="s">
        <v>1140</v>
      </c>
      <c r="D847" s="298" t="s">
        <v>1155</v>
      </c>
      <c r="E847" s="306" t="s">
        <v>2345</v>
      </c>
      <c r="F847" s="307"/>
      <c r="G847" s="297" t="s">
        <v>1141</v>
      </c>
      <c r="H847" s="308" t="str">
        <f t="shared" si="66"/>
        <v>MEP-SDV-1</v>
      </c>
      <c r="I847" s="309">
        <v>1</v>
      </c>
      <c r="J847" s="310">
        <v>1</v>
      </c>
      <c r="K847" s="310"/>
      <c r="L847" s="310"/>
      <c r="M847" s="311"/>
    </row>
    <row r="848" spans="2:16" s="18" customFormat="1" ht="12.75" customHeight="1" outlineLevel="3">
      <c r="B848" s="297" t="s">
        <v>1811</v>
      </c>
      <c r="C848" s="297" t="s">
        <v>1140</v>
      </c>
      <c r="D848" s="298" t="s">
        <v>1157</v>
      </c>
      <c r="E848" s="306" t="s">
        <v>2346</v>
      </c>
      <c r="F848" s="307"/>
      <c r="G848" s="297" t="s">
        <v>1141</v>
      </c>
      <c r="H848" s="308" t="str">
        <f t="shared" si="66"/>
        <v>MEP-SDV-1</v>
      </c>
      <c r="I848" s="309">
        <v>1</v>
      </c>
      <c r="J848" s="310">
        <v>1</v>
      </c>
      <c r="K848" s="310"/>
      <c r="L848" s="310"/>
      <c r="M848" s="311"/>
    </row>
    <row r="849" spans="2:19" s="18" customFormat="1" ht="12.75" customHeight="1" outlineLevel="3">
      <c r="B849" s="297" t="s">
        <v>1811</v>
      </c>
      <c r="C849" s="297" t="s">
        <v>1140</v>
      </c>
      <c r="D849" s="298" t="s">
        <v>2347</v>
      </c>
      <c r="E849" s="306" t="s">
        <v>2348</v>
      </c>
      <c r="F849" s="307"/>
      <c r="G849" s="297" t="s">
        <v>1141</v>
      </c>
      <c r="H849" s="308" t="str">
        <f t="shared" si="66"/>
        <v>MEP-SDV-1</v>
      </c>
      <c r="I849" s="309">
        <v>1</v>
      </c>
      <c r="J849" s="310">
        <v>1</v>
      </c>
      <c r="K849" s="310"/>
      <c r="L849" s="310"/>
      <c r="M849" s="311"/>
    </row>
    <row r="850" spans="2:19" s="18" customFormat="1" ht="12.75" customHeight="1" outlineLevel="3">
      <c r="B850" s="297" t="s">
        <v>1811</v>
      </c>
      <c r="C850" s="297" t="s">
        <v>1140</v>
      </c>
      <c r="D850" s="298" t="s">
        <v>1161</v>
      </c>
      <c r="E850" s="306" t="s">
        <v>2349</v>
      </c>
      <c r="F850" s="307"/>
      <c r="G850" s="297" t="s">
        <v>1141</v>
      </c>
      <c r="H850" s="308" t="str">
        <f t="shared" ref="H850:H852" si="67">CONCATENATE("MEP-",G850,"-",I850)</f>
        <v>MEP-SDV-1</v>
      </c>
      <c r="I850" s="309">
        <v>1</v>
      </c>
      <c r="J850" s="310">
        <v>1</v>
      </c>
      <c r="K850" s="310"/>
      <c r="L850" s="300"/>
      <c r="M850" s="311"/>
    </row>
    <row r="851" spans="2:19" s="18" customFormat="1" ht="12.75" customHeight="1" outlineLevel="3">
      <c r="B851" s="297" t="s">
        <v>1811</v>
      </c>
      <c r="C851" s="297" t="s">
        <v>1140</v>
      </c>
      <c r="D851" s="298" t="s">
        <v>1163</v>
      </c>
      <c r="E851" s="306" t="s">
        <v>2350</v>
      </c>
      <c r="F851" s="307"/>
      <c r="G851" s="297" t="s">
        <v>1141</v>
      </c>
      <c r="H851" s="308" t="str">
        <f t="shared" si="67"/>
        <v>MEP-SDV-1</v>
      </c>
      <c r="I851" s="309">
        <v>1</v>
      </c>
      <c r="J851" s="310">
        <v>1</v>
      </c>
      <c r="K851" s="310"/>
      <c r="L851" s="300"/>
      <c r="M851" s="311"/>
    </row>
    <row r="852" spans="2:19" s="18" customFormat="1" ht="12.75" customHeight="1" outlineLevel="3">
      <c r="B852" s="297" t="s">
        <v>1811</v>
      </c>
      <c r="C852" s="297" t="s">
        <v>1140</v>
      </c>
      <c r="D852" s="298" t="s">
        <v>2351</v>
      </c>
      <c r="E852" s="306" t="s">
        <v>2352</v>
      </c>
      <c r="F852" s="307"/>
      <c r="G852" s="297" t="s">
        <v>1141</v>
      </c>
      <c r="H852" s="308" t="str">
        <f t="shared" si="67"/>
        <v>MEP-SDV-1</v>
      </c>
      <c r="I852" s="309">
        <v>1</v>
      </c>
      <c r="J852" s="310">
        <v>1</v>
      </c>
      <c r="K852" s="310"/>
      <c r="L852" s="300"/>
      <c r="M852" s="311"/>
    </row>
    <row r="853" spans="2:19" s="18" customFormat="1" ht="12.75" customHeight="1" outlineLevel="3">
      <c r="B853" s="297" t="s">
        <v>1811</v>
      </c>
      <c r="C853" s="297" t="s">
        <v>1140</v>
      </c>
      <c r="D853" s="320" t="s">
        <v>275</v>
      </c>
      <c r="E853" s="306" t="s">
        <v>2353</v>
      </c>
      <c r="F853" s="307"/>
      <c r="G853" s="297" t="s">
        <v>1141</v>
      </c>
      <c r="H853" s="308" t="str">
        <f t="shared" ref="H853:H856" si="68">CONCATENATE("MEP-",G853,"-",I853)</f>
        <v>MEP-SDV-1</v>
      </c>
      <c r="I853" s="309">
        <v>1</v>
      </c>
      <c r="J853" s="311">
        <v>1</v>
      </c>
      <c r="K853" s="310"/>
      <c r="L853" s="310"/>
      <c r="M853" s="310"/>
    </row>
    <row r="854" spans="2:19" s="18" customFormat="1" ht="12.75" customHeight="1" outlineLevel="3">
      <c r="B854" s="297" t="s">
        <v>1811</v>
      </c>
      <c r="C854" s="297" t="s">
        <v>1140</v>
      </c>
      <c r="D854" s="320" t="s">
        <v>2286</v>
      </c>
      <c r="E854" s="306" t="s">
        <v>2354</v>
      </c>
      <c r="F854" s="307"/>
      <c r="G854" s="297" t="s">
        <v>1141</v>
      </c>
      <c r="H854" s="308" t="str">
        <f t="shared" si="68"/>
        <v>MEP-SDV-1</v>
      </c>
      <c r="I854" s="309">
        <v>1</v>
      </c>
      <c r="J854" s="311">
        <v>1</v>
      </c>
      <c r="K854" s="310"/>
      <c r="L854" s="310"/>
      <c r="M854" s="310"/>
    </row>
    <row r="855" spans="2:19" s="18" customFormat="1" ht="12.75" customHeight="1" outlineLevel="3">
      <c r="B855" s="297" t="s">
        <v>1811</v>
      </c>
      <c r="C855" s="297" t="s">
        <v>1140</v>
      </c>
      <c r="D855" s="320" t="s">
        <v>2355</v>
      </c>
      <c r="E855" s="306" t="s">
        <v>2356</v>
      </c>
      <c r="F855" s="307"/>
      <c r="G855" s="297" t="s">
        <v>1141</v>
      </c>
      <c r="H855" s="308" t="str">
        <f t="shared" si="68"/>
        <v>MEP-SDV-1</v>
      </c>
      <c r="I855" s="309">
        <v>1</v>
      </c>
      <c r="J855" s="311">
        <v>1</v>
      </c>
      <c r="K855" s="310"/>
      <c r="L855" s="310"/>
      <c r="M855" s="310"/>
    </row>
    <row r="856" spans="2:19" s="18" customFormat="1" ht="12.75" customHeight="1" outlineLevel="3">
      <c r="B856" s="297" t="s">
        <v>1811</v>
      </c>
      <c r="C856" s="297" t="s">
        <v>1140</v>
      </c>
      <c r="D856" s="320" t="s">
        <v>2341</v>
      </c>
      <c r="E856" s="306" t="s">
        <v>2357</v>
      </c>
      <c r="F856" s="307"/>
      <c r="G856" s="297" t="s">
        <v>1141</v>
      </c>
      <c r="H856" s="308" t="str">
        <f t="shared" si="68"/>
        <v>MEP-SDV-1</v>
      </c>
      <c r="I856" s="309">
        <v>1</v>
      </c>
      <c r="J856" s="311">
        <v>1</v>
      </c>
      <c r="K856" s="310"/>
      <c r="L856" s="310"/>
      <c r="M856" s="310"/>
    </row>
    <row r="857" spans="2:19" s="18" customFormat="1" ht="12.75" customHeight="1" outlineLevel="2">
      <c r="B857" s="316" t="s">
        <v>2358</v>
      </c>
      <c r="C857" s="297"/>
      <c r="D857" s="298"/>
      <c r="E857" s="306"/>
      <c r="F857" s="307"/>
      <c r="G857" s="17"/>
      <c r="H857" s="314"/>
      <c r="I857" s="309"/>
      <c r="J857" s="310"/>
      <c r="K857" s="310"/>
      <c r="L857" s="310"/>
      <c r="M857" s="311"/>
    </row>
    <row r="858" spans="2:19" s="18" customFormat="1" ht="12.75" customHeight="1" outlineLevel="3">
      <c r="B858" s="316"/>
      <c r="C858" s="297"/>
      <c r="D858" s="298"/>
      <c r="E858" s="319" t="s">
        <v>1482</v>
      </c>
      <c r="F858" s="307"/>
      <c r="G858" s="17"/>
      <c r="H858" s="314"/>
      <c r="I858" s="309"/>
      <c r="J858" s="310"/>
      <c r="K858" s="310"/>
      <c r="L858" s="310"/>
      <c r="M858" s="311"/>
    </row>
    <row r="859" spans="2:19" s="18" customFormat="1" ht="12.75" customHeight="1" outlineLevel="3">
      <c r="B859" s="297" t="s">
        <v>1811</v>
      </c>
      <c r="C859" s="297" t="s">
        <v>2314</v>
      </c>
      <c r="D859" s="298">
        <v>4001</v>
      </c>
      <c r="E859" s="306" t="s">
        <v>2359</v>
      </c>
      <c r="F859" s="307"/>
      <c r="G859" s="297" t="s">
        <v>1141</v>
      </c>
      <c r="H859" s="308" t="str">
        <f>CONCATENATE("MEP-",G859,"-",I859)</f>
        <v>MEP-SDV-3</v>
      </c>
      <c r="I859" s="309">
        <v>3</v>
      </c>
      <c r="J859" s="310">
        <v>1</v>
      </c>
      <c r="K859" s="310"/>
      <c r="L859" s="310"/>
      <c r="M859" s="311"/>
    </row>
    <row r="860" spans="2:19" s="18" customFormat="1" ht="12.75" customHeight="1" outlineLevel="3">
      <c r="B860" s="297" t="s">
        <v>1811</v>
      </c>
      <c r="C860" s="297" t="s">
        <v>2314</v>
      </c>
      <c r="D860" s="298">
        <v>4006</v>
      </c>
      <c r="E860" s="306" t="s">
        <v>2360</v>
      </c>
      <c r="F860" s="307"/>
      <c r="G860" s="297" t="s">
        <v>1141</v>
      </c>
      <c r="H860" s="308" t="str">
        <f>CONCATENATE("MEP-",G860,"-",I860)</f>
        <v>MEP-SDV-3</v>
      </c>
      <c r="I860" s="309">
        <v>3</v>
      </c>
      <c r="J860" s="310"/>
      <c r="K860" s="310"/>
      <c r="L860" s="311">
        <v>1</v>
      </c>
      <c r="M860" s="311">
        <v>1</v>
      </c>
      <c r="Q860" s="311">
        <v>1</v>
      </c>
      <c r="S860" s="311">
        <v>1</v>
      </c>
    </row>
    <row r="861" spans="2:19" s="18" customFormat="1" ht="12.75" customHeight="1" outlineLevel="3">
      <c r="B861" s="297"/>
      <c r="C861" s="297"/>
      <c r="D861" s="298"/>
      <c r="E861" s="319" t="s">
        <v>2361</v>
      </c>
      <c r="F861" s="307"/>
      <c r="G861" s="17"/>
      <c r="H861" s="314"/>
      <c r="I861" s="309"/>
      <c r="J861" s="310"/>
      <c r="K861" s="310"/>
      <c r="L861" s="310"/>
      <c r="M861" s="311"/>
    </row>
    <row r="862" spans="2:19" s="18" customFormat="1" ht="12.75" customHeight="1" outlineLevel="3">
      <c r="B862" s="297" t="s">
        <v>1811</v>
      </c>
      <c r="C862" s="297" t="s">
        <v>2362</v>
      </c>
      <c r="D862" s="298">
        <v>4001</v>
      </c>
      <c r="E862" s="306" t="s">
        <v>2363</v>
      </c>
      <c r="F862" s="307"/>
      <c r="G862" s="297" t="s">
        <v>1141</v>
      </c>
      <c r="H862" s="308" t="str">
        <f>CONCATENATE("MEP-",G862,"-",I862)</f>
        <v>MEP-SDV-3</v>
      </c>
      <c r="I862" s="309">
        <v>3</v>
      </c>
      <c r="J862" s="300">
        <v>1</v>
      </c>
      <c r="K862" s="310"/>
      <c r="M862" s="311"/>
    </row>
    <row r="863" spans="2:19" s="18" customFormat="1" ht="12.75" customHeight="1" outlineLevel="3">
      <c r="B863" s="297" t="s">
        <v>1811</v>
      </c>
      <c r="C863" s="297" t="s">
        <v>2362</v>
      </c>
      <c r="D863" s="298">
        <v>4006</v>
      </c>
      <c r="E863" s="306" t="s">
        <v>2364</v>
      </c>
      <c r="F863" s="307"/>
      <c r="G863" s="297" t="s">
        <v>1141</v>
      </c>
      <c r="H863" s="308" t="str">
        <f>CONCATENATE("MEP-",G863,"-",I863)</f>
        <v>MEP-SDV-3</v>
      </c>
      <c r="I863" s="309">
        <v>3</v>
      </c>
      <c r="J863" s="300">
        <v>1</v>
      </c>
    </row>
    <row r="864" spans="2:19" s="18" customFormat="1" ht="12.75" customHeight="1" outlineLevel="3">
      <c r="B864" s="297"/>
      <c r="C864" s="297"/>
      <c r="D864" s="298"/>
      <c r="E864" s="319" t="s">
        <v>1781</v>
      </c>
      <c r="F864" s="307"/>
      <c r="G864" s="17"/>
      <c r="H864" s="314"/>
      <c r="I864" s="309"/>
      <c r="J864" s="310"/>
    </row>
    <row r="865" spans="2:13" s="18" customFormat="1" ht="12.75" customHeight="1" outlineLevel="3">
      <c r="B865" s="297" t="s">
        <v>1811</v>
      </c>
      <c r="C865" s="297" t="s">
        <v>2365</v>
      </c>
      <c r="D865" s="298">
        <v>4001</v>
      </c>
      <c r="E865" s="306" t="s">
        <v>2366</v>
      </c>
      <c r="F865" s="307"/>
      <c r="G865" s="297" t="s">
        <v>1141</v>
      </c>
      <c r="H865" s="308" t="str">
        <f t="shared" ref="H865:H871" si="69">CONCATENATE("MEP-",G865,"-",I865)</f>
        <v>MEP-SDV-3</v>
      </c>
      <c r="I865" s="309">
        <v>3</v>
      </c>
      <c r="J865" s="310">
        <v>1</v>
      </c>
    </row>
    <row r="866" spans="2:13" s="18" customFormat="1" ht="12.75" customHeight="1" outlineLevel="3">
      <c r="B866" s="297" t="s">
        <v>1811</v>
      </c>
      <c r="C866" s="297" t="s">
        <v>2365</v>
      </c>
      <c r="D866" s="298">
        <v>4004</v>
      </c>
      <c r="E866" s="306" t="s">
        <v>2367</v>
      </c>
      <c r="F866" s="307"/>
      <c r="G866" s="297" t="s">
        <v>1141</v>
      </c>
      <c r="H866" s="308" t="str">
        <f t="shared" si="69"/>
        <v>MEP-SDV-3</v>
      </c>
      <c r="I866" s="309">
        <v>3</v>
      </c>
      <c r="J866" s="310">
        <v>1</v>
      </c>
    </row>
    <row r="867" spans="2:13" s="18" customFormat="1" ht="12.75" customHeight="1" outlineLevel="3">
      <c r="B867" s="297" t="s">
        <v>1811</v>
      </c>
      <c r="C867" s="297" t="s">
        <v>2365</v>
      </c>
      <c r="D867" s="298">
        <v>4007</v>
      </c>
      <c r="E867" s="306" t="s">
        <v>2368</v>
      </c>
      <c r="F867" s="307"/>
      <c r="G867" s="297" t="s">
        <v>1141</v>
      </c>
      <c r="H867" s="308" t="str">
        <f t="shared" si="69"/>
        <v>MEP-SDV-3</v>
      </c>
      <c r="I867" s="309">
        <v>3</v>
      </c>
      <c r="J867" s="310">
        <v>1</v>
      </c>
    </row>
    <row r="868" spans="2:13" s="18" customFormat="1" ht="12.75" customHeight="1" outlineLevel="3">
      <c r="B868" s="297" t="s">
        <v>1811</v>
      </c>
      <c r="C868" s="297" t="s">
        <v>2365</v>
      </c>
      <c r="D868" s="298">
        <v>4011</v>
      </c>
      <c r="E868" s="306" t="s">
        <v>2369</v>
      </c>
      <c r="F868" s="307"/>
      <c r="G868" s="297" t="s">
        <v>1141</v>
      </c>
      <c r="H868" s="308" t="str">
        <f t="shared" si="69"/>
        <v>MEP-SDV-3</v>
      </c>
      <c r="I868" s="309">
        <v>3</v>
      </c>
      <c r="J868" s="310">
        <v>1</v>
      </c>
    </row>
    <row r="869" spans="2:13" s="18" customFormat="1" ht="12.75" customHeight="1" outlineLevel="3">
      <c r="B869" s="297" t="s">
        <v>1811</v>
      </c>
      <c r="C869" s="297" t="s">
        <v>2365</v>
      </c>
      <c r="D869" s="298">
        <v>4014</v>
      </c>
      <c r="E869" s="306" t="s">
        <v>2370</v>
      </c>
      <c r="F869" s="307"/>
      <c r="G869" s="297" t="s">
        <v>1141</v>
      </c>
      <c r="H869" s="308" t="str">
        <f t="shared" si="69"/>
        <v>MEP-SDV-3</v>
      </c>
      <c r="I869" s="309">
        <v>3</v>
      </c>
      <c r="J869" s="310">
        <v>1</v>
      </c>
    </row>
    <row r="870" spans="2:13" s="18" customFormat="1" ht="12.75" customHeight="1" outlineLevel="3">
      <c r="B870" s="297" t="s">
        <v>1811</v>
      </c>
      <c r="C870" s="297" t="s">
        <v>2365</v>
      </c>
      <c r="D870" s="298">
        <v>4017</v>
      </c>
      <c r="E870" s="306" t="s">
        <v>2371</v>
      </c>
      <c r="F870" s="307"/>
      <c r="G870" s="297" t="s">
        <v>1141</v>
      </c>
      <c r="H870" s="308" t="str">
        <f t="shared" si="69"/>
        <v>MEP-SDV-3</v>
      </c>
      <c r="I870" s="309">
        <v>3</v>
      </c>
      <c r="J870" s="310">
        <v>1</v>
      </c>
    </row>
    <row r="871" spans="2:13" s="18" customFormat="1" ht="12.75" customHeight="1" outlineLevel="3">
      <c r="B871" s="297" t="s">
        <v>1811</v>
      </c>
      <c r="C871" s="297" t="s">
        <v>2365</v>
      </c>
      <c r="D871" s="298">
        <v>4021</v>
      </c>
      <c r="E871" s="306" t="s">
        <v>2372</v>
      </c>
      <c r="F871" s="307"/>
      <c r="G871" s="297" t="s">
        <v>1141</v>
      </c>
      <c r="H871" s="308" t="str">
        <f t="shared" si="69"/>
        <v>MEP-SDV-3</v>
      </c>
      <c r="I871" s="309">
        <v>3</v>
      </c>
      <c r="J871" s="310">
        <v>1</v>
      </c>
    </row>
    <row r="872" spans="2:13" s="18" customFormat="1" ht="12.75" customHeight="1" outlineLevel="3">
      <c r="B872" s="297"/>
      <c r="C872" s="297"/>
      <c r="D872" s="298"/>
      <c r="E872" s="319" t="s">
        <v>2373</v>
      </c>
      <c r="F872" s="307"/>
      <c r="G872" s="17"/>
      <c r="H872" s="314"/>
      <c r="I872" s="309"/>
      <c r="J872" s="310"/>
    </row>
    <row r="873" spans="2:13" s="18" customFormat="1" ht="12.75" customHeight="1" outlineLevel="3">
      <c r="B873" s="297" t="s">
        <v>1811</v>
      </c>
      <c r="C873" s="297" t="s">
        <v>2374</v>
      </c>
      <c r="D873" s="298">
        <v>4001</v>
      </c>
      <c r="E873" s="306" t="s">
        <v>2375</v>
      </c>
      <c r="F873" s="307"/>
      <c r="G873" s="297" t="s">
        <v>1141</v>
      </c>
      <c r="H873" s="308" t="str">
        <f t="shared" ref="H873:H879" si="70">CONCATENATE("MEP-",G873,"-",I873)</f>
        <v>MEP-SDV-NA</v>
      </c>
      <c r="I873" s="309" t="s">
        <v>293</v>
      </c>
      <c r="J873" s="310"/>
    </row>
    <row r="874" spans="2:13" s="18" customFormat="1" ht="12.75" customHeight="1" outlineLevel="3">
      <c r="B874" s="297" t="s">
        <v>1811</v>
      </c>
      <c r="C874" s="297" t="s">
        <v>2374</v>
      </c>
      <c r="D874" s="298">
        <v>4004</v>
      </c>
      <c r="E874" s="306" t="s">
        <v>2376</v>
      </c>
      <c r="F874" s="307"/>
      <c r="G874" s="297" t="s">
        <v>1141</v>
      </c>
      <c r="H874" s="308" t="str">
        <f t="shared" si="70"/>
        <v>MEP-SDV-NA</v>
      </c>
      <c r="I874" s="309" t="s">
        <v>293</v>
      </c>
      <c r="J874" s="310"/>
    </row>
    <row r="875" spans="2:13" s="18" customFormat="1" ht="12.75" customHeight="1" outlineLevel="3">
      <c r="B875" s="297" t="s">
        <v>1811</v>
      </c>
      <c r="C875" s="297" t="s">
        <v>2374</v>
      </c>
      <c r="D875" s="298">
        <v>4007</v>
      </c>
      <c r="E875" s="306" t="s">
        <v>2377</v>
      </c>
      <c r="F875" s="307"/>
      <c r="G875" s="297" t="s">
        <v>1141</v>
      </c>
      <c r="H875" s="308" t="str">
        <f t="shared" si="70"/>
        <v>MEP-SDV-NA</v>
      </c>
      <c r="I875" s="309" t="s">
        <v>293</v>
      </c>
      <c r="J875" s="310"/>
    </row>
    <row r="876" spans="2:13" s="18" customFormat="1" ht="12.75" customHeight="1" outlineLevel="3">
      <c r="B876" s="297" t="s">
        <v>1811</v>
      </c>
      <c r="C876" s="297" t="s">
        <v>2374</v>
      </c>
      <c r="D876" s="298">
        <v>4011</v>
      </c>
      <c r="E876" s="306" t="s">
        <v>2378</v>
      </c>
      <c r="F876" s="307"/>
      <c r="G876" s="297" t="s">
        <v>1141</v>
      </c>
      <c r="H876" s="308" t="str">
        <f t="shared" si="70"/>
        <v>MEP-SDV-NA</v>
      </c>
      <c r="I876" s="309" t="s">
        <v>293</v>
      </c>
      <c r="J876" s="310"/>
    </row>
    <row r="877" spans="2:13" s="18" customFormat="1" ht="12.75" customHeight="1" outlineLevel="3">
      <c r="B877" s="297" t="s">
        <v>1811</v>
      </c>
      <c r="C877" s="297" t="s">
        <v>2374</v>
      </c>
      <c r="D877" s="298">
        <v>4014</v>
      </c>
      <c r="E877" s="306" t="s">
        <v>2379</v>
      </c>
      <c r="F877" s="307"/>
      <c r="G877" s="297" t="s">
        <v>1141</v>
      </c>
      <c r="H877" s="308" t="str">
        <f t="shared" si="70"/>
        <v>MEP-SDV-NA</v>
      </c>
      <c r="I877" s="309" t="s">
        <v>293</v>
      </c>
      <c r="J877" s="310"/>
    </row>
    <row r="878" spans="2:13" s="18" customFormat="1" ht="12.75" customHeight="1" outlineLevel="3">
      <c r="B878" s="297" t="s">
        <v>1811</v>
      </c>
      <c r="C878" s="297" t="s">
        <v>2374</v>
      </c>
      <c r="D878" s="298">
        <v>4017</v>
      </c>
      <c r="E878" s="306" t="s">
        <v>2380</v>
      </c>
      <c r="F878" s="307"/>
      <c r="G878" s="297" t="s">
        <v>1141</v>
      </c>
      <c r="H878" s="308" t="str">
        <f t="shared" si="70"/>
        <v>MEP-SDV-NA</v>
      </c>
      <c r="I878" s="309" t="s">
        <v>293</v>
      </c>
      <c r="J878" s="310"/>
    </row>
    <row r="879" spans="2:13" s="18" customFormat="1" ht="12.75" customHeight="1" outlineLevel="3">
      <c r="B879" s="297" t="s">
        <v>1811</v>
      </c>
      <c r="C879" s="297" t="s">
        <v>2374</v>
      </c>
      <c r="D879" s="298">
        <v>4021</v>
      </c>
      <c r="E879" s="306" t="s">
        <v>2381</v>
      </c>
      <c r="F879" s="307"/>
      <c r="G879" s="297" t="s">
        <v>1141</v>
      </c>
      <c r="H879" s="308" t="str">
        <f t="shared" si="70"/>
        <v>MEP-SDV-NA</v>
      </c>
      <c r="I879" s="309" t="s">
        <v>293</v>
      </c>
      <c r="J879" s="310"/>
      <c r="K879" s="310"/>
      <c r="L879" s="311"/>
      <c r="M879" s="311"/>
    </row>
    <row r="880" spans="2:13" s="18" customFormat="1" ht="12.75" customHeight="1" outlineLevel="3">
      <c r="B880" s="297"/>
      <c r="C880" s="297"/>
      <c r="D880" s="298"/>
      <c r="E880" s="319" t="s">
        <v>2382</v>
      </c>
      <c r="F880" s="307"/>
      <c r="G880" s="17"/>
      <c r="H880" s="314"/>
      <c r="I880" s="309"/>
      <c r="J880" s="310"/>
      <c r="K880" s="310"/>
      <c r="L880" s="310"/>
      <c r="M880" s="311"/>
    </row>
    <row r="881" spans="2:19" s="18" customFormat="1" ht="12.75" customHeight="1" outlineLevel="3">
      <c r="B881" s="297" t="s">
        <v>1811</v>
      </c>
      <c r="C881" s="297" t="s">
        <v>2321</v>
      </c>
      <c r="D881" s="298">
        <v>1001</v>
      </c>
      <c r="E881" s="306" t="s">
        <v>2383</v>
      </c>
      <c r="F881" s="307"/>
      <c r="G881" s="297" t="s">
        <v>1141</v>
      </c>
      <c r="H881" s="308" t="str">
        <f>CONCATENATE("MEP-",G881,"-",I881)</f>
        <v>MEP-SDV-3</v>
      </c>
      <c r="I881" s="309">
        <v>3</v>
      </c>
      <c r="J881" s="300">
        <v>1</v>
      </c>
      <c r="K881" s="310"/>
      <c r="M881" s="311"/>
    </row>
    <row r="882" spans="2:19" s="18" customFormat="1" ht="12.75" customHeight="1" outlineLevel="3">
      <c r="B882" s="297" t="s">
        <v>1811</v>
      </c>
      <c r="C882" s="297" t="s">
        <v>2321</v>
      </c>
      <c r="D882" s="298">
        <v>1004</v>
      </c>
      <c r="E882" s="306" t="s">
        <v>2384</v>
      </c>
      <c r="F882" s="307"/>
      <c r="G882" s="297" t="s">
        <v>1141</v>
      </c>
      <c r="H882" s="308" t="str">
        <f>CONCATENATE("MEP-",G882,"-",I882)</f>
        <v>MEP-SDV-3</v>
      </c>
      <c r="I882" s="309">
        <v>3</v>
      </c>
      <c r="J882" s="310"/>
      <c r="K882" s="310"/>
      <c r="L882" s="311">
        <v>1</v>
      </c>
      <c r="M882" s="311">
        <v>1</v>
      </c>
      <c r="Q882" s="311">
        <v>1</v>
      </c>
      <c r="S882" s="311">
        <v>1</v>
      </c>
    </row>
    <row r="883" spans="2:19" s="18" customFormat="1" ht="12.75" customHeight="1" outlineLevel="3">
      <c r="B883" s="297" t="s">
        <v>1811</v>
      </c>
      <c r="C883" s="297" t="s">
        <v>2321</v>
      </c>
      <c r="D883" s="298">
        <v>1007</v>
      </c>
      <c r="E883" s="306" t="s">
        <v>2385</v>
      </c>
      <c r="F883" s="307"/>
      <c r="G883" s="297" t="s">
        <v>1141</v>
      </c>
      <c r="H883" s="308" t="str">
        <f>CONCATENATE("MEP-",G883,"-",I883)</f>
        <v>MEP-SDV-3</v>
      </c>
      <c r="I883" s="309">
        <v>3</v>
      </c>
      <c r="J883" s="310"/>
      <c r="K883" s="310"/>
      <c r="L883" s="311">
        <v>1</v>
      </c>
      <c r="M883" s="311">
        <v>1</v>
      </c>
      <c r="Q883" s="311">
        <v>1</v>
      </c>
      <c r="S883" s="311">
        <v>1</v>
      </c>
    </row>
    <row r="884" spans="2:19" s="18" customFormat="1" ht="12.75" customHeight="1" outlineLevel="3">
      <c r="B884" s="297"/>
      <c r="C884" s="297"/>
      <c r="D884" s="298"/>
      <c r="E884" s="319" t="s">
        <v>2386</v>
      </c>
      <c r="F884" s="307"/>
      <c r="G884" s="17"/>
      <c r="H884" s="314"/>
      <c r="I884" s="309"/>
      <c r="J884" s="310"/>
      <c r="K884" s="310"/>
      <c r="L884" s="310"/>
      <c r="M884" s="311"/>
    </row>
    <row r="885" spans="2:19" s="18" customFormat="1" ht="12.75" customHeight="1" outlineLevel="3">
      <c r="B885" s="297" t="s">
        <v>1811</v>
      </c>
      <c r="C885" s="297" t="s">
        <v>2333</v>
      </c>
      <c r="D885" s="298">
        <v>1001</v>
      </c>
      <c r="E885" s="306" t="s">
        <v>2387</v>
      </c>
      <c r="F885" s="307"/>
      <c r="G885" s="297" t="s">
        <v>1141</v>
      </c>
      <c r="H885" s="308" t="str">
        <f>CONCATENATE("MEP-",G885,"-",I885)</f>
        <v>MEP-SDV-3</v>
      </c>
      <c r="I885" s="309">
        <v>3</v>
      </c>
      <c r="J885" s="300">
        <v>1</v>
      </c>
      <c r="K885" s="310"/>
      <c r="M885" s="311"/>
    </row>
    <row r="886" spans="2:19" s="18" customFormat="1" ht="12.75" customHeight="1" outlineLevel="3">
      <c r="B886" s="297" t="s">
        <v>1811</v>
      </c>
      <c r="C886" s="297" t="s">
        <v>2333</v>
      </c>
      <c r="D886" s="298">
        <v>1004</v>
      </c>
      <c r="E886" s="306" t="s">
        <v>2388</v>
      </c>
      <c r="F886" s="307"/>
      <c r="G886" s="297" t="s">
        <v>1141</v>
      </c>
      <c r="H886" s="308" t="str">
        <f>CONCATENATE("MEP-",G886,"-",I886)</f>
        <v>MEP-SDV-3</v>
      </c>
      <c r="I886" s="309">
        <v>3</v>
      </c>
      <c r="J886" s="310"/>
      <c r="K886" s="310"/>
      <c r="L886" s="311">
        <v>1</v>
      </c>
      <c r="M886" s="311">
        <v>1</v>
      </c>
      <c r="Q886" s="311">
        <v>1</v>
      </c>
      <c r="S886" s="311">
        <v>1</v>
      </c>
    </row>
    <row r="887" spans="2:19" s="18" customFormat="1" ht="12.75" customHeight="1" outlineLevel="3">
      <c r="B887" s="297" t="s">
        <v>1811</v>
      </c>
      <c r="C887" s="297" t="s">
        <v>2333</v>
      </c>
      <c r="D887" s="298">
        <v>1007</v>
      </c>
      <c r="E887" s="306" t="s">
        <v>2389</v>
      </c>
      <c r="F887" s="307"/>
      <c r="G887" s="297" t="s">
        <v>1141</v>
      </c>
      <c r="H887" s="308" t="str">
        <f>CONCATENATE("MEP-",G887,"-",I887)</f>
        <v>MEP-SDV-3</v>
      </c>
      <c r="I887" s="309">
        <v>3</v>
      </c>
      <c r="J887" s="310"/>
      <c r="K887" s="310"/>
      <c r="L887" s="311">
        <v>1</v>
      </c>
      <c r="M887" s="311">
        <v>1</v>
      </c>
      <c r="Q887" s="311">
        <v>1</v>
      </c>
      <c r="S887" s="311">
        <v>1</v>
      </c>
    </row>
    <row r="888" spans="2:19" s="18" customFormat="1" ht="12.75" customHeight="1" outlineLevel="3">
      <c r="B888" s="297"/>
      <c r="C888" s="297"/>
      <c r="D888" s="298"/>
      <c r="E888" s="319" t="s">
        <v>2318</v>
      </c>
      <c r="F888" s="307"/>
      <c r="G888" s="17"/>
      <c r="H888" s="314"/>
      <c r="I888" s="309"/>
      <c r="J888" s="310"/>
      <c r="K888" s="310"/>
      <c r="L888" s="310"/>
      <c r="M888" s="311"/>
    </row>
    <row r="889" spans="2:19" s="18" customFormat="1" ht="12.75" customHeight="1" outlineLevel="3">
      <c r="B889" s="297" t="s">
        <v>1811</v>
      </c>
      <c r="C889" s="297"/>
      <c r="D889" s="298"/>
      <c r="E889" s="306" t="s">
        <v>2390</v>
      </c>
      <c r="F889" s="307"/>
      <c r="G889" s="297" t="s">
        <v>1141</v>
      </c>
      <c r="H889" s="308" t="str">
        <f>CONCATENATE("MEP-",G889,"-",I889)</f>
        <v>MEP-SDV-3</v>
      </c>
      <c r="I889" s="309">
        <v>3</v>
      </c>
      <c r="J889" s="300">
        <v>1</v>
      </c>
      <c r="K889" s="310"/>
      <c r="L889" s="310"/>
      <c r="M889" s="311"/>
    </row>
    <row r="890" spans="2:19" s="18" customFormat="1" ht="12.75" customHeight="1" outlineLevel="2">
      <c r="B890" s="316" t="s">
        <v>1854</v>
      </c>
      <c r="C890" s="297"/>
      <c r="D890" s="298"/>
      <c r="E890" s="306"/>
      <c r="F890" s="307"/>
      <c r="G890" s="17"/>
      <c r="H890" s="314"/>
      <c r="I890" s="309"/>
      <c r="J890" s="310"/>
      <c r="K890" s="310"/>
      <c r="L890" s="310"/>
      <c r="M890" s="311"/>
    </row>
    <row r="891" spans="2:19" s="18" customFormat="1" ht="12.75" customHeight="1" outlineLevel="3">
      <c r="B891" s="297" t="s">
        <v>1811</v>
      </c>
      <c r="C891" s="297" t="s">
        <v>1140</v>
      </c>
      <c r="D891" s="298">
        <v>9001</v>
      </c>
      <c r="E891" s="306" t="s">
        <v>2391</v>
      </c>
      <c r="F891" s="307"/>
      <c r="G891" s="297" t="s">
        <v>1141</v>
      </c>
      <c r="H891" s="308" t="str">
        <f t="shared" ref="H891:H895" si="71">CONCATENATE("MEP-",G891,"-",I891)</f>
        <v>MEP-SDV-1</v>
      </c>
      <c r="I891" s="309">
        <v>1</v>
      </c>
      <c r="J891" s="300">
        <v>1</v>
      </c>
      <c r="K891" s="310"/>
      <c r="L891" s="300"/>
      <c r="M891" s="311"/>
    </row>
    <row r="892" spans="2:19" s="18" customFormat="1" ht="12.75" customHeight="1" outlineLevel="3">
      <c r="B892" s="297" t="s">
        <v>1811</v>
      </c>
      <c r="C892" s="297" t="s">
        <v>1140</v>
      </c>
      <c r="D892" s="298">
        <v>9002</v>
      </c>
      <c r="E892" s="306" t="s">
        <v>2391</v>
      </c>
      <c r="F892" s="307"/>
      <c r="G892" s="297" t="s">
        <v>1141</v>
      </c>
      <c r="H892" s="308" t="str">
        <f t="shared" si="71"/>
        <v>MEP-SDV-1</v>
      </c>
      <c r="I892" s="309">
        <v>1</v>
      </c>
      <c r="J892" s="300">
        <v>1</v>
      </c>
      <c r="K892" s="310"/>
      <c r="L892" s="300"/>
      <c r="M892" s="311"/>
    </row>
    <row r="893" spans="2:19" s="18" customFormat="1" ht="12.75" customHeight="1" outlineLevel="3">
      <c r="B893" s="297" t="s">
        <v>1811</v>
      </c>
      <c r="C893" s="297" t="s">
        <v>1140</v>
      </c>
      <c r="D893" s="298">
        <v>9003</v>
      </c>
      <c r="E893" s="313" t="s">
        <v>2392</v>
      </c>
      <c r="F893" s="307"/>
      <c r="G893" s="297" t="s">
        <v>1141</v>
      </c>
      <c r="H893" s="308" t="str">
        <f t="shared" si="71"/>
        <v>MEP-SDV-1</v>
      </c>
      <c r="I893" s="309">
        <v>1</v>
      </c>
      <c r="J893" s="311">
        <v>1</v>
      </c>
      <c r="K893" s="310"/>
      <c r="L893" s="311"/>
      <c r="M893" s="311"/>
    </row>
    <row r="894" spans="2:19" s="18" customFormat="1" ht="12.75" customHeight="1" outlineLevel="3">
      <c r="B894" s="297" t="s">
        <v>1811</v>
      </c>
      <c r="C894" s="297" t="s">
        <v>1140</v>
      </c>
      <c r="D894" s="298">
        <v>9004</v>
      </c>
      <c r="E894" s="306" t="s">
        <v>2393</v>
      </c>
      <c r="F894" s="307"/>
      <c r="G894" s="297" t="s">
        <v>1141</v>
      </c>
      <c r="H894" s="308" t="str">
        <f t="shared" si="71"/>
        <v>MEP-SDV-1</v>
      </c>
      <c r="I894" s="309">
        <v>1</v>
      </c>
      <c r="J894" s="311">
        <v>1</v>
      </c>
      <c r="K894" s="310"/>
      <c r="L894" s="311"/>
      <c r="M894" s="311"/>
    </row>
    <row r="895" spans="2:19" s="18" customFormat="1" ht="12.75" customHeight="1" outlineLevel="3">
      <c r="B895" s="297" t="s">
        <v>1811</v>
      </c>
      <c r="C895" s="297" t="s">
        <v>1140</v>
      </c>
      <c r="D895" s="298">
        <v>9005</v>
      </c>
      <c r="E895" s="306" t="s">
        <v>2394</v>
      </c>
      <c r="F895" s="307"/>
      <c r="G895" s="297" t="s">
        <v>1141</v>
      </c>
      <c r="H895" s="308" t="str">
        <f t="shared" si="71"/>
        <v>MEP-SDV-1</v>
      </c>
      <c r="I895" s="309">
        <v>1</v>
      </c>
      <c r="J895" s="311">
        <v>1</v>
      </c>
      <c r="K895" s="310"/>
      <c r="L895" s="311"/>
      <c r="M895" s="311"/>
    </row>
    <row r="896" spans="2:19" s="18" customFormat="1" ht="12.75" customHeight="1" outlineLevel="3">
      <c r="B896" s="297" t="s">
        <v>1811</v>
      </c>
      <c r="C896" s="297" t="s">
        <v>1140</v>
      </c>
      <c r="D896" s="298">
        <v>9007</v>
      </c>
      <c r="E896" s="306" t="s">
        <v>1934</v>
      </c>
      <c r="F896" s="307"/>
      <c r="G896" s="297" t="s">
        <v>1141</v>
      </c>
      <c r="H896" s="308" t="str">
        <f>CONCATENATE("MEP-",G896,"-",I896)</f>
        <v>MEP-SDV-NA</v>
      </c>
      <c r="I896" s="309" t="s">
        <v>293</v>
      </c>
      <c r="J896" s="310"/>
      <c r="K896" s="310"/>
      <c r="L896" s="311"/>
      <c r="M896" s="311"/>
    </row>
    <row r="897" spans="2:19" s="18" customFormat="1" ht="12.75" customHeight="1" outlineLevel="1">
      <c r="B897" s="297"/>
      <c r="C897" s="297"/>
      <c r="D897" s="298"/>
      <c r="E897" s="306"/>
      <c r="F897" s="307"/>
      <c r="G897" s="17"/>
      <c r="H897" s="314"/>
      <c r="I897" s="309"/>
      <c r="J897" s="310"/>
      <c r="K897" s="310"/>
      <c r="L897" s="310"/>
      <c r="M897" s="311"/>
    </row>
    <row r="898" spans="2:19" s="18" customFormat="1" ht="12.75" customHeight="1" outlineLevel="1">
      <c r="B898" s="301" t="s">
        <v>1819</v>
      </c>
      <c r="C898" s="297"/>
      <c r="D898" s="298"/>
      <c r="E898" s="306"/>
      <c r="F898" s="307"/>
      <c r="G898" s="17"/>
      <c r="H898" s="314"/>
      <c r="I898" s="309"/>
      <c r="J898" s="310"/>
      <c r="K898" s="310"/>
      <c r="L898" s="310"/>
      <c r="M898" s="311"/>
    </row>
    <row r="899" spans="2:19" s="18" customFormat="1" ht="12.75" customHeight="1" outlineLevel="2">
      <c r="B899" s="316" t="s">
        <v>2313</v>
      </c>
      <c r="C899" s="297"/>
      <c r="D899" s="298"/>
      <c r="E899" s="306"/>
      <c r="F899" s="307"/>
      <c r="G899" s="17"/>
      <c r="H899" s="314"/>
      <c r="I899" s="309"/>
      <c r="J899" s="310"/>
      <c r="K899" s="310"/>
      <c r="L899" s="310"/>
      <c r="M899" s="311"/>
    </row>
    <row r="900" spans="2:19" s="18" customFormat="1" ht="12.75" customHeight="1" outlineLevel="3">
      <c r="B900" s="297" t="s">
        <v>1819</v>
      </c>
      <c r="C900" s="297" t="s">
        <v>2314</v>
      </c>
      <c r="D900" s="298">
        <v>4001</v>
      </c>
      <c r="E900" s="306" t="s">
        <v>2395</v>
      </c>
      <c r="F900" s="307"/>
      <c r="G900" s="297" t="s">
        <v>1141</v>
      </c>
      <c r="H900" s="308" t="str">
        <f>CONCATENATE("MEP-",G900,"-",I900)</f>
        <v>MEP-SDV-NA</v>
      </c>
      <c r="I900" s="309" t="s">
        <v>293</v>
      </c>
      <c r="K900" s="310"/>
      <c r="L900" s="311"/>
      <c r="M900" s="311"/>
    </row>
    <row r="901" spans="2:19" s="18" customFormat="1" ht="12.75" customHeight="1" outlineLevel="3">
      <c r="B901" s="297" t="s">
        <v>1819</v>
      </c>
      <c r="C901" s="297" t="s">
        <v>2314</v>
      </c>
      <c r="D901" s="298">
        <v>4004</v>
      </c>
      <c r="E901" s="306" t="s">
        <v>2317</v>
      </c>
      <c r="F901" s="307"/>
      <c r="G901" s="297" t="s">
        <v>1141</v>
      </c>
      <c r="H901" s="308" t="str">
        <f>CONCATENATE("MEP-",G901,"-",I901)</f>
        <v>MEP-SDV-3</v>
      </c>
      <c r="I901" s="309">
        <v>3</v>
      </c>
      <c r="J901" s="310"/>
      <c r="K901" s="310"/>
      <c r="L901" s="311">
        <v>1</v>
      </c>
      <c r="M901" s="311">
        <v>1</v>
      </c>
      <c r="Q901" s="311">
        <v>1</v>
      </c>
      <c r="S901" s="311">
        <v>1</v>
      </c>
    </row>
    <row r="902" spans="2:19" s="18" customFormat="1" ht="12.75" customHeight="1" outlineLevel="3">
      <c r="B902" s="297"/>
      <c r="C902" s="297"/>
      <c r="D902" s="298"/>
      <c r="E902" s="319" t="s">
        <v>2320</v>
      </c>
      <c r="F902" s="307"/>
      <c r="G902" s="17"/>
      <c r="H902" s="314"/>
      <c r="I902" s="309"/>
      <c r="J902" s="310"/>
      <c r="K902" s="310"/>
      <c r="L902" s="310"/>
      <c r="M902" s="311"/>
    </row>
    <row r="903" spans="2:19" s="18" customFormat="1" ht="12.75" customHeight="1" outlineLevel="3">
      <c r="B903" s="297" t="s">
        <v>1819</v>
      </c>
      <c r="C903" s="297" t="s">
        <v>2321</v>
      </c>
      <c r="D903" s="298">
        <v>4001</v>
      </c>
      <c r="E903" s="306" t="s">
        <v>2396</v>
      </c>
      <c r="F903" s="307"/>
      <c r="G903" s="297" t="s">
        <v>1141</v>
      </c>
      <c r="H903" s="308" t="str">
        <f>CONCATENATE("MEP-",G903,"-",I903)</f>
        <v>MEP-SDV-3</v>
      </c>
      <c r="I903" s="309">
        <v>3</v>
      </c>
      <c r="J903" s="310">
        <v>1</v>
      </c>
      <c r="K903" s="310"/>
      <c r="L903" s="310"/>
      <c r="M903" s="311"/>
    </row>
    <row r="904" spans="2:19" s="18" customFormat="1" ht="12.75" customHeight="1" outlineLevel="3">
      <c r="B904" s="297"/>
      <c r="C904" s="297"/>
      <c r="D904" s="298"/>
      <c r="E904" s="319" t="s">
        <v>2397</v>
      </c>
      <c r="F904" s="307"/>
      <c r="G904" s="17"/>
      <c r="H904" s="314"/>
      <c r="I904" s="309"/>
      <c r="J904" s="310"/>
      <c r="K904" s="310"/>
      <c r="L904" s="310"/>
      <c r="M904" s="311"/>
    </row>
    <row r="905" spans="2:19" s="18" customFormat="1" ht="12.75" customHeight="1" outlineLevel="3">
      <c r="B905" s="297" t="s">
        <v>1819</v>
      </c>
      <c r="C905" s="297" t="s">
        <v>2321</v>
      </c>
      <c r="D905" s="298">
        <v>4001</v>
      </c>
      <c r="E905" s="306" t="s">
        <v>2398</v>
      </c>
      <c r="F905" s="307"/>
      <c r="G905" s="297" t="s">
        <v>1141</v>
      </c>
      <c r="H905" s="308" t="str">
        <f>CONCATENATE("MEP-",G905,"-",I905)</f>
        <v>MEP-SDV-3</v>
      </c>
      <c r="I905" s="309">
        <v>3</v>
      </c>
      <c r="J905" s="310"/>
      <c r="K905" s="310"/>
      <c r="L905" s="311">
        <v>1</v>
      </c>
      <c r="M905" s="311">
        <v>1</v>
      </c>
      <c r="Q905" s="311">
        <v>1</v>
      </c>
      <c r="S905" s="311">
        <v>1</v>
      </c>
    </row>
    <row r="906" spans="2:19" s="18" customFormat="1" ht="12.75" customHeight="1" outlineLevel="3">
      <c r="B906" s="297"/>
      <c r="C906" s="297"/>
      <c r="D906" s="298"/>
      <c r="E906" s="319" t="s">
        <v>2399</v>
      </c>
      <c r="F906" s="307"/>
      <c r="G906" s="17"/>
      <c r="H906" s="314"/>
      <c r="I906" s="309"/>
      <c r="J906" s="310"/>
      <c r="K906" s="310"/>
      <c r="L906" s="310"/>
      <c r="M906" s="311"/>
    </row>
    <row r="907" spans="2:19" s="18" customFormat="1" ht="12.75" customHeight="1" outlineLevel="3">
      <c r="B907" s="297" t="s">
        <v>1819</v>
      </c>
      <c r="C907" s="297" t="s">
        <v>2321</v>
      </c>
      <c r="D907" s="298">
        <v>4007</v>
      </c>
      <c r="E907" s="306" t="s">
        <v>2400</v>
      </c>
      <c r="F907" s="307"/>
      <c r="G907" s="297" t="s">
        <v>1141</v>
      </c>
      <c r="H907" s="308" t="str">
        <f>CONCATENATE("MEP-",G907,"-",I907)</f>
        <v>MEP-SDV-3</v>
      </c>
      <c r="I907" s="309">
        <v>3</v>
      </c>
      <c r="J907" s="310"/>
      <c r="K907" s="310"/>
      <c r="L907" s="311">
        <v>1</v>
      </c>
      <c r="M907" s="311">
        <v>1</v>
      </c>
      <c r="Q907" s="311">
        <v>1</v>
      </c>
      <c r="S907" s="311">
        <v>1</v>
      </c>
    </row>
    <row r="908" spans="2:19" s="18" customFormat="1" ht="12.75" customHeight="1" outlineLevel="3">
      <c r="B908" s="297"/>
      <c r="C908" s="297"/>
      <c r="D908" s="298"/>
      <c r="E908" s="319" t="s">
        <v>2332</v>
      </c>
      <c r="F908" s="307"/>
      <c r="G908" s="17"/>
      <c r="H908" s="314"/>
      <c r="I908" s="309"/>
      <c r="J908" s="310"/>
      <c r="K908" s="310"/>
      <c r="L908" s="310"/>
      <c r="M908" s="311"/>
    </row>
    <row r="909" spans="2:19" s="18" customFormat="1" ht="12.75" customHeight="1" outlineLevel="3">
      <c r="B909" s="297" t="s">
        <v>1819</v>
      </c>
      <c r="C909" s="297" t="s">
        <v>2333</v>
      </c>
      <c r="D909" s="298">
        <v>9001</v>
      </c>
      <c r="E909" s="306" t="s">
        <v>2401</v>
      </c>
      <c r="F909" s="307"/>
      <c r="G909" s="297" t="s">
        <v>1141</v>
      </c>
      <c r="H909" s="308" t="str">
        <f>CONCATENATE("MEP-",G909,"-",I909)</f>
        <v>MEP-SDV-3</v>
      </c>
      <c r="I909" s="309">
        <v>3</v>
      </c>
      <c r="J909" s="310">
        <v>1</v>
      </c>
      <c r="K909" s="310"/>
      <c r="L909" s="310"/>
      <c r="M909" s="311"/>
    </row>
    <row r="910" spans="2:19" s="18" customFormat="1" ht="12.75" customHeight="1" outlineLevel="3">
      <c r="B910" s="297"/>
      <c r="C910" s="297"/>
      <c r="D910" s="298"/>
      <c r="E910" s="319" t="s">
        <v>2335</v>
      </c>
      <c r="F910" s="307"/>
      <c r="G910" s="17"/>
      <c r="H910" s="314"/>
      <c r="I910" s="309"/>
      <c r="J910" s="310"/>
      <c r="K910" s="310"/>
      <c r="L910" s="310"/>
      <c r="M910" s="311"/>
    </row>
    <row r="911" spans="2:19" s="18" customFormat="1" ht="12.75" customHeight="1" outlineLevel="3">
      <c r="B911" s="297" t="s">
        <v>1819</v>
      </c>
      <c r="C911" s="297" t="s">
        <v>2333</v>
      </c>
      <c r="D911" s="298">
        <v>9004</v>
      </c>
      <c r="E911" s="306" t="s">
        <v>2402</v>
      </c>
      <c r="F911" s="307"/>
      <c r="G911" s="297" t="s">
        <v>1141</v>
      </c>
      <c r="H911" s="308" t="str">
        <f>CONCATENATE("MEP-",G911,"-",I911)</f>
        <v>MEP-SDV-3</v>
      </c>
      <c r="I911" s="309">
        <v>3</v>
      </c>
      <c r="J911" s="310"/>
      <c r="K911" s="310"/>
      <c r="L911" s="311">
        <v>1</v>
      </c>
      <c r="M911" s="311">
        <v>1</v>
      </c>
      <c r="Q911" s="311">
        <v>1</v>
      </c>
      <c r="S911" s="311">
        <v>1</v>
      </c>
    </row>
    <row r="912" spans="2:19" s="18" customFormat="1" ht="12.75" customHeight="1" outlineLevel="3">
      <c r="B912" s="297"/>
      <c r="C912" s="297"/>
      <c r="D912" s="298"/>
      <c r="E912" s="319" t="s">
        <v>2403</v>
      </c>
      <c r="F912" s="307"/>
      <c r="G912" s="17"/>
      <c r="H912" s="314"/>
      <c r="I912" s="309"/>
      <c r="J912" s="310"/>
      <c r="K912" s="310"/>
      <c r="L912" s="310"/>
      <c r="M912" s="311"/>
    </row>
    <row r="913" spans="2:19" s="18" customFormat="1" ht="12.75" customHeight="1" outlineLevel="3">
      <c r="B913" s="297" t="s">
        <v>1819</v>
      </c>
      <c r="C913" s="297" t="s">
        <v>2333</v>
      </c>
      <c r="D913" s="298">
        <v>9006</v>
      </c>
      <c r="E913" s="306" t="s">
        <v>2404</v>
      </c>
      <c r="F913" s="307"/>
      <c r="G913" s="297" t="s">
        <v>1141</v>
      </c>
      <c r="H913" s="308" t="str">
        <f>CONCATENATE("MEP-",G913,"-",I913)</f>
        <v>MEP-SDV-3</v>
      </c>
      <c r="I913" s="309">
        <v>3</v>
      </c>
      <c r="J913" s="310"/>
      <c r="K913" s="310"/>
      <c r="L913" s="311">
        <v>1</v>
      </c>
      <c r="M913" s="311">
        <v>1</v>
      </c>
      <c r="Q913" s="311">
        <v>1</v>
      </c>
      <c r="S913" s="311">
        <v>1</v>
      </c>
    </row>
    <row r="914" spans="2:19" s="18" customFormat="1" ht="12.75" customHeight="1" outlineLevel="1">
      <c r="B914" s="297"/>
      <c r="C914" s="297"/>
      <c r="D914" s="298"/>
      <c r="E914" s="321" t="s">
        <v>2405</v>
      </c>
      <c r="F914" s="307"/>
      <c r="G914" s="17"/>
      <c r="H914" s="314"/>
      <c r="I914" s="309"/>
      <c r="J914" s="310"/>
      <c r="K914" s="310"/>
      <c r="L914" s="310"/>
      <c r="M914" s="311"/>
    </row>
    <row r="915" spans="2:19" s="18" customFormat="1" ht="12.75" customHeight="1" outlineLevel="1">
      <c r="B915" s="301" t="s">
        <v>1821</v>
      </c>
      <c r="C915" s="297"/>
      <c r="D915" s="298"/>
      <c r="E915" s="306"/>
      <c r="F915" s="307"/>
      <c r="G915" s="17"/>
      <c r="H915" s="314"/>
      <c r="I915" s="309"/>
      <c r="J915" s="310"/>
      <c r="K915" s="310"/>
      <c r="L915" s="310"/>
      <c r="M915" s="311"/>
    </row>
    <row r="916" spans="2:19" s="18" customFormat="1" ht="12.75" customHeight="1" outlineLevel="2">
      <c r="B916" s="297" t="s">
        <v>1822</v>
      </c>
      <c r="C916" s="297" t="s">
        <v>1140</v>
      </c>
      <c r="D916" s="298" t="s">
        <v>273</v>
      </c>
      <c r="E916" s="306" t="s">
        <v>2406</v>
      </c>
      <c r="F916" s="307"/>
      <c r="G916" s="297" t="s">
        <v>1141</v>
      </c>
      <c r="H916" s="308" t="str">
        <f>CONCATENATE("MEP-",G916,"-",I916)</f>
        <v>MEP-SDV-1</v>
      </c>
      <c r="I916" s="309">
        <v>1</v>
      </c>
      <c r="J916" s="300">
        <v>1</v>
      </c>
      <c r="K916" s="310"/>
      <c r="L916" s="300"/>
      <c r="M916" s="311"/>
    </row>
    <row r="917" spans="2:19" s="18" customFormat="1" ht="12.75" customHeight="1" outlineLevel="1">
      <c r="B917" s="297"/>
      <c r="C917" s="297"/>
      <c r="D917" s="298"/>
      <c r="E917" s="306"/>
      <c r="F917" s="307"/>
      <c r="G917" s="17"/>
      <c r="H917" s="314"/>
      <c r="I917" s="309"/>
      <c r="J917" s="310"/>
      <c r="K917" s="310"/>
      <c r="L917" s="310"/>
      <c r="M917" s="311"/>
    </row>
    <row r="918" spans="2:19" s="18" customFormat="1" ht="12.75" customHeight="1" outlineLevel="1">
      <c r="B918" s="301" t="s">
        <v>2003</v>
      </c>
      <c r="C918" s="297"/>
      <c r="D918" s="298"/>
      <c r="E918" s="306"/>
      <c r="F918" s="307"/>
      <c r="G918" s="17"/>
      <c r="H918" s="314"/>
      <c r="I918" s="309"/>
      <c r="J918" s="310"/>
      <c r="K918" s="310"/>
      <c r="L918" s="310"/>
      <c r="M918" s="311"/>
    </row>
    <row r="919" spans="2:19" s="18" customFormat="1" ht="12.75" customHeight="1" outlineLevel="2">
      <c r="B919" s="316" t="s">
        <v>1483</v>
      </c>
      <c r="C919" s="297"/>
      <c r="D919" s="298"/>
      <c r="E919" s="306"/>
      <c r="F919" s="307"/>
      <c r="G919" s="17"/>
      <c r="H919" s="314"/>
      <c r="I919" s="309"/>
      <c r="J919" s="310"/>
      <c r="K919" s="310"/>
      <c r="L919" s="310"/>
      <c r="M919" s="311"/>
    </row>
    <row r="920" spans="2:19" s="18" customFormat="1" ht="12.75" customHeight="1" outlineLevel="3">
      <c r="B920" s="297" t="s">
        <v>1465</v>
      </c>
      <c r="C920" s="297" t="s">
        <v>1140</v>
      </c>
      <c r="D920" s="298" t="s">
        <v>273</v>
      </c>
      <c r="E920" s="306" t="s">
        <v>2407</v>
      </c>
      <c r="F920" s="307"/>
      <c r="G920" s="297" t="s">
        <v>1141</v>
      </c>
      <c r="H920" s="308" t="str">
        <f t="shared" ref="H920:H926" si="72">CONCATENATE("MEP-",G920,"-",I920)</f>
        <v>MEP-SDV-1</v>
      </c>
      <c r="I920" s="309">
        <v>1</v>
      </c>
      <c r="J920" s="310">
        <v>1</v>
      </c>
      <c r="K920" s="310"/>
      <c r="L920" s="310"/>
      <c r="M920" s="311"/>
    </row>
    <row r="921" spans="2:19" s="18" customFormat="1" ht="12.75" customHeight="1" outlineLevel="3">
      <c r="B921" s="297" t="s">
        <v>1465</v>
      </c>
      <c r="C921" s="297" t="s">
        <v>1140</v>
      </c>
      <c r="D921" s="298" t="s">
        <v>275</v>
      </c>
      <c r="E921" s="306" t="s">
        <v>2408</v>
      </c>
      <c r="F921" s="307"/>
      <c r="G921" s="297" t="s">
        <v>1141</v>
      </c>
      <c r="H921" s="308" t="str">
        <f t="shared" si="72"/>
        <v>MEP-SDV-1</v>
      </c>
      <c r="I921" s="309">
        <v>1</v>
      </c>
      <c r="J921" s="310">
        <v>1</v>
      </c>
      <c r="K921" s="310"/>
      <c r="L921" s="310"/>
      <c r="M921" s="311"/>
    </row>
    <row r="922" spans="2:19" s="18" customFormat="1" ht="12.75" customHeight="1" outlineLevel="3">
      <c r="B922" s="297" t="s">
        <v>1465</v>
      </c>
      <c r="C922" s="297" t="s">
        <v>1140</v>
      </c>
      <c r="D922" s="298" t="s">
        <v>834</v>
      </c>
      <c r="E922" s="306" t="s">
        <v>2409</v>
      </c>
      <c r="F922" s="307"/>
      <c r="G922" s="297" t="s">
        <v>1141</v>
      </c>
      <c r="H922" s="308" t="str">
        <f t="shared" si="72"/>
        <v>MEP-SDV-1</v>
      </c>
      <c r="I922" s="309">
        <v>1</v>
      </c>
      <c r="J922" s="310">
        <v>1</v>
      </c>
      <c r="K922" s="310"/>
      <c r="L922" s="310"/>
      <c r="M922" s="311"/>
    </row>
    <row r="923" spans="2:19" s="18" customFormat="1" ht="12.75" customHeight="1" outlineLevel="3">
      <c r="B923" s="297" t="s">
        <v>1465</v>
      </c>
      <c r="C923" s="297" t="s">
        <v>1140</v>
      </c>
      <c r="D923" s="298" t="s">
        <v>2286</v>
      </c>
      <c r="E923" s="306" t="s">
        <v>2410</v>
      </c>
      <c r="F923" s="307"/>
      <c r="G923" s="297" t="s">
        <v>1141</v>
      </c>
      <c r="H923" s="308" t="str">
        <f t="shared" si="72"/>
        <v>MEP-SDV-1</v>
      </c>
      <c r="I923" s="309">
        <v>1</v>
      </c>
      <c r="J923" s="310">
        <v>1</v>
      </c>
      <c r="K923" s="310"/>
      <c r="L923" s="310"/>
      <c r="M923" s="311"/>
    </row>
    <row r="924" spans="2:19" s="18" customFormat="1" ht="12.75" customHeight="1" outlineLevel="3">
      <c r="B924" s="297" t="s">
        <v>1465</v>
      </c>
      <c r="C924" s="297" t="s">
        <v>1140</v>
      </c>
      <c r="D924" s="298" t="s">
        <v>2355</v>
      </c>
      <c r="E924" s="306" t="s">
        <v>2411</v>
      </c>
      <c r="F924" s="307"/>
      <c r="G924" s="297" t="s">
        <v>1141</v>
      </c>
      <c r="H924" s="308" t="str">
        <f t="shared" si="72"/>
        <v>MEP-SDV-1</v>
      </c>
      <c r="I924" s="309">
        <v>1</v>
      </c>
      <c r="J924" s="310">
        <v>1</v>
      </c>
      <c r="K924" s="310"/>
      <c r="L924" s="310"/>
      <c r="M924" s="311"/>
    </row>
    <row r="925" spans="2:19" s="18" customFormat="1" ht="12.75" customHeight="1" outlineLevel="3">
      <c r="B925" s="297" t="s">
        <v>1465</v>
      </c>
      <c r="C925" s="297" t="s">
        <v>1140</v>
      </c>
      <c r="D925" s="298" t="s">
        <v>2288</v>
      </c>
      <c r="E925" s="306" t="s">
        <v>2412</v>
      </c>
      <c r="F925" s="307"/>
      <c r="G925" s="297" t="s">
        <v>1141</v>
      </c>
      <c r="H925" s="308" t="str">
        <f t="shared" si="72"/>
        <v>MEP-SDV-1</v>
      </c>
      <c r="I925" s="309">
        <v>1</v>
      </c>
      <c r="J925" s="310">
        <v>1</v>
      </c>
      <c r="K925" s="310"/>
      <c r="L925" s="310"/>
      <c r="M925" s="311"/>
    </row>
    <row r="926" spans="2:19" s="18" customFormat="1" ht="12.75" customHeight="1" outlineLevel="3">
      <c r="B926" s="297" t="s">
        <v>1465</v>
      </c>
      <c r="C926" s="297" t="s">
        <v>1140</v>
      </c>
      <c r="D926" s="298" t="s">
        <v>2341</v>
      </c>
      <c r="E926" s="306" t="s">
        <v>2412</v>
      </c>
      <c r="F926" s="307"/>
      <c r="G926" s="297" t="s">
        <v>1141</v>
      </c>
      <c r="H926" s="308" t="str">
        <f t="shared" si="72"/>
        <v>MEP-SDV-1</v>
      </c>
      <c r="I926" s="309">
        <v>1</v>
      </c>
      <c r="J926" s="310">
        <v>1</v>
      </c>
      <c r="K926" s="310"/>
      <c r="L926" s="310"/>
      <c r="M926" s="311"/>
    </row>
    <row r="927" spans="2:19" s="18" customFormat="1" ht="12.75" customHeight="1" outlineLevel="2">
      <c r="B927" s="297"/>
      <c r="C927" s="297"/>
      <c r="D927" s="298"/>
      <c r="E927" s="306"/>
      <c r="F927" s="307"/>
      <c r="G927" s="297"/>
      <c r="H927" s="308"/>
      <c r="I927" s="309"/>
      <c r="J927" s="310"/>
      <c r="K927" s="310"/>
      <c r="L927" s="310"/>
      <c r="M927" s="311"/>
    </row>
    <row r="928" spans="2:19" s="18" customFormat="1" ht="12.75" customHeight="1" outlineLevel="2">
      <c r="B928" s="301" t="s">
        <v>2413</v>
      </c>
      <c r="C928" s="297"/>
      <c r="D928" s="298"/>
      <c r="E928" s="306" t="s">
        <v>2413</v>
      </c>
      <c r="F928" s="307"/>
      <c r="G928" s="297" t="s">
        <v>1141</v>
      </c>
      <c r="H928" s="308" t="str">
        <f t="shared" ref="H928" si="73">CONCATENATE("MEP-",G928,"-",I928)</f>
        <v>MEP-SDV-3</v>
      </c>
      <c r="I928" s="309">
        <v>3</v>
      </c>
      <c r="J928" s="310"/>
      <c r="K928" s="310"/>
      <c r="L928" s="310">
        <v>1</v>
      </c>
      <c r="M928" s="311">
        <v>1</v>
      </c>
    </row>
    <row r="929" spans="1:13" s="18" customFormat="1" ht="12.75" customHeight="1" outlineLevel="2">
      <c r="B929" s="297"/>
      <c r="C929" s="297"/>
      <c r="D929" s="298"/>
      <c r="E929" s="306"/>
      <c r="F929" s="307"/>
      <c r="G929" s="297"/>
      <c r="H929" s="308"/>
      <c r="I929" s="309"/>
      <c r="J929" s="310"/>
      <c r="K929" s="310"/>
      <c r="L929" s="310"/>
      <c r="M929" s="311"/>
    </row>
    <row r="930" spans="1:13" ht="3" customHeight="1"/>
    <row r="931" spans="1:13" s="18" customFormat="1" ht="12.75" customHeight="1">
      <c r="A931" s="288" t="s">
        <v>29</v>
      </c>
      <c r="B931" s="297"/>
      <c r="C931" s="297"/>
      <c r="D931" s="298"/>
      <c r="E931" s="306"/>
      <c r="F931" s="46"/>
      <c r="G931" s="41" t="s">
        <v>257</v>
      </c>
      <c r="H931" s="41" t="s">
        <v>258</v>
      </c>
      <c r="I931" s="42" t="s">
        <v>259</v>
      </c>
      <c r="J931" s="300"/>
    </row>
    <row r="932" spans="1:13" s="18" customFormat="1" ht="12.75" customHeight="1" outlineLevel="1">
      <c r="A932" s="288"/>
      <c r="B932" s="297"/>
      <c r="C932" s="297"/>
      <c r="D932" s="298"/>
      <c r="E932" s="306"/>
      <c r="F932" s="46"/>
      <c r="G932" s="46"/>
      <c r="H932" s="46"/>
      <c r="I932" s="302"/>
      <c r="J932" s="300"/>
    </row>
    <row r="933" spans="1:13" s="18" customFormat="1" ht="12.75" customHeight="1" outlineLevel="1">
      <c r="A933" s="317" t="s">
        <v>1352</v>
      </c>
      <c r="C933" s="297"/>
      <c r="D933" s="298"/>
      <c r="E933" s="306"/>
      <c r="F933" s="307"/>
      <c r="G933" s="17"/>
      <c r="H933" s="314"/>
      <c r="I933" s="309"/>
      <c r="J933" s="310"/>
    </row>
    <row r="934" spans="1:13" s="18" customFormat="1" ht="12.75" customHeight="1" outlineLevel="2">
      <c r="A934" s="317"/>
      <c r="C934" s="297"/>
      <c r="D934" s="298"/>
      <c r="E934" s="306"/>
      <c r="F934" s="307"/>
      <c r="G934" s="17"/>
      <c r="H934" s="314"/>
      <c r="I934" s="309"/>
      <c r="J934" s="310"/>
    </row>
    <row r="935" spans="1:13" s="18" customFormat="1" ht="12.75" customHeight="1" outlineLevel="2">
      <c r="B935" s="301" t="s">
        <v>1796</v>
      </c>
      <c r="C935" s="297"/>
      <c r="D935" s="298"/>
      <c r="E935" s="306"/>
      <c r="F935" s="307"/>
      <c r="G935" s="17"/>
      <c r="H935" s="314"/>
      <c r="I935" s="309"/>
      <c r="J935" s="310"/>
    </row>
    <row r="936" spans="1:13" s="18" customFormat="1" ht="12.75" customHeight="1" outlineLevel="3">
      <c r="B936" s="297" t="s">
        <v>1797</v>
      </c>
      <c r="C936" s="297" t="s">
        <v>1313</v>
      </c>
      <c r="D936" s="298">
        <v>1001</v>
      </c>
      <c r="E936" s="306" t="s">
        <v>2414</v>
      </c>
      <c r="F936" s="307"/>
      <c r="G936" s="297" t="s">
        <v>1353</v>
      </c>
      <c r="H936" s="308" t="str">
        <f t="shared" ref="H936:H950" si="74">CONCATENATE("MEP-",G936,"-",I936)</f>
        <v>MEP-AMN-1</v>
      </c>
      <c r="I936" s="309">
        <v>1</v>
      </c>
      <c r="J936" s="310">
        <v>1</v>
      </c>
    </row>
    <row r="937" spans="1:13" s="18" customFormat="1" ht="12.75" customHeight="1" outlineLevel="3">
      <c r="B937" s="297" t="s">
        <v>1797</v>
      </c>
      <c r="C937" s="297" t="s">
        <v>1313</v>
      </c>
      <c r="D937" s="298">
        <v>1002</v>
      </c>
      <c r="E937" s="306" t="s">
        <v>2415</v>
      </c>
      <c r="F937" s="307"/>
      <c r="G937" s="297" t="s">
        <v>1353</v>
      </c>
      <c r="H937" s="308" t="str">
        <f t="shared" si="74"/>
        <v>MEP-AMN-1</v>
      </c>
      <c r="I937" s="309">
        <v>1</v>
      </c>
      <c r="J937" s="310">
        <v>1</v>
      </c>
    </row>
    <row r="938" spans="1:13" s="18" customFormat="1" ht="12.75" customHeight="1" outlineLevel="3">
      <c r="B938" s="297" t="s">
        <v>1797</v>
      </c>
      <c r="C938" s="297" t="s">
        <v>1313</v>
      </c>
      <c r="D938" s="298">
        <v>1004</v>
      </c>
      <c r="E938" s="306" t="s">
        <v>2416</v>
      </c>
      <c r="F938" s="307"/>
      <c r="G938" s="297" t="s">
        <v>1353</v>
      </c>
      <c r="H938" s="308" t="str">
        <f t="shared" si="74"/>
        <v>MEP-AMN-1</v>
      </c>
      <c r="I938" s="309">
        <v>1</v>
      </c>
      <c r="J938" s="310">
        <v>1</v>
      </c>
    </row>
    <row r="939" spans="1:13" s="18" customFormat="1" ht="12.75" customHeight="1" outlineLevel="3">
      <c r="B939" s="297" t="s">
        <v>1797</v>
      </c>
      <c r="C939" s="297" t="s">
        <v>1313</v>
      </c>
      <c r="D939" s="298">
        <v>1005</v>
      </c>
      <c r="E939" s="306" t="s">
        <v>2417</v>
      </c>
      <c r="F939" s="307"/>
      <c r="G939" s="297" t="s">
        <v>1353</v>
      </c>
      <c r="H939" s="308" t="str">
        <f t="shared" si="74"/>
        <v>MEP-AMN-1</v>
      </c>
      <c r="I939" s="309">
        <v>1</v>
      </c>
      <c r="J939" s="310">
        <v>1</v>
      </c>
    </row>
    <row r="940" spans="1:13" s="18" customFormat="1" ht="12.75" customHeight="1" outlineLevel="3">
      <c r="B940" s="297" t="s">
        <v>1797</v>
      </c>
      <c r="C940" s="297" t="s">
        <v>1313</v>
      </c>
      <c r="D940" s="298">
        <v>1006</v>
      </c>
      <c r="E940" s="306" t="s">
        <v>2418</v>
      </c>
      <c r="F940" s="307"/>
      <c r="G940" s="297" t="s">
        <v>1353</v>
      </c>
      <c r="H940" s="308" t="str">
        <f t="shared" si="74"/>
        <v>MEP-AMN-2</v>
      </c>
      <c r="I940" s="309">
        <v>2</v>
      </c>
      <c r="J940" s="311">
        <v>1</v>
      </c>
    </row>
    <row r="941" spans="1:13" s="18" customFormat="1" ht="12.75" customHeight="1" outlineLevel="3">
      <c r="B941" s="297" t="s">
        <v>1797</v>
      </c>
      <c r="C941" s="297" t="s">
        <v>1313</v>
      </c>
      <c r="D941" s="298">
        <v>1007</v>
      </c>
      <c r="E941" s="306" t="s">
        <v>2419</v>
      </c>
      <c r="F941" s="307"/>
      <c r="G941" s="297" t="s">
        <v>1353</v>
      </c>
      <c r="H941" s="308" t="str">
        <f t="shared" si="74"/>
        <v>MEP-AMN-2</v>
      </c>
      <c r="I941" s="309">
        <v>2</v>
      </c>
      <c r="J941" s="311">
        <v>1</v>
      </c>
    </row>
    <row r="942" spans="1:13" s="18" customFormat="1" ht="12.75" customHeight="1" outlineLevel="3">
      <c r="B942" s="297" t="s">
        <v>1797</v>
      </c>
      <c r="C942" s="297" t="s">
        <v>1313</v>
      </c>
      <c r="D942" s="298">
        <v>1008</v>
      </c>
      <c r="E942" s="306" t="s">
        <v>2420</v>
      </c>
      <c r="F942" s="307"/>
      <c r="G942" s="297" t="s">
        <v>1353</v>
      </c>
      <c r="H942" s="308" t="str">
        <f t="shared" si="74"/>
        <v>MEP-AMN-2</v>
      </c>
      <c r="I942" s="309">
        <v>2</v>
      </c>
      <c r="J942" s="311">
        <v>1</v>
      </c>
    </row>
    <row r="943" spans="1:13" s="18" customFormat="1" ht="12.75" customHeight="1" outlineLevel="3">
      <c r="B943" s="297" t="s">
        <v>1797</v>
      </c>
      <c r="C943" s="297" t="s">
        <v>1313</v>
      </c>
      <c r="D943" s="298">
        <v>1009</v>
      </c>
      <c r="E943" s="306" t="s">
        <v>2421</v>
      </c>
      <c r="F943" s="307"/>
      <c r="G943" s="297" t="s">
        <v>1353</v>
      </c>
      <c r="H943" s="308" t="str">
        <f t="shared" si="74"/>
        <v>MEP-AMN-2</v>
      </c>
      <c r="I943" s="309">
        <v>2</v>
      </c>
      <c r="J943" s="311">
        <v>1</v>
      </c>
    </row>
    <row r="944" spans="1:13" s="18" customFormat="1" ht="12.75" customHeight="1" outlineLevel="3">
      <c r="B944" s="297" t="s">
        <v>1797</v>
      </c>
      <c r="C944" s="297" t="s">
        <v>1313</v>
      </c>
      <c r="D944" s="298">
        <v>4011</v>
      </c>
      <c r="E944" s="306" t="s">
        <v>2422</v>
      </c>
      <c r="F944" s="307"/>
      <c r="G944" s="297" t="s">
        <v>1353</v>
      </c>
      <c r="H944" s="308" t="str">
        <f t="shared" si="74"/>
        <v>MEP-AMN-2</v>
      </c>
      <c r="I944" s="309">
        <v>2</v>
      </c>
      <c r="J944" s="311">
        <v>1</v>
      </c>
    </row>
    <row r="945" spans="2:10" s="18" customFormat="1" ht="12.75" customHeight="1" outlineLevel="3">
      <c r="B945" s="297" t="s">
        <v>1797</v>
      </c>
      <c r="C945" s="297" t="s">
        <v>1313</v>
      </c>
      <c r="D945" s="298">
        <v>4021</v>
      </c>
      <c r="E945" s="306" t="s">
        <v>2423</v>
      </c>
      <c r="F945" s="307"/>
      <c r="G945" s="297" t="s">
        <v>1353</v>
      </c>
      <c r="H945" s="308" t="str">
        <f t="shared" si="74"/>
        <v>MEP-AMN-2</v>
      </c>
      <c r="I945" s="309">
        <v>2</v>
      </c>
      <c r="J945" s="311">
        <v>1</v>
      </c>
    </row>
    <row r="946" spans="2:10" s="18" customFormat="1" ht="12.75" customHeight="1" outlineLevel="3">
      <c r="B946" s="297" t="s">
        <v>1797</v>
      </c>
      <c r="C946" s="297" t="s">
        <v>1313</v>
      </c>
      <c r="D946" s="298">
        <v>4031</v>
      </c>
      <c r="E946" s="306" t="s">
        <v>2424</v>
      </c>
      <c r="F946" s="307"/>
      <c r="G946" s="297" t="s">
        <v>1353</v>
      </c>
      <c r="H946" s="308" t="str">
        <f t="shared" si="74"/>
        <v>MEP-AMN-2</v>
      </c>
      <c r="I946" s="309">
        <v>2</v>
      </c>
      <c r="J946" s="311">
        <v>1</v>
      </c>
    </row>
    <row r="947" spans="2:10" s="18" customFormat="1" ht="12.75" customHeight="1" outlineLevel="3">
      <c r="B947" s="297" t="s">
        <v>1797</v>
      </c>
      <c r="C947" s="297" t="s">
        <v>1313</v>
      </c>
      <c r="D947" s="298">
        <v>4041</v>
      </c>
      <c r="E947" s="306" t="s">
        <v>2425</v>
      </c>
      <c r="F947" s="307"/>
      <c r="G947" s="297" t="s">
        <v>1353</v>
      </c>
      <c r="H947" s="308" t="str">
        <f t="shared" si="74"/>
        <v>MEP-AMN-2</v>
      </c>
      <c r="I947" s="309">
        <v>2</v>
      </c>
      <c r="J947" s="310">
        <v>1</v>
      </c>
    </row>
    <row r="948" spans="2:10" s="18" customFormat="1" ht="12.75" customHeight="1" outlineLevel="3">
      <c r="B948" s="297" t="s">
        <v>1797</v>
      </c>
      <c r="C948" s="297" t="s">
        <v>1313</v>
      </c>
      <c r="D948" s="298">
        <v>4051</v>
      </c>
      <c r="E948" s="306" t="s">
        <v>2426</v>
      </c>
      <c r="F948" s="307"/>
      <c r="G948" s="297" t="s">
        <v>1353</v>
      </c>
      <c r="H948" s="308" t="str">
        <f t="shared" si="74"/>
        <v>MEP-AMN-2</v>
      </c>
      <c r="I948" s="309">
        <v>2</v>
      </c>
      <c r="J948" s="310">
        <v>1</v>
      </c>
    </row>
    <row r="949" spans="2:10" s="18" customFormat="1" ht="12.75" customHeight="1" outlineLevel="3">
      <c r="B949" s="297" t="s">
        <v>1797</v>
      </c>
      <c r="C949" s="297" t="s">
        <v>1313</v>
      </c>
      <c r="D949" s="298">
        <v>4061</v>
      </c>
      <c r="E949" s="306" t="s">
        <v>2427</v>
      </c>
      <c r="F949" s="307"/>
      <c r="G949" s="297" t="s">
        <v>1353</v>
      </c>
      <c r="H949" s="308" t="str">
        <f t="shared" si="74"/>
        <v>MEP-AMN-2</v>
      </c>
      <c r="I949" s="309">
        <v>2</v>
      </c>
      <c r="J949" s="311">
        <v>1</v>
      </c>
    </row>
    <row r="950" spans="2:10" s="18" customFormat="1" ht="12.75" customHeight="1" outlineLevel="3">
      <c r="B950" s="297" t="s">
        <v>1797</v>
      </c>
      <c r="C950" s="297" t="s">
        <v>1313</v>
      </c>
      <c r="D950" s="298">
        <v>4071</v>
      </c>
      <c r="E950" s="306" t="s">
        <v>2428</v>
      </c>
      <c r="F950" s="307"/>
      <c r="G950" s="297" t="s">
        <v>1353</v>
      </c>
      <c r="H950" s="308" t="str">
        <f t="shared" si="74"/>
        <v>MEP-AMN-2</v>
      </c>
      <c r="I950" s="309">
        <v>2</v>
      </c>
      <c r="J950" s="311">
        <v>1</v>
      </c>
    </row>
    <row r="951" spans="2:10" s="18" customFormat="1" ht="12.75" customHeight="1" outlineLevel="2">
      <c r="B951" s="297"/>
      <c r="C951" s="297"/>
      <c r="D951" s="298"/>
      <c r="E951" s="306"/>
      <c r="F951" s="307"/>
      <c r="G951" s="17"/>
      <c r="H951" s="314"/>
      <c r="I951" s="309"/>
    </row>
    <row r="952" spans="2:10" s="18" customFormat="1" ht="12.75" customHeight="1" outlineLevel="2">
      <c r="B952" s="301" t="s">
        <v>1810</v>
      </c>
      <c r="C952" s="297"/>
      <c r="D952" s="298"/>
      <c r="E952" s="306"/>
      <c r="F952" s="307"/>
      <c r="G952" s="17"/>
      <c r="H952" s="314"/>
      <c r="I952" s="309"/>
    </row>
    <row r="953" spans="2:10" s="18" customFormat="1" ht="12.75" customHeight="1" outlineLevel="3">
      <c r="B953" s="297" t="s">
        <v>1811</v>
      </c>
      <c r="C953" s="297" t="s">
        <v>1313</v>
      </c>
      <c r="D953" s="298" t="s">
        <v>273</v>
      </c>
      <c r="E953" s="306" t="s">
        <v>2429</v>
      </c>
      <c r="F953" s="307"/>
      <c r="G953" s="297" t="s">
        <v>1353</v>
      </c>
      <c r="H953" s="308" t="str">
        <f t="shared" ref="H953:H960" si="75">CONCATENATE("MEP-",G953,"-",I953)</f>
        <v>MEP-AMN-1</v>
      </c>
      <c r="I953" s="309">
        <v>1</v>
      </c>
      <c r="J953" s="310">
        <v>1</v>
      </c>
    </row>
    <row r="954" spans="2:10" s="18" customFormat="1" ht="12.75" customHeight="1" outlineLevel="3">
      <c r="B954" s="297" t="s">
        <v>1811</v>
      </c>
      <c r="C954" s="297" t="s">
        <v>1313</v>
      </c>
      <c r="D954" s="298" t="s">
        <v>275</v>
      </c>
      <c r="E954" s="306" t="s">
        <v>2430</v>
      </c>
      <c r="F954" s="307"/>
      <c r="G954" s="297" t="s">
        <v>1353</v>
      </c>
      <c r="H954" s="308" t="str">
        <f t="shared" si="75"/>
        <v>MEP-AMN-1</v>
      </c>
      <c r="I954" s="309">
        <v>1</v>
      </c>
      <c r="J954" s="310">
        <v>1</v>
      </c>
    </row>
    <row r="955" spans="2:10" s="18" customFormat="1" ht="12.75" customHeight="1" outlineLevel="3">
      <c r="B955" s="297" t="s">
        <v>1811</v>
      </c>
      <c r="C955" s="297" t="s">
        <v>1313</v>
      </c>
      <c r="D955" s="298" t="s">
        <v>834</v>
      </c>
      <c r="E955" s="306" t="s">
        <v>2430</v>
      </c>
      <c r="F955" s="307"/>
      <c r="G955" s="297" t="s">
        <v>1353</v>
      </c>
      <c r="H955" s="308" t="str">
        <f t="shared" si="75"/>
        <v>MEP-AMN-1</v>
      </c>
      <c r="I955" s="309">
        <v>1</v>
      </c>
      <c r="J955" s="310">
        <v>1</v>
      </c>
    </row>
    <row r="956" spans="2:10" s="18" customFormat="1" ht="12.75" customHeight="1" outlineLevel="3">
      <c r="B956" s="297" t="s">
        <v>1811</v>
      </c>
      <c r="C956" s="297" t="s">
        <v>1313</v>
      </c>
      <c r="D956" s="298" t="s">
        <v>2286</v>
      </c>
      <c r="E956" s="306" t="s">
        <v>2431</v>
      </c>
      <c r="F956" s="307"/>
      <c r="G956" s="297" t="s">
        <v>1353</v>
      </c>
      <c r="H956" s="308" t="str">
        <f t="shared" si="75"/>
        <v>MEP-AMN-1</v>
      </c>
      <c r="I956" s="309">
        <v>1</v>
      </c>
      <c r="J956" s="310">
        <v>1</v>
      </c>
    </row>
    <row r="957" spans="2:10" s="18" customFormat="1" ht="12.75" customHeight="1" outlineLevel="3">
      <c r="B957" s="297" t="s">
        <v>1811</v>
      </c>
      <c r="C957" s="297" t="s">
        <v>1313</v>
      </c>
      <c r="D957" s="298" t="s">
        <v>2355</v>
      </c>
      <c r="E957" s="306" t="s">
        <v>2432</v>
      </c>
      <c r="F957" s="307"/>
      <c r="G957" s="297" t="s">
        <v>1353</v>
      </c>
      <c r="H957" s="308" t="str">
        <f t="shared" si="75"/>
        <v>MEP-AMN-1</v>
      </c>
      <c r="I957" s="309">
        <v>1</v>
      </c>
      <c r="J957" s="310">
        <v>1</v>
      </c>
    </row>
    <row r="958" spans="2:10" s="18" customFormat="1" ht="12.75" customHeight="1" outlineLevel="3">
      <c r="B958" s="297" t="s">
        <v>1811</v>
      </c>
      <c r="C958" s="297" t="s">
        <v>1313</v>
      </c>
      <c r="D958" s="298" t="s">
        <v>2288</v>
      </c>
      <c r="E958" s="306" t="s">
        <v>2433</v>
      </c>
      <c r="F958" s="307"/>
      <c r="G958" s="297" t="s">
        <v>1353</v>
      </c>
      <c r="H958" s="308" t="str">
        <f t="shared" si="75"/>
        <v>MEP-AMN-1</v>
      </c>
      <c r="I958" s="309">
        <v>1</v>
      </c>
      <c r="J958" s="310">
        <v>1</v>
      </c>
    </row>
    <row r="959" spans="2:10" s="18" customFormat="1" ht="12.75" customHeight="1" outlineLevel="3">
      <c r="B959" s="297" t="s">
        <v>1811</v>
      </c>
      <c r="C959" s="297" t="s">
        <v>1313</v>
      </c>
      <c r="D959" s="298" t="s">
        <v>2341</v>
      </c>
      <c r="E959" s="306" t="s">
        <v>2434</v>
      </c>
      <c r="F959" s="307"/>
      <c r="G959" s="297" t="s">
        <v>1353</v>
      </c>
      <c r="H959" s="308" t="str">
        <f t="shared" si="75"/>
        <v>MEP-AMN-1</v>
      </c>
      <c r="I959" s="309">
        <v>1</v>
      </c>
      <c r="J959" s="310">
        <v>1</v>
      </c>
    </row>
    <row r="960" spans="2:10" s="18" customFormat="1" ht="12.75" customHeight="1" outlineLevel="3">
      <c r="B960" s="297" t="s">
        <v>1811</v>
      </c>
      <c r="C960" s="297" t="s">
        <v>1313</v>
      </c>
      <c r="D960" s="298" t="s">
        <v>1870</v>
      </c>
      <c r="E960" s="306" t="s">
        <v>1871</v>
      </c>
      <c r="F960" s="307"/>
      <c r="G960" s="297" t="s">
        <v>1353</v>
      </c>
      <c r="H960" s="308" t="str">
        <f t="shared" si="75"/>
        <v>MEP-AMN-1</v>
      </c>
      <c r="I960" s="309">
        <v>1</v>
      </c>
      <c r="J960" s="310">
        <v>1</v>
      </c>
    </row>
    <row r="961" spans="2:10" s="18" customFormat="1" ht="12.75" customHeight="1" outlineLevel="2"/>
    <row r="962" spans="2:10" s="18" customFormat="1" ht="12.75" customHeight="1" outlineLevel="2">
      <c r="B962" s="301" t="s">
        <v>1819</v>
      </c>
      <c r="C962" s="297"/>
      <c r="D962" s="298"/>
      <c r="E962" s="306"/>
      <c r="F962" s="307"/>
      <c r="G962" s="17"/>
      <c r="H962" s="314"/>
      <c r="I962" s="309"/>
    </row>
    <row r="963" spans="2:10" s="18" customFormat="1" ht="12.75" customHeight="1" outlineLevel="3">
      <c r="B963" s="297" t="s">
        <v>1819</v>
      </c>
      <c r="C963" s="297" t="s">
        <v>1313</v>
      </c>
      <c r="D963" s="298">
        <v>1001</v>
      </c>
      <c r="E963" s="306" t="s">
        <v>2435</v>
      </c>
      <c r="F963" s="307"/>
      <c r="G963" s="297" t="s">
        <v>1353</v>
      </c>
      <c r="H963" s="308" t="str">
        <f>CONCATENATE("MEP-",G963,"-",I963)</f>
        <v>MEP-AMN-1</v>
      </c>
      <c r="I963" s="309">
        <v>1</v>
      </c>
      <c r="J963" s="300">
        <v>1</v>
      </c>
    </row>
    <row r="964" spans="2:10" s="18" customFormat="1" ht="12.75" customHeight="1" outlineLevel="3">
      <c r="B964" s="297" t="s">
        <v>1819</v>
      </c>
      <c r="C964" s="297" t="s">
        <v>1313</v>
      </c>
      <c r="D964" s="298">
        <v>1002</v>
      </c>
      <c r="E964" s="306" t="s">
        <v>2436</v>
      </c>
      <c r="F964" s="307"/>
      <c r="G964" s="297" t="s">
        <v>1353</v>
      </c>
      <c r="H964" s="308" t="str">
        <f>CONCATENATE("MEP-",G964,"-",I964)</f>
        <v>MEP-AMN-1</v>
      </c>
      <c r="I964" s="309">
        <v>1</v>
      </c>
      <c r="J964" s="300">
        <v>1</v>
      </c>
    </row>
    <row r="965" spans="2:10" s="18" customFormat="1" ht="12.75" customHeight="1" outlineLevel="3">
      <c r="B965" s="297" t="s">
        <v>1819</v>
      </c>
      <c r="C965" s="297" t="s">
        <v>1313</v>
      </c>
      <c r="D965" s="298">
        <v>1002</v>
      </c>
      <c r="E965" s="306" t="s">
        <v>2437</v>
      </c>
      <c r="F965" s="307"/>
      <c r="G965" s="297" t="s">
        <v>1353</v>
      </c>
      <c r="H965" s="308" t="str">
        <f t="shared" ref="H965:H968" si="76">CONCATENATE("MEP-",G965,"-",I965)</f>
        <v>MEP-AMN-1</v>
      </c>
      <c r="I965" s="309">
        <v>1</v>
      </c>
      <c r="J965" s="300">
        <v>1</v>
      </c>
    </row>
    <row r="966" spans="2:10" s="18" customFormat="1" ht="12.75" customHeight="1" outlineLevel="3">
      <c r="B966" s="297" t="s">
        <v>1819</v>
      </c>
      <c r="C966" s="297" t="s">
        <v>1313</v>
      </c>
      <c r="D966" s="298">
        <v>1002</v>
      </c>
      <c r="E966" s="306" t="s">
        <v>2438</v>
      </c>
      <c r="F966" s="307"/>
      <c r="G966" s="297" t="s">
        <v>1353</v>
      </c>
      <c r="H966" s="308" t="str">
        <f t="shared" si="76"/>
        <v>MEP-AMN-1</v>
      </c>
      <c r="I966" s="309">
        <v>1</v>
      </c>
      <c r="J966" s="300">
        <v>1</v>
      </c>
    </row>
    <row r="967" spans="2:10" s="18" customFormat="1" ht="12.75" customHeight="1" outlineLevel="3">
      <c r="B967" s="297" t="s">
        <v>1819</v>
      </c>
      <c r="C967" s="297" t="s">
        <v>1313</v>
      </c>
      <c r="D967" s="298">
        <v>1002</v>
      </c>
      <c r="E967" s="306" t="s">
        <v>2439</v>
      </c>
      <c r="F967" s="307"/>
      <c r="G967" s="297" t="s">
        <v>1353</v>
      </c>
      <c r="H967" s="308" t="str">
        <f t="shared" si="76"/>
        <v>MEP-AMN-1</v>
      </c>
      <c r="I967" s="309">
        <v>1</v>
      </c>
      <c r="J967" s="300">
        <v>1</v>
      </c>
    </row>
    <row r="968" spans="2:10" s="18" customFormat="1" ht="12.75" customHeight="1" outlineLevel="3">
      <c r="B968" s="297" t="s">
        <v>1819</v>
      </c>
      <c r="C968" s="297" t="s">
        <v>1313</v>
      </c>
      <c r="D968" s="298">
        <v>1002</v>
      </c>
      <c r="E968" s="306" t="s">
        <v>2440</v>
      </c>
      <c r="F968" s="307"/>
      <c r="G968" s="297" t="s">
        <v>1353</v>
      </c>
      <c r="H968" s="308" t="str">
        <f t="shared" si="76"/>
        <v>MEP-AMN-1</v>
      </c>
      <c r="I968" s="309">
        <v>1</v>
      </c>
      <c r="J968" s="300">
        <v>1</v>
      </c>
    </row>
    <row r="969" spans="2:10" s="18" customFormat="1" ht="12.75" customHeight="1" outlineLevel="2">
      <c r="B969" s="297"/>
      <c r="C969" s="297"/>
      <c r="D969" s="298"/>
      <c r="E969" s="306"/>
      <c r="F969" s="307"/>
      <c r="G969" s="17"/>
      <c r="H969" s="314"/>
      <c r="I969" s="309"/>
    </row>
    <row r="970" spans="2:10" s="18" customFormat="1" ht="12.75" customHeight="1" outlineLevel="2">
      <c r="B970" s="301" t="s">
        <v>1821</v>
      </c>
      <c r="C970" s="297"/>
      <c r="D970" s="298"/>
      <c r="E970" s="306"/>
      <c r="F970" s="307"/>
      <c r="G970" s="17"/>
      <c r="H970" s="314"/>
      <c r="I970" s="309"/>
    </row>
    <row r="971" spans="2:10" s="18" customFormat="1" ht="12.75" customHeight="1" outlineLevel="3">
      <c r="B971" s="297" t="s">
        <v>1822</v>
      </c>
      <c r="C971" s="297" t="s">
        <v>1313</v>
      </c>
      <c r="D971" s="298">
        <v>1001</v>
      </c>
      <c r="E971" s="306" t="s">
        <v>2441</v>
      </c>
      <c r="F971" s="307"/>
      <c r="G971" s="297" t="s">
        <v>1353</v>
      </c>
      <c r="H971" s="308" t="str">
        <f>CONCATENATE("MEP-",G971,"-",I971)</f>
        <v>MEP-AMN-1</v>
      </c>
      <c r="I971" s="309">
        <v>1</v>
      </c>
      <c r="J971" s="310">
        <v>1</v>
      </c>
    </row>
    <row r="972" spans="2:10" s="18" customFormat="1" ht="12.75" customHeight="1" outlineLevel="3">
      <c r="B972" s="297" t="s">
        <v>1822</v>
      </c>
      <c r="C972" s="297" t="s">
        <v>1313</v>
      </c>
      <c r="D972" s="298">
        <v>1002</v>
      </c>
      <c r="E972" s="306" t="s">
        <v>2442</v>
      </c>
      <c r="F972" s="307"/>
      <c r="G972" s="297" t="s">
        <v>1353</v>
      </c>
      <c r="H972" s="308" t="str">
        <f>CONCATENATE("MEP-",G972,"-",I972)</f>
        <v>MEP-AMN-1</v>
      </c>
      <c r="I972" s="309">
        <v>1</v>
      </c>
      <c r="J972" s="310">
        <v>1</v>
      </c>
    </row>
    <row r="973" spans="2:10" s="18" customFormat="1" ht="12.75" customHeight="1" outlineLevel="3">
      <c r="B973" s="297" t="s">
        <v>1822</v>
      </c>
      <c r="C973" s="297" t="s">
        <v>1313</v>
      </c>
      <c r="D973" s="298">
        <v>1003</v>
      </c>
      <c r="E973" s="306" t="s">
        <v>2443</v>
      </c>
      <c r="F973" s="307"/>
      <c r="G973" s="297" t="s">
        <v>1353</v>
      </c>
      <c r="H973" s="308" t="str">
        <f>CONCATENATE("MEP-",G973,"-",I973)</f>
        <v>MEP-AMN-1</v>
      </c>
      <c r="I973" s="309">
        <v>1</v>
      </c>
      <c r="J973" s="310">
        <v>1</v>
      </c>
    </row>
    <row r="974" spans="2:10" s="18" customFormat="1" ht="12.75" customHeight="1" outlineLevel="3">
      <c r="B974" s="297" t="s">
        <v>1822</v>
      </c>
      <c r="C974" s="297" t="s">
        <v>1313</v>
      </c>
      <c r="D974" s="298">
        <v>1004</v>
      </c>
      <c r="E974" s="306" t="s">
        <v>2444</v>
      </c>
      <c r="F974" s="307"/>
      <c r="G974" s="297" t="s">
        <v>1353</v>
      </c>
      <c r="H974" s="308" t="str">
        <f>CONCATENATE("MEP-",G974,"-",I974)</f>
        <v>MEP-AMN-1</v>
      </c>
      <c r="I974" s="309">
        <v>1</v>
      </c>
      <c r="J974" s="310">
        <v>1</v>
      </c>
    </row>
    <row r="975" spans="2:10" s="18" customFormat="1" ht="12.75" customHeight="1" outlineLevel="2">
      <c r="B975" s="297"/>
      <c r="C975" s="297"/>
      <c r="D975" s="298"/>
      <c r="E975" s="306"/>
      <c r="F975" s="307"/>
      <c r="G975" s="17"/>
      <c r="H975" s="314"/>
      <c r="I975" s="309"/>
    </row>
    <row r="976" spans="2:10" s="18" customFormat="1" ht="12.75" customHeight="1" outlineLevel="2">
      <c r="B976" s="301" t="s">
        <v>2003</v>
      </c>
      <c r="C976" s="297"/>
      <c r="D976" s="298"/>
      <c r="E976" s="306"/>
      <c r="F976" s="307"/>
      <c r="G976" s="17"/>
      <c r="H976" s="314"/>
      <c r="I976" s="309"/>
    </row>
    <row r="977" spans="1:16384" s="18" customFormat="1" ht="12.75" customHeight="1" outlineLevel="3">
      <c r="B977" s="297" t="s">
        <v>1465</v>
      </c>
      <c r="C977" s="297" t="s">
        <v>1313</v>
      </c>
      <c r="D977" s="298">
        <v>1001</v>
      </c>
      <c r="E977" s="306" t="s">
        <v>2445</v>
      </c>
      <c r="F977" s="307"/>
      <c r="G977" s="297" t="s">
        <v>1353</v>
      </c>
      <c r="H977" s="308" t="str">
        <f>CONCATENATE("MEP-",G977,"-",I977)</f>
        <v>MEP-AMN-2</v>
      </c>
      <c r="I977" s="309">
        <v>2</v>
      </c>
      <c r="J977" s="311">
        <v>1</v>
      </c>
    </row>
    <row r="978" spans="1:16384" s="18" customFormat="1" ht="12.75" customHeight="1" outlineLevel="3">
      <c r="B978" s="297" t="s">
        <v>1465</v>
      </c>
      <c r="C978" s="297" t="s">
        <v>1313</v>
      </c>
      <c r="D978" s="298">
        <v>1002</v>
      </c>
      <c r="E978" s="306" t="s">
        <v>2446</v>
      </c>
      <c r="F978" s="307"/>
      <c r="G978" s="297" t="s">
        <v>1353</v>
      </c>
      <c r="H978" s="308" t="str">
        <f>CONCATENATE("MEP-",G978,"-",I978)</f>
        <v>MEP-AMN-2</v>
      </c>
      <c r="I978" s="309">
        <v>2</v>
      </c>
      <c r="J978" s="311">
        <v>1</v>
      </c>
      <c r="K978" s="310"/>
      <c r="L978" s="311"/>
      <c r="M978" s="300"/>
      <c r="N978" s="300"/>
      <c r="O978" s="311"/>
      <c r="P978" s="311"/>
      <c r="Q978" s="300"/>
      <c r="R978" s="311"/>
      <c r="S978" s="300"/>
      <c r="T978" s="311"/>
      <c r="U978" s="311"/>
      <c r="W978" s="303"/>
      <c r="X978" s="303"/>
    </row>
    <row r="979" spans="1:16384" s="18" customFormat="1" ht="12.75" customHeight="1" outlineLevel="3">
      <c r="B979" s="297"/>
      <c r="C979" s="297"/>
      <c r="D979" s="298"/>
      <c r="E979" s="306"/>
      <c r="F979" s="307"/>
      <c r="G979" s="297"/>
      <c r="H979" s="308"/>
      <c r="I979" s="309"/>
      <c r="J979" s="311"/>
      <c r="K979" s="310"/>
      <c r="L979" s="311"/>
      <c r="M979" s="300"/>
      <c r="N979" s="300"/>
      <c r="O979" s="311"/>
      <c r="P979" s="311"/>
      <c r="Q979" s="300"/>
      <c r="R979" s="311"/>
      <c r="S979" s="300"/>
      <c r="T979" s="311"/>
      <c r="U979" s="311"/>
      <c r="W979" s="303"/>
      <c r="X979" s="303"/>
    </row>
    <row r="980" spans="1:16384" s="18" customFormat="1" ht="12.75" customHeight="1" outlineLevel="3">
      <c r="B980" s="297"/>
      <c r="C980" s="297"/>
      <c r="D980" s="298"/>
      <c r="E980" s="306"/>
      <c r="F980" s="307"/>
      <c r="G980" s="297"/>
      <c r="H980" s="308"/>
      <c r="I980" s="309"/>
      <c r="J980" s="311"/>
      <c r="K980" s="310"/>
      <c r="L980" s="311"/>
      <c r="M980" s="300"/>
      <c r="N980" s="300"/>
      <c r="O980" s="311"/>
      <c r="P980" s="311"/>
      <c r="Q980" s="300"/>
      <c r="R980" s="311"/>
      <c r="S980" s="300"/>
      <c r="T980" s="311"/>
      <c r="U980" s="311"/>
      <c r="W980" s="303"/>
      <c r="X980" s="303"/>
    </row>
    <row r="981" spans="1:16384" s="18" customFormat="1" ht="12.75" customHeight="1" outlineLevel="3">
      <c r="B981" s="301" t="s">
        <v>215</v>
      </c>
      <c r="C981" s="297"/>
      <c r="D981" s="298"/>
      <c r="E981" s="306"/>
      <c r="F981" s="307"/>
      <c r="G981" s="297"/>
      <c r="H981" s="308"/>
      <c r="I981" s="309"/>
      <c r="J981" s="311"/>
      <c r="K981" s="310"/>
      <c r="L981" s="311"/>
      <c r="M981" s="300"/>
      <c r="N981" s="300"/>
      <c r="O981" s="311"/>
      <c r="P981" s="311"/>
      <c r="Q981" s="300"/>
      <c r="R981" s="311"/>
      <c r="S981" s="300"/>
      <c r="T981" s="311"/>
      <c r="U981" s="311"/>
      <c r="W981" s="303"/>
      <c r="X981" s="303"/>
    </row>
    <row r="982" spans="1:16384" ht="12.75" customHeight="1" outlineLevel="1">
      <c r="B982" s="297" t="s">
        <v>1465</v>
      </c>
      <c r="C982" s="297" t="s">
        <v>1313</v>
      </c>
      <c r="D982" s="298">
        <v>1002</v>
      </c>
      <c r="E982" s="304" t="s">
        <v>2447</v>
      </c>
      <c r="G982" s="297" t="s">
        <v>1353</v>
      </c>
      <c r="H982" s="308" t="str">
        <f>CONCATENATE("MEP-",G982,"-",I982)</f>
        <v>MEP-AMN-3</v>
      </c>
      <c r="I982" s="309">
        <v>3</v>
      </c>
      <c r="L982" s="311">
        <v>1</v>
      </c>
      <c r="M982" s="300">
        <v>1</v>
      </c>
      <c r="Q982" s="310">
        <v>1</v>
      </c>
      <c r="T982" s="310">
        <v>1</v>
      </c>
    </row>
    <row r="983" spans="1:16384" ht="12.75" customHeight="1" outlineLevel="1">
      <c r="B983" s="297" t="s">
        <v>1465</v>
      </c>
      <c r="C983" s="297" t="s">
        <v>1313</v>
      </c>
      <c r="D983" s="298"/>
      <c r="E983" s="304" t="s">
        <v>2448</v>
      </c>
      <c r="G983" s="297" t="s">
        <v>1353</v>
      </c>
      <c r="H983" s="308" t="str">
        <f>CONCATENATE("MEP-",G983,"-",I983)</f>
        <v>MEP-AMN-3</v>
      </c>
      <c r="I983" s="309">
        <v>3</v>
      </c>
      <c r="L983" s="311">
        <v>1</v>
      </c>
      <c r="M983" s="300">
        <v>1</v>
      </c>
    </row>
    <row r="984" spans="1:16384" ht="12.75" customHeight="1" outlineLevel="1">
      <c r="B984" s="301" t="s">
        <v>219</v>
      </c>
      <c r="E984" s="138"/>
      <c r="G984" s="297" t="s">
        <v>1353</v>
      </c>
      <c r="H984" s="308" t="str">
        <f>CONCATENATE("MEP-",G984,"-",I984)</f>
        <v>MEP-AMN-5</v>
      </c>
      <c r="I984" s="309">
        <v>5</v>
      </c>
      <c r="L984" s="311">
        <v>1</v>
      </c>
      <c r="M984" s="300">
        <v>1</v>
      </c>
      <c r="N984" s="16"/>
    </row>
    <row r="985" spans="1:16384" ht="12.75" customHeight="1" outlineLevel="1">
      <c r="B985" s="301"/>
      <c r="E985" s="776" t="s">
        <v>2449</v>
      </c>
      <c r="G985" s="297" t="s">
        <v>1141</v>
      </c>
      <c r="H985" s="308" t="str">
        <f>CONCATENATE("MEP-",G985,"-",I985)</f>
        <v>MEP-SDV-3</v>
      </c>
      <c r="I985" s="309">
        <v>3</v>
      </c>
      <c r="L985" s="311">
        <v>1</v>
      </c>
      <c r="M985" s="300"/>
      <c r="N985" s="16"/>
      <c r="P985" s="310">
        <v>1</v>
      </c>
    </row>
    <row r="986" spans="1:16384" ht="12.75" customHeight="1" outlineLevel="1">
      <c r="B986" s="301"/>
      <c r="E986" s="775"/>
      <c r="G986" s="297"/>
      <c r="H986" s="308"/>
      <c r="I986" s="309"/>
      <c r="L986" s="311"/>
      <c r="M986" s="300"/>
      <c r="N986" s="16"/>
    </row>
    <row r="987" spans="1:16384" ht="3" customHeight="1">
      <c r="M987" s="311"/>
      <c r="N987" s="311"/>
      <c r="O987" s="311"/>
      <c r="P987" s="311"/>
      <c r="R987" s="311"/>
      <c r="S987" s="311"/>
      <c r="T987" s="311"/>
      <c r="U987" s="311"/>
    </row>
    <row r="989" spans="1:16384" ht="1.35" customHeight="1">
      <c r="A989" s="16" t="s">
        <v>1487</v>
      </c>
      <c r="B989" s="16" t="s">
        <v>1487</v>
      </c>
      <c r="C989" s="16" t="s">
        <v>1487</v>
      </c>
      <c r="D989" s="16" t="s">
        <v>1487</v>
      </c>
      <c r="E989" s="16" t="s">
        <v>1487</v>
      </c>
      <c r="F989" s="16" t="s">
        <v>1487</v>
      </c>
      <c r="G989" s="16" t="s">
        <v>1487</v>
      </c>
      <c r="H989" s="16" t="s">
        <v>1487</v>
      </c>
      <c r="I989" s="16" t="s">
        <v>1487</v>
      </c>
      <c r="J989" s="16" t="s">
        <v>1487</v>
      </c>
      <c r="K989" s="16" t="s">
        <v>1487</v>
      </c>
      <c r="L989" s="16" t="s">
        <v>1487</v>
      </c>
      <c r="M989" s="16" t="s">
        <v>1487</v>
      </c>
      <c r="N989" s="16" t="s">
        <v>1487</v>
      </c>
      <c r="O989" s="16" t="s">
        <v>1487</v>
      </c>
      <c r="P989" s="16" t="s">
        <v>1487</v>
      </c>
      <c r="Q989" s="16" t="s">
        <v>1487</v>
      </c>
      <c r="R989" s="16" t="s">
        <v>1487</v>
      </c>
      <c r="S989" s="16" t="s">
        <v>1487</v>
      </c>
      <c r="T989" s="16" t="s">
        <v>1487</v>
      </c>
      <c r="U989" s="16" t="s">
        <v>1487</v>
      </c>
      <c r="V989" s="16" t="s">
        <v>1487</v>
      </c>
      <c r="Y989" s="16" t="s">
        <v>1487</v>
      </c>
      <c r="Z989" s="16" t="s">
        <v>1487</v>
      </c>
      <c r="AA989" s="16" t="s">
        <v>1487</v>
      </c>
      <c r="AB989" s="16" t="s">
        <v>1487</v>
      </c>
      <c r="AC989" s="16" t="s">
        <v>1487</v>
      </c>
      <c r="AD989" s="16" t="s">
        <v>1487</v>
      </c>
      <c r="AE989" s="16" t="s">
        <v>1487</v>
      </c>
      <c r="AF989" s="16" t="s">
        <v>1487</v>
      </c>
      <c r="AG989" s="16" t="s">
        <v>1487</v>
      </c>
      <c r="AH989" s="16" t="s">
        <v>1487</v>
      </c>
      <c r="AI989" s="16" t="s">
        <v>1487</v>
      </c>
      <c r="AJ989" s="16" t="s">
        <v>1487</v>
      </c>
      <c r="AK989" s="16" t="s">
        <v>1487</v>
      </c>
      <c r="AL989" s="16" t="s">
        <v>1487</v>
      </c>
      <c r="AM989" s="16" t="s">
        <v>1487</v>
      </c>
      <c r="AN989" s="16" t="s">
        <v>1487</v>
      </c>
      <c r="AO989" s="16" t="s">
        <v>1487</v>
      </c>
      <c r="AP989" s="16" t="s">
        <v>1487</v>
      </c>
      <c r="AQ989" s="16" t="s">
        <v>1487</v>
      </c>
      <c r="AR989" s="16" t="s">
        <v>1487</v>
      </c>
      <c r="AS989" s="16" t="s">
        <v>1487</v>
      </c>
      <c r="AT989" s="16" t="s">
        <v>1487</v>
      </c>
      <c r="AU989" s="16" t="s">
        <v>1487</v>
      </c>
      <c r="AV989" s="16" t="s">
        <v>1487</v>
      </c>
      <c r="AW989" s="16" t="s">
        <v>1487</v>
      </c>
      <c r="AX989" s="16" t="s">
        <v>1487</v>
      </c>
      <c r="AY989" s="16" t="s">
        <v>1487</v>
      </c>
      <c r="AZ989" s="16" t="s">
        <v>1487</v>
      </c>
      <c r="BA989" s="16" t="s">
        <v>1487</v>
      </c>
      <c r="BB989" s="16" t="s">
        <v>1487</v>
      </c>
      <c r="BC989" s="16" t="s">
        <v>1487</v>
      </c>
      <c r="BD989" s="16" t="s">
        <v>1487</v>
      </c>
      <c r="BE989" s="16" t="s">
        <v>1487</v>
      </c>
      <c r="BF989" s="16" t="s">
        <v>1487</v>
      </c>
      <c r="BG989" s="16" t="s">
        <v>1487</v>
      </c>
      <c r="BH989" s="16" t="s">
        <v>1487</v>
      </c>
      <c r="BI989" s="16" t="s">
        <v>1487</v>
      </c>
      <c r="BJ989" s="16" t="s">
        <v>1487</v>
      </c>
      <c r="BK989" s="16" t="s">
        <v>1487</v>
      </c>
      <c r="BL989" s="16" t="s">
        <v>1487</v>
      </c>
      <c r="BM989" s="16" t="s">
        <v>1487</v>
      </c>
      <c r="BN989" s="16" t="s">
        <v>1487</v>
      </c>
      <c r="BO989" s="16" t="s">
        <v>1487</v>
      </c>
      <c r="BP989" s="16" t="s">
        <v>1487</v>
      </c>
      <c r="BQ989" s="16" t="s">
        <v>1487</v>
      </c>
      <c r="BR989" s="16" t="s">
        <v>1487</v>
      </c>
      <c r="BS989" s="16" t="s">
        <v>1487</v>
      </c>
      <c r="BT989" s="16" t="s">
        <v>1487</v>
      </c>
      <c r="BU989" s="16" t="s">
        <v>1487</v>
      </c>
      <c r="BV989" s="16" t="s">
        <v>1487</v>
      </c>
      <c r="BW989" s="16" t="s">
        <v>1487</v>
      </c>
      <c r="BX989" s="16" t="s">
        <v>1487</v>
      </c>
      <c r="BY989" s="16" t="s">
        <v>1487</v>
      </c>
      <c r="BZ989" s="16" t="s">
        <v>1487</v>
      </c>
      <c r="CA989" s="16" t="s">
        <v>1487</v>
      </c>
      <c r="CB989" s="16" t="s">
        <v>1487</v>
      </c>
      <c r="CC989" s="16" t="s">
        <v>1487</v>
      </c>
      <c r="CD989" s="16" t="s">
        <v>1487</v>
      </c>
      <c r="CE989" s="16" t="s">
        <v>1487</v>
      </c>
      <c r="CF989" s="16" t="s">
        <v>1487</v>
      </c>
      <c r="CG989" s="16" t="s">
        <v>1487</v>
      </c>
      <c r="CH989" s="16" t="s">
        <v>1487</v>
      </c>
      <c r="CI989" s="16" t="s">
        <v>1487</v>
      </c>
      <c r="CJ989" s="16" t="s">
        <v>1487</v>
      </c>
      <c r="CK989" s="16" t="s">
        <v>1487</v>
      </c>
      <c r="CL989" s="16" t="s">
        <v>1487</v>
      </c>
      <c r="CM989" s="16" t="s">
        <v>1487</v>
      </c>
      <c r="CN989" s="16" t="s">
        <v>1487</v>
      </c>
      <c r="CO989" s="16" t="s">
        <v>1487</v>
      </c>
      <c r="CP989" s="16" t="s">
        <v>1487</v>
      </c>
      <c r="CQ989" s="16" t="s">
        <v>1487</v>
      </c>
      <c r="CR989" s="16" t="s">
        <v>1487</v>
      </c>
      <c r="CS989" s="16" t="s">
        <v>1487</v>
      </c>
      <c r="CT989" s="16" t="s">
        <v>1487</v>
      </c>
      <c r="CU989" s="16" t="s">
        <v>1487</v>
      </c>
      <c r="CV989" s="16" t="s">
        <v>1487</v>
      </c>
      <c r="CW989" s="16" t="s">
        <v>1487</v>
      </c>
      <c r="CX989" s="16" t="s">
        <v>1487</v>
      </c>
      <c r="CY989" s="16" t="s">
        <v>1487</v>
      </c>
      <c r="CZ989" s="16" t="s">
        <v>1487</v>
      </c>
      <c r="DA989" s="16" t="s">
        <v>1487</v>
      </c>
      <c r="DB989" s="16" t="s">
        <v>1487</v>
      </c>
      <c r="DC989" s="16" t="s">
        <v>1487</v>
      </c>
      <c r="DD989" s="16" t="s">
        <v>1487</v>
      </c>
      <c r="DE989" s="16" t="s">
        <v>1487</v>
      </c>
      <c r="DF989" s="16" t="s">
        <v>1487</v>
      </c>
      <c r="DG989" s="16" t="s">
        <v>1487</v>
      </c>
      <c r="DH989" s="16" t="s">
        <v>1487</v>
      </c>
      <c r="DI989" s="16" t="s">
        <v>1487</v>
      </c>
      <c r="DJ989" s="16" t="s">
        <v>1487</v>
      </c>
      <c r="DK989" s="16" t="s">
        <v>1487</v>
      </c>
      <c r="DL989" s="16" t="s">
        <v>1487</v>
      </c>
      <c r="DM989" s="16" t="s">
        <v>1487</v>
      </c>
      <c r="DN989" s="16" t="s">
        <v>1487</v>
      </c>
      <c r="DO989" s="16" t="s">
        <v>1487</v>
      </c>
      <c r="DP989" s="16" t="s">
        <v>1487</v>
      </c>
      <c r="DQ989" s="16" t="s">
        <v>1487</v>
      </c>
      <c r="DR989" s="16" t="s">
        <v>1487</v>
      </c>
      <c r="DS989" s="16" t="s">
        <v>1487</v>
      </c>
      <c r="DT989" s="16" t="s">
        <v>1487</v>
      </c>
      <c r="DU989" s="16" t="s">
        <v>1487</v>
      </c>
      <c r="DV989" s="16" t="s">
        <v>1487</v>
      </c>
      <c r="DW989" s="16" t="s">
        <v>1487</v>
      </c>
      <c r="DX989" s="16" t="s">
        <v>1487</v>
      </c>
      <c r="DY989" s="16" t="s">
        <v>1487</v>
      </c>
      <c r="DZ989" s="16" t="s">
        <v>1487</v>
      </c>
      <c r="EA989" s="16" t="s">
        <v>1487</v>
      </c>
      <c r="EB989" s="16" t="s">
        <v>1487</v>
      </c>
      <c r="EC989" s="16" t="s">
        <v>1487</v>
      </c>
      <c r="ED989" s="16" t="s">
        <v>1487</v>
      </c>
      <c r="EE989" s="16" t="s">
        <v>1487</v>
      </c>
      <c r="EF989" s="16" t="s">
        <v>1487</v>
      </c>
      <c r="EG989" s="16" t="s">
        <v>1487</v>
      </c>
      <c r="EH989" s="16" t="s">
        <v>1487</v>
      </c>
      <c r="EI989" s="16" t="s">
        <v>1487</v>
      </c>
      <c r="EJ989" s="16" t="s">
        <v>1487</v>
      </c>
      <c r="EK989" s="16" t="s">
        <v>1487</v>
      </c>
      <c r="EL989" s="16" t="s">
        <v>1487</v>
      </c>
      <c r="EM989" s="16" t="s">
        <v>1487</v>
      </c>
      <c r="EN989" s="16" t="s">
        <v>1487</v>
      </c>
      <c r="EO989" s="16" t="s">
        <v>1487</v>
      </c>
      <c r="EP989" s="16" t="s">
        <v>1487</v>
      </c>
      <c r="EQ989" s="16" t="s">
        <v>1487</v>
      </c>
      <c r="ER989" s="16" t="s">
        <v>1487</v>
      </c>
      <c r="ES989" s="16" t="s">
        <v>1487</v>
      </c>
      <c r="ET989" s="16" t="s">
        <v>1487</v>
      </c>
      <c r="EU989" s="16" t="s">
        <v>1487</v>
      </c>
      <c r="EV989" s="16" t="s">
        <v>1487</v>
      </c>
      <c r="EW989" s="16" t="s">
        <v>1487</v>
      </c>
      <c r="EX989" s="16" t="s">
        <v>1487</v>
      </c>
      <c r="EY989" s="16" t="s">
        <v>1487</v>
      </c>
      <c r="EZ989" s="16" t="s">
        <v>1487</v>
      </c>
      <c r="FA989" s="16" t="s">
        <v>1487</v>
      </c>
      <c r="FB989" s="16" t="s">
        <v>1487</v>
      </c>
      <c r="FC989" s="16" t="s">
        <v>1487</v>
      </c>
      <c r="FD989" s="16" t="s">
        <v>1487</v>
      </c>
      <c r="FE989" s="16" t="s">
        <v>1487</v>
      </c>
      <c r="FF989" s="16" t="s">
        <v>1487</v>
      </c>
      <c r="FG989" s="16" t="s">
        <v>1487</v>
      </c>
      <c r="FH989" s="16" t="s">
        <v>1487</v>
      </c>
      <c r="FI989" s="16" t="s">
        <v>1487</v>
      </c>
      <c r="FJ989" s="16" t="s">
        <v>1487</v>
      </c>
      <c r="FK989" s="16" t="s">
        <v>1487</v>
      </c>
      <c r="FL989" s="16" t="s">
        <v>1487</v>
      </c>
      <c r="FM989" s="16" t="s">
        <v>1487</v>
      </c>
      <c r="FN989" s="16" t="s">
        <v>1487</v>
      </c>
      <c r="FO989" s="16" t="s">
        <v>1487</v>
      </c>
      <c r="FP989" s="16" t="s">
        <v>1487</v>
      </c>
      <c r="FQ989" s="16" t="s">
        <v>1487</v>
      </c>
      <c r="FR989" s="16" t="s">
        <v>1487</v>
      </c>
      <c r="FS989" s="16" t="s">
        <v>1487</v>
      </c>
      <c r="FT989" s="16" t="s">
        <v>1487</v>
      </c>
      <c r="FU989" s="16" t="s">
        <v>1487</v>
      </c>
      <c r="FV989" s="16" t="s">
        <v>1487</v>
      </c>
      <c r="FW989" s="16" t="s">
        <v>1487</v>
      </c>
      <c r="FX989" s="16" t="s">
        <v>1487</v>
      </c>
      <c r="FY989" s="16" t="s">
        <v>1487</v>
      </c>
      <c r="FZ989" s="16" t="s">
        <v>1487</v>
      </c>
      <c r="GA989" s="16" t="s">
        <v>1487</v>
      </c>
      <c r="GB989" s="16" t="s">
        <v>1487</v>
      </c>
      <c r="GC989" s="16" t="s">
        <v>1487</v>
      </c>
      <c r="GD989" s="16" t="s">
        <v>1487</v>
      </c>
      <c r="GE989" s="16" t="s">
        <v>1487</v>
      </c>
      <c r="GF989" s="16" t="s">
        <v>1487</v>
      </c>
      <c r="GG989" s="16" t="s">
        <v>1487</v>
      </c>
      <c r="GH989" s="16" t="s">
        <v>1487</v>
      </c>
      <c r="GI989" s="16" t="s">
        <v>1487</v>
      </c>
      <c r="GJ989" s="16" t="s">
        <v>1487</v>
      </c>
      <c r="GK989" s="16" t="s">
        <v>1487</v>
      </c>
      <c r="GL989" s="16" t="s">
        <v>1487</v>
      </c>
      <c r="GM989" s="16" t="s">
        <v>1487</v>
      </c>
      <c r="GN989" s="16" t="s">
        <v>1487</v>
      </c>
      <c r="GO989" s="16" t="s">
        <v>1487</v>
      </c>
      <c r="GP989" s="16" t="s">
        <v>1487</v>
      </c>
      <c r="GQ989" s="16" t="s">
        <v>1487</v>
      </c>
      <c r="GR989" s="16" t="s">
        <v>1487</v>
      </c>
      <c r="GS989" s="16" t="s">
        <v>1487</v>
      </c>
      <c r="GT989" s="16" t="s">
        <v>1487</v>
      </c>
      <c r="GU989" s="16" t="s">
        <v>1487</v>
      </c>
      <c r="GV989" s="16" t="s">
        <v>1487</v>
      </c>
      <c r="GW989" s="16" t="s">
        <v>1487</v>
      </c>
      <c r="GX989" s="16" t="s">
        <v>1487</v>
      </c>
      <c r="GY989" s="16" t="s">
        <v>1487</v>
      </c>
      <c r="GZ989" s="16" t="s">
        <v>1487</v>
      </c>
      <c r="HA989" s="16" t="s">
        <v>1487</v>
      </c>
      <c r="HB989" s="16" t="s">
        <v>1487</v>
      </c>
      <c r="HC989" s="16" t="s">
        <v>1487</v>
      </c>
      <c r="HD989" s="16" t="s">
        <v>1487</v>
      </c>
      <c r="HE989" s="16" t="s">
        <v>1487</v>
      </c>
      <c r="HF989" s="16" t="s">
        <v>1487</v>
      </c>
      <c r="HG989" s="16" t="s">
        <v>1487</v>
      </c>
      <c r="HH989" s="16" t="s">
        <v>1487</v>
      </c>
      <c r="HI989" s="16" t="s">
        <v>1487</v>
      </c>
      <c r="HJ989" s="16" t="s">
        <v>1487</v>
      </c>
      <c r="HK989" s="16" t="s">
        <v>1487</v>
      </c>
      <c r="HL989" s="16" t="s">
        <v>1487</v>
      </c>
      <c r="HM989" s="16" t="s">
        <v>1487</v>
      </c>
      <c r="HN989" s="16" t="s">
        <v>1487</v>
      </c>
      <c r="HO989" s="16" t="s">
        <v>1487</v>
      </c>
      <c r="HP989" s="16" t="s">
        <v>1487</v>
      </c>
      <c r="HQ989" s="16" t="s">
        <v>1487</v>
      </c>
      <c r="HR989" s="16" t="s">
        <v>1487</v>
      </c>
      <c r="HS989" s="16" t="s">
        <v>1487</v>
      </c>
      <c r="HT989" s="16" t="s">
        <v>1487</v>
      </c>
      <c r="HU989" s="16" t="s">
        <v>1487</v>
      </c>
      <c r="HV989" s="16" t="s">
        <v>1487</v>
      </c>
      <c r="HW989" s="16" t="s">
        <v>1487</v>
      </c>
      <c r="HX989" s="16" t="s">
        <v>1487</v>
      </c>
      <c r="HY989" s="16" t="s">
        <v>1487</v>
      </c>
      <c r="HZ989" s="16" t="s">
        <v>1487</v>
      </c>
      <c r="IA989" s="16" t="s">
        <v>1487</v>
      </c>
      <c r="IB989" s="16" t="s">
        <v>1487</v>
      </c>
      <c r="IC989" s="16" t="s">
        <v>1487</v>
      </c>
      <c r="ID989" s="16" t="s">
        <v>1487</v>
      </c>
      <c r="IE989" s="16" t="s">
        <v>1487</v>
      </c>
      <c r="IF989" s="16" t="s">
        <v>1487</v>
      </c>
      <c r="IG989" s="16" t="s">
        <v>1487</v>
      </c>
      <c r="IH989" s="16" t="s">
        <v>1487</v>
      </c>
      <c r="II989" s="16" t="s">
        <v>1487</v>
      </c>
      <c r="IJ989" s="16" t="s">
        <v>1487</v>
      </c>
      <c r="IK989" s="16" t="s">
        <v>1487</v>
      </c>
      <c r="IL989" s="16" t="s">
        <v>1487</v>
      </c>
      <c r="IM989" s="16" t="s">
        <v>1487</v>
      </c>
      <c r="IN989" s="16" t="s">
        <v>1487</v>
      </c>
      <c r="IO989" s="16" t="s">
        <v>1487</v>
      </c>
      <c r="IP989" s="16" t="s">
        <v>1487</v>
      </c>
      <c r="IQ989" s="16" t="s">
        <v>1487</v>
      </c>
      <c r="IR989" s="16" t="s">
        <v>1487</v>
      </c>
      <c r="IS989" s="16" t="s">
        <v>1487</v>
      </c>
      <c r="IT989" s="16" t="s">
        <v>1487</v>
      </c>
      <c r="IU989" s="16" t="s">
        <v>1487</v>
      </c>
      <c r="IV989" s="16" t="s">
        <v>1487</v>
      </c>
      <c r="IW989" s="16" t="s">
        <v>1487</v>
      </c>
      <c r="IX989" s="16" t="s">
        <v>1487</v>
      </c>
      <c r="IY989" s="16" t="s">
        <v>1487</v>
      </c>
      <c r="IZ989" s="16" t="s">
        <v>1487</v>
      </c>
      <c r="JA989" s="16" t="s">
        <v>1487</v>
      </c>
      <c r="JB989" s="16" t="s">
        <v>1487</v>
      </c>
      <c r="JC989" s="16" t="s">
        <v>1487</v>
      </c>
      <c r="JD989" s="16" t="s">
        <v>1487</v>
      </c>
      <c r="JE989" s="16" t="s">
        <v>1487</v>
      </c>
      <c r="JF989" s="16" t="s">
        <v>1487</v>
      </c>
      <c r="JG989" s="16" t="s">
        <v>1487</v>
      </c>
      <c r="JH989" s="16" t="s">
        <v>1487</v>
      </c>
      <c r="JI989" s="16" t="s">
        <v>1487</v>
      </c>
      <c r="JJ989" s="16" t="s">
        <v>1487</v>
      </c>
      <c r="JK989" s="16" t="s">
        <v>1487</v>
      </c>
      <c r="JL989" s="16" t="s">
        <v>1487</v>
      </c>
      <c r="JM989" s="16" t="s">
        <v>1487</v>
      </c>
      <c r="JN989" s="16" t="s">
        <v>1487</v>
      </c>
      <c r="JO989" s="16" t="s">
        <v>1487</v>
      </c>
      <c r="JP989" s="16" t="s">
        <v>1487</v>
      </c>
      <c r="JQ989" s="16" t="s">
        <v>1487</v>
      </c>
      <c r="JR989" s="16" t="s">
        <v>1487</v>
      </c>
      <c r="JS989" s="16" t="s">
        <v>1487</v>
      </c>
      <c r="JT989" s="16" t="s">
        <v>1487</v>
      </c>
      <c r="JU989" s="16" t="s">
        <v>1487</v>
      </c>
      <c r="JV989" s="16" t="s">
        <v>1487</v>
      </c>
      <c r="JW989" s="16" t="s">
        <v>1487</v>
      </c>
      <c r="JX989" s="16" t="s">
        <v>1487</v>
      </c>
      <c r="JY989" s="16" t="s">
        <v>1487</v>
      </c>
      <c r="JZ989" s="16" t="s">
        <v>1487</v>
      </c>
      <c r="KA989" s="16" t="s">
        <v>1487</v>
      </c>
      <c r="KB989" s="16" t="s">
        <v>1487</v>
      </c>
      <c r="KC989" s="16" t="s">
        <v>1487</v>
      </c>
      <c r="KD989" s="16" t="s">
        <v>1487</v>
      </c>
      <c r="KE989" s="16" t="s">
        <v>1487</v>
      </c>
      <c r="KF989" s="16" t="s">
        <v>1487</v>
      </c>
      <c r="KG989" s="16" t="s">
        <v>1487</v>
      </c>
      <c r="KH989" s="16" t="s">
        <v>1487</v>
      </c>
      <c r="KI989" s="16" t="s">
        <v>1487</v>
      </c>
      <c r="KJ989" s="16" t="s">
        <v>1487</v>
      </c>
      <c r="KK989" s="16" t="s">
        <v>1487</v>
      </c>
      <c r="KL989" s="16" t="s">
        <v>1487</v>
      </c>
      <c r="KM989" s="16" t="s">
        <v>1487</v>
      </c>
      <c r="KN989" s="16" t="s">
        <v>1487</v>
      </c>
      <c r="KO989" s="16" t="s">
        <v>1487</v>
      </c>
      <c r="KP989" s="16" t="s">
        <v>1487</v>
      </c>
      <c r="KQ989" s="16" t="s">
        <v>1487</v>
      </c>
      <c r="KR989" s="16" t="s">
        <v>1487</v>
      </c>
      <c r="KS989" s="16" t="s">
        <v>1487</v>
      </c>
      <c r="KT989" s="16" t="s">
        <v>1487</v>
      </c>
      <c r="KU989" s="16" t="s">
        <v>1487</v>
      </c>
      <c r="KV989" s="16" t="s">
        <v>1487</v>
      </c>
      <c r="KW989" s="16" t="s">
        <v>1487</v>
      </c>
      <c r="KX989" s="16" t="s">
        <v>1487</v>
      </c>
      <c r="KY989" s="16" t="s">
        <v>1487</v>
      </c>
      <c r="KZ989" s="16" t="s">
        <v>1487</v>
      </c>
      <c r="LA989" s="16" t="s">
        <v>1487</v>
      </c>
      <c r="LB989" s="16" t="s">
        <v>1487</v>
      </c>
      <c r="LC989" s="16" t="s">
        <v>1487</v>
      </c>
      <c r="LD989" s="16" t="s">
        <v>1487</v>
      </c>
      <c r="LE989" s="16" t="s">
        <v>1487</v>
      </c>
      <c r="LF989" s="16" t="s">
        <v>1487</v>
      </c>
      <c r="LG989" s="16" t="s">
        <v>1487</v>
      </c>
      <c r="LH989" s="16" t="s">
        <v>1487</v>
      </c>
      <c r="LI989" s="16" t="s">
        <v>1487</v>
      </c>
      <c r="LJ989" s="16" t="s">
        <v>1487</v>
      </c>
      <c r="LK989" s="16" t="s">
        <v>1487</v>
      </c>
      <c r="LL989" s="16" t="s">
        <v>1487</v>
      </c>
      <c r="LM989" s="16" t="s">
        <v>1487</v>
      </c>
      <c r="LN989" s="16" t="s">
        <v>1487</v>
      </c>
      <c r="LO989" s="16" t="s">
        <v>1487</v>
      </c>
      <c r="LP989" s="16" t="s">
        <v>1487</v>
      </c>
      <c r="LQ989" s="16" t="s">
        <v>1487</v>
      </c>
      <c r="LR989" s="16" t="s">
        <v>1487</v>
      </c>
      <c r="LS989" s="16" t="s">
        <v>1487</v>
      </c>
      <c r="LT989" s="16" t="s">
        <v>1487</v>
      </c>
      <c r="LU989" s="16" t="s">
        <v>1487</v>
      </c>
      <c r="LV989" s="16" t="s">
        <v>1487</v>
      </c>
      <c r="LW989" s="16" t="s">
        <v>1487</v>
      </c>
      <c r="LX989" s="16" t="s">
        <v>1487</v>
      </c>
      <c r="LY989" s="16" t="s">
        <v>1487</v>
      </c>
      <c r="LZ989" s="16" t="s">
        <v>1487</v>
      </c>
      <c r="MA989" s="16" t="s">
        <v>1487</v>
      </c>
      <c r="MB989" s="16" t="s">
        <v>1487</v>
      </c>
      <c r="MC989" s="16" t="s">
        <v>1487</v>
      </c>
      <c r="MD989" s="16" t="s">
        <v>1487</v>
      </c>
      <c r="ME989" s="16" t="s">
        <v>1487</v>
      </c>
      <c r="MF989" s="16" t="s">
        <v>1487</v>
      </c>
      <c r="MG989" s="16" t="s">
        <v>1487</v>
      </c>
      <c r="MH989" s="16" t="s">
        <v>1487</v>
      </c>
      <c r="MI989" s="16" t="s">
        <v>1487</v>
      </c>
      <c r="MJ989" s="16" t="s">
        <v>1487</v>
      </c>
      <c r="MK989" s="16" t="s">
        <v>1487</v>
      </c>
      <c r="ML989" s="16" t="s">
        <v>1487</v>
      </c>
      <c r="MM989" s="16" t="s">
        <v>1487</v>
      </c>
      <c r="MN989" s="16" t="s">
        <v>1487</v>
      </c>
      <c r="MO989" s="16" t="s">
        <v>1487</v>
      </c>
      <c r="MP989" s="16" t="s">
        <v>1487</v>
      </c>
      <c r="MQ989" s="16" t="s">
        <v>1487</v>
      </c>
      <c r="MR989" s="16" t="s">
        <v>1487</v>
      </c>
      <c r="MS989" s="16" t="s">
        <v>1487</v>
      </c>
      <c r="MT989" s="16" t="s">
        <v>1487</v>
      </c>
      <c r="MU989" s="16" t="s">
        <v>1487</v>
      </c>
      <c r="MV989" s="16" t="s">
        <v>1487</v>
      </c>
      <c r="MW989" s="16" t="s">
        <v>1487</v>
      </c>
      <c r="MX989" s="16" t="s">
        <v>1487</v>
      </c>
      <c r="MY989" s="16" t="s">
        <v>1487</v>
      </c>
      <c r="MZ989" s="16" t="s">
        <v>1487</v>
      </c>
      <c r="NA989" s="16" t="s">
        <v>1487</v>
      </c>
      <c r="NB989" s="16" t="s">
        <v>1487</v>
      </c>
      <c r="NC989" s="16" t="s">
        <v>1487</v>
      </c>
      <c r="ND989" s="16" t="s">
        <v>1487</v>
      </c>
      <c r="NE989" s="16" t="s">
        <v>1487</v>
      </c>
      <c r="NF989" s="16" t="s">
        <v>1487</v>
      </c>
      <c r="NG989" s="16" t="s">
        <v>1487</v>
      </c>
      <c r="NH989" s="16" t="s">
        <v>1487</v>
      </c>
      <c r="NI989" s="16" t="s">
        <v>1487</v>
      </c>
      <c r="NJ989" s="16" t="s">
        <v>1487</v>
      </c>
      <c r="NK989" s="16" t="s">
        <v>1487</v>
      </c>
      <c r="NL989" s="16" t="s">
        <v>1487</v>
      </c>
      <c r="NM989" s="16" t="s">
        <v>1487</v>
      </c>
      <c r="NN989" s="16" t="s">
        <v>1487</v>
      </c>
      <c r="NO989" s="16" t="s">
        <v>1487</v>
      </c>
      <c r="NP989" s="16" t="s">
        <v>1487</v>
      </c>
      <c r="NQ989" s="16" t="s">
        <v>1487</v>
      </c>
      <c r="NR989" s="16" t="s">
        <v>1487</v>
      </c>
      <c r="NS989" s="16" t="s">
        <v>1487</v>
      </c>
      <c r="NT989" s="16" t="s">
        <v>1487</v>
      </c>
      <c r="NU989" s="16" t="s">
        <v>1487</v>
      </c>
      <c r="NV989" s="16" t="s">
        <v>1487</v>
      </c>
      <c r="NW989" s="16" t="s">
        <v>1487</v>
      </c>
      <c r="NX989" s="16" t="s">
        <v>1487</v>
      </c>
      <c r="NY989" s="16" t="s">
        <v>1487</v>
      </c>
      <c r="NZ989" s="16" t="s">
        <v>1487</v>
      </c>
      <c r="OA989" s="16" t="s">
        <v>1487</v>
      </c>
      <c r="OB989" s="16" t="s">
        <v>1487</v>
      </c>
      <c r="OC989" s="16" t="s">
        <v>1487</v>
      </c>
      <c r="OD989" s="16" t="s">
        <v>1487</v>
      </c>
      <c r="OE989" s="16" t="s">
        <v>1487</v>
      </c>
      <c r="OF989" s="16" t="s">
        <v>1487</v>
      </c>
      <c r="OG989" s="16" t="s">
        <v>1487</v>
      </c>
      <c r="OH989" s="16" t="s">
        <v>1487</v>
      </c>
      <c r="OI989" s="16" t="s">
        <v>1487</v>
      </c>
      <c r="OJ989" s="16" t="s">
        <v>1487</v>
      </c>
      <c r="OK989" s="16" t="s">
        <v>1487</v>
      </c>
      <c r="OL989" s="16" t="s">
        <v>1487</v>
      </c>
      <c r="OM989" s="16" t="s">
        <v>1487</v>
      </c>
      <c r="ON989" s="16" t="s">
        <v>1487</v>
      </c>
      <c r="OO989" s="16" t="s">
        <v>1487</v>
      </c>
      <c r="OP989" s="16" t="s">
        <v>1487</v>
      </c>
      <c r="OQ989" s="16" t="s">
        <v>1487</v>
      </c>
      <c r="OR989" s="16" t="s">
        <v>1487</v>
      </c>
      <c r="OS989" s="16" t="s">
        <v>1487</v>
      </c>
      <c r="OT989" s="16" t="s">
        <v>1487</v>
      </c>
      <c r="OU989" s="16" t="s">
        <v>1487</v>
      </c>
      <c r="OV989" s="16" t="s">
        <v>1487</v>
      </c>
      <c r="OW989" s="16" t="s">
        <v>1487</v>
      </c>
      <c r="OX989" s="16" t="s">
        <v>1487</v>
      </c>
      <c r="OY989" s="16" t="s">
        <v>1487</v>
      </c>
      <c r="OZ989" s="16" t="s">
        <v>1487</v>
      </c>
      <c r="PA989" s="16" t="s">
        <v>1487</v>
      </c>
      <c r="PB989" s="16" t="s">
        <v>1487</v>
      </c>
      <c r="PC989" s="16" t="s">
        <v>1487</v>
      </c>
      <c r="PD989" s="16" t="s">
        <v>1487</v>
      </c>
      <c r="PE989" s="16" t="s">
        <v>1487</v>
      </c>
      <c r="PF989" s="16" t="s">
        <v>1487</v>
      </c>
      <c r="PG989" s="16" t="s">
        <v>1487</v>
      </c>
      <c r="PH989" s="16" t="s">
        <v>1487</v>
      </c>
      <c r="PI989" s="16" t="s">
        <v>1487</v>
      </c>
      <c r="PJ989" s="16" t="s">
        <v>1487</v>
      </c>
      <c r="PK989" s="16" t="s">
        <v>1487</v>
      </c>
      <c r="PL989" s="16" t="s">
        <v>1487</v>
      </c>
      <c r="PM989" s="16" t="s">
        <v>1487</v>
      </c>
      <c r="PN989" s="16" t="s">
        <v>1487</v>
      </c>
      <c r="PO989" s="16" t="s">
        <v>1487</v>
      </c>
      <c r="PP989" s="16" t="s">
        <v>1487</v>
      </c>
      <c r="PQ989" s="16" t="s">
        <v>1487</v>
      </c>
      <c r="PR989" s="16" t="s">
        <v>1487</v>
      </c>
      <c r="PS989" s="16" t="s">
        <v>1487</v>
      </c>
      <c r="PT989" s="16" t="s">
        <v>1487</v>
      </c>
      <c r="PU989" s="16" t="s">
        <v>1487</v>
      </c>
      <c r="PV989" s="16" t="s">
        <v>1487</v>
      </c>
      <c r="PW989" s="16" t="s">
        <v>1487</v>
      </c>
      <c r="PX989" s="16" t="s">
        <v>1487</v>
      </c>
      <c r="PY989" s="16" t="s">
        <v>1487</v>
      </c>
      <c r="PZ989" s="16" t="s">
        <v>1487</v>
      </c>
      <c r="QA989" s="16" t="s">
        <v>1487</v>
      </c>
      <c r="QB989" s="16" t="s">
        <v>1487</v>
      </c>
      <c r="QC989" s="16" t="s">
        <v>1487</v>
      </c>
      <c r="QD989" s="16" t="s">
        <v>1487</v>
      </c>
      <c r="QE989" s="16" t="s">
        <v>1487</v>
      </c>
      <c r="QF989" s="16" t="s">
        <v>1487</v>
      </c>
      <c r="QG989" s="16" t="s">
        <v>1487</v>
      </c>
      <c r="QH989" s="16" t="s">
        <v>1487</v>
      </c>
      <c r="QI989" s="16" t="s">
        <v>1487</v>
      </c>
      <c r="QJ989" s="16" t="s">
        <v>1487</v>
      </c>
      <c r="QK989" s="16" t="s">
        <v>1487</v>
      </c>
      <c r="QL989" s="16" t="s">
        <v>1487</v>
      </c>
      <c r="QM989" s="16" t="s">
        <v>1487</v>
      </c>
      <c r="QN989" s="16" t="s">
        <v>1487</v>
      </c>
      <c r="QO989" s="16" t="s">
        <v>1487</v>
      </c>
      <c r="QP989" s="16" t="s">
        <v>1487</v>
      </c>
      <c r="QQ989" s="16" t="s">
        <v>1487</v>
      </c>
      <c r="QR989" s="16" t="s">
        <v>1487</v>
      </c>
      <c r="QS989" s="16" t="s">
        <v>1487</v>
      </c>
      <c r="QT989" s="16" t="s">
        <v>1487</v>
      </c>
      <c r="QU989" s="16" t="s">
        <v>1487</v>
      </c>
      <c r="QV989" s="16" t="s">
        <v>1487</v>
      </c>
      <c r="QW989" s="16" t="s">
        <v>1487</v>
      </c>
      <c r="QX989" s="16" t="s">
        <v>1487</v>
      </c>
      <c r="QY989" s="16" t="s">
        <v>1487</v>
      </c>
      <c r="QZ989" s="16" t="s">
        <v>1487</v>
      </c>
      <c r="RA989" s="16" t="s">
        <v>1487</v>
      </c>
      <c r="RB989" s="16" t="s">
        <v>1487</v>
      </c>
      <c r="RC989" s="16" t="s">
        <v>1487</v>
      </c>
      <c r="RD989" s="16" t="s">
        <v>1487</v>
      </c>
      <c r="RE989" s="16" t="s">
        <v>1487</v>
      </c>
      <c r="RF989" s="16" t="s">
        <v>1487</v>
      </c>
      <c r="RG989" s="16" t="s">
        <v>1487</v>
      </c>
      <c r="RH989" s="16" t="s">
        <v>1487</v>
      </c>
      <c r="RI989" s="16" t="s">
        <v>1487</v>
      </c>
      <c r="RJ989" s="16" t="s">
        <v>1487</v>
      </c>
      <c r="RK989" s="16" t="s">
        <v>1487</v>
      </c>
      <c r="RL989" s="16" t="s">
        <v>1487</v>
      </c>
      <c r="RM989" s="16" t="s">
        <v>1487</v>
      </c>
      <c r="RN989" s="16" t="s">
        <v>1487</v>
      </c>
      <c r="RO989" s="16" t="s">
        <v>1487</v>
      </c>
      <c r="RP989" s="16" t="s">
        <v>1487</v>
      </c>
      <c r="RQ989" s="16" t="s">
        <v>1487</v>
      </c>
      <c r="RR989" s="16" t="s">
        <v>1487</v>
      </c>
      <c r="RS989" s="16" t="s">
        <v>1487</v>
      </c>
      <c r="RT989" s="16" t="s">
        <v>1487</v>
      </c>
      <c r="RU989" s="16" t="s">
        <v>1487</v>
      </c>
      <c r="RV989" s="16" t="s">
        <v>1487</v>
      </c>
      <c r="RW989" s="16" t="s">
        <v>1487</v>
      </c>
      <c r="RX989" s="16" t="s">
        <v>1487</v>
      </c>
      <c r="RY989" s="16" t="s">
        <v>1487</v>
      </c>
      <c r="RZ989" s="16" t="s">
        <v>1487</v>
      </c>
      <c r="SA989" s="16" t="s">
        <v>1487</v>
      </c>
      <c r="SB989" s="16" t="s">
        <v>1487</v>
      </c>
      <c r="SC989" s="16" t="s">
        <v>1487</v>
      </c>
      <c r="SD989" s="16" t="s">
        <v>1487</v>
      </c>
      <c r="SE989" s="16" t="s">
        <v>1487</v>
      </c>
      <c r="SF989" s="16" t="s">
        <v>1487</v>
      </c>
      <c r="SG989" s="16" t="s">
        <v>1487</v>
      </c>
      <c r="SH989" s="16" t="s">
        <v>1487</v>
      </c>
      <c r="SI989" s="16" t="s">
        <v>1487</v>
      </c>
      <c r="SJ989" s="16" t="s">
        <v>1487</v>
      </c>
      <c r="SK989" s="16" t="s">
        <v>1487</v>
      </c>
      <c r="SL989" s="16" t="s">
        <v>1487</v>
      </c>
      <c r="SM989" s="16" t="s">
        <v>1487</v>
      </c>
      <c r="SN989" s="16" t="s">
        <v>1487</v>
      </c>
      <c r="SO989" s="16" t="s">
        <v>1487</v>
      </c>
      <c r="SP989" s="16" t="s">
        <v>1487</v>
      </c>
      <c r="SQ989" s="16" t="s">
        <v>1487</v>
      </c>
      <c r="SR989" s="16" t="s">
        <v>1487</v>
      </c>
      <c r="SS989" s="16" t="s">
        <v>1487</v>
      </c>
      <c r="ST989" s="16" t="s">
        <v>1487</v>
      </c>
      <c r="SU989" s="16" t="s">
        <v>1487</v>
      </c>
      <c r="SV989" s="16" t="s">
        <v>1487</v>
      </c>
      <c r="SW989" s="16" t="s">
        <v>1487</v>
      </c>
      <c r="SX989" s="16" t="s">
        <v>1487</v>
      </c>
      <c r="SY989" s="16" t="s">
        <v>1487</v>
      </c>
      <c r="SZ989" s="16" t="s">
        <v>1487</v>
      </c>
      <c r="TA989" s="16" t="s">
        <v>1487</v>
      </c>
      <c r="TB989" s="16" t="s">
        <v>1487</v>
      </c>
      <c r="TC989" s="16" t="s">
        <v>1487</v>
      </c>
      <c r="TD989" s="16" t="s">
        <v>1487</v>
      </c>
      <c r="TE989" s="16" t="s">
        <v>1487</v>
      </c>
      <c r="TF989" s="16" t="s">
        <v>1487</v>
      </c>
      <c r="TG989" s="16" t="s">
        <v>1487</v>
      </c>
      <c r="TH989" s="16" t="s">
        <v>1487</v>
      </c>
      <c r="TI989" s="16" t="s">
        <v>1487</v>
      </c>
      <c r="TJ989" s="16" t="s">
        <v>1487</v>
      </c>
      <c r="TK989" s="16" t="s">
        <v>1487</v>
      </c>
      <c r="TL989" s="16" t="s">
        <v>1487</v>
      </c>
      <c r="TM989" s="16" t="s">
        <v>1487</v>
      </c>
      <c r="TN989" s="16" t="s">
        <v>1487</v>
      </c>
      <c r="TO989" s="16" t="s">
        <v>1487</v>
      </c>
      <c r="TP989" s="16" t="s">
        <v>1487</v>
      </c>
      <c r="TQ989" s="16" t="s">
        <v>1487</v>
      </c>
      <c r="TR989" s="16" t="s">
        <v>1487</v>
      </c>
      <c r="TS989" s="16" t="s">
        <v>1487</v>
      </c>
      <c r="TT989" s="16" t="s">
        <v>1487</v>
      </c>
      <c r="TU989" s="16" t="s">
        <v>1487</v>
      </c>
      <c r="TV989" s="16" t="s">
        <v>1487</v>
      </c>
      <c r="TW989" s="16" t="s">
        <v>1487</v>
      </c>
      <c r="TX989" s="16" t="s">
        <v>1487</v>
      </c>
      <c r="TY989" s="16" t="s">
        <v>1487</v>
      </c>
      <c r="TZ989" s="16" t="s">
        <v>1487</v>
      </c>
      <c r="UA989" s="16" t="s">
        <v>1487</v>
      </c>
      <c r="UB989" s="16" t="s">
        <v>1487</v>
      </c>
      <c r="UC989" s="16" t="s">
        <v>1487</v>
      </c>
      <c r="UD989" s="16" t="s">
        <v>1487</v>
      </c>
      <c r="UE989" s="16" t="s">
        <v>1487</v>
      </c>
      <c r="UF989" s="16" t="s">
        <v>1487</v>
      </c>
      <c r="UG989" s="16" t="s">
        <v>1487</v>
      </c>
      <c r="UH989" s="16" t="s">
        <v>1487</v>
      </c>
      <c r="UI989" s="16" t="s">
        <v>1487</v>
      </c>
      <c r="UJ989" s="16" t="s">
        <v>1487</v>
      </c>
      <c r="UK989" s="16" t="s">
        <v>1487</v>
      </c>
      <c r="UL989" s="16" t="s">
        <v>1487</v>
      </c>
      <c r="UM989" s="16" t="s">
        <v>1487</v>
      </c>
      <c r="UN989" s="16" t="s">
        <v>1487</v>
      </c>
      <c r="UO989" s="16" t="s">
        <v>1487</v>
      </c>
      <c r="UP989" s="16" t="s">
        <v>1487</v>
      </c>
      <c r="UQ989" s="16" t="s">
        <v>1487</v>
      </c>
      <c r="UR989" s="16" t="s">
        <v>1487</v>
      </c>
      <c r="US989" s="16" t="s">
        <v>1487</v>
      </c>
      <c r="UT989" s="16" t="s">
        <v>1487</v>
      </c>
      <c r="UU989" s="16" t="s">
        <v>1487</v>
      </c>
      <c r="UV989" s="16" t="s">
        <v>1487</v>
      </c>
      <c r="UW989" s="16" t="s">
        <v>1487</v>
      </c>
      <c r="UX989" s="16" t="s">
        <v>1487</v>
      </c>
      <c r="UY989" s="16" t="s">
        <v>1487</v>
      </c>
      <c r="UZ989" s="16" t="s">
        <v>1487</v>
      </c>
      <c r="VA989" s="16" t="s">
        <v>1487</v>
      </c>
      <c r="VB989" s="16" t="s">
        <v>1487</v>
      </c>
      <c r="VC989" s="16" t="s">
        <v>1487</v>
      </c>
      <c r="VD989" s="16" t="s">
        <v>1487</v>
      </c>
      <c r="VE989" s="16" t="s">
        <v>1487</v>
      </c>
      <c r="VF989" s="16" t="s">
        <v>1487</v>
      </c>
      <c r="VG989" s="16" t="s">
        <v>1487</v>
      </c>
      <c r="VH989" s="16" t="s">
        <v>1487</v>
      </c>
      <c r="VI989" s="16" t="s">
        <v>1487</v>
      </c>
      <c r="VJ989" s="16" t="s">
        <v>1487</v>
      </c>
      <c r="VK989" s="16" t="s">
        <v>1487</v>
      </c>
      <c r="VL989" s="16" t="s">
        <v>1487</v>
      </c>
      <c r="VM989" s="16" t="s">
        <v>1487</v>
      </c>
      <c r="VN989" s="16" t="s">
        <v>1487</v>
      </c>
      <c r="VO989" s="16" t="s">
        <v>1487</v>
      </c>
      <c r="VP989" s="16" t="s">
        <v>1487</v>
      </c>
      <c r="VQ989" s="16" t="s">
        <v>1487</v>
      </c>
      <c r="VR989" s="16" t="s">
        <v>1487</v>
      </c>
      <c r="VS989" s="16" t="s">
        <v>1487</v>
      </c>
      <c r="VT989" s="16" t="s">
        <v>1487</v>
      </c>
      <c r="VU989" s="16" t="s">
        <v>1487</v>
      </c>
      <c r="VV989" s="16" t="s">
        <v>1487</v>
      </c>
      <c r="VW989" s="16" t="s">
        <v>1487</v>
      </c>
      <c r="VX989" s="16" t="s">
        <v>1487</v>
      </c>
      <c r="VY989" s="16" t="s">
        <v>1487</v>
      </c>
      <c r="VZ989" s="16" t="s">
        <v>1487</v>
      </c>
      <c r="WA989" s="16" t="s">
        <v>1487</v>
      </c>
      <c r="WB989" s="16" t="s">
        <v>1487</v>
      </c>
      <c r="WC989" s="16" t="s">
        <v>1487</v>
      </c>
      <c r="WD989" s="16" t="s">
        <v>1487</v>
      </c>
      <c r="WE989" s="16" t="s">
        <v>1487</v>
      </c>
      <c r="WF989" s="16" t="s">
        <v>1487</v>
      </c>
      <c r="WG989" s="16" t="s">
        <v>1487</v>
      </c>
      <c r="WH989" s="16" t="s">
        <v>1487</v>
      </c>
      <c r="WI989" s="16" t="s">
        <v>1487</v>
      </c>
      <c r="WJ989" s="16" t="s">
        <v>1487</v>
      </c>
      <c r="WK989" s="16" t="s">
        <v>1487</v>
      </c>
      <c r="WL989" s="16" t="s">
        <v>1487</v>
      </c>
      <c r="WM989" s="16" t="s">
        <v>1487</v>
      </c>
      <c r="WN989" s="16" t="s">
        <v>1487</v>
      </c>
      <c r="WO989" s="16" t="s">
        <v>1487</v>
      </c>
      <c r="WP989" s="16" t="s">
        <v>1487</v>
      </c>
      <c r="WQ989" s="16" t="s">
        <v>1487</v>
      </c>
      <c r="WR989" s="16" t="s">
        <v>1487</v>
      </c>
      <c r="WS989" s="16" t="s">
        <v>1487</v>
      </c>
      <c r="WT989" s="16" t="s">
        <v>1487</v>
      </c>
      <c r="WU989" s="16" t="s">
        <v>1487</v>
      </c>
      <c r="WV989" s="16" t="s">
        <v>1487</v>
      </c>
      <c r="WW989" s="16" t="s">
        <v>1487</v>
      </c>
      <c r="WX989" s="16" t="s">
        <v>1487</v>
      </c>
      <c r="WY989" s="16" t="s">
        <v>1487</v>
      </c>
      <c r="WZ989" s="16" t="s">
        <v>1487</v>
      </c>
      <c r="XA989" s="16" t="s">
        <v>1487</v>
      </c>
      <c r="XB989" s="16" t="s">
        <v>1487</v>
      </c>
      <c r="XC989" s="16" t="s">
        <v>1487</v>
      </c>
      <c r="XD989" s="16" t="s">
        <v>1487</v>
      </c>
      <c r="XE989" s="16" t="s">
        <v>1487</v>
      </c>
      <c r="XF989" s="16" t="s">
        <v>1487</v>
      </c>
      <c r="XG989" s="16" t="s">
        <v>1487</v>
      </c>
      <c r="XH989" s="16" t="s">
        <v>1487</v>
      </c>
      <c r="XI989" s="16" t="s">
        <v>1487</v>
      </c>
      <c r="XJ989" s="16" t="s">
        <v>1487</v>
      </c>
      <c r="XK989" s="16" t="s">
        <v>1487</v>
      </c>
      <c r="XL989" s="16" t="s">
        <v>1487</v>
      </c>
      <c r="XM989" s="16" t="s">
        <v>1487</v>
      </c>
      <c r="XN989" s="16" t="s">
        <v>1487</v>
      </c>
      <c r="XO989" s="16" t="s">
        <v>1487</v>
      </c>
      <c r="XP989" s="16" t="s">
        <v>1487</v>
      </c>
      <c r="XQ989" s="16" t="s">
        <v>1487</v>
      </c>
      <c r="XR989" s="16" t="s">
        <v>1487</v>
      </c>
      <c r="XS989" s="16" t="s">
        <v>1487</v>
      </c>
      <c r="XT989" s="16" t="s">
        <v>1487</v>
      </c>
      <c r="XU989" s="16" t="s">
        <v>1487</v>
      </c>
      <c r="XV989" s="16" t="s">
        <v>1487</v>
      </c>
      <c r="XW989" s="16" t="s">
        <v>1487</v>
      </c>
      <c r="XX989" s="16" t="s">
        <v>1487</v>
      </c>
      <c r="XY989" s="16" t="s">
        <v>1487</v>
      </c>
      <c r="XZ989" s="16" t="s">
        <v>1487</v>
      </c>
      <c r="YA989" s="16" t="s">
        <v>1487</v>
      </c>
      <c r="YB989" s="16" t="s">
        <v>1487</v>
      </c>
      <c r="YC989" s="16" t="s">
        <v>1487</v>
      </c>
      <c r="YD989" s="16" t="s">
        <v>1487</v>
      </c>
      <c r="YE989" s="16" t="s">
        <v>1487</v>
      </c>
      <c r="YF989" s="16" t="s">
        <v>1487</v>
      </c>
      <c r="YG989" s="16" t="s">
        <v>1487</v>
      </c>
      <c r="YH989" s="16" t="s">
        <v>1487</v>
      </c>
      <c r="YI989" s="16" t="s">
        <v>1487</v>
      </c>
      <c r="YJ989" s="16" t="s">
        <v>1487</v>
      </c>
      <c r="YK989" s="16" t="s">
        <v>1487</v>
      </c>
      <c r="YL989" s="16" t="s">
        <v>1487</v>
      </c>
      <c r="YM989" s="16" t="s">
        <v>1487</v>
      </c>
      <c r="YN989" s="16" t="s">
        <v>1487</v>
      </c>
      <c r="YO989" s="16" t="s">
        <v>1487</v>
      </c>
      <c r="YP989" s="16" t="s">
        <v>1487</v>
      </c>
      <c r="YQ989" s="16" t="s">
        <v>1487</v>
      </c>
      <c r="YR989" s="16" t="s">
        <v>1487</v>
      </c>
      <c r="YS989" s="16" t="s">
        <v>1487</v>
      </c>
      <c r="YT989" s="16" t="s">
        <v>1487</v>
      </c>
      <c r="YU989" s="16" t="s">
        <v>1487</v>
      </c>
      <c r="YV989" s="16" t="s">
        <v>1487</v>
      </c>
      <c r="YW989" s="16" t="s">
        <v>1487</v>
      </c>
      <c r="YX989" s="16" t="s">
        <v>1487</v>
      </c>
      <c r="YY989" s="16" t="s">
        <v>1487</v>
      </c>
      <c r="YZ989" s="16" t="s">
        <v>1487</v>
      </c>
      <c r="ZA989" s="16" t="s">
        <v>1487</v>
      </c>
      <c r="ZB989" s="16" t="s">
        <v>1487</v>
      </c>
      <c r="ZC989" s="16" t="s">
        <v>1487</v>
      </c>
      <c r="ZD989" s="16" t="s">
        <v>1487</v>
      </c>
      <c r="ZE989" s="16" t="s">
        <v>1487</v>
      </c>
      <c r="ZF989" s="16" t="s">
        <v>1487</v>
      </c>
      <c r="ZG989" s="16" t="s">
        <v>1487</v>
      </c>
      <c r="ZH989" s="16" t="s">
        <v>1487</v>
      </c>
      <c r="ZI989" s="16" t="s">
        <v>1487</v>
      </c>
      <c r="ZJ989" s="16" t="s">
        <v>1487</v>
      </c>
      <c r="ZK989" s="16" t="s">
        <v>1487</v>
      </c>
      <c r="ZL989" s="16" t="s">
        <v>1487</v>
      </c>
      <c r="ZM989" s="16" t="s">
        <v>1487</v>
      </c>
      <c r="ZN989" s="16" t="s">
        <v>1487</v>
      </c>
      <c r="ZO989" s="16" t="s">
        <v>1487</v>
      </c>
      <c r="ZP989" s="16" t="s">
        <v>1487</v>
      </c>
      <c r="ZQ989" s="16" t="s">
        <v>1487</v>
      </c>
      <c r="ZR989" s="16" t="s">
        <v>1487</v>
      </c>
      <c r="ZS989" s="16" t="s">
        <v>1487</v>
      </c>
      <c r="ZT989" s="16" t="s">
        <v>1487</v>
      </c>
      <c r="ZU989" s="16" t="s">
        <v>1487</v>
      </c>
      <c r="ZV989" s="16" t="s">
        <v>1487</v>
      </c>
      <c r="ZW989" s="16" t="s">
        <v>1487</v>
      </c>
      <c r="ZX989" s="16" t="s">
        <v>1487</v>
      </c>
      <c r="ZY989" s="16" t="s">
        <v>1487</v>
      </c>
      <c r="ZZ989" s="16" t="s">
        <v>1487</v>
      </c>
      <c r="AAA989" s="16" t="s">
        <v>1487</v>
      </c>
      <c r="AAB989" s="16" t="s">
        <v>1487</v>
      </c>
      <c r="AAC989" s="16" t="s">
        <v>1487</v>
      </c>
      <c r="AAD989" s="16" t="s">
        <v>1487</v>
      </c>
      <c r="AAE989" s="16" t="s">
        <v>1487</v>
      </c>
      <c r="AAF989" s="16" t="s">
        <v>1487</v>
      </c>
      <c r="AAG989" s="16" t="s">
        <v>1487</v>
      </c>
      <c r="AAH989" s="16" t="s">
        <v>1487</v>
      </c>
      <c r="AAI989" s="16" t="s">
        <v>1487</v>
      </c>
      <c r="AAJ989" s="16" t="s">
        <v>1487</v>
      </c>
      <c r="AAK989" s="16" t="s">
        <v>1487</v>
      </c>
      <c r="AAL989" s="16" t="s">
        <v>1487</v>
      </c>
      <c r="AAM989" s="16" t="s">
        <v>1487</v>
      </c>
      <c r="AAN989" s="16" t="s">
        <v>1487</v>
      </c>
      <c r="AAO989" s="16" t="s">
        <v>1487</v>
      </c>
      <c r="AAP989" s="16" t="s">
        <v>1487</v>
      </c>
      <c r="AAQ989" s="16" t="s">
        <v>1487</v>
      </c>
      <c r="AAR989" s="16" t="s">
        <v>1487</v>
      </c>
      <c r="AAS989" s="16" t="s">
        <v>1487</v>
      </c>
      <c r="AAT989" s="16" t="s">
        <v>1487</v>
      </c>
      <c r="AAU989" s="16" t="s">
        <v>1487</v>
      </c>
      <c r="AAV989" s="16" t="s">
        <v>1487</v>
      </c>
      <c r="AAW989" s="16" t="s">
        <v>1487</v>
      </c>
      <c r="AAX989" s="16" t="s">
        <v>1487</v>
      </c>
      <c r="AAY989" s="16" t="s">
        <v>1487</v>
      </c>
      <c r="AAZ989" s="16" t="s">
        <v>1487</v>
      </c>
      <c r="ABA989" s="16" t="s">
        <v>1487</v>
      </c>
      <c r="ABB989" s="16" t="s">
        <v>1487</v>
      </c>
      <c r="ABC989" s="16" t="s">
        <v>1487</v>
      </c>
      <c r="ABD989" s="16" t="s">
        <v>1487</v>
      </c>
      <c r="ABE989" s="16" t="s">
        <v>1487</v>
      </c>
      <c r="ABF989" s="16" t="s">
        <v>1487</v>
      </c>
      <c r="ABG989" s="16" t="s">
        <v>1487</v>
      </c>
      <c r="ABH989" s="16" t="s">
        <v>1487</v>
      </c>
      <c r="ABI989" s="16" t="s">
        <v>1487</v>
      </c>
      <c r="ABJ989" s="16" t="s">
        <v>1487</v>
      </c>
      <c r="ABK989" s="16" t="s">
        <v>1487</v>
      </c>
      <c r="ABL989" s="16" t="s">
        <v>1487</v>
      </c>
      <c r="ABM989" s="16" t="s">
        <v>1487</v>
      </c>
      <c r="ABN989" s="16" t="s">
        <v>1487</v>
      </c>
      <c r="ABO989" s="16" t="s">
        <v>1487</v>
      </c>
      <c r="ABP989" s="16" t="s">
        <v>1487</v>
      </c>
      <c r="ABQ989" s="16" t="s">
        <v>1487</v>
      </c>
      <c r="ABR989" s="16" t="s">
        <v>1487</v>
      </c>
      <c r="ABS989" s="16" t="s">
        <v>1487</v>
      </c>
      <c r="ABT989" s="16" t="s">
        <v>1487</v>
      </c>
      <c r="ABU989" s="16" t="s">
        <v>1487</v>
      </c>
      <c r="ABV989" s="16" t="s">
        <v>1487</v>
      </c>
      <c r="ABW989" s="16" t="s">
        <v>1487</v>
      </c>
      <c r="ABX989" s="16" t="s">
        <v>1487</v>
      </c>
      <c r="ABY989" s="16" t="s">
        <v>1487</v>
      </c>
      <c r="ABZ989" s="16" t="s">
        <v>1487</v>
      </c>
      <c r="ACA989" s="16" t="s">
        <v>1487</v>
      </c>
      <c r="ACB989" s="16" t="s">
        <v>1487</v>
      </c>
      <c r="ACC989" s="16" t="s">
        <v>1487</v>
      </c>
      <c r="ACD989" s="16" t="s">
        <v>1487</v>
      </c>
      <c r="ACE989" s="16" t="s">
        <v>1487</v>
      </c>
      <c r="ACF989" s="16" t="s">
        <v>1487</v>
      </c>
      <c r="ACG989" s="16" t="s">
        <v>1487</v>
      </c>
      <c r="ACH989" s="16" t="s">
        <v>1487</v>
      </c>
      <c r="ACI989" s="16" t="s">
        <v>1487</v>
      </c>
      <c r="ACJ989" s="16" t="s">
        <v>1487</v>
      </c>
      <c r="ACK989" s="16" t="s">
        <v>1487</v>
      </c>
      <c r="ACL989" s="16" t="s">
        <v>1487</v>
      </c>
      <c r="ACM989" s="16" t="s">
        <v>1487</v>
      </c>
      <c r="ACN989" s="16" t="s">
        <v>1487</v>
      </c>
      <c r="ACO989" s="16" t="s">
        <v>1487</v>
      </c>
      <c r="ACP989" s="16" t="s">
        <v>1487</v>
      </c>
      <c r="ACQ989" s="16" t="s">
        <v>1487</v>
      </c>
      <c r="ACR989" s="16" t="s">
        <v>1487</v>
      </c>
      <c r="ACS989" s="16" t="s">
        <v>1487</v>
      </c>
      <c r="ACT989" s="16" t="s">
        <v>1487</v>
      </c>
      <c r="ACU989" s="16" t="s">
        <v>1487</v>
      </c>
      <c r="ACV989" s="16" t="s">
        <v>1487</v>
      </c>
      <c r="ACW989" s="16" t="s">
        <v>1487</v>
      </c>
      <c r="ACX989" s="16" t="s">
        <v>1487</v>
      </c>
      <c r="ACY989" s="16" t="s">
        <v>1487</v>
      </c>
      <c r="ACZ989" s="16" t="s">
        <v>1487</v>
      </c>
      <c r="ADA989" s="16" t="s">
        <v>1487</v>
      </c>
      <c r="ADB989" s="16" t="s">
        <v>1487</v>
      </c>
      <c r="ADC989" s="16" t="s">
        <v>1487</v>
      </c>
      <c r="ADD989" s="16" t="s">
        <v>1487</v>
      </c>
      <c r="ADE989" s="16" t="s">
        <v>1487</v>
      </c>
      <c r="ADF989" s="16" t="s">
        <v>1487</v>
      </c>
      <c r="ADG989" s="16" t="s">
        <v>1487</v>
      </c>
      <c r="ADH989" s="16" t="s">
        <v>1487</v>
      </c>
      <c r="ADI989" s="16" t="s">
        <v>1487</v>
      </c>
      <c r="ADJ989" s="16" t="s">
        <v>1487</v>
      </c>
      <c r="ADK989" s="16" t="s">
        <v>1487</v>
      </c>
      <c r="ADL989" s="16" t="s">
        <v>1487</v>
      </c>
      <c r="ADM989" s="16" t="s">
        <v>1487</v>
      </c>
      <c r="ADN989" s="16" t="s">
        <v>1487</v>
      </c>
      <c r="ADO989" s="16" t="s">
        <v>1487</v>
      </c>
      <c r="ADP989" s="16" t="s">
        <v>1487</v>
      </c>
      <c r="ADQ989" s="16" t="s">
        <v>1487</v>
      </c>
      <c r="ADR989" s="16" t="s">
        <v>1487</v>
      </c>
      <c r="ADS989" s="16" t="s">
        <v>1487</v>
      </c>
      <c r="ADT989" s="16" t="s">
        <v>1487</v>
      </c>
      <c r="ADU989" s="16" t="s">
        <v>1487</v>
      </c>
      <c r="ADV989" s="16" t="s">
        <v>1487</v>
      </c>
      <c r="ADW989" s="16" t="s">
        <v>1487</v>
      </c>
      <c r="ADX989" s="16" t="s">
        <v>1487</v>
      </c>
      <c r="ADY989" s="16" t="s">
        <v>1487</v>
      </c>
      <c r="ADZ989" s="16" t="s">
        <v>1487</v>
      </c>
      <c r="AEA989" s="16" t="s">
        <v>1487</v>
      </c>
      <c r="AEB989" s="16" t="s">
        <v>1487</v>
      </c>
      <c r="AEC989" s="16" t="s">
        <v>1487</v>
      </c>
      <c r="AED989" s="16" t="s">
        <v>1487</v>
      </c>
      <c r="AEE989" s="16" t="s">
        <v>1487</v>
      </c>
      <c r="AEF989" s="16" t="s">
        <v>1487</v>
      </c>
      <c r="AEG989" s="16" t="s">
        <v>1487</v>
      </c>
      <c r="AEH989" s="16" t="s">
        <v>1487</v>
      </c>
      <c r="AEI989" s="16" t="s">
        <v>1487</v>
      </c>
      <c r="AEJ989" s="16" t="s">
        <v>1487</v>
      </c>
      <c r="AEK989" s="16" t="s">
        <v>1487</v>
      </c>
      <c r="AEL989" s="16" t="s">
        <v>1487</v>
      </c>
      <c r="AEM989" s="16" t="s">
        <v>1487</v>
      </c>
      <c r="AEN989" s="16" t="s">
        <v>1487</v>
      </c>
      <c r="AEO989" s="16" t="s">
        <v>1487</v>
      </c>
      <c r="AEP989" s="16" t="s">
        <v>1487</v>
      </c>
      <c r="AEQ989" s="16" t="s">
        <v>1487</v>
      </c>
      <c r="AER989" s="16" t="s">
        <v>1487</v>
      </c>
      <c r="AES989" s="16" t="s">
        <v>1487</v>
      </c>
      <c r="AET989" s="16" t="s">
        <v>1487</v>
      </c>
      <c r="AEU989" s="16" t="s">
        <v>1487</v>
      </c>
      <c r="AEV989" s="16" t="s">
        <v>1487</v>
      </c>
      <c r="AEW989" s="16" t="s">
        <v>1487</v>
      </c>
      <c r="AEX989" s="16" t="s">
        <v>1487</v>
      </c>
      <c r="AEY989" s="16" t="s">
        <v>1487</v>
      </c>
      <c r="AEZ989" s="16" t="s">
        <v>1487</v>
      </c>
      <c r="AFA989" s="16" t="s">
        <v>1487</v>
      </c>
      <c r="AFB989" s="16" t="s">
        <v>1487</v>
      </c>
      <c r="AFC989" s="16" t="s">
        <v>1487</v>
      </c>
      <c r="AFD989" s="16" t="s">
        <v>1487</v>
      </c>
      <c r="AFE989" s="16" t="s">
        <v>1487</v>
      </c>
      <c r="AFF989" s="16" t="s">
        <v>1487</v>
      </c>
      <c r="AFG989" s="16" t="s">
        <v>1487</v>
      </c>
      <c r="AFH989" s="16" t="s">
        <v>1487</v>
      </c>
      <c r="AFI989" s="16" t="s">
        <v>1487</v>
      </c>
      <c r="AFJ989" s="16" t="s">
        <v>1487</v>
      </c>
      <c r="AFK989" s="16" t="s">
        <v>1487</v>
      </c>
      <c r="AFL989" s="16" t="s">
        <v>1487</v>
      </c>
      <c r="AFM989" s="16" t="s">
        <v>1487</v>
      </c>
      <c r="AFN989" s="16" t="s">
        <v>1487</v>
      </c>
      <c r="AFO989" s="16" t="s">
        <v>1487</v>
      </c>
      <c r="AFP989" s="16" t="s">
        <v>1487</v>
      </c>
      <c r="AFQ989" s="16" t="s">
        <v>1487</v>
      </c>
      <c r="AFR989" s="16" t="s">
        <v>1487</v>
      </c>
      <c r="AFS989" s="16" t="s">
        <v>1487</v>
      </c>
      <c r="AFT989" s="16" t="s">
        <v>1487</v>
      </c>
      <c r="AFU989" s="16" t="s">
        <v>1487</v>
      </c>
      <c r="AFV989" s="16" t="s">
        <v>1487</v>
      </c>
      <c r="AFW989" s="16" t="s">
        <v>1487</v>
      </c>
      <c r="AFX989" s="16" t="s">
        <v>1487</v>
      </c>
      <c r="AFY989" s="16" t="s">
        <v>1487</v>
      </c>
      <c r="AFZ989" s="16" t="s">
        <v>1487</v>
      </c>
      <c r="AGA989" s="16" t="s">
        <v>1487</v>
      </c>
      <c r="AGB989" s="16" t="s">
        <v>1487</v>
      </c>
      <c r="AGC989" s="16" t="s">
        <v>1487</v>
      </c>
      <c r="AGD989" s="16" t="s">
        <v>1487</v>
      </c>
      <c r="AGE989" s="16" t="s">
        <v>1487</v>
      </c>
      <c r="AGF989" s="16" t="s">
        <v>1487</v>
      </c>
      <c r="AGG989" s="16" t="s">
        <v>1487</v>
      </c>
      <c r="AGH989" s="16" t="s">
        <v>1487</v>
      </c>
      <c r="AGI989" s="16" t="s">
        <v>1487</v>
      </c>
      <c r="AGJ989" s="16" t="s">
        <v>1487</v>
      </c>
      <c r="AGK989" s="16" t="s">
        <v>1487</v>
      </c>
      <c r="AGL989" s="16" t="s">
        <v>1487</v>
      </c>
      <c r="AGM989" s="16" t="s">
        <v>1487</v>
      </c>
      <c r="AGN989" s="16" t="s">
        <v>1487</v>
      </c>
      <c r="AGO989" s="16" t="s">
        <v>1487</v>
      </c>
      <c r="AGP989" s="16" t="s">
        <v>1487</v>
      </c>
      <c r="AGQ989" s="16" t="s">
        <v>1487</v>
      </c>
      <c r="AGR989" s="16" t="s">
        <v>1487</v>
      </c>
      <c r="AGS989" s="16" t="s">
        <v>1487</v>
      </c>
      <c r="AGT989" s="16" t="s">
        <v>1487</v>
      </c>
      <c r="AGU989" s="16" t="s">
        <v>1487</v>
      </c>
      <c r="AGV989" s="16" t="s">
        <v>1487</v>
      </c>
      <c r="AGW989" s="16" t="s">
        <v>1487</v>
      </c>
      <c r="AGX989" s="16" t="s">
        <v>1487</v>
      </c>
      <c r="AGY989" s="16" t="s">
        <v>1487</v>
      </c>
      <c r="AGZ989" s="16" t="s">
        <v>1487</v>
      </c>
      <c r="AHA989" s="16" t="s">
        <v>1487</v>
      </c>
      <c r="AHB989" s="16" t="s">
        <v>1487</v>
      </c>
      <c r="AHC989" s="16" t="s">
        <v>1487</v>
      </c>
      <c r="AHD989" s="16" t="s">
        <v>1487</v>
      </c>
      <c r="AHE989" s="16" t="s">
        <v>1487</v>
      </c>
      <c r="AHF989" s="16" t="s">
        <v>1487</v>
      </c>
      <c r="AHG989" s="16" t="s">
        <v>1487</v>
      </c>
      <c r="AHH989" s="16" t="s">
        <v>1487</v>
      </c>
      <c r="AHI989" s="16" t="s">
        <v>1487</v>
      </c>
      <c r="AHJ989" s="16" t="s">
        <v>1487</v>
      </c>
      <c r="AHK989" s="16" t="s">
        <v>1487</v>
      </c>
      <c r="AHL989" s="16" t="s">
        <v>1487</v>
      </c>
      <c r="AHM989" s="16" t="s">
        <v>1487</v>
      </c>
      <c r="AHN989" s="16" t="s">
        <v>1487</v>
      </c>
      <c r="AHO989" s="16" t="s">
        <v>1487</v>
      </c>
      <c r="AHP989" s="16" t="s">
        <v>1487</v>
      </c>
      <c r="AHQ989" s="16" t="s">
        <v>1487</v>
      </c>
      <c r="AHR989" s="16" t="s">
        <v>1487</v>
      </c>
      <c r="AHS989" s="16" t="s">
        <v>1487</v>
      </c>
      <c r="AHT989" s="16" t="s">
        <v>1487</v>
      </c>
      <c r="AHU989" s="16" t="s">
        <v>1487</v>
      </c>
      <c r="AHV989" s="16" t="s">
        <v>1487</v>
      </c>
      <c r="AHW989" s="16" t="s">
        <v>1487</v>
      </c>
      <c r="AHX989" s="16" t="s">
        <v>1487</v>
      </c>
      <c r="AHY989" s="16" t="s">
        <v>1487</v>
      </c>
      <c r="AHZ989" s="16" t="s">
        <v>1487</v>
      </c>
      <c r="AIA989" s="16" t="s">
        <v>1487</v>
      </c>
      <c r="AIB989" s="16" t="s">
        <v>1487</v>
      </c>
      <c r="AIC989" s="16" t="s">
        <v>1487</v>
      </c>
      <c r="AID989" s="16" t="s">
        <v>1487</v>
      </c>
      <c r="AIE989" s="16" t="s">
        <v>1487</v>
      </c>
      <c r="AIF989" s="16" t="s">
        <v>1487</v>
      </c>
      <c r="AIG989" s="16" t="s">
        <v>1487</v>
      </c>
      <c r="AIH989" s="16" t="s">
        <v>1487</v>
      </c>
      <c r="AII989" s="16" t="s">
        <v>1487</v>
      </c>
      <c r="AIJ989" s="16" t="s">
        <v>1487</v>
      </c>
      <c r="AIK989" s="16" t="s">
        <v>1487</v>
      </c>
      <c r="AIL989" s="16" t="s">
        <v>1487</v>
      </c>
      <c r="AIM989" s="16" t="s">
        <v>1487</v>
      </c>
      <c r="AIN989" s="16" t="s">
        <v>1487</v>
      </c>
      <c r="AIO989" s="16" t="s">
        <v>1487</v>
      </c>
      <c r="AIP989" s="16" t="s">
        <v>1487</v>
      </c>
      <c r="AIQ989" s="16" t="s">
        <v>1487</v>
      </c>
      <c r="AIR989" s="16" t="s">
        <v>1487</v>
      </c>
      <c r="AIS989" s="16" t="s">
        <v>1487</v>
      </c>
      <c r="AIT989" s="16" t="s">
        <v>1487</v>
      </c>
      <c r="AIU989" s="16" t="s">
        <v>1487</v>
      </c>
      <c r="AIV989" s="16" t="s">
        <v>1487</v>
      </c>
      <c r="AIW989" s="16" t="s">
        <v>1487</v>
      </c>
      <c r="AIX989" s="16" t="s">
        <v>1487</v>
      </c>
      <c r="AIY989" s="16" t="s">
        <v>1487</v>
      </c>
      <c r="AIZ989" s="16" t="s">
        <v>1487</v>
      </c>
      <c r="AJA989" s="16" t="s">
        <v>1487</v>
      </c>
      <c r="AJB989" s="16" t="s">
        <v>1487</v>
      </c>
      <c r="AJC989" s="16" t="s">
        <v>1487</v>
      </c>
      <c r="AJD989" s="16" t="s">
        <v>1487</v>
      </c>
      <c r="AJE989" s="16" t="s">
        <v>1487</v>
      </c>
      <c r="AJF989" s="16" t="s">
        <v>1487</v>
      </c>
      <c r="AJG989" s="16" t="s">
        <v>1487</v>
      </c>
      <c r="AJH989" s="16" t="s">
        <v>1487</v>
      </c>
      <c r="AJI989" s="16" t="s">
        <v>1487</v>
      </c>
      <c r="AJJ989" s="16" t="s">
        <v>1487</v>
      </c>
      <c r="AJK989" s="16" t="s">
        <v>1487</v>
      </c>
      <c r="AJL989" s="16" t="s">
        <v>1487</v>
      </c>
      <c r="AJM989" s="16" t="s">
        <v>1487</v>
      </c>
      <c r="AJN989" s="16" t="s">
        <v>1487</v>
      </c>
      <c r="AJO989" s="16" t="s">
        <v>1487</v>
      </c>
      <c r="AJP989" s="16" t="s">
        <v>1487</v>
      </c>
      <c r="AJQ989" s="16" t="s">
        <v>1487</v>
      </c>
      <c r="AJR989" s="16" t="s">
        <v>1487</v>
      </c>
      <c r="AJS989" s="16" t="s">
        <v>1487</v>
      </c>
      <c r="AJT989" s="16" t="s">
        <v>1487</v>
      </c>
      <c r="AJU989" s="16" t="s">
        <v>1487</v>
      </c>
      <c r="AJV989" s="16" t="s">
        <v>1487</v>
      </c>
      <c r="AJW989" s="16" t="s">
        <v>1487</v>
      </c>
      <c r="AJX989" s="16" t="s">
        <v>1487</v>
      </c>
      <c r="AJY989" s="16" t="s">
        <v>1487</v>
      </c>
      <c r="AJZ989" s="16" t="s">
        <v>1487</v>
      </c>
      <c r="AKA989" s="16" t="s">
        <v>1487</v>
      </c>
      <c r="AKB989" s="16" t="s">
        <v>1487</v>
      </c>
      <c r="AKC989" s="16" t="s">
        <v>1487</v>
      </c>
      <c r="AKD989" s="16" t="s">
        <v>1487</v>
      </c>
      <c r="AKE989" s="16" t="s">
        <v>1487</v>
      </c>
      <c r="AKF989" s="16" t="s">
        <v>1487</v>
      </c>
      <c r="AKG989" s="16" t="s">
        <v>1487</v>
      </c>
      <c r="AKH989" s="16" t="s">
        <v>1487</v>
      </c>
      <c r="AKI989" s="16" t="s">
        <v>1487</v>
      </c>
      <c r="AKJ989" s="16" t="s">
        <v>1487</v>
      </c>
      <c r="AKK989" s="16" t="s">
        <v>1487</v>
      </c>
      <c r="AKL989" s="16" t="s">
        <v>1487</v>
      </c>
      <c r="AKM989" s="16" t="s">
        <v>1487</v>
      </c>
      <c r="AKN989" s="16" t="s">
        <v>1487</v>
      </c>
      <c r="AKO989" s="16" t="s">
        <v>1487</v>
      </c>
      <c r="AKP989" s="16" t="s">
        <v>1487</v>
      </c>
      <c r="AKQ989" s="16" t="s">
        <v>1487</v>
      </c>
      <c r="AKR989" s="16" t="s">
        <v>1487</v>
      </c>
      <c r="AKS989" s="16" t="s">
        <v>1487</v>
      </c>
      <c r="AKT989" s="16" t="s">
        <v>1487</v>
      </c>
      <c r="AKU989" s="16" t="s">
        <v>1487</v>
      </c>
      <c r="AKV989" s="16" t="s">
        <v>1487</v>
      </c>
      <c r="AKW989" s="16" t="s">
        <v>1487</v>
      </c>
      <c r="AKX989" s="16" t="s">
        <v>1487</v>
      </c>
      <c r="AKY989" s="16" t="s">
        <v>1487</v>
      </c>
      <c r="AKZ989" s="16" t="s">
        <v>1487</v>
      </c>
      <c r="ALA989" s="16" t="s">
        <v>1487</v>
      </c>
      <c r="ALB989" s="16" t="s">
        <v>1487</v>
      </c>
      <c r="ALC989" s="16" t="s">
        <v>1487</v>
      </c>
      <c r="ALD989" s="16" t="s">
        <v>1487</v>
      </c>
      <c r="ALE989" s="16" t="s">
        <v>1487</v>
      </c>
      <c r="ALF989" s="16" t="s">
        <v>1487</v>
      </c>
      <c r="ALG989" s="16" t="s">
        <v>1487</v>
      </c>
      <c r="ALH989" s="16" t="s">
        <v>1487</v>
      </c>
      <c r="ALI989" s="16" t="s">
        <v>1487</v>
      </c>
      <c r="ALJ989" s="16" t="s">
        <v>1487</v>
      </c>
      <c r="ALK989" s="16" t="s">
        <v>1487</v>
      </c>
      <c r="ALL989" s="16" t="s">
        <v>1487</v>
      </c>
      <c r="ALM989" s="16" t="s">
        <v>1487</v>
      </c>
      <c r="ALN989" s="16" t="s">
        <v>1487</v>
      </c>
      <c r="ALO989" s="16" t="s">
        <v>1487</v>
      </c>
      <c r="ALP989" s="16" t="s">
        <v>1487</v>
      </c>
      <c r="ALQ989" s="16" t="s">
        <v>1487</v>
      </c>
      <c r="ALR989" s="16" t="s">
        <v>1487</v>
      </c>
      <c r="ALS989" s="16" t="s">
        <v>1487</v>
      </c>
      <c r="ALT989" s="16" t="s">
        <v>1487</v>
      </c>
      <c r="ALU989" s="16" t="s">
        <v>1487</v>
      </c>
      <c r="ALV989" s="16" t="s">
        <v>1487</v>
      </c>
      <c r="ALW989" s="16" t="s">
        <v>1487</v>
      </c>
      <c r="ALX989" s="16" t="s">
        <v>1487</v>
      </c>
      <c r="ALY989" s="16" t="s">
        <v>1487</v>
      </c>
      <c r="ALZ989" s="16" t="s">
        <v>1487</v>
      </c>
      <c r="AMA989" s="16" t="s">
        <v>1487</v>
      </c>
      <c r="AMB989" s="16" t="s">
        <v>1487</v>
      </c>
      <c r="AMC989" s="16" t="s">
        <v>1487</v>
      </c>
      <c r="AMD989" s="16" t="s">
        <v>1487</v>
      </c>
      <c r="AME989" s="16" t="s">
        <v>1487</v>
      </c>
      <c r="AMF989" s="16" t="s">
        <v>1487</v>
      </c>
      <c r="AMG989" s="16" t="s">
        <v>1487</v>
      </c>
      <c r="AMH989" s="16" t="s">
        <v>1487</v>
      </c>
      <c r="AMI989" s="16" t="s">
        <v>1487</v>
      </c>
      <c r="AMJ989" s="16" t="s">
        <v>1487</v>
      </c>
      <c r="AMK989" s="16" t="s">
        <v>1487</v>
      </c>
      <c r="AML989" s="16" t="s">
        <v>1487</v>
      </c>
      <c r="AMM989" s="16" t="s">
        <v>1487</v>
      </c>
      <c r="AMN989" s="16" t="s">
        <v>1487</v>
      </c>
      <c r="AMO989" s="16" t="s">
        <v>1487</v>
      </c>
      <c r="AMP989" s="16" t="s">
        <v>1487</v>
      </c>
      <c r="AMQ989" s="16" t="s">
        <v>1487</v>
      </c>
      <c r="AMR989" s="16" t="s">
        <v>1487</v>
      </c>
      <c r="AMS989" s="16" t="s">
        <v>1487</v>
      </c>
      <c r="AMT989" s="16" t="s">
        <v>1487</v>
      </c>
      <c r="AMU989" s="16" t="s">
        <v>1487</v>
      </c>
      <c r="AMV989" s="16" t="s">
        <v>1487</v>
      </c>
      <c r="AMW989" s="16" t="s">
        <v>1487</v>
      </c>
      <c r="AMX989" s="16" t="s">
        <v>1487</v>
      </c>
      <c r="AMY989" s="16" t="s">
        <v>1487</v>
      </c>
      <c r="AMZ989" s="16" t="s">
        <v>1487</v>
      </c>
      <c r="ANA989" s="16" t="s">
        <v>1487</v>
      </c>
      <c r="ANB989" s="16" t="s">
        <v>1487</v>
      </c>
      <c r="ANC989" s="16" t="s">
        <v>1487</v>
      </c>
      <c r="AND989" s="16" t="s">
        <v>1487</v>
      </c>
      <c r="ANE989" s="16" t="s">
        <v>1487</v>
      </c>
      <c r="ANF989" s="16" t="s">
        <v>1487</v>
      </c>
      <c r="ANG989" s="16" t="s">
        <v>1487</v>
      </c>
      <c r="ANH989" s="16" t="s">
        <v>1487</v>
      </c>
      <c r="ANI989" s="16" t="s">
        <v>1487</v>
      </c>
      <c r="ANJ989" s="16" t="s">
        <v>1487</v>
      </c>
      <c r="ANK989" s="16" t="s">
        <v>1487</v>
      </c>
      <c r="ANL989" s="16" t="s">
        <v>1487</v>
      </c>
      <c r="ANM989" s="16" t="s">
        <v>1487</v>
      </c>
      <c r="ANN989" s="16" t="s">
        <v>1487</v>
      </c>
      <c r="ANO989" s="16" t="s">
        <v>1487</v>
      </c>
      <c r="ANP989" s="16" t="s">
        <v>1487</v>
      </c>
      <c r="ANQ989" s="16" t="s">
        <v>1487</v>
      </c>
      <c r="ANR989" s="16" t="s">
        <v>1487</v>
      </c>
      <c r="ANS989" s="16" t="s">
        <v>1487</v>
      </c>
      <c r="ANT989" s="16" t="s">
        <v>1487</v>
      </c>
      <c r="ANU989" s="16" t="s">
        <v>1487</v>
      </c>
      <c r="ANV989" s="16" t="s">
        <v>1487</v>
      </c>
      <c r="ANW989" s="16" t="s">
        <v>1487</v>
      </c>
      <c r="ANX989" s="16" t="s">
        <v>1487</v>
      </c>
      <c r="ANY989" s="16" t="s">
        <v>1487</v>
      </c>
      <c r="ANZ989" s="16" t="s">
        <v>1487</v>
      </c>
      <c r="AOA989" s="16" t="s">
        <v>1487</v>
      </c>
      <c r="AOB989" s="16" t="s">
        <v>1487</v>
      </c>
      <c r="AOC989" s="16" t="s">
        <v>1487</v>
      </c>
      <c r="AOD989" s="16" t="s">
        <v>1487</v>
      </c>
      <c r="AOE989" s="16" t="s">
        <v>1487</v>
      </c>
      <c r="AOF989" s="16" t="s">
        <v>1487</v>
      </c>
      <c r="AOG989" s="16" t="s">
        <v>1487</v>
      </c>
      <c r="AOH989" s="16" t="s">
        <v>1487</v>
      </c>
      <c r="AOI989" s="16" t="s">
        <v>1487</v>
      </c>
      <c r="AOJ989" s="16" t="s">
        <v>1487</v>
      </c>
      <c r="AOK989" s="16" t="s">
        <v>1487</v>
      </c>
      <c r="AOL989" s="16" t="s">
        <v>1487</v>
      </c>
      <c r="AOM989" s="16" t="s">
        <v>1487</v>
      </c>
      <c r="AON989" s="16" t="s">
        <v>1487</v>
      </c>
      <c r="AOO989" s="16" t="s">
        <v>1487</v>
      </c>
      <c r="AOP989" s="16" t="s">
        <v>1487</v>
      </c>
      <c r="AOQ989" s="16" t="s">
        <v>1487</v>
      </c>
      <c r="AOR989" s="16" t="s">
        <v>1487</v>
      </c>
      <c r="AOS989" s="16" t="s">
        <v>1487</v>
      </c>
      <c r="AOT989" s="16" t="s">
        <v>1487</v>
      </c>
      <c r="AOU989" s="16" t="s">
        <v>1487</v>
      </c>
      <c r="AOV989" s="16" t="s">
        <v>1487</v>
      </c>
      <c r="AOW989" s="16" t="s">
        <v>1487</v>
      </c>
      <c r="AOX989" s="16" t="s">
        <v>1487</v>
      </c>
      <c r="AOY989" s="16" t="s">
        <v>1487</v>
      </c>
      <c r="AOZ989" s="16" t="s">
        <v>1487</v>
      </c>
      <c r="APA989" s="16" t="s">
        <v>1487</v>
      </c>
      <c r="APB989" s="16" t="s">
        <v>1487</v>
      </c>
      <c r="APC989" s="16" t="s">
        <v>1487</v>
      </c>
      <c r="APD989" s="16" t="s">
        <v>1487</v>
      </c>
      <c r="APE989" s="16" t="s">
        <v>1487</v>
      </c>
      <c r="APF989" s="16" t="s">
        <v>1487</v>
      </c>
      <c r="APG989" s="16" t="s">
        <v>1487</v>
      </c>
      <c r="APH989" s="16" t="s">
        <v>1487</v>
      </c>
      <c r="API989" s="16" t="s">
        <v>1487</v>
      </c>
      <c r="APJ989" s="16" t="s">
        <v>1487</v>
      </c>
      <c r="APK989" s="16" t="s">
        <v>1487</v>
      </c>
      <c r="APL989" s="16" t="s">
        <v>1487</v>
      </c>
      <c r="APM989" s="16" t="s">
        <v>1487</v>
      </c>
      <c r="APN989" s="16" t="s">
        <v>1487</v>
      </c>
      <c r="APO989" s="16" t="s">
        <v>1487</v>
      </c>
      <c r="APP989" s="16" t="s">
        <v>1487</v>
      </c>
      <c r="APQ989" s="16" t="s">
        <v>1487</v>
      </c>
      <c r="APR989" s="16" t="s">
        <v>1487</v>
      </c>
      <c r="APS989" s="16" t="s">
        <v>1487</v>
      </c>
      <c r="APT989" s="16" t="s">
        <v>1487</v>
      </c>
      <c r="APU989" s="16" t="s">
        <v>1487</v>
      </c>
      <c r="APV989" s="16" t="s">
        <v>1487</v>
      </c>
      <c r="APW989" s="16" t="s">
        <v>1487</v>
      </c>
      <c r="APX989" s="16" t="s">
        <v>1487</v>
      </c>
      <c r="APY989" s="16" t="s">
        <v>1487</v>
      </c>
      <c r="APZ989" s="16" t="s">
        <v>1487</v>
      </c>
      <c r="AQA989" s="16" t="s">
        <v>1487</v>
      </c>
      <c r="AQB989" s="16" t="s">
        <v>1487</v>
      </c>
      <c r="AQC989" s="16" t="s">
        <v>1487</v>
      </c>
      <c r="AQD989" s="16" t="s">
        <v>1487</v>
      </c>
      <c r="AQE989" s="16" t="s">
        <v>1487</v>
      </c>
      <c r="AQF989" s="16" t="s">
        <v>1487</v>
      </c>
      <c r="AQG989" s="16" t="s">
        <v>1487</v>
      </c>
      <c r="AQH989" s="16" t="s">
        <v>1487</v>
      </c>
      <c r="AQI989" s="16" t="s">
        <v>1487</v>
      </c>
      <c r="AQJ989" s="16" t="s">
        <v>1487</v>
      </c>
      <c r="AQK989" s="16" t="s">
        <v>1487</v>
      </c>
      <c r="AQL989" s="16" t="s">
        <v>1487</v>
      </c>
      <c r="AQM989" s="16" t="s">
        <v>1487</v>
      </c>
      <c r="AQN989" s="16" t="s">
        <v>1487</v>
      </c>
      <c r="AQO989" s="16" t="s">
        <v>1487</v>
      </c>
      <c r="AQP989" s="16" t="s">
        <v>1487</v>
      </c>
      <c r="AQQ989" s="16" t="s">
        <v>1487</v>
      </c>
      <c r="AQR989" s="16" t="s">
        <v>1487</v>
      </c>
      <c r="AQS989" s="16" t="s">
        <v>1487</v>
      </c>
      <c r="AQT989" s="16" t="s">
        <v>1487</v>
      </c>
      <c r="AQU989" s="16" t="s">
        <v>1487</v>
      </c>
      <c r="AQV989" s="16" t="s">
        <v>1487</v>
      </c>
      <c r="AQW989" s="16" t="s">
        <v>1487</v>
      </c>
      <c r="AQX989" s="16" t="s">
        <v>1487</v>
      </c>
      <c r="AQY989" s="16" t="s">
        <v>1487</v>
      </c>
      <c r="AQZ989" s="16" t="s">
        <v>1487</v>
      </c>
      <c r="ARA989" s="16" t="s">
        <v>1487</v>
      </c>
      <c r="ARB989" s="16" t="s">
        <v>1487</v>
      </c>
      <c r="ARC989" s="16" t="s">
        <v>1487</v>
      </c>
      <c r="ARD989" s="16" t="s">
        <v>1487</v>
      </c>
      <c r="ARE989" s="16" t="s">
        <v>1487</v>
      </c>
      <c r="ARF989" s="16" t="s">
        <v>1487</v>
      </c>
      <c r="ARG989" s="16" t="s">
        <v>1487</v>
      </c>
      <c r="ARH989" s="16" t="s">
        <v>1487</v>
      </c>
      <c r="ARI989" s="16" t="s">
        <v>1487</v>
      </c>
      <c r="ARJ989" s="16" t="s">
        <v>1487</v>
      </c>
      <c r="ARK989" s="16" t="s">
        <v>1487</v>
      </c>
      <c r="ARL989" s="16" t="s">
        <v>1487</v>
      </c>
      <c r="ARM989" s="16" t="s">
        <v>1487</v>
      </c>
      <c r="ARN989" s="16" t="s">
        <v>1487</v>
      </c>
      <c r="ARO989" s="16" t="s">
        <v>1487</v>
      </c>
      <c r="ARP989" s="16" t="s">
        <v>1487</v>
      </c>
      <c r="ARQ989" s="16" t="s">
        <v>1487</v>
      </c>
      <c r="ARR989" s="16" t="s">
        <v>1487</v>
      </c>
      <c r="ARS989" s="16" t="s">
        <v>1487</v>
      </c>
      <c r="ART989" s="16" t="s">
        <v>1487</v>
      </c>
      <c r="ARU989" s="16" t="s">
        <v>1487</v>
      </c>
      <c r="ARV989" s="16" t="s">
        <v>1487</v>
      </c>
      <c r="ARW989" s="16" t="s">
        <v>1487</v>
      </c>
      <c r="ARX989" s="16" t="s">
        <v>1487</v>
      </c>
      <c r="ARY989" s="16" t="s">
        <v>1487</v>
      </c>
      <c r="ARZ989" s="16" t="s">
        <v>1487</v>
      </c>
      <c r="ASA989" s="16" t="s">
        <v>1487</v>
      </c>
      <c r="ASB989" s="16" t="s">
        <v>1487</v>
      </c>
      <c r="ASC989" s="16" t="s">
        <v>1487</v>
      </c>
      <c r="ASD989" s="16" t="s">
        <v>1487</v>
      </c>
      <c r="ASE989" s="16" t="s">
        <v>1487</v>
      </c>
      <c r="ASF989" s="16" t="s">
        <v>1487</v>
      </c>
      <c r="ASG989" s="16" t="s">
        <v>1487</v>
      </c>
      <c r="ASH989" s="16" t="s">
        <v>1487</v>
      </c>
      <c r="ASI989" s="16" t="s">
        <v>1487</v>
      </c>
      <c r="ASJ989" s="16" t="s">
        <v>1487</v>
      </c>
      <c r="ASK989" s="16" t="s">
        <v>1487</v>
      </c>
      <c r="ASL989" s="16" t="s">
        <v>1487</v>
      </c>
      <c r="ASM989" s="16" t="s">
        <v>1487</v>
      </c>
      <c r="ASN989" s="16" t="s">
        <v>1487</v>
      </c>
      <c r="ASO989" s="16" t="s">
        <v>1487</v>
      </c>
      <c r="ASP989" s="16" t="s">
        <v>1487</v>
      </c>
      <c r="ASQ989" s="16" t="s">
        <v>1487</v>
      </c>
      <c r="ASR989" s="16" t="s">
        <v>1487</v>
      </c>
      <c r="ASS989" s="16" t="s">
        <v>1487</v>
      </c>
      <c r="AST989" s="16" t="s">
        <v>1487</v>
      </c>
      <c r="ASU989" s="16" t="s">
        <v>1487</v>
      </c>
      <c r="ASV989" s="16" t="s">
        <v>1487</v>
      </c>
      <c r="ASW989" s="16" t="s">
        <v>1487</v>
      </c>
      <c r="ASX989" s="16" t="s">
        <v>1487</v>
      </c>
      <c r="ASY989" s="16" t="s">
        <v>1487</v>
      </c>
      <c r="ASZ989" s="16" t="s">
        <v>1487</v>
      </c>
      <c r="ATA989" s="16" t="s">
        <v>1487</v>
      </c>
      <c r="ATB989" s="16" t="s">
        <v>1487</v>
      </c>
      <c r="ATC989" s="16" t="s">
        <v>1487</v>
      </c>
      <c r="ATD989" s="16" t="s">
        <v>1487</v>
      </c>
      <c r="ATE989" s="16" t="s">
        <v>1487</v>
      </c>
      <c r="ATF989" s="16" t="s">
        <v>1487</v>
      </c>
      <c r="ATG989" s="16" t="s">
        <v>1487</v>
      </c>
      <c r="ATH989" s="16" t="s">
        <v>1487</v>
      </c>
      <c r="ATI989" s="16" t="s">
        <v>1487</v>
      </c>
      <c r="ATJ989" s="16" t="s">
        <v>1487</v>
      </c>
      <c r="ATK989" s="16" t="s">
        <v>1487</v>
      </c>
      <c r="ATL989" s="16" t="s">
        <v>1487</v>
      </c>
      <c r="ATM989" s="16" t="s">
        <v>1487</v>
      </c>
      <c r="ATN989" s="16" t="s">
        <v>1487</v>
      </c>
      <c r="ATO989" s="16" t="s">
        <v>1487</v>
      </c>
      <c r="ATP989" s="16" t="s">
        <v>1487</v>
      </c>
      <c r="ATQ989" s="16" t="s">
        <v>1487</v>
      </c>
      <c r="ATR989" s="16" t="s">
        <v>1487</v>
      </c>
      <c r="ATS989" s="16" t="s">
        <v>1487</v>
      </c>
      <c r="ATT989" s="16" t="s">
        <v>1487</v>
      </c>
      <c r="ATU989" s="16" t="s">
        <v>1487</v>
      </c>
      <c r="ATV989" s="16" t="s">
        <v>1487</v>
      </c>
      <c r="ATW989" s="16" t="s">
        <v>1487</v>
      </c>
      <c r="ATX989" s="16" t="s">
        <v>1487</v>
      </c>
      <c r="ATY989" s="16" t="s">
        <v>1487</v>
      </c>
      <c r="ATZ989" s="16" t="s">
        <v>1487</v>
      </c>
      <c r="AUA989" s="16" t="s">
        <v>1487</v>
      </c>
      <c r="AUB989" s="16" t="s">
        <v>1487</v>
      </c>
      <c r="AUC989" s="16" t="s">
        <v>1487</v>
      </c>
      <c r="AUD989" s="16" t="s">
        <v>1487</v>
      </c>
      <c r="AUE989" s="16" t="s">
        <v>1487</v>
      </c>
      <c r="AUF989" s="16" t="s">
        <v>1487</v>
      </c>
      <c r="AUG989" s="16" t="s">
        <v>1487</v>
      </c>
      <c r="AUH989" s="16" t="s">
        <v>1487</v>
      </c>
      <c r="AUI989" s="16" t="s">
        <v>1487</v>
      </c>
      <c r="AUJ989" s="16" t="s">
        <v>1487</v>
      </c>
      <c r="AUK989" s="16" t="s">
        <v>1487</v>
      </c>
      <c r="AUL989" s="16" t="s">
        <v>1487</v>
      </c>
      <c r="AUM989" s="16" t="s">
        <v>1487</v>
      </c>
      <c r="AUN989" s="16" t="s">
        <v>1487</v>
      </c>
      <c r="AUO989" s="16" t="s">
        <v>1487</v>
      </c>
      <c r="AUP989" s="16" t="s">
        <v>1487</v>
      </c>
      <c r="AUQ989" s="16" t="s">
        <v>1487</v>
      </c>
      <c r="AUR989" s="16" t="s">
        <v>1487</v>
      </c>
      <c r="AUS989" s="16" t="s">
        <v>1487</v>
      </c>
      <c r="AUT989" s="16" t="s">
        <v>1487</v>
      </c>
      <c r="AUU989" s="16" t="s">
        <v>1487</v>
      </c>
      <c r="AUV989" s="16" t="s">
        <v>1487</v>
      </c>
      <c r="AUW989" s="16" t="s">
        <v>1487</v>
      </c>
      <c r="AUX989" s="16" t="s">
        <v>1487</v>
      </c>
      <c r="AUY989" s="16" t="s">
        <v>1487</v>
      </c>
      <c r="AUZ989" s="16" t="s">
        <v>1487</v>
      </c>
      <c r="AVA989" s="16" t="s">
        <v>1487</v>
      </c>
      <c r="AVB989" s="16" t="s">
        <v>1487</v>
      </c>
      <c r="AVC989" s="16" t="s">
        <v>1487</v>
      </c>
      <c r="AVD989" s="16" t="s">
        <v>1487</v>
      </c>
      <c r="AVE989" s="16" t="s">
        <v>1487</v>
      </c>
      <c r="AVF989" s="16" t="s">
        <v>1487</v>
      </c>
      <c r="AVG989" s="16" t="s">
        <v>1487</v>
      </c>
      <c r="AVH989" s="16" t="s">
        <v>1487</v>
      </c>
      <c r="AVI989" s="16" t="s">
        <v>1487</v>
      </c>
      <c r="AVJ989" s="16" t="s">
        <v>1487</v>
      </c>
      <c r="AVK989" s="16" t="s">
        <v>1487</v>
      </c>
      <c r="AVL989" s="16" t="s">
        <v>1487</v>
      </c>
      <c r="AVM989" s="16" t="s">
        <v>1487</v>
      </c>
      <c r="AVN989" s="16" t="s">
        <v>1487</v>
      </c>
      <c r="AVO989" s="16" t="s">
        <v>1487</v>
      </c>
      <c r="AVP989" s="16" t="s">
        <v>1487</v>
      </c>
      <c r="AVQ989" s="16" t="s">
        <v>1487</v>
      </c>
      <c r="AVR989" s="16" t="s">
        <v>1487</v>
      </c>
      <c r="AVS989" s="16" t="s">
        <v>1487</v>
      </c>
      <c r="AVT989" s="16" t="s">
        <v>1487</v>
      </c>
      <c r="AVU989" s="16" t="s">
        <v>1487</v>
      </c>
      <c r="AVV989" s="16" t="s">
        <v>1487</v>
      </c>
      <c r="AVW989" s="16" t="s">
        <v>1487</v>
      </c>
      <c r="AVX989" s="16" t="s">
        <v>1487</v>
      </c>
      <c r="AVY989" s="16" t="s">
        <v>1487</v>
      </c>
      <c r="AVZ989" s="16" t="s">
        <v>1487</v>
      </c>
      <c r="AWA989" s="16" t="s">
        <v>1487</v>
      </c>
      <c r="AWB989" s="16" t="s">
        <v>1487</v>
      </c>
      <c r="AWC989" s="16" t="s">
        <v>1487</v>
      </c>
      <c r="AWD989" s="16" t="s">
        <v>1487</v>
      </c>
      <c r="AWE989" s="16" t="s">
        <v>1487</v>
      </c>
      <c r="AWF989" s="16" t="s">
        <v>1487</v>
      </c>
      <c r="AWG989" s="16" t="s">
        <v>1487</v>
      </c>
      <c r="AWH989" s="16" t="s">
        <v>1487</v>
      </c>
      <c r="AWI989" s="16" t="s">
        <v>1487</v>
      </c>
      <c r="AWJ989" s="16" t="s">
        <v>1487</v>
      </c>
      <c r="AWK989" s="16" t="s">
        <v>1487</v>
      </c>
      <c r="AWL989" s="16" t="s">
        <v>1487</v>
      </c>
      <c r="AWM989" s="16" t="s">
        <v>1487</v>
      </c>
      <c r="AWN989" s="16" t="s">
        <v>1487</v>
      </c>
      <c r="AWO989" s="16" t="s">
        <v>1487</v>
      </c>
      <c r="AWP989" s="16" t="s">
        <v>1487</v>
      </c>
      <c r="AWQ989" s="16" t="s">
        <v>1487</v>
      </c>
      <c r="AWR989" s="16" t="s">
        <v>1487</v>
      </c>
      <c r="AWS989" s="16" t="s">
        <v>1487</v>
      </c>
      <c r="AWT989" s="16" t="s">
        <v>1487</v>
      </c>
      <c r="AWU989" s="16" t="s">
        <v>1487</v>
      </c>
      <c r="AWV989" s="16" t="s">
        <v>1487</v>
      </c>
      <c r="AWW989" s="16" t="s">
        <v>1487</v>
      </c>
      <c r="AWX989" s="16" t="s">
        <v>1487</v>
      </c>
      <c r="AWY989" s="16" t="s">
        <v>1487</v>
      </c>
      <c r="AWZ989" s="16" t="s">
        <v>1487</v>
      </c>
      <c r="AXA989" s="16" t="s">
        <v>1487</v>
      </c>
      <c r="AXB989" s="16" t="s">
        <v>1487</v>
      </c>
      <c r="AXC989" s="16" t="s">
        <v>1487</v>
      </c>
      <c r="AXD989" s="16" t="s">
        <v>1487</v>
      </c>
      <c r="AXE989" s="16" t="s">
        <v>1487</v>
      </c>
      <c r="AXF989" s="16" t="s">
        <v>1487</v>
      </c>
      <c r="AXG989" s="16" t="s">
        <v>1487</v>
      </c>
      <c r="AXH989" s="16" t="s">
        <v>1487</v>
      </c>
      <c r="AXI989" s="16" t="s">
        <v>1487</v>
      </c>
      <c r="AXJ989" s="16" t="s">
        <v>1487</v>
      </c>
      <c r="AXK989" s="16" t="s">
        <v>1487</v>
      </c>
      <c r="AXL989" s="16" t="s">
        <v>1487</v>
      </c>
      <c r="AXM989" s="16" t="s">
        <v>1487</v>
      </c>
      <c r="AXN989" s="16" t="s">
        <v>1487</v>
      </c>
      <c r="AXO989" s="16" t="s">
        <v>1487</v>
      </c>
      <c r="AXP989" s="16" t="s">
        <v>1487</v>
      </c>
      <c r="AXQ989" s="16" t="s">
        <v>1487</v>
      </c>
      <c r="AXR989" s="16" t="s">
        <v>1487</v>
      </c>
      <c r="AXS989" s="16" t="s">
        <v>1487</v>
      </c>
      <c r="AXT989" s="16" t="s">
        <v>1487</v>
      </c>
      <c r="AXU989" s="16" t="s">
        <v>1487</v>
      </c>
      <c r="AXV989" s="16" t="s">
        <v>1487</v>
      </c>
      <c r="AXW989" s="16" t="s">
        <v>1487</v>
      </c>
      <c r="AXX989" s="16" t="s">
        <v>1487</v>
      </c>
      <c r="AXY989" s="16" t="s">
        <v>1487</v>
      </c>
      <c r="AXZ989" s="16" t="s">
        <v>1487</v>
      </c>
      <c r="AYA989" s="16" t="s">
        <v>1487</v>
      </c>
      <c r="AYB989" s="16" t="s">
        <v>1487</v>
      </c>
      <c r="AYC989" s="16" t="s">
        <v>1487</v>
      </c>
      <c r="AYD989" s="16" t="s">
        <v>1487</v>
      </c>
      <c r="AYE989" s="16" t="s">
        <v>1487</v>
      </c>
      <c r="AYF989" s="16" t="s">
        <v>1487</v>
      </c>
      <c r="AYG989" s="16" t="s">
        <v>1487</v>
      </c>
      <c r="AYH989" s="16" t="s">
        <v>1487</v>
      </c>
      <c r="AYI989" s="16" t="s">
        <v>1487</v>
      </c>
      <c r="AYJ989" s="16" t="s">
        <v>1487</v>
      </c>
      <c r="AYK989" s="16" t="s">
        <v>1487</v>
      </c>
      <c r="AYL989" s="16" t="s">
        <v>1487</v>
      </c>
      <c r="AYM989" s="16" t="s">
        <v>1487</v>
      </c>
      <c r="AYN989" s="16" t="s">
        <v>1487</v>
      </c>
      <c r="AYO989" s="16" t="s">
        <v>1487</v>
      </c>
      <c r="AYP989" s="16" t="s">
        <v>1487</v>
      </c>
      <c r="AYQ989" s="16" t="s">
        <v>1487</v>
      </c>
      <c r="AYR989" s="16" t="s">
        <v>1487</v>
      </c>
      <c r="AYS989" s="16" t="s">
        <v>1487</v>
      </c>
      <c r="AYT989" s="16" t="s">
        <v>1487</v>
      </c>
      <c r="AYU989" s="16" t="s">
        <v>1487</v>
      </c>
      <c r="AYV989" s="16" t="s">
        <v>1487</v>
      </c>
      <c r="AYW989" s="16" t="s">
        <v>1487</v>
      </c>
      <c r="AYX989" s="16" t="s">
        <v>1487</v>
      </c>
      <c r="AYY989" s="16" t="s">
        <v>1487</v>
      </c>
      <c r="AYZ989" s="16" t="s">
        <v>1487</v>
      </c>
      <c r="AZA989" s="16" t="s">
        <v>1487</v>
      </c>
      <c r="AZB989" s="16" t="s">
        <v>1487</v>
      </c>
      <c r="AZC989" s="16" t="s">
        <v>1487</v>
      </c>
      <c r="AZD989" s="16" t="s">
        <v>1487</v>
      </c>
      <c r="AZE989" s="16" t="s">
        <v>1487</v>
      </c>
      <c r="AZF989" s="16" t="s">
        <v>1487</v>
      </c>
      <c r="AZG989" s="16" t="s">
        <v>1487</v>
      </c>
      <c r="AZH989" s="16" t="s">
        <v>1487</v>
      </c>
      <c r="AZI989" s="16" t="s">
        <v>1487</v>
      </c>
      <c r="AZJ989" s="16" t="s">
        <v>1487</v>
      </c>
      <c r="AZK989" s="16" t="s">
        <v>1487</v>
      </c>
      <c r="AZL989" s="16" t="s">
        <v>1487</v>
      </c>
      <c r="AZM989" s="16" t="s">
        <v>1487</v>
      </c>
      <c r="AZN989" s="16" t="s">
        <v>1487</v>
      </c>
      <c r="AZO989" s="16" t="s">
        <v>1487</v>
      </c>
      <c r="AZP989" s="16" t="s">
        <v>1487</v>
      </c>
      <c r="AZQ989" s="16" t="s">
        <v>1487</v>
      </c>
      <c r="AZR989" s="16" t="s">
        <v>1487</v>
      </c>
      <c r="AZS989" s="16" t="s">
        <v>1487</v>
      </c>
      <c r="AZT989" s="16" t="s">
        <v>1487</v>
      </c>
      <c r="AZU989" s="16" t="s">
        <v>1487</v>
      </c>
      <c r="AZV989" s="16" t="s">
        <v>1487</v>
      </c>
      <c r="AZW989" s="16" t="s">
        <v>1487</v>
      </c>
      <c r="AZX989" s="16" t="s">
        <v>1487</v>
      </c>
      <c r="AZY989" s="16" t="s">
        <v>1487</v>
      </c>
      <c r="AZZ989" s="16" t="s">
        <v>1487</v>
      </c>
      <c r="BAA989" s="16" t="s">
        <v>1487</v>
      </c>
      <c r="BAB989" s="16" t="s">
        <v>1487</v>
      </c>
      <c r="BAC989" s="16" t="s">
        <v>1487</v>
      </c>
      <c r="BAD989" s="16" t="s">
        <v>1487</v>
      </c>
      <c r="BAE989" s="16" t="s">
        <v>1487</v>
      </c>
      <c r="BAF989" s="16" t="s">
        <v>1487</v>
      </c>
      <c r="BAG989" s="16" t="s">
        <v>1487</v>
      </c>
      <c r="BAH989" s="16" t="s">
        <v>1487</v>
      </c>
      <c r="BAI989" s="16" t="s">
        <v>1487</v>
      </c>
      <c r="BAJ989" s="16" t="s">
        <v>1487</v>
      </c>
      <c r="BAK989" s="16" t="s">
        <v>1487</v>
      </c>
      <c r="BAL989" s="16" t="s">
        <v>1487</v>
      </c>
      <c r="BAM989" s="16" t="s">
        <v>1487</v>
      </c>
      <c r="BAN989" s="16" t="s">
        <v>1487</v>
      </c>
      <c r="BAO989" s="16" t="s">
        <v>1487</v>
      </c>
      <c r="BAP989" s="16" t="s">
        <v>1487</v>
      </c>
      <c r="BAQ989" s="16" t="s">
        <v>1487</v>
      </c>
      <c r="BAR989" s="16" t="s">
        <v>1487</v>
      </c>
      <c r="BAS989" s="16" t="s">
        <v>1487</v>
      </c>
      <c r="BAT989" s="16" t="s">
        <v>1487</v>
      </c>
      <c r="BAU989" s="16" t="s">
        <v>1487</v>
      </c>
      <c r="BAV989" s="16" t="s">
        <v>1487</v>
      </c>
      <c r="BAW989" s="16" t="s">
        <v>1487</v>
      </c>
      <c r="BAX989" s="16" t="s">
        <v>1487</v>
      </c>
      <c r="BAY989" s="16" t="s">
        <v>1487</v>
      </c>
      <c r="BAZ989" s="16" t="s">
        <v>1487</v>
      </c>
      <c r="BBA989" s="16" t="s">
        <v>1487</v>
      </c>
      <c r="BBB989" s="16" t="s">
        <v>1487</v>
      </c>
      <c r="BBC989" s="16" t="s">
        <v>1487</v>
      </c>
      <c r="BBD989" s="16" t="s">
        <v>1487</v>
      </c>
      <c r="BBE989" s="16" t="s">
        <v>1487</v>
      </c>
      <c r="BBF989" s="16" t="s">
        <v>1487</v>
      </c>
      <c r="BBG989" s="16" t="s">
        <v>1487</v>
      </c>
      <c r="BBH989" s="16" t="s">
        <v>1487</v>
      </c>
      <c r="BBI989" s="16" t="s">
        <v>1487</v>
      </c>
      <c r="BBJ989" s="16" t="s">
        <v>1487</v>
      </c>
      <c r="BBK989" s="16" t="s">
        <v>1487</v>
      </c>
      <c r="BBL989" s="16" t="s">
        <v>1487</v>
      </c>
      <c r="BBM989" s="16" t="s">
        <v>1487</v>
      </c>
      <c r="BBN989" s="16" t="s">
        <v>1487</v>
      </c>
      <c r="BBO989" s="16" t="s">
        <v>1487</v>
      </c>
      <c r="BBP989" s="16" t="s">
        <v>1487</v>
      </c>
      <c r="BBQ989" s="16" t="s">
        <v>1487</v>
      </c>
      <c r="BBR989" s="16" t="s">
        <v>1487</v>
      </c>
      <c r="BBS989" s="16" t="s">
        <v>1487</v>
      </c>
      <c r="BBT989" s="16" t="s">
        <v>1487</v>
      </c>
      <c r="BBU989" s="16" t="s">
        <v>1487</v>
      </c>
      <c r="BBV989" s="16" t="s">
        <v>1487</v>
      </c>
      <c r="BBW989" s="16" t="s">
        <v>1487</v>
      </c>
      <c r="BBX989" s="16" t="s">
        <v>1487</v>
      </c>
      <c r="BBY989" s="16" t="s">
        <v>1487</v>
      </c>
      <c r="BBZ989" s="16" t="s">
        <v>1487</v>
      </c>
      <c r="BCA989" s="16" t="s">
        <v>1487</v>
      </c>
      <c r="BCB989" s="16" t="s">
        <v>1487</v>
      </c>
      <c r="BCC989" s="16" t="s">
        <v>1487</v>
      </c>
      <c r="BCD989" s="16" t="s">
        <v>1487</v>
      </c>
      <c r="BCE989" s="16" t="s">
        <v>1487</v>
      </c>
      <c r="BCF989" s="16" t="s">
        <v>1487</v>
      </c>
      <c r="BCG989" s="16" t="s">
        <v>1487</v>
      </c>
      <c r="BCH989" s="16" t="s">
        <v>1487</v>
      </c>
      <c r="BCI989" s="16" t="s">
        <v>1487</v>
      </c>
      <c r="BCJ989" s="16" t="s">
        <v>1487</v>
      </c>
      <c r="BCK989" s="16" t="s">
        <v>1487</v>
      </c>
      <c r="BCL989" s="16" t="s">
        <v>1487</v>
      </c>
      <c r="BCM989" s="16" t="s">
        <v>1487</v>
      </c>
      <c r="BCN989" s="16" t="s">
        <v>1487</v>
      </c>
      <c r="BCO989" s="16" t="s">
        <v>1487</v>
      </c>
      <c r="BCP989" s="16" t="s">
        <v>1487</v>
      </c>
      <c r="BCQ989" s="16" t="s">
        <v>1487</v>
      </c>
      <c r="BCR989" s="16" t="s">
        <v>1487</v>
      </c>
      <c r="BCS989" s="16" t="s">
        <v>1487</v>
      </c>
      <c r="BCT989" s="16" t="s">
        <v>1487</v>
      </c>
      <c r="BCU989" s="16" t="s">
        <v>1487</v>
      </c>
      <c r="BCV989" s="16" t="s">
        <v>1487</v>
      </c>
      <c r="BCW989" s="16" t="s">
        <v>1487</v>
      </c>
      <c r="BCX989" s="16" t="s">
        <v>1487</v>
      </c>
      <c r="BCY989" s="16" t="s">
        <v>1487</v>
      </c>
      <c r="BCZ989" s="16" t="s">
        <v>1487</v>
      </c>
      <c r="BDA989" s="16" t="s">
        <v>1487</v>
      </c>
      <c r="BDB989" s="16" t="s">
        <v>1487</v>
      </c>
      <c r="BDC989" s="16" t="s">
        <v>1487</v>
      </c>
      <c r="BDD989" s="16" t="s">
        <v>1487</v>
      </c>
      <c r="BDE989" s="16" t="s">
        <v>1487</v>
      </c>
      <c r="BDF989" s="16" t="s">
        <v>1487</v>
      </c>
      <c r="BDG989" s="16" t="s">
        <v>1487</v>
      </c>
      <c r="BDH989" s="16" t="s">
        <v>1487</v>
      </c>
      <c r="BDI989" s="16" t="s">
        <v>1487</v>
      </c>
      <c r="BDJ989" s="16" t="s">
        <v>1487</v>
      </c>
      <c r="BDK989" s="16" t="s">
        <v>1487</v>
      </c>
      <c r="BDL989" s="16" t="s">
        <v>1487</v>
      </c>
      <c r="BDM989" s="16" t="s">
        <v>1487</v>
      </c>
      <c r="BDN989" s="16" t="s">
        <v>1487</v>
      </c>
      <c r="BDO989" s="16" t="s">
        <v>1487</v>
      </c>
      <c r="BDP989" s="16" t="s">
        <v>1487</v>
      </c>
      <c r="BDQ989" s="16" t="s">
        <v>1487</v>
      </c>
      <c r="BDR989" s="16" t="s">
        <v>1487</v>
      </c>
      <c r="BDS989" s="16" t="s">
        <v>1487</v>
      </c>
      <c r="BDT989" s="16" t="s">
        <v>1487</v>
      </c>
      <c r="BDU989" s="16" t="s">
        <v>1487</v>
      </c>
      <c r="BDV989" s="16" t="s">
        <v>1487</v>
      </c>
      <c r="BDW989" s="16" t="s">
        <v>1487</v>
      </c>
      <c r="BDX989" s="16" t="s">
        <v>1487</v>
      </c>
      <c r="BDY989" s="16" t="s">
        <v>1487</v>
      </c>
      <c r="BDZ989" s="16" t="s">
        <v>1487</v>
      </c>
      <c r="BEA989" s="16" t="s">
        <v>1487</v>
      </c>
      <c r="BEB989" s="16" t="s">
        <v>1487</v>
      </c>
      <c r="BEC989" s="16" t="s">
        <v>1487</v>
      </c>
      <c r="BED989" s="16" t="s">
        <v>1487</v>
      </c>
      <c r="BEE989" s="16" t="s">
        <v>1487</v>
      </c>
      <c r="BEF989" s="16" t="s">
        <v>1487</v>
      </c>
      <c r="BEG989" s="16" t="s">
        <v>1487</v>
      </c>
      <c r="BEH989" s="16" t="s">
        <v>1487</v>
      </c>
      <c r="BEI989" s="16" t="s">
        <v>1487</v>
      </c>
      <c r="BEJ989" s="16" t="s">
        <v>1487</v>
      </c>
      <c r="BEK989" s="16" t="s">
        <v>1487</v>
      </c>
      <c r="BEL989" s="16" t="s">
        <v>1487</v>
      </c>
      <c r="BEM989" s="16" t="s">
        <v>1487</v>
      </c>
      <c r="BEN989" s="16" t="s">
        <v>1487</v>
      </c>
      <c r="BEO989" s="16" t="s">
        <v>1487</v>
      </c>
      <c r="BEP989" s="16" t="s">
        <v>1487</v>
      </c>
      <c r="BEQ989" s="16" t="s">
        <v>1487</v>
      </c>
      <c r="BER989" s="16" t="s">
        <v>1487</v>
      </c>
      <c r="BES989" s="16" t="s">
        <v>1487</v>
      </c>
      <c r="BET989" s="16" t="s">
        <v>1487</v>
      </c>
      <c r="BEU989" s="16" t="s">
        <v>1487</v>
      </c>
      <c r="BEV989" s="16" t="s">
        <v>1487</v>
      </c>
      <c r="BEW989" s="16" t="s">
        <v>1487</v>
      </c>
      <c r="BEX989" s="16" t="s">
        <v>1487</v>
      </c>
      <c r="BEY989" s="16" t="s">
        <v>1487</v>
      </c>
      <c r="BEZ989" s="16" t="s">
        <v>1487</v>
      </c>
      <c r="BFA989" s="16" t="s">
        <v>1487</v>
      </c>
      <c r="BFB989" s="16" t="s">
        <v>1487</v>
      </c>
      <c r="BFC989" s="16" t="s">
        <v>1487</v>
      </c>
      <c r="BFD989" s="16" t="s">
        <v>1487</v>
      </c>
      <c r="BFE989" s="16" t="s">
        <v>1487</v>
      </c>
      <c r="BFF989" s="16" t="s">
        <v>1487</v>
      </c>
      <c r="BFG989" s="16" t="s">
        <v>1487</v>
      </c>
      <c r="BFH989" s="16" t="s">
        <v>1487</v>
      </c>
      <c r="BFI989" s="16" t="s">
        <v>1487</v>
      </c>
      <c r="BFJ989" s="16" t="s">
        <v>1487</v>
      </c>
      <c r="BFK989" s="16" t="s">
        <v>1487</v>
      </c>
      <c r="BFL989" s="16" t="s">
        <v>1487</v>
      </c>
      <c r="BFM989" s="16" t="s">
        <v>1487</v>
      </c>
      <c r="BFN989" s="16" t="s">
        <v>1487</v>
      </c>
      <c r="BFO989" s="16" t="s">
        <v>1487</v>
      </c>
      <c r="BFP989" s="16" t="s">
        <v>1487</v>
      </c>
      <c r="BFQ989" s="16" t="s">
        <v>1487</v>
      </c>
      <c r="BFR989" s="16" t="s">
        <v>1487</v>
      </c>
      <c r="BFS989" s="16" t="s">
        <v>1487</v>
      </c>
      <c r="BFT989" s="16" t="s">
        <v>1487</v>
      </c>
      <c r="BFU989" s="16" t="s">
        <v>1487</v>
      </c>
      <c r="BFV989" s="16" t="s">
        <v>1487</v>
      </c>
      <c r="BFW989" s="16" t="s">
        <v>1487</v>
      </c>
      <c r="BFX989" s="16" t="s">
        <v>1487</v>
      </c>
      <c r="BFY989" s="16" t="s">
        <v>1487</v>
      </c>
      <c r="BFZ989" s="16" t="s">
        <v>1487</v>
      </c>
      <c r="BGA989" s="16" t="s">
        <v>1487</v>
      </c>
      <c r="BGB989" s="16" t="s">
        <v>1487</v>
      </c>
      <c r="BGC989" s="16" t="s">
        <v>1487</v>
      </c>
      <c r="BGD989" s="16" t="s">
        <v>1487</v>
      </c>
      <c r="BGE989" s="16" t="s">
        <v>1487</v>
      </c>
      <c r="BGF989" s="16" t="s">
        <v>1487</v>
      </c>
      <c r="BGG989" s="16" t="s">
        <v>1487</v>
      </c>
      <c r="BGH989" s="16" t="s">
        <v>1487</v>
      </c>
      <c r="BGI989" s="16" t="s">
        <v>1487</v>
      </c>
      <c r="BGJ989" s="16" t="s">
        <v>1487</v>
      </c>
      <c r="BGK989" s="16" t="s">
        <v>1487</v>
      </c>
      <c r="BGL989" s="16" t="s">
        <v>1487</v>
      </c>
      <c r="BGM989" s="16" t="s">
        <v>1487</v>
      </c>
      <c r="BGN989" s="16" t="s">
        <v>1487</v>
      </c>
      <c r="BGO989" s="16" t="s">
        <v>1487</v>
      </c>
      <c r="BGP989" s="16" t="s">
        <v>1487</v>
      </c>
      <c r="BGQ989" s="16" t="s">
        <v>1487</v>
      </c>
      <c r="BGR989" s="16" t="s">
        <v>1487</v>
      </c>
      <c r="BGS989" s="16" t="s">
        <v>1487</v>
      </c>
      <c r="BGT989" s="16" t="s">
        <v>1487</v>
      </c>
      <c r="BGU989" s="16" t="s">
        <v>1487</v>
      </c>
      <c r="BGV989" s="16" t="s">
        <v>1487</v>
      </c>
      <c r="BGW989" s="16" t="s">
        <v>1487</v>
      </c>
      <c r="BGX989" s="16" t="s">
        <v>1487</v>
      </c>
      <c r="BGY989" s="16" t="s">
        <v>1487</v>
      </c>
      <c r="BGZ989" s="16" t="s">
        <v>1487</v>
      </c>
      <c r="BHA989" s="16" t="s">
        <v>1487</v>
      </c>
      <c r="BHB989" s="16" t="s">
        <v>1487</v>
      </c>
      <c r="BHC989" s="16" t="s">
        <v>1487</v>
      </c>
      <c r="BHD989" s="16" t="s">
        <v>1487</v>
      </c>
      <c r="BHE989" s="16" t="s">
        <v>1487</v>
      </c>
      <c r="BHF989" s="16" t="s">
        <v>1487</v>
      </c>
      <c r="BHG989" s="16" t="s">
        <v>1487</v>
      </c>
      <c r="BHH989" s="16" t="s">
        <v>1487</v>
      </c>
      <c r="BHI989" s="16" t="s">
        <v>1487</v>
      </c>
      <c r="BHJ989" s="16" t="s">
        <v>1487</v>
      </c>
      <c r="BHK989" s="16" t="s">
        <v>1487</v>
      </c>
      <c r="BHL989" s="16" t="s">
        <v>1487</v>
      </c>
      <c r="BHM989" s="16" t="s">
        <v>1487</v>
      </c>
      <c r="BHN989" s="16" t="s">
        <v>1487</v>
      </c>
      <c r="BHO989" s="16" t="s">
        <v>1487</v>
      </c>
      <c r="BHP989" s="16" t="s">
        <v>1487</v>
      </c>
      <c r="BHQ989" s="16" t="s">
        <v>1487</v>
      </c>
      <c r="BHR989" s="16" t="s">
        <v>1487</v>
      </c>
      <c r="BHS989" s="16" t="s">
        <v>1487</v>
      </c>
      <c r="BHT989" s="16" t="s">
        <v>1487</v>
      </c>
      <c r="BHU989" s="16" t="s">
        <v>1487</v>
      </c>
      <c r="BHV989" s="16" t="s">
        <v>1487</v>
      </c>
      <c r="BHW989" s="16" t="s">
        <v>1487</v>
      </c>
      <c r="BHX989" s="16" t="s">
        <v>1487</v>
      </c>
      <c r="BHY989" s="16" t="s">
        <v>1487</v>
      </c>
      <c r="BHZ989" s="16" t="s">
        <v>1487</v>
      </c>
      <c r="BIA989" s="16" t="s">
        <v>1487</v>
      </c>
      <c r="BIB989" s="16" t="s">
        <v>1487</v>
      </c>
      <c r="BIC989" s="16" t="s">
        <v>1487</v>
      </c>
      <c r="BID989" s="16" t="s">
        <v>1487</v>
      </c>
      <c r="BIE989" s="16" t="s">
        <v>1487</v>
      </c>
      <c r="BIF989" s="16" t="s">
        <v>1487</v>
      </c>
      <c r="BIG989" s="16" t="s">
        <v>1487</v>
      </c>
      <c r="BIH989" s="16" t="s">
        <v>1487</v>
      </c>
      <c r="BII989" s="16" t="s">
        <v>1487</v>
      </c>
      <c r="BIJ989" s="16" t="s">
        <v>1487</v>
      </c>
      <c r="BIK989" s="16" t="s">
        <v>1487</v>
      </c>
      <c r="BIL989" s="16" t="s">
        <v>1487</v>
      </c>
      <c r="BIM989" s="16" t="s">
        <v>1487</v>
      </c>
      <c r="BIN989" s="16" t="s">
        <v>1487</v>
      </c>
      <c r="BIO989" s="16" t="s">
        <v>1487</v>
      </c>
      <c r="BIP989" s="16" t="s">
        <v>1487</v>
      </c>
      <c r="BIQ989" s="16" t="s">
        <v>1487</v>
      </c>
      <c r="BIR989" s="16" t="s">
        <v>1487</v>
      </c>
      <c r="BIS989" s="16" t="s">
        <v>1487</v>
      </c>
      <c r="BIT989" s="16" t="s">
        <v>1487</v>
      </c>
      <c r="BIU989" s="16" t="s">
        <v>1487</v>
      </c>
      <c r="BIV989" s="16" t="s">
        <v>1487</v>
      </c>
      <c r="BIW989" s="16" t="s">
        <v>1487</v>
      </c>
      <c r="BIX989" s="16" t="s">
        <v>1487</v>
      </c>
      <c r="BIY989" s="16" t="s">
        <v>1487</v>
      </c>
      <c r="BIZ989" s="16" t="s">
        <v>1487</v>
      </c>
      <c r="BJA989" s="16" t="s">
        <v>1487</v>
      </c>
      <c r="BJB989" s="16" t="s">
        <v>1487</v>
      </c>
      <c r="BJC989" s="16" t="s">
        <v>1487</v>
      </c>
      <c r="BJD989" s="16" t="s">
        <v>1487</v>
      </c>
      <c r="BJE989" s="16" t="s">
        <v>1487</v>
      </c>
      <c r="BJF989" s="16" t="s">
        <v>1487</v>
      </c>
      <c r="BJG989" s="16" t="s">
        <v>1487</v>
      </c>
      <c r="BJH989" s="16" t="s">
        <v>1487</v>
      </c>
      <c r="BJI989" s="16" t="s">
        <v>1487</v>
      </c>
      <c r="BJJ989" s="16" t="s">
        <v>1487</v>
      </c>
      <c r="BJK989" s="16" t="s">
        <v>1487</v>
      </c>
      <c r="BJL989" s="16" t="s">
        <v>1487</v>
      </c>
      <c r="BJM989" s="16" t="s">
        <v>1487</v>
      </c>
      <c r="BJN989" s="16" t="s">
        <v>1487</v>
      </c>
      <c r="BJO989" s="16" t="s">
        <v>1487</v>
      </c>
      <c r="BJP989" s="16" t="s">
        <v>1487</v>
      </c>
      <c r="BJQ989" s="16" t="s">
        <v>1487</v>
      </c>
      <c r="BJR989" s="16" t="s">
        <v>1487</v>
      </c>
      <c r="BJS989" s="16" t="s">
        <v>1487</v>
      </c>
      <c r="BJT989" s="16" t="s">
        <v>1487</v>
      </c>
      <c r="BJU989" s="16" t="s">
        <v>1487</v>
      </c>
      <c r="BJV989" s="16" t="s">
        <v>1487</v>
      </c>
      <c r="BJW989" s="16" t="s">
        <v>1487</v>
      </c>
      <c r="BJX989" s="16" t="s">
        <v>1487</v>
      </c>
      <c r="BJY989" s="16" t="s">
        <v>1487</v>
      </c>
      <c r="BJZ989" s="16" t="s">
        <v>1487</v>
      </c>
      <c r="BKA989" s="16" t="s">
        <v>1487</v>
      </c>
      <c r="BKB989" s="16" t="s">
        <v>1487</v>
      </c>
      <c r="BKC989" s="16" t="s">
        <v>1487</v>
      </c>
      <c r="BKD989" s="16" t="s">
        <v>1487</v>
      </c>
      <c r="BKE989" s="16" t="s">
        <v>1487</v>
      </c>
      <c r="BKF989" s="16" t="s">
        <v>1487</v>
      </c>
      <c r="BKG989" s="16" t="s">
        <v>1487</v>
      </c>
      <c r="BKH989" s="16" t="s">
        <v>1487</v>
      </c>
      <c r="BKI989" s="16" t="s">
        <v>1487</v>
      </c>
      <c r="BKJ989" s="16" t="s">
        <v>1487</v>
      </c>
      <c r="BKK989" s="16" t="s">
        <v>1487</v>
      </c>
      <c r="BKL989" s="16" t="s">
        <v>1487</v>
      </c>
      <c r="BKM989" s="16" t="s">
        <v>1487</v>
      </c>
      <c r="BKN989" s="16" t="s">
        <v>1487</v>
      </c>
      <c r="BKO989" s="16" t="s">
        <v>1487</v>
      </c>
      <c r="BKP989" s="16" t="s">
        <v>1487</v>
      </c>
      <c r="BKQ989" s="16" t="s">
        <v>1487</v>
      </c>
      <c r="BKR989" s="16" t="s">
        <v>1487</v>
      </c>
      <c r="BKS989" s="16" t="s">
        <v>1487</v>
      </c>
      <c r="BKT989" s="16" t="s">
        <v>1487</v>
      </c>
      <c r="BKU989" s="16" t="s">
        <v>1487</v>
      </c>
      <c r="BKV989" s="16" t="s">
        <v>1487</v>
      </c>
      <c r="BKW989" s="16" t="s">
        <v>1487</v>
      </c>
      <c r="BKX989" s="16" t="s">
        <v>1487</v>
      </c>
      <c r="BKY989" s="16" t="s">
        <v>1487</v>
      </c>
      <c r="BKZ989" s="16" t="s">
        <v>1487</v>
      </c>
      <c r="BLA989" s="16" t="s">
        <v>1487</v>
      </c>
      <c r="BLB989" s="16" t="s">
        <v>1487</v>
      </c>
      <c r="BLC989" s="16" t="s">
        <v>1487</v>
      </c>
      <c r="BLD989" s="16" t="s">
        <v>1487</v>
      </c>
      <c r="BLE989" s="16" t="s">
        <v>1487</v>
      </c>
      <c r="BLF989" s="16" t="s">
        <v>1487</v>
      </c>
      <c r="BLG989" s="16" t="s">
        <v>1487</v>
      </c>
      <c r="BLH989" s="16" t="s">
        <v>1487</v>
      </c>
      <c r="BLI989" s="16" t="s">
        <v>1487</v>
      </c>
      <c r="BLJ989" s="16" t="s">
        <v>1487</v>
      </c>
      <c r="BLK989" s="16" t="s">
        <v>1487</v>
      </c>
      <c r="BLL989" s="16" t="s">
        <v>1487</v>
      </c>
      <c r="BLM989" s="16" t="s">
        <v>1487</v>
      </c>
      <c r="BLN989" s="16" t="s">
        <v>1487</v>
      </c>
      <c r="BLO989" s="16" t="s">
        <v>1487</v>
      </c>
      <c r="BLP989" s="16" t="s">
        <v>1487</v>
      </c>
      <c r="BLQ989" s="16" t="s">
        <v>1487</v>
      </c>
      <c r="BLR989" s="16" t="s">
        <v>1487</v>
      </c>
      <c r="BLS989" s="16" t="s">
        <v>1487</v>
      </c>
      <c r="BLT989" s="16" t="s">
        <v>1487</v>
      </c>
      <c r="BLU989" s="16" t="s">
        <v>1487</v>
      </c>
      <c r="BLV989" s="16" t="s">
        <v>1487</v>
      </c>
      <c r="BLW989" s="16" t="s">
        <v>1487</v>
      </c>
      <c r="BLX989" s="16" t="s">
        <v>1487</v>
      </c>
      <c r="BLY989" s="16" t="s">
        <v>1487</v>
      </c>
      <c r="BLZ989" s="16" t="s">
        <v>1487</v>
      </c>
      <c r="BMA989" s="16" t="s">
        <v>1487</v>
      </c>
      <c r="BMB989" s="16" t="s">
        <v>1487</v>
      </c>
      <c r="BMC989" s="16" t="s">
        <v>1487</v>
      </c>
      <c r="BMD989" s="16" t="s">
        <v>1487</v>
      </c>
      <c r="BME989" s="16" t="s">
        <v>1487</v>
      </c>
      <c r="BMF989" s="16" t="s">
        <v>1487</v>
      </c>
      <c r="BMG989" s="16" t="s">
        <v>1487</v>
      </c>
      <c r="BMH989" s="16" t="s">
        <v>1487</v>
      </c>
      <c r="BMI989" s="16" t="s">
        <v>1487</v>
      </c>
      <c r="BMJ989" s="16" t="s">
        <v>1487</v>
      </c>
      <c r="BMK989" s="16" t="s">
        <v>1487</v>
      </c>
      <c r="BML989" s="16" t="s">
        <v>1487</v>
      </c>
      <c r="BMM989" s="16" t="s">
        <v>1487</v>
      </c>
      <c r="BMN989" s="16" t="s">
        <v>1487</v>
      </c>
      <c r="BMO989" s="16" t="s">
        <v>1487</v>
      </c>
      <c r="BMP989" s="16" t="s">
        <v>1487</v>
      </c>
      <c r="BMQ989" s="16" t="s">
        <v>1487</v>
      </c>
      <c r="BMR989" s="16" t="s">
        <v>1487</v>
      </c>
      <c r="BMS989" s="16" t="s">
        <v>1487</v>
      </c>
      <c r="BMT989" s="16" t="s">
        <v>1487</v>
      </c>
      <c r="BMU989" s="16" t="s">
        <v>1487</v>
      </c>
      <c r="BMV989" s="16" t="s">
        <v>1487</v>
      </c>
      <c r="BMW989" s="16" t="s">
        <v>1487</v>
      </c>
      <c r="BMX989" s="16" t="s">
        <v>1487</v>
      </c>
      <c r="BMY989" s="16" t="s">
        <v>1487</v>
      </c>
      <c r="BMZ989" s="16" t="s">
        <v>1487</v>
      </c>
      <c r="BNA989" s="16" t="s">
        <v>1487</v>
      </c>
      <c r="BNB989" s="16" t="s">
        <v>1487</v>
      </c>
      <c r="BNC989" s="16" t="s">
        <v>1487</v>
      </c>
      <c r="BND989" s="16" t="s">
        <v>1487</v>
      </c>
      <c r="BNE989" s="16" t="s">
        <v>1487</v>
      </c>
      <c r="BNF989" s="16" t="s">
        <v>1487</v>
      </c>
      <c r="BNG989" s="16" t="s">
        <v>1487</v>
      </c>
      <c r="BNH989" s="16" t="s">
        <v>1487</v>
      </c>
      <c r="BNI989" s="16" t="s">
        <v>1487</v>
      </c>
      <c r="BNJ989" s="16" t="s">
        <v>1487</v>
      </c>
      <c r="BNK989" s="16" t="s">
        <v>1487</v>
      </c>
      <c r="BNL989" s="16" t="s">
        <v>1487</v>
      </c>
      <c r="BNM989" s="16" t="s">
        <v>1487</v>
      </c>
      <c r="BNN989" s="16" t="s">
        <v>1487</v>
      </c>
      <c r="BNO989" s="16" t="s">
        <v>1487</v>
      </c>
      <c r="BNP989" s="16" t="s">
        <v>1487</v>
      </c>
      <c r="BNQ989" s="16" t="s">
        <v>1487</v>
      </c>
      <c r="BNR989" s="16" t="s">
        <v>1487</v>
      </c>
      <c r="BNS989" s="16" t="s">
        <v>1487</v>
      </c>
      <c r="BNT989" s="16" t="s">
        <v>1487</v>
      </c>
      <c r="BNU989" s="16" t="s">
        <v>1487</v>
      </c>
      <c r="BNV989" s="16" t="s">
        <v>1487</v>
      </c>
      <c r="BNW989" s="16" t="s">
        <v>1487</v>
      </c>
      <c r="BNX989" s="16" t="s">
        <v>1487</v>
      </c>
      <c r="BNY989" s="16" t="s">
        <v>1487</v>
      </c>
      <c r="BNZ989" s="16" t="s">
        <v>1487</v>
      </c>
      <c r="BOA989" s="16" t="s">
        <v>1487</v>
      </c>
      <c r="BOB989" s="16" t="s">
        <v>1487</v>
      </c>
      <c r="BOC989" s="16" t="s">
        <v>1487</v>
      </c>
      <c r="BOD989" s="16" t="s">
        <v>1487</v>
      </c>
      <c r="BOE989" s="16" t="s">
        <v>1487</v>
      </c>
      <c r="BOF989" s="16" t="s">
        <v>1487</v>
      </c>
      <c r="BOG989" s="16" t="s">
        <v>1487</v>
      </c>
      <c r="BOH989" s="16" t="s">
        <v>1487</v>
      </c>
      <c r="BOI989" s="16" t="s">
        <v>1487</v>
      </c>
      <c r="BOJ989" s="16" t="s">
        <v>1487</v>
      </c>
      <c r="BOK989" s="16" t="s">
        <v>1487</v>
      </c>
      <c r="BOL989" s="16" t="s">
        <v>1487</v>
      </c>
      <c r="BOM989" s="16" t="s">
        <v>1487</v>
      </c>
      <c r="BON989" s="16" t="s">
        <v>1487</v>
      </c>
      <c r="BOO989" s="16" t="s">
        <v>1487</v>
      </c>
      <c r="BOP989" s="16" t="s">
        <v>1487</v>
      </c>
      <c r="BOQ989" s="16" t="s">
        <v>1487</v>
      </c>
      <c r="BOR989" s="16" t="s">
        <v>1487</v>
      </c>
      <c r="BOS989" s="16" t="s">
        <v>1487</v>
      </c>
      <c r="BOT989" s="16" t="s">
        <v>1487</v>
      </c>
      <c r="BOU989" s="16" t="s">
        <v>1487</v>
      </c>
      <c r="BOV989" s="16" t="s">
        <v>1487</v>
      </c>
      <c r="BOW989" s="16" t="s">
        <v>1487</v>
      </c>
      <c r="BOX989" s="16" t="s">
        <v>1487</v>
      </c>
      <c r="BOY989" s="16" t="s">
        <v>1487</v>
      </c>
      <c r="BOZ989" s="16" t="s">
        <v>1487</v>
      </c>
      <c r="BPA989" s="16" t="s">
        <v>1487</v>
      </c>
      <c r="BPB989" s="16" t="s">
        <v>1487</v>
      </c>
      <c r="BPC989" s="16" t="s">
        <v>1487</v>
      </c>
      <c r="BPD989" s="16" t="s">
        <v>1487</v>
      </c>
      <c r="BPE989" s="16" t="s">
        <v>1487</v>
      </c>
      <c r="BPF989" s="16" t="s">
        <v>1487</v>
      </c>
      <c r="BPG989" s="16" t="s">
        <v>1487</v>
      </c>
      <c r="BPH989" s="16" t="s">
        <v>1487</v>
      </c>
      <c r="BPI989" s="16" t="s">
        <v>1487</v>
      </c>
      <c r="BPJ989" s="16" t="s">
        <v>1487</v>
      </c>
      <c r="BPK989" s="16" t="s">
        <v>1487</v>
      </c>
      <c r="BPL989" s="16" t="s">
        <v>1487</v>
      </c>
      <c r="BPM989" s="16" t="s">
        <v>1487</v>
      </c>
      <c r="BPN989" s="16" t="s">
        <v>1487</v>
      </c>
      <c r="BPO989" s="16" t="s">
        <v>1487</v>
      </c>
      <c r="BPP989" s="16" t="s">
        <v>1487</v>
      </c>
      <c r="BPQ989" s="16" t="s">
        <v>1487</v>
      </c>
      <c r="BPR989" s="16" t="s">
        <v>1487</v>
      </c>
      <c r="BPS989" s="16" t="s">
        <v>1487</v>
      </c>
      <c r="BPT989" s="16" t="s">
        <v>1487</v>
      </c>
      <c r="BPU989" s="16" t="s">
        <v>1487</v>
      </c>
      <c r="BPV989" s="16" t="s">
        <v>1487</v>
      </c>
      <c r="BPW989" s="16" t="s">
        <v>1487</v>
      </c>
      <c r="BPX989" s="16" t="s">
        <v>1487</v>
      </c>
      <c r="BPY989" s="16" t="s">
        <v>1487</v>
      </c>
      <c r="BPZ989" s="16" t="s">
        <v>1487</v>
      </c>
      <c r="BQA989" s="16" t="s">
        <v>1487</v>
      </c>
      <c r="BQB989" s="16" t="s">
        <v>1487</v>
      </c>
      <c r="BQC989" s="16" t="s">
        <v>1487</v>
      </c>
      <c r="BQD989" s="16" t="s">
        <v>1487</v>
      </c>
      <c r="BQE989" s="16" t="s">
        <v>1487</v>
      </c>
      <c r="BQF989" s="16" t="s">
        <v>1487</v>
      </c>
      <c r="BQG989" s="16" t="s">
        <v>1487</v>
      </c>
      <c r="BQH989" s="16" t="s">
        <v>1487</v>
      </c>
      <c r="BQI989" s="16" t="s">
        <v>1487</v>
      </c>
      <c r="BQJ989" s="16" t="s">
        <v>1487</v>
      </c>
      <c r="BQK989" s="16" t="s">
        <v>1487</v>
      </c>
      <c r="BQL989" s="16" t="s">
        <v>1487</v>
      </c>
      <c r="BQM989" s="16" t="s">
        <v>1487</v>
      </c>
      <c r="BQN989" s="16" t="s">
        <v>1487</v>
      </c>
      <c r="BQO989" s="16" t="s">
        <v>1487</v>
      </c>
      <c r="BQP989" s="16" t="s">
        <v>1487</v>
      </c>
      <c r="BQQ989" s="16" t="s">
        <v>1487</v>
      </c>
      <c r="BQR989" s="16" t="s">
        <v>1487</v>
      </c>
      <c r="BQS989" s="16" t="s">
        <v>1487</v>
      </c>
      <c r="BQT989" s="16" t="s">
        <v>1487</v>
      </c>
      <c r="BQU989" s="16" t="s">
        <v>1487</v>
      </c>
      <c r="BQV989" s="16" t="s">
        <v>1487</v>
      </c>
      <c r="BQW989" s="16" t="s">
        <v>1487</v>
      </c>
      <c r="BQX989" s="16" t="s">
        <v>1487</v>
      </c>
      <c r="BQY989" s="16" t="s">
        <v>1487</v>
      </c>
      <c r="BQZ989" s="16" t="s">
        <v>1487</v>
      </c>
      <c r="BRA989" s="16" t="s">
        <v>1487</v>
      </c>
      <c r="BRB989" s="16" t="s">
        <v>1487</v>
      </c>
      <c r="BRC989" s="16" t="s">
        <v>1487</v>
      </c>
      <c r="BRD989" s="16" t="s">
        <v>1487</v>
      </c>
      <c r="BRE989" s="16" t="s">
        <v>1487</v>
      </c>
      <c r="BRF989" s="16" t="s">
        <v>1487</v>
      </c>
      <c r="BRG989" s="16" t="s">
        <v>1487</v>
      </c>
      <c r="BRH989" s="16" t="s">
        <v>1487</v>
      </c>
      <c r="BRI989" s="16" t="s">
        <v>1487</v>
      </c>
      <c r="BRJ989" s="16" t="s">
        <v>1487</v>
      </c>
      <c r="BRK989" s="16" t="s">
        <v>1487</v>
      </c>
      <c r="BRL989" s="16" t="s">
        <v>1487</v>
      </c>
      <c r="BRM989" s="16" t="s">
        <v>1487</v>
      </c>
      <c r="BRN989" s="16" t="s">
        <v>1487</v>
      </c>
      <c r="BRO989" s="16" t="s">
        <v>1487</v>
      </c>
      <c r="BRP989" s="16" t="s">
        <v>1487</v>
      </c>
      <c r="BRQ989" s="16" t="s">
        <v>1487</v>
      </c>
      <c r="BRR989" s="16" t="s">
        <v>1487</v>
      </c>
      <c r="BRS989" s="16" t="s">
        <v>1487</v>
      </c>
      <c r="BRT989" s="16" t="s">
        <v>1487</v>
      </c>
      <c r="BRU989" s="16" t="s">
        <v>1487</v>
      </c>
      <c r="BRV989" s="16" t="s">
        <v>1487</v>
      </c>
      <c r="BRW989" s="16" t="s">
        <v>1487</v>
      </c>
      <c r="BRX989" s="16" t="s">
        <v>1487</v>
      </c>
      <c r="BRY989" s="16" t="s">
        <v>1487</v>
      </c>
      <c r="BRZ989" s="16" t="s">
        <v>1487</v>
      </c>
      <c r="BSA989" s="16" t="s">
        <v>1487</v>
      </c>
      <c r="BSB989" s="16" t="s">
        <v>1487</v>
      </c>
      <c r="BSC989" s="16" t="s">
        <v>1487</v>
      </c>
      <c r="BSD989" s="16" t="s">
        <v>1487</v>
      </c>
      <c r="BSE989" s="16" t="s">
        <v>1487</v>
      </c>
      <c r="BSF989" s="16" t="s">
        <v>1487</v>
      </c>
      <c r="BSG989" s="16" t="s">
        <v>1487</v>
      </c>
      <c r="BSH989" s="16" t="s">
        <v>1487</v>
      </c>
      <c r="BSI989" s="16" t="s">
        <v>1487</v>
      </c>
      <c r="BSJ989" s="16" t="s">
        <v>1487</v>
      </c>
      <c r="BSK989" s="16" t="s">
        <v>1487</v>
      </c>
      <c r="BSL989" s="16" t="s">
        <v>1487</v>
      </c>
      <c r="BSM989" s="16" t="s">
        <v>1487</v>
      </c>
      <c r="BSN989" s="16" t="s">
        <v>1487</v>
      </c>
      <c r="BSO989" s="16" t="s">
        <v>1487</v>
      </c>
      <c r="BSP989" s="16" t="s">
        <v>1487</v>
      </c>
      <c r="BSQ989" s="16" t="s">
        <v>1487</v>
      </c>
      <c r="BSR989" s="16" t="s">
        <v>1487</v>
      </c>
      <c r="BSS989" s="16" t="s">
        <v>1487</v>
      </c>
      <c r="BST989" s="16" t="s">
        <v>1487</v>
      </c>
      <c r="BSU989" s="16" t="s">
        <v>1487</v>
      </c>
      <c r="BSV989" s="16" t="s">
        <v>1487</v>
      </c>
      <c r="BSW989" s="16" t="s">
        <v>1487</v>
      </c>
      <c r="BSX989" s="16" t="s">
        <v>1487</v>
      </c>
      <c r="BSY989" s="16" t="s">
        <v>1487</v>
      </c>
      <c r="BSZ989" s="16" t="s">
        <v>1487</v>
      </c>
      <c r="BTA989" s="16" t="s">
        <v>1487</v>
      </c>
      <c r="BTB989" s="16" t="s">
        <v>1487</v>
      </c>
      <c r="BTC989" s="16" t="s">
        <v>1487</v>
      </c>
      <c r="BTD989" s="16" t="s">
        <v>1487</v>
      </c>
      <c r="BTE989" s="16" t="s">
        <v>1487</v>
      </c>
      <c r="BTF989" s="16" t="s">
        <v>1487</v>
      </c>
      <c r="BTG989" s="16" t="s">
        <v>1487</v>
      </c>
      <c r="BTH989" s="16" t="s">
        <v>1487</v>
      </c>
      <c r="BTI989" s="16" t="s">
        <v>1487</v>
      </c>
      <c r="BTJ989" s="16" t="s">
        <v>1487</v>
      </c>
      <c r="BTK989" s="16" t="s">
        <v>1487</v>
      </c>
      <c r="BTL989" s="16" t="s">
        <v>1487</v>
      </c>
      <c r="BTM989" s="16" t="s">
        <v>1487</v>
      </c>
      <c r="BTN989" s="16" t="s">
        <v>1487</v>
      </c>
      <c r="BTO989" s="16" t="s">
        <v>1487</v>
      </c>
      <c r="BTP989" s="16" t="s">
        <v>1487</v>
      </c>
      <c r="BTQ989" s="16" t="s">
        <v>1487</v>
      </c>
      <c r="BTR989" s="16" t="s">
        <v>1487</v>
      </c>
      <c r="BTS989" s="16" t="s">
        <v>1487</v>
      </c>
      <c r="BTT989" s="16" t="s">
        <v>1487</v>
      </c>
      <c r="BTU989" s="16" t="s">
        <v>1487</v>
      </c>
      <c r="BTV989" s="16" t="s">
        <v>1487</v>
      </c>
      <c r="BTW989" s="16" t="s">
        <v>1487</v>
      </c>
      <c r="BTX989" s="16" t="s">
        <v>1487</v>
      </c>
      <c r="BTY989" s="16" t="s">
        <v>1487</v>
      </c>
      <c r="BTZ989" s="16" t="s">
        <v>1487</v>
      </c>
      <c r="BUA989" s="16" t="s">
        <v>1487</v>
      </c>
      <c r="BUB989" s="16" t="s">
        <v>1487</v>
      </c>
      <c r="BUC989" s="16" t="s">
        <v>1487</v>
      </c>
      <c r="BUD989" s="16" t="s">
        <v>1487</v>
      </c>
      <c r="BUE989" s="16" t="s">
        <v>1487</v>
      </c>
      <c r="BUF989" s="16" t="s">
        <v>1487</v>
      </c>
      <c r="BUG989" s="16" t="s">
        <v>1487</v>
      </c>
      <c r="BUH989" s="16" t="s">
        <v>1487</v>
      </c>
      <c r="BUI989" s="16" t="s">
        <v>1487</v>
      </c>
      <c r="BUJ989" s="16" t="s">
        <v>1487</v>
      </c>
      <c r="BUK989" s="16" t="s">
        <v>1487</v>
      </c>
      <c r="BUL989" s="16" t="s">
        <v>1487</v>
      </c>
      <c r="BUM989" s="16" t="s">
        <v>1487</v>
      </c>
      <c r="BUN989" s="16" t="s">
        <v>1487</v>
      </c>
      <c r="BUO989" s="16" t="s">
        <v>1487</v>
      </c>
      <c r="BUP989" s="16" t="s">
        <v>1487</v>
      </c>
      <c r="BUQ989" s="16" t="s">
        <v>1487</v>
      </c>
      <c r="BUR989" s="16" t="s">
        <v>1487</v>
      </c>
      <c r="BUS989" s="16" t="s">
        <v>1487</v>
      </c>
      <c r="BUT989" s="16" t="s">
        <v>1487</v>
      </c>
      <c r="BUU989" s="16" t="s">
        <v>1487</v>
      </c>
      <c r="BUV989" s="16" t="s">
        <v>1487</v>
      </c>
      <c r="BUW989" s="16" t="s">
        <v>1487</v>
      </c>
      <c r="BUX989" s="16" t="s">
        <v>1487</v>
      </c>
      <c r="BUY989" s="16" t="s">
        <v>1487</v>
      </c>
      <c r="BUZ989" s="16" t="s">
        <v>1487</v>
      </c>
      <c r="BVA989" s="16" t="s">
        <v>1487</v>
      </c>
      <c r="BVB989" s="16" t="s">
        <v>1487</v>
      </c>
      <c r="BVC989" s="16" t="s">
        <v>1487</v>
      </c>
      <c r="BVD989" s="16" t="s">
        <v>1487</v>
      </c>
      <c r="BVE989" s="16" t="s">
        <v>1487</v>
      </c>
      <c r="BVF989" s="16" t="s">
        <v>1487</v>
      </c>
      <c r="BVG989" s="16" t="s">
        <v>1487</v>
      </c>
      <c r="BVH989" s="16" t="s">
        <v>1487</v>
      </c>
      <c r="BVI989" s="16" t="s">
        <v>1487</v>
      </c>
      <c r="BVJ989" s="16" t="s">
        <v>1487</v>
      </c>
      <c r="BVK989" s="16" t="s">
        <v>1487</v>
      </c>
      <c r="BVL989" s="16" t="s">
        <v>1487</v>
      </c>
      <c r="BVM989" s="16" t="s">
        <v>1487</v>
      </c>
      <c r="BVN989" s="16" t="s">
        <v>1487</v>
      </c>
      <c r="BVO989" s="16" t="s">
        <v>1487</v>
      </c>
      <c r="BVP989" s="16" t="s">
        <v>1487</v>
      </c>
      <c r="BVQ989" s="16" t="s">
        <v>1487</v>
      </c>
      <c r="BVR989" s="16" t="s">
        <v>1487</v>
      </c>
      <c r="BVS989" s="16" t="s">
        <v>1487</v>
      </c>
      <c r="BVT989" s="16" t="s">
        <v>1487</v>
      </c>
      <c r="BVU989" s="16" t="s">
        <v>1487</v>
      </c>
      <c r="BVV989" s="16" t="s">
        <v>1487</v>
      </c>
      <c r="BVW989" s="16" t="s">
        <v>1487</v>
      </c>
      <c r="BVX989" s="16" t="s">
        <v>1487</v>
      </c>
      <c r="BVY989" s="16" t="s">
        <v>1487</v>
      </c>
      <c r="BVZ989" s="16" t="s">
        <v>1487</v>
      </c>
      <c r="BWA989" s="16" t="s">
        <v>1487</v>
      </c>
      <c r="BWB989" s="16" t="s">
        <v>1487</v>
      </c>
      <c r="BWC989" s="16" t="s">
        <v>1487</v>
      </c>
      <c r="BWD989" s="16" t="s">
        <v>1487</v>
      </c>
      <c r="BWE989" s="16" t="s">
        <v>1487</v>
      </c>
      <c r="BWF989" s="16" t="s">
        <v>1487</v>
      </c>
      <c r="BWG989" s="16" t="s">
        <v>1487</v>
      </c>
      <c r="BWH989" s="16" t="s">
        <v>1487</v>
      </c>
      <c r="BWI989" s="16" t="s">
        <v>1487</v>
      </c>
      <c r="BWJ989" s="16" t="s">
        <v>1487</v>
      </c>
      <c r="BWK989" s="16" t="s">
        <v>1487</v>
      </c>
      <c r="BWL989" s="16" t="s">
        <v>1487</v>
      </c>
      <c r="BWM989" s="16" t="s">
        <v>1487</v>
      </c>
      <c r="BWN989" s="16" t="s">
        <v>1487</v>
      </c>
      <c r="BWO989" s="16" t="s">
        <v>1487</v>
      </c>
      <c r="BWP989" s="16" t="s">
        <v>1487</v>
      </c>
      <c r="BWQ989" s="16" t="s">
        <v>1487</v>
      </c>
      <c r="BWR989" s="16" t="s">
        <v>1487</v>
      </c>
      <c r="BWS989" s="16" t="s">
        <v>1487</v>
      </c>
      <c r="BWT989" s="16" t="s">
        <v>1487</v>
      </c>
      <c r="BWU989" s="16" t="s">
        <v>1487</v>
      </c>
      <c r="BWV989" s="16" t="s">
        <v>1487</v>
      </c>
      <c r="BWW989" s="16" t="s">
        <v>1487</v>
      </c>
      <c r="BWX989" s="16" t="s">
        <v>1487</v>
      </c>
      <c r="BWY989" s="16" t="s">
        <v>1487</v>
      </c>
      <c r="BWZ989" s="16" t="s">
        <v>1487</v>
      </c>
      <c r="BXA989" s="16" t="s">
        <v>1487</v>
      </c>
      <c r="BXB989" s="16" t="s">
        <v>1487</v>
      </c>
      <c r="BXC989" s="16" t="s">
        <v>1487</v>
      </c>
      <c r="BXD989" s="16" t="s">
        <v>1487</v>
      </c>
      <c r="BXE989" s="16" t="s">
        <v>1487</v>
      </c>
      <c r="BXF989" s="16" t="s">
        <v>1487</v>
      </c>
      <c r="BXG989" s="16" t="s">
        <v>1487</v>
      </c>
      <c r="BXH989" s="16" t="s">
        <v>1487</v>
      </c>
      <c r="BXI989" s="16" t="s">
        <v>1487</v>
      </c>
      <c r="BXJ989" s="16" t="s">
        <v>1487</v>
      </c>
      <c r="BXK989" s="16" t="s">
        <v>1487</v>
      </c>
      <c r="BXL989" s="16" t="s">
        <v>1487</v>
      </c>
      <c r="BXM989" s="16" t="s">
        <v>1487</v>
      </c>
      <c r="BXN989" s="16" t="s">
        <v>1487</v>
      </c>
      <c r="BXO989" s="16" t="s">
        <v>1487</v>
      </c>
      <c r="BXP989" s="16" t="s">
        <v>1487</v>
      </c>
      <c r="BXQ989" s="16" t="s">
        <v>1487</v>
      </c>
      <c r="BXR989" s="16" t="s">
        <v>1487</v>
      </c>
      <c r="BXS989" s="16" t="s">
        <v>1487</v>
      </c>
      <c r="BXT989" s="16" t="s">
        <v>1487</v>
      </c>
      <c r="BXU989" s="16" t="s">
        <v>1487</v>
      </c>
      <c r="BXV989" s="16" t="s">
        <v>1487</v>
      </c>
      <c r="BXW989" s="16" t="s">
        <v>1487</v>
      </c>
      <c r="BXX989" s="16" t="s">
        <v>1487</v>
      </c>
      <c r="BXY989" s="16" t="s">
        <v>1487</v>
      </c>
      <c r="BXZ989" s="16" t="s">
        <v>1487</v>
      </c>
      <c r="BYA989" s="16" t="s">
        <v>1487</v>
      </c>
      <c r="BYB989" s="16" t="s">
        <v>1487</v>
      </c>
      <c r="BYC989" s="16" t="s">
        <v>1487</v>
      </c>
      <c r="BYD989" s="16" t="s">
        <v>1487</v>
      </c>
      <c r="BYE989" s="16" t="s">
        <v>1487</v>
      </c>
      <c r="BYF989" s="16" t="s">
        <v>1487</v>
      </c>
      <c r="BYG989" s="16" t="s">
        <v>1487</v>
      </c>
      <c r="BYH989" s="16" t="s">
        <v>1487</v>
      </c>
      <c r="BYI989" s="16" t="s">
        <v>1487</v>
      </c>
      <c r="BYJ989" s="16" t="s">
        <v>1487</v>
      </c>
      <c r="BYK989" s="16" t="s">
        <v>1487</v>
      </c>
      <c r="BYL989" s="16" t="s">
        <v>1487</v>
      </c>
      <c r="BYM989" s="16" t="s">
        <v>1487</v>
      </c>
      <c r="BYN989" s="16" t="s">
        <v>1487</v>
      </c>
      <c r="BYO989" s="16" t="s">
        <v>1487</v>
      </c>
      <c r="BYP989" s="16" t="s">
        <v>1487</v>
      </c>
      <c r="BYQ989" s="16" t="s">
        <v>1487</v>
      </c>
      <c r="BYR989" s="16" t="s">
        <v>1487</v>
      </c>
      <c r="BYS989" s="16" t="s">
        <v>1487</v>
      </c>
      <c r="BYT989" s="16" t="s">
        <v>1487</v>
      </c>
      <c r="BYU989" s="16" t="s">
        <v>1487</v>
      </c>
      <c r="BYV989" s="16" t="s">
        <v>1487</v>
      </c>
      <c r="BYW989" s="16" t="s">
        <v>1487</v>
      </c>
      <c r="BYX989" s="16" t="s">
        <v>1487</v>
      </c>
      <c r="BYY989" s="16" t="s">
        <v>1487</v>
      </c>
      <c r="BYZ989" s="16" t="s">
        <v>1487</v>
      </c>
      <c r="BZA989" s="16" t="s">
        <v>1487</v>
      </c>
      <c r="BZB989" s="16" t="s">
        <v>1487</v>
      </c>
      <c r="BZC989" s="16" t="s">
        <v>1487</v>
      </c>
      <c r="BZD989" s="16" t="s">
        <v>1487</v>
      </c>
      <c r="BZE989" s="16" t="s">
        <v>1487</v>
      </c>
      <c r="BZF989" s="16" t="s">
        <v>1487</v>
      </c>
      <c r="BZG989" s="16" t="s">
        <v>1487</v>
      </c>
      <c r="BZH989" s="16" t="s">
        <v>1487</v>
      </c>
      <c r="BZI989" s="16" t="s">
        <v>1487</v>
      </c>
      <c r="BZJ989" s="16" t="s">
        <v>1487</v>
      </c>
      <c r="BZK989" s="16" t="s">
        <v>1487</v>
      </c>
      <c r="BZL989" s="16" t="s">
        <v>1487</v>
      </c>
      <c r="BZM989" s="16" t="s">
        <v>1487</v>
      </c>
      <c r="BZN989" s="16" t="s">
        <v>1487</v>
      </c>
      <c r="BZO989" s="16" t="s">
        <v>1487</v>
      </c>
      <c r="BZP989" s="16" t="s">
        <v>1487</v>
      </c>
      <c r="BZQ989" s="16" t="s">
        <v>1487</v>
      </c>
      <c r="BZR989" s="16" t="s">
        <v>1487</v>
      </c>
      <c r="BZS989" s="16" t="s">
        <v>1487</v>
      </c>
      <c r="BZT989" s="16" t="s">
        <v>1487</v>
      </c>
      <c r="BZU989" s="16" t="s">
        <v>1487</v>
      </c>
      <c r="BZV989" s="16" t="s">
        <v>1487</v>
      </c>
      <c r="BZW989" s="16" t="s">
        <v>1487</v>
      </c>
      <c r="BZX989" s="16" t="s">
        <v>1487</v>
      </c>
      <c r="BZY989" s="16" t="s">
        <v>1487</v>
      </c>
      <c r="BZZ989" s="16" t="s">
        <v>1487</v>
      </c>
      <c r="CAA989" s="16" t="s">
        <v>1487</v>
      </c>
      <c r="CAB989" s="16" t="s">
        <v>1487</v>
      </c>
      <c r="CAC989" s="16" t="s">
        <v>1487</v>
      </c>
      <c r="CAD989" s="16" t="s">
        <v>1487</v>
      </c>
      <c r="CAE989" s="16" t="s">
        <v>1487</v>
      </c>
      <c r="CAF989" s="16" t="s">
        <v>1487</v>
      </c>
      <c r="CAG989" s="16" t="s">
        <v>1487</v>
      </c>
      <c r="CAH989" s="16" t="s">
        <v>1487</v>
      </c>
      <c r="CAI989" s="16" t="s">
        <v>1487</v>
      </c>
      <c r="CAJ989" s="16" t="s">
        <v>1487</v>
      </c>
      <c r="CAK989" s="16" t="s">
        <v>1487</v>
      </c>
      <c r="CAL989" s="16" t="s">
        <v>1487</v>
      </c>
      <c r="CAM989" s="16" t="s">
        <v>1487</v>
      </c>
      <c r="CAN989" s="16" t="s">
        <v>1487</v>
      </c>
      <c r="CAO989" s="16" t="s">
        <v>1487</v>
      </c>
      <c r="CAP989" s="16" t="s">
        <v>1487</v>
      </c>
      <c r="CAQ989" s="16" t="s">
        <v>1487</v>
      </c>
      <c r="CAR989" s="16" t="s">
        <v>1487</v>
      </c>
      <c r="CAS989" s="16" t="s">
        <v>1487</v>
      </c>
      <c r="CAT989" s="16" t="s">
        <v>1487</v>
      </c>
      <c r="CAU989" s="16" t="s">
        <v>1487</v>
      </c>
      <c r="CAV989" s="16" t="s">
        <v>1487</v>
      </c>
      <c r="CAW989" s="16" t="s">
        <v>1487</v>
      </c>
      <c r="CAX989" s="16" t="s">
        <v>1487</v>
      </c>
      <c r="CAY989" s="16" t="s">
        <v>1487</v>
      </c>
      <c r="CAZ989" s="16" t="s">
        <v>1487</v>
      </c>
      <c r="CBA989" s="16" t="s">
        <v>1487</v>
      </c>
      <c r="CBB989" s="16" t="s">
        <v>1487</v>
      </c>
      <c r="CBC989" s="16" t="s">
        <v>1487</v>
      </c>
      <c r="CBD989" s="16" t="s">
        <v>1487</v>
      </c>
      <c r="CBE989" s="16" t="s">
        <v>1487</v>
      </c>
      <c r="CBF989" s="16" t="s">
        <v>1487</v>
      </c>
      <c r="CBG989" s="16" t="s">
        <v>1487</v>
      </c>
      <c r="CBH989" s="16" t="s">
        <v>1487</v>
      </c>
      <c r="CBI989" s="16" t="s">
        <v>1487</v>
      </c>
      <c r="CBJ989" s="16" t="s">
        <v>1487</v>
      </c>
      <c r="CBK989" s="16" t="s">
        <v>1487</v>
      </c>
      <c r="CBL989" s="16" t="s">
        <v>1487</v>
      </c>
      <c r="CBM989" s="16" t="s">
        <v>1487</v>
      </c>
      <c r="CBN989" s="16" t="s">
        <v>1487</v>
      </c>
      <c r="CBO989" s="16" t="s">
        <v>1487</v>
      </c>
      <c r="CBP989" s="16" t="s">
        <v>1487</v>
      </c>
      <c r="CBQ989" s="16" t="s">
        <v>1487</v>
      </c>
      <c r="CBR989" s="16" t="s">
        <v>1487</v>
      </c>
      <c r="CBS989" s="16" t="s">
        <v>1487</v>
      </c>
      <c r="CBT989" s="16" t="s">
        <v>1487</v>
      </c>
      <c r="CBU989" s="16" t="s">
        <v>1487</v>
      </c>
      <c r="CBV989" s="16" t="s">
        <v>1487</v>
      </c>
      <c r="CBW989" s="16" t="s">
        <v>1487</v>
      </c>
      <c r="CBX989" s="16" t="s">
        <v>1487</v>
      </c>
      <c r="CBY989" s="16" t="s">
        <v>1487</v>
      </c>
      <c r="CBZ989" s="16" t="s">
        <v>1487</v>
      </c>
      <c r="CCA989" s="16" t="s">
        <v>1487</v>
      </c>
      <c r="CCB989" s="16" t="s">
        <v>1487</v>
      </c>
      <c r="CCC989" s="16" t="s">
        <v>1487</v>
      </c>
      <c r="CCD989" s="16" t="s">
        <v>1487</v>
      </c>
      <c r="CCE989" s="16" t="s">
        <v>1487</v>
      </c>
      <c r="CCF989" s="16" t="s">
        <v>1487</v>
      </c>
      <c r="CCG989" s="16" t="s">
        <v>1487</v>
      </c>
      <c r="CCH989" s="16" t="s">
        <v>1487</v>
      </c>
      <c r="CCI989" s="16" t="s">
        <v>1487</v>
      </c>
      <c r="CCJ989" s="16" t="s">
        <v>1487</v>
      </c>
      <c r="CCK989" s="16" t="s">
        <v>1487</v>
      </c>
      <c r="CCL989" s="16" t="s">
        <v>1487</v>
      </c>
      <c r="CCM989" s="16" t="s">
        <v>1487</v>
      </c>
      <c r="CCN989" s="16" t="s">
        <v>1487</v>
      </c>
      <c r="CCO989" s="16" t="s">
        <v>1487</v>
      </c>
      <c r="CCP989" s="16" t="s">
        <v>1487</v>
      </c>
      <c r="CCQ989" s="16" t="s">
        <v>1487</v>
      </c>
      <c r="CCR989" s="16" t="s">
        <v>1487</v>
      </c>
      <c r="CCS989" s="16" t="s">
        <v>1487</v>
      </c>
      <c r="CCT989" s="16" t="s">
        <v>1487</v>
      </c>
      <c r="CCU989" s="16" t="s">
        <v>1487</v>
      </c>
      <c r="CCV989" s="16" t="s">
        <v>1487</v>
      </c>
      <c r="CCW989" s="16" t="s">
        <v>1487</v>
      </c>
      <c r="CCX989" s="16" t="s">
        <v>1487</v>
      </c>
      <c r="CCY989" s="16" t="s">
        <v>1487</v>
      </c>
      <c r="CCZ989" s="16" t="s">
        <v>1487</v>
      </c>
      <c r="CDA989" s="16" t="s">
        <v>1487</v>
      </c>
      <c r="CDB989" s="16" t="s">
        <v>1487</v>
      </c>
      <c r="CDC989" s="16" t="s">
        <v>1487</v>
      </c>
      <c r="CDD989" s="16" t="s">
        <v>1487</v>
      </c>
      <c r="CDE989" s="16" t="s">
        <v>1487</v>
      </c>
      <c r="CDF989" s="16" t="s">
        <v>1487</v>
      </c>
      <c r="CDG989" s="16" t="s">
        <v>1487</v>
      </c>
      <c r="CDH989" s="16" t="s">
        <v>1487</v>
      </c>
      <c r="CDI989" s="16" t="s">
        <v>1487</v>
      </c>
      <c r="CDJ989" s="16" t="s">
        <v>1487</v>
      </c>
      <c r="CDK989" s="16" t="s">
        <v>1487</v>
      </c>
      <c r="CDL989" s="16" t="s">
        <v>1487</v>
      </c>
      <c r="CDM989" s="16" t="s">
        <v>1487</v>
      </c>
      <c r="CDN989" s="16" t="s">
        <v>1487</v>
      </c>
      <c r="CDO989" s="16" t="s">
        <v>1487</v>
      </c>
      <c r="CDP989" s="16" t="s">
        <v>1487</v>
      </c>
      <c r="CDQ989" s="16" t="s">
        <v>1487</v>
      </c>
      <c r="CDR989" s="16" t="s">
        <v>1487</v>
      </c>
      <c r="CDS989" s="16" t="s">
        <v>1487</v>
      </c>
      <c r="CDT989" s="16" t="s">
        <v>1487</v>
      </c>
      <c r="CDU989" s="16" t="s">
        <v>1487</v>
      </c>
      <c r="CDV989" s="16" t="s">
        <v>1487</v>
      </c>
      <c r="CDW989" s="16" t="s">
        <v>1487</v>
      </c>
      <c r="CDX989" s="16" t="s">
        <v>1487</v>
      </c>
      <c r="CDY989" s="16" t="s">
        <v>1487</v>
      </c>
      <c r="CDZ989" s="16" t="s">
        <v>1487</v>
      </c>
      <c r="CEA989" s="16" t="s">
        <v>1487</v>
      </c>
      <c r="CEB989" s="16" t="s">
        <v>1487</v>
      </c>
      <c r="CEC989" s="16" t="s">
        <v>1487</v>
      </c>
      <c r="CED989" s="16" t="s">
        <v>1487</v>
      </c>
      <c r="CEE989" s="16" t="s">
        <v>1487</v>
      </c>
      <c r="CEF989" s="16" t="s">
        <v>1487</v>
      </c>
      <c r="CEG989" s="16" t="s">
        <v>1487</v>
      </c>
      <c r="CEH989" s="16" t="s">
        <v>1487</v>
      </c>
      <c r="CEI989" s="16" t="s">
        <v>1487</v>
      </c>
      <c r="CEJ989" s="16" t="s">
        <v>1487</v>
      </c>
      <c r="CEK989" s="16" t="s">
        <v>1487</v>
      </c>
      <c r="CEL989" s="16" t="s">
        <v>1487</v>
      </c>
      <c r="CEM989" s="16" t="s">
        <v>1487</v>
      </c>
      <c r="CEN989" s="16" t="s">
        <v>1487</v>
      </c>
      <c r="CEO989" s="16" t="s">
        <v>1487</v>
      </c>
      <c r="CEP989" s="16" t="s">
        <v>1487</v>
      </c>
      <c r="CEQ989" s="16" t="s">
        <v>1487</v>
      </c>
      <c r="CER989" s="16" t="s">
        <v>1487</v>
      </c>
      <c r="CES989" s="16" t="s">
        <v>1487</v>
      </c>
      <c r="CET989" s="16" t="s">
        <v>1487</v>
      </c>
      <c r="CEU989" s="16" t="s">
        <v>1487</v>
      </c>
      <c r="CEV989" s="16" t="s">
        <v>1487</v>
      </c>
      <c r="CEW989" s="16" t="s">
        <v>1487</v>
      </c>
      <c r="CEX989" s="16" t="s">
        <v>1487</v>
      </c>
      <c r="CEY989" s="16" t="s">
        <v>1487</v>
      </c>
      <c r="CEZ989" s="16" t="s">
        <v>1487</v>
      </c>
      <c r="CFA989" s="16" t="s">
        <v>1487</v>
      </c>
      <c r="CFB989" s="16" t="s">
        <v>1487</v>
      </c>
      <c r="CFC989" s="16" t="s">
        <v>1487</v>
      </c>
      <c r="CFD989" s="16" t="s">
        <v>1487</v>
      </c>
      <c r="CFE989" s="16" t="s">
        <v>1487</v>
      </c>
      <c r="CFF989" s="16" t="s">
        <v>1487</v>
      </c>
      <c r="CFG989" s="16" t="s">
        <v>1487</v>
      </c>
      <c r="CFH989" s="16" t="s">
        <v>1487</v>
      </c>
      <c r="CFI989" s="16" t="s">
        <v>1487</v>
      </c>
      <c r="CFJ989" s="16" t="s">
        <v>1487</v>
      </c>
      <c r="CFK989" s="16" t="s">
        <v>1487</v>
      </c>
      <c r="CFL989" s="16" t="s">
        <v>1487</v>
      </c>
      <c r="CFM989" s="16" t="s">
        <v>1487</v>
      </c>
      <c r="CFN989" s="16" t="s">
        <v>1487</v>
      </c>
      <c r="CFO989" s="16" t="s">
        <v>1487</v>
      </c>
      <c r="CFP989" s="16" t="s">
        <v>1487</v>
      </c>
      <c r="CFQ989" s="16" t="s">
        <v>1487</v>
      </c>
      <c r="CFR989" s="16" t="s">
        <v>1487</v>
      </c>
      <c r="CFS989" s="16" t="s">
        <v>1487</v>
      </c>
      <c r="CFT989" s="16" t="s">
        <v>1487</v>
      </c>
      <c r="CFU989" s="16" t="s">
        <v>1487</v>
      </c>
      <c r="CFV989" s="16" t="s">
        <v>1487</v>
      </c>
      <c r="CFW989" s="16" t="s">
        <v>1487</v>
      </c>
      <c r="CFX989" s="16" t="s">
        <v>1487</v>
      </c>
      <c r="CFY989" s="16" t="s">
        <v>1487</v>
      </c>
      <c r="CFZ989" s="16" t="s">
        <v>1487</v>
      </c>
      <c r="CGA989" s="16" t="s">
        <v>1487</v>
      </c>
      <c r="CGB989" s="16" t="s">
        <v>1487</v>
      </c>
      <c r="CGC989" s="16" t="s">
        <v>1487</v>
      </c>
      <c r="CGD989" s="16" t="s">
        <v>1487</v>
      </c>
      <c r="CGE989" s="16" t="s">
        <v>1487</v>
      </c>
      <c r="CGF989" s="16" t="s">
        <v>1487</v>
      </c>
      <c r="CGG989" s="16" t="s">
        <v>1487</v>
      </c>
      <c r="CGH989" s="16" t="s">
        <v>1487</v>
      </c>
      <c r="CGI989" s="16" t="s">
        <v>1487</v>
      </c>
      <c r="CGJ989" s="16" t="s">
        <v>1487</v>
      </c>
      <c r="CGK989" s="16" t="s">
        <v>1487</v>
      </c>
      <c r="CGL989" s="16" t="s">
        <v>1487</v>
      </c>
      <c r="CGM989" s="16" t="s">
        <v>1487</v>
      </c>
      <c r="CGN989" s="16" t="s">
        <v>1487</v>
      </c>
      <c r="CGO989" s="16" t="s">
        <v>1487</v>
      </c>
      <c r="CGP989" s="16" t="s">
        <v>1487</v>
      </c>
      <c r="CGQ989" s="16" t="s">
        <v>1487</v>
      </c>
      <c r="CGR989" s="16" t="s">
        <v>1487</v>
      </c>
      <c r="CGS989" s="16" t="s">
        <v>1487</v>
      </c>
      <c r="CGT989" s="16" t="s">
        <v>1487</v>
      </c>
      <c r="CGU989" s="16" t="s">
        <v>1487</v>
      </c>
      <c r="CGV989" s="16" t="s">
        <v>1487</v>
      </c>
      <c r="CGW989" s="16" t="s">
        <v>1487</v>
      </c>
      <c r="CGX989" s="16" t="s">
        <v>1487</v>
      </c>
      <c r="CGY989" s="16" t="s">
        <v>1487</v>
      </c>
      <c r="CGZ989" s="16" t="s">
        <v>1487</v>
      </c>
      <c r="CHA989" s="16" t="s">
        <v>1487</v>
      </c>
      <c r="CHB989" s="16" t="s">
        <v>1487</v>
      </c>
      <c r="CHC989" s="16" t="s">
        <v>1487</v>
      </c>
      <c r="CHD989" s="16" t="s">
        <v>1487</v>
      </c>
      <c r="CHE989" s="16" t="s">
        <v>1487</v>
      </c>
      <c r="CHF989" s="16" t="s">
        <v>1487</v>
      </c>
      <c r="CHG989" s="16" t="s">
        <v>1487</v>
      </c>
      <c r="CHH989" s="16" t="s">
        <v>1487</v>
      </c>
      <c r="CHI989" s="16" t="s">
        <v>1487</v>
      </c>
      <c r="CHJ989" s="16" t="s">
        <v>1487</v>
      </c>
      <c r="CHK989" s="16" t="s">
        <v>1487</v>
      </c>
      <c r="CHL989" s="16" t="s">
        <v>1487</v>
      </c>
      <c r="CHM989" s="16" t="s">
        <v>1487</v>
      </c>
      <c r="CHN989" s="16" t="s">
        <v>1487</v>
      </c>
      <c r="CHO989" s="16" t="s">
        <v>1487</v>
      </c>
      <c r="CHP989" s="16" t="s">
        <v>1487</v>
      </c>
      <c r="CHQ989" s="16" t="s">
        <v>1487</v>
      </c>
      <c r="CHR989" s="16" t="s">
        <v>1487</v>
      </c>
      <c r="CHS989" s="16" t="s">
        <v>1487</v>
      </c>
      <c r="CHT989" s="16" t="s">
        <v>1487</v>
      </c>
      <c r="CHU989" s="16" t="s">
        <v>1487</v>
      </c>
      <c r="CHV989" s="16" t="s">
        <v>1487</v>
      </c>
      <c r="CHW989" s="16" t="s">
        <v>1487</v>
      </c>
      <c r="CHX989" s="16" t="s">
        <v>1487</v>
      </c>
      <c r="CHY989" s="16" t="s">
        <v>1487</v>
      </c>
      <c r="CHZ989" s="16" t="s">
        <v>1487</v>
      </c>
      <c r="CIA989" s="16" t="s">
        <v>1487</v>
      </c>
      <c r="CIB989" s="16" t="s">
        <v>1487</v>
      </c>
      <c r="CIC989" s="16" t="s">
        <v>1487</v>
      </c>
      <c r="CID989" s="16" t="s">
        <v>1487</v>
      </c>
      <c r="CIE989" s="16" t="s">
        <v>1487</v>
      </c>
      <c r="CIF989" s="16" t="s">
        <v>1487</v>
      </c>
      <c r="CIG989" s="16" t="s">
        <v>1487</v>
      </c>
      <c r="CIH989" s="16" t="s">
        <v>1487</v>
      </c>
      <c r="CII989" s="16" t="s">
        <v>1487</v>
      </c>
      <c r="CIJ989" s="16" t="s">
        <v>1487</v>
      </c>
      <c r="CIK989" s="16" t="s">
        <v>1487</v>
      </c>
      <c r="CIL989" s="16" t="s">
        <v>1487</v>
      </c>
      <c r="CIM989" s="16" t="s">
        <v>1487</v>
      </c>
      <c r="CIN989" s="16" t="s">
        <v>1487</v>
      </c>
      <c r="CIO989" s="16" t="s">
        <v>1487</v>
      </c>
      <c r="CIP989" s="16" t="s">
        <v>1487</v>
      </c>
      <c r="CIQ989" s="16" t="s">
        <v>1487</v>
      </c>
      <c r="CIR989" s="16" t="s">
        <v>1487</v>
      </c>
      <c r="CIS989" s="16" t="s">
        <v>1487</v>
      </c>
      <c r="CIT989" s="16" t="s">
        <v>1487</v>
      </c>
      <c r="CIU989" s="16" t="s">
        <v>1487</v>
      </c>
      <c r="CIV989" s="16" t="s">
        <v>1487</v>
      </c>
      <c r="CIW989" s="16" t="s">
        <v>1487</v>
      </c>
      <c r="CIX989" s="16" t="s">
        <v>1487</v>
      </c>
      <c r="CIY989" s="16" t="s">
        <v>1487</v>
      </c>
      <c r="CIZ989" s="16" t="s">
        <v>1487</v>
      </c>
      <c r="CJA989" s="16" t="s">
        <v>1487</v>
      </c>
      <c r="CJB989" s="16" t="s">
        <v>1487</v>
      </c>
      <c r="CJC989" s="16" t="s">
        <v>1487</v>
      </c>
      <c r="CJD989" s="16" t="s">
        <v>1487</v>
      </c>
      <c r="CJE989" s="16" t="s">
        <v>1487</v>
      </c>
      <c r="CJF989" s="16" t="s">
        <v>1487</v>
      </c>
      <c r="CJG989" s="16" t="s">
        <v>1487</v>
      </c>
      <c r="CJH989" s="16" t="s">
        <v>1487</v>
      </c>
      <c r="CJI989" s="16" t="s">
        <v>1487</v>
      </c>
      <c r="CJJ989" s="16" t="s">
        <v>1487</v>
      </c>
      <c r="CJK989" s="16" t="s">
        <v>1487</v>
      </c>
      <c r="CJL989" s="16" t="s">
        <v>1487</v>
      </c>
      <c r="CJM989" s="16" t="s">
        <v>1487</v>
      </c>
      <c r="CJN989" s="16" t="s">
        <v>1487</v>
      </c>
      <c r="CJO989" s="16" t="s">
        <v>1487</v>
      </c>
      <c r="CJP989" s="16" t="s">
        <v>1487</v>
      </c>
      <c r="CJQ989" s="16" t="s">
        <v>1487</v>
      </c>
      <c r="CJR989" s="16" t="s">
        <v>1487</v>
      </c>
      <c r="CJS989" s="16" t="s">
        <v>1487</v>
      </c>
      <c r="CJT989" s="16" t="s">
        <v>1487</v>
      </c>
      <c r="CJU989" s="16" t="s">
        <v>1487</v>
      </c>
      <c r="CJV989" s="16" t="s">
        <v>1487</v>
      </c>
      <c r="CJW989" s="16" t="s">
        <v>1487</v>
      </c>
      <c r="CJX989" s="16" t="s">
        <v>1487</v>
      </c>
      <c r="CJY989" s="16" t="s">
        <v>1487</v>
      </c>
      <c r="CJZ989" s="16" t="s">
        <v>1487</v>
      </c>
      <c r="CKA989" s="16" t="s">
        <v>1487</v>
      </c>
      <c r="CKB989" s="16" t="s">
        <v>1487</v>
      </c>
      <c r="CKC989" s="16" t="s">
        <v>1487</v>
      </c>
      <c r="CKD989" s="16" t="s">
        <v>1487</v>
      </c>
      <c r="CKE989" s="16" t="s">
        <v>1487</v>
      </c>
      <c r="CKF989" s="16" t="s">
        <v>1487</v>
      </c>
      <c r="CKG989" s="16" t="s">
        <v>1487</v>
      </c>
      <c r="CKH989" s="16" t="s">
        <v>1487</v>
      </c>
      <c r="CKI989" s="16" t="s">
        <v>1487</v>
      </c>
      <c r="CKJ989" s="16" t="s">
        <v>1487</v>
      </c>
      <c r="CKK989" s="16" t="s">
        <v>1487</v>
      </c>
      <c r="CKL989" s="16" t="s">
        <v>1487</v>
      </c>
      <c r="CKM989" s="16" t="s">
        <v>1487</v>
      </c>
      <c r="CKN989" s="16" t="s">
        <v>1487</v>
      </c>
      <c r="CKO989" s="16" t="s">
        <v>1487</v>
      </c>
      <c r="CKP989" s="16" t="s">
        <v>1487</v>
      </c>
      <c r="CKQ989" s="16" t="s">
        <v>1487</v>
      </c>
      <c r="CKR989" s="16" t="s">
        <v>1487</v>
      </c>
      <c r="CKS989" s="16" t="s">
        <v>1487</v>
      </c>
      <c r="CKT989" s="16" t="s">
        <v>1487</v>
      </c>
      <c r="CKU989" s="16" t="s">
        <v>1487</v>
      </c>
      <c r="CKV989" s="16" t="s">
        <v>1487</v>
      </c>
      <c r="CKW989" s="16" t="s">
        <v>1487</v>
      </c>
      <c r="CKX989" s="16" t="s">
        <v>1487</v>
      </c>
      <c r="CKY989" s="16" t="s">
        <v>1487</v>
      </c>
      <c r="CKZ989" s="16" t="s">
        <v>1487</v>
      </c>
      <c r="CLA989" s="16" t="s">
        <v>1487</v>
      </c>
      <c r="CLB989" s="16" t="s">
        <v>1487</v>
      </c>
      <c r="CLC989" s="16" t="s">
        <v>1487</v>
      </c>
      <c r="CLD989" s="16" t="s">
        <v>1487</v>
      </c>
      <c r="CLE989" s="16" t="s">
        <v>1487</v>
      </c>
      <c r="CLF989" s="16" t="s">
        <v>1487</v>
      </c>
      <c r="CLG989" s="16" t="s">
        <v>1487</v>
      </c>
      <c r="CLH989" s="16" t="s">
        <v>1487</v>
      </c>
      <c r="CLI989" s="16" t="s">
        <v>1487</v>
      </c>
      <c r="CLJ989" s="16" t="s">
        <v>1487</v>
      </c>
      <c r="CLK989" s="16" t="s">
        <v>1487</v>
      </c>
      <c r="CLL989" s="16" t="s">
        <v>1487</v>
      </c>
      <c r="CLM989" s="16" t="s">
        <v>1487</v>
      </c>
      <c r="CLN989" s="16" t="s">
        <v>1487</v>
      </c>
      <c r="CLO989" s="16" t="s">
        <v>1487</v>
      </c>
      <c r="CLP989" s="16" t="s">
        <v>1487</v>
      </c>
      <c r="CLQ989" s="16" t="s">
        <v>1487</v>
      </c>
      <c r="CLR989" s="16" t="s">
        <v>1487</v>
      </c>
      <c r="CLS989" s="16" t="s">
        <v>1487</v>
      </c>
      <c r="CLT989" s="16" t="s">
        <v>1487</v>
      </c>
      <c r="CLU989" s="16" t="s">
        <v>1487</v>
      </c>
      <c r="CLV989" s="16" t="s">
        <v>1487</v>
      </c>
      <c r="CLW989" s="16" t="s">
        <v>1487</v>
      </c>
      <c r="CLX989" s="16" t="s">
        <v>1487</v>
      </c>
      <c r="CLY989" s="16" t="s">
        <v>1487</v>
      </c>
      <c r="CLZ989" s="16" t="s">
        <v>1487</v>
      </c>
      <c r="CMA989" s="16" t="s">
        <v>1487</v>
      </c>
      <c r="CMB989" s="16" t="s">
        <v>1487</v>
      </c>
      <c r="CMC989" s="16" t="s">
        <v>1487</v>
      </c>
      <c r="CMD989" s="16" t="s">
        <v>1487</v>
      </c>
      <c r="CME989" s="16" t="s">
        <v>1487</v>
      </c>
      <c r="CMF989" s="16" t="s">
        <v>1487</v>
      </c>
      <c r="CMG989" s="16" t="s">
        <v>1487</v>
      </c>
      <c r="CMH989" s="16" t="s">
        <v>1487</v>
      </c>
      <c r="CMI989" s="16" t="s">
        <v>1487</v>
      </c>
      <c r="CMJ989" s="16" t="s">
        <v>1487</v>
      </c>
      <c r="CMK989" s="16" t="s">
        <v>1487</v>
      </c>
      <c r="CML989" s="16" t="s">
        <v>1487</v>
      </c>
      <c r="CMM989" s="16" t="s">
        <v>1487</v>
      </c>
      <c r="CMN989" s="16" t="s">
        <v>1487</v>
      </c>
      <c r="CMO989" s="16" t="s">
        <v>1487</v>
      </c>
      <c r="CMP989" s="16" t="s">
        <v>1487</v>
      </c>
      <c r="CMQ989" s="16" t="s">
        <v>1487</v>
      </c>
      <c r="CMR989" s="16" t="s">
        <v>1487</v>
      </c>
      <c r="CMS989" s="16" t="s">
        <v>1487</v>
      </c>
      <c r="CMT989" s="16" t="s">
        <v>1487</v>
      </c>
      <c r="CMU989" s="16" t="s">
        <v>1487</v>
      </c>
      <c r="CMV989" s="16" t="s">
        <v>1487</v>
      </c>
      <c r="CMW989" s="16" t="s">
        <v>1487</v>
      </c>
      <c r="CMX989" s="16" t="s">
        <v>1487</v>
      </c>
      <c r="CMY989" s="16" t="s">
        <v>1487</v>
      </c>
      <c r="CMZ989" s="16" t="s">
        <v>1487</v>
      </c>
      <c r="CNA989" s="16" t="s">
        <v>1487</v>
      </c>
      <c r="CNB989" s="16" t="s">
        <v>1487</v>
      </c>
      <c r="CNC989" s="16" t="s">
        <v>1487</v>
      </c>
      <c r="CND989" s="16" t="s">
        <v>1487</v>
      </c>
      <c r="CNE989" s="16" t="s">
        <v>1487</v>
      </c>
      <c r="CNF989" s="16" t="s">
        <v>1487</v>
      </c>
      <c r="CNG989" s="16" t="s">
        <v>1487</v>
      </c>
      <c r="CNH989" s="16" t="s">
        <v>1487</v>
      </c>
      <c r="CNI989" s="16" t="s">
        <v>1487</v>
      </c>
      <c r="CNJ989" s="16" t="s">
        <v>1487</v>
      </c>
      <c r="CNK989" s="16" t="s">
        <v>1487</v>
      </c>
      <c r="CNL989" s="16" t="s">
        <v>1487</v>
      </c>
      <c r="CNM989" s="16" t="s">
        <v>1487</v>
      </c>
      <c r="CNN989" s="16" t="s">
        <v>1487</v>
      </c>
      <c r="CNO989" s="16" t="s">
        <v>1487</v>
      </c>
      <c r="CNP989" s="16" t="s">
        <v>1487</v>
      </c>
      <c r="CNQ989" s="16" t="s">
        <v>1487</v>
      </c>
      <c r="CNR989" s="16" t="s">
        <v>1487</v>
      </c>
      <c r="CNS989" s="16" t="s">
        <v>1487</v>
      </c>
      <c r="CNT989" s="16" t="s">
        <v>1487</v>
      </c>
      <c r="CNU989" s="16" t="s">
        <v>1487</v>
      </c>
      <c r="CNV989" s="16" t="s">
        <v>1487</v>
      </c>
      <c r="CNW989" s="16" t="s">
        <v>1487</v>
      </c>
      <c r="CNX989" s="16" t="s">
        <v>1487</v>
      </c>
      <c r="CNY989" s="16" t="s">
        <v>1487</v>
      </c>
      <c r="CNZ989" s="16" t="s">
        <v>1487</v>
      </c>
      <c r="COA989" s="16" t="s">
        <v>1487</v>
      </c>
      <c r="COB989" s="16" t="s">
        <v>1487</v>
      </c>
      <c r="COC989" s="16" t="s">
        <v>1487</v>
      </c>
      <c r="COD989" s="16" t="s">
        <v>1487</v>
      </c>
      <c r="COE989" s="16" t="s">
        <v>1487</v>
      </c>
      <c r="COF989" s="16" t="s">
        <v>1487</v>
      </c>
      <c r="COG989" s="16" t="s">
        <v>1487</v>
      </c>
      <c r="COH989" s="16" t="s">
        <v>1487</v>
      </c>
      <c r="COI989" s="16" t="s">
        <v>1487</v>
      </c>
      <c r="COJ989" s="16" t="s">
        <v>1487</v>
      </c>
      <c r="COK989" s="16" t="s">
        <v>1487</v>
      </c>
      <c r="COL989" s="16" t="s">
        <v>1487</v>
      </c>
      <c r="COM989" s="16" t="s">
        <v>1487</v>
      </c>
      <c r="CON989" s="16" t="s">
        <v>1487</v>
      </c>
      <c r="COO989" s="16" t="s">
        <v>1487</v>
      </c>
      <c r="COP989" s="16" t="s">
        <v>1487</v>
      </c>
      <c r="COQ989" s="16" t="s">
        <v>1487</v>
      </c>
      <c r="COR989" s="16" t="s">
        <v>1487</v>
      </c>
      <c r="COS989" s="16" t="s">
        <v>1487</v>
      </c>
      <c r="COT989" s="16" t="s">
        <v>1487</v>
      </c>
      <c r="COU989" s="16" t="s">
        <v>1487</v>
      </c>
      <c r="COV989" s="16" t="s">
        <v>1487</v>
      </c>
      <c r="COW989" s="16" t="s">
        <v>1487</v>
      </c>
      <c r="COX989" s="16" t="s">
        <v>1487</v>
      </c>
      <c r="COY989" s="16" t="s">
        <v>1487</v>
      </c>
      <c r="COZ989" s="16" t="s">
        <v>1487</v>
      </c>
      <c r="CPA989" s="16" t="s">
        <v>1487</v>
      </c>
      <c r="CPB989" s="16" t="s">
        <v>1487</v>
      </c>
      <c r="CPC989" s="16" t="s">
        <v>1487</v>
      </c>
      <c r="CPD989" s="16" t="s">
        <v>1487</v>
      </c>
      <c r="CPE989" s="16" t="s">
        <v>1487</v>
      </c>
      <c r="CPF989" s="16" t="s">
        <v>1487</v>
      </c>
      <c r="CPG989" s="16" t="s">
        <v>1487</v>
      </c>
      <c r="CPH989" s="16" t="s">
        <v>1487</v>
      </c>
      <c r="CPI989" s="16" t="s">
        <v>1487</v>
      </c>
      <c r="CPJ989" s="16" t="s">
        <v>1487</v>
      </c>
      <c r="CPK989" s="16" t="s">
        <v>1487</v>
      </c>
      <c r="CPL989" s="16" t="s">
        <v>1487</v>
      </c>
      <c r="CPM989" s="16" t="s">
        <v>1487</v>
      </c>
      <c r="CPN989" s="16" t="s">
        <v>1487</v>
      </c>
      <c r="CPO989" s="16" t="s">
        <v>1487</v>
      </c>
      <c r="CPP989" s="16" t="s">
        <v>1487</v>
      </c>
      <c r="CPQ989" s="16" t="s">
        <v>1487</v>
      </c>
      <c r="CPR989" s="16" t="s">
        <v>1487</v>
      </c>
      <c r="CPS989" s="16" t="s">
        <v>1487</v>
      </c>
      <c r="CPT989" s="16" t="s">
        <v>1487</v>
      </c>
      <c r="CPU989" s="16" t="s">
        <v>1487</v>
      </c>
      <c r="CPV989" s="16" t="s">
        <v>1487</v>
      </c>
      <c r="CPW989" s="16" t="s">
        <v>1487</v>
      </c>
      <c r="CPX989" s="16" t="s">
        <v>1487</v>
      </c>
      <c r="CPY989" s="16" t="s">
        <v>1487</v>
      </c>
      <c r="CPZ989" s="16" t="s">
        <v>1487</v>
      </c>
      <c r="CQA989" s="16" t="s">
        <v>1487</v>
      </c>
      <c r="CQB989" s="16" t="s">
        <v>1487</v>
      </c>
      <c r="CQC989" s="16" t="s">
        <v>1487</v>
      </c>
      <c r="CQD989" s="16" t="s">
        <v>1487</v>
      </c>
      <c r="CQE989" s="16" t="s">
        <v>1487</v>
      </c>
      <c r="CQF989" s="16" t="s">
        <v>1487</v>
      </c>
      <c r="CQG989" s="16" t="s">
        <v>1487</v>
      </c>
      <c r="CQH989" s="16" t="s">
        <v>1487</v>
      </c>
      <c r="CQI989" s="16" t="s">
        <v>1487</v>
      </c>
      <c r="CQJ989" s="16" t="s">
        <v>1487</v>
      </c>
      <c r="CQK989" s="16" t="s">
        <v>1487</v>
      </c>
      <c r="CQL989" s="16" t="s">
        <v>1487</v>
      </c>
      <c r="CQM989" s="16" t="s">
        <v>1487</v>
      </c>
      <c r="CQN989" s="16" t="s">
        <v>1487</v>
      </c>
      <c r="CQO989" s="16" t="s">
        <v>1487</v>
      </c>
      <c r="CQP989" s="16" t="s">
        <v>1487</v>
      </c>
      <c r="CQQ989" s="16" t="s">
        <v>1487</v>
      </c>
      <c r="CQR989" s="16" t="s">
        <v>1487</v>
      </c>
      <c r="CQS989" s="16" t="s">
        <v>1487</v>
      </c>
      <c r="CQT989" s="16" t="s">
        <v>1487</v>
      </c>
      <c r="CQU989" s="16" t="s">
        <v>1487</v>
      </c>
      <c r="CQV989" s="16" t="s">
        <v>1487</v>
      </c>
      <c r="CQW989" s="16" t="s">
        <v>1487</v>
      </c>
      <c r="CQX989" s="16" t="s">
        <v>1487</v>
      </c>
      <c r="CQY989" s="16" t="s">
        <v>1487</v>
      </c>
      <c r="CQZ989" s="16" t="s">
        <v>1487</v>
      </c>
      <c r="CRA989" s="16" t="s">
        <v>1487</v>
      </c>
      <c r="CRB989" s="16" t="s">
        <v>1487</v>
      </c>
      <c r="CRC989" s="16" t="s">
        <v>1487</v>
      </c>
      <c r="CRD989" s="16" t="s">
        <v>1487</v>
      </c>
      <c r="CRE989" s="16" t="s">
        <v>1487</v>
      </c>
      <c r="CRF989" s="16" t="s">
        <v>1487</v>
      </c>
      <c r="CRG989" s="16" t="s">
        <v>1487</v>
      </c>
      <c r="CRH989" s="16" t="s">
        <v>1487</v>
      </c>
      <c r="CRI989" s="16" t="s">
        <v>1487</v>
      </c>
      <c r="CRJ989" s="16" t="s">
        <v>1487</v>
      </c>
      <c r="CRK989" s="16" t="s">
        <v>1487</v>
      </c>
      <c r="CRL989" s="16" t="s">
        <v>1487</v>
      </c>
      <c r="CRM989" s="16" t="s">
        <v>1487</v>
      </c>
      <c r="CRN989" s="16" t="s">
        <v>1487</v>
      </c>
      <c r="CRO989" s="16" t="s">
        <v>1487</v>
      </c>
      <c r="CRP989" s="16" t="s">
        <v>1487</v>
      </c>
      <c r="CRQ989" s="16" t="s">
        <v>1487</v>
      </c>
      <c r="CRR989" s="16" t="s">
        <v>1487</v>
      </c>
      <c r="CRS989" s="16" t="s">
        <v>1487</v>
      </c>
      <c r="CRT989" s="16" t="s">
        <v>1487</v>
      </c>
      <c r="CRU989" s="16" t="s">
        <v>1487</v>
      </c>
      <c r="CRV989" s="16" t="s">
        <v>1487</v>
      </c>
      <c r="CRW989" s="16" t="s">
        <v>1487</v>
      </c>
      <c r="CRX989" s="16" t="s">
        <v>1487</v>
      </c>
      <c r="CRY989" s="16" t="s">
        <v>1487</v>
      </c>
      <c r="CRZ989" s="16" t="s">
        <v>1487</v>
      </c>
      <c r="CSA989" s="16" t="s">
        <v>1487</v>
      </c>
      <c r="CSB989" s="16" t="s">
        <v>1487</v>
      </c>
      <c r="CSC989" s="16" t="s">
        <v>1487</v>
      </c>
      <c r="CSD989" s="16" t="s">
        <v>1487</v>
      </c>
      <c r="CSE989" s="16" t="s">
        <v>1487</v>
      </c>
      <c r="CSF989" s="16" t="s">
        <v>1487</v>
      </c>
      <c r="CSG989" s="16" t="s">
        <v>1487</v>
      </c>
      <c r="CSH989" s="16" t="s">
        <v>1487</v>
      </c>
      <c r="CSI989" s="16" t="s">
        <v>1487</v>
      </c>
      <c r="CSJ989" s="16" t="s">
        <v>1487</v>
      </c>
      <c r="CSK989" s="16" t="s">
        <v>1487</v>
      </c>
      <c r="CSL989" s="16" t="s">
        <v>1487</v>
      </c>
      <c r="CSM989" s="16" t="s">
        <v>1487</v>
      </c>
      <c r="CSN989" s="16" t="s">
        <v>1487</v>
      </c>
      <c r="CSO989" s="16" t="s">
        <v>1487</v>
      </c>
      <c r="CSP989" s="16" t="s">
        <v>1487</v>
      </c>
      <c r="CSQ989" s="16" t="s">
        <v>1487</v>
      </c>
      <c r="CSR989" s="16" t="s">
        <v>1487</v>
      </c>
      <c r="CSS989" s="16" t="s">
        <v>1487</v>
      </c>
      <c r="CST989" s="16" t="s">
        <v>1487</v>
      </c>
      <c r="CSU989" s="16" t="s">
        <v>1487</v>
      </c>
      <c r="CSV989" s="16" t="s">
        <v>1487</v>
      </c>
      <c r="CSW989" s="16" t="s">
        <v>1487</v>
      </c>
      <c r="CSX989" s="16" t="s">
        <v>1487</v>
      </c>
      <c r="CSY989" s="16" t="s">
        <v>1487</v>
      </c>
      <c r="CSZ989" s="16" t="s">
        <v>1487</v>
      </c>
      <c r="CTA989" s="16" t="s">
        <v>1487</v>
      </c>
      <c r="CTB989" s="16" t="s">
        <v>1487</v>
      </c>
      <c r="CTC989" s="16" t="s">
        <v>1487</v>
      </c>
      <c r="CTD989" s="16" t="s">
        <v>1487</v>
      </c>
      <c r="CTE989" s="16" t="s">
        <v>1487</v>
      </c>
      <c r="CTF989" s="16" t="s">
        <v>1487</v>
      </c>
      <c r="CTG989" s="16" t="s">
        <v>1487</v>
      </c>
      <c r="CTH989" s="16" t="s">
        <v>1487</v>
      </c>
      <c r="CTI989" s="16" t="s">
        <v>1487</v>
      </c>
      <c r="CTJ989" s="16" t="s">
        <v>1487</v>
      </c>
      <c r="CTK989" s="16" t="s">
        <v>1487</v>
      </c>
      <c r="CTL989" s="16" t="s">
        <v>1487</v>
      </c>
      <c r="CTM989" s="16" t="s">
        <v>1487</v>
      </c>
      <c r="CTN989" s="16" t="s">
        <v>1487</v>
      </c>
      <c r="CTO989" s="16" t="s">
        <v>1487</v>
      </c>
      <c r="CTP989" s="16" t="s">
        <v>1487</v>
      </c>
      <c r="CTQ989" s="16" t="s">
        <v>1487</v>
      </c>
      <c r="CTR989" s="16" t="s">
        <v>1487</v>
      </c>
      <c r="CTS989" s="16" t="s">
        <v>1487</v>
      </c>
      <c r="CTT989" s="16" t="s">
        <v>1487</v>
      </c>
      <c r="CTU989" s="16" t="s">
        <v>1487</v>
      </c>
      <c r="CTV989" s="16" t="s">
        <v>1487</v>
      </c>
      <c r="CTW989" s="16" t="s">
        <v>1487</v>
      </c>
      <c r="CTX989" s="16" t="s">
        <v>1487</v>
      </c>
      <c r="CTY989" s="16" t="s">
        <v>1487</v>
      </c>
      <c r="CTZ989" s="16" t="s">
        <v>1487</v>
      </c>
      <c r="CUA989" s="16" t="s">
        <v>1487</v>
      </c>
      <c r="CUB989" s="16" t="s">
        <v>1487</v>
      </c>
      <c r="CUC989" s="16" t="s">
        <v>1487</v>
      </c>
      <c r="CUD989" s="16" t="s">
        <v>1487</v>
      </c>
      <c r="CUE989" s="16" t="s">
        <v>1487</v>
      </c>
      <c r="CUF989" s="16" t="s">
        <v>1487</v>
      </c>
      <c r="CUG989" s="16" t="s">
        <v>1487</v>
      </c>
      <c r="CUH989" s="16" t="s">
        <v>1487</v>
      </c>
      <c r="CUI989" s="16" t="s">
        <v>1487</v>
      </c>
      <c r="CUJ989" s="16" t="s">
        <v>1487</v>
      </c>
      <c r="CUK989" s="16" t="s">
        <v>1487</v>
      </c>
      <c r="CUL989" s="16" t="s">
        <v>1487</v>
      </c>
      <c r="CUM989" s="16" t="s">
        <v>1487</v>
      </c>
      <c r="CUN989" s="16" t="s">
        <v>1487</v>
      </c>
      <c r="CUO989" s="16" t="s">
        <v>1487</v>
      </c>
      <c r="CUP989" s="16" t="s">
        <v>1487</v>
      </c>
      <c r="CUQ989" s="16" t="s">
        <v>1487</v>
      </c>
      <c r="CUR989" s="16" t="s">
        <v>1487</v>
      </c>
      <c r="CUS989" s="16" t="s">
        <v>1487</v>
      </c>
      <c r="CUT989" s="16" t="s">
        <v>1487</v>
      </c>
      <c r="CUU989" s="16" t="s">
        <v>1487</v>
      </c>
      <c r="CUV989" s="16" t="s">
        <v>1487</v>
      </c>
      <c r="CUW989" s="16" t="s">
        <v>1487</v>
      </c>
      <c r="CUX989" s="16" t="s">
        <v>1487</v>
      </c>
      <c r="CUY989" s="16" t="s">
        <v>1487</v>
      </c>
      <c r="CUZ989" s="16" t="s">
        <v>1487</v>
      </c>
      <c r="CVA989" s="16" t="s">
        <v>1487</v>
      </c>
      <c r="CVB989" s="16" t="s">
        <v>1487</v>
      </c>
      <c r="CVC989" s="16" t="s">
        <v>1487</v>
      </c>
      <c r="CVD989" s="16" t="s">
        <v>1487</v>
      </c>
      <c r="CVE989" s="16" t="s">
        <v>1487</v>
      </c>
      <c r="CVF989" s="16" t="s">
        <v>1487</v>
      </c>
      <c r="CVG989" s="16" t="s">
        <v>1487</v>
      </c>
      <c r="CVH989" s="16" t="s">
        <v>1487</v>
      </c>
      <c r="CVI989" s="16" t="s">
        <v>1487</v>
      </c>
      <c r="CVJ989" s="16" t="s">
        <v>1487</v>
      </c>
      <c r="CVK989" s="16" t="s">
        <v>1487</v>
      </c>
      <c r="CVL989" s="16" t="s">
        <v>1487</v>
      </c>
      <c r="CVM989" s="16" t="s">
        <v>1487</v>
      </c>
      <c r="CVN989" s="16" t="s">
        <v>1487</v>
      </c>
      <c r="CVO989" s="16" t="s">
        <v>1487</v>
      </c>
      <c r="CVP989" s="16" t="s">
        <v>1487</v>
      </c>
      <c r="CVQ989" s="16" t="s">
        <v>1487</v>
      </c>
      <c r="CVR989" s="16" t="s">
        <v>1487</v>
      </c>
      <c r="CVS989" s="16" t="s">
        <v>1487</v>
      </c>
      <c r="CVT989" s="16" t="s">
        <v>1487</v>
      </c>
      <c r="CVU989" s="16" t="s">
        <v>1487</v>
      </c>
      <c r="CVV989" s="16" t="s">
        <v>1487</v>
      </c>
      <c r="CVW989" s="16" t="s">
        <v>1487</v>
      </c>
      <c r="CVX989" s="16" t="s">
        <v>1487</v>
      </c>
      <c r="CVY989" s="16" t="s">
        <v>1487</v>
      </c>
      <c r="CVZ989" s="16" t="s">
        <v>1487</v>
      </c>
      <c r="CWA989" s="16" t="s">
        <v>1487</v>
      </c>
      <c r="CWB989" s="16" t="s">
        <v>1487</v>
      </c>
      <c r="CWC989" s="16" t="s">
        <v>1487</v>
      </c>
      <c r="CWD989" s="16" t="s">
        <v>1487</v>
      </c>
      <c r="CWE989" s="16" t="s">
        <v>1487</v>
      </c>
      <c r="CWF989" s="16" t="s">
        <v>1487</v>
      </c>
      <c r="CWG989" s="16" t="s">
        <v>1487</v>
      </c>
      <c r="CWH989" s="16" t="s">
        <v>1487</v>
      </c>
      <c r="CWI989" s="16" t="s">
        <v>1487</v>
      </c>
      <c r="CWJ989" s="16" t="s">
        <v>1487</v>
      </c>
      <c r="CWK989" s="16" t="s">
        <v>1487</v>
      </c>
      <c r="CWL989" s="16" t="s">
        <v>1487</v>
      </c>
      <c r="CWM989" s="16" t="s">
        <v>1487</v>
      </c>
      <c r="CWN989" s="16" t="s">
        <v>1487</v>
      </c>
      <c r="CWO989" s="16" t="s">
        <v>1487</v>
      </c>
      <c r="CWP989" s="16" t="s">
        <v>1487</v>
      </c>
      <c r="CWQ989" s="16" t="s">
        <v>1487</v>
      </c>
      <c r="CWR989" s="16" t="s">
        <v>1487</v>
      </c>
      <c r="CWS989" s="16" t="s">
        <v>1487</v>
      </c>
      <c r="CWT989" s="16" t="s">
        <v>1487</v>
      </c>
      <c r="CWU989" s="16" t="s">
        <v>1487</v>
      </c>
      <c r="CWV989" s="16" t="s">
        <v>1487</v>
      </c>
      <c r="CWW989" s="16" t="s">
        <v>1487</v>
      </c>
      <c r="CWX989" s="16" t="s">
        <v>1487</v>
      </c>
      <c r="CWY989" s="16" t="s">
        <v>1487</v>
      </c>
      <c r="CWZ989" s="16" t="s">
        <v>1487</v>
      </c>
      <c r="CXA989" s="16" t="s">
        <v>1487</v>
      </c>
      <c r="CXB989" s="16" t="s">
        <v>1487</v>
      </c>
      <c r="CXC989" s="16" t="s">
        <v>1487</v>
      </c>
      <c r="CXD989" s="16" t="s">
        <v>1487</v>
      </c>
      <c r="CXE989" s="16" t="s">
        <v>1487</v>
      </c>
      <c r="CXF989" s="16" t="s">
        <v>1487</v>
      </c>
      <c r="CXG989" s="16" t="s">
        <v>1487</v>
      </c>
      <c r="CXH989" s="16" t="s">
        <v>1487</v>
      </c>
      <c r="CXI989" s="16" t="s">
        <v>1487</v>
      </c>
      <c r="CXJ989" s="16" t="s">
        <v>1487</v>
      </c>
      <c r="CXK989" s="16" t="s">
        <v>1487</v>
      </c>
      <c r="CXL989" s="16" t="s">
        <v>1487</v>
      </c>
      <c r="CXM989" s="16" t="s">
        <v>1487</v>
      </c>
      <c r="CXN989" s="16" t="s">
        <v>1487</v>
      </c>
      <c r="CXO989" s="16" t="s">
        <v>1487</v>
      </c>
      <c r="CXP989" s="16" t="s">
        <v>1487</v>
      </c>
      <c r="CXQ989" s="16" t="s">
        <v>1487</v>
      </c>
      <c r="CXR989" s="16" t="s">
        <v>1487</v>
      </c>
      <c r="CXS989" s="16" t="s">
        <v>1487</v>
      </c>
      <c r="CXT989" s="16" t="s">
        <v>1487</v>
      </c>
      <c r="CXU989" s="16" t="s">
        <v>1487</v>
      </c>
      <c r="CXV989" s="16" t="s">
        <v>1487</v>
      </c>
      <c r="CXW989" s="16" t="s">
        <v>1487</v>
      </c>
      <c r="CXX989" s="16" t="s">
        <v>1487</v>
      </c>
      <c r="CXY989" s="16" t="s">
        <v>1487</v>
      </c>
      <c r="CXZ989" s="16" t="s">
        <v>1487</v>
      </c>
      <c r="CYA989" s="16" t="s">
        <v>1487</v>
      </c>
      <c r="CYB989" s="16" t="s">
        <v>1487</v>
      </c>
      <c r="CYC989" s="16" t="s">
        <v>1487</v>
      </c>
      <c r="CYD989" s="16" t="s">
        <v>1487</v>
      </c>
      <c r="CYE989" s="16" t="s">
        <v>1487</v>
      </c>
      <c r="CYF989" s="16" t="s">
        <v>1487</v>
      </c>
      <c r="CYG989" s="16" t="s">
        <v>1487</v>
      </c>
      <c r="CYH989" s="16" t="s">
        <v>1487</v>
      </c>
      <c r="CYI989" s="16" t="s">
        <v>1487</v>
      </c>
      <c r="CYJ989" s="16" t="s">
        <v>1487</v>
      </c>
      <c r="CYK989" s="16" t="s">
        <v>1487</v>
      </c>
      <c r="CYL989" s="16" t="s">
        <v>1487</v>
      </c>
      <c r="CYM989" s="16" t="s">
        <v>1487</v>
      </c>
      <c r="CYN989" s="16" t="s">
        <v>1487</v>
      </c>
      <c r="CYO989" s="16" t="s">
        <v>1487</v>
      </c>
      <c r="CYP989" s="16" t="s">
        <v>1487</v>
      </c>
      <c r="CYQ989" s="16" t="s">
        <v>1487</v>
      </c>
      <c r="CYR989" s="16" t="s">
        <v>1487</v>
      </c>
      <c r="CYS989" s="16" t="s">
        <v>1487</v>
      </c>
      <c r="CYT989" s="16" t="s">
        <v>1487</v>
      </c>
      <c r="CYU989" s="16" t="s">
        <v>1487</v>
      </c>
      <c r="CYV989" s="16" t="s">
        <v>1487</v>
      </c>
      <c r="CYW989" s="16" t="s">
        <v>1487</v>
      </c>
      <c r="CYX989" s="16" t="s">
        <v>1487</v>
      </c>
      <c r="CYY989" s="16" t="s">
        <v>1487</v>
      </c>
      <c r="CYZ989" s="16" t="s">
        <v>1487</v>
      </c>
      <c r="CZA989" s="16" t="s">
        <v>1487</v>
      </c>
      <c r="CZB989" s="16" t="s">
        <v>1487</v>
      </c>
      <c r="CZC989" s="16" t="s">
        <v>1487</v>
      </c>
      <c r="CZD989" s="16" t="s">
        <v>1487</v>
      </c>
      <c r="CZE989" s="16" t="s">
        <v>1487</v>
      </c>
      <c r="CZF989" s="16" t="s">
        <v>1487</v>
      </c>
      <c r="CZG989" s="16" t="s">
        <v>1487</v>
      </c>
      <c r="CZH989" s="16" t="s">
        <v>1487</v>
      </c>
      <c r="CZI989" s="16" t="s">
        <v>1487</v>
      </c>
      <c r="CZJ989" s="16" t="s">
        <v>1487</v>
      </c>
      <c r="CZK989" s="16" t="s">
        <v>1487</v>
      </c>
      <c r="CZL989" s="16" t="s">
        <v>1487</v>
      </c>
      <c r="CZM989" s="16" t="s">
        <v>1487</v>
      </c>
      <c r="CZN989" s="16" t="s">
        <v>1487</v>
      </c>
      <c r="CZO989" s="16" t="s">
        <v>1487</v>
      </c>
      <c r="CZP989" s="16" t="s">
        <v>1487</v>
      </c>
      <c r="CZQ989" s="16" t="s">
        <v>1487</v>
      </c>
      <c r="CZR989" s="16" t="s">
        <v>1487</v>
      </c>
      <c r="CZS989" s="16" t="s">
        <v>1487</v>
      </c>
      <c r="CZT989" s="16" t="s">
        <v>1487</v>
      </c>
      <c r="CZU989" s="16" t="s">
        <v>1487</v>
      </c>
      <c r="CZV989" s="16" t="s">
        <v>1487</v>
      </c>
      <c r="CZW989" s="16" t="s">
        <v>1487</v>
      </c>
      <c r="CZX989" s="16" t="s">
        <v>1487</v>
      </c>
      <c r="CZY989" s="16" t="s">
        <v>1487</v>
      </c>
      <c r="CZZ989" s="16" t="s">
        <v>1487</v>
      </c>
      <c r="DAA989" s="16" t="s">
        <v>1487</v>
      </c>
      <c r="DAB989" s="16" t="s">
        <v>1487</v>
      </c>
      <c r="DAC989" s="16" t="s">
        <v>1487</v>
      </c>
      <c r="DAD989" s="16" t="s">
        <v>1487</v>
      </c>
      <c r="DAE989" s="16" t="s">
        <v>1487</v>
      </c>
      <c r="DAF989" s="16" t="s">
        <v>1487</v>
      </c>
      <c r="DAG989" s="16" t="s">
        <v>1487</v>
      </c>
      <c r="DAH989" s="16" t="s">
        <v>1487</v>
      </c>
      <c r="DAI989" s="16" t="s">
        <v>1487</v>
      </c>
      <c r="DAJ989" s="16" t="s">
        <v>1487</v>
      </c>
      <c r="DAK989" s="16" t="s">
        <v>1487</v>
      </c>
      <c r="DAL989" s="16" t="s">
        <v>1487</v>
      </c>
      <c r="DAM989" s="16" t="s">
        <v>1487</v>
      </c>
      <c r="DAN989" s="16" t="s">
        <v>1487</v>
      </c>
      <c r="DAO989" s="16" t="s">
        <v>1487</v>
      </c>
      <c r="DAP989" s="16" t="s">
        <v>1487</v>
      </c>
      <c r="DAQ989" s="16" t="s">
        <v>1487</v>
      </c>
      <c r="DAR989" s="16" t="s">
        <v>1487</v>
      </c>
      <c r="DAS989" s="16" t="s">
        <v>1487</v>
      </c>
      <c r="DAT989" s="16" t="s">
        <v>1487</v>
      </c>
      <c r="DAU989" s="16" t="s">
        <v>1487</v>
      </c>
      <c r="DAV989" s="16" t="s">
        <v>1487</v>
      </c>
      <c r="DAW989" s="16" t="s">
        <v>1487</v>
      </c>
      <c r="DAX989" s="16" t="s">
        <v>1487</v>
      </c>
      <c r="DAY989" s="16" t="s">
        <v>1487</v>
      </c>
      <c r="DAZ989" s="16" t="s">
        <v>1487</v>
      </c>
      <c r="DBA989" s="16" t="s">
        <v>1487</v>
      </c>
      <c r="DBB989" s="16" t="s">
        <v>1487</v>
      </c>
      <c r="DBC989" s="16" t="s">
        <v>1487</v>
      </c>
      <c r="DBD989" s="16" t="s">
        <v>1487</v>
      </c>
      <c r="DBE989" s="16" t="s">
        <v>1487</v>
      </c>
      <c r="DBF989" s="16" t="s">
        <v>1487</v>
      </c>
      <c r="DBG989" s="16" t="s">
        <v>1487</v>
      </c>
      <c r="DBH989" s="16" t="s">
        <v>1487</v>
      </c>
      <c r="DBI989" s="16" t="s">
        <v>1487</v>
      </c>
      <c r="DBJ989" s="16" t="s">
        <v>1487</v>
      </c>
      <c r="DBK989" s="16" t="s">
        <v>1487</v>
      </c>
      <c r="DBL989" s="16" t="s">
        <v>1487</v>
      </c>
      <c r="DBM989" s="16" t="s">
        <v>1487</v>
      </c>
      <c r="DBN989" s="16" t="s">
        <v>1487</v>
      </c>
      <c r="DBO989" s="16" t="s">
        <v>1487</v>
      </c>
      <c r="DBP989" s="16" t="s">
        <v>1487</v>
      </c>
      <c r="DBQ989" s="16" t="s">
        <v>1487</v>
      </c>
      <c r="DBR989" s="16" t="s">
        <v>1487</v>
      </c>
      <c r="DBS989" s="16" t="s">
        <v>1487</v>
      </c>
      <c r="DBT989" s="16" t="s">
        <v>1487</v>
      </c>
      <c r="DBU989" s="16" t="s">
        <v>1487</v>
      </c>
      <c r="DBV989" s="16" t="s">
        <v>1487</v>
      </c>
      <c r="DBW989" s="16" t="s">
        <v>1487</v>
      </c>
      <c r="DBX989" s="16" t="s">
        <v>1487</v>
      </c>
      <c r="DBY989" s="16" t="s">
        <v>1487</v>
      </c>
      <c r="DBZ989" s="16" t="s">
        <v>1487</v>
      </c>
      <c r="DCA989" s="16" t="s">
        <v>1487</v>
      </c>
      <c r="DCB989" s="16" t="s">
        <v>1487</v>
      </c>
      <c r="DCC989" s="16" t="s">
        <v>1487</v>
      </c>
      <c r="DCD989" s="16" t="s">
        <v>1487</v>
      </c>
      <c r="DCE989" s="16" t="s">
        <v>1487</v>
      </c>
      <c r="DCF989" s="16" t="s">
        <v>1487</v>
      </c>
      <c r="DCG989" s="16" t="s">
        <v>1487</v>
      </c>
      <c r="DCH989" s="16" t="s">
        <v>1487</v>
      </c>
      <c r="DCI989" s="16" t="s">
        <v>1487</v>
      </c>
      <c r="DCJ989" s="16" t="s">
        <v>1487</v>
      </c>
      <c r="DCK989" s="16" t="s">
        <v>1487</v>
      </c>
      <c r="DCL989" s="16" t="s">
        <v>1487</v>
      </c>
      <c r="DCM989" s="16" t="s">
        <v>1487</v>
      </c>
      <c r="DCN989" s="16" t="s">
        <v>1487</v>
      </c>
      <c r="DCO989" s="16" t="s">
        <v>1487</v>
      </c>
      <c r="DCP989" s="16" t="s">
        <v>1487</v>
      </c>
      <c r="DCQ989" s="16" t="s">
        <v>1487</v>
      </c>
      <c r="DCR989" s="16" t="s">
        <v>1487</v>
      </c>
      <c r="DCS989" s="16" t="s">
        <v>1487</v>
      </c>
      <c r="DCT989" s="16" t="s">
        <v>1487</v>
      </c>
      <c r="DCU989" s="16" t="s">
        <v>1487</v>
      </c>
      <c r="DCV989" s="16" t="s">
        <v>1487</v>
      </c>
      <c r="DCW989" s="16" t="s">
        <v>1487</v>
      </c>
      <c r="DCX989" s="16" t="s">
        <v>1487</v>
      </c>
      <c r="DCY989" s="16" t="s">
        <v>1487</v>
      </c>
      <c r="DCZ989" s="16" t="s">
        <v>1487</v>
      </c>
      <c r="DDA989" s="16" t="s">
        <v>1487</v>
      </c>
      <c r="DDB989" s="16" t="s">
        <v>1487</v>
      </c>
      <c r="DDC989" s="16" t="s">
        <v>1487</v>
      </c>
      <c r="DDD989" s="16" t="s">
        <v>1487</v>
      </c>
      <c r="DDE989" s="16" t="s">
        <v>1487</v>
      </c>
      <c r="DDF989" s="16" t="s">
        <v>1487</v>
      </c>
      <c r="DDG989" s="16" t="s">
        <v>1487</v>
      </c>
      <c r="DDH989" s="16" t="s">
        <v>1487</v>
      </c>
      <c r="DDI989" s="16" t="s">
        <v>1487</v>
      </c>
      <c r="DDJ989" s="16" t="s">
        <v>1487</v>
      </c>
      <c r="DDK989" s="16" t="s">
        <v>1487</v>
      </c>
      <c r="DDL989" s="16" t="s">
        <v>1487</v>
      </c>
      <c r="DDM989" s="16" t="s">
        <v>1487</v>
      </c>
      <c r="DDN989" s="16" t="s">
        <v>1487</v>
      </c>
      <c r="DDO989" s="16" t="s">
        <v>1487</v>
      </c>
      <c r="DDP989" s="16" t="s">
        <v>1487</v>
      </c>
      <c r="DDQ989" s="16" t="s">
        <v>1487</v>
      </c>
      <c r="DDR989" s="16" t="s">
        <v>1487</v>
      </c>
      <c r="DDS989" s="16" t="s">
        <v>1487</v>
      </c>
      <c r="DDT989" s="16" t="s">
        <v>1487</v>
      </c>
      <c r="DDU989" s="16" t="s">
        <v>1487</v>
      </c>
      <c r="DDV989" s="16" t="s">
        <v>1487</v>
      </c>
      <c r="DDW989" s="16" t="s">
        <v>1487</v>
      </c>
      <c r="DDX989" s="16" t="s">
        <v>1487</v>
      </c>
      <c r="DDY989" s="16" t="s">
        <v>1487</v>
      </c>
      <c r="DDZ989" s="16" t="s">
        <v>1487</v>
      </c>
      <c r="DEA989" s="16" t="s">
        <v>1487</v>
      </c>
      <c r="DEB989" s="16" t="s">
        <v>1487</v>
      </c>
      <c r="DEC989" s="16" t="s">
        <v>1487</v>
      </c>
      <c r="DED989" s="16" t="s">
        <v>1487</v>
      </c>
      <c r="DEE989" s="16" t="s">
        <v>1487</v>
      </c>
      <c r="DEF989" s="16" t="s">
        <v>1487</v>
      </c>
      <c r="DEG989" s="16" t="s">
        <v>1487</v>
      </c>
      <c r="DEH989" s="16" t="s">
        <v>1487</v>
      </c>
      <c r="DEI989" s="16" t="s">
        <v>1487</v>
      </c>
      <c r="DEJ989" s="16" t="s">
        <v>1487</v>
      </c>
      <c r="DEK989" s="16" t="s">
        <v>1487</v>
      </c>
      <c r="DEL989" s="16" t="s">
        <v>1487</v>
      </c>
      <c r="DEM989" s="16" t="s">
        <v>1487</v>
      </c>
      <c r="DEN989" s="16" t="s">
        <v>1487</v>
      </c>
      <c r="DEO989" s="16" t="s">
        <v>1487</v>
      </c>
      <c r="DEP989" s="16" t="s">
        <v>1487</v>
      </c>
      <c r="DEQ989" s="16" t="s">
        <v>1487</v>
      </c>
      <c r="DER989" s="16" t="s">
        <v>1487</v>
      </c>
      <c r="DES989" s="16" t="s">
        <v>1487</v>
      </c>
      <c r="DET989" s="16" t="s">
        <v>1487</v>
      </c>
      <c r="DEU989" s="16" t="s">
        <v>1487</v>
      </c>
      <c r="DEV989" s="16" t="s">
        <v>1487</v>
      </c>
      <c r="DEW989" s="16" t="s">
        <v>1487</v>
      </c>
      <c r="DEX989" s="16" t="s">
        <v>1487</v>
      </c>
      <c r="DEY989" s="16" t="s">
        <v>1487</v>
      </c>
      <c r="DEZ989" s="16" t="s">
        <v>1487</v>
      </c>
      <c r="DFA989" s="16" t="s">
        <v>1487</v>
      </c>
      <c r="DFB989" s="16" t="s">
        <v>1487</v>
      </c>
      <c r="DFC989" s="16" t="s">
        <v>1487</v>
      </c>
      <c r="DFD989" s="16" t="s">
        <v>1487</v>
      </c>
      <c r="DFE989" s="16" t="s">
        <v>1487</v>
      </c>
      <c r="DFF989" s="16" t="s">
        <v>1487</v>
      </c>
      <c r="DFG989" s="16" t="s">
        <v>1487</v>
      </c>
      <c r="DFH989" s="16" t="s">
        <v>1487</v>
      </c>
      <c r="DFI989" s="16" t="s">
        <v>1487</v>
      </c>
      <c r="DFJ989" s="16" t="s">
        <v>1487</v>
      </c>
      <c r="DFK989" s="16" t="s">
        <v>1487</v>
      </c>
      <c r="DFL989" s="16" t="s">
        <v>1487</v>
      </c>
      <c r="DFM989" s="16" t="s">
        <v>1487</v>
      </c>
      <c r="DFN989" s="16" t="s">
        <v>1487</v>
      </c>
      <c r="DFO989" s="16" t="s">
        <v>1487</v>
      </c>
      <c r="DFP989" s="16" t="s">
        <v>1487</v>
      </c>
      <c r="DFQ989" s="16" t="s">
        <v>1487</v>
      </c>
      <c r="DFR989" s="16" t="s">
        <v>1487</v>
      </c>
      <c r="DFS989" s="16" t="s">
        <v>1487</v>
      </c>
      <c r="DFT989" s="16" t="s">
        <v>1487</v>
      </c>
      <c r="DFU989" s="16" t="s">
        <v>1487</v>
      </c>
      <c r="DFV989" s="16" t="s">
        <v>1487</v>
      </c>
      <c r="DFW989" s="16" t="s">
        <v>1487</v>
      </c>
      <c r="DFX989" s="16" t="s">
        <v>1487</v>
      </c>
      <c r="DFY989" s="16" t="s">
        <v>1487</v>
      </c>
      <c r="DFZ989" s="16" t="s">
        <v>1487</v>
      </c>
      <c r="DGA989" s="16" t="s">
        <v>1487</v>
      </c>
      <c r="DGB989" s="16" t="s">
        <v>1487</v>
      </c>
      <c r="DGC989" s="16" t="s">
        <v>1487</v>
      </c>
      <c r="DGD989" s="16" t="s">
        <v>1487</v>
      </c>
      <c r="DGE989" s="16" t="s">
        <v>1487</v>
      </c>
      <c r="DGF989" s="16" t="s">
        <v>1487</v>
      </c>
      <c r="DGG989" s="16" t="s">
        <v>1487</v>
      </c>
      <c r="DGH989" s="16" t="s">
        <v>1487</v>
      </c>
      <c r="DGI989" s="16" t="s">
        <v>1487</v>
      </c>
      <c r="DGJ989" s="16" t="s">
        <v>1487</v>
      </c>
      <c r="DGK989" s="16" t="s">
        <v>1487</v>
      </c>
      <c r="DGL989" s="16" t="s">
        <v>1487</v>
      </c>
      <c r="DGM989" s="16" t="s">
        <v>1487</v>
      </c>
      <c r="DGN989" s="16" t="s">
        <v>1487</v>
      </c>
      <c r="DGO989" s="16" t="s">
        <v>1487</v>
      </c>
      <c r="DGP989" s="16" t="s">
        <v>1487</v>
      </c>
      <c r="DGQ989" s="16" t="s">
        <v>1487</v>
      </c>
      <c r="DGR989" s="16" t="s">
        <v>1487</v>
      </c>
      <c r="DGS989" s="16" t="s">
        <v>1487</v>
      </c>
      <c r="DGT989" s="16" t="s">
        <v>1487</v>
      </c>
      <c r="DGU989" s="16" t="s">
        <v>1487</v>
      </c>
      <c r="DGV989" s="16" t="s">
        <v>1487</v>
      </c>
      <c r="DGW989" s="16" t="s">
        <v>1487</v>
      </c>
      <c r="DGX989" s="16" t="s">
        <v>1487</v>
      </c>
      <c r="DGY989" s="16" t="s">
        <v>1487</v>
      </c>
      <c r="DGZ989" s="16" t="s">
        <v>1487</v>
      </c>
      <c r="DHA989" s="16" t="s">
        <v>1487</v>
      </c>
      <c r="DHB989" s="16" t="s">
        <v>1487</v>
      </c>
      <c r="DHC989" s="16" t="s">
        <v>1487</v>
      </c>
      <c r="DHD989" s="16" t="s">
        <v>1487</v>
      </c>
      <c r="DHE989" s="16" t="s">
        <v>1487</v>
      </c>
      <c r="DHF989" s="16" t="s">
        <v>1487</v>
      </c>
      <c r="DHG989" s="16" t="s">
        <v>1487</v>
      </c>
      <c r="DHH989" s="16" t="s">
        <v>1487</v>
      </c>
      <c r="DHI989" s="16" t="s">
        <v>1487</v>
      </c>
      <c r="DHJ989" s="16" t="s">
        <v>1487</v>
      </c>
      <c r="DHK989" s="16" t="s">
        <v>1487</v>
      </c>
      <c r="DHL989" s="16" t="s">
        <v>1487</v>
      </c>
      <c r="DHM989" s="16" t="s">
        <v>1487</v>
      </c>
      <c r="DHN989" s="16" t="s">
        <v>1487</v>
      </c>
      <c r="DHO989" s="16" t="s">
        <v>1487</v>
      </c>
      <c r="DHP989" s="16" t="s">
        <v>1487</v>
      </c>
      <c r="DHQ989" s="16" t="s">
        <v>1487</v>
      </c>
      <c r="DHR989" s="16" t="s">
        <v>1487</v>
      </c>
      <c r="DHS989" s="16" t="s">
        <v>1487</v>
      </c>
      <c r="DHT989" s="16" t="s">
        <v>1487</v>
      </c>
      <c r="DHU989" s="16" t="s">
        <v>1487</v>
      </c>
      <c r="DHV989" s="16" t="s">
        <v>1487</v>
      </c>
      <c r="DHW989" s="16" t="s">
        <v>1487</v>
      </c>
      <c r="DHX989" s="16" t="s">
        <v>1487</v>
      </c>
      <c r="DHY989" s="16" t="s">
        <v>1487</v>
      </c>
      <c r="DHZ989" s="16" t="s">
        <v>1487</v>
      </c>
      <c r="DIA989" s="16" t="s">
        <v>1487</v>
      </c>
      <c r="DIB989" s="16" t="s">
        <v>1487</v>
      </c>
      <c r="DIC989" s="16" t="s">
        <v>1487</v>
      </c>
      <c r="DID989" s="16" t="s">
        <v>1487</v>
      </c>
      <c r="DIE989" s="16" t="s">
        <v>1487</v>
      </c>
      <c r="DIF989" s="16" t="s">
        <v>1487</v>
      </c>
      <c r="DIG989" s="16" t="s">
        <v>1487</v>
      </c>
      <c r="DIH989" s="16" t="s">
        <v>1487</v>
      </c>
      <c r="DII989" s="16" t="s">
        <v>1487</v>
      </c>
      <c r="DIJ989" s="16" t="s">
        <v>1487</v>
      </c>
      <c r="DIK989" s="16" t="s">
        <v>1487</v>
      </c>
      <c r="DIL989" s="16" t="s">
        <v>1487</v>
      </c>
      <c r="DIM989" s="16" t="s">
        <v>1487</v>
      </c>
      <c r="DIN989" s="16" t="s">
        <v>1487</v>
      </c>
      <c r="DIO989" s="16" t="s">
        <v>1487</v>
      </c>
      <c r="DIP989" s="16" t="s">
        <v>1487</v>
      </c>
      <c r="DIQ989" s="16" t="s">
        <v>1487</v>
      </c>
      <c r="DIR989" s="16" t="s">
        <v>1487</v>
      </c>
      <c r="DIS989" s="16" t="s">
        <v>1487</v>
      </c>
      <c r="DIT989" s="16" t="s">
        <v>1487</v>
      </c>
      <c r="DIU989" s="16" t="s">
        <v>1487</v>
      </c>
      <c r="DIV989" s="16" t="s">
        <v>1487</v>
      </c>
      <c r="DIW989" s="16" t="s">
        <v>1487</v>
      </c>
      <c r="DIX989" s="16" t="s">
        <v>1487</v>
      </c>
      <c r="DIY989" s="16" t="s">
        <v>1487</v>
      </c>
      <c r="DIZ989" s="16" t="s">
        <v>1487</v>
      </c>
      <c r="DJA989" s="16" t="s">
        <v>1487</v>
      </c>
      <c r="DJB989" s="16" t="s">
        <v>1487</v>
      </c>
      <c r="DJC989" s="16" t="s">
        <v>1487</v>
      </c>
      <c r="DJD989" s="16" t="s">
        <v>1487</v>
      </c>
      <c r="DJE989" s="16" t="s">
        <v>1487</v>
      </c>
      <c r="DJF989" s="16" t="s">
        <v>1487</v>
      </c>
      <c r="DJG989" s="16" t="s">
        <v>1487</v>
      </c>
      <c r="DJH989" s="16" t="s">
        <v>1487</v>
      </c>
      <c r="DJI989" s="16" t="s">
        <v>1487</v>
      </c>
      <c r="DJJ989" s="16" t="s">
        <v>1487</v>
      </c>
      <c r="DJK989" s="16" t="s">
        <v>1487</v>
      </c>
      <c r="DJL989" s="16" t="s">
        <v>1487</v>
      </c>
      <c r="DJM989" s="16" t="s">
        <v>1487</v>
      </c>
      <c r="DJN989" s="16" t="s">
        <v>1487</v>
      </c>
      <c r="DJO989" s="16" t="s">
        <v>1487</v>
      </c>
      <c r="DJP989" s="16" t="s">
        <v>1487</v>
      </c>
      <c r="DJQ989" s="16" t="s">
        <v>1487</v>
      </c>
      <c r="DJR989" s="16" t="s">
        <v>1487</v>
      </c>
      <c r="DJS989" s="16" t="s">
        <v>1487</v>
      </c>
      <c r="DJT989" s="16" t="s">
        <v>1487</v>
      </c>
      <c r="DJU989" s="16" t="s">
        <v>1487</v>
      </c>
      <c r="DJV989" s="16" t="s">
        <v>1487</v>
      </c>
      <c r="DJW989" s="16" t="s">
        <v>1487</v>
      </c>
      <c r="DJX989" s="16" t="s">
        <v>1487</v>
      </c>
      <c r="DJY989" s="16" t="s">
        <v>1487</v>
      </c>
      <c r="DJZ989" s="16" t="s">
        <v>1487</v>
      </c>
      <c r="DKA989" s="16" t="s">
        <v>1487</v>
      </c>
      <c r="DKB989" s="16" t="s">
        <v>1487</v>
      </c>
      <c r="DKC989" s="16" t="s">
        <v>1487</v>
      </c>
      <c r="DKD989" s="16" t="s">
        <v>1487</v>
      </c>
      <c r="DKE989" s="16" t="s">
        <v>1487</v>
      </c>
      <c r="DKF989" s="16" t="s">
        <v>1487</v>
      </c>
      <c r="DKG989" s="16" t="s">
        <v>1487</v>
      </c>
      <c r="DKH989" s="16" t="s">
        <v>1487</v>
      </c>
      <c r="DKI989" s="16" t="s">
        <v>1487</v>
      </c>
      <c r="DKJ989" s="16" t="s">
        <v>1487</v>
      </c>
      <c r="DKK989" s="16" t="s">
        <v>1487</v>
      </c>
      <c r="DKL989" s="16" t="s">
        <v>1487</v>
      </c>
      <c r="DKM989" s="16" t="s">
        <v>1487</v>
      </c>
      <c r="DKN989" s="16" t="s">
        <v>1487</v>
      </c>
      <c r="DKO989" s="16" t="s">
        <v>1487</v>
      </c>
      <c r="DKP989" s="16" t="s">
        <v>1487</v>
      </c>
      <c r="DKQ989" s="16" t="s">
        <v>1487</v>
      </c>
      <c r="DKR989" s="16" t="s">
        <v>1487</v>
      </c>
      <c r="DKS989" s="16" t="s">
        <v>1487</v>
      </c>
      <c r="DKT989" s="16" t="s">
        <v>1487</v>
      </c>
      <c r="DKU989" s="16" t="s">
        <v>1487</v>
      </c>
      <c r="DKV989" s="16" t="s">
        <v>1487</v>
      </c>
      <c r="DKW989" s="16" t="s">
        <v>1487</v>
      </c>
      <c r="DKX989" s="16" t="s">
        <v>1487</v>
      </c>
      <c r="DKY989" s="16" t="s">
        <v>1487</v>
      </c>
      <c r="DKZ989" s="16" t="s">
        <v>1487</v>
      </c>
      <c r="DLA989" s="16" t="s">
        <v>1487</v>
      </c>
      <c r="DLB989" s="16" t="s">
        <v>1487</v>
      </c>
      <c r="DLC989" s="16" t="s">
        <v>1487</v>
      </c>
      <c r="DLD989" s="16" t="s">
        <v>1487</v>
      </c>
      <c r="DLE989" s="16" t="s">
        <v>1487</v>
      </c>
      <c r="DLF989" s="16" t="s">
        <v>1487</v>
      </c>
      <c r="DLG989" s="16" t="s">
        <v>1487</v>
      </c>
      <c r="DLH989" s="16" t="s">
        <v>1487</v>
      </c>
      <c r="DLI989" s="16" t="s">
        <v>1487</v>
      </c>
      <c r="DLJ989" s="16" t="s">
        <v>1487</v>
      </c>
      <c r="DLK989" s="16" t="s">
        <v>1487</v>
      </c>
      <c r="DLL989" s="16" t="s">
        <v>1487</v>
      </c>
      <c r="DLM989" s="16" t="s">
        <v>1487</v>
      </c>
      <c r="DLN989" s="16" t="s">
        <v>1487</v>
      </c>
      <c r="DLO989" s="16" t="s">
        <v>1487</v>
      </c>
      <c r="DLP989" s="16" t="s">
        <v>1487</v>
      </c>
      <c r="DLQ989" s="16" t="s">
        <v>1487</v>
      </c>
      <c r="DLR989" s="16" t="s">
        <v>1487</v>
      </c>
      <c r="DLS989" s="16" t="s">
        <v>1487</v>
      </c>
      <c r="DLT989" s="16" t="s">
        <v>1487</v>
      </c>
      <c r="DLU989" s="16" t="s">
        <v>1487</v>
      </c>
      <c r="DLV989" s="16" t="s">
        <v>1487</v>
      </c>
      <c r="DLW989" s="16" t="s">
        <v>1487</v>
      </c>
      <c r="DLX989" s="16" t="s">
        <v>1487</v>
      </c>
      <c r="DLY989" s="16" t="s">
        <v>1487</v>
      </c>
      <c r="DLZ989" s="16" t="s">
        <v>1487</v>
      </c>
      <c r="DMA989" s="16" t="s">
        <v>1487</v>
      </c>
      <c r="DMB989" s="16" t="s">
        <v>1487</v>
      </c>
      <c r="DMC989" s="16" t="s">
        <v>1487</v>
      </c>
      <c r="DMD989" s="16" t="s">
        <v>1487</v>
      </c>
      <c r="DME989" s="16" t="s">
        <v>1487</v>
      </c>
      <c r="DMF989" s="16" t="s">
        <v>1487</v>
      </c>
      <c r="DMG989" s="16" t="s">
        <v>1487</v>
      </c>
      <c r="DMH989" s="16" t="s">
        <v>1487</v>
      </c>
      <c r="DMI989" s="16" t="s">
        <v>1487</v>
      </c>
      <c r="DMJ989" s="16" t="s">
        <v>1487</v>
      </c>
      <c r="DMK989" s="16" t="s">
        <v>1487</v>
      </c>
      <c r="DML989" s="16" t="s">
        <v>1487</v>
      </c>
      <c r="DMM989" s="16" t="s">
        <v>1487</v>
      </c>
      <c r="DMN989" s="16" t="s">
        <v>1487</v>
      </c>
      <c r="DMO989" s="16" t="s">
        <v>1487</v>
      </c>
      <c r="DMP989" s="16" t="s">
        <v>1487</v>
      </c>
      <c r="DMQ989" s="16" t="s">
        <v>1487</v>
      </c>
      <c r="DMR989" s="16" t="s">
        <v>1487</v>
      </c>
      <c r="DMS989" s="16" t="s">
        <v>1487</v>
      </c>
      <c r="DMT989" s="16" t="s">
        <v>1487</v>
      </c>
      <c r="DMU989" s="16" t="s">
        <v>1487</v>
      </c>
      <c r="DMV989" s="16" t="s">
        <v>1487</v>
      </c>
      <c r="DMW989" s="16" t="s">
        <v>1487</v>
      </c>
      <c r="DMX989" s="16" t="s">
        <v>1487</v>
      </c>
      <c r="DMY989" s="16" t="s">
        <v>1487</v>
      </c>
      <c r="DMZ989" s="16" t="s">
        <v>1487</v>
      </c>
      <c r="DNA989" s="16" t="s">
        <v>1487</v>
      </c>
      <c r="DNB989" s="16" t="s">
        <v>1487</v>
      </c>
      <c r="DNC989" s="16" t="s">
        <v>1487</v>
      </c>
      <c r="DND989" s="16" t="s">
        <v>1487</v>
      </c>
      <c r="DNE989" s="16" t="s">
        <v>1487</v>
      </c>
      <c r="DNF989" s="16" t="s">
        <v>1487</v>
      </c>
      <c r="DNG989" s="16" t="s">
        <v>1487</v>
      </c>
      <c r="DNH989" s="16" t="s">
        <v>1487</v>
      </c>
      <c r="DNI989" s="16" t="s">
        <v>1487</v>
      </c>
      <c r="DNJ989" s="16" t="s">
        <v>1487</v>
      </c>
      <c r="DNK989" s="16" t="s">
        <v>1487</v>
      </c>
      <c r="DNL989" s="16" t="s">
        <v>1487</v>
      </c>
      <c r="DNM989" s="16" t="s">
        <v>1487</v>
      </c>
      <c r="DNN989" s="16" t="s">
        <v>1487</v>
      </c>
      <c r="DNO989" s="16" t="s">
        <v>1487</v>
      </c>
      <c r="DNP989" s="16" t="s">
        <v>1487</v>
      </c>
      <c r="DNQ989" s="16" t="s">
        <v>1487</v>
      </c>
      <c r="DNR989" s="16" t="s">
        <v>1487</v>
      </c>
      <c r="DNS989" s="16" t="s">
        <v>1487</v>
      </c>
      <c r="DNT989" s="16" t="s">
        <v>1487</v>
      </c>
      <c r="DNU989" s="16" t="s">
        <v>1487</v>
      </c>
      <c r="DNV989" s="16" t="s">
        <v>1487</v>
      </c>
      <c r="DNW989" s="16" t="s">
        <v>1487</v>
      </c>
      <c r="DNX989" s="16" t="s">
        <v>1487</v>
      </c>
      <c r="DNY989" s="16" t="s">
        <v>1487</v>
      </c>
      <c r="DNZ989" s="16" t="s">
        <v>1487</v>
      </c>
      <c r="DOA989" s="16" t="s">
        <v>1487</v>
      </c>
      <c r="DOB989" s="16" t="s">
        <v>1487</v>
      </c>
      <c r="DOC989" s="16" t="s">
        <v>1487</v>
      </c>
      <c r="DOD989" s="16" t="s">
        <v>1487</v>
      </c>
      <c r="DOE989" s="16" t="s">
        <v>1487</v>
      </c>
      <c r="DOF989" s="16" t="s">
        <v>1487</v>
      </c>
      <c r="DOG989" s="16" t="s">
        <v>1487</v>
      </c>
      <c r="DOH989" s="16" t="s">
        <v>1487</v>
      </c>
      <c r="DOI989" s="16" t="s">
        <v>1487</v>
      </c>
      <c r="DOJ989" s="16" t="s">
        <v>1487</v>
      </c>
      <c r="DOK989" s="16" t="s">
        <v>1487</v>
      </c>
      <c r="DOL989" s="16" t="s">
        <v>1487</v>
      </c>
      <c r="DOM989" s="16" t="s">
        <v>1487</v>
      </c>
      <c r="DON989" s="16" t="s">
        <v>1487</v>
      </c>
      <c r="DOO989" s="16" t="s">
        <v>1487</v>
      </c>
      <c r="DOP989" s="16" t="s">
        <v>1487</v>
      </c>
      <c r="DOQ989" s="16" t="s">
        <v>1487</v>
      </c>
      <c r="DOR989" s="16" t="s">
        <v>1487</v>
      </c>
      <c r="DOS989" s="16" t="s">
        <v>1487</v>
      </c>
      <c r="DOT989" s="16" t="s">
        <v>1487</v>
      </c>
      <c r="DOU989" s="16" t="s">
        <v>1487</v>
      </c>
      <c r="DOV989" s="16" t="s">
        <v>1487</v>
      </c>
      <c r="DOW989" s="16" t="s">
        <v>1487</v>
      </c>
      <c r="DOX989" s="16" t="s">
        <v>1487</v>
      </c>
      <c r="DOY989" s="16" t="s">
        <v>1487</v>
      </c>
      <c r="DOZ989" s="16" t="s">
        <v>1487</v>
      </c>
      <c r="DPA989" s="16" t="s">
        <v>1487</v>
      </c>
      <c r="DPB989" s="16" t="s">
        <v>1487</v>
      </c>
      <c r="DPC989" s="16" t="s">
        <v>1487</v>
      </c>
      <c r="DPD989" s="16" t="s">
        <v>1487</v>
      </c>
      <c r="DPE989" s="16" t="s">
        <v>1487</v>
      </c>
      <c r="DPF989" s="16" t="s">
        <v>1487</v>
      </c>
      <c r="DPG989" s="16" t="s">
        <v>1487</v>
      </c>
      <c r="DPH989" s="16" t="s">
        <v>1487</v>
      </c>
      <c r="DPI989" s="16" t="s">
        <v>1487</v>
      </c>
      <c r="DPJ989" s="16" t="s">
        <v>1487</v>
      </c>
      <c r="DPK989" s="16" t="s">
        <v>1487</v>
      </c>
      <c r="DPL989" s="16" t="s">
        <v>1487</v>
      </c>
      <c r="DPM989" s="16" t="s">
        <v>1487</v>
      </c>
      <c r="DPN989" s="16" t="s">
        <v>1487</v>
      </c>
      <c r="DPO989" s="16" t="s">
        <v>1487</v>
      </c>
      <c r="DPP989" s="16" t="s">
        <v>1487</v>
      </c>
      <c r="DPQ989" s="16" t="s">
        <v>1487</v>
      </c>
      <c r="DPR989" s="16" t="s">
        <v>1487</v>
      </c>
      <c r="DPS989" s="16" t="s">
        <v>1487</v>
      </c>
      <c r="DPT989" s="16" t="s">
        <v>1487</v>
      </c>
      <c r="DPU989" s="16" t="s">
        <v>1487</v>
      </c>
      <c r="DPV989" s="16" t="s">
        <v>1487</v>
      </c>
      <c r="DPW989" s="16" t="s">
        <v>1487</v>
      </c>
      <c r="DPX989" s="16" t="s">
        <v>1487</v>
      </c>
      <c r="DPY989" s="16" t="s">
        <v>1487</v>
      </c>
      <c r="DPZ989" s="16" t="s">
        <v>1487</v>
      </c>
      <c r="DQA989" s="16" t="s">
        <v>1487</v>
      </c>
      <c r="DQB989" s="16" t="s">
        <v>1487</v>
      </c>
      <c r="DQC989" s="16" t="s">
        <v>1487</v>
      </c>
      <c r="DQD989" s="16" t="s">
        <v>1487</v>
      </c>
      <c r="DQE989" s="16" t="s">
        <v>1487</v>
      </c>
      <c r="DQF989" s="16" t="s">
        <v>1487</v>
      </c>
      <c r="DQG989" s="16" t="s">
        <v>1487</v>
      </c>
      <c r="DQH989" s="16" t="s">
        <v>1487</v>
      </c>
      <c r="DQI989" s="16" t="s">
        <v>1487</v>
      </c>
      <c r="DQJ989" s="16" t="s">
        <v>1487</v>
      </c>
      <c r="DQK989" s="16" t="s">
        <v>1487</v>
      </c>
      <c r="DQL989" s="16" t="s">
        <v>1487</v>
      </c>
      <c r="DQM989" s="16" t="s">
        <v>1487</v>
      </c>
      <c r="DQN989" s="16" t="s">
        <v>1487</v>
      </c>
      <c r="DQO989" s="16" t="s">
        <v>1487</v>
      </c>
      <c r="DQP989" s="16" t="s">
        <v>1487</v>
      </c>
      <c r="DQQ989" s="16" t="s">
        <v>1487</v>
      </c>
      <c r="DQR989" s="16" t="s">
        <v>1487</v>
      </c>
      <c r="DQS989" s="16" t="s">
        <v>1487</v>
      </c>
      <c r="DQT989" s="16" t="s">
        <v>1487</v>
      </c>
      <c r="DQU989" s="16" t="s">
        <v>1487</v>
      </c>
      <c r="DQV989" s="16" t="s">
        <v>1487</v>
      </c>
      <c r="DQW989" s="16" t="s">
        <v>1487</v>
      </c>
      <c r="DQX989" s="16" t="s">
        <v>1487</v>
      </c>
      <c r="DQY989" s="16" t="s">
        <v>1487</v>
      </c>
      <c r="DQZ989" s="16" t="s">
        <v>1487</v>
      </c>
      <c r="DRA989" s="16" t="s">
        <v>1487</v>
      </c>
      <c r="DRB989" s="16" t="s">
        <v>1487</v>
      </c>
      <c r="DRC989" s="16" t="s">
        <v>1487</v>
      </c>
      <c r="DRD989" s="16" t="s">
        <v>1487</v>
      </c>
      <c r="DRE989" s="16" t="s">
        <v>1487</v>
      </c>
      <c r="DRF989" s="16" t="s">
        <v>1487</v>
      </c>
      <c r="DRG989" s="16" t="s">
        <v>1487</v>
      </c>
      <c r="DRH989" s="16" t="s">
        <v>1487</v>
      </c>
      <c r="DRI989" s="16" t="s">
        <v>1487</v>
      </c>
      <c r="DRJ989" s="16" t="s">
        <v>1487</v>
      </c>
      <c r="DRK989" s="16" t="s">
        <v>1487</v>
      </c>
      <c r="DRL989" s="16" t="s">
        <v>1487</v>
      </c>
      <c r="DRM989" s="16" t="s">
        <v>1487</v>
      </c>
      <c r="DRN989" s="16" t="s">
        <v>1487</v>
      </c>
      <c r="DRO989" s="16" t="s">
        <v>1487</v>
      </c>
      <c r="DRP989" s="16" t="s">
        <v>1487</v>
      </c>
      <c r="DRQ989" s="16" t="s">
        <v>1487</v>
      </c>
      <c r="DRR989" s="16" t="s">
        <v>1487</v>
      </c>
      <c r="DRS989" s="16" t="s">
        <v>1487</v>
      </c>
      <c r="DRT989" s="16" t="s">
        <v>1487</v>
      </c>
      <c r="DRU989" s="16" t="s">
        <v>1487</v>
      </c>
      <c r="DRV989" s="16" t="s">
        <v>1487</v>
      </c>
      <c r="DRW989" s="16" t="s">
        <v>1487</v>
      </c>
      <c r="DRX989" s="16" t="s">
        <v>1487</v>
      </c>
      <c r="DRY989" s="16" t="s">
        <v>1487</v>
      </c>
      <c r="DRZ989" s="16" t="s">
        <v>1487</v>
      </c>
      <c r="DSA989" s="16" t="s">
        <v>1487</v>
      </c>
      <c r="DSB989" s="16" t="s">
        <v>1487</v>
      </c>
      <c r="DSC989" s="16" t="s">
        <v>1487</v>
      </c>
      <c r="DSD989" s="16" t="s">
        <v>1487</v>
      </c>
      <c r="DSE989" s="16" t="s">
        <v>1487</v>
      </c>
      <c r="DSF989" s="16" t="s">
        <v>1487</v>
      </c>
      <c r="DSG989" s="16" t="s">
        <v>1487</v>
      </c>
      <c r="DSH989" s="16" t="s">
        <v>1487</v>
      </c>
      <c r="DSI989" s="16" t="s">
        <v>1487</v>
      </c>
      <c r="DSJ989" s="16" t="s">
        <v>1487</v>
      </c>
      <c r="DSK989" s="16" t="s">
        <v>1487</v>
      </c>
      <c r="DSL989" s="16" t="s">
        <v>1487</v>
      </c>
      <c r="DSM989" s="16" t="s">
        <v>1487</v>
      </c>
      <c r="DSN989" s="16" t="s">
        <v>1487</v>
      </c>
      <c r="DSO989" s="16" t="s">
        <v>1487</v>
      </c>
      <c r="DSP989" s="16" t="s">
        <v>1487</v>
      </c>
      <c r="DSQ989" s="16" t="s">
        <v>1487</v>
      </c>
      <c r="DSR989" s="16" t="s">
        <v>1487</v>
      </c>
      <c r="DSS989" s="16" t="s">
        <v>1487</v>
      </c>
      <c r="DST989" s="16" t="s">
        <v>1487</v>
      </c>
      <c r="DSU989" s="16" t="s">
        <v>1487</v>
      </c>
      <c r="DSV989" s="16" t="s">
        <v>1487</v>
      </c>
      <c r="DSW989" s="16" t="s">
        <v>1487</v>
      </c>
      <c r="DSX989" s="16" t="s">
        <v>1487</v>
      </c>
      <c r="DSY989" s="16" t="s">
        <v>1487</v>
      </c>
      <c r="DSZ989" s="16" t="s">
        <v>1487</v>
      </c>
      <c r="DTA989" s="16" t="s">
        <v>1487</v>
      </c>
      <c r="DTB989" s="16" t="s">
        <v>1487</v>
      </c>
      <c r="DTC989" s="16" t="s">
        <v>1487</v>
      </c>
      <c r="DTD989" s="16" t="s">
        <v>1487</v>
      </c>
      <c r="DTE989" s="16" t="s">
        <v>1487</v>
      </c>
      <c r="DTF989" s="16" t="s">
        <v>1487</v>
      </c>
      <c r="DTG989" s="16" t="s">
        <v>1487</v>
      </c>
      <c r="DTH989" s="16" t="s">
        <v>1487</v>
      </c>
      <c r="DTI989" s="16" t="s">
        <v>1487</v>
      </c>
      <c r="DTJ989" s="16" t="s">
        <v>1487</v>
      </c>
      <c r="DTK989" s="16" t="s">
        <v>1487</v>
      </c>
      <c r="DTL989" s="16" t="s">
        <v>1487</v>
      </c>
      <c r="DTM989" s="16" t="s">
        <v>1487</v>
      </c>
      <c r="DTN989" s="16" t="s">
        <v>1487</v>
      </c>
      <c r="DTO989" s="16" t="s">
        <v>1487</v>
      </c>
      <c r="DTP989" s="16" t="s">
        <v>1487</v>
      </c>
      <c r="DTQ989" s="16" t="s">
        <v>1487</v>
      </c>
      <c r="DTR989" s="16" t="s">
        <v>1487</v>
      </c>
      <c r="DTS989" s="16" t="s">
        <v>1487</v>
      </c>
      <c r="DTT989" s="16" t="s">
        <v>1487</v>
      </c>
      <c r="DTU989" s="16" t="s">
        <v>1487</v>
      </c>
      <c r="DTV989" s="16" t="s">
        <v>1487</v>
      </c>
      <c r="DTW989" s="16" t="s">
        <v>1487</v>
      </c>
      <c r="DTX989" s="16" t="s">
        <v>1487</v>
      </c>
      <c r="DTY989" s="16" t="s">
        <v>1487</v>
      </c>
      <c r="DTZ989" s="16" t="s">
        <v>1487</v>
      </c>
      <c r="DUA989" s="16" t="s">
        <v>1487</v>
      </c>
      <c r="DUB989" s="16" t="s">
        <v>1487</v>
      </c>
      <c r="DUC989" s="16" t="s">
        <v>1487</v>
      </c>
      <c r="DUD989" s="16" t="s">
        <v>1487</v>
      </c>
      <c r="DUE989" s="16" t="s">
        <v>1487</v>
      </c>
      <c r="DUF989" s="16" t="s">
        <v>1487</v>
      </c>
      <c r="DUG989" s="16" t="s">
        <v>1487</v>
      </c>
      <c r="DUH989" s="16" t="s">
        <v>1487</v>
      </c>
      <c r="DUI989" s="16" t="s">
        <v>1487</v>
      </c>
      <c r="DUJ989" s="16" t="s">
        <v>1487</v>
      </c>
      <c r="DUK989" s="16" t="s">
        <v>1487</v>
      </c>
      <c r="DUL989" s="16" t="s">
        <v>1487</v>
      </c>
      <c r="DUM989" s="16" t="s">
        <v>1487</v>
      </c>
      <c r="DUN989" s="16" t="s">
        <v>1487</v>
      </c>
      <c r="DUO989" s="16" t="s">
        <v>1487</v>
      </c>
      <c r="DUP989" s="16" t="s">
        <v>1487</v>
      </c>
      <c r="DUQ989" s="16" t="s">
        <v>1487</v>
      </c>
      <c r="DUR989" s="16" t="s">
        <v>1487</v>
      </c>
      <c r="DUS989" s="16" t="s">
        <v>1487</v>
      </c>
      <c r="DUT989" s="16" t="s">
        <v>1487</v>
      </c>
      <c r="DUU989" s="16" t="s">
        <v>1487</v>
      </c>
      <c r="DUV989" s="16" t="s">
        <v>1487</v>
      </c>
      <c r="DUW989" s="16" t="s">
        <v>1487</v>
      </c>
      <c r="DUX989" s="16" t="s">
        <v>1487</v>
      </c>
      <c r="DUY989" s="16" t="s">
        <v>1487</v>
      </c>
      <c r="DUZ989" s="16" t="s">
        <v>1487</v>
      </c>
      <c r="DVA989" s="16" t="s">
        <v>1487</v>
      </c>
      <c r="DVB989" s="16" t="s">
        <v>1487</v>
      </c>
      <c r="DVC989" s="16" t="s">
        <v>1487</v>
      </c>
      <c r="DVD989" s="16" t="s">
        <v>1487</v>
      </c>
      <c r="DVE989" s="16" t="s">
        <v>1487</v>
      </c>
      <c r="DVF989" s="16" t="s">
        <v>1487</v>
      </c>
      <c r="DVG989" s="16" t="s">
        <v>1487</v>
      </c>
      <c r="DVH989" s="16" t="s">
        <v>1487</v>
      </c>
      <c r="DVI989" s="16" t="s">
        <v>1487</v>
      </c>
      <c r="DVJ989" s="16" t="s">
        <v>1487</v>
      </c>
      <c r="DVK989" s="16" t="s">
        <v>1487</v>
      </c>
      <c r="DVL989" s="16" t="s">
        <v>1487</v>
      </c>
      <c r="DVM989" s="16" t="s">
        <v>1487</v>
      </c>
      <c r="DVN989" s="16" t="s">
        <v>1487</v>
      </c>
      <c r="DVO989" s="16" t="s">
        <v>1487</v>
      </c>
      <c r="DVP989" s="16" t="s">
        <v>1487</v>
      </c>
      <c r="DVQ989" s="16" t="s">
        <v>1487</v>
      </c>
      <c r="DVR989" s="16" t="s">
        <v>1487</v>
      </c>
      <c r="DVS989" s="16" t="s">
        <v>1487</v>
      </c>
      <c r="DVT989" s="16" t="s">
        <v>1487</v>
      </c>
      <c r="DVU989" s="16" t="s">
        <v>1487</v>
      </c>
      <c r="DVV989" s="16" t="s">
        <v>1487</v>
      </c>
      <c r="DVW989" s="16" t="s">
        <v>1487</v>
      </c>
      <c r="DVX989" s="16" t="s">
        <v>1487</v>
      </c>
      <c r="DVY989" s="16" t="s">
        <v>1487</v>
      </c>
      <c r="DVZ989" s="16" t="s">
        <v>1487</v>
      </c>
      <c r="DWA989" s="16" t="s">
        <v>1487</v>
      </c>
      <c r="DWB989" s="16" t="s">
        <v>1487</v>
      </c>
      <c r="DWC989" s="16" t="s">
        <v>1487</v>
      </c>
      <c r="DWD989" s="16" t="s">
        <v>1487</v>
      </c>
      <c r="DWE989" s="16" t="s">
        <v>1487</v>
      </c>
      <c r="DWF989" s="16" t="s">
        <v>1487</v>
      </c>
      <c r="DWG989" s="16" t="s">
        <v>1487</v>
      </c>
      <c r="DWH989" s="16" t="s">
        <v>1487</v>
      </c>
      <c r="DWI989" s="16" t="s">
        <v>1487</v>
      </c>
      <c r="DWJ989" s="16" t="s">
        <v>1487</v>
      </c>
      <c r="DWK989" s="16" t="s">
        <v>1487</v>
      </c>
      <c r="DWL989" s="16" t="s">
        <v>1487</v>
      </c>
      <c r="DWM989" s="16" t="s">
        <v>1487</v>
      </c>
      <c r="DWN989" s="16" t="s">
        <v>1487</v>
      </c>
      <c r="DWO989" s="16" t="s">
        <v>1487</v>
      </c>
      <c r="DWP989" s="16" t="s">
        <v>1487</v>
      </c>
      <c r="DWQ989" s="16" t="s">
        <v>1487</v>
      </c>
      <c r="DWR989" s="16" t="s">
        <v>1487</v>
      </c>
      <c r="DWS989" s="16" t="s">
        <v>1487</v>
      </c>
      <c r="DWT989" s="16" t="s">
        <v>1487</v>
      </c>
      <c r="DWU989" s="16" t="s">
        <v>1487</v>
      </c>
      <c r="DWV989" s="16" t="s">
        <v>1487</v>
      </c>
      <c r="DWW989" s="16" t="s">
        <v>1487</v>
      </c>
      <c r="DWX989" s="16" t="s">
        <v>1487</v>
      </c>
      <c r="DWY989" s="16" t="s">
        <v>1487</v>
      </c>
      <c r="DWZ989" s="16" t="s">
        <v>1487</v>
      </c>
      <c r="DXA989" s="16" t="s">
        <v>1487</v>
      </c>
      <c r="DXB989" s="16" t="s">
        <v>1487</v>
      </c>
      <c r="DXC989" s="16" t="s">
        <v>1487</v>
      </c>
      <c r="DXD989" s="16" t="s">
        <v>1487</v>
      </c>
      <c r="DXE989" s="16" t="s">
        <v>1487</v>
      </c>
      <c r="DXF989" s="16" t="s">
        <v>1487</v>
      </c>
      <c r="DXG989" s="16" t="s">
        <v>1487</v>
      </c>
      <c r="DXH989" s="16" t="s">
        <v>1487</v>
      </c>
      <c r="DXI989" s="16" t="s">
        <v>1487</v>
      </c>
      <c r="DXJ989" s="16" t="s">
        <v>1487</v>
      </c>
      <c r="DXK989" s="16" t="s">
        <v>1487</v>
      </c>
      <c r="DXL989" s="16" t="s">
        <v>1487</v>
      </c>
      <c r="DXM989" s="16" t="s">
        <v>1487</v>
      </c>
      <c r="DXN989" s="16" t="s">
        <v>1487</v>
      </c>
      <c r="DXO989" s="16" t="s">
        <v>1487</v>
      </c>
      <c r="DXP989" s="16" t="s">
        <v>1487</v>
      </c>
      <c r="DXQ989" s="16" t="s">
        <v>1487</v>
      </c>
      <c r="DXR989" s="16" t="s">
        <v>1487</v>
      </c>
      <c r="DXS989" s="16" t="s">
        <v>1487</v>
      </c>
      <c r="DXT989" s="16" t="s">
        <v>1487</v>
      </c>
      <c r="DXU989" s="16" t="s">
        <v>1487</v>
      </c>
      <c r="DXV989" s="16" t="s">
        <v>1487</v>
      </c>
      <c r="DXW989" s="16" t="s">
        <v>1487</v>
      </c>
      <c r="DXX989" s="16" t="s">
        <v>1487</v>
      </c>
      <c r="DXY989" s="16" t="s">
        <v>1487</v>
      </c>
      <c r="DXZ989" s="16" t="s">
        <v>1487</v>
      </c>
      <c r="DYA989" s="16" t="s">
        <v>1487</v>
      </c>
      <c r="DYB989" s="16" t="s">
        <v>1487</v>
      </c>
      <c r="DYC989" s="16" t="s">
        <v>1487</v>
      </c>
      <c r="DYD989" s="16" t="s">
        <v>1487</v>
      </c>
      <c r="DYE989" s="16" t="s">
        <v>1487</v>
      </c>
      <c r="DYF989" s="16" t="s">
        <v>1487</v>
      </c>
      <c r="DYG989" s="16" t="s">
        <v>1487</v>
      </c>
      <c r="DYH989" s="16" t="s">
        <v>1487</v>
      </c>
      <c r="DYI989" s="16" t="s">
        <v>1487</v>
      </c>
      <c r="DYJ989" s="16" t="s">
        <v>1487</v>
      </c>
      <c r="DYK989" s="16" t="s">
        <v>1487</v>
      </c>
      <c r="DYL989" s="16" t="s">
        <v>1487</v>
      </c>
      <c r="DYM989" s="16" t="s">
        <v>1487</v>
      </c>
      <c r="DYN989" s="16" t="s">
        <v>1487</v>
      </c>
      <c r="DYO989" s="16" t="s">
        <v>1487</v>
      </c>
      <c r="DYP989" s="16" t="s">
        <v>1487</v>
      </c>
      <c r="DYQ989" s="16" t="s">
        <v>1487</v>
      </c>
      <c r="DYR989" s="16" t="s">
        <v>1487</v>
      </c>
      <c r="DYS989" s="16" t="s">
        <v>1487</v>
      </c>
      <c r="DYT989" s="16" t="s">
        <v>1487</v>
      </c>
      <c r="DYU989" s="16" t="s">
        <v>1487</v>
      </c>
      <c r="DYV989" s="16" t="s">
        <v>1487</v>
      </c>
      <c r="DYW989" s="16" t="s">
        <v>1487</v>
      </c>
      <c r="DYX989" s="16" t="s">
        <v>1487</v>
      </c>
      <c r="DYY989" s="16" t="s">
        <v>1487</v>
      </c>
      <c r="DYZ989" s="16" t="s">
        <v>1487</v>
      </c>
      <c r="DZA989" s="16" t="s">
        <v>1487</v>
      </c>
      <c r="DZB989" s="16" t="s">
        <v>1487</v>
      </c>
      <c r="DZC989" s="16" t="s">
        <v>1487</v>
      </c>
      <c r="DZD989" s="16" t="s">
        <v>1487</v>
      </c>
      <c r="DZE989" s="16" t="s">
        <v>1487</v>
      </c>
      <c r="DZF989" s="16" t="s">
        <v>1487</v>
      </c>
      <c r="DZG989" s="16" t="s">
        <v>1487</v>
      </c>
      <c r="DZH989" s="16" t="s">
        <v>1487</v>
      </c>
      <c r="DZI989" s="16" t="s">
        <v>1487</v>
      </c>
      <c r="DZJ989" s="16" t="s">
        <v>1487</v>
      </c>
      <c r="DZK989" s="16" t="s">
        <v>1487</v>
      </c>
      <c r="DZL989" s="16" t="s">
        <v>1487</v>
      </c>
      <c r="DZM989" s="16" t="s">
        <v>1487</v>
      </c>
      <c r="DZN989" s="16" t="s">
        <v>1487</v>
      </c>
      <c r="DZO989" s="16" t="s">
        <v>1487</v>
      </c>
      <c r="DZP989" s="16" t="s">
        <v>1487</v>
      </c>
      <c r="DZQ989" s="16" t="s">
        <v>1487</v>
      </c>
      <c r="DZR989" s="16" t="s">
        <v>1487</v>
      </c>
      <c r="DZS989" s="16" t="s">
        <v>1487</v>
      </c>
      <c r="DZT989" s="16" t="s">
        <v>1487</v>
      </c>
      <c r="DZU989" s="16" t="s">
        <v>1487</v>
      </c>
      <c r="DZV989" s="16" t="s">
        <v>1487</v>
      </c>
      <c r="DZW989" s="16" t="s">
        <v>1487</v>
      </c>
      <c r="DZX989" s="16" t="s">
        <v>1487</v>
      </c>
      <c r="DZY989" s="16" t="s">
        <v>1487</v>
      </c>
      <c r="DZZ989" s="16" t="s">
        <v>1487</v>
      </c>
      <c r="EAA989" s="16" t="s">
        <v>1487</v>
      </c>
      <c r="EAB989" s="16" t="s">
        <v>1487</v>
      </c>
      <c r="EAC989" s="16" t="s">
        <v>1487</v>
      </c>
      <c r="EAD989" s="16" t="s">
        <v>1487</v>
      </c>
      <c r="EAE989" s="16" t="s">
        <v>1487</v>
      </c>
      <c r="EAF989" s="16" t="s">
        <v>1487</v>
      </c>
      <c r="EAG989" s="16" t="s">
        <v>1487</v>
      </c>
      <c r="EAH989" s="16" t="s">
        <v>1487</v>
      </c>
      <c r="EAI989" s="16" t="s">
        <v>1487</v>
      </c>
      <c r="EAJ989" s="16" t="s">
        <v>1487</v>
      </c>
      <c r="EAK989" s="16" t="s">
        <v>1487</v>
      </c>
      <c r="EAL989" s="16" t="s">
        <v>1487</v>
      </c>
      <c r="EAM989" s="16" t="s">
        <v>1487</v>
      </c>
      <c r="EAN989" s="16" t="s">
        <v>1487</v>
      </c>
      <c r="EAO989" s="16" t="s">
        <v>1487</v>
      </c>
      <c r="EAP989" s="16" t="s">
        <v>1487</v>
      </c>
      <c r="EAQ989" s="16" t="s">
        <v>1487</v>
      </c>
      <c r="EAR989" s="16" t="s">
        <v>1487</v>
      </c>
      <c r="EAS989" s="16" t="s">
        <v>1487</v>
      </c>
      <c r="EAT989" s="16" t="s">
        <v>1487</v>
      </c>
      <c r="EAU989" s="16" t="s">
        <v>1487</v>
      </c>
      <c r="EAV989" s="16" t="s">
        <v>1487</v>
      </c>
      <c r="EAW989" s="16" t="s">
        <v>1487</v>
      </c>
      <c r="EAX989" s="16" t="s">
        <v>1487</v>
      </c>
      <c r="EAY989" s="16" t="s">
        <v>1487</v>
      </c>
      <c r="EAZ989" s="16" t="s">
        <v>1487</v>
      </c>
      <c r="EBA989" s="16" t="s">
        <v>1487</v>
      </c>
      <c r="EBB989" s="16" t="s">
        <v>1487</v>
      </c>
      <c r="EBC989" s="16" t="s">
        <v>1487</v>
      </c>
      <c r="EBD989" s="16" t="s">
        <v>1487</v>
      </c>
      <c r="EBE989" s="16" t="s">
        <v>1487</v>
      </c>
      <c r="EBF989" s="16" t="s">
        <v>1487</v>
      </c>
      <c r="EBG989" s="16" t="s">
        <v>1487</v>
      </c>
      <c r="EBH989" s="16" t="s">
        <v>1487</v>
      </c>
      <c r="EBI989" s="16" t="s">
        <v>1487</v>
      </c>
      <c r="EBJ989" s="16" t="s">
        <v>1487</v>
      </c>
      <c r="EBK989" s="16" t="s">
        <v>1487</v>
      </c>
      <c r="EBL989" s="16" t="s">
        <v>1487</v>
      </c>
      <c r="EBM989" s="16" t="s">
        <v>1487</v>
      </c>
      <c r="EBN989" s="16" t="s">
        <v>1487</v>
      </c>
      <c r="EBO989" s="16" t="s">
        <v>1487</v>
      </c>
      <c r="EBP989" s="16" t="s">
        <v>1487</v>
      </c>
      <c r="EBQ989" s="16" t="s">
        <v>1487</v>
      </c>
      <c r="EBR989" s="16" t="s">
        <v>1487</v>
      </c>
      <c r="EBS989" s="16" t="s">
        <v>1487</v>
      </c>
      <c r="EBT989" s="16" t="s">
        <v>1487</v>
      </c>
      <c r="EBU989" s="16" t="s">
        <v>1487</v>
      </c>
      <c r="EBV989" s="16" t="s">
        <v>1487</v>
      </c>
      <c r="EBW989" s="16" t="s">
        <v>1487</v>
      </c>
      <c r="EBX989" s="16" t="s">
        <v>1487</v>
      </c>
      <c r="EBY989" s="16" t="s">
        <v>1487</v>
      </c>
      <c r="EBZ989" s="16" t="s">
        <v>1487</v>
      </c>
      <c r="ECA989" s="16" t="s">
        <v>1487</v>
      </c>
      <c r="ECB989" s="16" t="s">
        <v>1487</v>
      </c>
      <c r="ECC989" s="16" t="s">
        <v>1487</v>
      </c>
      <c r="ECD989" s="16" t="s">
        <v>1487</v>
      </c>
      <c r="ECE989" s="16" t="s">
        <v>1487</v>
      </c>
      <c r="ECF989" s="16" t="s">
        <v>1487</v>
      </c>
      <c r="ECG989" s="16" t="s">
        <v>1487</v>
      </c>
      <c r="ECH989" s="16" t="s">
        <v>1487</v>
      </c>
      <c r="ECI989" s="16" t="s">
        <v>1487</v>
      </c>
      <c r="ECJ989" s="16" t="s">
        <v>1487</v>
      </c>
      <c r="ECK989" s="16" t="s">
        <v>1487</v>
      </c>
      <c r="ECL989" s="16" t="s">
        <v>1487</v>
      </c>
      <c r="ECM989" s="16" t="s">
        <v>1487</v>
      </c>
      <c r="ECN989" s="16" t="s">
        <v>1487</v>
      </c>
      <c r="ECO989" s="16" t="s">
        <v>1487</v>
      </c>
      <c r="ECP989" s="16" t="s">
        <v>1487</v>
      </c>
      <c r="ECQ989" s="16" t="s">
        <v>1487</v>
      </c>
      <c r="ECR989" s="16" t="s">
        <v>1487</v>
      </c>
      <c r="ECS989" s="16" t="s">
        <v>1487</v>
      </c>
      <c r="ECT989" s="16" t="s">
        <v>1487</v>
      </c>
      <c r="ECU989" s="16" t="s">
        <v>1487</v>
      </c>
      <c r="ECV989" s="16" t="s">
        <v>1487</v>
      </c>
      <c r="ECW989" s="16" t="s">
        <v>1487</v>
      </c>
      <c r="ECX989" s="16" t="s">
        <v>1487</v>
      </c>
      <c r="ECY989" s="16" t="s">
        <v>1487</v>
      </c>
      <c r="ECZ989" s="16" t="s">
        <v>1487</v>
      </c>
      <c r="EDA989" s="16" t="s">
        <v>1487</v>
      </c>
      <c r="EDB989" s="16" t="s">
        <v>1487</v>
      </c>
      <c r="EDC989" s="16" t="s">
        <v>1487</v>
      </c>
      <c r="EDD989" s="16" t="s">
        <v>1487</v>
      </c>
      <c r="EDE989" s="16" t="s">
        <v>1487</v>
      </c>
      <c r="EDF989" s="16" t="s">
        <v>1487</v>
      </c>
      <c r="EDG989" s="16" t="s">
        <v>1487</v>
      </c>
      <c r="EDH989" s="16" t="s">
        <v>1487</v>
      </c>
      <c r="EDI989" s="16" t="s">
        <v>1487</v>
      </c>
      <c r="EDJ989" s="16" t="s">
        <v>1487</v>
      </c>
      <c r="EDK989" s="16" t="s">
        <v>1487</v>
      </c>
      <c r="EDL989" s="16" t="s">
        <v>1487</v>
      </c>
      <c r="EDM989" s="16" t="s">
        <v>1487</v>
      </c>
      <c r="EDN989" s="16" t="s">
        <v>1487</v>
      </c>
      <c r="EDO989" s="16" t="s">
        <v>1487</v>
      </c>
      <c r="EDP989" s="16" t="s">
        <v>1487</v>
      </c>
      <c r="EDQ989" s="16" t="s">
        <v>1487</v>
      </c>
      <c r="EDR989" s="16" t="s">
        <v>1487</v>
      </c>
      <c r="EDS989" s="16" t="s">
        <v>1487</v>
      </c>
      <c r="EDT989" s="16" t="s">
        <v>1487</v>
      </c>
      <c r="EDU989" s="16" t="s">
        <v>1487</v>
      </c>
      <c r="EDV989" s="16" t="s">
        <v>1487</v>
      </c>
      <c r="EDW989" s="16" t="s">
        <v>1487</v>
      </c>
      <c r="EDX989" s="16" t="s">
        <v>1487</v>
      </c>
      <c r="EDY989" s="16" t="s">
        <v>1487</v>
      </c>
      <c r="EDZ989" s="16" t="s">
        <v>1487</v>
      </c>
      <c r="EEA989" s="16" t="s">
        <v>1487</v>
      </c>
      <c r="EEB989" s="16" t="s">
        <v>1487</v>
      </c>
      <c r="EEC989" s="16" t="s">
        <v>1487</v>
      </c>
      <c r="EED989" s="16" t="s">
        <v>1487</v>
      </c>
      <c r="EEE989" s="16" t="s">
        <v>1487</v>
      </c>
      <c r="EEF989" s="16" t="s">
        <v>1487</v>
      </c>
      <c r="EEG989" s="16" t="s">
        <v>1487</v>
      </c>
      <c r="EEH989" s="16" t="s">
        <v>1487</v>
      </c>
      <c r="EEI989" s="16" t="s">
        <v>1487</v>
      </c>
      <c r="EEJ989" s="16" t="s">
        <v>1487</v>
      </c>
      <c r="EEK989" s="16" t="s">
        <v>1487</v>
      </c>
      <c r="EEL989" s="16" t="s">
        <v>1487</v>
      </c>
      <c r="EEM989" s="16" t="s">
        <v>1487</v>
      </c>
      <c r="EEN989" s="16" t="s">
        <v>1487</v>
      </c>
      <c r="EEO989" s="16" t="s">
        <v>1487</v>
      </c>
      <c r="EEP989" s="16" t="s">
        <v>1487</v>
      </c>
      <c r="EEQ989" s="16" t="s">
        <v>1487</v>
      </c>
      <c r="EER989" s="16" t="s">
        <v>1487</v>
      </c>
      <c r="EES989" s="16" t="s">
        <v>1487</v>
      </c>
      <c r="EET989" s="16" t="s">
        <v>1487</v>
      </c>
      <c r="EEU989" s="16" t="s">
        <v>1487</v>
      </c>
      <c r="EEV989" s="16" t="s">
        <v>1487</v>
      </c>
      <c r="EEW989" s="16" t="s">
        <v>1487</v>
      </c>
      <c r="EEX989" s="16" t="s">
        <v>1487</v>
      </c>
      <c r="EEY989" s="16" t="s">
        <v>1487</v>
      </c>
      <c r="EEZ989" s="16" t="s">
        <v>1487</v>
      </c>
      <c r="EFA989" s="16" t="s">
        <v>1487</v>
      </c>
      <c r="EFB989" s="16" t="s">
        <v>1487</v>
      </c>
      <c r="EFC989" s="16" t="s">
        <v>1487</v>
      </c>
      <c r="EFD989" s="16" t="s">
        <v>1487</v>
      </c>
      <c r="EFE989" s="16" t="s">
        <v>1487</v>
      </c>
      <c r="EFF989" s="16" t="s">
        <v>1487</v>
      </c>
      <c r="EFG989" s="16" t="s">
        <v>1487</v>
      </c>
      <c r="EFH989" s="16" t="s">
        <v>1487</v>
      </c>
      <c r="EFI989" s="16" t="s">
        <v>1487</v>
      </c>
      <c r="EFJ989" s="16" t="s">
        <v>1487</v>
      </c>
      <c r="EFK989" s="16" t="s">
        <v>1487</v>
      </c>
      <c r="EFL989" s="16" t="s">
        <v>1487</v>
      </c>
      <c r="EFM989" s="16" t="s">
        <v>1487</v>
      </c>
      <c r="EFN989" s="16" t="s">
        <v>1487</v>
      </c>
      <c r="EFO989" s="16" t="s">
        <v>1487</v>
      </c>
      <c r="EFP989" s="16" t="s">
        <v>1487</v>
      </c>
      <c r="EFQ989" s="16" t="s">
        <v>1487</v>
      </c>
      <c r="EFR989" s="16" t="s">
        <v>1487</v>
      </c>
      <c r="EFS989" s="16" t="s">
        <v>1487</v>
      </c>
      <c r="EFT989" s="16" t="s">
        <v>1487</v>
      </c>
      <c r="EFU989" s="16" t="s">
        <v>1487</v>
      </c>
      <c r="EFV989" s="16" t="s">
        <v>1487</v>
      </c>
      <c r="EFW989" s="16" t="s">
        <v>1487</v>
      </c>
      <c r="EFX989" s="16" t="s">
        <v>1487</v>
      </c>
      <c r="EFY989" s="16" t="s">
        <v>1487</v>
      </c>
      <c r="EFZ989" s="16" t="s">
        <v>1487</v>
      </c>
      <c r="EGA989" s="16" t="s">
        <v>1487</v>
      </c>
      <c r="EGB989" s="16" t="s">
        <v>1487</v>
      </c>
      <c r="EGC989" s="16" t="s">
        <v>1487</v>
      </c>
      <c r="EGD989" s="16" t="s">
        <v>1487</v>
      </c>
      <c r="EGE989" s="16" t="s">
        <v>1487</v>
      </c>
      <c r="EGF989" s="16" t="s">
        <v>1487</v>
      </c>
      <c r="EGG989" s="16" t="s">
        <v>1487</v>
      </c>
      <c r="EGH989" s="16" t="s">
        <v>1487</v>
      </c>
      <c r="EGI989" s="16" t="s">
        <v>1487</v>
      </c>
      <c r="EGJ989" s="16" t="s">
        <v>1487</v>
      </c>
      <c r="EGK989" s="16" t="s">
        <v>1487</v>
      </c>
      <c r="EGL989" s="16" t="s">
        <v>1487</v>
      </c>
      <c r="EGM989" s="16" t="s">
        <v>1487</v>
      </c>
      <c r="EGN989" s="16" t="s">
        <v>1487</v>
      </c>
      <c r="EGO989" s="16" t="s">
        <v>1487</v>
      </c>
      <c r="EGP989" s="16" t="s">
        <v>1487</v>
      </c>
      <c r="EGQ989" s="16" t="s">
        <v>1487</v>
      </c>
      <c r="EGR989" s="16" t="s">
        <v>1487</v>
      </c>
      <c r="EGS989" s="16" t="s">
        <v>1487</v>
      </c>
      <c r="EGT989" s="16" t="s">
        <v>1487</v>
      </c>
      <c r="EGU989" s="16" t="s">
        <v>1487</v>
      </c>
      <c r="EGV989" s="16" t="s">
        <v>1487</v>
      </c>
      <c r="EGW989" s="16" t="s">
        <v>1487</v>
      </c>
      <c r="EGX989" s="16" t="s">
        <v>1487</v>
      </c>
      <c r="EGY989" s="16" t="s">
        <v>1487</v>
      </c>
      <c r="EGZ989" s="16" t="s">
        <v>1487</v>
      </c>
      <c r="EHA989" s="16" t="s">
        <v>1487</v>
      </c>
      <c r="EHB989" s="16" t="s">
        <v>1487</v>
      </c>
      <c r="EHC989" s="16" t="s">
        <v>1487</v>
      </c>
      <c r="EHD989" s="16" t="s">
        <v>1487</v>
      </c>
      <c r="EHE989" s="16" t="s">
        <v>1487</v>
      </c>
      <c r="EHF989" s="16" t="s">
        <v>1487</v>
      </c>
      <c r="EHG989" s="16" t="s">
        <v>1487</v>
      </c>
      <c r="EHH989" s="16" t="s">
        <v>1487</v>
      </c>
      <c r="EHI989" s="16" t="s">
        <v>1487</v>
      </c>
      <c r="EHJ989" s="16" t="s">
        <v>1487</v>
      </c>
      <c r="EHK989" s="16" t="s">
        <v>1487</v>
      </c>
      <c r="EHL989" s="16" t="s">
        <v>1487</v>
      </c>
      <c r="EHM989" s="16" t="s">
        <v>1487</v>
      </c>
      <c r="EHN989" s="16" t="s">
        <v>1487</v>
      </c>
      <c r="EHO989" s="16" t="s">
        <v>1487</v>
      </c>
      <c r="EHP989" s="16" t="s">
        <v>1487</v>
      </c>
      <c r="EHQ989" s="16" t="s">
        <v>1487</v>
      </c>
      <c r="EHR989" s="16" t="s">
        <v>1487</v>
      </c>
      <c r="EHS989" s="16" t="s">
        <v>1487</v>
      </c>
      <c r="EHT989" s="16" t="s">
        <v>1487</v>
      </c>
      <c r="EHU989" s="16" t="s">
        <v>1487</v>
      </c>
      <c r="EHV989" s="16" t="s">
        <v>1487</v>
      </c>
      <c r="EHW989" s="16" t="s">
        <v>1487</v>
      </c>
      <c r="EHX989" s="16" t="s">
        <v>1487</v>
      </c>
      <c r="EHY989" s="16" t="s">
        <v>1487</v>
      </c>
      <c r="EHZ989" s="16" t="s">
        <v>1487</v>
      </c>
      <c r="EIA989" s="16" t="s">
        <v>1487</v>
      </c>
      <c r="EIB989" s="16" t="s">
        <v>1487</v>
      </c>
      <c r="EIC989" s="16" t="s">
        <v>1487</v>
      </c>
      <c r="EID989" s="16" t="s">
        <v>1487</v>
      </c>
      <c r="EIE989" s="16" t="s">
        <v>1487</v>
      </c>
      <c r="EIF989" s="16" t="s">
        <v>1487</v>
      </c>
      <c r="EIG989" s="16" t="s">
        <v>1487</v>
      </c>
      <c r="EIH989" s="16" t="s">
        <v>1487</v>
      </c>
      <c r="EII989" s="16" t="s">
        <v>1487</v>
      </c>
      <c r="EIJ989" s="16" t="s">
        <v>1487</v>
      </c>
      <c r="EIK989" s="16" t="s">
        <v>1487</v>
      </c>
      <c r="EIL989" s="16" t="s">
        <v>1487</v>
      </c>
      <c r="EIM989" s="16" t="s">
        <v>1487</v>
      </c>
      <c r="EIN989" s="16" t="s">
        <v>1487</v>
      </c>
      <c r="EIO989" s="16" t="s">
        <v>1487</v>
      </c>
      <c r="EIP989" s="16" t="s">
        <v>1487</v>
      </c>
      <c r="EIQ989" s="16" t="s">
        <v>1487</v>
      </c>
      <c r="EIR989" s="16" t="s">
        <v>1487</v>
      </c>
      <c r="EIS989" s="16" t="s">
        <v>1487</v>
      </c>
      <c r="EIT989" s="16" t="s">
        <v>1487</v>
      </c>
      <c r="EIU989" s="16" t="s">
        <v>1487</v>
      </c>
      <c r="EIV989" s="16" t="s">
        <v>1487</v>
      </c>
      <c r="EIW989" s="16" t="s">
        <v>1487</v>
      </c>
      <c r="EIX989" s="16" t="s">
        <v>1487</v>
      </c>
      <c r="EIY989" s="16" t="s">
        <v>1487</v>
      </c>
      <c r="EIZ989" s="16" t="s">
        <v>1487</v>
      </c>
      <c r="EJA989" s="16" t="s">
        <v>1487</v>
      </c>
      <c r="EJB989" s="16" t="s">
        <v>1487</v>
      </c>
      <c r="EJC989" s="16" t="s">
        <v>1487</v>
      </c>
      <c r="EJD989" s="16" t="s">
        <v>1487</v>
      </c>
      <c r="EJE989" s="16" t="s">
        <v>1487</v>
      </c>
      <c r="EJF989" s="16" t="s">
        <v>1487</v>
      </c>
      <c r="EJG989" s="16" t="s">
        <v>1487</v>
      </c>
      <c r="EJH989" s="16" t="s">
        <v>1487</v>
      </c>
      <c r="EJI989" s="16" t="s">
        <v>1487</v>
      </c>
      <c r="EJJ989" s="16" t="s">
        <v>1487</v>
      </c>
      <c r="EJK989" s="16" t="s">
        <v>1487</v>
      </c>
      <c r="EJL989" s="16" t="s">
        <v>1487</v>
      </c>
      <c r="EJM989" s="16" t="s">
        <v>1487</v>
      </c>
      <c r="EJN989" s="16" t="s">
        <v>1487</v>
      </c>
      <c r="EJO989" s="16" t="s">
        <v>1487</v>
      </c>
      <c r="EJP989" s="16" t="s">
        <v>1487</v>
      </c>
      <c r="EJQ989" s="16" t="s">
        <v>1487</v>
      </c>
      <c r="EJR989" s="16" t="s">
        <v>1487</v>
      </c>
      <c r="EJS989" s="16" t="s">
        <v>1487</v>
      </c>
      <c r="EJT989" s="16" t="s">
        <v>1487</v>
      </c>
      <c r="EJU989" s="16" t="s">
        <v>1487</v>
      </c>
      <c r="EJV989" s="16" t="s">
        <v>1487</v>
      </c>
      <c r="EJW989" s="16" t="s">
        <v>1487</v>
      </c>
      <c r="EJX989" s="16" t="s">
        <v>1487</v>
      </c>
      <c r="EJY989" s="16" t="s">
        <v>1487</v>
      </c>
      <c r="EJZ989" s="16" t="s">
        <v>1487</v>
      </c>
      <c r="EKA989" s="16" t="s">
        <v>1487</v>
      </c>
      <c r="EKB989" s="16" t="s">
        <v>1487</v>
      </c>
      <c r="EKC989" s="16" t="s">
        <v>1487</v>
      </c>
      <c r="EKD989" s="16" t="s">
        <v>1487</v>
      </c>
      <c r="EKE989" s="16" t="s">
        <v>1487</v>
      </c>
      <c r="EKF989" s="16" t="s">
        <v>1487</v>
      </c>
      <c r="EKG989" s="16" t="s">
        <v>1487</v>
      </c>
      <c r="EKH989" s="16" t="s">
        <v>1487</v>
      </c>
      <c r="EKI989" s="16" t="s">
        <v>1487</v>
      </c>
      <c r="EKJ989" s="16" t="s">
        <v>1487</v>
      </c>
      <c r="EKK989" s="16" t="s">
        <v>1487</v>
      </c>
      <c r="EKL989" s="16" t="s">
        <v>1487</v>
      </c>
      <c r="EKM989" s="16" t="s">
        <v>1487</v>
      </c>
      <c r="EKN989" s="16" t="s">
        <v>1487</v>
      </c>
      <c r="EKO989" s="16" t="s">
        <v>1487</v>
      </c>
      <c r="EKP989" s="16" t="s">
        <v>1487</v>
      </c>
      <c r="EKQ989" s="16" t="s">
        <v>1487</v>
      </c>
      <c r="EKR989" s="16" t="s">
        <v>1487</v>
      </c>
      <c r="EKS989" s="16" t="s">
        <v>1487</v>
      </c>
      <c r="EKT989" s="16" t="s">
        <v>1487</v>
      </c>
      <c r="EKU989" s="16" t="s">
        <v>1487</v>
      </c>
      <c r="EKV989" s="16" t="s">
        <v>1487</v>
      </c>
      <c r="EKW989" s="16" t="s">
        <v>1487</v>
      </c>
      <c r="EKX989" s="16" t="s">
        <v>1487</v>
      </c>
      <c r="EKY989" s="16" t="s">
        <v>1487</v>
      </c>
      <c r="EKZ989" s="16" t="s">
        <v>1487</v>
      </c>
      <c r="ELA989" s="16" t="s">
        <v>1487</v>
      </c>
      <c r="ELB989" s="16" t="s">
        <v>1487</v>
      </c>
      <c r="ELC989" s="16" t="s">
        <v>1487</v>
      </c>
      <c r="ELD989" s="16" t="s">
        <v>1487</v>
      </c>
      <c r="ELE989" s="16" t="s">
        <v>1487</v>
      </c>
      <c r="ELF989" s="16" t="s">
        <v>1487</v>
      </c>
      <c r="ELG989" s="16" t="s">
        <v>1487</v>
      </c>
      <c r="ELH989" s="16" t="s">
        <v>1487</v>
      </c>
      <c r="ELI989" s="16" t="s">
        <v>1487</v>
      </c>
      <c r="ELJ989" s="16" t="s">
        <v>1487</v>
      </c>
      <c r="ELK989" s="16" t="s">
        <v>1487</v>
      </c>
      <c r="ELL989" s="16" t="s">
        <v>1487</v>
      </c>
      <c r="ELM989" s="16" t="s">
        <v>1487</v>
      </c>
      <c r="ELN989" s="16" t="s">
        <v>1487</v>
      </c>
      <c r="ELO989" s="16" t="s">
        <v>1487</v>
      </c>
      <c r="ELP989" s="16" t="s">
        <v>1487</v>
      </c>
      <c r="ELQ989" s="16" t="s">
        <v>1487</v>
      </c>
      <c r="ELR989" s="16" t="s">
        <v>1487</v>
      </c>
      <c r="ELS989" s="16" t="s">
        <v>1487</v>
      </c>
      <c r="ELT989" s="16" t="s">
        <v>1487</v>
      </c>
      <c r="ELU989" s="16" t="s">
        <v>1487</v>
      </c>
      <c r="ELV989" s="16" t="s">
        <v>1487</v>
      </c>
      <c r="ELW989" s="16" t="s">
        <v>1487</v>
      </c>
      <c r="ELX989" s="16" t="s">
        <v>1487</v>
      </c>
      <c r="ELY989" s="16" t="s">
        <v>1487</v>
      </c>
      <c r="ELZ989" s="16" t="s">
        <v>1487</v>
      </c>
      <c r="EMA989" s="16" t="s">
        <v>1487</v>
      </c>
      <c r="EMB989" s="16" t="s">
        <v>1487</v>
      </c>
      <c r="EMC989" s="16" t="s">
        <v>1487</v>
      </c>
      <c r="EMD989" s="16" t="s">
        <v>1487</v>
      </c>
      <c r="EME989" s="16" t="s">
        <v>1487</v>
      </c>
      <c r="EMF989" s="16" t="s">
        <v>1487</v>
      </c>
      <c r="EMG989" s="16" t="s">
        <v>1487</v>
      </c>
      <c r="EMH989" s="16" t="s">
        <v>1487</v>
      </c>
      <c r="EMI989" s="16" t="s">
        <v>1487</v>
      </c>
      <c r="EMJ989" s="16" t="s">
        <v>1487</v>
      </c>
      <c r="EMK989" s="16" t="s">
        <v>1487</v>
      </c>
      <c r="EML989" s="16" t="s">
        <v>1487</v>
      </c>
      <c r="EMM989" s="16" t="s">
        <v>1487</v>
      </c>
      <c r="EMN989" s="16" t="s">
        <v>1487</v>
      </c>
      <c r="EMO989" s="16" t="s">
        <v>1487</v>
      </c>
      <c r="EMP989" s="16" t="s">
        <v>1487</v>
      </c>
      <c r="EMQ989" s="16" t="s">
        <v>1487</v>
      </c>
      <c r="EMR989" s="16" t="s">
        <v>1487</v>
      </c>
      <c r="EMS989" s="16" t="s">
        <v>1487</v>
      </c>
      <c r="EMT989" s="16" t="s">
        <v>1487</v>
      </c>
      <c r="EMU989" s="16" t="s">
        <v>1487</v>
      </c>
      <c r="EMV989" s="16" t="s">
        <v>1487</v>
      </c>
      <c r="EMW989" s="16" t="s">
        <v>1487</v>
      </c>
      <c r="EMX989" s="16" t="s">
        <v>1487</v>
      </c>
      <c r="EMY989" s="16" t="s">
        <v>1487</v>
      </c>
      <c r="EMZ989" s="16" t="s">
        <v>1487</v>
      </c>
      <c r="ENA989" s="16" t="s">
        <v>1487</v>
      </c>
      <c r="ENB989" s="16" t="s">
        <v>1487</v>
      </c>
      <c r="ENC989" s="16" t="s">
        <v>1487</v>
      </c>
      <c r="END989" s="16" t="s">
        <v>1487</v>
      </c>
      <c r="ENE989" s="16" t="s">
        <v>1487</v>
      </c>
      <c r="ENF989" s="16" t="s">
        <v>1487</v>
      </c>
      <c r="ENG989" s="16" t="s">
        <v>1487</v>
      </c>
      <c r="ENH989" s="16" t="s">
        <v>1487</v>
      </c>
      <c r="ENI989" s="16" t="s">
        <v>1487</v>
      </c>
      <c r="ENJ989" s="16" t="s">
        <v>1487</v>
      </c>
      <c r="ENK989" s="16" t="s">
        <v>1487</v>
      </c>
      <c r="ENL989" s="16" t="s">
        <v>1487</v>
      </c>
      <c r="ENM989" s="16" t="s">
        <v>1487</v>
      </c>
      <c r="ENN989" s="16" t="s">
        <v>1487</v>
      </c>
      <c r="ENO989" s="16" t="s">
        <v>1487</v>
      </c>
      <c r="ENP989" s="16" t="s">
        <v>1487</v>
      </c>
      <c r="ENQ989" s="16" t="s">
        <v>1487</v>
      </c>
      <c r="ENR989" s="16" t="s">
        <v>1487</v>
      </c>
      <c r="ENS989" s="16" t="s">
        <v>1487</v>
      </c>
      <c r="ENT989" s="16" t="s">
        <v>1487</v>
      </c>
      <c r="ENU989" s="16" t="s">
        <v>1487</v>
      </c>
      <c r="ENV989" s="16" t="s">
        <v>1487</v>
      </c>
      <c r="ENW989" s="16" t="s">
        <v>1487</v>
      </c>
      <c r="ENX989" s="16" t="s">
        <v>1487</v>
      </c>
      <c r="ENY989" s="16" t="s">
        <v>1487</v>
      </c>
      <c r="ENZ989" s="16" t="s">
        <v>1487</v>
      </c>
      <c r="EOA989" s="16" t="s">
        <v>1487</v>
      </c>
      <c r="EOB989" s="16" t="s">
        <v>1487</v>
      </c>
      <c r="EOC989" s="16" t="s">
        <v>1487</v>
      </c>
      <c r="EOD989" s="16" t="s">
        <v>1487</v>
      </c>
      <c r="EOE989" s="16" t="s">
        <v>1487</v>
      </c>
      <c r="EOF989" s="16" t="s">
        <v>1487</v>
      </c>
      <c r="EOG989" s="16" t="s">
        <v>1487</v>
      </c>
      <c r="EOH989" s="16" t="s">
        <v>1487</v>
      </c>
      <c r="EOI989" s="16" t="s">
        <v>1487</v>
      </c>
      <c r="EOJ989" s="16" t="s">
        <v>1487</v>
      </c>
      <c r="EOK989" s="16" t="s">
        <v>1487</v>
      </c>
      <c r="EOL989" s="16" t="s">
        <v>1487</v>
      </c>
      <c r="EOM989" s="16" t="s">
        <v>1487</v>
      </c>
      <c r="EON989" s="16" t="s">
        <v>1487</v>
      </c>
      <c r="EOO989" s="16" t="s">
        <v>1487</v>
      </c>
      <c r="EOP989" s="16" t="s">
        <v>1487</v>
      </c>
      <c r="EOQ989" s="16" t="s">
        <v>1487</v>
      </c>
      <c r="EOR989" s="16" t="s">
        <v>1487</v>
      </c>
      <c r="EOS989" s="16" t="s">
        <v>1487</v>
      </c>
      <c r="EOT989" s="16" t="s">
        <v>1487</v>
      </c>
      <c r="EOU989" s="16" t="s">
        <v>1487</v>
      </c>
      <c r="EOV989" s="16" t="s">
        <v>1487</v>
      </c>
      <c r="EOW989" s="16" t="s">
        <v>1487</v>
      </c>
      <c r="EOX989" s="16" t="s">
        <v>1487</v>
      </c>
      <c r="EOY989" s="16" t="s">
        <v>1487</v>
      </c>
      <c r="EOZ989" s="16" t="s">
        <v>1487</v>
      </c>
      <c r="EPA989" s="16" t="s">
        <v>1487</v>
      </c>
      <c r="EPB989" s="16" t="s">
        <v>1487</v>
      </c>
      <c r="EPC989" s="16" t="s">
        <v>1487</v>
      </c>
      <c r="EPD989" s="16" t="s">
        <v>1487</v>
      </c>
      <c r="EPE989" s="16" t="s">
        <v>1487</v>
      </c>
      <c r="EPF989" s="16" t="s">
        <v>1487</v>
      </c>
      <c r="EPG989" s="16" t="s">
        <v>1487</v>
      </c>
      <c r="EPH989" s="16" t="s">
        <v>1487</v>
      </c>
      <c r="EPI989" s="16" t="s">
        <v>1487</v>
      </c>
      <c r="EPJ989" s="16" t="s">
        <v>1487</v>
      </c>
      <c r="EPK989" s="16" t="s">
        <v>1487</v>
      </c>
      <c r="EPL989" s="16" t="s">
        <v>1487</v>
      </c>
      <c r="EPM989" s="16" t="s">
        <v>1487</v>
      </c>
      <c r="EPN989" s="16" t="s">
        <v>1487</v>
      </c>
      <c r="EPO989" s="16" t="s">
        <v>1487</v>
      </c>
      <c r="EPP989" s="16" t="s">
        <v>1487</v>
      </c>
      <c r="EPQ989" s="16" t="s">
        <v>1487</v>
      </c>
      <c r="EPR989" s="16" t="s">
        <v>1487</v>
      </c>
      <c r="EPS989" s="16" t="s">
        <v>1487</v>
      </c>
      <c r="EPT989" s="16" t="s">
        <v>1487</v>
      </c>
      <c r="EPU989" s="16" t="s">
        <v>1487</v>
      </c>
      <c r="EPV989" s="16" t="s">
        <v>1487</v>
      </c>
      <c r="EPW989" s="16" t="s">
        <v>1487</v>
      </c>
      <c r="EPX989" s="16" t="s">
        <v>1487</v>
      </c>
      <c r="EPY989" s="16" t="s">
        <v>1487</v>
      </c>
      <c r="EPZ989" s="16" t="s">
        <v>1487</v>
      </c>
      <c r="EQA989" s="16" t="s">
        <v>1487</v>
      </c>
      <c r="EQB989" s="16" t="s">
        <v>1487</v>
      </c>
      <c r="EQC989" s="16" t="s">
        <v>1487</v>
      </c>
      <c r="EQD989" s="16" t="s">
        <v>1487</v>
      </c>
      <c r="EQE989" s="16" t="s">
        <v>1487</v>
      </c>
      <c r="EQF989" s="16" t="s">
        <v>1487</v>
      </c>
      <c r="EQG989" s="16" t="s">
        <v>1487</v>
      </c>
      <c r="EQH989" s="16" t="s">
        <v>1487</v>
      </c>
      <c r="EQI989" s="16" t="s">
        <v>1487</v>
      </c>
      <c r="EQJ989" s="16" t="s">
        <v>1487</v>
      </c>
      <c r="EQK989" s="16" t="s">
        <v>1487</v>
      </c>
      <c r="EQL989" s="16" t="s">
        <v>1487</v>
      </c>
      <c r="EQM989" s="16" t="s">
        <v>1487</v>
      </c>
      <c r="EQN989" s="16" t="s">
        <v>1487</v>
      </c>
      <c r="EQO989" s="16" t="s">
        <v>1487</v>
      </c>
      <c r="EQP989" s="16" t="s">
        <v>1487</v>
      </c>
      <c r="EQQ989" s="16" t="s">
        <v>1487</v>
      </c>
      <c r="EQR989" s="16" t="s">
        <v>1487</v>
      </c>
      <c r="EQS989" s="16" t="s">
        <v>1487</v>
      </c>
      <c r="EQT989" s="16" t="s">
        <v>1487</v>
      </c>
      <c r="EQU989" s="16" t="s">
        <v>1487</v>
      </c>
      <c r="EQV989" s="16" t="s">
        <v>1487</v>
      </c>
      <c r="EQW989" s="16" t="s">
        <v>1487</v>
      </c>
      <c r="EQX989" s="16" t="s">
        <v>1487</v>
      </c>
      <c r="EQY989" s="16" t="s">
        <v>1487</v>
      </c>
      <c r="EQZ989" s="16" t="s">
        <v>1487</v>
      </c>
      <c r="ERA989" s="16" t="s">
        <v>1487</v>
      </c>
      <c r="ERB989" s="16" t="s">
        <v>1487</v>
      </c>
      <c r="ERC989" s="16" t="s">
        <v>1487</v>
      </c>
      <c r="ERD989" s="16" t="s">
        <v>1487</v>
      </c>
      <c r="ERE989" s="16" t="s">
        <v>1487</v>
      </c>
      <c r="ERF989" s="16" t="s">
        <v>1487</v>
      </c>
      <c r="ERG989" s="16" t="s">
        <v>1487</v>
      </c>
      <c r="ERH989" s="16" t="s">
        <v>1487</v>
      </c>
      <c r="ERI989" s="16" t="s">
        <v>1487</v>
      </c>
      <c r="ERJ989" s="16" t="s">
        <v>1487</v>
      </c>
      <c r="ERK989" s="16" t="s">
        <v>1487</v>
      </c>
      <c r="ERL989" s="16" t="s">
        <v>1487</v>
      </c>
      <c r="ERM989" s="16" t="s">
        <v>1487</v>
      </c>
      <c r="ERN989" s="16" t="s">
        <v>1487</v>
      </c>
      <c r="ERO989" s="16" t="s">
        <v>1487</v>
      </c>
      <c r="ERP989" s="16" t="s">
        <v>1487</v>
      </c>
      <c r="ERQ989" s="16" t="s">
        <v>1487</v>
      </c>
      <c r="ERR989" s="16" t="s">
        <v>1487</v>
      </c>
      <c r="ERS989" s="16" t="s">
        <v>1487</v>
      </c>
      <c r="ERT989" s="16" t="s">
        <v>1487</v>
      </c>
      <c r="ERU989" s="16" t="s">
        <v>1487</v>
      </c>
      <c r="ERV989" s="16" t="s">
        <v>1487</v>
      </c>
      <c r="ERW989" s="16" t="s">
        <v>1487</v>
      </c>
      <c r="ERX989" s="16" t="s">
        <v>1487</v>
      </c>
      <c r="ERY989" s="16" t="s">
        <v>1487</v>
      </c>
      <c r="ERZ989" s="16" t="s">
        <v>1487</v>
      </c>
      <c r="ESA989" s="16" t="s">
        <v>1487</v>
      </c>
      <c r="ESB989" s="16" t="s">
        <v>1487</v>
      </c>
      <c r="ESC989" s="16" t="s">
        <v>1487</v>
      </c>
      <c r="ESD989" s="16" t="s">
        <v>1487</v>
      </c>
      <c r="ESE989" s="16" t="s">
        <v>1487</v>
      </c>
      <c r="ESF989" s="16" t="s">
        <v>1487</v>
      </c>
      <c r="ESG989" s="16" t="s">
        <v>1487</v>
      </c>
      <c r="ESH989" s="16" t="s">
        <v>1487</v>
      </c>
      <c r="ESI989" s="16" t="s">
        <v>1487</v>
      </c>
      <c r="ESJ989" s="16" t="s">
        <v>1487</v>
      </c>
      <c r="ESK989" s="16" t="s">
        <v>1487</v>
      </c>
      <c r="ESL989" s="16" t="s">
        <v>1487</v>
      </c>
      <c r="ESM989" s="16" t="s">
        <v>1487</v>
      </c>
      <c r="ESN989" s="16" t="s">
        <v>1487</v>
      </c>
      <c r="ESO989" s="16" t="s">
        <v>1487</v>
      </c>
      <c r="ESP989" s="16" t="s">
        <v>1487</v>
      </c>
      <c r="ESQ989" s="16" t="s">
        <v>1487</v>
      </c>
      <c r="ESR989" s="16" t="s">
        <v>1487</v>
      </c>
      <c r="ESS989" s="16" t="s">
        <v>1487</v>
      </c>
      <c r="EST989" s="16" t="s">
        <v>1487</v>
      </c>
      <c r="ESU989" s="16" t="s">
        <v>1487</v>
      </c>
      <c r="ESV989" s="16" t="s">
        <v>1487</v>
      </c>
      <c r="ESW989" s="16" t="s">
        <v>1487</v>
      </c>
      <c r="ESX989" s="16" t="s">
        <v>1487</v>
      </c>
      <c r="ESY989" s="16" t="s">
        <v>1487</v>
      </c>
      <c r="ESZ989" s="16" t="s">
        <v>1487</v>
      </c>
      <c r="ETA989" s="16" t="s">
        <v>1487</v>
      </c>
      <c r="ETB989" s="16" t="s">
        <v>1487</v>
      </c>
      <c r="ETC989" s="16" t="s">
        <v>1487</v>
      </c>
      <c r="ETD989" s="16" t="s">
        <v>1487</v>
      </c>
      <c r="ETE989" s="16" t="s">
        <v>1487</v>
      </c>
      <c r="ETF989" s="16" t="s">
        <v>1487</v>
      </c>
      <c r="ETG989" s="16" t="s">
        <v>1487</v>
      </c>
      <c r="ETH989" s="16" t="s">
        <v>1487</v>
      </c>
      <c r="ETI989" s="16" t="s">
        <v>1487</v>
      </c>
      <c r="ETJ989" s="16" t="s">
        <v>1487</v>
      </c>
      <c r="ETK989" s="16" t="s">
        <v>1487</v>
      </c>
      <c r="ETL989" s="16" t="s">
        <v>1487</v>
      </c>
      <c r="ETM989" s="16" t="s">
        <v>1487</v>
      </c>
      <c r="ETN989" s="16" t="s">
        <v>1487</v>
      </c>
      <c r="ETO989" s="16" t="s">
        <v>1487</v>
      </c>
      <c r="ETP989" s="16" t="s">
        <v>1487</v>
      </c>
      <c r="ETQ989" s="16" t="s">
        <v>1487</v>
      </c>
      <c r="ETR989" s="16" t="s">
        <v>1487</v>
      </c>
      <c r="ETS989" s="16" t="s">
        <v>1487</v>
      </c>
      <c r="ETT989" s="16" t="s">
        <v>1487</v>
      </c>
      <c r="ETU989" s="16" t="s">
        <v>1487</v>
      </c>
      <c r="ETV989" s="16" t="s">
        <v>1487</v>
      </c>
      <c r="ETW989" s="16" t="s">
        <v>1487</v>
      </c>
      <c r="ETX989" s="16" t="s">
        <v>1487</v>
      </c>
      <c r="ETY989" s="16" t="s">
        <v>1487</v>
      </c>
      <c r="ETZ989" s="16" t="s">
        <v>1487</v>
      </c>
      <c r="EUA989" s="16" t="s">
        <v>1487</v>
      </c>
      <c r="EUB989" s="16" t="s">
        <v>1487</v>
      </c>
      <c r="EUC989" s="16" t="s">
        <v>1487</v>
      </c>
      <c r="EUD989" s="16" t="s">
        <v>1487</v>
      </c>
      <c r="EUE989" s="16" t="s">
        <v>1487</v>
      </c>
      <c r="EUF989" s="16" t="s">
        <v>1487</v>
      </c>
      <c r="EUG989" s="16" t="s">
        <v>1487</v>
      </c>
      <c r="EUH989" s="16" t="s">
        <v>1487</v>
      </c>
      <c r="EUI989" s="16" t="s">
        <v>1487</v>
      </c>
      <c r="EUJ989" s="16" t="s">
        <v>1487</v>
      </c>
      <c r="EUK989" s="16" t="s">
        <v>1487</v>
      </c>
      <c r="EUL989" s="16" t="s">
        <v>1487</v>
      </c>
      <c r="EUM989" s="16" t="s">
        <v>1487</v>
      </c>
      <c r="EUN989" s="16" t="s">
        <v>1487</v>
      </c>
      <c r="EUO989" s="16" t="s">
        <v>1487</v>
      </c>
      <c r="EUP989" s="16" t="s">
        <v>1487</v>
      </c>
      <c r="EUQ989" s="16" t="s">
        <v>1487</v>
      </c>
      <c r="EUR989" s="16" t="s">
        <v>1487</v>
      </c>
      <c r="EUS989" s="16" t="s">
        <v>1487</v>
      </c>
      <c r="EUT989" s="16" t="s">
        <v>1487</v>
      </c>
      <c r="EUU989" s="16" t="s">
        <v>1487</v>
      </c>
      <c r="EUV989" s="16" t="s">
        <v>1487</v>
      </c>
      <c r="EUW989" s="16" t="s">
        <v>1487</v>
      </c>
      <c r="EUX989" s="16" t="s">
        <v>1487</v>
      </c>
      <c r="EUY989" s="16" t="s">
        <v>1487</v>
      </c>
      <c r="EUZ989" s="16" t="s">
        <v>1487</v>
      </c>
      <c r="EVA989" s="16" t="s">
        <v>1487</v>
      </c>
      <c r="EVB989" s="16" t="s">
        <v>1487</v>
      </c>
      <c r="EVC989" s="16" t="s">
        <v>1487</v>
      </c>
      <c r="EVD989" s="16" t="s">
        <v>1487</v>
      </c>
      <c r="EVE989" s="16" t="s">
        <v>1487</v>
      </c>
      <c r="EVF989" s="16" t="s">
        <v>1487</v>
      </c>
      <c r="EVG989" s="16" t="s">
        <v>1487</v>
      </c>
      <c r="EVH989" s="16" t="s">
        <v>1487</v>
      </c>
      <c r="EVI989" s="16" t="s">
        <v>1487</v>
      </c>
      <c r="EVJ989" s="16" t="s">
        <v>1487</v>
      </c>
      <c r="EVK989" s="16" t="s">
        <v>1487</v>
      </c>
      <c r="EVL989" s="16" t="s">
        <v>1487</v>
      </c>
      <c r="EVM989" s="16" t="s">
        <v>1487</v>
      </c>
      <c r="EVN989" s="16" t="s">
        <v>1487</v>
      </c>
      <c r="EVO989" s="16" t="s">
        <v>1487</v>
      </c>
      <c r="EVP989" s="16" t="s">
        <v>1487</v>
      </c>
      <c r="EVQ989" s="16" t="s">
        <v>1487</v>
      </c>
      <c r="EVR989" s="16" t="s">
        <v>1487</v>
      </c>
      <c r="EVS989" s="16" t="s">
        <v>1487</v>
      </c>
      <c r="EVT989" s="16" t="s">
        <v>1487</v>
      </c>
      <c r="EVU989" s="16" t="s">
        <v>1487</v>
      </c>
      <c r="EVV989" s="16" t="s">
        <v>1487</v>
      </c>
      <c r="EVW989" s="16" t="s">
        <v>1487</v>
      </c>
      <c r="EVX989" s="16" t="s">
        <v>1487</v>
      </c>
      <c r="EVY989" s="16" t="s">
        <v>1487</v>
      </c>
      <c r="EVZ989" s="16" t="s">
        <v>1487</v>
      </c>
      <c r="EWA989" s="16" t="s">
        <v>1487</v>
      </c>
      <c r="EWB989" s="16" t="s">
        <v>1487</v>
      </c>
      <c r="EWC989" s="16" t="s">
        <v>1487</v>
      </c>
      <c r="EWD989" s="16" t="s">
        <v>1487</v>
      </c>
      <c r="EWE989" s="16" t="s">
        <v>1487</v>
      </c>
      <c r="EWF989" s="16" t="s">
        <v>1487</v>
      </c>
      <c r="EWG989" s="16" t="s">
        <v>1487</v>
      </c>
      <c r="EWH989" s="16" t="s">
        <v>1487</v>
      </c>
      <c r="EWI989" s="16" t="s">
        <v>1487</v>
      </c>
      <c r="EWJ989" s="16" t="s">
        <v>1487</v>
      </c>
      <c r="EWK989" s="16" t="s">
        <v>1487</v>
      </c>
      <c r="EWL989" s="16" t="s">
        <v>1487</v>
      </c>
      <c r="EWM989" s="16" t="s">
        <v>1487</v>
      </c>
      <c r="EWN989" s="16" t="s">
        <v>1487</v>
      </c>
      <c r="EWO989" s="16" t="s">
        <v>1487</v>
      </c>
      <c r="EWP989" s="16" t="s">
        <v>1487</v>
      </c>
      <c r="EWQ989" s="16" t="s">
        <v>1487</v>
      </c>
      <c r="EWR989" s="16" t="s">
        <v>1487</v>
      </c>
      <c r="EWS989" s="16" t="s">
        <v>1487</v>
      </c>
      <c r="EWT989" s="16" t="s">
        <v>1487</v>
      </c>
      <c r="EWU989" s="16" t="s">
        <v>1487</v>
      </c>
      <c r="EWV989" s="16" t="s">
        <v>1487</v>
      </c>
      <c r="EWW989" s="16" t="s">
        <v>1487</v>
      </c>
      <c r="EWX989" s="16" t="s">
        <v>1487</v>
      </c>
      <c r="EWY989" s="16" t="s">
        <v>1487</v>
      </c>
      <c r="EWZ989" s="16" t="s">
        <v>1487</v>
      </c>
      <c r="EXA989" s="16" t="s">
        <v>1487</v>
      </c>
      <c r="EXB989" s="16" t="s">
        <v>1487</v>
      </c>
      <c r="EXC989" s="16" t="s">
        <v>1487</v>
      </c>
      <c r="EXD989" s="16" t="s">
        <v>1487</v>
      </c>
      <c r="EXE989" s="16" t="s">
        <v>1487</v>
      </c>
      <c r="EXF989" s="16" t="s">
        <v>1487</v>
      </c>
      <c r="EXG989" s="16" t="s">
        <v>1487</v>
      </c>
      <c r="EXH989" s="16" t="s">
        <v>1487</v>
      </c>
      <c r="EXI989" s="16" t="s">
        <v>1487</v>
      </c>
      <c r="EXJ989" s="16" t="s">
        <v>1487</v>
      </c>
      <c r="EXK989" s="16" t="s">
        <v>1487</v>
      </c>
      <c r="EXL989" s="16" t="s">
        <v>1487</v>
      </c>
      <c r="EXM989" s="16" t="s">
        <v>1487</v>
      </c>
      <c r="EXN989" s="16" t="s">
        <v>1487</v>
      </c>
      <c r="EXO989" s="16" t="s">
        <v>1487</v>
      </c>
      <c r="EXP989" s="16" t="s">
        <v>1487</v>
      </c>
      <c r="EXQ989" s="16" t="s">
        <v>1487</v>
      </c>
      <c r="EXR989" s="16" t="s">
        <v>1487</v>
      </c>
      <c r="EXS989" s="16" t="s">
        <v>1487</v>
      </c>
      <c r="EXT989" s="16" t="s">
        <v>1487</v>
      </c>
      <c r="EXU989" s="16" t="s">
        <v>1487</v>
      </c>
      <c r="EXV989" s="16" t="s">
        <v>1487</v>
      </c>
      <c r="EXW989" s="16" t="s">
        <v>1487</v>
      </c>
      <c r="EXX989" s="16" t="s">
        <v>1487</v>
      </c>
      <c r="EXY989" s="16" t="s">
        <v>1487</v>
      </c>
      <c r="EXZ989" s="16" t="s">
        <v>1487</v>
      </c>
      <c r="EYA989" s="16" t="s">
        <v>1487</v>
      </c>
      <c r="EYB989" s="16" t="s">
        <v>1487</v>
      </c>
      <c r="EYC989" s="16" t="s">
        <v>1487</v>
      </c>
      <c r="EYD989" s="16" t="s">
        <v>1487</v>
      </c>
      <c r="EYE989" s="16" t="s">
        <v>1487</v>
      </c>
      <c r="EYF989" s="16" t="s">
        <v>1487</v>
      </c>
      <c r="EYG989" s="16" t="s">
        <v>1487</v>
      </c>
      <c r="EYH989" s="16" t="s">
        <v>1487</v>
      </c>
      <c r="EYI989" s="16" t="s">
        <v>1487</v>
      </c>
      <c r="EYJ989" s="16" t="s">
        <v>1487</v>
      </c>
      <c r="EYK989" s="16" t="s">
        <v>1487</v>
      </c>
      <c r="EYL989" s="16" t="s">
        <v>1487</v>
      </c>
      <c r="EYM989" s="16" t="s">
        <v>1487</v>
      </c>
      <c r="EYN989" s="16" t="s">
        <v>1487</v>
      </c>
      <c r="EYO989" s="16" t="s">
        <v>1487</v>
      </c>
      <c r="EYP989" s="16" t="s">
        <v>1487</v>
      </c>
      <c r="EYQ989" s="16" t="s">
        <v>1487</v>
      </c>
      <c r="EYR989" s="16" t="s">
        <v>1487</v>
      </c>
      <c r="EYS989" s="16" t="s">
        <v>1487</v>
      </c>
      <c r="EYT989" s="16" t="s">
        <v>1487</v>
      </c>
      <c r="EYU989" s="16" t="s">
        <v>1487</v>
      </c>
      <c r="EYV989" s="16" t="s">
        <v>1487</v>
      </c>
      <c r="EYW989" s="16" t="s">
        <v>1487</v>
      </c>
      <c r="EYX989" s="16" t="s">
        <v>1487</v>
      </c>
      <c r="EYY989" s="16" t="s">
        <v>1487</v>
      </c>
      <c r="EYZ989" s="16" t="s">
        <v>1487</v>
      </c>
      <c r="EZA989" s="16" t="s">
        <v>1487</v>
      </c>
      <c r="EZB989" s="16" t="s">
        <v>1487</v>
      </c>
      <c r="EZC989" s="16" t="s">
        <v>1487</v>
      </c>
      <c r="EZD989" s="16" t="s">
        <v>1487</v>
      </c>
      <c r="EZE989" s="16" t="s">
        <v>1487</v>
      </c>
      <c r="EZF989" s="16" t="s">
        <v>1487</v>
      </c>
      <c r="EZG989" s="16" t="s">
        <v>1487</v>
      </c>
      <c r="EZH989" s="16" t="s">
        <v>1487</v>
      </c>
      <c r="EZI989" s="16" t="s">
        <v>1487</v>
      </c>
      <c r="EZJ989" s="16" t="s">
        <v>1487</v>
      </c>
      <c r="EZK989" s="16" t="s">
        <v>1487</v>
      </c>
      <c r="EZL989" s="16" t="s">
        <v>1487</v>
      </c>
      <c r="EZM989" s="16" t="s">
        <v>1487</v>
      </c>
      <c r="EZN989" s="16" t="s">
        <v>1487</v>
      </c>
      <c r="EZO989" s="16" t="s">
        <v>1487</v>
      </c>
      <c r="EZP989" s="16" t="s">
        <v>1487</v>
      </c>
      <c r="EZQ989" s="16" t="s">
        <v>1487</v>
      </c>
      <c r="EZR989" s="16" t="s">
        <v>1487</v>
      </c>
      <c r="EZS989" s="16" t="s">
        <v>1487</v>
      </c>
      <c r="EZT989" s="16" t="s">
        <v>1487</v>
      </c>
      <c r="EZU989" s="16" t="s">
        <v>1487</v>
      </c>
      <c r="EZV989" s="16" t="s">
        <v>1487</v>
      </c>
      <c r="EZW989" s="16" t="s">
        <v>1487</v>
      </c>
      <c r="EZX989" s="16" t="s">
        <v>1487</v>
      </c>
      <c r="EZY989" s="16" t="s">
        <v>1487</v>
      </c>
      <c r="EZZ989" s="16" t="s">
        <v>1487</v>
      </c>
      <c r="FAA989" s="16" t="s">
        <v>1487</v>
      </c>
      <c r="FAB989" s="16" t="s">
        <v>1487</v>
      </c>
      <c r="FAC989" s="16" t="s">
        <v>1487</v>
      </c>
      <c r="FAD989" s="16" t="s">
        <v>1487</v>
      </c>
      <c r="FAE989" s="16" t="s">
        <v>1487</v>
      </c>
      <c r="FAF989" s="16" t="s">
        <v>1487</v>
      </c>
      <c r="FAG989" s="16" t="s">
        <v>1487</v>
      </c>
      <c r="FAH989" s="16" t="s">
        <v>1487</v>
      </c>
      <c r="FAI989" s="16" t="s">
        <v>1487</v>
      </c>
      <c r="FAJ989" s="16" t="s">
        <v>1487</v>
      </c>
      <c r="FAK989" s="16" t="s">
        <v>1487</v>
      </c>
      <c r="FAL989" s="16" t="s">
        <v>1487</v>
      </c>
      <c r="FAM989" s="16" t="s">
        <v>1487</v>
      </c>
      <c r="FAN989" s="16" t="s">
        <v>1487</v>
      </c>
      <c r="FAO989" s="16" t="s">
        <v>1487</v>
      </c>
      <c r="FAP989" s="16" t="s">
        <v>1487</v>
      </c>
      <c r="FAQ989" s="16" t="s">
        <v>1487</v>
      </c>
      <c r="FAR989" s="16" t="s">
        <v>1487</v>
      </c>
      <c r="FAS989" s="16" t="s">
        <v>1487</v>
      </c>
      <c r="FAT989" s="16" t="s">
        <v>1487</v>
      </c>
      <c r="FAU989" s="16" t="s">
        <v>1487</v>
      </c>
      <c r="FAV989" s="16" t="s">
        <v>1487</v>
      </c>
      <c r="FAW989" s="16" t="s">
        <v>1487</v>
      </c>
      <c r="FAX989" s="16" t="s">
        <v>1487</v>
      </c>
      <c r="FAY989" s="16" t="s">
        <v>1487</v>
      </c>
      <c r="FAZ989" s="16" t="s">
        <v>1487</v>
      </c>
      <c r="FBA989" s="16" t="s">
        <v>1487</v>
      </c>
      <c r="FBB989" s="16" t="s">
        <v>1487</v>
      </c>
      <c r="FBC989" s="16" t="s">
        <v>1487</v>
      </c>
      <c r="FBD989" s="16" t="s">
        <v>1487</v>
      </c>
      <c r="FBE989" s="16" t="s">
        <v>1487</v>
      </c>
      <c r="FBF989" s="16" t="s">
        <v>1487</v>
      </c>
      <c r="FBG989" s="16" t="s">
        <v>1487</v>
      </c>
      <c r="FBH989" s="16" t="s">
        <v>1487</v>
      </c>
      <c r="FBI989" s="16" t="s">
        <v>1487</v>
      </c>
      <c r="FBJ989" s="16" t="s">
        <v>1487</v>
      </c>
      <c r="FBK989" s="16" t="s">
        <v>1487</v>
      </c>
      <c r="FBL989" s="16" t="s">
        <v>1487</v>
      </c>
      <c r="FBM989" s="16" t="s">
        <v>1487</v>
      </c>
      <c r="FBN989" s="16" t="s">
        <v>1487</v>
      </c>
      <c r="FBO989" s="16" t="s">
        <v>1487</v>
      </c>
      <c r="FBP989" s="16" t="s">
        <v>1487</v>
      </c>
      <c r="FBQ989" s="16" t="s">
        <v>1487</v>
      </c>
      <c r="FBR989" s="16" t="s">
        <v>1487</v>
      </c>
      <c r="FBS989" s="16" t="s">
        <v>1487</v>
      </c>
      <c r="FBT989" s="16" t="s">
        <v>1487</v>
      </c>
      <c r="FBU989" s="16" t="s">
        <v>1487</v>
      </c>
      <c r="FBV989" s="16" t="s">
        <v>1487</v>
      </c>
      <c r="FBW989" s="16" t="s">
        <v>1487</v>
      </c>
      <c r="FBX989" s="16" t="s">
        <v>1487</v>
      </c>
      <c r="FBY989" s="16" t="s">
        <v>1487</v>
      </c>
      <c r="FBZ989" s="16" t="s">
        <v>1487</v>
      </c>
      <c r="FCA989" s="16" t="s">
        <v>1487</v>
      </c>
      <c r="FCB989" s="16" t="s">
        <v>1487</v>
      </c>
      <c r="FCC989" s="16" t="s">
        <v>1487</v>
      </c>
      <c r="FCD989" s="16" t="s">
        <v>1487</v>
      </c>
      <c r="FCE989" s="16" t="s">
        <v>1487</v>
      </c>
      <c r="FCF989" s="16" t="s">
        <v>1487</v>
      </c>
      <c r="FCG989" s="16" t="s">
        <v>1487</v>
      </c>
      <c r="FCH989" s="16" t="s">
        <v>1487</v>
      </c>
      <c r="FCI989" s="16" t="s">
        <v>1487</v>
      </c>
      <c r="FCJ989" s="16" t="s">
        <v>1487</v>
      </c>
      <c r="FCK989" s="16" t="s">
        <v>1487</v>
      </c>
      <c r="FCL989" s="16" t="s">
        <v>1487</v>
      </c>
      <c r="FCM989" s="16" t="s">
        <v>1487</v>
      </c>
      <c r="FCN989" s="16" t="s">
        <v>1487</v>
      </c>
      <c r="FCO989" s="16" t="s">
        <v>1487</v>
      </c>
      <c r="FCP989" s="16" t="s">
        <v>1487</v>
      </c>
      <c r="FCQ989" s="16" t="s">
        <v>1487</v>
      </c>
      <c r="FCR989" s="16" t="s">
        <v>1487</v>
      </c>
      <c r="FCS989" s="16" t="s">
        <v>1487</v>
      </c>
      <c r="FCT989" s="16" t="s">
        <v>1487</v>
      </c>
      <c r="FCU989" s="16" t="s">
        <v>1487</v>
      </c>
      <c r="FCV989" s="16" t="s">
        <v>1487</v>
      </c>
      <c r="FCW989" s="16" t="s">
        <v>1487</v>
      </c>
      <c r="FCX989" s="16" t="s">
        <v>1487</v>
      </c>
      <c r="FCY989" s="16" t="s">
        <v>1487</v>
      </c>
      <c r="FCZ989" s="16" t="s">
        <v>1487</v>
      </c>
      <c r="FDA989" s="16" t="s">
        <v>1487</v>
      </c>
      <c r="FDB989" s="16" t="s">
        <v>1487</v>
      </c>
      <c r="FDC989" s="16" t="s">
        <v>1487</v>
      </c>
      <c r="FDD989" s="16" t="s">
        <v>1487</v>
      </c>
      <c r="FDE989" s="16" t="s">
        <v>1487</v>
      </c>
      <c r="FDF989" s="16" t="s">
        <v>1487</v>
      </c>
      <c r="FDG989" s="16" t="s">
        <v>1487</v>
      </c>
      <c r="FDH989" s="16" t="s">
        <v>1487</v>
      </c>
      <c r="FDI989" s="16" t="s">
        <v>1487</v>
      </c>
      <c r="FDJ989" s="16" t="s">
        <v>1487</v>
      </c>
      <c r="FDK989" s="16" t="s">
        <v>1487</v>
      </c>
      <c r="FDL989" s="16" t="s">
        <v>1487</v>
      </c>
      <c r="FDM989" s="16" t="s">
        <v>1487</v>
      </c>
      <c r="FDN989" s="16" t="s">
        <v>1487</v>
      </c>
      <c r="FDO989" s="16" t="s">
        <v>1487</v>
      </c>
      <c r="FDP989" s="16" t="s">
        <v>1487</v>
      </c>
      <c r="FDQ989" s="16" t="s">
        <v>1487</v>
      </c>
      <c r="FDR989" s="16" t="s">
        <v>1487</v>
      </c>
      <c r="FDS989" s="16" t="s">
        <v>1487</v>
      </c>
      <c r="FDT989" s="16" t="s">
        <v>1487</v>
      </c>
      <c r="FDU989" s="16" t="s">
        <v>1487</v>
      </c>
      <c r="FDV989" s="16" t="s">
        <v>1487</v>
      </c>
      <c r="FDW989" s="16" t="s">
        <v>1487</v>
      </c>
      <c r="FDX989" s="16" t="s">
        <v>1487</v>
      </c>
      <c r="FDY989" s="16" t="s">
        <v>1487</v>
      </c>
      <c r="FDZ989" s="16" t="s">
        <v>1487</v>
      </c>
      <c r="FEA989" s="16" t="s">
        <v>1487</v>
      </c>
      <c r="FEB989" s="16" t="s">
        <v>1487</v>
      </c>
      <c r="FEC989" s="16" t="s">
        <v>1487</v>
      </c>
      <c r="FED989" s="16" t="s">
        <v>1487</v>
      </c>
      <c r="FEE989" s="16" t="s">
        <v>1487</v>
      </c>
      <c r="FEF989" s="16" t="s">
        <v>1487</v>
      </c>
      <c r="FEG989" s="16" t="s">
        <v>1487</v>
      </c>
      <c r="FEH989" s="16" t="s">
        <v>1487</v>
      </c>
      <c r="FEI989" s="16" t="s">
        <v>1487</v>
      </c>
      <c r="FEJ989" s="16" t="s">
        <v>1487</v>
      </c>
      <c r="FEK989" s="16" t="s">
        <v>1487</v>
      </c>
      <c r="FEL989" s="16" t="s">
        <v>1487</v>
      </c>
      <c r="FEM989" s="16" t="s">
        <v>1487</v>
      </c>
      <c r="FEN989" s="16" t="s">
        <v>1487</v>
      </c>
      <c r="FEO989" s="16" t="s">
        <v>1487</v>
      </c>
      <c r="FEP989" s="16" t="s">
        <v>1487</v>
      </c>
      <c r="FEQ989" s="16" t="s">
        <v>1487</v>
      </c>
      <c r="FER989" s="16" t="s">
        <v>1487</v>
      </c>
      <c r="FES989" s="16" t="s">
        <v>1487</v>
      </c>
      <c r="FET989" s="16" t="s">
        <v>1487</v>
      </c>
      <c r="FEU989" s="16" t="s">
        <v>1487</v>
      </c>
      <c r="FEV989" s="16" t="s">
        <v>1487</v>
      </c>
      <c r="FEW989" s="16" t="s">
        <v>1487</v>
      </c>
      <c r="FEX989" s="16" t="s">
        <v>1487</v>
      </c>
      <c r="FEY989" s="16" t="s">
        <v>1487</v>
      </c>
      <c r="FEZ989" s="16" t="s">
        <v>1487</v>
      </c>
      <c r="FFA989" s="16" t="s">
        <v>1487</v>
      </c>
      <c r="FFB989" s="16" t="s">
        <v>1487</v>
      </c>
      <c r="FFC989" s="16" t="s">
        <v>1487</v>
      </c>
      <c r="FFD989" s="16" t="s">
        <v>1487</v>
      </c>
      <c r="FFE989" s="16" t="s">
        <v>1487</v>
      </c>
      <c r="FFF989" s="16" t="s">
        <v>1487</v>
      </c>
      <c r="FFG989" s="16" t="s">
        <v>1487</v>
      </c>
      <c r="FFH989" s="16" t="s">
        <v>1487</v>
      </c>
      <c r="FFI989" s="16" t="s">
        <v>1487</v>
      </c>
      <c r="FFJ989" s="16" t="s">
        <v>1487</v>
      </c>
      <c r="FFK989" s="16" t="s">
        <v>1487</v>
      </c>
      <c r="FFL989" s="16" t="s">
        <v>1487</v>
      </c>
      <c r="FFM989" s="16" t="s">
        <v>1487</v>
      </c>
      <c r="FFN989" s="16" t="s">
        <v>1487</v>
      </c>
      <c r="FFO989" s="16" t="s">
        <v>1487</v>
      </c>
      <c r="FFP989" s="16" t="s">
        <v>1487</v>
      </c>
      <c r="FFQ989" s="16" t="s">
        <v>1487</v>
      </c>
      <c r="FFR989" s="16" t="s">
        <v>1487</v>
      </c>
      <c r="FFS989" s="16" t="s">
        <v>1487</v>
      </c>
      <c r="FFT989" s="16" t="s">
        <v>1487</v>
      </c>
      <c r="FFU989" s="16" t="s">
        <v>1487</v>
      </c>
      <c r="FFV989" s="16" t="s">
        <v>1487</v>
      </c>
      <c r="FFW989" s="16" t="s">
        <v>1487</v>
      </c>
      <c r="FFX989" s="16" t="s">
        <v>1487</v>
      </c>
      <c r="FFY989" s="16" t="s">
        <v>1487</v>
      </c>
      <c r="FFZ989" s="16" t="s">
        <v>1487</v>
      </c>
      <c r="FGA989" s="16" t="s">
        <v>1487</v>
      </c>
      <c r="FGB989" s="16" t="s">
        <v>1487</v>
      </c>
      <c r="FGC989" s="16" t="s">
        <v>1487</v>
      </c>
      <c r="FGD989" s="16" t="s">
        <v>1487</v>
      </c>
      <c r="FGE989" s="16" t="s">
        <v>1487</v>
      </c>
      <c r="FGF989" s="16" t="s">
        <v>1487</v>
      </c>
      <c r="FGG989" s="16" t="s">
        <v>1487</v>
      </c>
      <c r="FGH989" s="16" t="s">
        <v>1487</v>
      </c>
      <c r="FGI989" s="16" t="s">
        <v>1487</v>
      </c>
      <c r="FGJ989" s="16" t="s">
        <v>1487</v>
      </c>
      <c r="FGK989" s="16" t="s">
        <v>1487</v>
      </c>
      <c r="FGL989" s="16" t="s">
        <v>1487</v>
      </c>
      <c r="FGM989" s="16" t="s">
        <v>1487</v>
      </c>
      <c r="FGN989" s="16" t="s">
        <v>1487</v>
      </c>
      <c r="FGO989" s="16" t="s">
        <v>1487</v>
      </c>
      <c r="FGP989" s="16" t="s">
        <v>1487</v>
      </c>
      <c r="FGQ989" s="16" t="s">
        <v>1487</v>
      </c>
      <c r="FGR989" s="16" t="s">
        <v>1487</v>
      </c>
      <c r="FGS989" s="16" t="s">
        <v>1487</v>
      </c>
      <c r="FGT989" s="16" t="s">
        <v>1487</v>
      </c>
      <c r="FGU989" s="16" t="s">
        <v>1487</v>
      </c>
      <c r="FGV989" s="16" t="s">
        <v>1487</v>
      </c>
      <c r="FGW989" s="16" t="s">
        <v>1487</v>
      </c>
      <c r="FGX989" s="16" t="s">
        <v>1487</v>
      </c>
      <c r="FGY989" s="16" t="s">
        <v>1487</v>
      </c>
      <c r="FGZ989" s="16" t="s">
        <v>1487</v>
      </c>
      <c r="FHA989" s="16" t="s">
        <v>1487</v>
      </c>
      <c r="FHB989" s="16" t="s">
        <v>1487</v>
      </c>
      <c r="FHC989" s="16" t="s">
        <v>1487</v>
      </c>
      <c r="FHD989" s="16" t="s">
        <v>1487</v>
      </c>
      <c r="FHE989" s="16" t="s">
        <v>1487</v>
      </c>
      <c r="FHF989" s="16" t="s">
        <v>1487</v>
      </c>
      <c r="FHG989" s="16" t="s">
        <v>1487</v>
      </c>
      <c r="FHH989" s="16" t="s">
        <v>1487</v>
      </c>
      <c r="FHI989" s="16" t="s">
        <v>1487</v>
      </c>
      <c r="FHJ989" s="16" t="s">
        <v>1487</v>
      </c>
      <c r="FHK989" s="16" t="s">
        <v>1487</v>
      </c>
      <c r="FHL989" s="16" t="s">
        <v>1487</v>
      </c>
      <c r="FHM989" s="16" t="s">
        <v>1487</v>
      </c>
      <c r="FHN989" s="16" t="s">
        <v>1487</v>
      </c>
      <c r="FHO989" s="16" t="s">
        <v>1487</v>
      </c>
      <c r="FHP989" s="16" t="s">
        <v>1487</v>
      </c>
      <c r="FHQ989" s="16" t="s">
        <v>1487</v>
      </c>
      <c r="FHR989" s="16" t="s">
        <v>1487</v>
      </c>
      <c r="FHS989" s="16" t="s">
        <v>1487</v>
      </c>
      <c r="FHT989" s="16" t="s">
        <v>1487</v>
      </c>
      <c r="FHU989" s="16" t="s">
        <v>1487</v>
      </c>
      <c r="FHV989" s="16" t="s">
        <v>1487</v>
      </c>
      <c r="FHW989" s="16" t="s">
        <v>1487</v>
      </c>
      <c r="FHX989" s="16" t="s">
        <v>1487</v>
      </c>
      <c r="FHY989" s="16" t="s">
        <v>1487</v>
      </c>
      <c r="FHZ989" s="16" t="s">
        <v>1487</v>
      </c>
      <c r="FIA989" s="16" t="s">
        <v>1487</v>
      </c>
      <c r="FIB989" s="16" t="s">
        <v>1487</v>
      </c>
      <c r="FIC989" s="16" t="s">
        <v>1487</v>
      </c>
      <c r="FID989" s="16" t="s">
        <v>1487</v>
      </c>
      <c r="FIE989" s="16" t="s">
        <v>1487</v>
      </c>
      <c r="FIF989" s="16" t="s">
        <v>1487</v>
      </c>
      <c r="FIG989" s="16" t="s">
        <v>1487</v>
      </c>
      <c r="FIH989" s="16" t="s">
        <v>1487</v>
      </c>
      <c r="FII989" s="16" t="s">
        <v>1487</v>
      </c>
      <c r="FIJ989" s="16" t="s">
        <v>1487</v>
      </c>
      <c r="FIK989" s="16" t="s">
        <v>1487</v>
      </c>
      <c r="FIL989" s="16" t="s">
        <v>1487</v>
      </c>
      <c r="FIM989" s="16" t="s">
        <v>1487</v>
      </c>
      <c r="FIN989" s="16" t="s">
        <v>1487</v>
      </c>
      <c r="FIO989" s="16" t="s">
        <v>1487</v>
      </c>
      <c r="FIP989" s="16" t="s">
        <v>1487</v>
      </c>
      <c r="FIQ989" s="16" t="s">
        <v>1487</v>
      </c>
      <c r="FIR989" s="16" t="s">
        <v>1487</v>
      </c>
      <c r="FIS989" s="16" t="s">
        <v>1487</v>
      </c>
      <c r="FIT989" s="16" t="s">
        <v>1487</v>
      </c>
      <c r="FIU989" s="16" t="s">
        <v>1487</v>
      </c>
      <c r="FIV989" s="16" t="s">
        <v>1487</v>
      </c>
      <c r="FIW989" s="16" t="s">
        <v>1487</v>
      </c>
      <c r="FIX989" s="16" t="s">
        <v>1487</v>
      </c>
      <c r="FIY989" s="16" t="s">
        <v>1487</v>
      </c>
      <c r="FIZ989" s="16" t="s">
        <v>1487</v>
      </c>
      <c r="FJA989" s="16" t="s">
        <v>1487</v>
      </c>
      <c r="FJB989" s="16" t="s">
        <v>1487</v>
      </c>
      <c r="FJC989" s="16" t="s">
        <v>1487</v>
      </c>
      <c r="FJD989" s="16" t="s">
        <v>1487</v>
      </c>
      <c r="FJE989" s="16" t="s">
        <v>1487</v>
      </c>
      <c r="FJF989" s="16" t="s">
        <v>1487</v>
      </c>
      <c r="FJG989" s="16" t="s">
        <v>1487</v>
      </c>
      <c r="FJH989" s="16" t="s">
        <v>1487</v>
      </c>
      <c r="FJI989" s="16" t="s">
        <v>1487</v>
      </c>
      <c r="FJJ989" s="16" t="s">
        <v>1487</v>
      </c>
      <c r="FJK989" s="16" t="s">
        <v>1487</v>
      </c>
      <c r="FJL989" s="16" t="s">
        <v>1487</v>
      </c>
      <c r="FJM989" s="16" t="s">
        <v>1487</v>
      </c>
      <c r="FJN989" s="16" t="s">
        <v>1487</v>
      </c>
      <c r="FJO989" s="16" t="s">
        <v>1487</v>
      </c>
      <c r="FJP989" s="16" t="s">
        <v>1487</v>
      </c>
      <c r="FJQ989" s="16" t="s">
        <v>1487</v>
      </c>
      <c r="FJR989" s="16" t="s">
        <v>1487</v>
      </c>
      <c r="FJS989" s="16" t="s">
        <v>1487</v>
      </c>
      <c r="FJT989" s="16" t="s">
        <v>1487</v>
      </c>
      <c r="FJU989" s="16" t="s">
        <v>1487</v>
      </c>
      <c r="FJV989" s="16" t="s">
        <v>1487</v>
      </c>
      <c r="FJW989" s="16" t="s">
        <v>1487</v>
      </c>
      <c r="FJX989" s="16" t="s">
        <v>1487</v>
      </c>
      <c r="FJY989" s="16" t="s">
        <v>1487</v>
      </c>
      <c r="FJZ989" s="16" t="s">
        <v>1487</v>
      </c>
      <c r="FKA989" s="16" t="s">
        <v>1487</v>
      </c>
      <c r="FKB989" s="16" t="s">
        <v>1487</v>
      </c>
      <c r="FKC989" s="16" t="s">
        <v>1487</v>
      </c>
      <c r="FKD989" s="16" t="s">
        <v>1487</v>
      </c>
      <c r="FKE989" s="16" t="s">
        <v>1487</v>
      </c>
      <c r="FKF989" s="16" t="s">
        <v>1487</v>
      </c>
      <c r="FKG989" s="16" t="s">
        <v>1487</v>
      </c>
      <c r="FKH989" s="16" t="s">
        <v>1487</v>
      </c>
      <c r="FKI989" s="16" t="s">
        <v>1487</v>
      </c>
      <c r="FKJ989" s="16" t="s">
        <v>1487</v>
      </c>
      <c r="FKK989" s="16" t="s">
        <v>1487</v>
      </c>
      <c r="FKL989" s="16" t="s">
        <v>1487</v>
      </c>
      <c r="FKM989" s="16" t="s">
        <v>1487</v>
      </c>
      <c r="FKN989" s="16" t="s">
        <v>1487</v>
      </c>
      <c r="FKO989" s="16" t="s">
        <v>1487</v>
      </c>
      <c r="FKP989" s="16" t="s">
        <v>1487</v>
      </c>
      <c r="FKQ989" s="16" t="s">
        <v>1487</v>
      </c>
      <c r="FKR989" s="16" t="s">
        <v>1487</v>
      </c>
      <c r="FKS989" s="16" t="s">
        <v>1487</v>
      </c>
      <c r="FKT989" s="16" t="s">
        <v>1487</v>
      </c>
      <c r="FKU989" s="16" t="s">
        <v>1487</v>
      </c>
      <c r="FKV989" s="16" t="s">
        <v>1487</v>
      </c>
      <c r="FKW989" s="16" t="s">
        <v>1487</v>
      </c>
      <c r="FKX989" s="16" t="s">
        <v>1487</v>
      </c>
      <c r="FKY989" s="16" t="s">
        <v>1487</v>
      </c>
      <c r="FKZ989" s="16" t="s">
        <v>1487</v>
      </c>
      <c r="FLA989" s="16" t="s">
        <v>1487</v>
      </c>
      <c r="FLB989" s="16" t="s">
        <v>1487</v>
      </c>
      <c r="FLC989" s="16" t="s">
        <v>1487</v>
      </c>
      <c r="FLD989" s="16" t="s">
        <v>1487</v>
      </c>
      <c r="FLE989" s="16" t="s">
        <v>1487</v>
      </c>
      <c r="FLF989" s="16" t="s">
        <v>1487</v>
      </c>
      <c r="FLG989" s="16" t="s">
        <v>1487</v>
      </c>
      <c r="FLH989" s="16" t="s">
        <v>1487</v>
      </c>
      <c r="FLI989" s="16" t="s">
        <v>1487</v>
      </c>
      <c r="FLJ989" s="16" t="s">
        <v>1487</v>
      </c>
      <c r="FLK989" s="16" t="s">
        <v>1487</v>
      </c>
      <c r="FLL989" s="16" t="s">
        <v>1487</v>
      </c>
      <c r="FLM989" s="16" t="s">
        <v>1487</v>
      </c>
      <c r="FLN989" s="16" t="s">
        <v>1487</v>
      </c>
      <c r="FLO989" s="16" t="s">
        <v>1487</v>
      </c>
      <c r="FLP989" s="16" t="s">
        <v>1487</v>
      </c>
      <c r="FLQ989" s="16" t="s">
        <v>1487</v>
      </c>
      <c r="FLR989" s="16" t="s">
        <v>1487</v>
      </c>
      <c r="FLS989" s="16" t="s">
        <v>1487</v>
      </c>
      <c r="FLT989" s="16" t="s">
        <v>1487</v>
      </c>
      <c r="FLU989" s="16" t="s">
        <v>1487</v>
      </c>
      <c r="FLV989" s="16" t="s">
        <v>1487</v>
      </c>
      <c r="FLW989" s="16" t="s">
        <v>1487</v>
      </c>
      <c r="FLX989" s="16" t="s">
        <v>1487</v>
      </c>
      <c r="FLY989" s="16" t="s">
        <v>1487</v>
      </c>
      <c r="FLZ989" s="16" t="s">
        <v>1487</v>
      </c>
      <c r="FMA989" s="16" t="s">
        <v>1487</v>
      </c>
      <c r="FMB989" s="16" t="s">
        <v>1487</v>
      </c>
      <c r="FMC989" s="16" t="s">
        <v>1487</v>
      </c>
      <c r="FMD989" s="16" t="s">
        <v>1487</v>
      </c>
      <c r="FME989" s="16" t="s">
        <v>1487</v>
      </c>
      <c r="FMF989" s="16" t="s">
        <v>1487</v>
      </c>
      <c r="FMG989" s="16" t="s">
        <v>1487</v>
      </c>
      <c r="FMH989" s="16" t="s">
        <v>1487</v>
      </c>
      <c r="FMI989" s="16" t="s">
        <v>1487</v>
      </c>
      <c r="FMJ989" s="16" t="s">
        <v>1487</v>
      </c>
      <c r="FMK989" s="16" t="s">
        <v>1487</v>
      </c>
      <c r="FML989" s="16" t="s">
        <v>1487</v>
      </c>
      <c r="FMM989" s="16" t="s">
        <v>1487</v>
      </c>
      <c r="FMN989" s="16" t="s">
        <v>1487</v>
      </c>
      <c r="FMO989" s="16" t="s">
        <v>1487</v>
      </c>
      <c r="FMP989" s="16" t="s">
        <v>1487</v>
      </c>
      <c r="FMQ989" s="16" t="s">
        <v>1487</v>
      </c>
      <c r="FMR989" s="16" t="s">
        <v>1487</v>
      </c>
      <c r="FMS989" s="16" t="s">
        <v>1487</v>
      </c>
      <c r="FMT989" s="16" t="s">
        <v>1487</v>
      </c>
      <c r="FMU989" s="16" t="s">
        <v>1487</v>
      </c>
      <c r="FMV989" s="16" t="s">
        <v>1487</v>
      </c>
      <c r="FMW989" s="16" t="s">
        <v>1487</v>
      </c>
      <c r="FMX989" s="16" t="s">
        <v>1487</v>
      </c>
      <c r="FMY989" s="16" t="s">
        <v>1487</v>
      </c>
      <c r="FMZ989" s="16" t="s">
        <v>1487</v>
      </c>
      <c r="FNA989" s="16" t="s">
        <v>1487</v>
      </c>
      <c r="FNB989" s="16" t="s">
        <v>1487</v>
      </c>
      <c r="FNC989" s="16" t="s">
        <v>1487</v>
      </c>
      <c r="FND989" s="16" t="s">
        <v>1487</v>
      </c>
      <c r="FNE989" s="16" t="s">
        <v>1487</v>
      </c>
      <c r="FNF989" s="16" t="s">
        <v>1487</v>
      </c>
      <c r="FNG989" s="16" t="s">
        <v>1487</v>
      </c>
      <c r="FNH989" s="16" t="s">
        <v>1487</v>
      </c>
      <c r="FNI989" s="16" t="s">
        <v>1487</v>
      </c>
      <c r="FNJ989" s="16" t="s">
        <v>1487</v>
      </c>
      <c r="FNK989" s="16" t="s">
        <v>1487</v>
      </c>
      <c r="FNL989" s="16" t="s">
        <v>1487</v>
      </c>
      <c r="FNM989" s="16" t="s">
        <v>1487</v>
      </c>
      <c r="FNN989" s="16" t="s">
        <v>1487</v>
      </c>
      <c r="FNO989" s="16" t="s">
        <v>1487</v>
      </c>
      <c r="FNP989" s="16" t="s">
        <v>1487</v>
      </c>
      <c r="FNQ989" s="16" t="s">
        <v>1487</v>
      </c>
      <c r="FNR989" s="16" t="s">
        <v>1487</v>
      </c>
      <c r="FNS989" s="16" t="s">
        <v>1487</v>
      </c>
      <c r="FNT989" s="16" t="s">
        <v>1487</v>
      </c>
      <c r="FNU989" s="16" t="s">
        <v>1487</v>
      </c>
      <c r="FNV989" s="16" t="s">
        <v>1487</v>
      </c>
      <c r="FNW989" s="16" t="s">
        <v>1487</v>
      </c>
      <c r="FNX989" s="16" t="s">
        <v>1487</v>
      </c>
      <c r="FNY989" s="16" t="s">
        <v>1487</v>
      </c>
      <c r="FNZ989" s="16" t="s">
        <v>1487</v>
      </c>
      <c r="FOA989" s="16" t="s">
        <v>1487</v>
      </c>
      <c r="FOB989" s="16" t="s">
        <v>1487</v>
      </c>
      <c r="FOC989" s="16" t="s">
        <v>1487</v>
      </c>
      <c r="FOD989" s="16" t="s">
        <v>1487</v>
      </c>
      <c r="FOE989" s="16" t="s">
        <v>1487</v>
      </c>
      <c r="FOF989" s="16" t="s">
        <v>1487</v>
      </c>
      <c r="FOG989" s="16" t="s">
        <v>1487</v>
      </c>
      <c r="FOH989" s="16" t="s">
        <v>1487</v>
      </c>
      <c r="FOI989" s="16" t="s">
        <v>1487</v>
      </c>
      <c r="FOJ989" s="16" t="s">
        <v>1487</v>
      </c>
      <c r="FOK989" s="16" t="s">
        <v>1487</v>
      </c>
      <c r="FOL989" s="16" t="s">
        <v>1487</v>
      </c>
      <c r="FOM989" s="16" t="s">
        <v>1487</v>
      </c>
      <c r="FON989" s="16" t="s">
        <v>1487</v>
      </c>
      <c r="FOO989" s="16" t="s">
        <v>1487</v>
      </c>
      <c r="FOP989" s="16" t="s">
        <v>1487</v>
      </c>
      <c r="FOQ989" s="16" t="s">
        <v>1487</v>
      </c>
      <c r="FOR989" s="16" t="s">
        <v>1487</v>
      </c>
      <c r="FOS989" s="16" t="s">
        <v>1487</v>
      </c>
      <c r="FOT989" s="16" t="s">
        <v>1487</v>
      </c>
      <c r="FOU989" s="16" t="s">
        <v>1487</v>
      </c>
      <c r="FOV989" s="16" t="s">
        <v>1487</v>
      </c>
      <c r="FOW989" s="16" t="s">
        <v>1487</v>
      </c>
      <c r="FOX989" s="16" t="s">
        <v>1487</v>
      </c>
      <c r="FOY989" s="16" t="s">
        <v>1487</v>
      </c>
      <c r="FOZ989" s="16" t="s">
        <v>1487</v>
      </c>
      <c r="FPA989" s="16" t="s">
        <v>1487</v>
      </c>
      <c r="FPB989" s="16" t="s">
        <v>1487</v>
      </c>
      <c r="FPC989" s="16" t="s">
        <v>1487</v>
      </c>
      <c r="FPD989" s="16" t="s">
        <v>1487</v>
      </c>
      <c r="FPE989" s="16" t="s">
        <v>1487</v>
      </c>
      <c r="FPF989" s="16" t="s">
        <v>1487</v>
      </c>
      <c r="FPG989" s="16" t="s">
        <v>1487</v>
      </c>
      <c r="FPH989" s="16" t="s">
        <v>1487</v>
      </c>
      <c r="FPI989" s="16" t="s">
        <v>1487</v>
      </c>
      <c r="FPJ989" s="16" t="s">
        <v>1487</v>
      </c>
      <c r="FPK989" s="16" t="s">
        <v>1487</v>
      </c>
      <c r="FPL989" s="16" t="s">
        <v>1487</v>
      </c>
      <c r="FPM989" s="16" t="s">
        <v>1487</v>
      </c>
      <c r="FPN989" s="16" t="s">
        <v>1487</v>
      </c>
      <c r="FPO989" s="16" t="s">
        <v>1487</v>
      </c>
      <c r="FPP989" s="16" t="s">
        <v>1487</v>
      </c>
      <c r="FPQ989" s="16" t="s">
        <v>1487</v>
      </c>
      <c r="FPR989" s="16" t="s">
        <v>1487</v>
      </c>
      <c r="FPS989" s="16" t="s">
        <v>1487</v>
      </c>
      <c r="FPT989" s="16" t="s">
        <v>1487</v>
      </c>
      <c r="FPU989" s="16" t="s">
        <v>1487</v>
      </c>
      <c r="FPV989" s="16" t="s">
        <v>1487</v>
      </c>
      <c r="FPW989" s="16" t="s">
        <v>1487</v>
      </c>
      <c r="FPX989" s="16" t="s">
        <v>1487</v>
      </c>
      <c r="FPY989" s="16" t="s">
        <v>1487</v>
      </c>
      <c r="FPZ989" s="16" t="s">
        <v>1487</v>
      </c>
      <c r="FQA989" s="16" t="s">
        <v>1487</v>
      </c>
      <c r="FQB989" s="16" t="s">
        <v>1487</v>
      </c>
      <c r="FQC989" s="16" t="s">
        <v>1487</v>
      </c>
      <c r="FQD989" s="16" t="s">
        <v>1487</v>
      </c>
      <c r="FQE989" s="16" t="s">
        <v>1487</v>
      </c>
      <c r="FQF989" s="16" t="s">
        <v>1487</v>
      </c>
      <c r="FQG989" s="16" t="s">
        <v>1487</v>
      </c>
      <c r="FQH989" s="16" t="s">
        <v>1487</v>
      </c>
      <c r="FQI989" s="16" t="s">
        <v>1487</v>
      </c>
      <c r="FQJ989" s="16" t="s">
        <v>1487</v>
      </c>
      <c r="FQK989" s="16" t="s">
        <v>1487</v>
      </c>
      <c r="FQL989" s="16" t="s">
        <v>1487</v>
      </c>
      <c r="FQM989" s="16" t="s">
        <v>1487</v>
      </c>
      <c r="FQN989" s="16" t="s">
        <v>1487</v>
      </c>
      <c r="FQO989" s="16" t="s">
        <v>1487</v>
      </c>
      <c r="FQP989" s="16" t="s">
        <v>1487</v>
      </c>
      <c r="FQQ989" s="16" t="s">
        <v>1487</v>
      </c>
      <c r="FQR989" s="16" t="s">
        <v>1487</v>
      </c>
      <c r="FQS989" s="16" t="s">
        <v>1487</v>
      </c>
      <c r="FQT989" s="16" t="s">
        <v>1487</v>
      </c>
      <c r="FQU989" s="16" t="s">
        <v>1487</v>
      </c>
      <c r="FQV989" s="16" t="s">
        <v>1487</v>
      </c>
      <c r="FQW989" s="16" t="s">
        <v>1487</v>
      </c>
      <c r="FQX989" s="16" t="s">
        <v>1487</v>
      </c>
      <c r="FQY989" s="16" t="s">
        <v>1487</v>
      </c>
      <c r="FQZ989" s="16" t="s">
        <v>1487</v>
      </c>
      <c r="FRA989" s="16" t="s">
        <v>1487</v>
      </c>
      <c r="FRB989" s="16" t="s">
        <v>1487</v>
      </c>
      <c r="FRC989" s="16" t="s">
        <v>1487</v>
      </c>
      <c r="FRD989" s="16" t="s">
        <v>1487</v>
      </c>
      <c r="FRE989" s="16" t="s">
        <v>1487</v>
      </c>
      <c r="FRF989" s="16" t="s">
        <v>1487</v>
      </c>
      <c r="FRG989" s="16" t="s">
        <v>1487</v>
      </c>
      <c r="FRH989" s="16" t="s">
        <v>1487</v>
      </c>
      <c r="FRI989" s="16" t="s">
        <v>1487</v>
      </c>
      <c r="FRJ989" s="16" t="s">
        <v>1487</v>
      </c>
      <c r="FRK989" s="16" t="s">
        <v>1487</v>
      </c>
      <c r="FRL989" s="16" t="s">
        <v>1487</v>
      </c>
      <c r="FRM989" s="16" t="s">
        <v>1487</v>
      </c>
      <c r="FRN989" s="16" t="s">
        <v>1487</v>
      </c>
      <c r="FRO989" s="16" t="s">
        <v>1487</v>
      </c>
      <c r="FRP989" s="16" t="s">
        <v>1487</v>
      </c>
      <c r="FRQ989" s="16" t="s">
        <v>1487</v>
      </c>
      <c r="FRR989" s="16" t="s">
        <v>1487</v>
      </c>
      <c r="FRS989" s="16" t="s">
        <v>1487</v>
      </c>
      <c r="FRT989" s="16" t="s">
        <v>1487</v>
      </c>
      <c r="FRU989" s="16" t="s">
        <v>1487</v>
      </c>
      <c r="FRV989" s="16" t="s">
        <v>1487</v>
      </c>
      <c r="FRW989" s="16" t="s">
        <v>1487</v>
      </c>
      <c r="FRX989" s="16" t="s">
        <v>1487</v>
      </c>
      <c r="FRY989" s="16" t="s">
        <v>1487</v>
      </c>
      <c r="FRZ989" s="16" t="s">
        <v>1487</v>
      </c>
      <c r="FSA989" s="16" t="s">
        <v>1487</v>
      </c>
      <c r="FSB989" s="16" t="s">
        <v>1487</v>
      </c>
      <c r="FSC989" s="16" t="s">
        <v>1487</v>
      </c>
      <c r="FSD989" s="16" t="s">
        <v>1487</v>
      </c>
      <c r="FSE989" s="16" t="s">
        <v>1487</v>
      </c>
      <c r="FSF989" s="16" t="s">
        <v>1487</v>
      </c>
      <c r="FSG989" s="16" t="s">
        <v>1487</v>
      </c>
      <c r="FSH989" s="16" t="s">
        <v>1487</v>
      </c>
      <c r="FSI989" s="16" t="s">
        <v>1487</v>
      </c>
      <c r="FSJ989" s="16" t="s">
        <v>1487</v>
      </c>
      <c r="FSK989" s="16" t="s">
        <v>1487</v>
      </c>
      <c r="FSL989" s="16" t="s">
        <v>1487</v>
      </c>
      <c r="FSM989" s="16" t="s">
        <v>1487</v>
      </c>
      <c r="FSN989" s="16" t="s">
        <v>1487</v>
      </c>
      <c r="FSO989" s="16" t="s">
        <v>1487</v>
      </c>
      <c r="FSP989" s="16" t="s">
        <v>1487</v>
      </c>
      <c r="FSQ989" s="16" t="s">
        <v>1487</v>
      </c>
      <c r="FSR989" s="16" t="s">
        <v>1487</v>
      </c>
      <c r="FSS989" s="16" t="s">
        <v>1487</v>
      </c>
      <c r="FST989" s="16" t="s">
        <v>1487</v>
      </c>
      <c r="FSU989" s="16" t="s">
        <v>1487</v>
      </c>
      <c r="FSV989" s="16" t="s">
        <v>1487</v>
      </c>
      <c r="FSW989" s="16" t="s">
        <v>1487</v>
      </c>
      <c r="FSX989" s="16" t="s">
        <v>1487</v>
      </c>
      <c r="FSY989" s="16" t="s">
        <v>1487</v>
      </c>
      <c r="FSZ989" s="16" t="s">
        <v>1487</v>
      </c>
      <c r="FTA989" s="16" t="s">
        <v>1487</v>
      </c>
      <c r="FTB989" s="16" t="s">
        <v>1487</v>
      </c>
      <c r="FTC989" s="16" t="s">
        <v>1487</v>
      </c>
      <c r="FTD989" s="16" t="s">
        <v>1487</v>
      </c>
      <c r="FTE989" s="16" t="s">
        <v>1487</v>
      </c>
      <c r="FTF989" s="16" t="s">
        <v>1487</v>
      </c>
      <c r="FTG989" s="16" t="s">
        <v>1487</v>
      </c>
      <c r="FTH989" s="16" t="s">
        <v>1487</v>
      </c>
      <c r="FTI989" s="16" t="s">
        <v>1487</v>
      </c>
      <c r="FTJ989" s="16" t="s">
        <v>1487</v>
      </c>
      <c r="FTK989" s="16" t="s">
        <v>1487</v>
      </c>
      <c r="FTL989" s="16" t="s">
        <v>1487</v>
      </c>
      <c r="FTM989" s="16" t="s">
        <v>1487</v>
      </c>
      <c r="FTN989" s="16" t="s">
        <v>1487</v>
      </c>
      <c r="FTO989" s="16" t="s">
        <v>1487</v>
      </c>
      <c r="FTP989" s="16" t="s">
        <v>1487</v>
      </c>
      <c r="FTQ989" s="16" t="s">
        <v>1487</v>
      </c>
      <c r="FTR989" s="16" t="s">
        <v>1487</v>
      </c>
      <c r="FTS989" s="16" t="s">
        <v>1487</v>
      </c>
      <c r="FTT989" s="16" t="s">
        <v>1487</v>
      </c>
      <c r="FTU989" s="16" t="s">
        <v>1487</v>
      </c>
      <c r="FTV989" s="16" t="s">
        <v>1487</v>
      </c>
      <c r="FTW989" s="16" t="s">
        <v>1487</v>
      </c>
      <c r="FTX989" s="16" t="s">
        <v>1487</v>
      </c>
      <c r="FTY989" s="16" t="s">
        <v>1487</v>
      </c>
      <c r="FTZ989" s="16" t="s">
        <v>1487</v>
      </c>
      <c r="FUA989" s="16" t="s">
        <v>1487</v>
      </c>
      <c r="FUB989" s="16" t="s">
        <v>1487</v>
      </c>
      <c r="FUC989" s="16" t="s">
        <v>1487</v>
      </c>
      <c r="FUD989" s="16" t="s">
        <v>1487</v>
      </c>
      <c r="FUE989" s="16" t="s">
        <v>1487</v>
      </c>
      <c r="FUF989" s="16" t="s">
        <v>1487</v>
      </c>
      <c r="FUG989" s="16" t="s">
        <v>1487</v>
      </c>
      <c r="FUH989" s="16" t="s">
        <v>1487</v>
      </c>
      <c r="FUI989" s="16" t="s">
        <v>1487</v>
      </c>
      <c r="FUJ989" s="16" t="s">
        <v>1487</v>
      </c>
      <c r="FUK989" s="16" t="s">
        <v>1487</v>
      </c>
      <c r="FUL989" s="16" t="s">
        <v>1487</v>
      </c>
      <c r="FUM989" s="16" t="s">
        <v>1487</v>
      </c>
      <c r="FUN989" s="16" t="s">
        <v>1487</v>
      </c>
      <c r="FUO989" s="16" t="s">
        <v>1487</v>
      </c>
      <c r="FUP989" s="16" t="s">
        <v>1487</v>
      </c>
      <c r="FUQ989" s="16" t="s">
        <v>1487</v>
      </c>
      <c r="FUR989" s="16" t="s">
        <v>1487</v>
      </c>
      <c r="FUS989" s="16" t="s">
        <v>1487</v>
      </c>
      <c r="FUT989" s="16" t="s">
        <v>1487</v>
      </c>
      <c r="FUU989" s="16" t="s">
        <v>1487</v>
      </c>
      <c r="FUV989" s="16" t="s">
        <v>1487</v>
      </c>
      <c r="FUW989" s="16" t="s">
        <v>1487</v>
      </c>
      <c r="FUX989" s="16" t="s">
        <v>1487</v>
      </c>
      <c r="FUY989" s="16" t="s">
        <v>1487</v>
      </c>
      <c r="FUZ989" s="16" t="s">
        <v>1487</v>
      </c>
      <c r="FVA989" s="16" t="s">
        <v>1487</v>
      </c>
      <c r="FVB989" s="16" t="s">
        <v>1487</v>
      </c>
      <c r="FVC989" s="16" t="s">
        <v>1487</v>
      </c>
      <c r="FVD989" s="16" t="s">
        <v>1487</v>
      </c>
      <c r="FVE989" s="16" t="s">
        <v>1487</v>
      </c>
      <c r="FVF989" s="16" t="s">
        <v>1487</v>
      </c>
      <c r="FVG989" s="16" t="s">
        <v>1487</v>
      </c>
      <c r="FVH989" s="16" t="s">
        <v>1487</v>
      </c>
      <c r="FVI989" s="16" t="s">
        <v>1487</v>
      </c>
      <c r="FVJ989" s="16" t="s">
        <v>1487</v>
      </c>
      <c r="FVK989" s="16" t="s">
        <v>1487</v>
      </c>
      <c r="FVL989" s="16" t="s">
        <v>1487</v>
      </c>
      <c r="FVM989" s="16" t="s">
        <v>1487</v>
      </c>
      <c r="FVN989" s="16" t="s">
        <v>1487</v>
      </c>
      <c r="FVO989" s="16" t="s">
        <v>1487</v>
      </c>
      <c r="FVP989" s="16" t="s">
        <v>1487</v>
      </c>
      <c r="FVQ989" s="16" t="s">
        <v>1487</v>
      </c>
      <c r="FVR989" s="16" t="s">
        <v>1487</v>
      </c>
      <c r="FVS989" s="16" t="s">
        <v>1487</v>
      </c>
      <c r="FVT989" s="16" t="s">
        <v>1487</v>
      </c>
      <c r="FVU989" s="16" t="s">
        <v>1487</v>
      </c>
      <c r="FVV989" s="16" t="s">
        <v>1487</v>
      </c>
      <c r="FVW989" s="16" t="s">
        <v>1487</v>
      </c>
      <c r="FVX989" s="16" t="s">
        <v>1487</v>
      </c>
      <c r="FVY989" s="16" t="s">
        <v>1487</v>
      </c>
      <c r="FVZ989" s="16" t="s">
        <v>1487</v>
      </c>
      <c r="FWA989" s="16" t="s">
        <v>1487</v>
      </c>
      <c r="FWB989" s="16" t="s">
        <v>1487</v>
      </c>
      <c r="FWC989" s="16" t="s">
        <v>1487</v>
      </c>
      <c r="FWD989" s="16" t="s">
        <v>1487</v>
      </c>
      <c r="FWE989" s="16" t="s">
        <v>1487</v>
      </c>
      <c r="FWF989" s="16" t="s">
        <v>1487</v>
      </c>
      <c r="FWG989" s="16" t="s">
        <v>1487</v>
      </c>
      <c r="FWH989" s="16" t="s">
        <v>1487</v>
      </c>
      <c r="FWI989" s="16" t="s">
        <v>1487</v>
      </c>
      <c r="FWJ989" s="16" t="s">
        <v>1487</v>
      </c>
      <c r="FWK989" s="16" t="s">
        <v>1487</v>
      </c>
      <c r="FWL989" s="16" t="s">
        <v>1487</v>
      </c>
      <c r="FWM989" s="16" t="s">
        <v>1487</v>
      </c>
      <c r="FWN989" s="16" t="s">
        <v>1487</v>
      </c>
      <c r="FWO989" s="16" t="s">
        <v>1487</v>
      </c>
      <c r="FWP989" s="16" t="s">
        <v>1487</v>
      </c>
      <c r="FWQ989" s="16" t="s">
        <v>1487</v>
      </c>
      <c r="FWR989" s="16" t="s">
        <v>1487</v>
      </c>
      <c r="FWS989" s="16" t="s">
        <v>1487</v>
      </c>
      <c r="FWT989" s="16" t="s">
        <v>1487</v>
      </c>
      <c r="FWU989" s="16" t="s">
        <v>1487</v>
      </c>
      <c r="FWV989" s="16" t="s">
        <v>1487</v>
      </c>
      <c r="FWW989" s="16" t="s">
        <v>1487</v>
      </c>
      <c r="FWX989" s="16" t="s">
        <v>1487</v>
      </c>
      <c r="FWY989" s="16" t="s">
        <v>1487</v>
      </c>
      <c r="FWZ989" s="16" t="s">
        <v>1487</v>
      </c>
      <c r="FXA989" s="16" t="s">
        <v>1487</v>
      </c>
      <c r="FXB989" s="16" t="s">
        <v>1487</v>
      </c>
      <c r="FXC989" s="16" t="s">
        <v>1487</v>
      </c>
      <c r="FXD989" s="16" t="s">
        <v>1487</v>
      </c>
      <c r="FXE989" s="16" t="s">
        <v>1487</v>
      </c>
      <c r="FXF989" s="16" t="s">
        <v>1487</v>
      </c>
      <c r="FXG989" s="16" t="s">
        <v>1487</v>
      </c>
      <c r="FXH989" s="16" t="s">
        <v>1487</v>
      </c>
      <c r="FXI989" s="16" t="s">
        <v>1487</v>
      </c>
      <c r="FXJ989" s="16" t="s">
        <v>1487</v>
      </c>
      <c r="FXK989" s="16" t="s">
        <v>1487</v>
      </c>
      <c r="FXL989" s="16" t="s">
        <v>1487</v>
      </c>
      <c r="FXM989" s="16" t="s">
        <v>1487</v>
      </c>
      <c r="FXN989" s="16" t="s">
        <v>1487</v>
      </c>
      <c r="FXO989" s="16" t="s">
        <v>1487</v>
      </c>
      <c r="FXP989" s="16" t="s">
        <v>1487</v>
      </c>
      <c r="FXQ989" s="16" t="s">
        <v>1487</v>
      </c>
      <c r="FXR989" s="16" t="s">
        <v>1487</v>
      </c>
      <c r="FXS989" s="16" t="s">
        <v>1487</v>
      </c>
      <c r="FXT989" s="16" t="s">
        <v>1487</v>
      </c>
      <c r="FXU989" s="16" t="s">
        <v>1487</v>
      </c>
      <c r="FXV989" s="16" t="s">
        <v>1487</v>
      </c>
      <c r="FXW989" s="16" t="s">
        <v>1487</v>
      </c>
      <c r="FXX989" s="16" t="s">
        <v>1487</v>
      </c>
      <c r="FXY989" s="16" t="s">
        <v>1487</v>
      </c>
      <c r="FXZ989" s="16" t="s">
        <v>1487</v>
      </c>
      <c r="FYA989" s="16" t="s">
        <v>1487</v>
      </c>
      <c r="FYB989" s="16" t="s">
        <v>1487</v>
      </c>
      <c r="FYC989" s="16" t="s">
        <v>1487</v>
      </c>
      <c r="FYD989" s="16" t="s">
        <v>1487</v>
      </c>
      <c r="FYE989" s="16" t="s">
        <v>1487</v>
      </c>
      <c r="FYF989" s="16" t="s">
        <v>1487</v>
      </c>
      <c r="FYG989" s="16" t="s">
        <v>1487</v>
      </c>
      <c r="FYH989" s="16" t="s">
        <v>1487</v>
      </c>
      <c r="FYI989" s="16" t="s">
        <v>1487</v>
      </c>
      <c r="FYJ989" s="16" t="s">
        <v>1487</v>
      </c>
      <c r="FYK989" s="16" t="s">
        <v>1487</v>
      </c>
      <c r="FYL989" s="16" t="s">
        <v>1487</v>
      </c>
      <c r="FYM989" s="16" t="s">
        <v>1487</v>
      </c>
      <c r="FYN989" s="16" t="s">
        <v>1487</v>
      </c>
      <c r="FYO989" s="16" t="s">
        <v>1487</v>
      </c>
      <c r="FYP989" s="16" t="s">
        <v>1487</v>
      </c>
      <c r="FYQ989" s="16" t="s">
        <v>1487</v>
      </c>
      <c r="FYR989" s="16" t="s">
        <v>1487</v>
      </c>
      <c r="FYS989" s="16" t="s">
        <v>1487</v>
      </c>
      <c r="FYT989" s="16" t="s">
        <v>1487</v>
      </c>
      <c r="FYU989" s="16" t="s">
        <v>1487</v>
      </c>
      <c r="FYV989" s="16" t="s">
        <v>1487</v>
      </c>
      <c r="FYW989" s="16" t="s">
        <v>1487</v>
      </c>
      <c r="FYX989" s="16" t="s">
        <v>1487</v>
      </c>
      <c r="FYY989" s="16" t="s">
        <v>1487</v>
      </c>
      <c r="FYZ989" s="16" t="s">
        <v>1487</v>
      </c>
      <c r="FZA989" s="16" t="s">
        <v>1487</v>
      </c>
      <c r="FZB989" s="16" t="s">
        <v>1487</v>
      </c>
      <c r="FZC989" s="16" t="s">
        <v>1487</v>
      </c>
      <c r="FZD989" s="16" t="s">
        <v>1487</v>
      </c>
      <c r="FZE989" s="16" t="s">
        <v>1487</v>
      </c>
      <c r="FZF989" s="16" t="s">
        <v>1487</v>
      </c>
      <c r="FZG989" s="16" t="s">
        <v>1487</v>
      </c>
      <c r="FZH989" s="16" t="s">
        <v>1487</v>
      </c>
      <c r="FZI989" s="16" t="s">
        <v>1487</v>
      </c>
      <c r="FZJ989" s="16" t="s">
        <v>1487</v>
      </c>
      <c r="FZK989" s="16" t="s">
        <v>1487</v>
      </c>
      <c r="FZL989" s="16" t="s">
        <v>1487</v>
      </c>
      <c r="FZM989" s="16" t="s">
        <v>1487</v>
      </c>
      <c r="FZN989" s="16" t="s">
        <v>1487</v>
      </c>
      <c r="FZO989" s="16" t="s">
        <v>1487</v>
      </c>
      <c r="FZP989" s="16" t="s">
        <v>1487</v>
      </c>
      <c r="FZQ989" s="16" t="s">
        <v>1487</v>
      </c>
      <c r="FZR989" s="16" t="s">
        <v>1487</v>
      </c>
      <c r="FZS989" s="16" t="s">
        <v>1487</v>
      </c>
      <c r="FZT989" s="16" t="s">
        <v>1487</v>
      </c>
      <c r="FZU989" s="16" t="s">
        <v>1487</v>
      </c>
      <c r="FZV989" s="16" t="s">
        <v>1487</v>
      </c>
      <c r="FZW989" s="16" t="s">
        <v>1487</v>
      </c>
      <c r="FZX989" s="16" t="s">
        <v>1487</v>
      </c>
      <c r="FZY989" s="16" t="s">
        <v>1487</v>
      </c>
      <c r="FZZ989" s="16" t="s">
        <v>1487</v>
      </c>
      <c r="GAA989" s="16" t="s">
        <v>1487</v>
      </c>
      <c r="GAB989" s="16" t="s">
        <v>1487</v>
      </c>
      <c r="GAC989" s="16" t="s">
        <v>1487</v>
      </c>
      <c r="GAD989" s="16" t="s">
        <v>1487</v>
      </c>
      <c r="GAE989" s="16" t="s">
        <v>1487</v>
      </c>
      <c r="GAF989" s="16" t="s">
        <v>1487</v>
      </c>
      <c r="GAG989" s="16" t="s">
        <v>1487</v>
      </c>
      <c r="GAH989" s="16" t="s">
        <v>1487</v>
      </c>
      <c r="GAI989" s="16" t="s">
        <v>1487</v>
      </c>
      <c r="GAJ989" s="16" t="s">
        <v>1487</v>
      </c>
      <c r="GAK989" s="16" t="s">
        <v>1487</v>
      </c>
      <c r="GAL989" s="16" t="s">
        <v>1487</v>
      </c>
      <c r="GAM989" s="16" t="s">
        <v>1487</v>
      </c>
      <c r="GAN989" s="16" t="s">
        <v>1487</v>
      </c>
      <c r="GAO989" s="16" t="s">
        <v>1487</v>
      </c>
      <c r="GAP989" s="16" t="s">
        <v>1487</v>
      </c>
      <c r="GAQ989" s="16" t="s">
        <v>1487</v>
      </c>
      <c r="GAR989" s="16" t="s">
        <v>1487</v>
      </c>
      <c r="GAS989" s="16" t="s">
        <v>1487</v>
      </c>
      <c r="GAT989" s="16" t="s">
        <v>1487</v>
      </c>
      <c r="GAU989" s="16" t="s">
        <v>1487</v>
      </c>
      <c r="GAV989" s="16" t="s">
        <v>1487</v>
      </c>
      <c r="GAW989" s="16" t="s">
        <v>1487</v>
      </c>
      <c r="GAX989" s="16" t="s">
        <v>1487</v>
      </c>
      <c r="GAY989" s="16" t="s">
        <v>1487</v>
      </c>
      <c r="GAZ989" s="16" t="s">
        <v>1487</v>
      </c>
      <c r="GBA989" s="16" t="s">
        <v>1487</v>
      </c>
      <c r="GBB989" s="16" t="s">
        <v>1487</v>
      </c>
      <c r="GBC989" s="16" t="s">
        <v>1487</v>
      </c>
      <c r="GBD989" s="16" t="s">
        <v>1487</v>
      </c>
      <c r="GBE989" s="16" t="s">
        <v>1487</v>
      </c>
      <c r="GBF989" s="16" t="s">
        <v>1487</v>
      </c>
      <c r="GBG989" s="16" t="s">
        <v>1487</v>
      </c>
      <c r="GBH989" s="16" t="s">
        <v>1487</v>
      </c>
      <c r="GBI989" s="16" t="s">
        <v>1487</v>
      </c>
      <c r="GBJ989" s="16" t="s">
        <v>1487</v>
      </c>
      <c r="GBK989" s="16" t="s">
        <v>1487</v>
      </c>
      <c r="GBL989" s="16" t="s">
        <v>1487</v>
      </c>
      <c r="GBM989" s="16" t="s">
        <v>1487</v>
      </c>
      <c r="GBN989" s="16" t="s">
        <v>1487</v>
      </c>
      <c r="GBO989" s="16" t="s">
        <v>1487</v>
      </c>
      <c r="GBP989" s="16" t="s">
        <v>1487</v>
      </c>
      <c r="GBQ989" s="16" t="s">
        <v>1487</v>
      </c>
      <c r="GBR989" s="16" t="s">
        <v>1487</v>
      </c>
      <c r="GBS989" s="16" t="s">
        <v>1487</v>
      </c>
      <c r="GBT989" s="16" t="s">
        <v>1487</v>
      </c>
      <c r="GBU989" s="16" t="s">
        <v>1487</v>
      </c>
      <c r="GBV989" s="16" t="s">
        <v>1487</v>
      </c>
      <c r="GBW989" s="16" t="s">
        <v>1487</v>
      </c>
      <c r="GBX989" s="16" t="s">
        <v>1487</v>
      </c>
      <c r="GBY989" s="16" t="s">
        <v>1487</v>
      </c>
      <c r="GBZ989" s="16" t="s">
        <v>1487</v>
      </c>
      <c r="GCA989" s="16" t="s">
        <v>1487</v>
      </c>
      <c r="GCB989" s="16" t="s">
        <v>1487</v>
      </c>
      <c r="GCC989" s="16" t="s">
        <v>1487</v>
      </c>
      <c r="GCD989" s="16" t="s">
        <v>1487</v>
      </c>
      <c r="GCE989" s="16" t="s">
        <v>1487</v>
      </c>
      <c r="GCF989" s="16" t="s">
        <v>1487</v>
      </c>
      <c r="GCG989" s="16" t="s">
        <v>1487</v>
      </c>
      <c r="GCH989" s="16" t="s">
        <v>1487</v>
      </c>
      <c r="GCI989" s="16" t="s">
        <v>1487</v>
      </c>
      <c r="GCJ989" s="16" t="s">
        <v>1487</v>
      </c>
      <c r="GCK989" s="16" t="s">
        <v>1487</v>
      </c>
      <c r="GCL989" s="16" t="s">
        <v>1487</v>
      </c>
      <c r="GCM989" s="16" t="s">
        <v>1487</v>
      </c>
      <c r="GCN989" s="16" t="s">
        <v>1487</v>
      </c>
      <c r="GCO989" s="16" t="s">
        <v>1487</v>
      </c>
      <c r="GCP989" s="16" t="s">
        <v>1487</v>
      </c>
      <c r="GCQ989" s="16" t="s">
        <v>1487</v>
      </c>
      <c r="GCR989" s="16" t="s">
        <v>1487</v>
      </c>
      <c r="GCS989" s="16" t="s">
        <v>1487</v>
      </c>
      <c r="GCT989" s="16" t="s">
        <v>1487</v>
      </c>
      <c r="GCU989" s="16" t="s">
        <v>1487</v>
      </c>
      <c r="GCV989" s="16" t="s">
        <v>1487</v>
      </c>
      <c r="GCW989" s="16" t="s">
        <v>1487</v>
      </c>
      <c r="GCX989" s="16" t="s">
        <v>1487</v>
      </c>
      <c r="GCY989" s="16" t="s">
        <v>1487</v>
      </c>
      <c r="GCZ989" s="16" t="s">
        <v>1487</v>
      </c>
      <c r="GDA989" s="16" t="s">
        <v>1487</v>
      </c>
      <c r="GDB989" s="16" t="s">
        <v>1487</v>
      </c>
      <c r="GDC989" s="16" t="s">
        <v>1487</v>
      </c>
      <c r="GDD989" s="16" t="s">
        <v>1487</v>
      </c>
      <c r="GDE989" s="16" t="s">
        <v>1487</v>
      </c>
      <c r="GDF989" s="16" t="s">
        <v>1487</v>
      </c>
      <c r="GDG989" s="16" t="s">
        <v>1487</v>
      </c>
      <c r="GDH989" s="16" t="s">
        <v>1487</v>
      </c>
      <c r="GDI989" s="16" t="s">
        <v>1487</v>
      </c>
      <c r="GDJ989" s="16" t="s">
        <v>1487</v>
      </c>
      <c r="GDK989" s="16" t="s">
        <v>1487</v>
      </c>
      <c r="GDL989" s="16" t="s">
        <v>1487</v>
      </c>
      <c r="GDM989" s="16" t="s">
        <v>1487</v>
      </c>
      <c r="GDN989" s="16" t="s">
        <v>1487</v>
      </c>
      <c r="GDO989" s="16" t="s">
        <v>1487</v>
      </c>
      <c r="GDP989" s="16" t="s">
        <v>1487</v>
      </c>
      <c r="GDQ989" s="16" t="s">
        <v>1487</v>
      </c>
      <c r="GDR989" s="16" t="s">
        <v>1487</v>
      </c>
      <c r="GDS989" s="16" t="s">
        <v>1487</v>
      </c>
      <c r="GDT989" s="16" t="s">
        <v>1487</v>
      </c>
      <c r="GDU989" s="16" t="s">
        <v>1487</v>
      </c>
      <c r="GDV989" s="16" t="s">
        <v>1487</v>
      </c>
      <c r="GDW989" s="16" t="s">
        <v>1487</v>
      </c>
      <c r="GDX989" s="16" t="s">
        <v>1487</v>
      </c>
      <c r="GDY989" s="16" t="s">
        <v>1487</v>
      </c>
      <c r="GDZ989" s="16" t="s">
        <v>1487</v>
      </c>
      <c r="GEA989" s="16" t="s">
        <v>1487</v>
      </c>
      <c r="GEB989" s="16" t="s">
        <v>1487</v>
      </c>
      <c r="GEC989" s="16" t="s">
        <v>1487</v>
      </c>
      <c r="GED989" s="16" t="s">
        <v>1487</v>
      </c>
      <c r="GEE989" s="16" t="s">
        <v>1487</v>
      </c>
      <c r="GEF989" s="16" t="s">
        <v>1487</v>
      </c>
      <c r="GEG989" s="16" t="s">
        <v>1487</v>
      </c>
      <c r="GEH989" s="16" t="s">
        <v>1487</v>
      </c>
      <c r="GEI989" s="16" t="s">
        <v>1487</v>
      </c>
      <c r="GEJ989" s="16" t="s">
        <v>1487</v>
      </c>
      <c r="GEK989" s="16" t="s">
        <v>1487</v>
      </c>
      <c r="GEL989" s="16" t="s">
        <v>1487</v>
      </c>
      <c r="GEM989" s="16" t="s">
        <v>1487</v>
      </c>
      <c r="GEN989" s="16" t="s">
        <v>1487</v>
      </c>
      <c r="GEO989" s="16" t="s">
        <v>1487</v>
      </c>
      <c r="GEP989" s="16" t="s">
        <v>1487</v>
      </c>
      <c r="GEQ989" s="16" t="s">
        <v>1487</v>
      </c>
      <c r="GER989" s="16" t="s">
        <v>1487</v>
      </c>
      <c r="GES989" s="16" t="s">
        <v>1487</v>
      </c>
      <c r="GET989" s="16" t="s">
        <v>1487</v>
      </c>
      <c r="GEU989" s="16" t="s">
        <v>1487</v>
      </c>
      <c r="GEV989" s="16" t="s">
        <v>1487</v>
      </c>
      <c r="GEW989" s="16" t="s">
        <v>1487</v>
      </c>
      <c r="GEX989" s="16" t="s">
        <v>1487</v>
      </c>
      <c r="GEY989" s="16" t="s">
        <v>1487</v>
      </c>
      <c r="GEZ989" s="16" t="s">
        <v>1487</v>
      </c>
      <c r="GFA989" s="16" t="s">
        <v>1487</v>
      </c>
      <c r="GFB989" s="16" t="s">
        <v>1487</v>
      </c>
      <c r="GFC989" s="16" t="s">
        <v>1487</v>
      </c>
      <c r="GFD989" s="16" t="s">
        <v>1487</v>
      </c>
      <c r="GFE989" s="16" t="s">
        <v>1487</v>
      </c>
      <c r="GFF989" s="16" t="s">
        <v>1487</v>
      </c>
      <c r="GFG989" s="16" t="s">
        <v>1487</v>
      </c>
      <c r="GFH989" s="16" t="s">
        <v>1487</v>
      </c>
      <c r="GFI989" s="16" t="s">
        <v>1487</v>
      </c>
      <c r="GFJ989" s="16" t="s">
        <v>1487</v>
      </c>
      <c r="GFK989" s="16" t="s">
        <v>1487</v>
      </c>
      <c r="GFL989" s="16" t="s">
        <v>1487</v>
      </c>
      <c r="GFM989" s="16" t="s">
        <v>1487</v>
      </c>
      <c r="GFN989" s="16" t="s">
        <v>1487</v>
      </c>
      <c r="GFO989" s="16" t="s">
        <v>1487</v>
      </c>
      <c r="GFP989" s="16" t="s">
        <v>1487</v>
      </c>
      <c r="GFQ989" s="16" t="s">
        <v>1487</v>
      </c>
      <c r="GFR989" s="16" t="s">
        <v>1487</v>
      </c>
      <c r="GFS989" s="16" t="s">
        <v>1487</v>
      </c>
      <c r="GFT989" s="16" t="s">
        <v>1487</v>
      </c>
      <c r="GFU989" s="16" t="s">
        <v>1487</v>
      </c>
      <c r="GFV989" s="16" t="s">
        <v>1487</v>
      </c>
      <c r="GFW989" s="16" t="s">
        <v>1487</v>
      </c>
      <c r="GFX989" s="16" t="s">
        <v>1487</v>
      </c>
      <c r="GFY989" s="16" t="s">
        <v>1487</v>
      </c>
      <c r="GFZ989" s="16" t="s">
        <v>1487</v>
      </c>
      <c r="GGA989" s="16" t="s">
        <v>1487</v>
      </c>
      <c r="GGB989" s="16" t="s">
        <v>1487</v>
      </c>
      <c r="GGC989" s="16" t="s">
        <v>1487</v>
      </c>
      <c r="GGD989" s="16" t="s">
        <v>1487</v>
      </c>
      <c r="GGE989" s="16" t="s">
        <v>1487</v>
      </c>
      <c r="GGF989" s="16" t="s">
        <v>1487</v>
      </c>
      <c r="GGG989" s="16" t="s">
        <v>1487</v>
      </c>
      <c r="GGH989" s="16" t="s">
        <v>1487</v>
      </c>
      <c r="GGI989" s="16" t="s">
        <v>1487</v>
      </c>
      <c r="GGJ989" s="16" t="s">
        <v>1487</v>
      </c>
      <c r="GGK989" s="16" t="s">
        <v>1487</v>
      </c>
      <c r="GGL989" s="16" t="s">
        <v>1487</v>
      </c>
      <c r="GGM989" s="16" t="s">
        <v>1487</v>
      </c>
      <c r="GGN989" s="16" t="s">
        <v>1487</v>
      </c>
      <c r="GGO989" s="16" t="s">
        <v>1487</v>
      </c>
      <c r="GGP989" s="16" t="s">
        <v>1487</v>
      </c>
      <c r="GGQ989" s="16" t="s">
        <v>1487</v>
      </c>
      <c r="GGR989" s="16" t="s">
        <v>1487</v>
      </c>
      <c r="GGS989" s="16" t="s">
        <v>1487</v>
      </c>
      <c r="GGT989" s="16" t="s">
        <v>1487</v>
      </c>
      <c r="GGU989" s="16" t="s">
        <v>1487</v>
      </c>
      <c r="GGV989" s="16" t="s">
        <v>1487</v>
      </c>
      <c r="GGW989" s="16" t="s">
        <v>1487</v>
      </c>
      <c r="GGX989" s="16" t="s">
        <v>1487</v>
      </c>
      <c r="GGY989" s="16" t="s">
        <v>1487</v>
      </c>
      <c r="GGZ989" s="16" t="s">
        <v>1487</v>
      </c>
      <c r="GHA989" s="16" t="s">
        <v>1487</v>
      </c>
      <c r="GHB989" s="16" t="s">
        <v>1487</v>
      </c>
      <c r="GHC989" s="16" t="s">
        <v>1487</v>
      </c>
      <c r="GHD989" s="16" t="s">
        <v>1487</v>
      </c>
      <c r="GHE989" s="16" t="s">
        <v>1487</v>
      </c>
      <c r="GHF989" s="16" t="s">
        <v>1487</v>
      </c>
      <c r="GHG989" s="16" t="s">
        <v>1487</v>
      </c>
      <c r="GHH989" s="16" t="s">
        <v>1487</v>
      </c>
      <c r="GHI989" s="16" t="s">
        <v>1487</v>
      </c>
      <c r="GHJ989" s="16" t="s">
        <v>1487</v>
      </c>
      <c r="GHK989" s="16" t="s">
        <v>1487</v>
      </c>
      <c r="GHL989" s="16" t="s">
        <v>1487</v>
      </c>
      <c r="GHM989" s="16" t="s">
        <v>1487</v>
      </c>
      <c r="GHN989" s="16" t="s">
        <v>1487</v>
      </c>
      <c r="GHO989" s="16" t="s">
        <v>1487</v>
      </c>
      <c r="GHP989" s="16" t="s">
        <v>1487</v>
      </c>
      <c r="GHQ989" s="16" t="s">
        <v>1487</v>
      </c>
      <c r="GHR989" s="16" t="s">
        <v>1487</v>
      </c>
      <c r="GHS989" s="16" t="s">
        <v>1487</v>
      </c>
      <c r="GHT989" s="16" t="s">
        <v>1487</v>
      </c>
      <c r="GHU989" s="16" t="s">
        <v>1487</v>
      </c>
      <c r="GHV989" s="16" t="s">
        <v>1487</v>
      </c>
      <c r="GHW989" s="16" t="s">
        <v>1487</v>
      </c>
      <c r="GHX989" s="16" t="s">
        <v>1487</v>
      </c>
      <c r="GHY989" s="16" t="s">
        <v>1487</v>
      </c>
      <c r="GHZ989" s="16" t="s">
        <v>1487</v>
      </c>
      <c r="GIA989" s="16" t="s">
        <v>1487</v>
      </c>
      <c r="GIB989" s="16" t="s">
        <v>1487</v>
      </c>
      <c r="GIC989" s="16" t="s">
        <v>1487</v>
      </c>
      <c r="GID989" s="16" t="s">
        <v>1487</v>
      </c>
      <c r="GIE989" s="16" t="s">
        <v>1487</v>
      </c>
      <c r="GIF989" s="16" t="s">
        <v>1487</v>
      </c>
      <c r="GIG989" s="16" t="s">
        <v>1487</v>
      </c>
      <c r="GIH989" s="16" t="s">
        <v>1487</v>
      </c>
      <c r="GII989" s="16" t="s">
        <v>1487</v>
      </c>
      <c r="GIJ989" s="16" t="s">
        <v>1487</v>
      </c>
      <c r="GIK989" s="16" t="s">
        <v>1487</v>
      </c>
      <c r="GIL989" s="16" t="s">
        <v>1487</v>
      </c>
      <c r="GIM989" s="16" t="s">
        <v>1487</v>
      </c>
      <c r="GIN989" s="16" t="s">
        <v>1487</v>
      </c>
      <c r="GIO989" s="16" t="s">
        <v>1487</v>
      </c>
      <c r="GIP989" s="16" t="s">
        <v>1487</v>
      </c>
      <c r="GIQ989" s="16" t="s">
        <v>1487</v>
      </c>
      <c r="GIR989" s="16" t="s">
        <v>1487</v>
      </c>
      <c r="GIS989" s="16" t="s">
        <v>1487</v>
      </c>
      <c r="GIT989" s="16" t="s">
        <v>1487</v>
      </c>
      <c r="GIU989" s="16" t="s">
        <v>1487</v>
      </c>
      <c r="GIV989" s="16" t="s">
        <v>1487</v>
      </c>
      <c r="GIW989" s="16" t="s">
        <v>1487</v>
      </c>
      <c r="GIX989" s="16" t="s">
        <v>1487</v>
      </c>
      <c r="GIY989" s="16" t="s">
        <v>1487</v>
      </c>
      <c r="GIZ989" s="16" t="s">
        <v>1487</v>
      </c>
      <c r="GJA989" s="16" t="s">
        <v>1487</v>
      </c>
      <c r="GJB989" s="16" t="s">
        <v>1487</v>
      </c>
      <c r="GJC989" s="16" t="s">
        <v>1487</v>
      </c>
      <c r="GJD989" s="16" t="s">
        <v>1487</v>
      </c>
      <c r="GJE989" s="16" t="s">
        <v>1487</v>
      </c>
      <c r="GJF989" s="16" t="s">
        <v>1487</v>
      </c>
      <c r="GJG989" s="16" t="s">
        <v>1487</v>
      </c>
      <c r="GJH989" s="16" t="s">
        <v>1487</v>
      </c>
      <c r="GJI989" s="16" t="s">
        <v>1487</v>
      </c>
      <c r="GJJ989" s="16" t="s">
        <v>1487</v>
      </c>
      <c r="GJK989" s="16" t="s">
        <v>1487</v>
      </c>
      <c r="GJL989" s="16" t="s">
        <v>1487</v>
      </c>
      <c r="GJM989" s="16" t="s">
        <v>1487</v>
      </c>
      <c r="GJN989" s="16" t="s">
        <v>1487</v>
      </c>
      <c r="GJO989" s="16" t="s">
        <v>1487</v>
      </c>
      <c r="GJP989" s="16" t="s">
        <v>1487</v>
      </c>
      <c r="GJQ989" s="16" t="s">
        <v>1487</v>
      </c>
      <c r="GJR989" s="16" t="s">
        <v>1487</v>
      </c>
      <c r="GJS989" s="16" t="s">
        <v>1487</v>
      </c>
      <c r="GJT989" s="16" t="s">
        <v>1487</v>
      </c>
      <c r="GJU989" s="16" t="s">
        <v>1487</v>
      </c>
      <c r="GJV989" s="16" t="s">
        <v>1487</v>
      </c>
      <c r="GJW989" s="16" t="s">
        <v>1487</v>
      </c>
      <c r="GJX989" s="16" t="s">
        <v>1487</v>
      </c>
      <c r="GJY989" s="16" t="s">
        <v>1487</v>
      </c>
      <c r="GJZ989" s="16" t="s">
        <v>1487</v>
      </c>
      <c r="GKA989" s="16" t="s">
        <v>1487</v>
      </c>
      <c r="GKB989" s="16" t="s">
        <v>1487</v>
      </c>
      <c r="GKC989" s="16" t="s">
        <v>1487</v>
      </c>
      <c r="GKD989" s="16" t="s">
        <v>1487</v>
      </c>
      <c r="GKE989" s="16" t="s">
        <v>1487</v>
      </c>
      <c r="GKF989" s="16" t="s">
        <v>1487</v>
      </c>
      <c r="GKG989" s="16" t="s">
        <v>1487</v>
      </c>
      <c r="GKH989" s="16" t="s">
        <v>1487</v>
      </c>
      <c r="GKI989" s="16" t="s">
        <v>1487</v>
      </c>
      <c r="GKJ989" s="16" t="s">
        <v>1487</v>
      </c>
      <c r="GKK989" s="16" t="s">
        <v>1487</v>
      </c>
      <c r="GKL989" s="16" t="s">
        <v>1487</v>
      </c>
      <c r="GKM989" s="16" t="s">
        <v>1487</v>
      </c>
      <c r="GKN989" s="16" t="s">
        <v>1487</v>
      </c>
      <c r="GKO989" s="16" t="s">
        <v>1487</v>
      </c>
      <c r="GKP989" s="16" t="s">
        <v>1487</v>
      </c>
      <c r="GKQ989" s="16" t="s">
        <v>1487</v>
      </c>
      <c r="GKR989" s="16" t="s">
        <v>1487</v>
      </c>
      <c r="GKS989" s="16" t="s">
        <v>1487</v>
      </c>
      <c r="GKT989" s="16" t="s">
        <v>1487</v>
      </c>
      <c r="GKU989" s="16" t="s">
        <v>1487</v>
      </c>
      <c r="GKV989" s="16" t="s">
        <v>1487</v>
      </c>
      <c r="GKW989" s="16" t="s">
        <v>1487</v>
      </c>
      <c r="GKX989" s="16" t="s">
        <v>1487</v>
      </c>
      <c r="GKY989" s="16" t="s">
        <v>1487</v>
      </c>
      <c r="GKZ989" s="16" t="s">
        <v>1487</v>
      </c>
      <c r="GLA989" s="16" t="s">
        <v>1487</v>
      </c>
      <c r="GLB989" s="16" t="s">
        <v>1487</v>
      </c>
      <c r="GLC989" s="16" t="s">
        <v>1487</v>
      </c>
      <c r="GLD989" s="16" t="s">
        <v>1487</v>
      </c>
      <c r="GLE989" s="16" t="s">
        <v>1487</v>
      </c>
      <c r="GLF989" s="16" t="s">
        <v>1487</v>
      </c>
      <c r="GLG989" s="16" t="s">
        <v>1487</v>
      </c>
      <c r="GLH989" s="16" t="s">
        <v>1487</v>
      </c>
      <c r="GLI989" s="16" t="s">
        <v>1487</v>
      </c>
      <c r="GLJ989" s="16" t="s">
        <v>1487</v>
      </c>
      <c r="GLK989" s="16" t="s">
        <v>1487</v>
      </c>
      <c r="GLL989" s="16" t="s">
        <v>1487</v>
      </c>
      <c r="GLM989" s="16" t="s">
        <v>1487</v>
      </c>
      <c r="GLN989" s="16" t="s">
        <v>1487</v>
      </c>
      <c r="GLO989" s="16" t="s">
        <v>1487</v>
      </c>
      <c r="GLP989" s="16" t="s">
        <v>1487</v>
      </c>
      <c r="GLQ989" s="16" t="s">
        <v>1487</v>
      </c>
      <c r="GLR989" s="16" t="s">
        <v>1487</v>
      </c>
      <c r="GLS989" s="16" t="s">
        <v>1487</v>
      </c>
      <c r="GLT989" s="16" t="s">
        <v>1487</v>
      </c>
      <c r="GLU989" s="16" t="s">
        <v>1487</v>
      </c>
      <c r="GLV989" s="16" t="s">
        <v>1487</v>
      </c>
      <c r="GLW989" s="16" t="s">
        <v>1487</v>
      </c>
      <c r="GLX989" s="16" t="s">
        <v>1487</v>
      </c>
      <c r="GLY989" s="16" t="s">
        <v>1487</v>
      </c>
      <c r="GLZ989" s="16" t="s">
        <v>1487</v>
      </c>
      <c r="GMA989" s="16" t="s">
        <v>1487</v>
      </c>
      <c r="GMB989" s="16" t="s">
        <v>1487</v>
      </c>
      <c r="GMC989" s="16" t="s">
        <v>1487</v>
      </c>
      <c r="GMD989" s="16" t="s">
        <v>1487</v>
      </c>
      <c r="GME989" s="16" t="s">
        <v>1487</v>
      </c>
      <c r="GMF989" s="16" t="s">
        <v>1487</v>
      </c>
      <c r="GMG989" s="16" t="s">
        <v>1487</v>
      </c>
      <c r="GMH989" s="16" t="s">
        <v>1487</v>
      </c>
      <c r="GMI989" s="16" t="s">
        <v>1487</v>
      </c>
      <c r="GMJ989" s="16" t="s">
        <v>1487</v>
      </c>
      <c r="GMK989" s="16" t="s">
        <v>1487</v>
      </c>
      <c r="GML989" s="16" t="s">
        <v>1487</v>
      </c>
      <c r="GMM989" s="16" t="s">
        <v>1487</v>
      </c>
      <c r="GMN989" s="16" t="s">
        <v>1487</v>
      </c>
      <c r="GMO989" s="16" t="s">
        <v>1487</v>
      </c>
      <c r="GMP989" s="16" t="s">
        <v>1487</v>
      </c>
      <c r="GMQ989" s="16" t="s">
        <v>1487</v>
      </c>
      <c r="GMR989" s="16" t="s">
        <v>1487</v>
      </c>
      <c r="GMS989" s="16" t="s">
        <v>1487</v>
      </c>
      <c r="GMT989" s="16" t="s">
        <v>1487</v>
      </c>
      <c r="GMU989" s="16" t="s">
        <v>1487</v>
      </c>
      <c r="GMV989" s="16" t="s">
        <v>1487</v>
      </c>
      <c r="GMW989" s="16" t="s">
        <v>1487</v>
      </c>
      <c r="GMX989" s="16" t="s">
        <v>1487</v>
      </c>
      <c r="GMY989" s="16" t="s">
        <v>1487</v>
      </c>
      <c r="GMZ989" s="16" t="s">
        <v>1487</v>
      </c>
      <c r="GNA989" s="16" t="s">
        <v>1487</v>
      </c>
      <c r="GNB989" s="16" t="s">
        <v>1487</v>
      </c>
      <c r="GNC989" s="16" t="s">
        <v>1487</v>
      </c>
      <c r="GND989" s="16" t="s">
        <v>1487</v>
      </c>
      <c r="GNE989" s="16" t="s">
        <v>1487</v>
      </c>
      <c r="GNF989" s="16" t="s">
        <v>1487</v>
      </c>
      <c r="GNG989" s="16" t="s">
        <v>1487</v>
      </c>
      <c r="GNH989" s="16" t="s">
        <v>1487</v>
      </c>
      <c r="GNI989" s="16" t="s">
        <v>1487</v>
      </c>
      <c r="GNJ989" s="16" t="s">
        <v>1487</v>
      </c>
      <c r="GNK989" s="16" t="s">
        <v>1487</v>
      </c>
      <c r="GNL989" s="16" t="s">
        <v>1487</v>
      </c>
      <c r="GNM989" s="16" t="s">
        <v>1487</v>
      </c>
      <c r="GNN989" s="16" t="s">
        <v>1487</v>
      </c>
      <c r="GNO989" s="16" t="s">
        <v>1487</v>
      </c>
      <c r="GNP989" s="16" t="s">
        <v>1487</v>
      </c>
      <c r="GNQ989" s="16" t="s">
        <v>1487</v>
      </c>
      <c r="GNR989" s="16" t="s">
        <v>1487</v>
      </c>
      <c r="GNS989" s="16" t="s">
        <v>1487</v>
      </c>
      <c r="GNT989" s="16" t="s">
        <v>1487</v>
      </c>
      <c r="GNU989" s="16" t="s">
        <v>1487</v>
      </c>
      <c r="GNV989" s="16" t="s">
        <v>1487</v>
      </c>
      <c r="GNW989" s="16" t="s">
        <v>1487</v>
      </c>
      <c r="GNX989" s="16" t="s">
        <v>1487</v>
      </c>
      <c r="GNY989" s="16" t="s">
        <v>1487</v>
      </c>
      <c r="GNZ989" s="16" t="s">
        <v>1487</v>
      </c>
      <c r="GOA989" s="16" t="s">
        <v>1487</v>
      </c>
      <c r="GOB989" s="16" t="s">
        <v>1487</v>
      </c>
      <c r="GOC989" s="16" t="s">
        <v>1487</v>
      </c>
      <c r="GOD989" s="16" t="s">
        <v>1487</v>
      </c>
      <c r="GOE989" s="16" t="s">
        <v>1487</v>
      </c>
      <c r="GOF989" s="16" t="s">
        <v>1487</v>
      </c>
      <c r="GOG989" s="16" t="s">
        <v>1487</v>
      </c>
      <c r="GOH989" s="16" t="s">
        <v>1487</v>
      </c>
      <c r="GOI989" s="16" t="s">
        <v>1487</v>
      </c>
      <c r="GOJ989" s="16" t="s">
        <v>1487</v>
      </c>
      <c r="GOK989" s="16" t="s">
        <v>1487</v>
      </c>
      <c r="GOL989" s="16" t="s">
        <v>1487</v>
      </c>
      <c r="GOM989" s="16" t="s">
        <v>1487</v>
      </c>
      <c r="GON989" s="16" t="s">
        <v>1487</v>
      </c>
      <c r="GOO989" s="16" t="s">
        <v>1487</v>
      </c>
      <c r="GOP989" s="16" t="s">
        <v>1487</v>
      </c>
      <c r="GOQ989" s="16" t="s">
        <v>1487</v>
      </c>
      <c r="GOR989" s="16" t="s">
        <v>1487</v>
      </c>
      <c r="GOS989" s="16" t="s">
        <v>1487</v>
      </c>
      <c r="GOT989" s="16" t="s">
        <v>1487</v>
      </c>
      <c r="GOU989" s="16" t="s">
        <v>1487</v>
      </c>
      <c r="GOV989" s="16" t="s">
        <v>1487</v>
      </c>
      <c r="GOW989" s="16" t="s">
        <v>1487</v>
      </c>
      <c r="GOX989" s="16" t="s">
        <v>1487</v>
      </c>
      <c r="GOY989" s="16" t="s">
        <v>1487</v>
      </c>
      <c r="GOZ989" s="16" t="s">
        <v>1487</v>
      </c>
      <c r="GPA989" s="16" t="s">
        <v>1487</v>
      </c>
      <c r="GPB989" s="16" t="s">
        <v>1487</v>
      </c>
      <c r="GPC989" s="16" t="s">
        <v>1487</v>
      </c>
      <c r="GPD989" s="16" t="s">
        <v>1487</v>
      </c>
      <c r="GPE989" s="16" t="s">
        <v>1487</v>
      </c>
      <c r="GPF989" s="16" t="s">
        <v>1487</v>
      </c>
      <c r="GPG989" s="16" t="s">
        <v>1487</v>
      </c>
      <c r="GPH989" s="16" t="s">
        <v>1487</v>
      </c>
      <c r="GPI989" s="16" t="s">
        <v>1487</v>
      </c>
      <c r="GPJ989" s="16" t="s">
        <v>1487</v>
      </c>
      <c r="GPK989" s="16" t="s">
        <v>1487</v>
      </c>
      <c r="GPL989" s="16" t="s">
        <v>1487</v>
      </c>
      <c r="GPM989" s="16" t="s">
        <v>1487</v>
      </c>
      <c r="GPN989" s="16" t="s">
        <v>1487</v>
      </c>
      <c r="GPO989" s="16" t="s">
        <v>1487</v>
      </c>
      <c r="GPP989" s="16" t="s">
        <v>1487</v>
      </c>
      <c r="GPQ989" s="16" t="s">
        <v>1487</v>
      </c>
      <c r="GPR989" s="16" t="s">
        <v>1487</v>
      </c>
      <c r="GPS989" s="16" t="s">
        <v>1487</v>
      </c>
      <c r="GPT989" s="16" t="s">
        <v>1487</v>
      </c>
      <c r="GPU989" s="16" t="s">
        <v>1487</v>
      </c>
      <c r="GPV989" s="16" t="s">
        <v>1487</v>
      </c>
      <c r="GPW989" s="16" t="s">
        <v>1487</v>
      </c>
      <c r="GPX989" s="16" t="s">
        <v>1487</v>
      </c>
      <c r="GPY989" s="16" t="s">
        <v>1487</v>
      </c>
      <c r="GPZ989" s="16" t="s">
        <v>1487</v>
      </c>
      <c r="GQA989" s="16" t="s">
        <v>1487</v>
      </c>
      <c r="GQB989" s="16" t="s">
        <v>1487</v>
      </c>
      <c r="GQC989" s="16" t="s">
        <v>1487</v>
      </c>
      <c r="GQD989" s="16" t="s">
        <v>1487</v>
      </c>
      <c r="GQE989" s="16" t="s">
        <v>1487</v>
      </c>
      <c r="GQF989" s="16" t="s">
        <v>1487</v>
      </c>
      <c r="GQG989" s="16" t="s">
        <v>1487</v>
      </c>
      <c r="GQH989" s="16" t="s">
        <v>1487</v>
      </c>
      <c r="GQI989" s="16" t="s">
        <v>1487</v>
      </c>
      <c r="GQJ989" s="16" t="s">
        <v>1487</v>
      </c>
      <c r="GQK989" s="16" t="s">
        <v>1487</v>
      </c>
      <c r="GQL989" s="16" t="s">
        <v>1487</v>
      </c>
      <c r="GQM989" s="16" t="s">
        <v>1487</v>
      </c>
      <c r="GQN989" s="16" t="s">
        <v>1487</v>
      </c>
      <c r="GQO989" s="16" t="s">
        <v>1487</v>
      </c>
      <c r="GQP989" s="16" t="s">
        <v>1487</v>
      </c>
      <c r="GQQ989" s="16" t="s">
        <v>1487</v>
      </c>
      <c r="GQR989" s="16" t="s">
        <v>1487</v>
      </c>
      <c r="GQS989" s="16" t="s">
        <v>1487</v>
      </c>
      <c r="GQT989" s="16" t="s">
        <v>1487</v>
      </c>
      <c r="GQU989" s="16" t="s">
        <v>1487</v>
      </c>
      <c r="GQV989" s="16" t="s">
        <v>1487</v>
      </c>
      <c r="GQW989" s="16" t="s">
        <v>1487</v>
      </c>
      <c r="GQX989" s="16" t="s">
        <v>1487</v>
      </c>
      <c r="GQY989" s="16" t="s">
        <v>1487</v>
      </c>
      <c r="GQZ989" s="16" t="s">
        <v>1487</v>
      </c>
      <c r="GRA989" s="16" t="s">
        <v>1487</v>
      </c>
      <c r="GRB989" s="16" t="s">
        <v>1487</v>
      </c>
      <c r="GRC989" s="16" t="s">
        <v>1487</v>
      </c>
      <c r="GRD989" s="16" t="s">
        <v>1487</v>
      </c>
      <c r="GRE989" s="16" t="s">
        <v>1487</v>
      </c>
      <c r="GRF989" s="16" t="s">
        <v>1487</v>
      </c>
      <c r="GRG989" s="16" t="s">
        <v>1487</v>
      </c>
      <c r="GRH989" s="16" t="s">
        <v>1487</v>
      </c>
      <c r="GRI989" s="16" t="s">
        <v>1487</v>
      </c>
      <c r="GRJ989" s="16" t="s">
        <v>1487</v>
      </c>
      <c r="GRK989" s="16" t="s">
        <v>1487</v>
      </c>
      <c r="GRL989" s="16" t="s">
        <v>1487</v>
      </c>
      <c r="GRM989" s="16" t="s">
        <v>1487</v>
      </c>
      <c r="GRN989" s="16" t="s">
        <v>1487</v>
      </c>
      <c r="GRO989" s="16" t="s">
        <v>1487</v>
      </c>
      <c r="GRP989" s="16" t="s">
        <v>1487</v>
      </c>
      <c r="GRQ989" s="16" t="s">
        <v>1487</v>
      </c>
      <c r="GRR989" s="16" t="s">
        <v>1487</v>
      </c>
      <c r="GRS989" s="16" t="s">
        <v>1487</v>
      </c>
      <c r="GRT989" s="16" t="s">
        <v>1487</v>
      </c>
      <c r="GRU989" s="16" t="s">
        <v>1487</v>
      </c>
      <c r="GRV989" s="16" t="s">
        <v>1487</v>
      </c>
      <c r="GRW989" s="16" t="s">
        <v>1487</v>
      </c>
      <c r="GRX989" s="16" t="s">
        <v>1487</v>
      </c>
      <c r="GRY989" s="16" t="s">
        <v>1487</v>
      </c>
      <c r="GRZ989" s="16" t="s">
        <v>1487</v>
      </c>
      <c r="GSA989" s="16" t="s">
        <v>1487</v>
      </c>
      <c r="GSB989" s="16" t="s">
        <v>1487</v>
      </c>
      <c r="GSC989" s="16" t="s">
        <v>1487</v>
      </c>
      <c r="GSD989" s="16" t="s">
        <v>1487</v>
      </c>
      <c r="GSE989" s="16" t="s">
        <v>1487</v>
      </c>
      <c r="GSF989" s="16" t="s">
        <v>1487</v>
      </c>
      <c r="GSG989" s="16" t="s">
        <v>1487</v>
      </c>
      <c r="GSH989" s="16" t="s">
        <v>1487</v>
      </c>
      <c r="GSI989" s="16" t="s">
        <v>1487</v>
      </c>
      <c r="GSJ989" s="16" t="s">
        <v>1487</v>
      </c>
      <c r="GSK989" s="16" t="s">
        <v>1487</v>
      </c>
      <c r="GSL989" s="16" t="s">
        <v>1487</v>
      </c>
      <c r="GSM989" s="16" t="s">
        <v>1487</v>
      </c>
      <c r="GSN989" s="16" t="s">
        <v>1487</v>
      </c>
      <c r="GSO989" s="16" t="s">
        <v>1487</v>
      </c>
      <c r="GSP989" s="16" t="s">
        <v>1487</v>
      </c>
      <c r="GSQ989" s="16" t="s">
        <v>1487</v>
      </c>
      <c r="GSR989" s="16" t="s">
        <v>1487</v>
      </c>
      <c r="GSS989" s="16" t="s">
        <v>1487</v>
      </c>
      <c r="GST989" s="16" t="s">
        <v>1487</v>
      </c>
      <c r="GSU989" s="16" t="s">
        <v>1487</v>
      </c>
      <c r="GSV989" s="16" t="s">
        <v>1487</v>
      </c>
      <c r="GSW989" s="16" t="s">
        <v>1487</v>
      </c>
      <c r="GSX989" s="16" t="s">
        <v>1487</v>
      </c>
      <c r="GSY989" s="16" t="s">
        <v>1487</v>
      </c>
      <c r="GSZ989" s="16" t="s">
        <v>1487</v>
      </c>
      <c r="GTA989" s="16" t="s">
        <v>1487</v>
      </c>
      <c r="GTB989" s="16" t="s">
        <v>1487</v>
      </c>
      <c r="GTC989" s="16" t="s">
        <v>1487</v>
      </c>
      <c r="GTD989" s="16" t="s">
        <v>1487</v>
      </c>
      <c r="GTE989" s="16" t="s">
        <v>1487</v>
      </c>
      <c r="GTF989" s="16" t="s">
        <v>1487</v>
      </c>
      <c r="GTG989" s="16" t="s">
        <v>1487</v>
      </c>
      <c r="GTH989" s="16" t="s">
        <v>1487</v>
      </c>
      <c r="GTI989" s="16" t="s">
        <v>1487</v>
      </c>
      <c r="GTJ989" s="16" t="s">
        <v>1487</v>
      </c>
      <c r="GTK989" s="16" t="s">
        <v>1487</v>
      </c>
      <c r="GTL989" s="16" t="s">
        <v>1487</v>
      </c>
      <c r="GTM989" s="16" t="s">
        <v>1487</v>
      </c>
      <c r="GTN989" s="16" t="s">
        <v>1487</v>
      </c>
      <c r="GTO989" s="16" t="s">
        <v>1487</v>
      </c>
      <c r="GTP989" s="16" t="s">
        <v>1487</v>
      </c>
      <c r="GTQ989" s="16" t="s">
        <v>1487</v>
      </c>
      <c r="GTR989" s="16" t="s">
        <v>1487</v>
      </c>
      <c r="GTS989" s="16" t="s">
        <v>1487</v>
      </c>
      <c r="GTT989" s="16" t="s">
        <v>1487</v>
      </c>
      <c r="GTU989" s="16" t="s">
        <v>1487</v>
      </c>
      <c r="GTV989" s="16" t="s">
        <v>1487</v>
      </c>
      <c r="GTW989" s="16" t="s">
        <v>1487</v>
      </c>
      <c r="GTX989" s="16" t="s">
        <v>1487</v>
      </c>
      <c r="GTY989" s="16" t="s">
        <v>1487</v>
      </c>
      <c r="GTZ989" s="16" t="s">
        <v>1487</v>
      </c>
      <c r="GUA989" s="16" t="s">
        <v>1487</v>
      </c>
      <c r="GUB989" s="16" t="s">
        <v>1487</v>
      </c>
      <c r="GUC989" s="16" t="s">
        <v>1487</v>
      </c>
      <c r="GUD989" s="16" t="s">
        <v>1487</v>
      </c>
      <c r="GUE989" s="16" t="s">
        <v>1487</v>
      </c>
      <c r="GUF989" s="16" t="s">
        <v>1487</v>
      </c>
      <c r="GUG989" s="16" t="s">
        <v>1487</v>
      </c>
      <c r="GUH989" s="16" t="s">
        <v>1487</v>
      </c>
      <c r="GUI989" s="16" t="s">
        <v>1487</v>
      </c>
      <c r="GUJ989" s="16" t="s">
        <v>1487</v>
      </c>
      <c r="GUK989" s="16" t="s">
        <v>1487</v>
      </c>
      <c r="GUL989" s="16" t="s">
        <v>1487</v>
      </c>
      <c r="GUM989" s="16" t="s">
        <v>1487</v>
      </c>
      <c r="GUN989" s="16" t="s">
        <v>1487</v>
      </c>
      <c r="GUO989" s="16" t="s">
        <v>1487</v>
      </c>
      <c r="GUP989" s="16" t="s">
        <v>1487</v>
      </c>
      <c r="GUQ989" s="16" t="s">
        <v>1487</v>
      </c>
      <c r="GUR989" s="16" t="s">
        <v>1487</v>
      </c>
      <c r="GUS989" s="16" t="s">
        <v>1487</v>
      </c>
      <c r="GUT989" s="16" t="s">
        <v>1487</v>
      </c>
      <c r="GUU989" s="16" t="s">
        <v>1487</v>
      </c>
      <c r="GUV989" s="16" t="s">
        <v>1487</v>
      </c>
      <c r="GUW989" s="16" t="s">
        <v>1487</v>
      </c>
      <c r="GUX989" s="16" t="s">
        <v>1487</v>
      </c>
      <c r="GUY989" s="16" t="s">
        <v>1487</v>
      </c>
      <c r="GUZ989" s="16" t="s">
        <v>1487</v>
      </c>
      <c r="GVA989" s="16" t="s">
        <v>1487</v>
      </c>
      <c r="GVB989" s="16" t="s">
        <v>1487</v>
      </c>
      <c r="GVC989" s="16" t="s">
        <v>1487</v>
      </c>
      <c r="GVD989" s="16" t="s">
        <v>1487</v>
      </c>
      <c r="GVE989" s="16" t="s">
        <v>1487</v>
      </c>
      <c r="GVF989" s="16" t="s">
        <v>1487</v>
      </c>
      <c r="GVG989" s="16" t="s">
        <v>1487</v>
      </c>
      <c r="GVH989" s="16" t="s">
        <v>1487</v>
      </c>
      <c r="GVI989" s="16" t="s">
        <v>1487</v>
      </c>
      <c r="GVJ989" s="16" t="s">
        <v>1487</v>
      </c>
      <c r="GVK989" s="16" t="s">
        <v>1487</v>
      </c>
      <c r="GVL989" s="16" t="s">
        <v>1487</v>
      </c>
      <c r="GVM989" s="16" t="s">
        <v>1487</v>
      </c>
      <c r="GVN989" s="16" t="s">
        <v>1487</v>
      </c>
      <c r="GVO989" s="16" t="s">
        <v>1487</v>
      </c>
      <c r="GVP989" s="16" t="s">
        <v>1487</v>
      </c>
      <c r="GVQ989" s="16" t="s">
        <v>1487</v>
      </c>
      <c r="GVR989" s="16" t="s">
        <v>1487</v>
      </c>
      <c r="GVS989" s="16" t="s">
        <v>1487</v>
      </c>
      <c r="GVT989" s="16" t="s">
        <v>1487</v>
      </c>
      <c r="GVU989" s="16" t="s">
        <v>1487</v>
      </c>
      <c r="GVV989" s="16" t="s">
        <v>1487</v>
      </c>
      <c r="GVW989" s="16" t="s">
        <v>1487</v>
      </c>
      <c r="GVX989" s="16" t="s">
        <v>1487</v>
      </c>
      <c r="GVY989" s="16" t="s">
        <v>1487</v>
      </c>
      <c r="GVZ989" s="16" t="s">
        <v>1487</v>
      </c>
      <c r="GWA989" s="16" t="s">
        <v>1487</v>
      </c>
      <c r="GWB989" s="16" t="s">
        <v>1487</v>
      </c>
      <c r="GWC989" s="16" t="s">
        <v>1487</v>
      </c>
      <c r="GWD989" s="16" t="s">
        <v>1487</v>
      </c>
      <c r="GWE989" s="16" t="s">
        <v>1487</v>
      </c>
      <c r="GWF989" s="16" t="s">
        <v>1487</v>
      </c>
      <c r="GWG989" s="16" t="s">
        <v>1487</v>
      </c>
      <c r="GWH989" s="16" t="s">
        <v>1487</v>
      </c>
      <c r="GWI989" s="16" t="s">
        <v>1487</v>
      </c>
      <c r="GWJ989" s="16" t="s">
        <v>1487</v>
      </c>
      <c r="GWK989" s="16" t="s">
        <v>1487</v>
      </c>
      <c r="GWL989" s="16" t="s">
        <v>1487</v>
      </c>
      <c r="GWM989" s="16" t="s">
        <v>1487</v>
      </c>
      <c r="GWN989" s="16" t="s">
        <v>1487</v>
      </c>
      <c r="GWO989" s="16" t="s">
        <v>1487</v>
      </c>
      <c r="GWP989" s="16" t="s">
        <v>1487</v>
      </c>
      <c r="GWQ989" s="16" t="s">
        <v>1487</v>
      </c>
      <c r="GWR989" s="16" t="s">
        <v>1487</v>
      </c>
      <c r="GWS989" s="16" t="s">
        <v>1487</v>
      </c>
      <c r="GWT989" s="16" t="s">
        <v>1487</v>
      </c>
      <c r="GWU989" s="16" t="s">
        <v>1487</v>
      </c>
      <c r="GWV989" s="16" t="s">
        <v>1487</v>
      </c>
      <c r="GWW989" s="16" t="s">
        <v>1487</v>
      </c>
      <c r="GWX989" s="16" t="s">
        <v>1487</v>
      </c>
      <c r="GWY989" s="16" t="s">
        <v>1487</v>
      </c>
      <c r="GWZ989" s="16" t="s">
        <v>1487</v>
      </c>
      <c r="GXA989" s="16" t="s">
        <v>1487</v>
      </c>
      <c r="GXB989" s="16" t="s">
        <v>1487</v>
      </c>
      <c r="GXC989" s="16" t="s">
        <v>1487</v>
      </c>
      <c r="GXD989" s="16" t="s">
        <v>1487</v>
      </c>
      <c r="GXE989" s="16" t="s">
        <v>1487</v>
      </c>
      <c r="GXF989" s="16" t="s">
        <v>1487</v>
      </c>
      <c r="GXG989" s="16" t="s">
        <v>1487</v>
      </c>
      <c r="GXH989" s="16" t="s">
        <v>1487</v>
      </c>
      <c r="GXI989" s="16" t="s">
        <v>1487</v>
      </c>
      <c r="GXJ989" s="16" t="s">
        <v>1487</v>
      </c>
      <c r="GXK989" s="16" t="s">
        <v>1487</v>
      </c>
      <c r="GXL989" s="16" t="s">
        <v>1487</v>
      </c>
      <c r="GXM989" s="16" t="s">
        <v>1487</v>
      </c>
      <c r="GXN989" s="16" t="s">
        <v>1487</v>
      </c>
      <c r="GXO989" s="16" t="s">
        <v>1487</v>
      </c>
      <c r="GXP989" s="16" t="s">
        <v>1487</v>
      </c>
      <c r="GXQ989" s="16" t="s">
        <v>1487</v>
      </c>
      <c r="GXR989" s="16" t="s">
        <v>1487</v>
      </c>
      <c r="GXS989" s="16" t="s">
        <v>1487</v>
      </c>
      <c r="GXT989" s="16" t="s">
        <v>1487</v>
      </c>
      <c r="GXU989" s="16" t="s">
        <v>1487</v>
      </c>
      <c r="GXV989" s="16" t="s">
        <v>1487</v>
      </c>
      <c r="GXW989" s="16" t="s">
        <v>1487</v>
      </c>
      <c r="GXX989" s="16" t="s">
        <v>1487</v>
      </c>
      <c r="GXY989" s="16" t="s">
        <v>1487</v>
      </c>
      <c r="GXZ989" s="16" t="s">
        <v>1487</v>
      </c>
      <c r="GYA989" s="16" t="s">
        <v>1487</v>
      </c>
      <c r="GYB989" s="16" t="s">
        <v>1487</v>
      </c>
      <c r="GYC989" s="16" t="s">
        <v>1487</v>
      </c>
      <c r="GYD989" s="16" t="s">
        <v>1487</v>
      </c>
      <c r="GYE989" s="16" t="s">
        <v>1487</v>
      </c>
      <c r="GYF989" s="16" t="s">
        <v>1487</v>
      </c>
      <c r="GYG989" s="16" t="s">
        <v>1487</v>
      </c>
      <c r="GYH989" s="16" t="s">
        <v>1487</v>
      </c>
      <c r="GYI989" s="16" t="s">
        <v>1487</v>
      </c>
      <c r="GYJ989" s="16" t="s">
        <v>1487</v>
      </c>
      <c r="GYK989" s="16" t="s">
        <v>1487</v>
      </c>
      <c r="GYL989" s="16" t="s">
        <v>1487</v>
      </c>
      <c r="GYM989" s="16" t="s">
        <v>1487</v>
      </c>
      <c r="GYN989" s="16" t="s">
        <v>1487</v>
      </c>
      <c r="GYO989" s="16" t="s">
        <v>1487</v>
      </c>
      <c r="GYP989" s="16" t="s">
        <v>1487</v>
      </c>
      <c r="GYQ989" s="16" t="s">
        <v>1487</v>
      </c>
      <c r="GYR989" s="16" t="s">
        <v>1487</v>
      </c>
      <c r="GYS989" s="16" t="s">
        <v>1487</v>
      </c>
      <c r="GYT989" s="16" t="s">
        <v>1487</v>
      </c>
      <c r="GYU989" s="16" t="s">
        <v>1487</v>
      </c>
      <c r="GYV989" s="16" t="s">
        <v>1487</v>
      </c>
      <c r="GYW989" s="16" t="s">
        <v>1487</v>
      </c>
      <c r="GYX989" s="16" t="s">
        <v>1487</v>
      </c>
      <c r="GYY989" s="16" t="s">
        <v>1487</v>
      </c>
      <c r="GYZ989" s="16" t="s">
        <v>1487</v>
      </c>
      <c r="GZA989" s="16" t="s">
        <v>1487</v>
      </c>
      <c r="GZB989" s="16" t="s">
        <v>1487</v>
      </c>
      <c r="GZC989" s="16" t="s">
        <v>1487</v>
      </c>
      <c r="GZD989" s="16" t="s">
        <v>1487</v>
      </c>
      <c r="GZE989" s="16" t="s">
        <v>1487</v>
      </c>
      <c r="GZF989" s="16" t="s">
        <v>1487</v>
      </c>
      <c r="GZG989" s="16" t="s">
        <v>1487</v>
      </c>
      <c r="GZH989" s="16" t="s">
        <v>1487</v>
      </c>
      <c r="GZI989" s="16" t="s">
        <v>1487</v>
      </c>
      <c r="GZJ989" s="16" t="s">
        <v>1487</v>
      </c>
      <c r="GZK989" s="16" t="s">
        <v>1487</v>
      </c>
      <c r="GZL989" s="16" t="s">
        <v>1487</v>
      </c>
      <c r="GZM989" s="16" t="s">
        <v>1487</v>
      </c>
      <c r="GZN989" s="16" t="s">
        <v>1487</v>
      </c>
      <c r="GZO989" s="16" t="s">
        <v>1487</v>
      </c>
      <c r="GZP989" s="16" t="s">
        <v>1487</v>
      </c>
      <c r="GZQ989" s="16" t="s">
        <v>1487</v>
      </c>
      <c r="GZR989" s="16" t="s">
        <v>1487</v>
      </c>
      <c r="GZS989" s="16" t="s">
        <v>1487</v>
      </c>
      <c r="GZT989" s="16" t="s">
        <v>1487</v>
      </c>
      <c r="GZU989" s="16" t="s">
        <v>1487</v>
      </c>
      <c r="GZV989" s="16" t="s">
        <v>1487</v>
      </c>
      <c r="GZW989" s="16" t="s">
        <v>1487</v>
      </c>
      <c r="GZX989" s="16" t="s">
        <v>1487</v>
      </c>
      <c r="GZY989" s="16" t="s">
        <v>1487</v>
      </c>
      <c r="GZZ989" s="16" t="s">
        <v>1487</v>
      </c>
      <c r="HAA989" s="16" t="s">
        <v>1487</v>
      </c>
      <c r="HAB989" s="16" t="s">
        <v>1487</v>
      </c>
      <c r="HAC989" s="16" t="s">
        <v>1487</v>
      </c>
      <c r="HAD989" s="16" t="s">
        <v>1487</v>
      </c>
      <c r="HAE989" s="16" t="s">
        <v>1487</v>
      </c>
      <c r="HAF989" s="16" t="s">
        <v>1487</v>
      </c>
      <c r="HAG989" s="16" t="s">
        <v>1487</v>
      </c>
      <c r="HAH989" s="16" t="s">
        <v>1487</v>
      </c>
      <c r="HAI989" s="16" t="s">
        <v>1487</v>
      </c>
      <c r="HAJ989" s="16" t="s">
        <v>1487</v>
      </c>
      <c r="HAK989" s="16" t="s">
        <v>1487</v>
      </c>
      <c r="HAL989" s="16" t="s">
        <v>1487</v>
      </c>
      <c r="HAM989" s="16" t="s">
        <v>1487</v>
      </c>
      <c r="HAN989" s="16" t="s">
        <v>1487</v>
      </c>
      <c r="HAO989" s="16" t="s">
        <v>1487</v>
      </c>
      <c r="HAP989" s="16" t="s">
        <v>1487</v>
      </c>
      <c r="HAQ989" s="16" t="s">
        <v>1487</v>
      </c>
      <c r="HAR989" s="16" t="s">
        <v>1487</v>
      </c>
      <c r="HAS989" s="16" t="s">
        <v>1487</v>
      </c>
      <c r="HAT989" s="16" t="s">
        <v>1487</v>
      </c>
      <c r="HAU989" s="16" t="s">
        <v>1487</v>
      </c>
      <c r="HAV989" s="16" t="s">
        <v>1487</v>
      </c>
      <c r="HAW989" s="16" t="s">
        <v>1487</v>
      </c>
      <c r="HAX989" s="16" t="s">
        <v>1487</v>
      </c>
      <c r="HAY989" s="16" t="s">
        <v>1487</v>
      </c>
      <c r="HAZ989" s="16" t="s">
        <v>1487</v>
      </c>
      <c r="HBA989" s="16" t="s">
        <v>1487</v>
      </c>
      <c r="HBB989" s="16" t="s">
        <v>1487</v>
      </c>
      <c r="HBC989" s="16" t="s">
        <v>1487</v>
      </c>
      <c r="HBD989" s="16" t="s">
        <v>1487</v>
      </c>
      <c r="HBE989" s="16" t="s">
        <v>1487</v>
      </c>
      <c r="HBF989" s="16" t="s">
        <v>1487</v>
      </c>
      <c r="HBG989" s="16" t="s">
        <v>1487</v>
      </c>
      <c r="HBH989" s="16" t="s">
        <v>1487</v>
      </c>
      <c r="HBI989" s="16" t="s">
        <v>1487</v>
      </c>
      <c r="HBJ989" s="16" t="s">
        <v>1487</v>
      </c>
      <c r="HBK989" s="16" t="s">
        <v>1487</v>
      </c>
      <c r="HBL989" s="16" t="s">
        <v>1487</v>
      </c>
      <c r="HBM989" s="16" t="s">
        <v>1487</v>
      </c>
      <c r="HBN989" s="16" t="s">
        <v>1487</v>
      </c>
      <c r="HBO989" s="16" t="s">
        <v>1487</v>
      </c>
      <c r="HBP989" s="16" t="s">
        <v>1487</v>
      </c>
      <c r="HBQ989" s="16" t="s">
        <v>1487</v>
      </c>
      <c r="HBR989" s="16" t="s">
        <v>1487</v>
      </c>
      <c r="HBS989" s="16" t="s">
        <v>1487</v>
      </c>
      <c r="HBT989" s="16" t="s">
        <v>1487</v>
      </c>
      <c r="HBU989" s="16" t="s">
        <v>1487</v>
      </c>
      <c r="HBV989" s="16" t="s">
        <v>1487</v>
      </c>
      <c r="HBW989" s="16" t="s">
        <v>1487</v>
      </c>
      <c r="HBX989" s="16" t="s">
        <v>1487</v>
      </c>
      <c r="HBY989" s="16" t="s">
        <v>1487</v>
      </c>
      <c r="HBZ989" s="16" t="s">
        <v>1487</v>
      </c>
      <c r="HCA989" s="16" t="s">
        <v>1487</v>
      </c>
      <c r="HCB989" s="16" t="s">
        <v>1487</v>
      </c>
      <c r="HCC989" s="16" t="s">
        <v>1487</v>
      </c>
      <c r="HCD989" s="16" t="s">
        <v>1487</v>
      </c>
      <c r="HCE989" s="16" t="s">
        <v>1487</v>
      </c>
      <c r="HCF989" s="16" t="s">
        <v>1487</v>
      </c>
      <c r="HCG989" s="16" t="s">
        <v>1487</v>
      </c>
      <c r="HCH989" s="16" t="s">
        <v>1487</v>
      </c>
      <c r="HCI989" s="16" t="s">
        <v>1487</v>
      </c>
      <c r="HCJ989" s="16" t="s">
        <v>1487</v>
      </c>
      <c r="HCK989" s="16" t="s">
        <v>1487</v>
      </c>
      <c r="HCL989" s="16" t="s">
        <v>1487</v>
      </c>
      <c r="HCM989" s="16" t="s">
        <v>1487</v>
      </c>
      <c r="HCN989" s="16" t="s">
        <v>1487</v>
      </c>
      <c r="HCO989" s="16" t="s">
        <v>1487</v>
      </c>
      <c r="HCP989" s="16" t="s">
        <v>1487</v>
      </c>
      <c r="HCQ989" s="16" t="s">
        <v>1487</v>
      </c>
      <c r="HCR989" s="16" t="s">
        <v>1487</v>
      </c>
      <c r="HCS989" s="16" t="s">
        <v>1487</v>
      </c>
      <c r="HCT989" s="16" t="s">
        <v>1487</v>
      </c>
      <c r="HCU989" s="16" t="s">
        <v>1487</v>
      </c>
      <c r="HCV989" s="16" t="s">
        <v>1487</v>
      </c>
      <c r="HCW989" s="16" t="s">
        <v>1487</v>
      </c>
      <c r="HCX989" s="16" t="s">
        <v>1487</v>
      </c>
      <c r="HCY989" s="16" t="s">
        <v>1487</v>
      </c>
      <c r="HCZ989" s="16" t="s">
        <v>1487</v>
      </c>
      <c r="HDA989" s="16" t="s">
        <v>1487</v>
      </c>
      <c r="HDB989" s="16" t="s">
        <v>1487</v>
      </c>
      <c r="HDC989" s="16" t="s">
        <v>1487</v>
      </c>
      <c r="HDD989" s="16" t="s">
        <v>1487</v>
      </c>
      <c r="HDE989" s="16" t="s">
        <v>1487</v>
      </c>
      <c r="HDF989" s="16" t="s">
        <v>1487</v>
      </c>
      <c r="HDG989" s="16" t="s">
        <v>1487</v>
      </c>
      <c r="HDH989" s="16" t="s">
        <v>1487</v>
      </c>
      <c r="HDI989" s="16" t="s">
        <v>1487</v>
      </c>
      <c r="HDJ989" s="16" t="s">
        <v>1487</v>
      </c>
      <c r="HDK989" s="16" t="s">
        <v>1487</v>
      </c>
      <c r="HDL989" s="16" t="s">
        <v>1487</v>
      </c>
      <c r="HDM989" s="16" t="s">
        <v>1487</v>
      </c>
      <c r="HDN989" s="16" t="s">
        <v>1487</v>
      </c>
      <c r="HDO989" s="16" t="s">
        <v>1487</v>
      </c>
      <c r="HDP989" s="16" t="s">
        <v>1487</v>
      </c>
      <c r="HDQ989" s="16" t="s">
        <v>1487</v>
      </c>
      <c r="HDR989" s="16" t="s">
        <v>1487</v>
      </c>
      <c r="HDS989" s="16" t="s">
        <v>1487</v>
      </c>
      <c r="HDT989" s="16" t="s">
        <v>1487</v>
      </c>
      <c r="HDU989" s="16" t="s">
        <v>1487</v>
      </c>
      <c r="HDV989" s="16" t="s">
        <v>1487</v>
      </c>
      <c r="HDW989" s="16" t="s">
        <v>1487</v>
      </c>
      <c r="HDX989" s="16" t="s">
        <v>1487</v>
      </c>
      <c r="HDY989" s="16" t="s">
        <v>1487</v>
      </c>
      <c r="HDZ989" s="16" t="s">
        <v>1487</v>
      </c>
      <c r="HEA989" s="16" t="s">
        <v>1487</v>
      </c>
      <c r="HEB989" s="16" t="s">
        <v>1487</v>
      </c>
      <c r="HEC989" s="16" t="s">
        <v>1487</v>
      </c>
      <c r="HED989" s="16" t="s">
        <v>1487</v>
      </c>
      <c r="HEE989" s="16" t="s">
        <v>1487</v>
      </c>
      <c r="HEF989" s="16" t="s">
        <v>1487</v>
      </c>
      <c r="HEG989" s="16" t="s">
        <v>1487</v>
      </c>
      <c r="HEH989" s="16" t="s">
        <v>1487</v>
      </c>
      <c r="HEI989" s="16" t="s">
        <v>1487</v>
      </c>
      <c r="HEJ989" s="16" t="s">
        <v>1487</v>
      </c>
      <c r="HEK989" s="16" t="s">
        <v>1487</v>
      </c>
      <c r="HEL989" s="16" t="s">
        <v>1487</v>
      </c>
      <c r="HEM989" s="16" t="s">
        <v>1487</v>
      </c>
      <c r="HEN989" s="16" t="s">
        <v>1487</v>
      </c>
      <c r="HEO989" s="16" t="s">
        <v>1487</v>
      </c>
      <c r="HEP989" s="16" t="s">
        <v>1487</v>
      </c>
      <c r="HEQ989" s="16" t="s">
        <v>1487</v>
      </c>
      <c r="HER989" s="16" t="s">
        <v>1487</v>
      </c>
      <c r="HES989" s="16" t="s">
        <v>1487</v>
      </c>
      <c r="HET989" s="16" t="s">
        <v>1487</v>
      </c>
      <c r="HEU989" s="16" t="s">
        <v>1487</v>
      </c>
      <c r="HEV989" s="16" t="s">
        <v>1487</v>
      </c>
      <c r="HEW989" s="16" t="s">
        <v>1487</v>
      </c>
      <c r="HEX989" s="16" t="s">
        <v>1487</v>
      </c>
      <c r="HEY989" s="16" t="s">
        <v>1487</v>
      </c>
      <c r="HEZ989" s="16" t="s">
        <v>1487</v>
      </c>
      <c r="HFA989" s="16" t="s">
        <v>1487</v>
      </c>
      <c r="HFB989" s="16" t="s">
        <v>1487</v>
      </c>
      <c r="HFC989" s="16" t="s">
        <v>1487</v>
      </c>
      <c r="HFD989" s="16" t="s">
        <v>1487</v>
      </c>
      <c r="HFE989" s="16" t="s">
        <v>1487</v>
      </c>
      <c r="HFF989" s="16" t="s">
        <v>1487</v>
      </c>
      <c r="HFG989" s="16" t="s">
        <v>1487</v>
      </c>
      <c r="HFH989" s="16" t="s">
        <v>1487</v>
      </c>
      <c r="HFI989" s="16" t="s">
        <v>1487</v>
      </c>
      <c r="HFJ989" s="16" t="s">
        <v>1487</v>
      </c>
      <c r="HFK989" s="16" t="s">
        <v>1487</v>
      </c>
      <c r="HFL989" s="16" t="s">
        <v>1487</v>
      </c>
      <c r="HFM989" s="16" t="s">
        <v>1487</v>
      </c>
      <c r="HFN989" s="16" t="s">
        <v>1487</v>
      </c>
      <c r="HFO989" s="16" t="s">
        <v>1487</v>
      </c>
      <c r="HFP989" s="16" t="s">
        <v>1487</v>
      </c>
      <c r="HFQ989" s="16" t="s">
        <v>1487</v>
      </c>
      <c r="HFR989" s="16" t="s">
        <v>1487</v>
      </c>
      <c r="HFS989" s="16" t="s">
        <v>1487</v>
      </c>
      <c r="HFT989" s="16" t="s">
        <v>1487</v>
      </c>
      <c r="HFU989" s="16" t="s">
        <v>1487</v>
      </c>
      <c r="HFV989" s="16" t="s">
        <v>1487</v>
      </c>
      <c r="HFW989" s="16" t="s">
        <v>1487</v>
      </c>
      <c r="HFX989" s="16" t="s">
        <v>1487</v>
      </c>
      <c r="HFY989" s="16" t="s">
        <v>1487</v>
      </c>
      <c r="HFZ989" s="16" t="s">
        <v>1487</v>
      </c>
      <c r="HGA989" s="16" t="s">
        <v>1487</v>
      </c>
      <c r="HGB989" s="16" t="s">
        <v>1487</v>
      </c>
      <c r="HGC989" s="16" t="s">
        <v>1487</v>
      </c>
      <c r="HGD989" s="16" t="s">
        <v>1487</v>
      </c>
      <c r="HGE989" s="16" t="s">
        <v>1487</v>
      </c>
      <c r="HGF989" s="16" t="s">
        <v>1487</v>
      </c>
      <c r="HGG989" s="16" t="s">
        <v>1487</v>
      </c>
      <c r="HGH989" s="16" t="s">
        <v>1487</v>
      </c>
      <c r="HGI989" s="16" t="s">
        <v>1487</v>
      </c>
      <c r="HGJ989" s="16" t="s">
        <v>1487</v>
      </c>
      <c r="HGK989" s="16" t="s">
        <v>1487</v>
      </c>
      <c r="HGL989" s="16" t="s">
        <v>1487</v>
      </c>
      <c r="HGM989" s="16" t="s">
        <v>1487</v>
      </c>
      <c r="HGN989" s="16" t="s">
        <v>1487</v>
      </c>
      <c r="HGO989" s="16" t="s">
        <v>1487</v>
      </c>
      <c r="HGP989" s="16" t="s">
        <v>1487</v>
      </c>
      <c r="HGQ989" s="16" t="s">
        <v>1487</v>
      </c>
      <c r="HGR989" s="16" t="s">
        <v>1487</v>
      </c>
      <c r="HGS989" s="16" t="s">
        <v>1487</v>
      </c>
      <c r="HGT989" s="16" t="s">
        <v>1487</v>
      </c>
      <c r="HGU989" s="16" t="s">
        <v>1487</v>
      </c>
      <c r="HGV989" s="16" t="s">
        <v>1487</v>
      </c>
      <c r="HGW989" s="16" t="s">
        <v>1487</v>
      </c>
      <c r="HGX989" s="16" t="s">
        <v>1487</v>
      </c>
      <c r="HGY989" s="16" t="s">
        <v>1487</v>
      </c>
      <c r="HGZ989" s="16" t="s">
        <v>1487</v>
      </c>
      <c r="HHA989" s="16" t="s">
        <v>1487</v>
      </c>
      <c r="HHB989" s="16" t="s">
        <v>1487</v>
      </c>
      <c r="HHC989" s="16" t="s">
        <v>1487</v>
      </c>
      <c r="HHD989" s="16" t="s">
        <v>1487</v>
      </c>
      <c r="HHE989" s="16" t="s">
        <v>1487</v>
      </c>
      <c r="HHF989" s="16" t="s">
        <v>1487</v>
      </c>
      <c r="HHG989" s="16" t="s">
        <v>1487</v>
      </c>
      <c r="HHH989" s="16" t="s">
        <v>1487</v>
      </c>
      <c r="HHI989" s="16" t="s">
        <v>1487</v>
      </c>
      <c r="HHJ989" s="16" t="s">
        <v>1487</v>
      </c>
      <c r="HHK989" s="16" t="s">
        <v>1487</v>
      </c>
      <c r="HHL989" s="16" t="s">
        <v>1487</v>
      </c>
      <c r="HHM989" s="16" t="s">
        <v>1487</v>
      </c>
      <c r="HHN989" s="16" t="s">
        <v>1487</v>
      </c>
      <c r="HHO989" s="16" t="s">
        <v>1487</v>
      </c>
      <c r="HHP989" s="16" t="s">
        <v>1487</v>
      </c>
      <c r="HHQ989" s="16" t="s">
        <v>1487</v>
      </c>
      <c r="HHR989" s="16" t="s">
        <v>1487</v>
      </c>
      <c r="HHS989" s="16" t="s">
        <v>1487</v>
      </c>
      <c r="HHT989" s="16" t="s">
        <v>1487</v>
      </c>
      <c r="HHU989" s="16" t="s">
        <v>1487</v>
      </c>
      <c r="HHV989" s="16" t="s">
        <v>1487</v>
      </c>
      <c r="HHW989" s="16" t="s">
        <v>1487</v>
      </c>
      <c r="HHX989" s="16" t="s">
        <v>1487</v>
      </c>
      <c r="HHY989" s="16" t="s">
        <v>1487</v>
      </c>
      <c r="HHZ989" s="16" t="s">
        <v>1487</v>
      </c>
      <c r="HIA989" s="16" t="s">
        <v>1487</v>
      </c>
      <c r="HIB989" s="16" t="s">
        <v>1487</v>
      </c>
      <c r="HIC989" s="16" t="s">
        <v>1487</v>
      </c>
      <c r="HID989" s="16" t="s">
        <v>1487</v>
      </c>
      <c r="HIE989" s="16" t="s">
        <v>1487</v>
      </c>
      <c r="HIF989" s="16" t="s">
        <v>1487</v>
      </c>
      <c r="HIG989" s="16" t="s">
        <v>1487</v>
      </c>
      <c r="HIH989" s="16" t="s">
        <v>1487</v>
      </c>
      <c r="HII989" s="16" t="s">
        <v>1487</v>
      </c>
      <c r="HIJ989" s="16" t="s">
        <v>1487</v>
      </c>
      <c r="HIK989" s="16" t="s">
        <v>1487</v>
      </c>
      <c r="HIL989" s="16" t="s">
        <v>1487</v>
      </c>
      <c r="HIM989" s="16" t="s">
        <v>1487</v>
      </c>
      <c r="HIN989" s="16" t="s">
        <v>1487</v>
      </c>
      <c r="HIO989" s="16" t="s">
        <v>1487</v>
      </c>
      <c r="HIP989" s="16" t="s">
        <v>1487</v>
      </c>
      <c r="HIQ989" s="16" t="s">
        <v>1487</v>
      </c>
      <c r="HIR989" s="16" t="s">
        <v>1487</v>
      </c>
      <c r="HIS989" s="16" t="s">
        <v>1487</v>
      </c>
      <c r="HIT989" s="16" t="s">
        <v>1487</v>
      </c>
      <c r="HIU989" s="16" t="s">
        <v>1487</v>
      </c>
      <c r="HIV989" s="16" t="s">
        <v>1487</v>
      </c>
      <c r="HIW989" s="16" t="s">
        <v>1487</v>
      </c>
      <c r="HIX989" s="16" t="s">
        <v>1487</v>
      </c>
      <c r="HIY989" s="16" t="s">
        <v>1487</v>
      </c>
      <c r="HIZ989" s="16" t="s">
        <v>1487</v>
      </c>
      <c r="HJA989" s="16" t="s">
        <v>1487</v>
      </c>
      <c r="HJB989" s="16" t="s">
        <v>1487</v>
      </c>
      <c r="HJC989" s="16" t="s">
        <v>1487</v>
      </c>
      <c r="HJD989" s="16" t="s">
        <v>1487</v>
      </c>
      <c r="HJE989" s="16" t="s">
        <v>1487</v>
      </c>
      <c r="HJF989" s="16" t="s">
        <v>1487</v>
      </c>
      <c r="HJG989" s="16" t="s">
        <v>1487</v>
      </c>
      <c r="HJH989" s="16" t="s">
        <v>1487</v>
      </c>
      <c r="HJI989" s="16" t="s">
        <v>1487</v>
      </c>
      <c r="HJJ989" s="16" t="s">
        <v>1487</v>
      </c>
      <c r="HJK989" s="16" t="s">
        <v>1487</v>
      </c>
      <c r="HJL989" s="16" t="s">
        <v>1487</v>
      </c>
      <c r="HJM989" s="16" t="s">
        <v>1487</v>
      </c>
      <c r="HJN989" s="16" t="s">
        <v>1487</v>
      </c>
      <c r="HJO989" s="16" t="s">
        <v>1487</v>
      </c>
      <c r="HJP989" s="16" t="s">
        <v>1487</v>
      </c>
      <c r="HJQ989" s="16" t="s">
        <v>1487</v>
      </c>
      <c r="HJR989" s="16" t="s">
        <v>1487</v>
      </c>
      <c r="HJS989" s="16" t="s">
        <v>1487</v>
      </c>
      <c r="HJT989" s="16" t="s">
        <v>1487</v>
      </c>
      <c r="HJU989" s="16" t="s">
        <v>1487</v>
      </c>
      <c r="HJV989" s="16" t="s">
        <v>1487</v>
      </c>
      <c r="HJW989" s="16" t="s">
        <v>1487</v>
      </c>
      <c r="HJX989" s="16" t="s">
        <v>1487</v>
      </c>
      <c r="HJY989" s="16" t="s">
        <v>1487</v>
      </c>
      <c r="HJZ989" s="16" t="s">
        <v>1487</v>
      </c>
      <c r="HKA989" s="16" t="s">
        <v>1487</v>
      </c>
      <c r="HKB989" s="16" t="s">
        <v>1487</v>
      </c>
      <c r="HKC989" s="16" t="s">
        <v>1487</v>
      </c>
      <c r="HKD989" s="16" t="s">
        <v>1487</v>
      </c>
      <c r="HKE989" s="16" t="s">
        <v>1487</v>
      </c>
      <c r="HKF989" s="16" t="s">
        <v>1487</v>
      </c>
      <c r="HKG989" s="16" t="s">
        <v>1487</v>
      </c>
      <c r="HKH989" s="16" t="s">
        <v>1487</v>
      </c>
      <c r="HKI989" s="16" t="s">
        <v>1487</v>
      </c>
      <c r="HKJ989" s="16" t="s">
        <v>1487</v>
      </c>
      <c r="HKK989" s="16" t="s">
        <v>1487</v>
      </c>
      <c r="HKL989" s="16" t="s">
        <v>1487</v>
      </c>
      <c r="HKM989" s="16" t="s">
        <v>1487</v>
      </c>
      <c r="HKN989" s="16" t="s">
        <v>1487</v>
      </c>
      <c r="HKO989" s="16" t="s">
        <v>1487</v>
      </c>
      <c r="HKP989" s="16" t="s">
        <v>1487</v>
      </c>
      <c r="HKQ989" s="16" t="s">
        <v>1487</v>
      </c>
      <c r="HKR989" s="16" t="s">
        <v>1487</v>
      </c>
      <c r="HKS989" s="16" t="s">
        <v>1487</v>
      </c>
      <c r="HKT989" s="16" t="s">
        <v>1487</v>
      </c>
      <c r="HKU989" s="16" t="s">
        <v>1487</v>
      </c>
      <c r="HKV989" s="16" t="s">
        <v>1487</v>
      </c>
      <c r="HKW989" s="16" t="s">
        <v>1487</v>
      </c>
      <c r="HKX989" s="16" t="s">
        <v>1487</v>
      </c>
      <c r="HKY989" s="16" t="s">
        <v>1487</v>
      </c>
      <c r="HKZ989" s="16" t="s">
        <v>1487</v>
      </c>
      <c r="HLA989" s="16" t="s">
        <v>1487</v>
      </c>
      <c r="HLB989" s="16" t="s">
        <v>1487</v>
      </c>
      <c r="HLC989" s="16" t="s">
        <v>1487</v>
      </c>
      <c r="HLD989" s="16" t="s">
        <v>1487</v>
      </c>
      <c r="HLE989" s="16" t="s">
        <v>1487</v>
      </c>
      <c r="HLF989" s="16" t="s">
        <v>1487</v>
      </c>
      <c r="HLG989" s="16" t="s">
        <v>1487</v>
      </c>
      <c r="HLH989" s="16" t="s">
        <v>1487</v>
      </c>
      <c r="HLI989" s="16" t="s">
        <v>1487</v>
      </c>
      <c r="HLJ989" s="16" t="s">
        <v>1487</v>
      </c>
      <c r="HLK989" s="16" t="s">
        <v>1487</v>
      </c>
      <c r="HLL989" s="16" t="s">
        <v>1487</v>
      </c>
      <c r="HLM989" s="16" t="s">
        <v>1487</v>
      </c>
      <c r="HLN989" s="16" t="s">
        <v>1487</v>
      </c>
      <c r="HLO989" s="16" t="s">
        <v>1487</v>
      </c>
      <c r="HLP989" s="16" t="s">
        <v>1487</v>
      </c>
      <c r="HLQ989" s="16" t="s">
        <v>1487</v>
      </c>
      <c r="HLR989" s="16" t="s">
        <v>1487</v>
      </c>
      <c r="HLS989" s="16" t="s">
        <v>1487</v>
      </c>
      <c r="HLT989" s="16" t="s">
        <v>1487</v>
      </c>
      <c r="HLU989" s="16" t="s">
        <v>1487</v>
      </c>
      <c r="HLV989" s="16" t="s">
        <v>1487</v>
      </c>
      <c r="HLW989" s="16" t="s">
        <v>1487</v>
      </c>
      <c r="HLX989" s="16" t="s">
        <v>1487</v>
      </c>
      <c r="HLY989" s="16" t="s">
        <v>1487</v>
      </c>
      <c r="HLZ989" s="16" t="s">
        <v>1487</v>
      </c>
      <c r="HMA989" s="16" t="s">
        <v>1487</v>
      </c>
      <c r="HMB989" s="16" t="s">
        <v>1487</v>
      </c>
      <c r="HMC989" s="16" t="s">
        <v>1487</v>
      </c>
      <c r="HMD989" s="16" t="s">
        <v>1487</v>
      </c>
      <c r="HME989" s="16" t="s">
        <v>1487</v>
      </c>
      <c r="HMF989" s="16" t="s">
        <v>1487</v>
      </c>
      <c r="HMG989" s="16" t="s">
        <v>1487</v>
      </c>
      <c r="HMH989" s="16" t="s">
        <v>1487</v>
      </c>
      <c r="HMI989" s="16" t="s">
        <v>1487</v>
      </c>
      <c r="HMJ989" s="16" t="s">
        <v>1487</v>
      </c>
      <c r="HMK989" s="16" t="s">
        <v>1487</v>
      </c>
      <c r="HML989" s="16" t="s">
        <v>1487</v>
      </c>
      <c r="HMM989" s="16" t="s">
        <v>1487</v>
      </c>
      <c r="HMN989" s="16" t="s">
        <v>1487</v>
      </c>
      <c r="HMO989" s="16" t="s">
        <v>1487</v>
      </c>
      <c r="HMP989" s="16" t="s">
        <v>1487</v>
      </c>
      <c r="HMQ989" s="16" t="s">
        <v>1487</v>
      </c>
      <c r="HMR989" s="16" t="s">
        <v>1487</v>
      </c>
      <c r="HMS989" s="16" t="s">
        <v>1487</v>
      </c>
      <c r="HMT989" s="16" t="s">
        <v>1487</v>
      </c>
      <c r="HMU989" s="16" t="s">
        <v>1487</v>
      </c>
      <c r="HMV989" s="16" t="s">
        <v>1487</v>
      </c>
      <c r="HMW989" s="16" t="s">
        <v>1487</v>
      </c>
      <c r="HMX989" s="16" t="s">
        <v>1487</v>
      </c>
      <c r="HMY989" s="16" t="s">
        <v>1487</v>
      </c>
      <c r="HMZ989" s="16" t="s">
        <v>1487</v>
      </c>
      <c r="HNA989" s="16" t="s">
        <v>1487</v>
      </c>
      <c r="HNB989" s="16" t="s">
        <v>1487</v>
      </c>
      <c r="HNC989" s="16" t="s">
        <v>1487</v>
      </c>
      <c r="HND989" s="16" t="s">
        <v>1487</v>
      </c>
      <c r="HNE989" s="16" t="s">
        <v>1487</v>
      </c>
      <c r="HNF989" s="16" t="s">
        <v>1487</v>
      </c>
      <c r="HNG989" s="16" t="s">
        <v>1487</v>
      </c>
      <c r="HNH989" s="16" t="s">
        <v>1487</v>
      </c>
      <c r="HNI989" s="16" t="s">
        <v>1487</v>
      </c>
      <c r="HNJ989" s="16" t="s">
        <v>1487</v>
      </c>
      <c r="HNK989" s="16" t="s">
        <v>1487</v>
      </c>
      <c r="HNL989" s="16" t="s">
        <v>1487</v>
      </c>
      <c r="HNM989" s="16" t="s">
        <v>1487</v>
      </c>
      <c r="HNN989" s="16" t="s">
        <v>1487</v>
      </c>
      <c r="HNO989" s="16" t="s">
        <v>1487</v>
      </c>
      <c r="HNP989" s="16" t="s">
        <v>1487</v>
      </c>
      <c r="HNQ989" s="16" t="s">
        <v>1487</v>
      </c>
      <c r="HNR989" s="16" t="s">
        <v>1487</v>
      </c>
      <c r="HNS989" s="16" t="s">
        <v>1487</v>
      </c>
      <c r="HNT989" s="16" t="s">
        <v>1487</v>
      </c>
      <c r="HNU989" s="16" t="s">
        <v>1487</v>
      </c>
      <c r="HNV989" s="16" t="s">
        <v>1487</v>
      </c>
      <c r="HNW989" s="16" t="s">
        <v>1487</v>
      </c>
      <c r="HNX989" s="16" t="s">
        <v>1487</v>
      </c>
      <c r="HNY989" s="16" t="s">
        <v>1487</v>
      </c>
      <c r="HNZ989" s="16" t="s">
        <v>1487</v>
      </c>
      <c r="HOA989" s="16" t="s">
        <v>1487</v>
      </c>
      <c r="HOB989" s="16" t="s">
        <v>1487</v>
      </c>
      <c r="HOC989" s="16" t="s">
        <v>1487</v>
      </c>
      <c r="HOD989" s="16" t="s">
        <v>1487</v>
      </c>
      <c r="HOE989" s="16" t="s">
        <v>1487</v>
      </c>
      <c r="HOF989" s="16" t="s">
        <v>1487</v>
      </c>
      <c r="HOG989" s="16" t="s">
        <v>1487</v>
      </c>
      <c r="HOH989" s="16" t="s">
        <v>1487</v>
      </c>
      <c r="HOI989" s="16" t="s">
        <v>1487</v>
      </c>
      <c r="HOJ989" s="16" t="s">
        <v>1487</v>
      </c>
      <c r="HOK989" s="16" t="s">
        <v>1487</v>
      </c>
      <c r="HOL989" s="16" t="s">
        <v>1487</v>
      </c>
      <c r="HOM989" s="16" t="s">
        <v>1487</v>
      </c>
      <c r="HON989" s="16" t="s">
        <v>1487</v>
      </c>
      <c r="HOO989" s="16" t="s">
        <v>1487</v>
      </c>
      <c r="HOP989" s="16" t="s">
        <v>1487</v>
      </c>
      <c r="HOQ989" s="16" t="s">
        <v>1487</v>
      </c>
      <c r="HOR989" s="16" t="s">
        <v>1487</v>
      </c>
      <c r="HOS989" s="16" t="s">
        <v>1487</v>
      </c>
      <c r="HOT989" s="16" t="s">
        <v>1487</v>
      </c>
      <c r="HOU989" s="16" t="s">
        <v>1487</v>
      </c>
      <c r="HOV989" s="16" t="s">
        <v>1487</v>
      </c>
      <c r="HOW989" s="16" t="s">
        <v>1487</v>
      </c>
      <c r="HOX989" s="16" t="s">
        <v>1487</v>
      </c>
      <c r="HOY989" s="16" t="s">
        <v>1487</v>
      </c>
      <c r="HOZ989" s="16" t="s">
        <v>1487</v>
      </c>
      <c r="HPA989" s="16" t="s">
        <v>1487</v>
      </c>
      <c r="HPB989" s="16" t="s">
        <v>1487</v>
      </c>
      <c r="HPC989" s="16" t="s">
        <v>1487</v>
      </c>
      <c r="HPD989" s="16" t="s">
        <v>1487</v>
      </c>
      <c r="HPE989" s="16" t="s">
        <v>1487</v>
      </c>
      <c r="HPF989" s="16" t="s">
        <v>1487</v>
      </c>
      <c r="HPG989" s="16" t="s">
        <v>1487</v>
      </c>
      <c r="HPH989" s="16" t="s">
        <v>1487</v>
      </c>
      <c r="HPI989" s="16" t="s">
        <v>1487</v>
      </c>
      <c r="HPJ989" s="16" t="s">
        <v>1487</v>
      </c>
      <c r="HPK989" s="16" t="s">
        <v>1487</v>
      </c>
      <c r="HPL989" s="16" t="s">
        <v>1487</v>
      </c>
      <c r="HPM989" s="16" t="s">
        <v>1487</v>
      </c>
      <c r="HPN989" s="16" t="s">
        <v>1487</v>
      </c>
      <c r="HPO989" s="16" t="s">
        <v>1487</v>
      </c>
      <c r="HPP989" s="16" t="s">
        <v>1487</v>
      </c>
      <c r="HPQ989" s="16" t="s">
        <v>1487</v>
      </c>
      <c r="HPR989" s="16" t="s">
        <v>1487</v>
      </c>
      <c r="HPS989" s="16" t="s">
        <v>1487</v>
      </c>
      <c r="HPT989" s="16" t="s">
        <v>1487</v>
      </c>
      <c r="HPU989" s="16" t="s">
        <v>1487</v>
      </c>
      <c r="HPV989" s="16" t="s">
        <v>1487</v>
      </c>
      <c r="HPW989" s="16" t="s">
        <v>1487</v>
      </c>
      <c r="HPX989" s="16" t="s">
        <v>1487</v>
      </c>
      <c r="HPY989" s="16" t="s">
        <v>1487</v>
      </c>
      <c r="HPZ989" s="16" t="s">
        <v>1487</v>
      </c>
      <c r="HQA989" s="16" t="s">
        <v>1487</v>
      </c>
      <c r="HQB989" s="16" t="s">
        <v>1487</v>
      </c>
      <c r="HQC989" s="16" t="s">
        <v>1487</v>
      </c>
      <c r="HQD989" s="16" t="s">
        <v>1487</v>
      </c>
      <c r="HQE989" s="16" t="s">
        <v>1487</v>
      </c>
      <c r="HQF989" s="16" t="s">
        <v>1487</v>
      </c>
      <c r="HQG989" s="16" t="s">
        <v>1487</v>
      </c>
      <c r="HQH989" s="16" t="s">
        <v>1487</v>
      </c>
      <c r="HQI989" s="16" t="s">
        <v>1487</v>
      </c>
      <c r="HQJ989" s="16" t="s">
        <v>1487</v>
      </c>
      <c r="HQK989" s="16" t="s">
        <v>1487</v>
      </c>
      <c r="HQL989" s="16" t="s">
        <v>1487</v>
      </c>
      <c r="HQM989" s="16" t="s">
        <v>1487</v>
      </c>
      <c r="HQN989" s="16" t="s">
        <v>1487</v>
      </c>
      <c r="HQO989" s="16" t="s">
        <v>1487</v>
      </c>
      <c r="HQP989" s="16" t="s">
        <v>1487</v>
      </c>
      <c r="HQQ989" s="16" t="s">
        <v>1487</v>
      </c>
      <c r="HQR989" s="16" t="s">
        <v>1487</v>
      </c>
      <c r="HQS989" s="16" t="s">
        <v>1487</v>
      </c>
      <c r="HQT989" s="16" t="s">
        <v>1487</v>
      </c>
      <c r="HQU989" s="16" t="s">
        <v>1487</v>
      </c>
      <c r="HQV989" s="16" t="s">
        <v>1487</v>
      </c>
      <c r="HQW989" s="16" t="s">
        <v>1487</v>
      </c>
      <c r="HQX989" s="16" t="s">
        <v>1487</v>
      </c>
      <c r="HQY989" s="16" t="s">
        <v>1487</v>
      </c>
      <c r="HQZ989" s="16" t="s">
        <v>1487</v>
      </c>
      <c r="HRA989" s="16" t="s">
        <v>1487</v>
      </c>
      <c r="HRB989" s="16" t="s">
        <v>1487</v>
      </c>
      <c r="HRC989" s="16" t="s">
        <v>1487</v>
      </c>
      <c r="HRD989" s="16" t="s">
        <v>1487</v>
      </c>
      <c r="HRE989" s="16" t="s">
        <v>1487</v>
      </c>
      <c r="HRF989" s="16" t="s">
        <v>1487</v>
      </c>
      <c r="HRG989" s="16" t="s">
        <v>1487</v>
      </c>
      <c r="HRH989" s="16" t="s">
        <v>1487</v>
      </c>
      <c r="HRI989" s="16" t="s">
        <v>1487</v>
      </c>
      <c r="HRJ989" s="16" t="s">
        <v>1487</v>
      </c>
      <c r="HRK989" s="16" t="s">
        <v>1487</v>
      </c>
      <c r="HRL989" s="16" t="s">
        <v>1487</v>
      </c>
      <c r="HRM989" s="16" t="s">
        <v>1487</v>
      </c>
      <c r="HRN989" s="16" t="s">
        <v>1487</v>
      </c>
      <c r="HRO989" s="16" t="s">
        <v>1487</v>
      </c>
      <c r="HRP989" s="16" t="s">
        <v>1487</v>
      </c>
      <c r="HRQ989" s="16" t="s">
        <v>1487</v>
      </c>
      <c r="HRR989" s="16" t="s">
        <v>1487</v>
      </c>
      <c r="HRS989" s="16" t="s">
        <v>1487</v>
      </c>
      <c r="HRT989" s="16" t="s">
        <v>1487</v>
      </c>
      <c r="HRU989" s="16" t="s">
        <v>1487</v>
      </c>
      <c r="HRV989" s="16" t="s">
        <v>1487</v>
      </c>
      <c r="HRW989" s="16" t="s">
        <v>1487</v>
      </c>
      <c r="HRX989" s="16" t="s">
        <v>1487</v>
      </c>
      <c r="HRY989" s="16" t="s">
        <v>1487</v>
      </c>
      <c r="HRZ989" s="16" t="s">
        <v>1487</v>
      </c>
      <c r="HSA989" s="16" t="s">
        <v>1487</v>
      </c>
      <c r="HSB989" s="16" t="s">
        <v>1487</v>
      </c>
      <c r="HSC989" s="16" t="s">
        <v>1487</v>
      </c>
      <c r="HSD989" s="16" t="s">
        <v>1487</v>
      </c>
      <c r="HSE989" s="16" t="s">
        <v>1487</v>
      </c>
      <c r="HSF989" s="16" t="s">
        <v>1487</v>
      </c>
      <c r="HSG989" s="16" t="s">
        <v>1487</v>
      </c>
      <c r="HSH989" s="16" t="s">
        <v>1487</v>
      </c>
      <c r="HSI989" s="16" t="s">
        <v>1487</v>
      </c>
      <c r="HSJ989" s="16" t="s">
        <v>1487</v>
      </c>
      <c r="HSK989" s="16" t="s">
        <v>1487</v>
      </c>
      <c r="HSL989" s="16" t="s">
        <v>1487</v>
      </c>
      <c r="HSM989" s="16" t="s">
        <v>1487</v>
      </c>
      <c r="HSN989" s="16" t="s">
        <v>1487</v>
      </c>
      <c r="HSO989" s="16" t="s">
        <v>1487</v>
      </c>
      <c r="HSP989" s="16" t="s">
        <v>1487</v>
      </c>
      <c r="HSQ989" s="16" t="s">
        <v>1487</v>
      </c>
      <c r="HSR989" s="16" t="s">
        <v>1487</v>
      </c>
      <c r="HSS989" s="16" t="s">
        <v>1487</v>
      </c>
      <c r="HST989" s="16" t="s">
        <v>1487</v>
      </c>
      <c r="HSU989" s="16" t="s">
        <v>1487</v>
      </c>
      <c r="HSV989" s="16" t="s">
        <v>1487</v>
      </c>
      <c r="HSW989" s="16" t="s">
        <v>1487</v>
      </c>
      <c r="HSX989" s="16" t="s">
        <v>1487</v>
      </c>
      <c r="HSY989" s="16" t="s">
        <v>1487</v>
      </c>
      <c r="HSZ989" s="16" t="s">
        <v>1487</v>
      </c>
      <c r="HTA989" s="16" t="s">
        <v>1487</v>
      </c>
      <c r="HTB989" s="16" t="s">
        <v>1487</v>
      </c>
      <c r="HTC989" s="16" t="s">
        <v>1487</v>
      </c>
      <c r="HTD989" s="16" t="s">
        <v>1487</v>
      </c>
      <c r="HTE989" s="16" t="s">
        <v>1487</v>
      </c>
      <c r="HTF989" s="16" t="s">
        <v>1487</v>
      </c>
      <c r="HTG989" s="16" t="s">
        <v>1487</v>
      </c>
      <c r="HTH989" s="16" t="s">
        <v>1487</v>
      </c>
      <c r="HTI989" s="16" t="s">
        <v>1487</v>
      </c>
      <c r="HTJ989" s="16" t="s">
        <v>1487</v>
      </c>
      <c r="HTK989" s="16" t="s">
        <v>1487</v>
      </c>
      <c r="HTL989" s="16" t="s">
        <v>1487</v>
      </c>
      <c r="HTM989" s="16" t="s">
        <v>1487</v>
      </c>
      <c r="HTN989" s="16" t="s">
        <v>1487</v>
      </c>
      <c r="HTO989" s="16" t="s">
        <v>1487</v>
      </c>
      <c r="HTP989" s="16" t="s">
        <v>1487</v>
      </c>
      <c r="HTQ989" s="16" t="s">
        <v>1487</v>
      </c>
      <c r="HTR989" s="16" t="s">
        <v>1487</v>
      </c>
      <c r="HTS989" s="16" t="s">
        <v>1487</v>
      </c>
      <c r="HTT989" s="16" t="s">
        <v>1487</v>
      </c>
      <c r="HTU989" s="16" t="s">
        <v>1487</v>
      </c>
      <c r="HTV989" s="16" t="s">
        <v>1487</v>
      </c>
      <c r="HTW989" s="16" t="s">
        <v>1487</v>
      </c>
      <c r="HTX989" s="16" t="s">
        <v>1487</v>
      </c>
      <c r="HTY989" s="16" t="s">
        <v>1487</v>
      </c>
      <c r="HTZ989" s="16" t="s">
        <v>1487</v>
      </c>
      <c r="HUA989" s="16" t="s">
        <v>1487</v>
      </c>
      <c r="HUB989" s="16" t="s">
        <v>1487</v>
      </c>
      <c r="HUC989" s="16" t="s">
        <v>1487</v>
      </c>
      <c r="HUD989" s="16" t="s">
        <v>1487</v>
      </c>
      <c r="HUE989" s="16" t="s">
        <v>1487</v>
      </c>
      <c r="HUF989" s="16" t="s">
        <v>1487</v>
      </c>
      <c r="HUG989" s="16" t="s">
        <v>1487</v>
      </c>
      <c r="HUH989" s="16" t="s">
        <v>1487</v>
      </c>
      <c r="HUI989" s="16" t="s">
        <v>1487</v>
      </c>
      <c r="HUJ989" s="16" t="s">
        <v>1487</v>
      </c>
      <c r="HUK989" s="16" t="s">
        <v>1487</v>
      </c>
      <c r="HUL989" s="16" t="s">
        <v>1487</v>
      </c>
      <c r="HUM989" s="16" t="s">
        <v>1487</v>
      </c>
      <c r="HUN989" s="16" t="s">
        <v>1487</v>
      </c>
      <c r="HUO989" s="16" t="s">
        <v>1487</v>
      </c>
      <c r="HUP989" s="16" t="s">
        <v>1487</v>
      </c>
      <c r="HUQ989" s="16" t="s">
        <v>1487</v>
      </c>
      <c r="HUR989" s="16" t="s">
        <v>1487</v>
      </c>
      <c r="HUS989" s="16" t="s">
        <v>1487</v>
      </c>
      <c r="HUT989" s="16" t="s">
        <v>1487</v>
      </c>
      <c r="HUU989" s="16" t="s">
        <v>1487</v>
      </c>
      <c r="HUV989" s="16" t="s">
        <v>1487</v>
      </c>
      <c r="HUW989" s="16" t="s">
        <v>1487</v>
      </c>
      <c r="HUX989" s="16" t="s">
        <v>1487</v>
      </c>
      <c r="HUY989" s="16" t="s">
        <v>1487</v>
      </c>
      <c r="HUZ989" s="16" t="s">
        <v>1487</v>
      </c>
      <c r="HVA989" s="16" t="s">
        <v>1487</v>
      </c>
      <c r="HVB989" s="16" t="s">
        <v>1487</v>
      </c>
      <c r="HVC989" s="16" t="s">
        <v>1487</v>
      </c>
      <c r="HVD989" s="16" t="s">
        <v>1487</v>
      </c>
      <c r="HVE989" s="16" t="s">
        <v>1487</v>
      </c>
      <c r="HVF989" s="16" t="s">
        <v>1487</v>
      </c>
      <c r="HVG989" s="16" t="s">
        <v>1487</v>
      </c>
      <c r="HVH989" s="16" t="s">
        <v>1487</v>
      </c>
      <c r="HVI989" s="16" t="s">
        <v>1487</v>
      </c>
      <c r="HVJ989" s="16" t="s">
        <v>1487</v>
      </c>
      <c r="HVK989" s="16" t="s">
        <v>1487</v>
      </c>
      <c r="HVL989" s="16" t="s">
        <v>1487</v>
      </c>
      <c r="HVM989" s="16" t="s">
        <v>1487</v>
      </c>
      <c r="HVN989" s="16" t="s">
        <v>1487</v>
      </c>
      <c r="HVO989" s="16" t="s">
        <v>1487</v>
      </c>
      <c r="HVP989" s="16" t="s">
        <v>1487</v>
      </c>
      <c r="HVQ989" s="16" t="s">
        <v>1487</v>
      </c>
      <c r="HVR989" s="16" t="s">
        <v>1487</v>
      </c>
      <c r="HVS989" s="16" t="s">
        <v>1487</v>
      </c>
      <c r="HVT989" s="16" t="s">
        <v>1487</v>
      </c>
      <c r="HVU989" s="16" t="s">
        <v>1487</v>
      </c>
      <c r="HVV989" s="16" t="s">
        <v>1487</v>
      </c>
      <c r="HVW989" s="16" t="s">
        <v>1487</v>
      </c>
      <c r="HVX989" s="16" t="s">
        <v>1487</v>
      </c>
      <c r="HVY989" s="16" t="s">
        <v>1487</v>
      </c>
      <c r="HVZ989" s="16" t="s">
        <v>1487</v>
      </c>
      <c r="HWA989" s="16" t="s">
        <v>1487</v>
      </c>
      <c r="HWB989" s="16" t="s">
        <v>1487</v>
      </c>
      <c r="HWC989" s="16" t="s">
        <v>1487</v>
      </c>
      <c r="HWD989" s="16" t="s">
        <v>1487</v>
      </c>
      <c r="HWE989" s="16" t="s">
        <v>1487</v>
      </c>
      <c r="HWF989" s="16" t="s">
        <v>1487</v>
      </c>
      <c r="HWG989" s="16" t="s">
        <v>1487</v>
      </c>
      <c r="HWH989" s="16" t="s">
        <v>1487</v>
      </c>
      <c r="HWI989" s="16" t="s">
        <v>1487</v>
      </c>
      <c r="HWJ989" s="16" t="s">
        <v>1487</v>
      </c>
      <c r="HWK989" s="16" t="s">
        <v>1487</v>
      </c>
      <c r="HWL989" s="16" t="s">
        <v>1487</v>
      </c>
      <c r="HWM989" s="16" t="s">
        <v>1487</v>
      </c>
      <c r="HWN989" s="16" t="s">
        <v>1487</v>
      </c>
      <c r="HWO989" s="16" t="s">
        <v>1487</v>
      </c>
      <c r="HWP989" s="16" t="s">
        <v>1487</v>
      </c>
      <c r="HWQ989" s="16" t="s">
        <v>1487</v>
      </c>
      <c r="HWR989" s="16" t="s">
        <v>1487</v>
      </c>
      <c r="HWS989" s="16" t="s">
        <v>1487</v>
      </c>
      <c r="HWT989" s="16" t="s">
        <v>1487</v>
      </c>
      <c r="HWU989" s="16" t="s">
        <v>1487</v>
      </c>
      <c r="HWV989" s="16" t="s">
        <v>1487</v>
      </c>
      <c r="HWW989" s="16" t="s">
        <v>1487</v>
      </c>
      <c r="HWX989" s="16" t="s">
        <v>1487</v>
      </c>
      <c r="HWY989" s="16" t="s">
        <v>1487</v>
      </c>
      <c r="HWZ989" s="16" t="s">
        <v>1487</v>
      </c>
      <c r="HXA989" s="16" t="s">
        <v>1487</v>
      </c>
      <c r="HXB989" s="16" t="s">
        <v>1487</v>
      </c>
      <c r="HXC989" s="16" t="s">
        <v>1487</v>
      </c>
      <c r="HXD989" s="16" t="s">
        <v>1487</v>
      </c>
      <c r="HXE989" s="16" t="s">
        <v>1487</v>
      </c>
      <c r="HXF989" s="16" t="s">
        <v>1487</v>
      </c>
      <c r="HXG989" s="16" t="s">
        <v>1487</v>
      </c>
      <c r="HXH989" s="16" t="s">
        <v>1487</v>
      </c>
      <c r="HXI989" s="16" t="s">
        <v>1487</v>
      </c>
      <c r="HXJ989" s="16" t="s">
        <v>1487</v>
      </c>
      <c r="HXK989" s="16" t="s">
        <v>1487</v>
      </c>
      <c r="HXL989" s="16" t="s">
        <v>1487</v>
      </c>
      <c r="HXM989" s="16" t="s">
        <v>1487</v>
      </c>
      <c r="HXN989" s="16" t="s">
        <v>1487</v>
      </c>
      <c r="HXO989" s="16" t="s">
        <v>1487</v>
      </c>
      <c r="HXP989" s="16" t="s">
        <v>1487</v>
      </c>
      <c r="HXQ989" s="16" t="s">
        <v>1487</v>
      </c>
      <c r="HXR989" s="16" t="s">
        <v>1487</v>
      </c>
      <c r="HXS989" s="16" t="s">
        <v>1487</v>
      </c>
      <c r="HXT989" s="16" t="s">
        <v>1487</v>
      </c>
      <c r="HXU989" s="16" t="s">
        <v>1487</v>
      </c>
      <c r="HXV989" s="16" t="s">
        <v>1487</v>
      </c>
      <c r="HXW989" s="16" t="s">
        <v>1487</v>
      </c>
      <c r="HXX989" s="16" t="s">
        <v>1487</v>
      </c>
      <c r="HXY989" s="16" t="s">
        <v>1487</v>
      </c>
      <c r="HXZ989" s="16" t="s">
        <v>1487</v>
      </c>
      <c r="HYA989" s="16" t="s">
        <v>1487</v>
      </c>
      <c r="HYB989" s="16" t="s">
        <v>1487</v>
      </c>
      <c r="HYC989" s="16" t="s">
        <v>1487</v>
      </c>
      <c r="HYD989" s="16" t="s">
        <v>1487</v>
      </c>
      <c r="HYE989" s="16" t="s">
        <v>1487</v>
      </c>
      <c r="HYF989" s="16" t="s">
        <v>1487</v>
      </c>
      <c r="HYG989" s="16" t="s">
        <v>1487</v>
      </c>
      <c r="HYH989" s="16" t="s">
        <v>1487</v>
      </c>
      <c r="HYI989" s="16" t="s">
        <v>1487</v>
      </c>
      <c r="HYJ989" s="16" t="s">
        <v>1487</v>
      </c>
      <c r="HYK989" s="16" t="s">
        <v>1487</v>
      </c>
      <c r="HYL989" s="16" t="s">
        <v>1487</v>
      </c>
      <c r="HYM989" s="16" t="s">
        <v>1487</v>
      </c>
      <c r="HYN989" s="16" t="s">
        <v>1487</v>
      </c>
      <c r="HYO989" s="16" t="s">
        <v>1487</v>
      </c>
      <c r="HYP989" s="16" t="s">
        <v>1487</v>
      </c>
      <c r="HYQ989" s="16" t="s">
        <v>1487</v>
      </c>
      <c r="HYR989" s="16" t="s">
        <v>1487</v>
      </c>
      <c r="HYS989" s="16" t="s">
        <v>1487</v>
      </c>
      <c r="HYT989" s="16" t="s">
        <v>1487</v>
      </c>
      <c r="HYU989" s="16" t="s">
        <v>1487</v>
      </c>
      <c r="HYV989" s="16" t="s">
        <v>1487</v>
      </c>
      <c r="HYW989" s="16" t="s">
        <v>1487</v>
      </c>
      <c r="HYX989" s="16" t="s">
        <v>1487</v>
      </c>
      <c r="HYY989" s="16" t="s">
        <v>1487</v>
      </c>
      <c r="HYZ989" s="16" t="s">
        <v>1487</v>
      </c>
      <c r="HZA989" s="16" t="s">
        <v>1487</v>
      </c>
      <c r="HZB989" s="16" t="s">
        <v>1487</v>
      </c>
      <c r="HZC989" s="16" t="s">
        <v>1487</v>
      </c>
      <c r="HZD989" s="16" t="s">
        <v>1487</v>
      </c>
      <c r="HZE989" s="16" t="s">
        <v>1487</v>
      </c>
      <c r="HZF989" s="16" t="s">
        <v>1487</v>
      </c>
      <c r="HZG989" s="16" t="s">
        <v>1487</v>
      </c>
      <c r="HZH989" s="16" t="s">
        <v>1487</v>
      </c>
      <c r="HZI989" s="16" t="s">
        <v>1487</v>
      </c>
      <c r="HZJ989" s="16" t="s">
        <v>1487</v>
      </c>
      <c r="HZK989" s="16" t="s">
        <v>1487</v>
      </c>
      <c r="HZL989" s="16" t="s">
        <v>1487</v>
      </c>
      <c r="HZM989" s="16" t="s">
        <v>1487</v>
      </c>
      <c r="HZN989" s="16" t="s">
        <v>1487</v>
      </c>
      <c r="HZO989" s="16" t="s">
        <v>1487</v>
      </c>
      <c r="HZP989" s="16" t="s">
        <v>1487</v>
      </c>
      <c r="HZQ989" s="16" t="s">
        <v>1487</v>
      </c>
      <c r="HZR989" s="16" t="s">
        <v>1487</v>
      </c>
      <c r="HZS989" s="16" t="s">
        <v>1487</v>
      </c>
      <c r="HZT989" s="16" t="s">
        <v>1487</v>
      </c>
      <c r="HZU989" s="16" t="s">
        <v>1487</v>
      </c>
      <c r="HZV989" s="16" t="s">
        <v>1487</v>
      </c>
      <c r="HZW989" s="16" t="s">
        <v>1487</v>
      </c>
      <c r="HZX989" s="16" t="s">
        <v>1487</v>
      </c>
      <c r="HZY989" s="16" t="s">
        <v>1487</v>
      </c>
      <c r="HZZ989" s="16" t="s">
        <v>1487</v>
      </c>
      <c r="IAA989" s="16" t="s">
        <v>1487</v>
      </c>
      <c r="IAB989" s="16" t="s">
        <v>1487</v>
      </c>
      <c r="IAC989" s="16" t="s">
        <v>1487</v>
      </c>
      <c r="IAD989" s="16" t="s">
        <v>1487</v>
      </c>
      <c r="IAE989" s="16" t="s">
        <v>1487</v>
      </c>
      <c r="IAF989" s="16" t="s">
        <v>1487</v>
      </c>
      <c r="IAG989" s="16" t="s">
        <v>1487</v>
      </c>
      <c r="IAH989" s="16" t="s">
        <v>1487</v>
      </c>
      <c r="IAI989" s="16" t="s">
        <v>1487</v>
      </c>
      <c r="IAJ989" s="16" t="s">
        <v>1487</v>
      </c>
      <c r="IAK989" s="16" t="s">
        <v>1487</v>
      </c>
      <c r="IAL989" s="16" t="s">
        <v>1487</v>
      </c>
      <c r="IAM989" s="16" t="s">
        <v>1487</v>
      </c>
      <c r="IAN989" s="16" t="s">
        <v>1487</v>
      </c>
      <c r="IAO989" s="16" t="s">
        <v>1487</v>
      </c>
      <c r="IAP989" s="16" t="s">
        <v>1487</v>
      </c>
      <c r="IAQ989" s="16" t="s">
        <v>1487</v>
      </c>
      <c r="IAR989" s="16" t="s">
        <v>1487</v>
      </c>
      <c r="IAS989" s="16" t="s">
        <v>1487</v>
      </c>
      <c r="IAT989" s="16" t="s">
        <v>1487</v>
      </c>
      <c r="IAU989" s="16" t="s">
        <v>1487</v>
      </c>
      <c r="IAV989" s="16" t="s">
        <v>1487</v>
      </c>
      <c r="IAW989" s="16" t="s">
        <v>1487</v>
      </c>
      <c r="IAX989" s="16" t="s">
        <v>1487</v>
      </c>
      <c r="IAY989" s="16" t="s">
        <v>1487</v>
      </c>
      <c r="IAZ989" s="16" t="s">
        <v>1487</v>
      </c>
      <c r="IBA989" s="16" t="s">
        <v>1487</v>
      </c>
      <c r="IBB989" s="16" t="s">
        <v>1487</v>
      </c>
      <c r="IBC989" s="16" t="s">
        <v>1487</v>
      </c>
      <c r="IBD989" s="16" t="s">
        <v>1487</v>
      </c>
      <c r="IBE989" s="16" t="s">
        <v>1487</v>
      </c>
      <c r="IBF989" s="16" t="s">
        <v>1487</v>
      </c>
      <c r="IBG989" s="16" t="s">
        <v>1487</v>
      </c>
      <c r="IBH989" s="16" t="s">
        <v>1487</v>
      </c>
      <c r="IBI989" s="16" t="s">
        <v>1487</v>
      </c>
      <c r="IBJ989" s="16" t="s">
        <v>1487</v>
      </c>
      <c r="IBK989" s="16" t="s">
        <v>1487</v>
      </c>
      <c r="IBL989" s="16" t="s">
        <v>1487</v>
      </c>
      <c r="IBM989" s="16" t="s">
        <v>1487</v>
      </c>
      <c r="IBN989" s="16" t="s">
        <v>1487</v>
      </c>
      <c r="IBO989" s="16" t="s">
        <v>1487</v>
      </c>
      <c r="IBP989" s="16" t="s">
        <v>1487</v>
      </c>
      <c r="IBQ989" s="16" t="s">
        <v>1487</v>
      </c>
      <c r="IBR989" s="16" t="s">
        <v>1487</v>
      </c>
      <c r="IBS989" s="16" t="s">
        <v>1487</v>
      </c>
      <c r="IBT989" s="16" t="s">
        <v>1487</v>
      </c>
      <c r="IBU989" s="16" t="s">
        <v>1487</v>
      </c>
      <c r="IBV989" s="16" t="s">
        <v>1487</v>
      </c>
      <c r="IBW989" s="16" t="s">
        <v>1487</v>
      </c>
      <c r="IBX989" s="16" t="s">
        <v>1487</v>
      </c>
      <c r="IBY989" s="16" t="s">
        <v>1487</v>
      </c>
      <c r="IBZ989" s="16" t="s">
        <v>1487</v>
      </c>
      <c r="ICA989" s="16" t="s">
        <v>1487</v>
      </c>
      <c r="ICB989" s="16" t="s">
        <v>1487</v>
      </c>
      <c r="ICC989" s="16" t="s">
        <v>1487</v>
      </c>
      <c r="ICD989" s="16" t="s">
        <v>1487</v>
      </c>
      <c r="ICE989" s="16" t="s">
        <v>1487</v>
      </c>
      <c r="ICF989" s="16" t="s">
        <v>1487</v>
      </c>
      <c r="ICG989" s="16" t="s">
        <v>1487</v>
      </c>
      <c r="ICH989" s="16" t="s">
        <v>1487</v>
      </c>
      <c r="ICI989" s="16" t="s">
        <v>1487</v>
      </c>
      <c r="ICJ989" s="16" t="s">
        <v>1487</v>
      </c>
      <c r="ICK989" s="16" t="s">
        <v>1487</v>
      </c>
      <c r="ICL989" s="16" t="s">
        <v>1487</v>
      </c>
      <c r="ICM989" s="16" t="s">
        <v>1487</v>
      </c>
      <c r="ICN989" s="16" t="s">
        <v>1487</v>
      </c>
      <c r="ICO989" s="16" t="s">
        <v>1487</v>
      </c>
      <c r="ICP989" s="16" t="s">
        <v>1487</v>
      </c>
      <c r="ICQ989" s="16" t="s">
        <v>1487</v>
      </c>
      <c r="ICR989" s="16" t="s">
        <v>1487</v>
      </c>
      <c r="ICS989" s="16" t="s">
        <v>1487</v>
      </c>
      <c r="ICT989" s="16" t="s">
        <v>1487</v>
      </c>
      <c r="ICU989" s="16" t="s">
        <v>1487</v>
      </c>
      <c r="ICV989" s="16" t="s">
        <v>1487</v>
      </c>
      <c r="ICW989" s="16" t="s">
        <v>1487</v>
      </c>
      <c r="ICX989" s="16" t="s">
        <v>1487</v>
      </c>
      <c r="ICY989" s="16" t="s">
        <v>1487</v>
      </c>
      <c r="ICZ989" s="16" t="s">
        <v>1487</v>
      </c>
      <c r="IDA989" s="16" t="s">
        <v>1487</v>
      </c>
      <c r="IDB989" s="16" t="s">
        <v>1487</v>
      </c>
      <c r="IDC989" s="16" t="s">
        <v>1487</v>
      </c>
      <c r="IDD989" s="16" t="s">
        <v>1487</v>
      </c>
      <c r="IDE989" s="16" t="s">
        <v>1487</v>
      </c>
      <c r="IDF989" s="16" t="s">
        <v>1487</v>
      </c>
      <c r="IDG989" s="16" t="s">
        <v>1487</v>
      </c>
      <c r="IDH989" s="16" t="s">
        <v>1487</v>
      </c>
      <c r="IDI989" s="16" t="s">
        <v>1487</v>
      </c>
      <c r="IDJ989" s="16" t="s">
        <v>1487</v>
      </c>
      <c r="IDK989" s="16" t="s">
        <v>1487</v>
      </c>
      <c r="IDL989" s="16" t="s">
        <v>1487</v>
      </c>
      <c r="IDM989" s="16" t="s">
        <v>1487</v>
      </c>
      <c r="IDN989" s="16" t="s">
        <v>1487</v>
      </c>
      <c r="IDO989" s="16" t="s">
        <v>1487</v>
      </c>
      <c r="IDP989" s="16" t="s">
        <v>1487</v>
      </c>
      <c r="IDQ989" s="16" t="s">
        <v>1487</v>
      </c>
      <c r="IDR989" s="16" t="s">
        <v>1487</v>
      </c>
      <c r="IDS989" s="16" t="s">
        <v>1487</v>
      </c>
      <c r="IDT989" s="16" t="s">
        <v>1487</v>
      </c>
      <c r="IDU989" s="16" t="s">
        <v>1487</v>
      </c>
      <c r="IDV989" s="16" t="s">
        <v>1487</v>
      </c>
      <c r="IDW989" s="16" t="s">
        <v>1487</v>
      </c>
      <c r="IDX989" s="16" t="s">
        <v>1487</v>
      </c>
      <c r="IDY989" s="16" t="s">
        <v>1487</v>
      </c>
      <c r="IDZ989" s="16" t="s">
        <v>1487</v>
      </c>
      <c r="IEA989" s="16" t="s">
        <v>1487</v>
      </c>
      <c r="IEB989" s="16" t="s">
        <v>1487</v>
      </c>
      <c r="IEC989" s="16" t="s">
        <v>1487</v>
      </c>
      <c r="IED989" s="16" t="s">
        <v>1487</v>
      </c>
      <c r="IEE989" s="16" t="s">
        <v>1487</v>
      </c>
      <c r="IEF989" s="16" t="s">
        <v>1487</v>
      </c>
      <c r="IEG989" s="16" t="s">
        <v>1487</v>
      </c>
      <c r="IEH989" s="16" t="s">
        <v>1487</v>
      </c>
      <c r="IEI989" s="16" t="s">
        <v>1487</v>
      </c>
      <c r="IEJ989" s="16" t="s">
        <v>1487</v>
      </c>
      <c r="IEK989" s="16" t="s">
        <v>1487</v>
      </c>
      <c r="IEL989" s="16" t="s">
        <v>1487</v>
      </c>
      <c r="IEM989" s="16" t="s">
        <v>1487</v>
      </c>
      <c r="IEN989" s="16" t="s">
        <v>1487</v>
      </c>
      <c r="IEO989" s="16" t="s">
        <v>1487</v>
      </c>
      <c r="IEP989" s="16" t="s">
        <v>1487</v>
      </c>
      <c r="IEQ989" s="16" t="s">
        <v>1487</v>
      </c>
      <c r="IER989" s="16" t="s">
        <v>1487</v>
      </c>
      <c r="IES989" s="16" t="s">
        <v>1487</v>
      </c>
      <c r="IET989" s="16" t="s">
        <v>1487</v>
      </c>
      <c r="IEU989" s="16" t="s">
        <v>1487</v>
      </c>
      <c r="IEV989" s="16" t="s">
        <v>1487</v>
      </c>
      <c r="IEW989" s="16" t="s">
        <v>1487</v>
      </c>
      <c r="IEX989" s="16" t="s">
        <v>1487</v>
      </c>
      <c r="IEY989" s="16" t="s">
        <v>1487</v>
      </c>
      <c r="IEZ989" s="16" t="s">
        <v>1487</v>
      </c>
      <c r="IFA989" s="16" t="s">
        <v>1487</v>
      </c>
      <c r="IFB989" s="16" t="s">
        <v>1487</v>
      </c>
      <c r="IFC989" s="16" t="s">
        <v>1487</v>
      </c>
      <c r="IFD989" s="16" t="s">
        <v>1487</v>
      </c>
      <c r="IFE989" s="16" t="s">
        <v>1487</v>
      </c>
      <c r="IFF989" s="16" t="s">
        <v>1487</v>
      </c>
      <c r="IFG989" s="16" t="s">
        <v>1487</v>
      </c>
      <c r="IFH989" s="16" t="s">
        <v>1487</v>
      </c>
      <c r="IFI989" s="16" t="s">
        <v>1487</v>
      </c>
      <c r="IFJ989" s="16" t="s">
        <v>1487</v>
      </c>
      <c r="IFK989" s="16" t="s">
        <v>1487</v>
      </c>
      <c r="IFL989" s="16" t="s">
        <v>1487</v>
      </c>
      <c r="IFM989" s="16" t="s">
        <v>1487</v>
      </c>
      <c r="IFN989" s="16" t="s">
        <v>1487</v>
      </c>
      <c r="IFO989" s="16" t="s">
        <v>1487</v>
      </c>
      <c r="IFP989" s="16" t="s">
        <v>1487</v>
      </c>
      <c r="IFQ989" s="16" t="s">
        <v>1487</v>
      </c>
      <c r="IFR989" s="16" t="s">
        <v>1487</v>
      </c>
      <c r="IFS989" s="16" t="s">
        <v>1487</v>
      </c>
      <c r="IFT989" s="16" t="s">
        <v>1487</v>
      </c>
      <c r="IFU989" s="16" t="s">
        <v>1487</v>
      </c>
      <c r="IFV989" s="16" t="s">
        <v>1487</v>
      </c>
      <c r="IFW989" s="16" t="s">
        <v>1487</v>
      </c>
      <c r="IFX989" s="16" t="s">
        <v>1487</v>
      </c>
      <c r="IFY989" s="16" t="s">
        <v>1487</v>
      </c>
      <c r="IFZ989" s="16" t="s">
        <v>1487</v>
      </c>
      <c r="IGA989" s="16" t="s">
        <v>1487</v>
      </c>
      <c r="IGB989" s="16" t="s">
        <v>1487</v>
      </c>
      <c r="IGC989" s="16" t="s">
        <v>1487</v>
      </c>
      <c r="IGD989" s="16" t="s">
        <v>1487</v>
      </c>
      <c r="IGE989" s="16" t="s">
        <v>1487</v>
      </c>
      <c r="IGF989" s="16" t="s">
        <v>1487</v>
      </c>
      <c r="IGG989" s="16" t="s">
        <v>1487</v>
      </c>
      <c r="IGH989" s="16" t="s">
        <v>1487</v>
      </c>
      <c r="IGI989" s="16" t="s">
        <v>1487</v>
      </c>
      <c r="IGJ989" s="16" t="s">
        <v>1487</v>
      </c>
      <c r="IGK989" s="16" t="s">
        <v>1487</v>
      </c>
      <c r="IGL989" s="16" t="s">
        <v>1487</v>
      </c>
      <c r="IGM989" s="16" t="s">
        <v>1487</v>
      </c>
      <c r="IGN989" s="16" t="s">
        <v>1487</v>
      </c>
      <c r="IGO989" s="16" t="s">
        <v>1487</v>
      </c>
      <c r="IGP989" s="16" t="s">
        <v>1487</v>
      </c>
      <c r="IGQ989" s="16" t="s">
        <v>1487</v>
      </c>
      <c r="IGR989" s="16" t="s">
        <v>1487</v>
      </c>
      <c r="IGS989" s="16" t="s">
        <v>1487</v>
      </c>
      <c r="IGT989" s="16" t="s">
        <v>1487</v>
      </c>
      <c r="IGU989" s="16" t="s">
        <v>1487</v>
      </c>
      <c r="IGV989" s="16" t="s">
        <v>1487</v>
      </c>
      <c r="IGW989" s="16" t="s">
        <v>1487</v>
      </c>
      <c r="IGX989" s="16" t="s">
        <v>1487</v>
      </c>
      <c r="IGY989" s="16" t="s">
        <v>1487</v>
      </c>
      <c r="IGZ989" s="16" t="s">
        <v>1487</v>
      </c>
      <c r="IHA989" s="16" t="s">
        <v>1487</v>
      </c>
      <c r="IHB989" s="16" t="s">
        <v>1487</v>
      </c>
      <c r="IHC989" s="16" t="s">
        <v>1487</v>
      </c>
      <c r="IHD989" s="16" t="s">
        <v>1487</v>
      </c>
      <c r="IHE989" s="16" t="s">
        <v>1487</v>
      </c>
      <c r="IHF989" s="16" t="s">
        <v>1487</v>
      </c>
      <c r="IHG989" s="16" t="s">
        <v>1487</v>
      </c>
      <c r="IHH989" s="16" t="s">
        <v>1487</v>
      </c>
      <c r="IHI989" s="16" t="s">
        <v>1487</v>
      </c>
      <c r="IHJ989" s="16" t="s">
        <v>1487</v>
      </c>
      <c r="IHK989" s="16" t="s">
        <v>1487</v>
      </c>
      <c r="IHL989" s="16" t="s">
        <v>1487</v>
      </c>
      <c r="IHM989" s="16" t="s">
        <v>1487</v>
      </c>
      <c r="IHN989" s="16" t="s">
        <v>1487</v>
      </c>
      <c r="IHO989" s="16" t="s">
        <v>1487</v>
      </c>
      <c r="IHP989" s="16" t="s">
        <v>1487</v>
      </c>
      <c r="IHQ989" s="16" t="s">
        <v>1487</v>
      </c>
      <c r="IHR989" s="16" t="s">
        <v>1487</v>
      </c>
      <c r="IHS989" s="16" t="s">
        <v>1487</v>
      </c>
      <c r="IHT989" s="16" t="s">
        <v>1487</v>
      </c>
      <c r="IHU989" s="16" t="s">
        <v>1487</v>
      </c>
      <c r="IHV989" s="16" t="s">
        <v>1487</v>
      </c>
      <c r="IHW989" s="16" t="s">
        <v>1487</v>
      </c>
      <c r="IHX989" s="16" t="s">
        <v>1487</v>
      </c>
      <c r="IHY989" s="16" t="s">
        <v>1487</v>
      </c>
      <c r="IHZ989" s="16" t="s">
        <v>1487</v>
      </c>
      <c r="IIA989" s="16" t="s">
        <v>1487</v>
      </c>
      <c r="IIB989" s="16" t="s">
        <v>1487</v>
      </c>
      <c r="IIC989" s="16" t="s">
        <v>1487</v>
      </c>
      <c r="IID989" s="16" t="s">
        <v>1487</v>
      </c>
      <c r="IIE989" s="16" t="s">
        <v>1487</v>
      </c>
      <c r="IIF989" s="16" t="s">
        <v>1487</v>
      </c>
      <c r="IIG989" s="16" t="s">
        <v>1487</v>
      </c>
      <c r="IIH989" s="16" t="s">
        <v>1487</v>
      </c>
      <c r="III989" s="16" t="s">
        <v>1487</v>
      </c>
      <c r="IIJ989" s="16" t="s">
        <v>1487</v>
      </c>
      <c r="IIK989" s="16" t="s">
        <v>1487</v>
      </c>
      <c r="IIL989" s="16" t="s">
        <v>1487</v>
      </c>
      <c r="IIM989" s="16" t="s">
        <v>1487</v>
      </c>
      <c r="IIN989" s="16" t="s">
        <v>1487</v>
      </c>
      <c r="IIO989" s="16" t="s">
        <v>1487</v>
      </c>
      <c r="IIP989" s="16" t="s">
        <v>1487</v>
      </c>
      <c r="IIQ989" s="16" t="s">
        <v>1487</v>
      </c>
      <c r="IIR989" s="16" t="s">
        <v>1487</v>
      </c>
      <c r="IIS989" s="16" t="s">
        <v>1487</v>
      </c>
      <c r="IIT989" s="16" t="s">
        <v>1487</v>
      </c>
      <c r="IIU989" s="16" t="s">
        <v>1487</v>
      </c>
      <c r="IIV989" s="16" t="s">
        <v>1487</v>
      </c>
      <c r="IIW989" s="16" t="s">
        <v>1487</v>
      </c>
      <c r="IIX989" s="16" t="s">
        <v>1487</v>
      </c>
      <c r="IIY989" s="16" t="s">
        <v>1487</v>
      </c>
      <c r="IIZ989" s="16" t="s">
        <v>1487</v>
      </c>
      <c r="IJA989" s="16" t="s">
        <v>1487</v>
      </c>
      <c r="IJB989" s="16" t="s">
        <v>1487</v>
      </c>
      <c r="IJC989" s="16" t="s">
        <v>1487</v>
      </c>
      <c r="IJD989" s="16" t="s">
        <v>1487</v>
      </c>
      <c r="IJE989" s="16" t="s">
        <v>1487</v>
      </c>
      <c r="IJF989" s="16" t="s">
        <v>1487</v>
      </c>
      <c r="IJG989" s="16" t="s">
        <v>1487</v>
      </c>
      <c r="IJH989" s="16" t="s">
        <v>1487</v>
      </c>
      <c r="IJI989" s="16" t="s">
        <v>1487</v>
      </c>
      <c r="IJJ989" s="16" t="s">
        <v>1487</v>
      </c>
      <c r="IJK989" s="16" t="s">
        <v>1487</v>
      </c>
      <c r="IJL989" s="16" t="s">
        <v>1487</v>
      </c>
      <c r="IJM989" s="16" t="s">
        <v>1487</v>
      </c>
      <c r="IJN989" s="16" t="s">
        <v>1487</v>
      </c>
      <c r="IJO989" s="16" t="s">
        <v>1487</v>
      </c>
      <c r="IJP989" s="16" t="s">
        <v>1487</v>
      </c>
      <c r="IJQ989" s="16" t="s">
        <v>1487</v>
      </c>
      <c r="IJR989" s="16" t="s">
        <v>1487</v>
      </c>
      <c r="IJS989" s="16" t="s">
        <v>1487</v>
      </c>
      <c r="IJT989" s="16" t="s">
        <v>1487</v>
      </c>
      <c r="IJU989" s="16" t="s">
        <v>1487</v>
      </c>
      <c r="IJV989" s="16" t="s">
        <v>1487</v>
      </c>
      <c r="IJW989" s="16" t="s">
        <v>1487</v>
      </c>
      <c r="IJX989" s="16" t="s">
        <v>1487</v>
      </c>
      <c r="IJY989" s="16" t="s">
        <v>1487</v>
      </c>
      <c r="IJZ989" s="16" t="s">
        <v>1487</v>
      </c>
      <c r="IKA989" s="16" t="s">
        <v>1487</v>
      </c>
      <c r="IKB989" s="16" t="s">
        <v>1487</v>
      </c>
      <c r="IKC989" s="16" t="s">
        <v>1487</v>
      </c>
      <c r="IKD989" s="16" t="s">
        <v>1487</v>
      </c>
      <c r="IKE989" s="16" t="s">
        <v>1487</v>
      </c>
      <c r="IKF989" s="16" t="s">
        <v>1487</v>
      </c>
      <c r="IKG989" s="16" t="s">
        <v>1487</v>
      </c>
      <c r="IKH989" s="16" t="s">
        <v>1487</v>
      </c>
      <c r="IKI989" s="16" t="s">
        <v>1487</v>
      </c>
      <c r="IKJ989" s="16" t="s">
        <v>1487</v>
      </c>
      <c r="IKK989" s="16" t="s">
        <v>1487</v>
      </c>
      <c r="IKL989" s="16" t="s">
        <v>1487</v>
      </c>
      <c r="IKM989" s="16" t="s">
        <v>1487</v>
      </c>
      <c r="IKN989" s="16" t="s">
        <v>1487</v>
      </c>
      <c r="IKO989" s="16" t="s">
        <v>1487</v>
      </c>
      <c r="IKP989" s="16" t="s">
        <v>1487</v>
      </c>
      <c r="IKQ989" s="16" t="s">
        <v>1487</v>
      </c>
      <c r="IKR989" s="16" t="s">
        <v>1487</v>
      </c>
      <c r="IKS989" s="16" t="s">
        <v>1487</v>
      </c>
      <c r="IKT989" s="16" t="s">
        <v>1487</v>
      </c>
      <c r="IKU989" s="16" t="s">
        <v>1487</v>
      </c>
      <c r="IKV989" s="16" t="s">
        <v>1487</v>
      </c>
      <c r="IKW989" s="16" t="s">
        <v>1487</v>
      </c>
      <c r="IKX989" s="16" t="s">
        <v>1487</v>
      </c>
      <c r="IKY989" s="16" t="s">
        <v>1487</v>
      </c>
      <c r="IKZ989" s="16" t="s">
        <v>1487</v>
      </c>
      <c r="ILA989" s="16" t="s">
        <v>1487</v>
      </c>
      <c r="ILB989" s="16" t="s">
        <v>1487</v>
      </c>
      <c r="ILC989" s="16" t="s">
        <v>1487</v>
      </c>
      <c r="ILD989" s="16" t="s">
        <v>1487</v>
      </c>
      <c r="ILE989" s="16" t="s">
        <v>1487</v>
      </c>
      <c r="ILF989" s="16" t="s">
        <v>1487</v>
      </c>
      <c r="ILG989" s="16" t="s">
        <v>1487</v>
      </c>
      <c r="ILH989" s="16" t="s">
        <v>1487</v>
      </c>
      <c r="ILI989" s="16" t="s">
        <v>1487</v>
      </c>
      <c r="ILJ989" s="16" t="s">
        <v>1487</v>
      </c>
      <c r="ILK989" s="16" t="s">
        <v>1487</v>
      </c>
      <c r="ILL989" s="16" t="s">
        <v>1487</v>
      </c>
      <c r="ILM989" s="16" t="s">
        <v>1487</v>
      </c>
      <c r="ILN989" s="16" t="s">
        <v>1487</v>
      </c>
      <c r="ILO989" s="16" t="s">
        <v>1487</v>
      </c>
      <c r="ILP989" s="16" t="s">
        <v>1487</v>
      </c>
      <c r="ILQ989" s="16" t="s">
        <v>1487</v>
      </c>
      <c r="ILR989" s="16" t="s">
        <v>1487</v>
      </c>
      <c r="ILS989" s="16" t="s">
        <v>1487</v>
      </c>
      <c r="ILT989" s="16" t="s">
        <v>1487</v>
      </c>
      <c r="ILU989" s="16" t="s">
        <v>1487</v>
      </c>
      <c r="ILV989" s="16" t="s">
        <v>1487</v>
      </c>
      <c r="ILW989" s="16" t="s">
        <v>1487</v>
      </c>
      <c r="ILX989" s="16" t="s">
        <v>1487</v>
      </c>
      <c r="ILY989" s="16" t="s">
        <v>1487</v>
      </c>
      <c r="ILZ989" s="16" t="s">
        <v>1487</v>
      </c>
      <c r="IMA989" s="16" t="s">
        <v>1487</v>
      </c>
      <c r="IMB989" s="16" t="s">
        <v>1487</v>
      </c>
      <c r="IMC989" s="16" t="s">
        <v>1487</v>
      </c>
      <c r="IMD989" s="16" t="s">
        <v>1487</v>
      </c>
      <c r="IME989" s="16" t="s">
        <v>1487</v>
      </c>
      <c r="IMF989" s="16" t="s">
        <v>1487</v>
      </c>
      <c r="IMG989" s="16" t="s">
        <v>1487</v>
      </c>
      <c r="IMH989" s="16" t="s">
        <v>1487</v>
      </c>
      <c r="IMI989" s="16" t="s">
        <v>1487</v>
      </c>
      <c r="IMJ989" s="16" t="s">
        <v>1487</v>
      </c>
      <c r="IMK989" s="16" t="s">
        <v>1487</v>
      </c>
      <c r="IML989" s="16" t="s">
        <v>1487</v>
      </c>
      <c r="IMM989" s="16" t="s">
        <v>1487</v>
      </c>
      <c r="IMN989" s="16" t="s">
        <v>1487</v>
      </c>
      <c r="IMO989" s="16" t="s">
        <v>1487</v>
      </c>
      <c r="IMP989" s="16" t="s">
        <v>1487</v>
      </c>
      <c r="IMQ989" s="16" t="s">
        <v>1487</v>
      </c>
      <c r="IMR989" s="16" t="s">
        <v>1487</v>
      </c>
      <c r="IMS989" s="16" t="s">
        <v>1487</v>
      </c>
      <c r="IMT989" s="16" t="s">
        <v>1487</v>
      </c>
      <c r="IMU989" s="16" t="s">
        <v>1487</v>
      </c>
      <c r="IMV989" s="16" t="s">
        <v>1487</v>
      </c>
      <c r="IMW989" s="16" t="s">
        <v>1487</v>
      </c>
      <c r="IMX989" s="16" t="s">
        <v>1487</v>
      </c>
      <c r="IMY989" s="16" t="s">
        <v>1487</v>
      </c>
      <c r="IMZ989" s="16" t="s">
        <v>1487</v>
      </c>
      <c r="INA989" s="16" t="s">
        <v>1487</v>
      </c>
      <c r="INB989" s="16" t="s">
        <v>1487</v>
      </c>
      <c r="INC989" s="16" t="s">
        <v>1487</v>
      </c>
      <c r="IND989" s="16" t="s">
        <v>1487</v>
      </c>
      <c r="INE989" s="16" t="s">
        <v>1487</v>
      </c>
      <c r="INF989" s="16" t="s">
        <v>1487</v>
      </c>
      <c r="ING989" s="16" t="s">
        <v>1487</v>
      </c>
      <c r="INH989" s="16" t="s">
        <v>1487</v>
      </c>
      <c r="INI989" s="16" t="s">
        <v>1487</v>
      </c>
      <c r="INJ989" s="16" t="s">
        <v>1487</v>
      </c>
      <c r="INK989" s="16" t="s">
        <v>1487</v>
      </c>
      <c r="INL989" s="16" t="s">
        <v>1487</v>
      </c>
      <c r="INM989" s="16" t="s">
        <v>1487</v>
      </c>
      <c r="INN989" s="16" t="s">
        <v>1487</v>
      </c>
      <c r="INO989" s="16" t="s">
        <v>1487</v>
      </c>
      <c r="INP989" s="16" t="s">
        <v>1487</v>
      </c>
      <c r="INQ989" s="16" t="s">
        <v>1487</v>
      </c>
      <c r="INR989" s="16" t="s">
        <v>1487</v>
      </c>
      <c r="INS989" s="16" t="s">
        <v>1487</v>
      </c>
      <c r="INT989" s="16" t="s">
        <v>1487</v>
      </c>
      <c r="INU989" s="16" t="s">
        <v>1487</v>
      </c>
      <c r="INV989" s="16" t="s">
        <v>1487</v>
      </c>
      <c r="INW989" s="16" t="s">
        <v>1487</v>
      </c>
      <c r="INX989" s="16" t="s">
        <v>1487</v>
      </c>
      <c r="INY989" s="16" t="s">
        <v>1487</v>
      </c>
      <c r="INZ989" s="16" t="s">
        <v>1487</v>
      </c>
      <c r="IOA989" s="16" t="s">
        <v>1487</v>
      </c>
      <c r="IOB989" s="16" t="s">
        <v>1487</v>
      </c>
      <c r="IOC989" s="16" t="s">
        <v>1487</v>
      </c>
      <c r="IOD989" s="16" t="s">
        <v>1487</v>
      </c>
      <c r="IOE989" s="16" t="s">
        <v>1487</v>
      </c>
      <c r="IOF989" s="16" t="s">
        <v>1487</v>
      </c>
      <c r="IOG989" s="16" t="s">
        <v>1487</v>
      </c>
      <c r="IOH989" s="16" t="s">
        <v>1487</v>
      </c>
      <c r="IOI989" s="16" t="s">
        <v>1487</v>
      </c>
      <c r="IOJ989" s="16" t="s">
        <v>1487</v>
      </c>
      <c r="IOK989" s="16" t="s">
        <v>1487</v>
      </c>
      <c r="IOL989" s="16" t="s">
        <v>1487</v>
      </c>
      <c r="IOM989" s="16" t="s">
        <v>1487</v>
      </c>
      <c r="ION989" s="16" t="s">
        <v>1487</v>
      </c>
      <c r="IOO989" s="16" t="s">
        <v>1487</v>
      </c>
      <c r="IOP989" s="16" t="s">
        <v>1487</v>
      </c>
      <c r="IOQ989" s="16" t="s">
        <v>1487</v>
      </c>
      <c r="IOR989" s="16" t="s">
        <v>1487</v>
      </c>
      <c r="IOS989" s="16" t="s">
        <v>1487</v>
      </c>
      <c r="IOT989" s="16" t="s">
        <v>1487</v>
      </c>
      <c r="IOU989" s="16" t="s">
        <v>1487</v>
      </c>
      <c r="IOV989" s="16" t="s">
        <v>1487</v>
      </c>
      <c r="IOW989" s="16" t="s">
        <v>1487</v>
      </c>
      <c r="IOX989" s="16" t="s">
        <v>1487</v>
      </c>
      <c r="IOY989" s="16" t="s">
        <v>1487</v>
      </c>
      <c r="IOZ989" s="16" t="s">
        <v>1487</v>
      </c>
      <c r="IPA989" s="16" t="s">
        <v>1487</v>
      </c>
      <c r="IPB989" s="16" t="s">
        <v>1487</v>
      </c>
      <c r="IPC989" s="16" t="s">
        <v>1487</v>
      </c>
      <c r="IPD989" s="16" t="s">
        <v>1487</v>
      </c>
      <c r="IPE989" s="16" t="s">
        <v>1487</v>
      </c>
      <c r="IPF989" s="16" t="s">
        <v>1487</v>
      </c>
      <c r="IPG989" s="16" t="s">
        <v>1487</v>
      </c>
      <c r="IPH989" s="16" t="s">
        <v>1487</v>
      </c>
      <c r="IPI989" s="16" t="s">
        <v>1487</v>
      </c>
      <c r="IPJ989" s="16" t="s">
        <v>1487</v>
      </c>
      <c r="IPK989" s="16" t="s">
        <v>1487</v>
      </c>
      <c r="IPL989" s="16" t="s">
        <v>1487</v>
      </c>
      <c r="IPM989" s="16" t="s">
        <v>1487</v>
      </c>
      <c r="IPN989" s="16" t="s">
        <v>1487</v>
      </c>
      <c r="IPO989" s="16" t="s">
        <v>1487</v>
      </c>
      <c r="IPP989" s="16" t="s">
        <v>1487</v>
      </c>
      <c r="IPQ989" s="16" t="s">
        <v>1487</v>
      </c>
      <c r="IPR989" s="16" t="s">
        <v>1487</v>
      </c>
      <c r="IPS989" s="16" t="s">
        <v>1487</v>
      </c>
      <c r="IPT989" s="16" t="s">
        <v>1487</v>
      </c>
      <c r="IPU989" s="16" t="s">
        <v>1487</v>
      </c>
      <c r="IPV989" s="16" t="s">
        <v>1487</v>
      </c>
      <c r="IPW989" s="16" t="s">
        <v>1487</v>
      </c>
      <c r="IPX989" s="16" t="s">
        <v>1487</v>
      </c>
      <c r="IPY989" s="16" t="s">
        <v>1487</v>
      </c>
      <c r="IPZ989" s="16" t="s">
        <v>1487</v>
      </c>
      <c r="IQA989" s="16" t="s">
        <v>1487</v>
      </c>
      <c r="IQB989" s="16" t="s">
        <v>1487</v>
      </c>
      <c r="IQC989" s="16" t="s">
        <v>1487</v>
      </c>
      <c r="IQD989" s="16" t="s">
        <v>1487</v>
      </c>
      <c r="IQE989" s="16" t="s">
        <v>1487</v>
      </c>
      <c r="IQF989" s="16" t="s">
        <v>1487</v>
      </c>
      <c r="IQG989" s="16" t="s">
        <v>1487</v>
      </c>
      <c r="IQH989" s="16" t="s">
        <v>1487</v>
      </c>
      <c r="IQI989" s="16" t="s">
        <v>1487</v>
      </c>
      <c r="IQJ989" s="16" t="s">
        <v>1487</v>
      </c>
      <c r="IQK989" s="16" t="s">
        <v>1487</v>
      </c>
      <c r="IQL989" s="16" t="s">
        <v>1487</v>
      </c>
      <c r="IQM989" s="16" t="s">
        <v>1487</v>
      </c>
      <c r="IQN989" s="16" t="s">
        <v>1487</v>
      </c>
      <c r="IQO989" s="16" t="s">
        <v>1487</v>
      </c>
      <c r="IQP989" s="16" t="s">
        <v>1487</v>
      </c>
      <c r="IQQ989" s="16" t="s">
        <v>1487</v>
      </c>
      <c r="IQR989" s="16" t="s">
        <v>1487</v>
      </c>
      <c r="IQS989" s="16" t="s">
        <v>1487</v>
      </c>
      <c r="IQT989" s="16" t="s">
        <v>1487</v>
      </c>
      <c r="IQU989" s="16" t="s">
        <v>1487</v>
      </c>
      <c r="IQV989" s="16" t="s">
        <v>1487</v>
      </c>
      <c r="IQW989" s="16" t="s">
        <v>1487</v>
      </c>
      <c r="IQX989" s="16" t="s">
        <v>1487</v>
      </c>
      <c r="IQY989" s="16" t="s">
        <v>1487</v>
      </c>
      <c r="IQZ989" s="16" t="s">
        <v>1487</v>
      </c>
      <c r="IRA989" s="16" t="s">
        <v>1487</v>
      </c>
      <c r="IRB989" s="16" t="s">
        <v>1487</v>
      </c>
      <c r="IRC989" s="16" t="s">
        <v>1487</v>
      </c>
      <c r="IRD989" s="16" t="s">
        <v>1487</v>
      </c>
      <c r="IRE989" s="16" t="s">
        <v>1487</v>
      </c>
      <c r="IRF989" s="16" t="s">
        <v>1487</v>
      </c>
      <c r="IRG989" s="16" t="s">
        <v>1487</v>
      </c>
      <c r="IRH989" s="16" t="s">
        <v>1487</v>
      </c>
      <c r="IRI989" s="16" t="s">
        <v>1487</v>
      </c>
      <c r="IRJ989" s="16" t="s">
        <v>1487</v>
      </c>
      <c r="IRK989" s="16" t="s">
        <v>1487</v>
      </c>
      <c r="IRL989" s="16" t="s">
        <v>1487</v>
      </c>
      <c r="IRM989" s="16" t="s">
        <v>1487</v>
      </c>
      <c r="IRN989" s="16" t="s">
        <v>1487</v>
      </c>
      <c r="IRO989" s="16" t="s">
        <v>1487</v>
      </c>
      <c r="IRP989" s="16" t="s">
        <v>1487</v>
      </c>
      <c r="IRQ989" s="16" t="s">
        <v>1487</v>
      </c>
      <c r="IRR989" s="16" t="s">
        <v>1487</v>
      </c>
      <c r="IRS989" s="16" t="s">
        <v>1487</v>
      </c>
      <c r="IRT989" s="16" t="s">
        <v>1487</v>
      </c>
      <c r="IRU989" s="16" t="s">
        <v>1487</v>
      </c>
      <c r="IRV989" s="16" t="s">
        <v>1487</v>
      </c>
      <c r="IRW989" s="16" t="s">
        <v>1487</v>
      </c>
      <c r="IRX989" s="16" t="s">
        <v>1487</v>
      </c>
      <c r="IRY989" s="16" t="s">
        <v>1487</v>
      </c>
      <c r="IRZ989" s="16" t="s">
        <v>1487</v>
      </c>
      <c r="ISA989" s="16" t="s">
        <v>1487</v>
      </c>
      <c r="ISB989" s="16" t="s">
        <v>1487</v>
      </c>
      <c r="ISC989" s="16" t="s">
        <v>1487</v>
      </c>
      <c r="ISD989" s="16" t="s">
        <v>1487</v>
      </c>
      <c r="ISE989" s="16" t="s">
        <v>1487</v>
      </c>
      <c r="ISF989" s="16" t="s">
        <v>1487</v>
      </c>
      <c r="ISG989" s="16" t="s">
        <v>1487</v>
      </c>
      <c r="ISH989" s="16" t="s">
        <v>1487</v>
      </c>
      <c r="ISI989" s="16" t="s">
        <v>1487</v>
      </c>
      <c r="ISJ989" s="16" t="s">
        <v>1487</v>
      </c>
      <c r="ISK989" s="16" t="s">
        <v>1487</v>
      </c>
      <c r="ISL989" s="16" t="s">
        <v>1487</v>
      </c>
      <c r="ISM989" s="16" t="s">
        <v>1487</v>
      </c>
      <c r="ISN989" s="16" t="s">
        <v>1487</v>
      </c>
      <c r="ISO989" s="16" t="s">
        <v>1487</v>
      </c>
      <c r="ISP989" s="16" t="s">
        <v>1487</v>
      </c>
      <c r="ISQ989" s="16" t="s">
        <v>1487</v>
      </c>
      <c r="ISR989" s="16" t="s">
        <v>1487</v>
      </c>
      <c r="ISS989" s="16" t="s">
        <v>1487</v>
      </c>
      <c r="IST989" s="16" t="s">
        <v>1487</v>
      </c>
      <c r="ISU989" s="16" t="s">
        <v>1487</v>
      </c>
      <c r="ISV989" s="16" t="s">
        <v>1487</v>
      </c>
      <c r="ISW989" s="16" t="s">
        <v>1487</v>
      </c>
      <c r="ISX989" s="16" t="s">
        <v>1487</v>
      </c>
      <c r="ISY989" s="16" t="s">
        <v>1487</v>
      </c>
      <c r="ISZ989" s="16" t="s">
        <v>1487</v>
      </c>
      <c r="ITA989" s="16" t="s">
        <v>1487</v>
      </c>
      <c r="ITB989" s="16" t="s">
        <v>1487</v>
      </c>
      <c r="ITC989" s="16" t="s">
        <v>1487</v>
      </c>
      <c r="ITD989" s="16" t="s">
        <v>1487</v>
      </c>
      <c r="ITE989" s="16" t="s">
        <v>1487</v>
      </c>
      <c r="ITF989" s="16" t="s">
        <v>1487</v>
      </c>
      <c r="ITG989" s="16" t="s">
        <v>1487</v>
      </c>
      <c r="ITH989" s="16" t="s">
        <v>1487</v>
      </c>
      <c r="ITI989" s="16" t="s">
        <v>1487</v>
      </c>
      <c r="ITJ989" s="16" t="s">
        <v>1487</v>
      </c>
      <c r="ITK989" s="16" t="s">
        <v>1487</v>
      </c>
      <c r="ITL989" s="16" t="s">
        <v>1487</v>
      </c>
      <c r="ITM989" s="16" t="s">
        <v>1487</v>
      </c>
      <c r="ITN989" s="16" t="s">
        <v>1487</v>
      </c>
      <c r="ITO989" s="16" t="s">
        <v>1487</v>
      </c>
      <c r="ITP989" s="16" t="s">
        <v>1487</v>
      </c>
      <c r="ITQ989" s="16" t="s">
        <v>1487</v>
      </c>
      <c r="ITR989" s="16" t="s">
        <v>1487</v>
      </c>
      <c r="ITS989" s="16" t="s">
        <v>1487</v>
      </c>
      <c r="ITT989" s="16" t="s">
        <v>1487</v>
      </c>
      <c r="ITU989" s="16" t="s">
        <v>1487</v>
      </c>
      <c r="ITV989" s="16" t="s">
        <v>1487</v>
      </c>
      <c r="ITW989" s="16" t="s">
        <v>1487</v>
      </c>
      <c r="ITX989" s="16" t="s">
        <v>1487</v>
      </c>
      <c r="ITY989" s="16" t="s">
        <v>1487</v>
      </c>
      <c r="ITZ989" s="16" t="s">
        <v>1487</v>
      </c>
      <c r="IUA989" s="16" t="s">
        <v>1487</v>
      </c>
      <c r="IUB989" s="16" t="s">
        <v>1487</v>
      </c>
      <c r="IUC989" s="16" t="s">
        <v>1487</v>
      </c>
      <c r="IUD989" s="16" t="s">
        <v>1487</v>
      </c>
      <c r="IUE989" s="16" t="s">
        <v>1487</v>
      </c>
      <c r="IUF989" s="16" t="s">
        <v>1487</v>
      </c>
      <c r="IUG989" s="16" t="s">
        <v>1487</v>
      </c>
      <c r="IUH989" s="16" t="s">
        <v>1487</v>
      </c>
      <c r="IUI989" s="16" t="s">
        <v>1487</v>
      </c>
      <c r="IUJ989" s="16" t="s">
        <v>1487</v>
      </c>
      <c r="IUK989" s="16" t="s">
        <v>1487</v>
      </c>
      <c r="IUL989" s="16" t="s">
        <v>1487</v>
      </c>
      <c r="IUM989" s="16" t="s">
        <v>1487</v>
      </c>
      <c r="IUN989" s="16" t="s">
        <v>1487</v>
      </c>
      <c r="IUO989" s="16" t="s">
        <v>1487</v>
      </c>
      <c r="IUP989" s="16" t="s">
        <v>1487</v>
      </c>
      <c r="IUQ989" s="16" t="s">
        <v>1487</v>
      </c>
      <c r="IUR989" s="16" t="s">
        <v>1487</v>
      </c>
      <c r="IUS989" s="16" t="s">
        <v>1487</v>
      </c>
      <c r="IUT989" s="16" t="s">
        <v>1487</v>
      </c>
      <c r="IUU989" s="16" t="s">
        <v>1487</v>
      </c>
      <c r="IUV989" s="16" t="s">
        <v>1487</v>
      </c>
      <c r="IUW989" s="16" t="s">
        <v>1487</v>
      </c>
      <c r="IUX989" s="16" t="s">
        <v>1487</v>
      </c>
      <c r="IUY989" s="16" t="s">
        <v>1487</v>
      </c>
      <c r="IUZ989" s="16" t="s">
        <v>1487</v>
      </c>
      <c r="IVA989" s="16" t="s">
        <v>1487</v>
      </c>
      <c r="IVB989" s="16" t="s">
        <v>1487</v>
      </c>
      <c r="IVC989" s="16" t="s">
        <v>1487</v>
      </c>
      <c r="IVD989" s="16" t="s">
        <v>1487</v>
      </c>
      <c r="IVE989" s="16" t="s">
        <v>1487</v>
      </c>
      <c r="IVF989" s="16" t="s">
        <v>1487</v>
      </c>
      <c r="IVG989" s="16" t="s">
        <v>1487</v>
      </c>
      <c r="IVH989" s="16" t="s">
        <v>1487</v>
      </c>
      <c r="IVI989" s="16" t="s">
        <v>1487</v>
      </c>
      <c r="IVJ989" s="16" t="s">
        <v>1487</v>
      </c>
      <c r="IVK989" s="16" t="s">
        <v>1487</v>
      </c>
      <c r="IVL989" s="16" t="s">
        <v>1487</v>
      </c>
      <c r="IVM989" s="16" t="s">
        <v>1487</v>
      </c>
      <c r="IVN989" s="16" t="s">
        <v>1487</v>
      </c>
      <c r="IVO989" s="16" t="s">
        <v>1487</v>
      </c>
      <c r="IVP989" s="16" t="s">
        <v>1487</v>
      </c>
      <c r="IVQ989" s="16" t="s">
        <v>1487</v>
      </c>
      <c r="IVR989" s="16" t="s">
        <v>1487</v>
      </c>
      <c r="IVS989" s="16" t="s">
        <v>1487</v>
      </c>
      <c r="IVT989" s="16" t="s">
        <v>1487</v>
      </c>
      <c r="IVU989" s="16" t="s">
        <v>1487</v>
      </c>
      <c r="IVV989" s="16" t="s">
        <v>1487</v>
      </c>
      <c r="IVW989" s="16" t="s">
        <v>1487</v>
      </c>
      <c r="IVX989" s="16" t="s">
        <v>1487</v>
      </c>
      <c r="IVY989" s="16" t="s">
        <v>1487</v>
      </c>
      <c r="IVZ989" s="16" t="s">
        <v>1487</v>
      </c>
      <c r="IWA989" s="16" t="s">
        <v>1487</v>
      </c>
      <c r="IWB989" s="16" t="s">
        <v>1487</v>
      </c>
      <c r="IWC989" s="16" t="s">
        <v>1487</v>
      </c>
      <c r="IWD989" s="16" t="s">
        <v>1487</v>
      </c>
      <c r="IWE989" s="16" t="s">
        <v>1487</v>
      </c>
      <c r="IWF989" s="16" t="s">
        <v>1487</v>
      </c>
      <c r="IWG989" s="16" t="s">
        <v>1487</v>
      </c>
      <c r="IWH989" s="16" t="s">
        <v>1487</v>
      </c>
      <c r="IWI989" s="16" t="s">
        <v>1487</v>
      </c>
      <c r="IWJ989" s="16" t="s">
        <v>1487</v>
      </c>
      <c r="IWK989" s="16" t="s">
        <v>1487</v>
      </c>
      <c r="IWL989" s="16" t="s">
        <v>1487</v>
      </c>
      <c r="IWM989" s="16" t="s">
        <v>1487</v>
      </c>
      <c r="IWN989" s="16" t="s">
        <v>1487</v>
      </c>
      <c r="IWO989" s="16" t="s">
        <v>1487</v>
      </c>
      <c r="IWP989" s="16" t="s">
        <v>1487</v>
      </c>
      <c r="IWQ989" s="16" t="s">
        <v>1487</v>
      </c>
      <c r="IWR989" s="16" t="s">
        <v>1487</v>
      </c>
      <c r="IWS989" s="16" t="s">
        <v>1487</v>
      </c>
      <c r="IWT989" s="16" t="s">
        <v>1487</v>
      </c>
      <c r="IWU989" s="16" t="s">
        <v>1487</v>
      </c>
      <c r="IWV989" s="16" t="s">
        <v>1487</v>
      </c>
      <c r="IWW989" s="16" t="s">
        <v>1487</v>
      </c>
      <c r="IWX989" s="16" t="s">
        <v>1487</v>
      </c>
      <c r="IWY989" s="16" t="s">
        <v>1487</v>
      </c>
      <c r="IWZ989" s="16" t="s">
        <v>1487</v>
      </c>
      <c r="IXA989" s="16" t="s">
        <v>1487</v>
      </c>
      <c r="IXB989" s="16" t="s">
        <v>1487</v>
      </c>
      <c r="IXC989" s="16" t="s">
        <v>1487</v>
      </c>
      <c r="IXD989" s="16" t="s">
        <v>1487</v>
      </c>
      <c r="IXE989" s="16" t="s">
        <v>1487</v>
      </c>
      <c r="IXF989" s="16" t="s">
        <v>1487</v>
      </c>
      <c r="IXG989" s="16" t="s">
        <v>1487</v>
      </c>
      <c r="IXH989" s="16" t="s">
        <v>1487</v>
      </c>
      <c r="IXI989" s="16" t="s">
        <v>1487</v>
      </c>
      <c r="IXJ989" s="16" t="s">
        <v>1487</v>
      </c>
      <c r="IXK989" s="16" t="s">
        <v>1487</v>
      </c>
      <c r="IXL989" s="16" t="s">
        <v>1487</v>
      </c>
      <c r="IXM989" s="16" t="s">
        <v>1487</v>
      </c>
      <c r="IXN989" s="16" t="s">
        <v>1487</v>
      </c>
      <c r="IXO989" s="16" t="s">
        <v>1487</v>
      </c>
      <c r="IXP989" s="16" t="s">
        <v>1487</v>
      </c>
      <c r="IXQ989" s="16" t="s">
        <v>1487</v>
      </c>
      <c r="IXR989" s="16" t="s">
        <v>1487</v>
      </c>
      <c r="IXS989" s="16" t="s">
        <v>1487</v>
      </c>
      <c r="IXT989" s="16" t="s">
        <v>1487</v>
      </c>
      <c r="IXU989" s="16" t="s">
        <v>1487</v>
      </c>
      <c r="IXV989" s="16" t="s">
        <v>1487</v>
      </c>
      <c r="IXW989" s="16" t="s">
        <v>1487</v>
      </c>
      <c r="IXX989" s="16" t="s">
        <v>1487</v>
      </c>
      <c r="IXY989" s="16" t="s">
        <v>1487</v>
      </c>
      <c r="IXZ989" s="16" t="s">
        <v>1487</v>
      </c>
      <c r="IYA989" s="16" t="s">
        <v>1487</v>
      </c>
      <c r="IYB989" s="16" t="s">
        <v>1487</v>
      </c>
      <c r="IYC989" s="16" t="s">
        <v>1487</v>
      </c>
      <c r="IYD989" s="16" t="s">
        <v>1487</v>
      </c>
      <c r="IYE989" s="16" t="s">
        <v>1487</v>
      </c>
      <c r="IYF989" s="16" t="s">
        <v>1487</v>
      </c>
      <c r="IYG989" s="16" t="s">
        <v>1487</v>
      </c>
      <c r="IYH989" s="16" t="s">
        <v>1487</v>
      </c>
      <c r="IYI989" s="16" t="s">
        <v>1487</v>
      </c>
      <c r="IYJ989" s="16" t="s">
        <v>1487</v>
      </c>
      <c r="IYK989" s="16" t="s">
        <v>1487</v>
      </c>
      <c r="IYL989" s="16" t="s">
        <v>1487</v>
      </c>
      <c r="IYM989" s="16" t="s">
        <v>1487</v>
      </c>
      <c r="IYN989" s="16" t="s">
        <v>1487</v>
      </c>
      <c r="IYO989" s="16" t="s">
        <v>1487</v>
      </c>
      <c r="IYP989" s="16" t="s">
        <v>1487</v>
      </c>
      <c r="IYQ989" s="16" t="s">
        <v>1487</v>
      </c>
      <c r="IYR989" s="16" t="s">
        <v>1487</v>
      </c>
      <c r="IYS989" s="16" t="s">
        <v>1487</v>
      </c>
      <c r="IYT989" s="16" t="s">
        <v>1487</v>
      </c>
      <c r="IYU989" s="16" t="s">
        <v>1487</v>
      </c>
      <c r="IYV989" s="16" t="s">
        <v>1487</v>
      </c>
      <c r="IYW989" s="16" t="s">
        <v>1487</v>
      </c>
      <c r="IYX989" s="16" t="s">
        <v>1487</v>
      </c>
      <c r="IYY989" s="16" t="s">
        <v>1487</v>
      </c>
      <c r="IYZ989" s="16" t="s">
        <v>1487</v>
      </c>
      <c r="IZA989" s="16" t="s">
        <v>1487</v>
      </c>
      <c r="IZB989" s="16" t="s">
        <v>1487</v>
      </c>
      <c r="IZC989" s="16" t="s">
        <v>1487</v>
      </c>
      <c r="IZD989" s="16" t="s">
        <v>1487</v>
      </c>
      <c r="IZE989" s="16" t="s">
        <v>1487</v>
      </c>
      <c r="IZF989" s="16" t="s">
        <v>1487</v>
      </c>
      <c r="IZG989" s="16" t="s">
        <v>1487</v>
      </c>
      <c r="IZH989" s="16" t="s">
        <v>1487</v>
      </c>
      <c r="IZI989" s="16" t="s">
        <v>1487</v>
      </c>
      <c r="IZJ989" s="16" t="s">
        <v>1487</v>
      </c>
      <c r="IZK989" s="16" t="s">
        <v>1487</v>
      </c>
      <c r="IZL989" s="16" t="s">
        <v>1487</v>
      </c>
      <c r="IZM989" s="16" t="s">
        <v>1487</v>
      </c>
      <c r="IZN989" s="16" t="s">
        <v>1487</v>
      </c>
      <c r="IZO989" s="16" t="s">
        <v>1487</v>
      </c>
      <c r="IZP989" s="16" t="s">
        <v>1487</v>
      </c>
      <c r="IZQ989" s="16" t="s">
        <v>1487</v>
      </c>
      <c r="IZR989" s="16" t="s">
        <v>1487</v>
      </c>
      <c r="IZS989" s="16" t="s">
        <v>1487</v>
      </c>
      <c r="IZT989" s="16" t="s">
        <v>1487</v>
      </c>
      <c r="IZU989" s="16" t="s">
        <v>1487</v>
      </c>
      <c r="IZV989" s="16" t="s">
        <v>1487</v>
      </c>
      <c r="IZW989" s="16" t="s">
        <v>1487</v>
      </c>
      <c r="IZX989" s="16" t="s">
        <v>1487</v>
      </c>
      <c r="IZY989" s="16" t="s">
        <v>1487</v>
      </c>
      <c r="IZZ989" s="16" t="s">
        <v>1487</v>
      </c>
      <c r="JAA989" s="16" t="s">
        <v>1487</v>
      </c>
      <c r="JAB989" s="16" t="s">
        <v>1487</v>
      </c>
      <c r="JAC989" s="16" t="s">
        <v>1487</v>
      </c>
      <c r="JAD989" s="16" t="s">
        <v>1487</v>
      </c>
      <c r="JAE989" s="16" t="s">
        <v>1487</v>
      </c>
      <c r="JAF989" s="16" t="s">
        <v>1487</v>
      </c>
      <c r="JAG989" s="16" t="s">
        <v>1487</v>
      </c>
      <c r="JAH989" s="16" t="s">
        <v>1487</v>
      </c>
      <c r="JAI989" s="16" t="s">
        <v>1487</v>
      </c>
      <c r="JAJ989" s="16" t="s">
        <v>1487</v>
      </c>
      <c r="JAK989" s="16" t="s">
        <v>1487</v>
      </c>
      <c r="JAL989" s="16" t="s">
        <v>1487</v>
      </c>
      <c r="JAM989" s="16" t="s">
        <v>1487</v>
      </c>
      <c r="JAN989" s="16" t="s">
        <v>1487</v>
      </c>
      <c r="JAO989" s="16" t="s">
        <v>1487</v>
      </c>
      <c r="JAP989" s="16" t="s">
        <v>1487</v>
      </c>
      <c r="JAQ989" s="16" t="s">
        <v>1487</v>
      </c>
      <c r="JAR989" s="16" t="s">
        <v>1487</v>
      </c>
      <c r="JAS989" s="16" t="s">
        <v>1487</v>
      </c>
      <c r="JAT989" s="16" t="s">
        <v>1487</v>
      </c>
      <c r="JAU989" s="16" t="s">
        <v>1487</v>
      </c>
      <c r="JAV989" s="16" t="s">
        <v>1487</v>
      </c>
      <c r="JAW989" s="16" t="s">
        <v>1487</v>
      </c>
      <c r="JAX989" s="16" t="s">
        <v>1487</v>
      </c>
      <c r="JAY989" s="16" t="s">
        <v>1487</v>
      </c>
      <c r="JAZ989" s="16" t="s">
        <v>1487</v>
      </c>
      <c r="JBA989" s="16" t="s">
        <v>1487</v>
      </c>
      <c r="JBB989" s="16" t="s">
        <v>1487</v>
      </c>
      <c r="JBC989" s="16" t="s">
        <v>1487</v>
      </c>
      <c r="JBD989" s="16" t="s">
        <v>1487</v>
      </c>
      <c r="JBE989" s="16" t="s">
        <v>1487</v>
      </c>
      <c r="JBF989" s="16" t="s">
        <v>1487</v>
      </c>
      <c r="JBG989" s="16" t="s">
        <v>1487</v>
      </c>
      <c r="JBH989" s="16" t="s">
        <v>1487</v>
      </c>
      <c r="JBI989" s="16" t="s">
        <v>1487</v>
      </c>
      <c r="JBJ989" s="16" t="s">
        <v>1487</v>
      </c>
      <c r="JBK989" s="16" t="s">
        <v>1487</v>
      </c>
      <c r="JBL989" s="16" t="s">
        <v>1487</v>
      </c>
      <c r="JBM989" s="16" t="s">
        <v>1487</v>
      </c>
      <c r="JBN989" s="16" t="s">
        <v>1487</v>
      </c>
      <c r="JBO989" s="16" t="s">
        <v>1487</v>
      </c>
      <c r="JBP989" s="16" t="s">
        <v>1487</v>
      </c>
      <c r="JBQ989" s="16" t="s">
        <v>1487</v>
      </c>
      <c r="JBR989" s="16" t="s">
        <v>1487</v>
      </c>
      <c r="JBS989" s="16" t="s">
        <v>1487</v>
      </c>
      <c r="JBT989" s="16" t="s">
        <v>1487</v>
      </c>
      <c r="JBU989" s="16" t="s">
        <v>1487</v>
      </c>
      <c r="JBV989" s="16" t="s">
        <v>1487</v>
      </c>
      <c r="JBW989" s="16" t="s">
        <v>1487</v>
      </c>
      <c r="JBX989" s="16" t="s">
        <v>1487</v>
      </c>
      <c r="JBY989" s="16" t="s">
        <v>1487</v>
      </c>
      <c r="JBZ989" s="16" t="s">
        <v>1487</v>
      </c>
      <c r="JCA989" s="16" t="s">
        <v>1487</v>
      </c>
      <c r="JCB989" s="16" t="s">
        <v>1487</v>
      </c>
      <c r="JCC989" s="16" t="s">
        <v>1487</v>
      </c>
      <c r="JCD989" s="16" t="s">
        <v>1487</v>
      </c>
      <c r="JCE989" s="16" t="s">
        <v>1487</v>
      </c>
      <c r="JCF989" s="16" t="s">
        <v>1487</v>
      </c>
      <c r="JCG989" s="16" t="s">
        <v>1487</v>
      </c>
      <c r="JCH989" s="16" t="s">
        <v>1487</v>
      </c>
      <c r="JCI989" s="16" t="s">
        <v>1487</v>
      </c>
      <c r="JCJ989" s="16" t="s">
        <v>1487</v>
      </c>
      <c r="JCK989" s="16" t="s">
        <v>1487</v>
      </c>
      <c r="JCL989" s="16" t="s">
        <v>1487</v>
      </c>
      <c r="JCM989" s="16" t="s">
        <v>1487</v>
      </c>
      <c r="JCN989" s="16" t="s">
        <v>1487</v>
      </c>
      <c r="JCO989" s="16" t="s">
        <v>1487</v>
      </c>
      <c r="JCP989" s="16" t="s">
        <v>1487</v>
      </c>
      <c r="JCQ989" s="16" t="s">
        <v>1487</v>
      </c>
      <c r="JCR989" s="16" t="s">
        <v>1487</v>
      </c>
      <c r="JCS989" s="16" t="s">
        <v>1487</v>
      </c>
      <c r="JCT989" s="16" t="s">
        <v>1487</v>
      </c>
      <c r="JCU989" s="16" t="s">
        <v>1487</v>
      </c>
      <c r="JCV989" s="16" t="s">
        <v>1487</v>
      </c>
      <c r="JCW989" s="16" t="s">
        <v>1487</v>
      </c>
      <c r="JCX989" s="16" t="s">
        <v>1487</v>
      </c>
      <c r="JCY989" s="16" t="s">
        <v>1487</v>
      </c>
      <c r="JCZ989" s="16" t="s">
        <v>1487</v>
      </c>
      <c r="JDA989" s="16" t="s">
        <v>1487</v>
      </c>
      <c r="JDB989" s="16" t="s">
        <v>1487</v>
      </c>
      <c r="JDC989" s="16" t="s">
        <v>1487</v>
      </c>
      <c r="JDD989" s="16" t="s">
        <v>1487</v>
      </c>
      <c r="JDE989" s="16" t="s">
        <v>1487</v>
      </c>
      <c r="JDF989" s="16" t="s">
        <v>1487</v>
      </c>
      <c r="JDG989" s="16" t="s">
        <v>1487</v>
      </c>
      <c r="JDH989" s="16" t="s">
        <v>1487</v>
      </c>
      <c r="JDI989" s="16" t="s">
        <v>1487</v>
      </c>
      <c r="JDJ989" s="16" t="s">
        <v>1487</v>
      </c>
      <c r="JDK989" s="16" t="s">
        <v>1487</v>
      </c>
      <c r="JDL989" s="16" t="s">
        <v>1487</v>
      </c>
      <c r="JDM989" s="16" t="s">
        <v>1487</v>
      </c>
      <c r="JDN989" s="16" t="s">
        <v>1487</v>
      </c>
      <c r="JDO989" s="16" t="s">
        <v>1487</v>
      </c>
      <c r="JDP989" s="16" t="s">
        <v>1487</v>
      </c>
      <c r="JDQ989" s="16" t="s">
        <v>1487</v>
      </c>
      <c r="JDR989" s="16" t="s">
        <v>1487</v>
      </c>
      <c r="JDS989" s="16" t="s">
        <v>1487</v>
      </c>
      <c r="JDT989" s="16" t="s">
        <v>1487</v>
      </c>
      <c r="JDU989" s="16" t="s">
        <v>1487</v>
      </c>
      <c r="JDV989" s="16" t="s">
        <v>1487</v>
      </c>
      <c r="JDW989" s="16" t="s">
        <v>1487</v>
      </c>
      <c r="JDX989" s="16" t="s">
        <v>1487</v>
      </c>
      <c r="JDY989" s="16" t="s">
        <v>1487</v>
      </c>
      <c r="JDZ989" s="16" t="s">
        <v>1487</v>
      </c>
      <c r="JEA989" s="16" t="s">
        <v>1487</v>
      </c>
      <c r="JEB989" s="16" t="s">
        <v>1487</v>
      </c>
      <c r="JEC989" s="16" t="s">
        <v>1487</v>
      </c>
      <c r="JED989" s="16" t="s">
        <v>1487</v>
      </c>
      <c r="JEE989" s="16" t="s">
        <v>1487</v>
      </c>
      <c r="JEF989" s="16" t="s">
        <v>1487</v>
      </c>
      <c r="JEG989" s="16" t="s">
        <v>1487</v>
      </c>
      <c r="JEH989" s="16" t="s">
        <v>1487</v>
      </c>
      <c r="JEI989" s="16" t="s">
        <v>1487</v>
      </c>
      <c r="JEJ989" s="16" t="s">
        <v>1487</v>
      </c>
      <c r="JEK989" s="16" t="s">
        <v>1487</v>
      </c>
      <c r="JEL989" s="16" t="s">
        <v>1487</v>
      </c>
      <c r="JEM989" s="16" t="s">
        <v>1487</v>
      </c>
      <c r="JEN989" s="16" t="s">
        <v>1487</v>
      </c>
      <c r="JEO989" s="16" t="s">
        <v>1487</v>
      </c>
      <c r="JEP989" s="16" t="s">
        <v>1487</v>
      </c>
      <c r="JEQ989" s="16" t="s">
        <v>1487</v>
      </c>
      <c r="JER989" s="16" t="s">
        <v>1487</v>
      </c>
      <c r="JES989" s="16" t="s">
        <v>1487</v>
      </c>
      <c r="JET989" s="16" t="s">
        <v>1487</v>
      </c>
      <c r="JEU989" s="16" t="s">
        <v>1487</v>
      </c>
      <c r="JEV989" s="16" t="s">
        <v>1487</v>
      </c>
      <c r="JEW989" s="16" t="s">
        <v>1487</v>
      </c>
      <c r="JEX989" s="16" t="s">
        <v>1487</v>
      </c>
      <c r="JEY989" s="16" t="s">
        <v>1487</v>
      </c>
      <c r="JEZ989" s="16" t="s">
        <v>1487</v>
      </c>
      <c r="JFA989" s="16" t="s">
        <v>1487</v>
      </c>
      <c r="JFB989" s="16" t="s">
        <v>1487</v>
      </c>
      <c r="JFC989" s="16" t="s">
        <v>1487</v>
      </c>
      <c r="JFD989" s="16" t="s">
        <v>1487</v>
      </c>
      <c r="JFE989" s="16" t="s">
        <v>1487</v>
      </c>
      <c r="JFF989" s="16" t="s">
        <v>1487</v>
      </c>
      <c r="JFG989" s="16" t="s">
        <v>1487</v>
      </c>
      <c r="JFH989" s="16" t="s">
        <v>1487</v>
      </c>
      <c r="JFI989" s="16" t="s">
        <v>1487</v>
      </c>
      <c r="JFJ989" s="16" t="s">
        <v>1487</v>
      </c>
      <c r="JFK989" s="16" t="s">
        <v>1487</v>
      </c>
      <c r="JFL989" s="16" t="s">
        <v>1487</v>
      </c>
      <c r="JFM989" s="16" t="s">
        <v>1487</v>
      </c>
      <c r="JFN989" s="16" t="s">
        <v>1487</v>
      </c>
      <c r="JFO989" s="16" t="s">
        <v>1487</v>
      </c>
      <c r="JFP989" s="16" t="s">
        <v>1487</v>
      </c>
      <c r="JFQ989" s="16" t="s">
        <v>1487</v>
      </c>
      <c r="JFR989" s="16" t="s">
        <v>1487</v>
      </c>
      <c r="JFS989" s="16" t="s">
        <v>1487</v>
      </c>
      <c r="JFT989" s="16" t="s">
        <v>1487</v>
      </c>
      <c r="JFU989" s="16" t="s">
        <v>1487</v>
      </c>
      <c r="JFV989" s="16" t="s">
        <v>1487</v>
      </c>
      <c r="JFW989" s="16" t="s">
        <v>1487</v>
      </c>
      <c r="JFX989" s="16" t="s">
        <v>1487</v>
      </c>
      <c r="JFY989" s="16" t="s">
        <v>1487</v>
      </c>
      <c r="JFZ989" s="16" t="s">
        <v>1487</v>
      </c>
      <c r="JGA989" s="16" t="s">
        <v>1487</v>
      </c>
      <c r="JGB989" s="16" t="s">
        <v>1487</v>
      </c>
      <c r="JGC989" s="16" t="s">
        <v>1487</v>
      </c>
      <c r="JGD989" s="16" t="s">
        <v>1487</v>
      </c>
      <c r="JGE989" s="16" t="s">
        <v>1487</v>
      </c>
      <c r="JGF989" s="16" t="s">
        <v>1487</v>
      </c>
      <c r="JGG989" s="16" t="s">
        <v>1487</v>
      </c>
      <c r="JGH989" s="16" t="s">
        <v>1487</v>
      </c>
      <c r="JGI989" s="16" t="s">
        <v>1487</v>
      </c>
      <c r="JGJ989" s="16" t="s">
        <v>1487</v>
      </c>
      <c r="JGK989" s="16" t="s">
        <v>1487</v>
      </c>
      <c r="JGL989" s="16" t="s">
        <v>1487</v>
      </c>
      <c r="JGM989" s="16" t="s">
        <v>1487</v>
      </c>
      <c r="JGN989" s="16" t="s">
        <v>1487</v>
      </c>
      <c r="JGO989" s="16" t="s">
        <v>1487</v>
      </c>
      <c r="JGP989" s="16" t="s">
        <v>1487</v>
      </c>
      <c r="JGQ989" s="16" t="s">
        <v>1487</v>
      </c>
      <c r="JGR989" s="16" t="s">
        <v>1487</v>
      </c>
      <c r="JGS989" s="16" t="s">
        <v>1487</v>
      </c>
      <c r="JGT989" s="16" t="s">
        <v>1487</v>
      </c>
      <c r="JGU989" s="16" t="s">
        <v>1487</v>
      </c>
      <c r="JGV989" s="16" t="s">
        <v>1487</v>
      </c>
      <c r="JGW989" s="16" t="s">
        <v>1487</v>
      </c>
      <c r="JGX989" s="16" t="s">
        <v>1487</v>
      </c>
      <c r="JGY989" s="16" t="s">
        <v>1487</v>
      </c>
      <c r="JGZ989" s="16" t="s">
        <v>1487</v>
      </c>
      <c r="JHA989" s="16" t="s">
        <v>1487</v>
      </c>
      <c r="JHB989" s="16" t="s">
        <v>1487</v>
      </c>
      <c r="JHC989" s="16" t="s">
        <v>1487</v>
      </c>
      <c r="JHD989" s="16" t="s">
        <v>1487</v>
      </c>
      <c r="JHE989" s="16" t="s">
        <v>1487</v>
      </c>
      <c r="JHF989" s="16" t="s">
        <v>1487</v>
      </c>
      <c r="JHG989" s="16" t="s">
        <v>1487</v>
      </c>
      <c r="JHH989" s="16" t="s">
        <v>1487</v>
      </c>
      <c r="JHI989" s="16" t="s">
        <v>1487</v>
      </c>
      <c r="JHJ989" s="16" t="s">
        <v>1487</v>
      </c>
      <c r="JHK989" s="16" t="s">
        <v>1487</v>
      </c>
      <c r="JHL989" s="16" t="s">
        <v>1487</v>
      </c>
      <c r="JHM989" s="16" t="s">
        <v>1487</v>
      </c>
      <c r="JHN989" s="16" t="s">
        <v>1487</v>
      </c>
      <c r="JHO989" s="16" t="s">
        <v>1487</v>
      </c>
      <c r="JHP989" s="16" t="s">
        <v>1487</v>
      </c>
      <c r="JHQ989" s="16" t="s">
        <v>1487</v>
      </c>
      <c r="JHR989" s="16" t="s">
        <v>1487</v>
      </c>
      <c r="JHS989" s="16" t="s">
        <v>1487</v>
      </c>
      <c r="JHT989" s="16" t="s">
        <v>1487</v>
      </c>
      <c r="JHU989" s="16" t="s">
        <v>1487</v>
      </c>
      <c r="JHV989" s="16" t="s">
        <v>1487</v>
      </c>
      <c r="JHW989" s="16" t="s">
        <v>1487</v>
      </c>
      <c r="JHX989" s="16" t="s">
        <v>1487</v>
      </c>
      <c r="JHY989" s="16" t="s">
        <v>1487</v>
      </c>
      <c r="JHZ989" s="16" t="s">
        <v>1487</v>
      </c>
      <c r="JIA989" s="16" t="s">
        <v>1487</v>
      </c>
      <c r="JIB989" s="16" t="s">
        <v>1487</v>
      </c>
      <c r="JIC989" s="16" t="s">
        <v>1487</v>
      </c>
      <c r="JID989" s="16" t="s">
        <v>1487</v>
      </c>
      <c r="JIE989" s="16" t="s">
        <v>1487</v>
      </c>
      <c r="JIF989" s="16" t="s">
        <v>1487</v>
      </c>
      <c r="JIG989" s="16" t="s">
        <v>1487</v>
      </c>
      <c r="JIH989" s="16" t="s">
        <v>1487</v>
      </c>
      <c r="JII989" s="16" t="s">
        <v>1487</v>
      </c>
      <c r="JIJ989" s="16" t="s">
        <v>1487</v>
      </c>
      <c r="JIK989" s="16" t="s">
        <v>1487</v>
      </c>
      <c r="JIL989" s="16" t="s">
        <v>1487</v>
      </c>
      <c r="JIM989" s="16" t="s">
        <v>1487</v>
      </c>
      <c r="JIN989" s="16" t="s">
        <v>1487</v>
      </c>
      <c r="JIO989" s="16" t="s">
        <v>1487</v>
      </c>
      <c r="JIP989" s="16" t="s">
        <v>1487</v>
      </c>
      <c r="JIQ989" s="16" t="s">
        <v>1487</v>
      </c>
      <c r="JIR989" s="16" t="s">
        <v>1487</v>
      </c>
      <c r="JIS989" s="16" t="s">
        <v>1487</v>
      </c>
      <c r="JIT989" s="16" t="s">
        <v>1487</v>
      </c>
      <c r="JIU989" s="16" t="s">
        <v>1487</v>
      </c>
      <c r="JIV989" s="16" t="s">
        <v>1487</v>
      </c>
      <c r="JIW989" s="16" t="s">
        <v>1487</v>
      </c>
      <c r="JIX989" s="16" t="s">
        <v>1487</v>
      </c>
      <c r="JIY989" s="16" t="s">
        <v>1487</v>
      </c>
      <c r="JIZ989" s="16" t="s">
        <v>1487</v>
      </c>
      <c r="JJA989" s="16" t="s">
        <v>1487</v>
      </c>
      <c r="JJB989" s="16" t="s">
        <v>1487</v>
      </c>
      <c r="JJC989" s="16" t="s">
        <v>1487</v>
      </c>
      <c r="JJD989" s="16" t="s">
        <v>1487</v>
      </c>
      <c r="JJE989" s="16" t="s">
        <v>1487</v>
      </c>
      <c r="JJF989" s="16" t="s">
        <v>1487</v>
      </c>
      <c r="JJG989" s="16" t="s">
        <v>1487</v>
      </c>
      <c r="JJH989" s="16" t="s">
        <v>1487</v>
      </c>
      <c r="JJI989" s="16" t="s">
        <v>1487</v>
      </c>
      <c r="JJJ989" s="16" t="s">
        <v>1487</v>
      </c>
      <c r="JJK989" s="16" t="s">
        <v>1487</v>
      </c>
      <c r="JJL989" s="16" t="s">
        <v>1487</v>
      </c>
      <c r="JJM989" s="16" t="s">
        <v>1487</v>
      </c>
      <c r="JJN989" s="16" t="s">
        <v>1487</v>
      </c>
      <c r="JJO989" s="16" t="s">
        <v>1487</v>
      </c>
      <c r="JJP989" s="16" t="s">
        <v>1487</v>
      </c>
      <c r="JJQ989" s="16" t="s">
        <v>1487</v>
      </c>
      <c r="JJR989" s="16" t="s">
        <v>1487</v>
      </c>
      <c r="JJS989" s="16" t="s">
        <v>1487</v>
      </c>
      <c r="JJT989" s="16" t="s">
        <v>1487</v>
      </c>
      <c r="JJU989" s="16" t="s">
        <v>1487</v>
      </c>
      <c r="JJV989" s="16" t="s">
        <v>1487</v>
      </c>
      <c r="JJW989" s="16" t="s">
        <v>1487</v>
      </c>
      <c r="JJX989" s="16" t="s">
        <v>1487</v>
      </c>
      <c r="JJY989" s="16" t="s">
        <v>1487</v>
      </c>
      <c r="JJZ989" s="16" t="s">
        <v>1487</v>
      </c>
      <c r="JKA989" s="16" t="s">
        <v>1487</v>
      </c>
      <c r="JKB989" s="16" t="s">
        <v>1487</v>
      </c>
      <c r="JKC989" s="16" t="s">
        <v>1487</v>
      </c>
      <c r="JKD989" s="16" t="s">
        <v>1487</v>
      </c>
      <c r="JKE989" s="16" t="s">
        <v>1487</v>
      </c>
      <c r="JKF989" s="16" t="s">
        <v>1487</v>
      </c>
      <c r="JKG989" s="16" t="s">
        <v>1487</v>
      </c>
      <c r="JKH989" s="16" t="s">
        <v>1487</v>
      </c>
      <c r="JKI989" s="16" t="s">
        <v>1487</v>
      </c>
      <c r="JKJ989" s="16" t="s">
        <v>1487</v>
      </c>
      <c r="JKK989" s="16" t="s">
        <v>1487</v>
      </c>
      <c r="JKL989" s="16" t="s">
        <v>1487</v>
      </c>
      <c r="JKM989" s="16" t="s">
        <v>1487</v>
      </c>
      <c r="JKN989" s="16" t="s">
        <v>1487</v>
      </c>
      <c r="JKO989" s="16" t="s">
        <v>1487</v>
      </c>
      <c r="JKP989" s="16" t="s">
        <v>1487</v>
      </c>
      <c r="JKQ989" s="16" t="s">
        <v>1487</v>
      </c>
      <c r="JKR989" s="16" t="s">
        <v>1487</v>
      </c>
      <c r="JKS989" s="16" t="s">
        <v>1487</v>
      </c>
      <c r="JKT989" s="16" t="s">
        <v>1487</v>
      </c>
      <c r="JKU989" s="16" t="s">
        <v>1487</v>
      </c>
      <c r="JKV989" s="16" t="s">
        <v>1487</v>
      </c>
      <c r="JKW989" s="16" t="s">
        <v>1487</v>
      </c>
      <c r="JKX989" s="16" t="s">
        <v>1487</v>
      </c>
      <c r="JKY989" s="16" t="s">
        <v>1487</v>
      </c>
      <c r="JKZ989" s="16" t="s">
        <v>1487</v>
      </c>
      <c r="JLA989" s="16" t="s">
        <v>1487</v>
      </c>
      <c r="JLB989" s="16" t="s">
        <v>1487</v>
      </c>
      <c r="JLC989" s="16" t="s">
        <v>1487</v>
      </c>
      <c r="JLD989" s="16" t="s">
        <v>1487</v>
      </c>
      <c r="JLE989" s="16" t="s">
        <v>1487</v>
      </c>
      <c r="JLF989" s="16" t="s">
        <v>1487</v>
      </c>
      <c r="JLG989" s="16" t="s">
        <v>1487</v>
      </c>
      <c r="JLH989" s="16" t="s">
        <v>1487</v>
      </c>
      <c r="JLI989" s="16" t="s">
        <v>1487</v>
      </c>
      <c r="JLJ989" s="16" t="s">
        <v>1487</v>
      </c>
      <c r="JLK989" s="16" t="s">
        <v>1487</v>
      </c>
      <c r="JLL989" s="16" t="s">
        <v>1487</v>
      </c>
      <c r="JLM989" s="16" t="s">
        <v>1487</v>
      </c>
      <c r="JLN989" s="16" t="s">
        <v>1487</v>
      </c>
      <c r="JLO989" s="16" t="s">
        <v>1487</v>
      </c>
      <c r="JLP989" s="16" t="s">
        <v>1487</v>
      </c>
      <c r="JLQ989" s="16" t="s">
        <v>1487</v>
      </c>
      <c r="JLR989" s="16" t="s">
        <v>1487</v>
      </c>
      <c r="JLS989" s="16" t="s">
        <v>1487</v>
      </c>
      <c r="JLT989" s="16" t="s">
        <v>1487</v>
      </c>
      <c r="JLU989" s="16" t="s">
        <v>1487</v>
      </c>
      <c r="JLV989" s="16" t="s">
        <v>1487</v>
      </c>
      <c r="JLW989" s="16" t="s">
        <v>1487</v>
      </c>
      <c r="JLX989" s="16" t="s">
        <v>1487</v>
      </c>
      <c r="JLY989" s="16" t="s">
        <v>1487</v>
      </c>
      <c r="JLZ989" s="16" t="s">
        <v>1487</v>
      </c>
      <c r="JMA989" s="16" t="s">
        <v>1487</v>
      </c>
      <c r="JMB989" s="16" t="s">
        <v>1487</v>
      </c>
      <c r="JMC989" s="16" t="s">
        <v>1487</v>
      </c>
      <c r="JMD989" s="16" t="s">
        <v>1487</v>
      </c>
      <c r="JME989" s="16" t="s">
        <v>1487</v>
      </c>
      <c r="JMF989" s="16" t="s">
        <v>1487</v>
      </c>
      <c r="JMG989" s="16" t="s">
        <v>1487</v>
      </c>
      <c r="JMH989" s="16" t="s">
        <v>1487</v>
      </c>
      <c r="JMI989" s="16" t="s">
        <v>1487</v>
      </c>
      <c r="JMJ989" s="16" t="s">
        <v>1487</v>
      </c>
      <c r="JMK989" s="16" t="s">
        <v>1487</v>
      </c>
      <c r="JML989" s="16" t="s">
        <v>1487</v>
      </c>
      <c r="JMM989" s="16" t="s">
        <v>1487</v>
      </c>
      <c r="JMN989" s="16" t="s">
        <v>1487</v>
      </c>
      <c r="JMO989" s="16" t="s">
        <v>1487</v>
      </c>
      <c r="JMP989" s="16" t="s">
        <v>1487</v>
      </c>
      <c r="JMQ989" s="16" t="s">
        <v>1487</v>
      </c>
      <c r="JMR989" s="16" t="s">
        <v>1487</v>
      </c>
      <c r="JMS989" s="16" t="s">
        <v>1487</v>
      </c>
      <c r="JMT989" s="16" t="s">
        <v>1487</v>
      </c>
      <c r="JMU989" s="16" t="s">
        <v>1487</v>
      </c>
      <c r="JMV989" s="16" t="s">
        <v>1487</v>
      </c>
      <c r="JMW989" s="16" t="s">
        <v>1487</v>
      </c>
      <c r="JMX989" s="16" t="s">
        <v>1487</v>
      </c>
      <c r="JMY989" s="16" t="s">
        <v>1487</v>
      </c>
      <c r="JMZ989" s="16" t="s">
        <v>1487</v>
      </c>
      <c r="JNA989" s="16" t="s">
        <v>1487</v>
      </c>
      <c r="JNB989" s="16" t="s">
        <v>1487</v>
      </c>
      <c r="JNC989" s="16" t="s">
        <v>1487</v>
      </c>
      <c r="JND989" s="16" t="s">
        <v>1487</v>
      </c>
      <c r="JNE989" s="16" t="s">
        <v>1487</v>
      </c>
      <c r="JNF989" s="16" t="s">
        <v>1487</v>
      </c>
      <c r="JNG989" s="16" t="s">
        <v>1487</v>
      </c>
      <c r="JNH989" s="16" t="s">
        <v>1487</v>
      </c>
      <c r="JNI989" s="16" t="s">
        <v>1487</v>
      </c>
      <c r="JNJ989" s="16" t="s">
        <v>1487</v>
      </c>
      <c r="JNK989" s="16" t="s">
        <v>1487</v>
      </c>
      <c r="JNL989" s="16" t="s">
        <v>1487</v>
      </c>
      <c r="JNM989" s="16" t="s">
        <v>1487</v>
      </c>
      <c r="JNN989" s="16" t="s">
        <v>1487</v>
      </c>
      <c r="JNO989" s="16" t="s">
        <v>1487</v>
      </c>
      <c r="JNP989" s="16" t="s">
        <v>1487</v>
      </c>
      <c r="JNQ989" s="16" t="s">
        <v>1487</v>
      </c>
      <c r="JNR989" s="16" t="s">
        <v>1487</v>
      </c>
      <c r="JNS989" s="16" t="s">
        <v>1487</v>
      </c>
      <c r="JNT989" s="16" t="s">
        <v>1487</v>
      </c>
      <c r="JNU989" s="16" t="s">
        <v>1487</v>
      </c>
      <c r="JNV989" s="16" t="s">
        <v>1487</v>
      </c>
      <c r="JNW989" s="16" t="s">
        <v>1487</v>
      </c>
      <c r="JNX989" s="16" t="s">
        <v>1487</v>
      </c>
      <c r="JNY989" s="16" t="s">
        <v>1487</v>
      </c>
      <c r="JNZ989" s="16" t="s">
        <v>1487</v>
      </c>
      <c r="JOA989" s="16" t="s">
        <v>1487</v>
      </c>
      <c r="JOB989" s="16" t="s">
        <v>1487</v>
      </c>
      <c r="JOC989" s="16" t="s">
        <v>1487</v>
      </c>
      <c r="JOD989" s="16" t="s">
        <v>1487</v>
      </c>
      <c r="JOE989" s="16" t="s">
        <v>1487</v>
      </c>
      <c r="JOF989" s="16" t="s">
        <v>1487</v>
      </c>
      <c r="JOG989" s="16" t="s">
        <v>1487</v>
      </c>
      <c r="JOH989" s="16" t="s">
        <v>1487</v>
      </c>
      <c r="JOI989" s="16" t="s">
        <v>1487</v>
      </c>
      <c r="JOJ989" s="16" t="s">
        <v>1487</v>
      </c>
      <c r="JOK989" s="16" t="s">
        <v>1487</v>
      </c>
      <c r="JOL989" s="16" t="s">
        <v>1487</v>
      </c>
      <c r="JOM989" s="16" t="s">
        <v>1487</v>
      </c>
      <c r="JON989" s="16" t="s">
        <v>1487</v>
      </c>
      <c r="JOO989" s="16" t="s">
        <v>1487</v>
      </c>
      <c r="JOP989" s="16" t="s">
        <v>1487</v>
      </c>
      <c r="JOQ989" s="16" t="s">
        <v>1487</v>
      </c>
      <c r="JOR989" s="16" t="s">
        <v>1487</v>
      </c>
      <c r="JOS989" s="16" t="s">
        <v>1487</v>
      </c>
      <c r="JOT989" s="16" t="s">
        <v>1487</v>
      </c>
      <c r="JOU989" s="16" t="s">
        <v>1487</v>
      </c>
      <c r="JOV989" s="16" t="s">
        <v>1487</v>
      </c>
      <c r="JOW989" s="16" t="s">
        <v>1487</v>
      </c>
      <c r="JOX989" s="16" t="s">
        <v>1487</v>
      </c>
      <c r="JOY989" s="16" t="s">
        <v>1487</v>
      </c>
      <c r="JOZ989" s="16" t="s">
        <v>1487</v>
      </c>
      <c r="JPA989" s="16" t="s">
        <v>1487</v>
      </c>
      <c r="JPB989" s="16" t="s">
        <v>1487</v>
      </c>
      <c r="JPC989" s="16" t="s">
        <v>1487</v>
      </c>
      <c r="JPD989" s="16" t="s">
        <v>1487</v>
      </c>
      <c r="JPE989" s="16" t="s">
        <v>1487</v>
      </c>
      <c r="JPF989" s="16" t="s">
        <v>1487</v>
      </c>
      <c r="JPG989" s="16" t="s">
        <v>1487</v>
      </c>
      <c r="JPH989" s="16" t="s">
        <v>1487</v>
      </c>
      <c r="JPI989" s="16" t="s">
        <v>1487</v>
      </c>
      <c r="JPJ989" s="16" t="s">
        <v>1487</v>
      </c>
      <c r="JPK989" s="16" t="s">
        <v>1487</v>
      </c>
      <c r="JPL989" s="16" t="s">
        <v>1487</v>
      </c>
      <c r="JPM989" s="16" t="s">
        <v>1487</v>
      </c>
      <c r="JPN989" s="16" t="s">
        <v>1487</v>
      </c>
      <c r="JPO989" s="16" t="s">
        <v>1487</v>
      </c>
      <c r="JPP989" s="16" t="s">
        <v>1487</v>
      </c>
      <c r="JPQ989" s="16" t="s">
        <v>1487</v>
      </c>
      <c r="JPR989" s="16" t="s">
        <v>1487</v>
      </c>
      <c r="JPS989" s="16" t="s">
        <v>1487</v>
      </c>
      <c r="JPT989" s="16" t="s">
        <v>1487</v>
      </c>
      <c r="JPU989" s="16" t="s">
        <v>1487</v>
      </c>
      <c r="JPV989" s="16" t="s">
        <v>1487</v>
      </c>
      <c r="JPW989" s="16" t="s">
        <v>1487</v>
      </c>
      <c r="JPX989" s="16" t="s">
        <v>1487</v>
      </c>
      <c r="JPY989" s="16" t="s">
        <v>1487</v>
      </c>
      <c r="JPZ989" s="16" t="s">
        <v>1487</v>
      </c>
      <c r="JQA989" s="16" t="s">
        <v>1487</v>
      </c>
      <c r="JQB989" s="16" t="s">
        <v>1487</v>
      </c>
      <c r="JQC989" s="16" t="s">
        <v>1487</v>
      </c>
      <c r="JQD989" s="16" t="s">
        <v>1487</v>
      </c>
      <c r="JQE989" s="16" t="s">
        <v>1487</v>
      </c>
      <c r="JQF989" s="16" t="s">
        <v>1487</v>
      </c>
      <c r="JQG989" s="16" t="s">
        <v>1487</v>
      </c>
      <c r="JQH989" s="16" t="s">
        <v>1487</v>
      </c>
      <c r="JQI989" s="16" t="s">
        <v>1487</v>
      </c>
      <c r="JQJ989" s="16" t="s">
        <v>1487</v>
      </c>
      <c r="JQK989" s="16" t="s">
        <v>1487</v>
      </c>
      <c r="JQL989" s="16" t="s">
        <v>1487</v>
      </c>
      <c r="JQM989" s="16" t="s">
        <v>1487</v>
      </c>
      <c r="JQN989" s="16" t="s">
        <v>1487</v>
      </c>
      <c r="JQO989" s="16" t="s">
        <v>1487</v>
      </c>
      <c r="JQP989" s="16" t="s">
        <v>1487</v>
      </c>
      <c r="JQQ989" s="16" t="s">
        <v>1487</v>
      </c>
      <c r="JQR989" s="16" t="s">
        <v>1487</v>
      </c>
      <c r="JQS989" s="16" t="s">
        <v>1487</v>
      </c>
      <c r="JQT989" s="16" t="s">
        <v>1487</v>
      </c>
      <c r="JQU989" s="16" t="s">
        <v>1487</v>
      </c>
      <c r="JQV989" s="16" t="s">
        <v>1487</v>
      </c>
      <c r="JQW989" s="16" t="s">
        <v>1487</v>
      </c>
      <c r="JQX989" s="16" t="s">
        <v>1487</v>
      </c>
      <c r="JQY989" s="16" t="s">
        <v>1487</v>
      </c>
      <c r="JQZ989" s="16" t="s">
        <v>1487</v>
      </c>
      <c r="JRA989" s="16" t="s">
        <v>1487</v>
      </c>
      <c r="JRB989" s="16" t="s">
        <v>1487</v>
      </c>
      <c r="JRC989" s="16" t="s">
        <v>1487</v>
      </c>
      <c r="JRD989" s="16" t="s">
        <v>1487</v>
      </c>
      <c r="JRE989" s="16" t="s">
        <v>1487</v>
      </c>
      <c r="JRF989" s="16" t="s">
        <v>1487</v>
      </c>
      <c r="JRG989" s="16" t="s">
        <v>1487</v>
      </c>
      <c r="JRH989" s="16" t="s">
        <v>1487</v>
      </c>
      <c r="JRI989" s="16" t="s">
        <v>1487</v>
      </c>
      <c r="JRJ989" s="16" t="s">
        <v>1487</v>
      </c>
      <c r="JRK989" s="16" t="s">
        <v>1487</v>
      </c>
      <c r="JRL989" s="16" t="s">
        <v>1487</v>
      </c>
      <c r="JRM989" s="16" t="s">
        <v>1487</v>
      </c>
      <c r="JRN989" s="16" t="s">
        <v>1487</v>
      </c>
      <c r="JRO989" s="16" t="s">
        <v>1487</v>
      </c>
      <c r="JRP989" s="16" t="s">
        <v>1487</v>
      </c>
      <c r="JRQ989" s="16" t="s">
        <v>1487</v>
      </c>
      <c r="JRR989" s="16" t="s">
        <v>1487</v>
      </c>
      <c r="JRS989" s="16" t="s">
        <v>1487</v>
      </c>
      <c r="JRT989" s="16" t="s">
        <v>1487</v>
      </c>
      <c r="JRU989" s="16" t="s">
        <v>1487</v>
      </c>
      <c r="JRV989" s="16" t="s">
        <v>1487</v>
      </c>
      <c r="JRW989" s="16" t="s">
        <v>1487</v>
      </c>
      <c r="JRX989" s="16" t="s">
        <v>1487</v>
      </c>
      <c r="JRY989" s="16" t="s">
        <v>1487</v>
      </c>
      <c r="JRZ989" s="16" t="s">
        <v>1487</v>
      </c>
      <c r="JSA989" s="16" t="s">
        <v>1487</v>
      </c>
      <c r="JSB989" s="16" t="s">
        <v>1487</v>
      </c>
      <c r="JSC989" s="16" t="s">
        <v>1487</v>
      </c>
      <c r="JSD989" s="16" t="s">
        <v>1487</v>
      </c>
      <c r="JSE989" s="16" t="s">
        <v>1487</v>
      </c>
      <c r="JSF989" s="16" t="s">
        <v>1487</v>
      </c>
      <c r="JSG989" s="16" t="s">
        <v>1487</v>
      </c>
      <c r="JSH989" s="16" t="s">
        <v>1487</v>
      </c>
      <c r="JSI989" s="16" t="s">
        <v>1487</v>
      </c>
      <c r="JSJ989" s="16" t="s">
        <v>1487</v>
      </c>
      <c r="JSK989" s="16" t="s">
        <v>1487</v>
      </c>
      <c r="JSL989" s="16" t="s">
        <v>1487</v>
      </c>
      <c r="JSM989" s="16" t="s">
        <v>1487</v>
      </c>
      <c r="JSN989" s="16" t="s">
        <v>1487</v>
      </c>
      <c r="JSO989" s="16" t="s">
        <v>1487</v>
      </c>
      <c r="JSP989" s="16" t="s">
        <v>1487</v>
      </c>
      <c r="JSQ989" s="16" t="s">
        <v>1487</v>
      </c>
      <c r="JSR989" s="16" t="s">
        <v>1487</v>
      </c>
      <c r="JSS989" s="16" t="s">
        <v>1487</v>
      </c>
      <c r="JST989" s="16" t="s">
        <v>1487</v>
      </c>
      <c r="JSU989" s="16" t="s">
        <v>1487</v>
      </c>
      <c r="JSV989" s="16" t="s">
        <v>1487</v>
      </c>
      <c r="JSW989" s="16" t="s">
        <v>1487</v>
      </c>
      <c r="JSX989" s="16" t="s">
        <v>1487</v>
      </c>
      <c r="JSY989" s="16" t="s">
        <v>1487</v>
      </c>
      <c r="JSZ989" s="16" t="s">
        <v>1487</v>
      </c>
      <c r="JTA989" s="16" t="s">
        <v>1487</v>
      </c>
      <c r="JTB989" s="16" t="s">
        <v>1487</v>
      </c>
      <c r="JTC989" s="16" t="s">
        <v>1487</v>
      </c>
      <c r="JTD989" s="16" t="s">
        <v>1487</v>
      </c>
      <c r="JTE989" s="16" t="s">
        <v>1487</v>
      </c>
      <c r="JTF989" s="16" t="s">
        <v>1487</v>
      </c>
      <c r="JTG989" s="16" t="s">
        <v>1487</v>
      </c>
      <c r="JTH989" s="16" t="s">
        <v>1487</v>
      </c>
      <c r="JTI989" s="16" t="s">
        <v>1487</v>
      </c>
      <c r="JTJ989" s="16" t="s">
        <v>1487</v>
      </c>
      <c r="JTK989" s="16" t="s">
        <v>1487</v>
      </c>
      <c r="JTL989" s="16" t="s">
        <v>1487</v>
      </c>
      <c r="JTM989" s="16" t="s">
        <v>1487</v>
      </c>
      <c r="JTN989" s="16" t="s">
        <v>1487</v>
      </c>
      <c r="JTO989" s="16" t="s">
        <v>1487</v>
      </c>
      <c r="JTP989" s="16" t="s">
        <v>1487</v>
      </c>
      <c r="JTQ989" s="16" t="s">
        <v>1487</v>
      </c>
      <c r="JTR989" s="16" t="s">
        <v>1487</v>
      </c>
      <c r="JTS989" s="16" t="s">
        <v>1487</v>
      </c>
      <c r="JTT989" s="16" t="s">
        <v>1487</v>
      </c>
      <c r="JTU989" s="16" t="s">
        <v>1487</v>
      </c>
      <c r="JTV989" s="16" t="s">
        <v>1487</v>
      </c>
      <c r="JTW989" s="16" t="s">
        <v>1487</v>
      </c>
      <c r="JTX989" s="16" t="s">
        <v>1487</v>
      </c>
      <c r="JTY989" s="16" t="s">
        <v>1487</v>
      </c>
      <c r="JTZ989" s="16" t="s">
        <v>1487</v>
      </c>
      <c r="JUA989" s="16" t="s">
        <v>1487</v>
      </c>
      <c r="JUB989" s="16" t="s">
        <v>1487</v>
      </c>
      <c r="JUC989" s="16" t="s">
        <v>1487</v>
      </c>
      <c r="JUD989" s="16" t="s">
        <v>1487</v>
      </c>
      <c r="JUE989" s="16" t="s">
        <v>1487</v>
      </c>
      <c r="JUF989" s="16" t="s">
        <v>1487</v>
      </c>
      <c r="JUG989" s="16" t="s">
        <v>1487</v>
      </c>
      <c r="JUH989" s="16" t="s">
        <v>1487</v>
      </c>
      <c r="JUI989" s="16" t="s">
        <v>1487</v>
      </c>
      <c r="JUJ989" s="16" t="s">
        <v>1487</v>
      </c>
      <c r="JUK989" s="16" t="s">
        <v>1487</v>
      </c>
      <c r="JUL989" s="16" t="s">
        <v>1487</v>
      </c>
      <c r="JUM989" s="16" t="s">
        <v>1487</v>
      </c>
      <c r="JUN989" s="16" t="s">
        <v>1487</v>
      </c>
      <c r="JUO989" s="16" t="s">
        <v>1487</v>
      </c>
      <c r="JUP989" s="16" t="s">
        <v>1487</v>
      </c>
      <c r="JUQ989" s="16" t="s">
        <v>1487</v>
      </c>
      <c r="JUR989" s="16" t="s">
        <v>1487</v>
      </c>
      <c r="JUS989" s="16" t="s">
        <v>1487</v>
      </c>
      <c r="JUT989" s="16" t="s">
        <v>1487</v>
      </c>
      <c r="JUU989" s="16" t="s">
        <v>1487</v>
      </c>
      <c r="JUV989" s="16" t="s">
        <v>1487</v>
      </c>
      <c r="JUW989" s="16" t="s">
        <v>1487</v>
      </c>
      <c r="JUX989" s="16" t="s">
        <v>1487</v>
      </c>
      <c r="JUY989" s="16" t="s">
        <v>1487</v>
      </c>
      <c r="JUZ989" s="16" t="s">
        <v>1487</v>
      </c>
      <c r="JVA989" s="16" t="s">
        <v>1487</v>
      </c>
      <c r="JVB989" s="16" t="s">
        <v>1487</v>
      </c>
      <c r="JVC989" s="16" t="s">
        <v>1487</v>
      </c>
      <c r="JVD989" s="16" t="s">
        <v>1487</v>
      </c>
      <c r="JVE989" s="16" t="s">
        <v>1487</v>
      </c>
      <c r="JVF989" s="16" t="s">
        <v>1487</v>
      </c>
      <c r="JVG989" s="16" t="s">
        <v>1487</v>
      </c>
      <c r="JVH989" s="16" t="s">
        <v>1487</v>
      </c>
      <c r="JVI989" s="16" t="s">
        <v>1487</v>
      </c>
      <c r="JVJ989" s="16" t="s">
        <v>1487</v>
      </c>
      <c r="JVK989" s="16" t="s">
        <v>1487</v>
      </c>
      <c r="JVL989" s="16" t="s">
        <v>1487</v>
      </c>
      <c r="JVM989" s="16" t="s">
        <v>1487</v>
      </c>
      <c r="JVN989" s="16" t="s">
        <v>1487</v>
      </c>
      <c r="JVO989" s="16" t="s">
        <v>1487</v>
      </c>
      <c r="JVP989" s="16" t="s">
        <v>1487</v>
      </c>
      <c r="JVQ989" s="16" t="s">
        <v>1487</v>
      </c>
      <c r="JVR989" s="16" t="s">
        <v>1487</v>
      </c>
      <c r="JVS989" s="16" t="s">
        <v>1487</v>
      </c>
      <c r="JVT989" s="16" t="s">
        <v>1487</v>
      </c>
      <c r="JVU989" s="16" t="s">
        <v>1487</v>
      </c>
      <c r="JVV989" s="16" t="s">
        <v>1487</v>
      </c>
      <c r="JVW989" s="16" t="s">
        <v>1487</v>
      </c>
      <c r="JVX989" s="16" t="s">
        <v>1487</v>
      </c>
      <c r="JVY989" s="16" t="s">
        <v>1487</v>
      </c>
      <c r="JVZ989" s="16" t="s">
        <v>1487</v>
      </c>
      <c r="JWA989" s="16" t="s">
        <v>1487</v>
      </c>
      <c r="JWB989" s="16" t="s">
        <v>1487</v>
      </c>
      <c r="JWC989" s="16" t="s">
        <v>1487</v>
      </c>
      <c r="JWD989" s="16" t="s">
        <v>1487</v>
      </c>
      <c r="JWE989" s="16" t="s">
        <v>1487</v>
      </c>
      <c r="JWF989" s="16" t="s">
        <v>1487</v>
      </c>
      <c r="JWG989" s="16" t="s">
        <v>1487</v>
      </c>
      <c r="JWH989" s="16" t="s">
        <v>1487</v>
      </c>
      <c r="JWI989" s="16" t="s">
        <v>1487</v>
      </c>
      <c r="JWJ989" s="16" t="s">
        <v>1487</v>
      </c>
      <c r="JWK989" s="16" t="s">
        <v>1487</v>
      </c>
      <c r="JWL989" s="16" t="s">
        <v>1487</v>
      </c>
      <c r="JWM989" s="16" t="s">
        <v>1487</v>
      </c>
      <c r="JWN989" s="16" t="s">
        <v>1487</v>
      </c>
      <c r="JWO989" s="16" t="s">
        <v>1487</v>
      </c>
      <c r="JWP989" s="16" t="s">
        <v>1487</v>
      </c>
      <c r="JWQ989" s="16" t="s">
        <v>1487</v>
      </c>
      <c r="JWR989" s="16" t="s">
        <v>1487</v>
      </c>
      <c r="JWS989" s="16" t="s">
        <v>1487</v>
      </c>
      <c r="JWT989" s="16" t="s">
        <v>1487</v>
      </c>
      <c r="JWU989" s="16" t="s">
        <v>1487</v>
      </c>
      <c r="JWV989" s="16" t="s">
        <v>1487</v>
      </c>
      <c r="JWW989" s="16" t="s">
        <v>1487</v>
      </c>
      <c r="JWX989" s="16" t="s">
        <v>1487</v>
      </c>
      <c r="JWY989" s="16" t="s">
        <v>1487</v>
      </c>
      <c r="JWZ989" s="16" t="s">
        <v>1487</v>
      </c>
      <c r="JXA989" s="16" t="s">
        <v>1487</v>
      </c>
      <c r="JXB989" s="16" t="s">
        <v>1487</v>
      </c>
      <c r="JXC989" s="16" t="s">
        <v>1487</v>
      </c>
      <c r="JXD989" s="16" t="s">
        <v>1487</v>
      </c>
      <c r="JXE989" s="16" t="s">
        <v>1487</v>
      </c>
      <c r="JXF989" s="16" t="s">
        <v>1487</v>
      </c>
      <c r="JXG989" s="16" t="s">
        <v>1487</v>
      </c>
      <c r="JXH989" s="16" t="s">
        <v>1487</v>
      </c>
      <c r="JXI989" s="16" t="s">
        <v>1487</v>
      </c>
      <c r="JXJ989" s="16" t="s">
        <v>1487</v>
      </c>
      <c r="JXK989" s="16" t="s">
        <v>1487</v>
      </c>
      <c r="JXL989" s="16" t="s">
        <v>1487</v>
      </c>
      <c r="JXM989" s="16" t="s">
        <v>1487</v>
      </c>
      <c r="JXN989" s="16" t="s">
        <v>1487</v>
      </c>
      <c r="JXO989" s="16" t="s">
        <v>1487</v>
      </c>
      <c r="JXP989" s="16" t="s">
        <v>1487</v>
      </c>
      <c r="JXQ989" s="16" t="s">
        <v>1487</v>
      </c>
      <c r="JXR989" s="16" t="s">
        <v>1487</v>
      </c>
      <c r="JXS989" s="16" t="s">
        <v>1487</v>
      </c>
      <c r="JXT989" s="16" t="s">
        <v>1487</v>
      </c>
      <c r="JXU989" s="16" t="s">
        <v>1487</v>
      </c>
      <c r="JXV989" s="16" t="s">
        <v>1487</v>
      </c>
      <c r="JXW989" s="16" t="s">
        <v>1487</v>
      </c>
      <c r="JXX989" s="16" t="s">
        <v>1487</v>
      </c>
      <c r="JXY989" s="16" t="s">
        <v>1487</v>
      </c>
      <c r="JXZ989" s="16" t="s">
        <v>1487</v>
      </c>
      <c r="JYA989" s="16" t="s">
        <v>1487</v>
      </c>
      <c r="JYB989" s="16" t="s">
        <v>1487</v>
      </c>
      <c r="JYC989" s="16" t="s">
        <v>1487</v>
      </c>
      <c r="JYD989" s="16" t="s">
        <v>1487</v>
      </c>
      <c r="JYE989" s="16" t="s">
        <v>1487</v>
      </c>
      <c r="JYF989" s="16" t="s">
        <v>1487</v>
      </c>
      <c r="JYG989" s="16" t="s">
        <v>1487</v>
      </c>
      <c r="JYH989" s="16" t="s">
        <v>1487</v>
      </c>
      <c r="JYI989" s="16" t="s">
        <v>1487</v>
      </c>
      <c r="JYJ989" s="16" t="s">
        <v>1487</v>
      </c>
      <c r="JYK989" s="16" t="s">
        <v>1487</v>
      </c>
      <c r="JYL989" s="16" t="s">
        <v>1487</v>
      </c>
      <c r="JYM989" s="16" t="s">
        <v>1487</v>
      </c>
      <c r="JYN989" s="16" t="s">
        <v>1487</v>
      </c>
      <c r="JYO989" s="16" t="s">
        <v>1487</v>
      </c>
      <c r="JYP989" s="16" t="s">
        <v>1487</v>
      </c>
      <c r="JYQ989" s="16" t="s">
        <v>1487</v>
      </c>
      <c r="JYR989" s="16" t="s">
        <v>1487</v>
      </c>
      <c r="JYS989" s="16" t="s">
        <v>1487</v>
      </c>
      <c r="JYT989" s="16" t="s">
        <v>1487</v>
      </c>
      <c r="JYU989" s="16" t="s">
        <v>1487</v>
      </c>
      <c r="JYV989" s="16" t="s">
        <v>1487</v>
      </c>
      <c r="JYW989" s="16" t="s">
        <v>1487</v>
      </c>
      <c r="JYX989" s="16" t="s">
        <v>1487</v>
      </c>
      <c r="JYY989" s="16" t="s">
        <v>1487</v>
      </c>
      <c r="JYZ989" s="16" t="s">
        <v>1487</v>
      </c>
      <c r="JZA989" s="16" t="s">
        <v>1487</v>
      </c>
      <c r="JZB989" s="16" t="s">
        <v>1487</v>
      </c>
      <c r="JZC989" s="16" t="s">
        <v>1487</v>
      </c>
      <c r="JZD989" s="16" t="s">
        <v>1487</v>
      </c>
      <c r="JZE989" s="16" t="s">
        <v>1487</v>
      </c>
      <c r="JZF989" s="16" t="s">
        <v>1487</v>
      </c>
      <c r="JZG989" s="16" t="s">
        <v>1487</v>
      </c>
      <c r="JZH989" s="16" t="s">
        <v>1487</v>
      </c>
      <c r="JZI989" s="16" t="s">
        <v>1487</v>
      </c>
      <c r="JZJ989" s="16" t="s">
        <v>1487</v>
      </c>
      <c r="JZK989" s="16" t="s">
        <v>1487</v>
      </c>
      <c r="JZL989" s="16" t="s">
        <v>1487</v>
      </c>
      <c r="JZM989" s="16" t="s">
        <v>1487</v>
      </c>
      <c r="JZN989" s="16" t="s">
        <v>1487</v>
      </c>
      <c r="JZO989" s="16" t="s">
        <v>1487</v>
      </c>
      <c r="JZP989" s="16" t="s">
        <v>1487</v>
      </c>
      <c r="JZQ989" s="16" t="s">
        <v>1487</v>
      </c>
      <c r="JZR989" s="16" t="s">
        <v>1487</v>
      </c>
      <c r="JZS989" s="16" t="s">
        <v>1487</v>
      </c>
      <c r="JZT989" s="16" t="s">
        <v>1487</v>
      </c>
      <c r="JZU989" s="16" t="s">
        <v>1487</v>
      </c>
      <c r="JZV989" s="16" t="s">
        <v>1487</v>
      </c>
      <c r="JZW989" s="16" t="s">
        <v>1487</v>
      </c>
      <c r="JZX989" s="16" t="s">
        <v>1487</v>
      </c>
      <c r="JZY989" s="16" t="s">
        <v>1487</v>
      </c>
      <c r="JZZ989" s="16" t="s">
        <v>1487</v>
      </c>
      <c r="KAA989" s="16" t="s">
        <v>1487</v>
      </c>
      <c r="KAB989" s="16" t="s">
        <v>1487</v>
      </c>
      <c r="KAC989" s="16" t="s">
        <v>1487</v>
      </c>
      <c r="KAD989" s="16" t="s">
        <v>1487</v>
      </c>
      <c r="KAE989" s="16" t="s">
        <v>1487</v>
      </c>
      <c r="KAF989" s="16" t="s">
        <v>1487</v>
      </c>
      <c r="KAG989" s="16" t="s">
        <v>1487</v>
      </c>
      <c r="KAH989" s="16" t="s">
        <v>1487</v>
      </c>
      <c r="KAI989" s="16" t="s">
        <v>1487</v>
      </c>
      <c r="KAJ989" s="16" t="s">
        <v>1487</v>
      </c>
      <c r="KAK989" s="16" t="s">
        <v>1487</v>
      </c>
      <c r="KAL989" s="16" t="s">
        <v>1487</v>
      </c>
      <c r="KAM989" s="16" t="s">
        <v>1487</v>
      </c>
      <c r="KAN989" s="16" t="s">
        <v>1487</v>
      </c>
      <c r="KAO989" s="16" t="s">
        <v>1487</v>
      </c>
      <c r="KAP989" s="16" t="s">
        <v>1487</v>
      </c>
      <c r="KAQ989" s="16" t="s">
        <v>1487</v>
      </c>
      <c r="KAR989" s="16" t="s">
        <v>1487</v>
      </c>
      <c r="KAS989" s="16" t="s">
        <v>1487</v>
      </c>
      <c r="KAT989" s="16" t="s">
        <v>1487</v>
      </c>
      <c r="KAU989" s="16" t="s">
        <v>1487</v>
      </c>
      <c r="KAV989" s="16" t="s">
        <v>1487</v>
      </c>
      <c r="KAW989" s="16" t="s">
        <v>1487</v>
      </c>
      <c r="KAX989" s="16" t="s">
        <v>1487</v>
      </c>
      <c r="KAY989" s="16" t="s">
        <v>1487</v>
      </c>
      <c r="KAZ989" s="16" t="s">
        <v>1487</v>
      </c>
      <c r="KBA989" s="16" t="s">
        <v>1487</v>
      </c>
      <c r="KBB989" s="16" t="s">
        <v>1487</v>
      </c>
      <c r="KBC989" s="16" t="s">
        <v>1487</v>
      </c>
      <c r="KBD989" s="16" t="s">
        <v>1487</v>
      </c>
      <c r="KBE989" s="16" t="s">
        <v>1487</v>
      </c>
      <c r="KBF989" s="16" t="s">
        <v>1487</v>
      </c>
      <c r="KBG989" s="16" t="s">
        <v>1487</v>
      </c>
      <c r="KBH989" s="16" t="s">
        <v>1487</v>
      </c>
      <c r="KBI989" s="16" t="s">
        <v>1487</v>
      </c>
      <c r="KBJ989" s="16" t="s">
        <v>1487</v>
      </c>
      <c r="KBK989" s="16" t="s">
        <v>1487</v>
      </c>
      <c r="KBL989" s="16" t="s">
        <v>1487</v>
      </c>
      <c r="KBM989" s="16" t="s">
        <v>1487</v>
      </c>
      <c r="KBN989" s="16" t="s">
        <v>1487</v>
      </c>
      <c r="KBO989" s="16" t="s">
        <v>1487</v>
      </c>
      <c r="KBP989" s="16" t="s">
        <v>1487</v>
      </c>
      <c r="KBQ989" s="16" t="s">
        <v>1487</v>
      </c>
      <c r="KBR989" s="16" t="s">
        <v>1487</v>
      </c>
      <c r="KBS989" s="16" t="s">
        <v>1487</v>
      </c>
      <c r="KBT989" s="16" t="s">
        <v>1487</v>
      </c>
      <c r="KBU989" s="16" t="s">
        <v>1487</v>
      </c>
      <c r="KBV989" s="16" t="s">
        <v>1487</v>
      </c>
      <c r="KBW989" s="16" t="s">
        <v>1487</v>
      </c>
      <c r="KBX989" s="16" t="s">
        <v>1487</v>
      </c>
      <c r="KBY989" s="16" t="s">
        <v>1487</v>
      </c>
      <c r="KBZ989" s="16" t="s">
        <v>1487</v>
      </c>
      <c r="KCA989" s="16" t="s">
        <v>1487</v>
      </c>
      <c r="KCB989" s="16" t="s">
        <v>1487</v>
      </c>
      <c r="KCC989" s="16" t="s">
        <v>1487</v>
      </c>
      <c r="KCD989" s="16" t="s">
        <v>1487</v>
      </c>
      <c r="KCE989" s="16" t="s">
        <v>1487</v>
      </c>
      <c r="KCF989" s="16" t="s">
        <v>1487</v>
      </c>
      <c r="KCG989" s="16" t="s">
        <v>1487</v>
      </c>
      <c r="KCH989" s="16" t="s">
        <v>1487</v>
      </c>
      <c r="KCI989" s="16" t="s">
        <v>1487</v>
      </c>
      <c r="KCJ989" s="16" t="s">
        <v>1487</v>
      </c>
      <c r="KCK989" s="16" t="s">
        <v>1487</v>
      </c>
      <c r="KCL989" s="16" t="s">
        <v>1487</v>
      </c>
      <c r="KCM989" s="16" t="s">
        <v>1487</v>
      </c>
      <c r="KCN989" s="16" t="s">
        <v>1487</v>
      </c>
      <c r="KCO989" s="16" t="s">
        <v>1487</v>
      </c>
      <c r="KCP989" s="16" t="s">
        <v>1487</v>
      </c>
      <c r="KCQ989" s="16" t="s">
        <v>1487</v>
      </c>
      <c r="KCR989" s="16" t="s">
        <v>1487</v>
      </c>
      <c r="KCS989" s="16" t="s">
        <v>1487</v>
      </c>
      <c r="KCT989" s="16" t="s">
        <v>1487</v>
      </c>
      <c r="KCU989" s="16" t="s">
        <v>1487</v>
      </c>
      <c r="KCV989" s="16" t="s">
        <v>1487</v>
      </c>
      <c r="KCW989" s="16" t="s">
        <v>1487</v>
      </c>
      <c r="KCX989" s="16" t="s">
        <v>1487</v>
      </c>
      <c r="KCY989" s="16" t="s">
        <v>1487</v>
      </c>
      <c r="KCZ989" s="16" t="s">
        <v>1487</v>
      </c>
      <c r="KDA989" s="16" t="s">
        <v>1487</v>
      </c>
      <c r="KDB989" s="16" t="s">
        <v>1487</v>
      </c>
      <c r="KDC989" s="16" t="s">
        <v>1487</v>
      </c>
      <c r="KDD989" s="16" t="s">
        <v>1487</v>
      </c>
      <c r="KDE989" s="16" t="s">
        <v>1487</v>
      </c>
      <c r="KDF989" s="16" t="s">
        <v>1487</v>
      </c>
      <c r="KDG989" s="16" t="s">
        <v>1487</v>
      </c>
      <c r="KDH989" s="16" t="s">
        <v>1487</v>
      </c>
      <c r="KDI989" s="16" t="s">
        <v>1487</v>
      </c>
      <c r="KDJ989" s="16" t="s">
        <v>1487</v>
      </c>
      <c r="KDK989" s="16" t="s">
        <v>1487</v>
      </c>
      <c r="KDL989" s="16" t="s">
        <v>1487</v>
      </c>
      <c r="KDM989" s="16" t="s">
        <v>1487</v>
      </c>
      <c r="KDN989" s="16" t="s">
        <v>1487</v>
      </c>
      <c r="KDO989" s="16" t="s">
        <v>1487</v>
      </c>
      <c r="KDP989" s="16" t="s">
        <v>1487</v>
      </c>
      <c r="KDQ989" s="16" t="s">
        <v>1487</v>
      </c>
      <c r="KDR989" s="16" t="s">
        <v>1487</v>
      </c>
      <c r="KDS989" s="16" t="s">
        <v>1487</v>
      </c>
      <c r="KDT989" s="16" t="s">
        <v>1487</v>
      </c>
      <c r="KDU989" s="16" t="s">
        <v>1487</v>
      </c>
      <c r="KDV989" s="16" t="s">
        <v>1487</v>
      </c>
      <c r="KDW989" s="16" t="s">
        <v>1487</v>
      </c>
      <c r="KDX989" s="16" t="s">
        <v>1487</v>
      </c>
      <c r="KDY989" s="16" t="s">
        <v>1487</v>
      </c>
      <c r="KDZ989" s="16" t="s">
        <v>1487</v>
      </c>
      <c r="KEA989" s="16" t="s">
        <v>1487</v>
      </c>
      <c r="KEB989" s="16" t="s">
        <v>1487</v>
      </c>
      <c r="KEC989" s="16" t="s">
        <v>1487</v>
      </c>
      <c r="KED989" s="16" t="s">
        <v>1487</v>
      </c>
      <c r="KEE989" s="16" t="s">
        <v>1487</v>
      </c>
      <c r="KEF989" s="16" t="s">
        <v>1487</v>
      </c>
      <c r="KEG989" s="16" t="s">
        <v>1487</v>
      </c>
      <c r="KEH989" s="16" t="s">
        <v>1487</v>
      </c>
      <c r="KEI989" s="16" t="s">
        <v>1487</v>
      </c>
      <c r="KEJ989" s="16" t="s">
        <v>1487</v>
      </c>
      <c r="KEK989" s="16" t="s">
        <v>1487</v>
      </c>
      <c r="KEL989" s="16" t="s">
        <v>1487</v>
      </c>
      <c r="KEM989" s="16" t="s">
        <v>1487</v>
      </c>
      <c r="KEN989" s="16" t="s">
        <v>1487</v>
      </c>
      <c r="KEO989" s="16" t="s">
        <v>1487</v>
      </c>
      <c r="KEP989" s="16" t="s">
        <v>1487</v>
      </c>
      <c r="KEQ989" s="16" t="s">
        <v>1487</v>
      </c>
      <c r="KER989" s="16" t="s">
        <v>1487</v>
      </c>
      <c r="KES989" s="16" t="s">
        <v>1487</v>
      </c>
      <c r="KET989" s="16" t="s">
        <v>1487</v>
      </c>
      <c r="KEU989" s="16" t="s">
        <v>1487</v>
      </c>
      <c r="KEV989" s="16" t="s">
        <v>1487</v>
      </c>
      <c r="KEW989" s="16" t="s">
        <v>1487</v>
      </c>
      <c r="KEX989" s="16" t="s">
        <v>1487</v>
      </c>
      <c r="KEY989" s="16" t="s">
        <v>1487</v>
      </c>
      <c r="KEZ989" s="16" t="s">
        <v>1487</v>
      </c>
      <c r="KFA989" s="16" t="s">
        <v>1487</v>
      </c>
      <c r="KFB989" s="16" t="s">
        <v>1487</v>
      </c>
      <c r="KFC989" s="16" t="s">
        <v>1487</v>
      </c>
      <c r="KFD989" s="16" t="s">
        <v>1487</v>
      </c>
      <c r="KFE989" s="16" t="s">
        <v>1487</v>
      </c>
      <c r="KFF989" s="16" t="s">
        <v>1487</v>
      </c>
      <c r="KFG989" s="16" t="s">
        <v>1487</v>
      </c>
      <c r="KFH989" s="16" t="s">
        <v>1487</v>
      </c>
      <c r="KFI989" s="16" t="s">
        <v>1487</v>
      </c>
      <c r="KFJ989" s="16" t="s">
        <v>1487</v>
      </c>
      <c r="KFK989" s="16" t="s">
        <v>1487</v>
      </c>
      <c r="KFL989" s="16" t="s">
        <v>1487</v>
      </c>
      <c r="KFM989" s="16" t="s">
        <v>1487</v>
      </c>
      <c r="KFN989" s="16" t="s">
        <v>1487</v>
      </c>
      <c r="KFO989" s="16" t="s">
        <v>1487</v>
      </c>
      <c r="KFP989" s="16" t="s">
        <v>1487</v>
      </c>
      <c r="KFQ989" s="16" t="s">
        <v>1487</v>
      </c>
      <c r="KFR989" s="16" t="s">
        <v>1487</v>
      </c>
      <c r="KFS989" s="16" t="s">
        <v>1487</v>
      </c>
      <c r="KFT989" s="16" t="s">
        <v>1487</v>
      </c>
      <c r="KFU989" s="16" t="s">
        <v>1487</v>
      </c>
      <c r="KFV989" s="16" t="s">
        <v>1487</v>
      </c>
      <c r="KFW989" s="16" t="s">
        <v>1487</v>
      </c>
      <c r="KFX989" s="16" t="s">
        <v>1487</v>
      </c>
      <c r="KFY989" s="16" t="s">
        <v>1487</v>
      </c>
      <c r="KFZ989" s="16" t="s">
        <v>1487</v>
      </c>
      <c r="KGA989" s="16" t="s">
        <v>1487</v>
      </c>
      <c r="KGB989" s="16" t="s">
        <v>1487</v>
      </c>
      <c r="KGC989" s="16" t="s">
        <v>1487</v>
      </c>
      <c r="KGD989" s="16" t="s">
        <v>1487</v>
      </c>
      <c r="KGE989" s="16" t="s">
        <v>1487</v>
      </c>
      <c r="KGF989" s="16" t="s">
        <v>1487</v>
      </c>
      <c r="KGG989" s="16" t="s">
        <v>1487</v>
      </c>
      <c r="KGH989" s="16" t="s">
        <v>1487</v>
      </c>
      <c r="KGI989" s="16" t="s">
        <v>1487</v>
      </c>
      <c r="KGJ989" s="16" t="s">
        <v>1487</v>
      </c>
      <c r="KGK989" s="16" t="s">
        <v>1487</v>
      </c>
      <c r="KGL989" s="16" t="s">
        <v>1487</v>
      </c>
      <c r="KGM989" s="16" t="s">
        <v>1487</v>
      </c>
      <c r="KGN989" s="16" t="s">
        <v>1487</v>
      </c>
      <c r="KGO989" s="16" t="s">
        <v>1487</v>
      </c>
      <c r="KGP989" s="16" t="s">
        <v>1487</v>
      </c>
      <c r="KGQ989" s="16" t="s">
        <v>1487</v>
      </c>
      <c r="KGR989" s="16" t="s">
        <v>1487</v>
      </c>
      <c r="KGS989" s="16" t="s">
        <v>1487</v>
      </c>
      <c r="KGT989" s="16" t="s">
        <v>1487</v>
      </c>
      <c r="KGU989" s="16" t="s">
        <v>1487</v>
      </c>
      <c r="KGV989" s="16" t="s">
        <v>1487</v>
      </c>
      <c r="KGW989" s="16" t="s">
        <v>1487</v>
      </c>
      <c r="KGX989" s="16" t="s">
        <v>1487</v>
      </c>
      <c r="KGY989" s="16" t="s">
        <v>1487</v>
      </c>
      <c r="KGZ989" s="16" t="s">
        <v>1487</v>
      </c>
      <c r="KHA989" s="16" t="s">
        <v>1487</v>
      </c>
      <c r="KHB989" s="16" t="s">
        <v>1487</v>
      </c>
      <c r="KHC989" s="16" t="s">
        <v>1487</v>
      </c>
      <c r="KHD989" s="16" t="s">
        <v>1487</v>
      </c>
      <c r="KHE989" s="16" t="s">
        <v>1487</v>
      </c>
      <c r="KHF989" s="16" t="s">
        <v>1487</v>
      </c>
      <c r="KHG989" s="16" t="s">
        <v>1487</v>
      </c>
      <c r="KHH989" s="16" t="s">
        <v>1487</v>
      </c>
      <c r="KHI989" s="16" t="s">
        <v>1487</v>
      </c>
      <c r="KHJ989" s="16" t="s">
        <v>1487</v>
      </c>
      <c r="KHK989" s="16" t="s">
        <v>1487</v>
      </c>
      <c r="KHL989" s="16" t="s">
        <v>1487</v>
      </c>
      <c r="KHM989" s="16" t="s">
        <v>1487</v>
      </c>
      <c r="KHN989" s="16" t="s">
        <v>1487</v>
      </c>
      <c r="KHO989" s="16" t="s">
        <v>1487</v>
      </c>
      <c r="KHP989" s="16" t="s">
        <v>1487</v>
      </c>
      <c r="KHQ989" s="16" t="s">
        <v>1487</v>
      </c>
      <c r="KHR989" s="16" t="s">
        <v>1487</v>
      </c>
      <c r="KHS989" s="16" t="s">
        <v>1487</v>
      </c>
      <c r="KHT989" s="16" t="s">
        <v>1487</v>
      </c>
      <c r="KHU989" s="16" t="s">
        <v>1487</v>
      </c>
      <c r="KHV989" s="16" t="s">
        <v>1487</v>
      </c>
      <c r="KHW989" s="16" t="s">
        <v>1487</v>
      </c>
      <c r="KHX989" s="16" t="s">
        <v>1487</v>
      </c>
      <c r="KHY989" s="16" t="s">
        <v>1487</v>
      </c>
      <c r="KHZ989" s="16" t="s">
        <v>1487</v>
      </c>
      <c r="KIA989" s="16" t="s">
        <v>1487</v>
      </c>
      <c r="KIB989" s="16" t="s">
        <v>1487</v>
      </c>
      <c r="KIC989" s="16" t="s">
        <v>1487</v>
      </c>
      <c r="KID989" s="16" t="s">
        <v>1487</v>
      </c>
      <c r="KIE989" s="16" t="s">
        <v>1487</v>
      </c>
      <c r="KIF989" s="16" t="s">
        <v>1487</v>
      </c>
      <c r="KIG989" s="16" t="s">
        <v>1487</v>
      </c>
      <c r="KIH989" s="16" t="s">
        <v>1487</v>
      </c>
      <c r="KII989" s="16" t="s">
        <v>1487</v>
      </c>
      <c r="KIJ989" s="16" t="s">
        <v>1487</v>
      </c>
      <c r="KIK989" s="16" t="s">
        <v>1487</v>
      </c>
      <c r="KIL989" s="16" t="s">
        <v>1487</v>
      </c>
      <c r="KIM989" s="16" t="s">
        <v>1487</v>
      </c>
      <c r="KIN989" s="16" t="s">
        <v>1487</v>
      </c>
      <c r="KIO989" s="16" t="s">
        <v>1487</v>
      </c>
      <c r="KIP989" s="16" t="s">
        <v>1487</v>
      </c>
      <c r="KIQ989" s="16" t="s">
        <v>1487</v>
      </c>
      <c r="KIR989" s="16" t="s">
        <v>1487</v>
      </c>
      <c r="KIS989" s="16" t="s">
        <v>1487</v>
      </c>
      <c r="KIT989" s="16" t="s">
        <v>1487</v>
      </c>
      <c r="KIU989" s="16" t="s">
        <v>1487</v>
      </c>
      <c r="KIV989" s="16" t="s">
        <v>1487</v>
      </c>
      <c r="KIW989" s="16" t="s">
        <v>1487</v>
      </c>
      <c r="KIX989" s="16" t="s">
        <v>1487</v>
      </c>
      <c r="KIY989" s="16" t="s">
        <v>1487</v>
      </c>
      <c r="KIZ989" s="16" t="s">
        <v>1487</v>
      </c>
      <c r="KJA989" s="16" t="s">
        <v>1487</v>
      </c>
      <c r="KJB989" s="16" t="s">
        <v>1487</v>
      </c>
      <c r="KJC989" s="16" t="s">
        <v>1487</v>
      </c>
      <c r="KJD989" s="16" t="s">
        <v>1487</v>
      </c>
      <c r="KJE989" s="16" t="s">
        <v>1487</v>
      </c>
      <c r="KJF989" s="16" t="s">
        <v>1487</v>
      </c>
      <c r="KJG989" s="16" t="s">
        <v>1487</v>
      </c>
      <c r="KJH989" s="16" t="s">
        <v>1487</v>
      </c>
      <c r="KJI989" s="16" t="s">
        <v>1487</v>
      </c>
      <c r="KJJ989" s="16" t="s">
        <v>1487</v>
      </c>
      <c r="KJK989" s="16" t="s">
        <v>1487</v>
      </c>
      <c r="KJL989" s="16" t="s">
        <v>1487</v>
      </c>
      <c r="KJM989" s="16" t="s">
        <v>1487</v>
      </c>
      <c r="KJN989" s="16" t="s">
        <v>1487</v>
      </c>
      <c r="KJO989" s="16" t="s">
        <v>1487</v>
      </c>
      <c r="KJP989" s="16" t="s">
        <v>1487</v>
      </c>
      <c r="KJQ989" s="16" t="s">
        <v>1487</v>
      </c>
      <c r="KJR989" s="16" t="s">
        <v>1487</v>
      </c>
      <c r="KJS989" s="16" t="s">
        <v>1487</v>
      </c>
      <c r="KJT989" s="16" t="s">
        <v>1487</v>
      </c>
      <c r="KJU989" s="16" t="s">
        <v>1487</v>
      </c>
      <c r="KJV989" s="16" t="s">
        <v>1487</v>
      </c>
      <c r="KJW989" s="16" t="s">
        <v>1487</v>
      </c>
      <c r="KJX989" s="16" t="s">
        <v>1487</v>
      </c>
      <c r="KJY989" s="16" t="s">
        <v>1487</v>
      </c>
      <c r="KJZ989" s="16" t="s">
        <v>1487</v>
      </c>
      <c r="KKA989" s="16" t="s">
        <v>1487</v>
      </c>
      <c r="KKB989" s="16" t="s">
        <v>1487</v>
      </c>
      <c r="KKC989" s="16" t="s">
        <v>1487</v>
      </c>
      <c r="KKD989" s="16" t="s">
        <v>1487</v>
      </c>
      <c r="KKE989" s="16" t="s">
        <v>1487</v>
      </c>
      <c r="KKF989" s="16" t="s">
        <v>1487</v>
      </c>
      <c r="KKG989" s="16" t="s">
        <v>1487</v>
      </c>
      <c r="KKH989" s="16" t="s">
        <v>1487</v>
      </c>
      <c r="KKI989" s="16" t="s">
        <v>1487</v>
      </c>
      <c r="KKJ989" s="16" t="s">
        <v>1487</v>
      </c>
      <c r="KKK989" s="16" t="s">
        <v>1487</v>
      </c>
      <c r="KKL989" s="16" t="s">
        <v>1487</v>
      </c>
      <c r="KKM989" s="16" t="s">
        <v>1487</v>
      </c>
      <c r="KKN989" s="16" t="s">
        <v>1487</v>
      </c>
      <c r="KKO989" s="16" t="s">
        <v>1487</v>
      </c>
      <c r="KKP989" s="16" t="s">
        <v>1487</v>
      </c>
      <c r="KKQ989" s="16" t="s">
        <v>1487</v>
      </c>
      <c r="KKR989" s="16" t="s">
        <v>1487</v>
      </c>
      <c r="KKS989" s="16" t="s">
        <v>1487</v>
      </c>
      <c r="KKT989" s="16" t="s">
        <v>1487</v>
      </c>
      <c r="KKU989" s="16" t="s">
        <v>1487</v>
      </c>
      <c r="KKV989" s="16" t="s">
        <v>1487</v>
      </c>
      <c r="KKW989" s="16" t="s">
        <v>1487</v>
      </c>
      <c r="KKX989" s="16" t="s">
        <v>1487</v>
      </c>
      <c r="KKY989" s="16" t="s">
        <v>1487</v>
      </c>
      <c r="KKZ989" s="16" t="s">
        <v>1487</v>
      </c>
      <c r="KLA989" s="16" t="s">
        <v>1487</v>
      </c>
      <c r="KLB989" s="16" t="s">
        <v>1487</v>
      </c>
      <c r="KLC989" s="16" t="s">
        <v>1487</v>
      </c>
      <c r="KLD989" s="16" t="s">
        <v>1487</v>
      </c>
      <c r="KLE989" s="16" t="s">
        <v>1487</v>
      </c>
      <c r="KLF989" s="16" t="s">
        <v>1487</v>
      </c>
      <c r="KLG989" s="16" t="s">
        <v>1487</v>
      </c>
      <c r="KLH989" s="16" t="s">
        <v>1487</v>
      </c>
      <c r="KLI989" s="16" t="s">
        <v>1487</v>
      </c>
      <c r="KLJ989" s="16" t="s">
        <v>1487</v>
      </c>
      <c r="KLK989" s="16" t="s">
        <v>1487</v>
      </c>
      <c r="KLL989" s="16" t="s">
        <v>1487</v>
      </c>
      <c r="KLM989" s="16" t="s">
        <v>1487</v>
      </c>
      <c r="KLN989" s="16" t="s">
        <v>1487</v>
      </c>
      <c r="KLO989" s="16" t="s">
        <v>1487</v>
      </c>
      <c r="KLP989" s="16" t="s">
        <v>1487</v>
      </c>
      <c r="KLQ989" s="16" t="s">
        <v>1487</v>
      </c>
      <c r="KLR989" s="16" t="s">
        <v>1487</v>
      </c>
      <c r="KLS989" s="16" t="s">
        <v>1487</v>
      </c>
      <c r="KLT989" s="16" t="s">
        <v>1487</v>
      </c>
      <c r="KLU989" s="16" t="s">
        <v>1487</v>
      </c>
      <c r="KLV989" s="16" t="s">
        <v>1487</v>
      </c>
      <c r="KLW989" s="16" t="s">
        <v>1487</v>
      </c>
      <c r="KLX989" s="16" t="s">
        <v>1487</v>
      </c>
      <c r="KLY989" s="16" t="s">
        <v>1487</v>
      </c>
      <c r="KLZ989" s="16" t="s">
        <v>1487</v>
      </c>
      <c r="KMA989" s="16" t="s">
        <v>1487</v>
      </c>
      <c r="KMB989" s="16" t="s">
        <v>1487</v>
      </c>
      <c r="KMC989" s="16" t="s">
        <v>1487</v>
      </c>
      <c r="KMD989" s="16" t="s">
        <v>1487</v>
      </c>
      <c r="KME989" s="16" t="s">
        <v>1487</v>
      </c>
      <c r="KMF989" s="16" t="s">
        <v>1487</v>
      </c>
      <c r="KMG989" s="16" t="s">
        <v>1487</v>
      </c>
      <c r="KMH989" s="16" t="s">
        <v>1487</v>
      </c>
      <c r="KMI989" s="16" t="s">
        <v>1487</v>
      </c>
      <c r="KMJ989" s="16" t="s">
        <v>1487</v>
      </c>
      <c r="KMK989" s="16" t="s">
        <v>1487</v>
      </c>
      <c r="KML989" s="16" t="s">
        <v>1487</v>
      </c>
      <c r="KMM989" s="16" t="s">
        <v>1487</v>
      </c>
      <c r="KMN989" s="16" t="s">
        <v>1487</v>
      </c>
      <c r="KMO989" s="16" t="s">
        <v>1487</v>
      </c>
      <c r="KMP989" s="16" t="s">
        <v>1487</v>
      </c>
      <c r="KMQ989" s="16" t="s">
        <v>1487</v>
      </c>
      <c r="KMR989" s="16" t="s">
        <v>1487</v>
      </c>
      <c r="KMS989" s="16" t="s">
        <v>1487</v>
      </c>
      <c r="KMT989" s="16" t="s">
        <v>1487</v>
      </c>
      <c r="KMU989" s="16" t="s">
        <v>1487</v>
      </c>
      <c r="KMV989" s="16" t="s">
        <v>1487</v>
      </c>
      <c r="KMW989" s="16" t="s">
        <v>1487</v>
      </c>
      <c r="KMX989" s="16" t="s">
        <v>1487</v>
      </c>
      <c r="KMY989" s="16" t="s">
        <v>1487</v>
      </c>
      <c r="KMZ989" s="16" t="s">
        <v>1487</v>
      </c>
      <c r="KNA989" s="16" t="s">
        <v>1487</v>
      </c>
      <c r="KNB989" s="16" t="s">
        <v>1487</v>
      </c>
      <c r="KNC989" s="16" t="s">
        <v>1487</v>
      </c>
      <c r="KND989" s="16" t="s">
        <v>1487</v>
      </c>
      <c r="KNE989" s="16" t="s">
        <v>1487</v>
      </c>
      <c r="KNF989" s="16" t="s">
        <v>1487</v>
      </c>
      <c r="KNG989" s="16" t="s">
        <v>1487</v>
      </c>
      <c r="KNH989" s="16" t="s">
        <v>1487</v>
      </c>
      <c r="KNI989" s="16" t="s">
        <v>1487</v>
      </c>
      <c r="KNJ989" s="16" t="s">
        <v>1487</v>
      </c>
      <c r="KNK989" s="16" t="s">
        <v>1487</v>
      </c>
      <c r="KNL989" s="16" t="s">
        <v>1487</v>
      </c>
      <c r="KNM989" s="16" t="s">
        <v>1487</v>
      </c>
      <c r="KNN989" s="16" t="s">
        <v>1487</v>
      </c>
      <c r="KNO989" s="16" t="s">
        <v>1487</v>
      </c>
      <c r="KNP989" s="16" t="s">
        <v>1487</v>
      </c>
      <c r="KNQ989" s="16" t="s">
        <v>1487</v>
      </c>
      <c r="KNR989" s="16" t="s">
        <v>1487</v>
      </c>
      <c r="KNS989" s="16" t="s">
        <v>1487</v>
      </c>
      <c r="KNT989" s="16" t="s">
        <v>1487</v>
      </c>
      <c r="KNU989" s="16" t="s">
        <v>1487</v>
      </c>
      <c r="KNV989" s="16" t="s">
        <v>1487</v>
      </c>
      <c r="KNW989" s="16" t="s">
        <v>1487</v>
      </c>
      <c r="KNX989" s="16" t="s">
        <v>1487</v>
      </c>
      <c r="KNY989" s="16" t="s">
        <v>1487</v>
      </c>
      <c r="KNZ989" s="16" t="s">
        <v>1487</v>
      </c>
      <c r="KOA989" s="16" t="s">
        <v>1487</v>
      </c>
      <c r="KOB989" s="16" t="s">
        <v>1487</v>
      </c>
      <c r="KOC989" s="16" t="s">
        <v>1487</v>
      </c>
      <c r="KOD989" s="16" t="s">
        <v>1487</v>
      </c>
      <c r="KOE989" s="16" t="s">
        <v>1487</v>
      </c>
      <c r="KOF989" s="16" t="s">
        <v>1487</v>
      </c>
      <c r="KOG989" s="16" t="s">
        <v>1487</v>
      </c>
      <c r="KOH989" s="16" t="s">
        <v>1487</v>
      </c>
      <c r="KOI989" s="16" t="s">
        <v>1487</v>
      </c>
      <c r="KOJ989" s="16" t="s">
        <v>1487</v>
      </c>
      <c r="KOK989" s="16" t="s">
        <v>1487</v>
      </c>
      <c r="KOL989" s="16" t="s">
        <v>1487</v>
      </c>
      <c r="KOM989" s="16" t="s">
        <v>1487</v>
      </c>
      <c r="KON989" s="16" t="s">
        <v>1487</v>
      </c>
      <c r="KOO989" s="16" t="s">
        <v>1487</v>
      </c>
      <c r="KOP989" s="16" t="s">
        <v>1487</v>
      </c>
      <c r="KOQ989" s="16" t="s">
        <v>1487</v>
      </c>
      <c r="KOR989" s="16" t="s">
        <v>1487</v>
      </c>
      <c r="KOS989" s="16" t="s">
        <v>1487</v>
      </c>
      <c r="KOT989" s="16" t="s">
        <v>1487</v>
      </c>
      <c r="KOU989" s="16" t="s">
        <v>1487</v>
      </c>
      <c r="KOV989" s="16" t="s">
        <v>1487</v>
      </c>
      <c r="KOW989" s="16" t="s">
        <v>1487</v>
      </c>
      <c r="KOX989" s="16" t="s">
        <v>1487</v>
      </c>
      <c r="KOY989" s="16" t="s">
        <v>1487</v>
      </c>
      <c r="KOZ989" s="16" t="s">
        <v>1487</v>
      </c>
      <c r="KPA989" s="16" t="s">
        <v>1487</v>
      </c>
      <c r="KPB989" s="16" t="s">
        <v>1487</v>
      </c>
      <c r="KPC989" s="16" t="s">
        <v>1487</v>
      </c>
      <c r="KPD989" s="16" t="s">
        <v>1487</v>
      </c>
      <c r="KPE989" s="16" t="s">
        <v>1487</v>
      </c>
      <c r="KPF989" s="16" t="s">
        <v>1487</v>
      </c>
      <c r="KPG989" s="16" t="s">
        <v>1487</v>
      </c>
      <c r="KPH989" s="16" t="s">
        <v>1487</v>
      </c>
      <c r="KPI989" s="16" t="s">
        <v>1487</v>
      </c>
      <c r="KPJ989" s="16" t="s">
        <v>1487</v>
      </c>
      <c r="KPK989" s="16" t="s">
        <v>1487</v>
      </c>
      <c r="KPL989" s="16" t="s">
        <v>1487</v>
      </c>
      <c r="KPM989" s="16" t="s">
        <v>1487</v>
      </c>
      <c r="KPN989" s="16" t="s">
        <v>1487</v>
      </c>
      <c r="KPO989" s="16" t="s">
        <v>1487</v>
      </c>
      <c r="KPP989" s="16" t="s">
        <v>1487</v>
      </c>
      <c r="KPQ989" s="16" t="s">
        <v>1487</v>
      </c>
      <c r="KPR989" s="16" t="s">
        <v>1487</v>
      </c>
      <c r="KPS989" s="16" t="s">
        <v>1487</v>
      </c>
      <c r="KPT989" s="16" t="s">
        <v>1487</v>
      </c>
      <c r="KPU989" s="16" t="s">
        <v>1487</v>
      </c>
      <c r="KPV989" s="16" t="s">
        <v>1487</v>
      </c>
      <c r="KPW989" s="16" t="s">
        <v>1487</v>
      </c>
      <c r="KPX989" s="16" t="s">
        <v>1487</v>
      </c>
      <c r="KPY989" s="16" t="s">
        <v>1487</v>
      </c>
      <c r="KPZ989" s="16" t="s">
        <v>1487</v>
      </c>
      <c r="KQA989" s="16" t="s">
        <v>1487</v>
      </c>
      <c r="KQB989" s="16" t="s">
        <v>1487</v>
      </c>
      <c r="KQC989" s="16" t="s">
        <v>1487</v>
      </c>
      <c r="KQD989" s="16" t="s">
        <v>1487</v>
      </c>
      <c r="KQE989" s="16" t="s">
        <v>1487</v>
      </c>
      <c r="KQF989" s="16" t="s">
        <v>1487</v>
      </c>
      <c r="KQG989" s="16" t="s">
        <v>1487</v>
      </c>
      <c r="KQH989" s="16" t="s">
        <v>1487</v>
      </c>
      <c r="KQI989" s="16" t="s">
        <v>1487</v>
      </c>
      <c r="KQJ989" s="16" t="s">
        <v>1487</v>
      </c>
      <c r="KQK989" s="16" t="s">
        <v>1487</v>
      </c>
      <c r="KQL989" s="16" t="s">
        <v>1487</v>
      </c>
      <c r="KQM989" s="16" t="s">
        <v>1487</v>
      </c>
      <c r="KQN989" s="16" t="s">
        <v>1487</v>
      </c>
      <c r="KQO989" s="16" t="s">
        <v>1487</v>
      </c>
      <c r="KQP989" s="16" t="s">
        <v>1487</v>
      </c>
      <c r="KQQ989" s="16" t="s">
        <v>1487</v>
      </c>
      <c r="KQR989" s="16" t="s">
        <v>1487</v>
      </c>
      <c r="KQS989" s="16" t="s">
        <v>1487</v>
      </c>
      <c r="KQT989" s="16" t="s">
        <v>1487</v>
      </c>
      <c r="KQU989" s="16" t="s">
        <v>1487</v>
      </c>
      <c r="KQV989" s="16" t="s">
        <v>1487</v>
      </c>
      <c r="KQW989" s="16" t="s">
        <v>1487</v>
      </c>
      <c r="KQX989" s="16" t="s">
        <v>1487</v>
      </c>
      <c r="KQY989" s="16" t="s">
        <v>1487</v>
      </c>
      <c r="KQZ989" s="16" t="s">
        <v>1487</v>
      </c>
      <c r="KRA989" s="16" t="s">
        <v>1487</v>
      </c>
      <c r="KRB989" s="16" t="s">
        <v>1487</v>
      </c>
      <c r="KRC989" s="16" t="s">
        <v>1487</v>
      </c>
      <c r="KRD989" s="16" t="s">
        <v>1487</v>
      </c>
      <c r="KRE989" s="16" t="s">
        <v>1487</v>
      </c>
      <c r="KRF989" s="16" t="s">
        <v>1487</v>
      </c>
      <c r="KRG989" s="16" t="s">
        <v>1487</v>
      </c>
      <c r="KRH989" s="16" t="s">
        <v>1487</v>
      </c>
      <c r="KRI989" s="16" t="s">
        <v>1487</v>
      </c>
      <c r="KRJ989" s="16" t="s">
        <v>1487</v>
      </c>
      <c r="KRK989" s="16" t="s">
        <v>1487</v>
      </c>
      <c r="KRL989" s="16" t="s">
        <v>1487</v>
      </c>
      <c r="KRM989" s="16" t="s">
        <v>1487</v>
      </c>
      <c r="KRN989" s="16" t="s">
        <v>1487</v>
      </c>
      <c r="KRO989" s="16" t="s">
        <v>1487</v>
      </c>
      <c r="KRP989" s="16" t="s">
        <v>1487</v>
      </c>
      <c r="KRQ989" s="16" t="s">
        <v>1487</v>
      </c>
      <c r="KRR989" s="16" t="s">
        <v>1487</v>
      </c>
      <c r="KRS989" s="16" t="s">
        <v>1487</v>
      </c>
      <c r="KRT989" s="16" t="s">
        <v>1487</v>
      </c>
      <c r="KRU989" s="16" t="s">
        <v>1487</v>
      </c>
      <c r="KRV989" s="16" t="s">
        <v>1487</v>
      </c>
      <c r="KRW989" s="16" t="s">
        <v>1487</v>
      </c>
      <c r="KRX989" s="16" t="s">
        <v>1487</v>
      </c>
      <c r="KRY989" s="16" t="s">
        <v>1487</v>
      </c>
      <c r="KRZ989" s="16" t="s">
        <v>1487</v>
      </c>
      <c r="KSA989" s="16" t="s">
        <v>1487</v>
      </c>
      <c r="KSB989" s="16" t="s">
        <v>1487</v>
      </c>
      <c r="KSC989" s="16" t="s">
        <v>1487</v>
      </c>
      <c r="KSD989" s="16" t="s">
        <v>1487</v>
      </c>
      <c r="KSE989" s="16" t="s">
        <v>1487</v>
      </c>
      <c r="KSF989" s="16" t="s">
        <v>1487</v>
      </c>
      <c r="KSG989" s="16" t="s">
        <v>1487</v>
      </c>
      <c r="KSH989" s="16" t="s">
        <v>1487</v>
      </c>
      <c r="KSI989" s="16" t="s">
        <v>1487</v>
      </c>
      <c r="KSJ989" s="16" t="s">
        <v>1487</v>
      </c>
      <c r="KSK989" s="16" t="s">
        <v>1487</v>
      </c>
      <c r="KSL989" s="16" t="s">
        <v>1487</v>
      </c>
      <c r="KSM989" s="16" t="s">
        <v>1487</v>
      </c>
      <c r="KSN989" s="16" t="s">
        <v>1487</v>
      </c>
      <c r="KSO989" s="16" t="s">
        <v>1487</v>
      </c>
      <c r="KSP989" s="16" t="s">
        <v>1487</v>
      </c>
      <c r="KSQ989" s="16" t="s">
        <v>1487</v>
      </c>
      <c r="KSR989" s="16" t="s">
        <v>1487</v>
      </c>
      <c r="KSS989" s="16" t="s">
        <v>1487</v>
      </c>
      <c r="KST989" s="16" t="s">
        <v>1487</v>
      </c>
      <c r="KSU989" s="16" t="s">
        <v>1487</v>
      </c>
      <c r="KSV989" s="16" t="s">
        <v>1487</v>
      </c>
      <c r="KSW989" s="16" t="s">
        <v>1487</v>
      </c>
      <c r="KSX989" s="16" t="s">
        <v>1487</v>
      </c>
      <c r="KSY989" s="16" t="s">
        <v>1487</v>
      </c>
      <c r="KSZ989" s="16" t="s">
        <v>1487</v>
      </c>
      <c r="KTA989" s="16" t="s">
        <v>1487</v>
      </c>
      <c r="KTB989" s="16" t="s">
        <v>1487</v>
      </c>
      <c r="KTC989" s="16" t="s">
        <v>1487</v>
      </c>
      <c r="KTD989" s="16" t="s">
        <v>1487</v>
      </c>
      <c r="KTE989" s="16" t="s">
        <v>1487</v>
      </c>
      <c r="KTF989" s="16" t="s">
        <v>1487</v>
      </c>
      <c r="KTG989" s="16" t="s">
        <v>1487</v>
      </c>
      <c r="KTH989" s="16" t="s">
        <v>1487</v>
      </c>
      <c r="KTI989" s="16" t="s">
        <v>1487</v>
      </c>
      <c r="KTJ989" s="16" t="s">
        <v>1487</v>
      </c>
      <c r="KTK989" s="16" t="s">
        <v>1487</v>
      </c>
      <c r="KTL989" s="16" t="s">
        <v>1487</v>
      </c>
      <c r="KTM989" s="16" t="s">
        <v>1487</v>
      </c>
      <c r="KTN989" s="16" t="s">
        <v>1487</v>
      </c>
      <c r="KTO989" s="16" t="s">
        <v>1487</v>
      </c>
      <c r="KTP989" s="16" t="s">
        <v>1487</v>
      </c>
      <c r="KTQ989" s="16" t="s">
        <v>1487</v>
      </c>
      <c r="KTR989" s="16" t="s">
        <v>1487</v>
      </c>
      <c r="KTS989" s="16" t="s">
        <v>1487</v>
      </c>
      <c r="KTT989" s="16" t="s">
        <v>1487</v>
      </c>
      <c r="KTU989" s="16" t="s">
        <v>1487</v>
      </c>
      <c r="KTV989" s="16" t="s">
        <v>1487</v>
      </c>
      <c r="KTW989" s="16" t="s">
        <v>1487</v>
      </c>
      <c r="KTX989" s="16" t="s">
        <v>1487</v>
      </c>
      <c r="KTY989" s="16" t="s">
        <v>1487</v>
      </c>
      <c r="KTZ989" s="16" t="s">
        <v>1487</v>
      </c>
      <c r="KUA989" s="16" t="s">
        <v>1487</v>
      </c>
      <c r="KUB989" s="16" t="s">
        <v>1487</v>
      </c>
      <c r="KUC989" s="16" t="s">
        <v>1487</v>
      </c>
      <c r="KUD989" s="16" t="s">
        <v>1487</v>
      </c>
      <c r="KUE989" s="16" t="s">
        <v>1487</v>
      </c>
      <c r="KUF989" s="16" t="s">
        <v>1487</v>
      </c>
      <c r="KUG989" s="16" t="s">
        <v>1487</v>
      </c>
      <c r="KUH989" s="16" t="s">
        <v>1487</v>
      </c>
      <c r="KUI989" s="16" t="s">
        <v>1487</v>
      </c>
      <c r="KUJ989" s="16" t="s">
        <v>1487</v>
      </c>
      <c r="KUK989" s="16" t="s">
        <v>1487</v>
      </c>
      <c r="KUL989" s="16" t="s">
        <v>1487</v>
      </c>
      <c r="KUM989" s="16" t="s">
        <v>1487</v>
      </c>
      <c r="KUN989" s="16" t="s">
        <v>1487</v>
      </c>
      <c r="KUO989" s="16" t="s">
        <v>1487</v>
      </c>
      <c r="KUP989" s="16" t="s">
        <v>1487</v>
      </c>
      <c r="KUQ989" s="16" t="s">
        <v>1487</v>
      </c>
      <c r="KUR989" s="16" t="s">
        <v>1487</v>
      </c>
      <c r="KUS989" s="16" t="s">
        <v>1487</v>
      </c>
      <c r="KUT989" s="16" t="s">
        <v>1487</v>
      </c>
      <c r="KUU989" s="16" t="s">
        <v>1487</v>
      </c>
      <c r="KUV989" s="16" t="s">
        <v>1487</v>
      </c>
      <c r="KUW989" s="16" t="s">
        <v>1487</v>
      </c>
      <c r="KUX989" s="16" t="s">
        <v>1487</v>
      </c>
      <c r="KUY989" s="16" t="s">
        <v>1487</v>
      </c>
      <c r="KUZ989" s="16" t="s">
        <v>1487</v>
      </c>
      <c r="KVA989" s="16" t="s">
        <v>1487</v>
      </c>
      <c r="KVB989" s="16" t="s">
        <v>1487</v>
      </c>
      <c r="KVC989" s="16" t="s">
        <v>1487</v>
      </c>
      <c r="KVD989" s="16" t="s">
        <v>1487</v>
      </c>
      <c r="KVE989" s="16" t="s">
        <v>1487</v>
      </c>
      <c r="KVF989" s="16" t="s">
        <v>1487</v>
      </c>
      <c r="KVG989" s="16" t="s">
        <v>1487</v>
      </c>
      <c r="KVH989" s="16" t="s">
        <v>1487</v>
      </c>
      <c r="KVI989" s="16" t="s">
        <v>1487</v>
      </c>
      <c r="KVJ989" s="16" t="s">
        <v>1487</v>
      </c>
      <c r="KVK989" s="16" t="s">
        <v>1487</v>
      </c>
      <c r="KVL989" s="16" t="s">
        <v>1487</v>
      </c>
      <c r="KVM989" s="16" t="s">
        <v>1487</v>
      </c>
      <c r="KVN989" s="16" t="s">
        <v>1487</v>
      </c>
      <c r="KVO989" s="16" t="s">
        <v>1487</v>
      </c>
      <c r="KVP989" s="16" t="s">
        <v>1487</v>
      </c>
      <c r="KVQ989" s="16" t="s">
        <v>1487</v>
      </c>
      <c r="KVR989" s="16" t="s">
        <v>1487</v>
      </c>
      <c r="KVS989" s="16" t="s">
        <v>1487</v>
      </c>
      <c r="KVT989" s="16" t="s">
        <v>1487</v>
      </c>
      <c r="KVU989" s="16" t="s">
        <v>1487</v>
      </c>
      <c r="KVV989" s="16" t="s">
        <v>1487</v>
      </c>
      <c r="KVW989" s="16" t="s">
        <v>1487</v>
      </c>
      <c r="KVX989" s="16" t="s">
        <v>1487</v>
      </c>
      <c r="KVY989" s="16" t="s">
        <v>1487</v>
      </c>
      <c r="KVZ989" s="16" t="s">
        <v>1487</v>
      </c>
      <c r="KWA989" s="16" t="s">
        <v>1487</v>
      </c>
      <c r="KWB989" s="16" t="s">
        <v>1487</v>
      </c>
      <c r="KWC989" s="16" t="s">
        <v>1487</v>
      </c>
      <c r="KWD989" s="16" t="s">
        <v>1487</v>
      </c>
      <c r="KWE989" s="16" t="s">
        <v>1487</v>
      </c>
      <c r="KWF989" s="16" t="s">
        <v>1487</v>
      </c>
      <c r="KWG989" s="16" t="s">
        <v>1487</v>
      </c>
      <c r="KWH989" s="16" t="s">
        <v>1487</v>
      </c>
      <c r="KWI989" s="16" t="s">
        <v>1487</v>
      </c>
      <c r="KWJ989" s="16" t="s">
        <v>1487</v>
      </c>
      <c r="KWK989" s="16" t="s">
        <v>1487</v>
      </c>
      <c r="KWL989" s="16" t="s">
        <v>1487</v>
      </c>
      <c r="KWM989" s="16" t="s">
        <v>1487</v>
      </c>
      <c r="KWN989" s="16" t="s">
        <v>1487</v>
      </c>
      <c r="KWO989" s="16" t="s">
        <v>1487</v>
      </c>
      <c r="KWP989" s="16" t="s">
        <v>1487</v>
      </c>
      <c r="KWQ989" s="16" t="s">
        <v>1487</v>
      </c>
      <c r="KWR989" s="16" t="s">
        <v>1487</v>
      </c>
      <c r="KWS989" s="16" t="s">
        <v>1487</v>
      </c>
      <c r="KWT989" s="16" t="s">
        <v>1487</v>
      </c>
      <c r="KWU989" s="16" t="s">
        <v>1487</v>
      </c>
      <c r="KWV989" s="16" t="s">
        <v>1487</v>
      </c>
      <c r="KWW989" s="16" t="s">
        <v>1487</v>
      </c>
      <c r="KWX989" s="16" t="s">
        <v>1487</v>
      </c>
      <c r="KWY989" s="16" t="s">
        <v>1487</v>
      </c>
      <c r="KWZ989" s="16" t="s">
        <v>1487</v>
      </c>
      <c r="KXA989" s="16" t="s">
        <v>1487</v>
      </c>
      <c r="KXB989" s="16" t="s">
        <v>1487</v>
      </c>
      <c r="KXC989" s="16" t="s">
        <v>1487</v>
      </c>
      <c r="KXD989" s="16" t="s">
        <v>1487</v>
      </c>
      <c r="KXE989" s="16" t="s">
        <v>1487</v>
      </c>
      <c r="KXF989" s="16" t="s">
        <v>1487</v>
      </c>
      <c r="KXG989" s="16" t="s">
        <v>1487</v>
      </c>
      <c r="KXH989" s="16" t="s">
        <v>1487</v>
      </c>
      <c r="KXI989" s="16" t="s">
        <v>1487</v>
      </c>
      <c r="KXJ989" s="16" t="s">
        <v>1487</v>
      </c>
      <c r="KXK989" s="16" t="s">
        <v>1487</v>
      </c>
      <c r="KXL989" s="16" t="s">
        <v>1487</v>
      </c>
      <c r="KXM989" s="16" t="s">
        <v>1487</v>
      </c>
      <c r="KXN989" s="16" t="s">
        <v>1487</v>
      </c>
      <c r="KXO989" s="16" t="s">
        <v>1487</v>
      </c>
      <c r="KXP989" s="16" t="s">
        <v>1487</v>
      </c>
      <c r="KXQ989" s="16" t="s">
        <v>1487</v>
      </c>
      <c r="KXR989" s="16" t="s">
        <v>1487</v>
      </c>
      <c r="KXS989" s="16" t="s">
        <v>1487</v>
      </c>
      <c r="KXT989" s="16" t="s">
        <v>1487</v>
      </c>
      <c r="KXU989" s="16" t="s">
        <v>1487</v>
      </c>
      <c r="KXV989" s="16" t="s">
        <v>1487</v>
      </c>
      <c r="KXW989" s="16" t="s">
        <v>1487</v>
      </c>
      <c r="KXX989" s="16" t="s">
        <v>1487</v>
      </c>
      <c r="KXY989" s="16" t="s">
        <v>1487</v>
      </c>
      <c r="KXZ989" s="16" t="s">
        <v>1487</v>
      </c>
      <c r="KYA989" s="16" t="s">
        <v>1487</v>
      </c>
      <c r="KYB989" s="16" t="s">
        <v>1487</v>
      </c>
      <c r="KYC989" s="16" t="s">
        <v>1487</v>
      </c>
      <c r="KYD989" s="16" t="s">
        <v>1487</v>
      </c>
      <c r="KYE989" s="16" t="s">
        <v>1487</v>
      </c>
      <c r="KYF989" s="16" t="s">
        <v>1487</v>
      </c>
      <c r="KYG989" s="16" t="s">
        <v>1487</v>
      </c>
      <c r="KYH989" s="16" t="s">
        <v>1487</v>
      </c>
      <c r="KYI989" s="16" t="s">
        <v>1487</v>
      </c>
      <c r="KYJ989" s="16" t="s">
        <v>1487</v>
      </c>
      <c r="KYK989" s="16" t="s">
        <v>1487</v>
      </c>
      <c r="KYL989" s="16" t="s">
        <v>1487</v>
      </c>
      <c r="KYM989" s="16" t="s">
        <v>1487</v>
      </c>
      <c r="KYN989" s="16" t="s">
        <v>1487</v>
      </c>
      <c r="KYO989" s="16" t="s">
        <v>1487</v>
      </c>
      <c r="KYP989" s="16" t="s">
        <v>1487</v>
      </c>
      <c r="KYQ989" s="16" t="s">
        <v>1487</v>
      </c>
      <c r="KYR989" s="16" t="s">
        <v>1487</v>
      </c>
      <c r="KYS989" s="16" t="s">
        <v>1487</v>
      </c>
      <c r="KYT989" s="16" t="s">
        <v>1487</v>
      </c>
      <c r="KYU989" s="16" t="s">
        <v>1487</v>
      </c>
      <c r="KYV989" s="16" t="s">
        <v>1487</v>
      </c>
      <c r="KYW989" s="16" t="s">
        <v>1487</v>
      </c>
      <c r="KYX989" s="16" t="s">
        <v>1487</v>
      </c>
      <c r="KYY989" s="16" t="s">
        <v>1487</v>
      </c>
      <c r="KYZ989" s="16" t="s">
        <v>1487</v>
      </c>
      <c r="KZA989" s="16" t="s">
        <v>1487</v>
      </c>
      <c r="KZB989" s="16" t="s">
        <v>1487</v>
      </c>
      <c r="KZC989" s="16" t="s">
        <v>1487</v>
      </c>
      <c r="KZD989" s="16" t="s">
        <v>1487</v>
      </c>
      <c r="KZE989" s="16" t="s">
        <v>1487</v>
      </c>
      <c r="KZF989" s="16" t="s">
        <v>1487</v>
      </c>
      <c r="KZG989" s="16" t="s">
        <v>1487</v>
      </c>
      <c r="KZH989" s="16" t="s">
        <v>1487</v>
      </c>
      <c r="KZI989" s="16" t="s">
        <v>1487</v>
      </c>
      <c r="KZJ989" s="16" t="s">
        <v>1487</v>
      </c>
      <c r="KZK989" s="16" t="s">
        <v>1487</v>
      </c>
      <c r="KZL989" s="16" t="s">
        <v>1487</v>
      </c>
      <c r="KZM989" s="16" t="s">
        <v>1487</v>
      </c>
      <c r="KZN989" s="16" t="s">
        <v>1487</v>
      </c>
      <c r="KZO989" s="16" t="s">
        <v>1487</v>
      </c>
      <c r="KZP989" s="16" t="s">
        <v>1487</v>
      </c>
      <c r="KZQ989" s="16" t="s">
        <v>1487</v>
      </c>
      <c r="KZR989" s="16" t="s">
        <v>1487</v>
      </c>
      <c r="KZS989" s="16" t="s">
        <v>1487</v>
      </c>
      <c r="KZT989" s="16" t="s">
        <v>1487</v>
      </c>
      <c r="KZU989" s="16" t="s">
        <v>1487</v>
      </c>
      <c r="KZV989" s="16" t="s">
        <v>1487</v>
      </c>
      <c r="KZW989" s="16" t="s">
        <v>1487</v>
      </c>
      <c r="KZX989" s="16" t="s">
        <v>1487</v>
      </c>
      <c r="KZY989" s="16" t="s">
        <v>1487</v>
      </c>
      <c r="KZZ989" s="16" t="s">
        <v>1487</v>
      </c>
      <c r="LAA989" s="16" t="s">
        <v>1487</v>
      </c>
      <c r="LAB989" s="16" t="s">
        <v>1487</v>
      </c>
      <c r="LAC989" s="16" t="s">
        <v>1487</v>
      </c>
      <c r="LAD989" s="16" t="s">
        <v>1487</v>
      </c>
      <c r="LAE989" s="16" t="s">
        <v>1487</v>
      </c>
      <c r="LAF989" s="16" t="s">
        <v>1487</v>
      </c>
      <c r="LAG989" s="16" t="s">
        <v>1487</v>
      </c>
      <c r="LAH989" s="16" t="s">
        <v>1487</v>
      </c>
      <c r="LAI989" s="16" t="s">
        <v>1487</v>
      </c>
      <c r="LAJ989" s="16" t="s">
        <v>1487</v>
      </c>
      <c r="LAK989" s="16" t="s">
        <v>1487</v>
      </c>
      <c r="LAL989" s="16" t="s">
        <v>1487</v>
      </c>
      <c r="LAM989" s="16" t="s">
        <v>1487</v>
      </c>
      <c r="LAN989" s="16" t="s">
        <v>1487</v>
      </c>
      <c r="LAO989" s="16" t="s">
        <v>1487</v>
      </c>
      <c r="LAP989" s="16" t="s">
        <v>1487</v>
      </c>
      <c r="LAQ989" s="16" t="s">
        <v>1487</v>
      </c>
      <c r="LAR989" s="16" t="s">
        <v>1487</v>
      </c>
      <c r="LAS989" s="16" t="s">
        <v>1487</v>
      </c>
      <c r="LAT989" s="16" t="s">
        <v>1487</v>
      </c>
      <c r="LAU989" s="16" t="s">
        <v>1487</v>
      </c>
      <c r="LAV989" s="16" t="s">
        <v>1487</v>
      </c>
      <c r="LAW989" s="16" t="s">
        <v>1487</v>
      </c>
      <c r="LAX989" s="16" t="s">
        <v>1487</v>
      </c>
      <c r="LAY989" s="16" t="s">
        <v>1487</v>
      </c>
      <c r="LAZ989" s="16" t="s">
        <v>1487</v>
      </c>
      <c r="LBA989" s="16" t="s">
        <v>1487</v>
      </c>
      <c r="LBB989" s="16" t="s">
        <v>1487</v>
      </c>
      <c r="LBC989" s="16" t="s">
        <v>1487</v>
      </c>
      <c r="LBD989" s="16" t="s">
        <v>1487</v>
      </c>
      <c r="LBE989" s="16" t="s">
        <v>1487</v>
      </c>
      <c r="LBF989" s="16" t="s">
        <v>1487</v>
      </c>
      <c r="LBG989" s="16" t="s">
        <v>1487</v>
      </c>
      <c r="LBH989" s="16" t="s">
        <v>1487</v>
      </c>
      <c r="LBI989" s="16" t="s">
        <v>1487</v>
      </c>
      <c r="LBJ989" s="16" t="s">
        <v>1487</v>
      </c>
      <c r="LBK989" s="16" t="s">
        <v>1487</v>
      </c>
      <c r="LBL989" s="16" t="s">
        <v>1487</v>
      </c>
      <c r="LBM989" s="16" t="s">
        <v>1487</v>
      </c>
      <c r="LBN989" s="16" t="s">
        <v>1487</v>
      </c>
      <c r="LBO989" s="16" t="s">
        <v>1487</v>
      </c>
      <c r="LBP989" s="16" t="s">
        <v>1487</v>
      </c>
      <c r="LBQ989" s="16" t="s">
        <v>1487</v>
      </c>
      <c r="LBR989" s="16" t="s">
        <v>1487</v>
      </c>
      <c r="LBS989" s="16" t="s">
        <v>1487</v>
      </c>
      <c r="LBT989" s="16" t="s">
        <v>1487</v>
      </c>
      <c r="LBU989" s="16" t="s">
        <v>1487</v>
      </c>
      <c r="LBV989" s="16" t="s">
        <v>1487</v>
      </c>
      <c r="LBW989" s="16" t="s">
        <v>1487</v>
      </c>
      <c r="LBX989" s="16" t="s">
        <v>1487</v>
      </c>
      <c r="LBY989" s="16" t="s">
        <v>1487</v>
      </c>
      <c r="LBZ989" s="16" t="s">
        <v>1487</v>
      </c>
      <c r="LCA989" s="16" t="s">
        <v>1487</v>
      </c>
      <c r="LCB989" s="16" t="s">
        <v>1487</v>
      </c>
      <c r="LCC989" s="16" t="s">
        <v>1487</v>
      </c>
      <c r="LCD989" s="16" t="s">
        <v>1487</v>
      </c>
      <c r="LCE989" s="16" t="s">
        <v>1487</v>
      </c>
      <c r="LCF989" s="16" t="s">
        <v>1487</v>
      </c>
      <c r="LCG989" s="16" t="s">
        <v>1487</v>
      </c>
      <c r="LCH989" s="16" t="s">
        <v>1487</v>
      </c>
      <c r="LCI989" s="16" t="s">
        <v>1487</v>
      </c>
      <c r="LCJ989" s="16" t="s">
        <v>1487</v>
      </c>
      <c r="LCK989" s="16" t="s">
        <v>1487</v>
      </c>
      <c r="LCL989" s="16" t="s">
        <v>1487</v>
      </c>
      <c r="LCM989" s="16" t="s">
        <v>1487</v>
      </c>
      <c r="LCN989" s="16" t="s">
        <v>1487</v>
      </c>
      <c r="LCO989" s="16" t="s">
        <v>1487</v>
      </c>
      <c r="LCP989" s="16" t="s">
        <v>1487</v>
      </c>
      <c r="LCQ989" s="16" t="s">
        <v>1487</v>
      </c>
      <c r="LCR989" s="16" t="s">
        <v>1487</v>
      </c>
      <c r="LCS989" s="16" t="s">
        <v>1487</v>
      </c>
      <c r="LCT989" s="16" t="s">
        <v>1487</v>
      </c>
      <c r="LCU989" s="16" t="s">
        <v>1487</v>
      </c>
      <c r="LCV989" s="16" t="s">
        <v>1487</v>
      </c>
      <c r="LCW989" s="16" t="s">
        <v>1487</v>
      </c>
      <c r="LCX989" s="16" t="s">
        <v>1487</v>
      </c>
      <c r="LCY989" s="16" t="s">
        <v>1487</v>
      </c>
      <c r="LCZ989" s="16" t="s">
        <v>1487</v>
      </c>
      <c r="LDA989" s="16" t="s">
        <v>1487</v>
      </c>
      <c r="LDB989" s="16" t="s">
        <v>1487</v>
      </c>
      <c r="LDC989" s="16" t="s">
        <v>1487</v>
      </c>
      <c r="LDD989" s="16" t="s">
        <v>1487</v>
      </c>
      <c r="LDE989" s="16" t="s">
        <v>1487</v>
      </c>
      <c r="LDF989" s="16" t="s">
        <v>1487</v>
      </c>
      <c r="LDG989" s="16" t="s">
        <v>1487</v>
      </c>
      <c r="LDH989" s="16" t="s">
        <v>1487</v>
      </c>
      <c r="LDI989" s="16" t="s">
        <v>1487</v>
      </c>
      <c r="LDJ989" s="16" t="s">
        <v>1487</v>
      </c>
      <c r="LDK989" s="16" t="s">
        <v>1487</v>
      </c>
      <c r="LDL989" s="16" t="s">
        <v>1487</v>
      </c>
      <c r="LDM989" s="16" t="s">
        <v>1487</v>
      </c>
      <c r="LDN989" s="16" t="s">
        <v>1487</v>
      </c>
      <c r="LDO989" s="16" t="s">
        <v>1487</v>
      </c>
      <c r="LDP989" s="16" t="s">
        <v>1487</v>
      </c>
      <c r="LDQ989" s="16" t="s">
        <v>1487</v>
      </c>
      <c r="LDR989" s="16" t="s">
        <v>1487</v>
      </c>
      <c r="LDS989" s="16" t="s">
        <v>1487</v>
      </c>
      <c r="LDT989" s="16" t="s">
        <v>1487</v>
      </c>
      <c r="LDU989" s="16" t="s">
        <v>1487</v>
      </c>
      <c r="LDV989" s="16" t="s">
        <v>1487</v>
      </c>
      <c r="LDW989" s="16" t="s">
        <v>1487</v>
      </c>
      <c r="LDX989" s="16" t="s">
        <v>1487</v>
      </c>
      <c r="LDY989" s="16" t="s">
        <v>1487</v>
      </c>
      <c r="LDZ989" s="16" t="s">
        <v>1487</v>
      </c>
      <c r="LEA989" s="16" t="s">
        <v>1487</v>
      </c>
      <c r="LEB989" s="16" t="s">
        <v>1487</v>
      </c>
      <c r="LEC989" s="16" t="s">
        <v>1487</v>
      </c>
      <c r="LED989" s="16" t="s">
        <v>1487</v>
      </c>
      <c r="LEE989" s="16" t="s">
        <v>1487</v>
      </c>
      <c r="LEF989" s="16" t="s">
        <v>1487</v>
      </c>
      <c r="LEG989" s="16" t="s">
        <v>1487</v>
      </c>
      <c r="LEH989" s="16" t="s">
        <v>1487</v>
      </c>
      <c r="LEI989" s="16" t="s">
        <v>1487</v>
      </c>
      <c r="LEJ989" s="16" t="s">
        <v>1487</v>
      </c>
      <c r="LEK989" s="16" t="s">
        <v>1487</v>
      </c>
      <c r="LEL989" s="16" t="s">
        <v>1487</v>
      </c>
      <c r="LEM989" s="16" t="s">
        <v>1487</v>
      </c>
      <c r="LEN989" s="16" t="s">
        <v>1487</v>
      </c>
      <c r="LEO989" s="16" t="s">
        <v>1487</v>
      </c>
      <c r="LEP989" s="16" t="s">
        <v>1487</v>
      </c>
      <c r="LEQ989" s="16" t="s">
        <v>1487</v>
      </c>
      <c r="LER989" s="16" t="s">
        <v>1487</v>
      </c>
      <c r="LES989" s="16" t="s">
        <v>1487</v>
      </c>
      <c r="LET989" s="16" t="s">
        <v>1487</v>
      </c>
      <c r="LEU989" s="16" t="s">
        <v>1487</v>
      </c>
      <c r="LEV989" s="16" t="s">
        <v>1487</v>
      </c>
      <c r="LEW989" s="16" t="s">
        <v>1487</v>
      </c>
      <c r="LEX989" s="16" t="s">
        <v>1487</v>
      </c>
      <c r="LEY989" s="16" t="s">
        <v>1487</v>
      </c>
      <c r="LEZ989" s="16" t="s">
        <v>1487</v>
      </c>
      <c r="LFA989" s="16" t="s">
        <v>1487</v>
      </c>
      <c r="LFB989" s="16" t="s">
        <v>1487</v>
      </c>
      <c r="LFC989" s="16" t="s">
        <v>1487</v>
      </c>
      <c r="LFD989" s="16" t="s">
        <v>1487</v>
      </c>
      <c r="LFE989" s="16" t="s">
        <v>1487</v>
      </c>
      <c r="LFF989" s="16" t="s">
        <v>1487</v>
      </c>
      <c r="LFG989" s="16" t="s">
        <v>1487</v>
      </c>
      <c r="LFH989" s="16" t="s">
        <v>1487</v>
      </c>
      <c r="LFI989" s="16" t="s">
        <v>1487</v>
      </c>
      <c r="LFJ989" s="16" t="s">
        <v>1487</v>
      </c>
      <c r="LFK989" s="16" t="s">
        <v>1487</v>
      </c>
      <c r="LFL989" s="16" t="s">
        <v>1487</v>
      </c>
      <c r="LFM989" s="16" t="s">
        <v>1487</v>
      </c>
      <c r="LFN989" s="16" t="s">
        <v>1487</v>
      </c>
      <c r="LFO989" s="16" t="s">
        <v>1487</v>
      </c>
      <c r="LFP989" s="16" t="s">
        <v>1487</v>
      </c>
      <c r="LFQ989" s="16" t="s">
        <v>1487</v>
      </c>
      <c r="LFR989" s="16" t="s">
        <v>1487</v>
      </c>
      <c r="LFS989" s="16" t="s">
        <v>1487</v>
      </c>
      <c r="LFT989" s="16" t="s">
        <v>1487</v>
      </c>
      <c r="LFU989" s="16" t="s">
        <v>1487</v>
      </c>
      <c r="LFV989" s="16" t="s">
        <v>1487</v>
      </c>
      <c r="LFW989" s="16" t="s">
        <v>1487</v>
      </c>
      <c r="LFX989" s="16" t="s">
        <v>1487</v>
      </c>
      <c r="LFY989" s="16" t="s">
        <v>1487</v>
      </c>
      <c r="LFZ989" s="16" t="s">
        <v>1487</v>
      </c>
      <c r="LGA989" s="16" t="s">
        <v>1487</v>
      </c>
      <c r="LGB989" s="16" t="s">
        <v>1487</v>
      </c>
      <c r="LGC989" s="16" t="s">
        <v>1487</v>
      </c>
      <c r="LGD989" s="16" t="s">
        <v>1487</v>
      </c>
      <c r="LGE989" s="16" t="s">
        <v>1487</v>
      </c>
      <c r="LGF989" s="16" t="s">
        <v>1487</v>
      </c>
      <c r="LGG989" s="16" t="s">
        <v>1487</v>
      </c>
      <c r="LGH989" s="16" t="s">
        <v>1487</v>
      </c>
      <c r="LGI989" s="16" t="s">
        <v>1487</v>
      </c>
      <c r="LGJ989" s="16" t="s">
        <v>1487</v>
      </c>
      <c r="LGK989" s="16" t="s">
        <v>1487</v>
      </c>
      <c r="LGL989" s="16" t="s">
        <v>1487</v>
      </c>
      <c r="LGM989" s="16" t="s">
        <v>1487</v>
      </c>
      <c r="LGN989" s="16" t="s">
        <v>1487</v>
      </c>
      <c r="LGO989" s="16" t="s">
        <v>1487</v>
      </c>
      <c r="LGP989" s="16" t="s">
        <v>1487</v>
      </c>
      <c r="LGQ989" s="16" t="s">
        <v>1487</v>
      </c>
      <c r="LGR989" s="16" t="s">
        <v>1487</v>
      </c>
      <c r="LGS989" s="16" t="s">
        <v>1487</v>
      </c>
      <c r="LGT989" s="16" t="s">
        <v>1487</v>
      </c>
      <c r="LGU989" s="16" t="s">
        <v>1487</v>
      </c>
      <c r="LGV989" s="16" t="s">
        <v>1487</v>
      </c>
      <c r="LGW989" s="16" t="s">
        <v>1487</v>
      </c>
      <c r="LGX989" s="16" t="s">
        <v>1487</v>
      </c>
      <c r="LGY989" s="16" t="s">
        <v>1487</v>
      </c>
      <c r="LGZ989" s="16" t="s">
        <v>1487</v>
      </c>
      <c r="LHA989" s="16" t="s">
        <v>1487</v>
      </c>
      <c r="LHB989" s="16" t="s">
        <v>1487</v>
      </c>
      <c r="LHC989" s="16" t="s">
        <v>1487</v>
      </c>
      <c r="LHD989" s="16" t="s">
        <v>1487</v>
      </c>
      <c r="LHE989" s="16" t="s">
        <v>1487</v>
      </c>
      <c r="LHF989" s="16" t="s">
        <v>1487</v>
      </c>
      <c r="LHG989" s="16" t="s">
        <v>1487</v>
      </c>
      <c r="LHH989" s="16" t="s">
        <v>1487</v>
      </c>
      <c r="LHI989" s="16" t="s">
        <v>1487</v>
      </c>
      <c r="LHJ989" s="16" t="s">
        <v>1487</v>
      </c>
      <c r="LHK989" s="16" t="s">
        <v>1487</v>
      </c>
      <c r="LHL989" s="16" t="s">
        <v>1487</v>
      </c>
      <c r="LHM989" s="16" t="s">
        <v>1487</v>
      </c>
      <c r="LHN989" s="16" t="s">
        <v>1487</v>
      </c>
      <c r="LHO989" s="16" t="s">
        <v>1487</v>
      </c>
      <c r="LHP989" s="16" t="s">
        <v>1487</v>
      </c>
      <c r="LHQ989" s="16" t="s">
        <v>1487</v>
      </c>
      <c r="LHR989" s="16" t="s">
        <v>1487</v>
      </c>
      <c r="LHS989" s="16" t="s">
        <v>1487</v>
      </c>
      <c r="LHT989" s="16" t="s">
        <v>1487</v>
      </c>
      <c r="LHU989" s="16" t="s">
        <v>1487</v>
      </c>
      <c r="LHV989" s="16" t="s">
        <v>1487</v>
      </c>
      <c r="LHW989" s="16" t="s">
        <v>1487</v>
      </c>
      <c r="LHX989" s="16" t="s">
        <v>1487</v>
      </c>
      <c r="LHY989" s="16" t="s">
        <v>1487</v>
      </c>
      <c r="LHZ989" s="16" t="s">
        <v>1487</v>
      </c>
      <c r="LIA989" s="16" t="s">
        <v>1487</v>
      </c>
      <c r="LIB989" s="16" t="s">
        <v>1487</v>
      </c>
      <c r="LIC989" s="16" t="s">
        <v>1487</v>
      </c>
      <c r="LID989" s="16" t="s">
        <v>1487</v>
      </c>
      <c r="LIE989" s="16" t="s">
        <v>1487</v>
      </c>
      <c r="LIF989" s="16" t="s">
        <v>1487</v>
      </c>
      <c r="LIG989" s="16" t="s">
        <v>1487</v>
      </c>
      <c r="LIH989" s="16" t="s">
        <v>1487</v>
      </c>
      <c r="LII989" s="16" t="s">
        <v>1487</v>
      </c>
      <c r="LIJ989" s="16" t="s">
        <v>1487</v>
      </c>
      <c r="LIK989" s="16" t="s">
        <v>1487</v>
      </c>
      <c r="LIL989" s="16" t="s">
        <v>1487</v>
      </c>
      <c r="LIM989" s="16" t="s">
        <v>1487</v>
      </c>
      <c r="LIN989" s="16" t="s">
        <v>1487</v>
      </c>
      <c r="LIO989" s="16" t="s">
        <v>1487</v>
      </c>
      <c r="LIP989" s="16" t="s">
        <v>1487</v>
      </c>
      <c r="LIQ989" s="16" t="s">
        <v>1487</v>
      </c>
      <c r="LIR989" s="16" t="s">
        <v>1487</v>
      </c>
      <c r="LIS989" s="16" t="s">
        <v>1487</v>
      </c>
      <c r="LIT989" s="16" t="s">
        <v>1487</v>
      </c>
      <c r="LIU989" s="16" t="s">
        <v>1487</v>
      </c>
      <c r="LIV989" s="16" t="s">
        <v>1487</v>
      </c>
      <c r="LIW989" s="16" t="s">
        <v>1487</v>
      </c>
      <c r="LIX989" s="16" t="s">
        <v>1487</v>
      </c>
      <c r="LIY989" s="16" t="s">
        <v>1487</v>
      </c>
      <c r="LIZ989" s="16" t="s">
        <v>1487</v>
      </c>
      <c r="LJA989" s="16" t="s">
        <v>1487</v>
      </c>
      <c r="LJB989" s="16" t="s">
        <v>1487</v>
      </c>
      <c r="LJC989" s="16" t="s">
        <v>1487</v>
      </c>
      <c r="LJD989" s="16" t="s">
        <v>1487</v>
      </c>
      <c r="LJE989" s="16" t="s">
        <v>1487</v>
      </c>
      <c r="LJF989" s="16" t="s">
        <v>1487</v>
      </c>
      <c r="LJG989" s="16" t="s">
        <v>1487</v>
      </c>
      <c r="LJH989" s="16" t="s">
        <v>1487</v>
      </c>
      <c r="LJI989" s="16" t="s">
        <v>1487</v>
      </c>
      <c r="LJJ989" s="16" t="s">
        <v>1487</v>
      </c>
      <c r="LJK989" s="16" t="s">
        <v>1487</v>
      </c>
      <c r="LJL989" s="16" t="s">
        <v>1487</v>
      </c>
      <c r="LJM989" s="16" t="s">
        <v>1487</v>
      </c>
      <c r="LJN989" s="16" t="s">
        <v>1487</v>
      </c>
      <c r="LJO989" s="16" t="s">
        <v>1487</v>
      </c>
      <c r="LJP989" s="16" t="s">
        <v>1487</v>
      </c>
      <c r="LJQ989" s="16" t="s">
        <v>1487</v>
      </c>
      <c r="LJR989" s="16" t="s">
        <v>1487</v>
      </c>
      <c r="LJS989" s="16" t="s">
        <v>1487</v>
      </c>
      <c r="LJT989" s="16" t="s">
        <v>1487</v>
      </c>
      <c r="LJU989" s="16" t="s">
        <v>1487</v>
      </c>
      <c r="LJV989" s="16" t="s">
        <v>1487</v>
      </c>
      <c r="LJW989" s="16" t="s">
        <v>1487</v>
      </c>
      <c r="LJX989" s="16" t="s">
        <v>1487</v>
      </c>
      <c r="LJY989" s="16" t="s">
        <v>1487</v>
      </c>
      <c r="LJZ989" s="16" t="s">
        <v>1487</v>
      </c>
      <c r="LKA989" s="16" t="s">
        <v>1487</v>
      </c>
      <c r="LKB989" s="16" t="s">
        <v>1487</v>
      </c>
      <c r="LKC989" s="16" t="s">
        <v>1487</v>
      </c>
      <c r="LKD989" s="16" t="s">
        <v>1487</v>
      </c>
      <c r="LKE989" s="16" t="s">
        <v>1487</v>
      </c>
      <c r="LKF989" s="16" t="s">
        <v>1487</v>
      </c>
      <c r="LKG989" s="16" t="s">
        <v>1487</v>
      </c>
      <c r="LKH989" s="16" t="s">
        <v>1487</v>
      </c>
      <c r="LKI989" s="16" t="s">
        <v>1487</v>
      </c>
      <c r="LKJ989" s="16" t="s">
        <v>1487</v>
      </c>
      <c r="LKK989" s="16" t="s">
        <v>1487</v>
      </c>
      <c r="LKL989" s="16" t="s">
        <v>1487</v>
      </c>
      <c r="LKM989" s="16" t="s">
        <v>1487</v>
      </c>
      <c r="LKN989" s="16" t="s">
        <v>1487</v>
      </c>
      <c r="LKO989" s="16" t="s">
        <v>1487</v>
      </c>
      <c r="LKP989" s="16" t="s">
        <v>1487</v>
      </c>
      <c r="LKQ989" s="16" t="s">
        <v>1487</v>
      </c>
      <c r="LKR989" s="16" t="s">
        <v>1487</v>
      </c>
      <c r="LKS989" s="16" t="s">
        <v>1487</v>
      </c>
      <c r="LKT989" s="16" t="s">
        <v>1487</v>
      </c>
      <c r="LKU989" s="16" t="s">
        <v>1487</v>
      </c>
      <c r="LKV989" s="16" t="s">
        <v>1487</v>
      </c>
      <c r="LKW989" s="16" t="s">
        <v>1487</v>
      </c>
      <c r="LKX989" s="16" t="s">
        <v>1487</v>
      </c>
      <c r="LKY989" s="16" t="s">
        <v>1487</v>
      </c>
      <c r="LKZ989" s="16" t="s">
        <v>1487</v>
      </c>
      <c r="LLA989" s="16" t="s">
        <v>1487</v>
      </c>
      <c r="LLB989" s="16" t="s">
        <v>1487</v>
      </c>
      <c r="LLC989" s="16" t="s">
        <v>1487</v>
      </c>
      <c r="LLD989" s="16" t="s">
        <v>1487</v>
      </c>
      <c r="LLE989" s="16" t="s">
        <v>1487</v>
      </c>
      <c r="LLF989" s="16" t="s">
        <v>1487</v>
      </c>
      <c r="LLG989" s="16" t="s">
        <v>1487</v>
      </c>
      <c r="LLH989" s="16" t="s">
        <v>1487</v>
      </c>
      <c r="LLI989" s="16" t="s">
        <v>1487</v>
      </c>
      <c r="LLJ989" s="16" t="s">
        <v>1487</v>
      </c>
      <c r="LLK989" s="16" t="s">
        <v>1487</v>
      </c>
      <c r="LLL989" s="16" t="s">
        <v>1487</v>
      </c>
      <c r="LLM989" s="16" t="s">
        <v>1487</v>
      </c>
      <c r="LLN989" s="16" t="s">
        <v>1487</v>
      </c>
      <c r="LLO989" s="16" t="s">
        <v>1487</v>
      </c>
      <c r="LLP989" s="16" t="s">
        <v>1487</v>
      </c>
      <c r="LLQ989" s="16" t="s">
        <v>1487</v>
      </c>
      <c r="LLR989" s="16" t="s">
        <v>1487</v>
      </c>
      <c r="LLS989" s="16" t="s">
        <v>1487</v>
      </c>
      <c r="LLT989" s="16" t="s">
        <v>1487</v>
      </c>
      <c r="LLU989" s="16" t="s">
        <v>1487</v>
      </c>
      <c r="LLV989" s="16" t="s">
        <v>1487</v>
      </c>
      <c r="LLW989" s="16" t="s">
        <v>1487</v>
      </c>
      <c r="LLX989" s="16" t="s">
        <v>1487</v>
      </c>
      <c r="LLY989" s="16" t="s">
        <v>1487</v>
      </c>
      <c r="LLZ989" s="16" t="s">
        <v>1487</v>
      </c>
      <c r="LMA989" s="16" t="s">
        <v>1487</v>
      </c>
      <c r="LMB989" s="16" t="s">
        <v>1487</v>
      </c>
      <c r="LMC989" s="16" t="s">
        <v>1487</v>
      </c>
      <c r="LMD989" s="16" t="s">
        <v>1487</v>
      </c>
      <c r="LME989" s="16" t="s">
        <v>1487</v>
      </c>
      <c r="LMF989" s="16" t="s">
        <v>1487</v>
      </c>
      <c r="LMG989" s="16" t="s">
        <v>1487</v>
      </c>
      <c r="LMH989" s="16" t="s">
        <v>1487</v>
      </c>
      <c r="LMI989" s="16" t="s">
        <v>1487</v>
      </c>
      <c r="LMJ989" s="16" t="s">
        <v>1487</v>
      </c>
      <c r="LMK989" s="16" t="s">
        <v>1487</v>
      </c>
      <c r="LML989" s="16" t="s">
        <v>1487</v>
      </c>
      <c r="LMM989" s="16" t="s">
        <v>1487</v>
      </c>
      <c r="LMN989" s="16" t="s">
        <v>1487</v>
      </c>
      <c r="LMO989" s="16" t="s">
        <v>1487</v>
      </c>
      <c r="LMP989" s="16" t="s">
        <v>1487</v>
      </c>
      <c r="LMQ989" s="16" t="s">
        <v>1487</v>
      </c>
      <c r="LMR989" s="16" t="s">
        <v>1487</v>
      </c>
      <c r="LMS989" s="16" t="s">
        <v>1487</v>
      </c>
      <c r="LMT989" s="16" t="s">
        <v>1487</v>
      </c>
      <c r="LMU989" s="16" t="s">
        <v>1487</v>
      </c>
      <c r="LMV989" s="16" t="s">
        <v>1487</v>
      </c>
      <c r="LMW989" s="16" t="s">
        <v>1487</v>
      </c>
      <c r="LMX989" s="16" t="s">
        <v>1487</v>
      </c>
      <c r="LMY989" s="16" t="s">
        <v>1487</v>
      </c>
      <c r="LMZ989" s="16" t="s">
        <v>1487</v>
      </c>
      <c r="LNA989" s="16" t="s">
        <v>1487</v>
      </c>
      <c r="LNB989" s="16" t="s">
        <v>1487</v>
      </c>
      <c r="LNC989" s="16" t="s">
        <v>1487</v>
      </c>
      <c r="LND989" s="16" t="s">
        <v>1487</v>
      </c>
      <c r="LNE989" s="16" t="s">
        <v>1487</v>
      </c>
      <c r="LNF989" s="16" t="s">
        <v>1487</v>
      </c>
      <c r="LNG989" s="16" t="s">
        <v>1487</v>
      </c>
      <c r="LNH989" s="16" t="s">
        <v>1487</v>
      </c>
      <c r="LNI989" s="16" t="s">
        <v>1487</v>
      </c>
      <c r="LNJ989" s="16" t="s">
        <v>1487</v>
      </c>
      <c r="LNK989" s="16" t="s">
        <v>1487</v>
      </c>
      <c r="LNL989" s="16" t="s">
        <v>1487</v>
      </c>
      <c r="LNM989" s="16" t="s">
        <v>1487</v>
      </c>
      <c r="LNN989" s="16" t="s">
        <v>1487</v>
      </c>
      <c r="LNO989" s="16" t="s">
        <v>1487</v>
      </c>
      <c r="LNP989" s="16" t="s">
        <v>1487</v>
      </c>
      <c r="LNQ989" s="16" t="s">
        <v>1487</v>
      </c>
      <c r="LNR989" s="16" t="s">
        <v>1487</v>
      </c>
      <c r="LNS989" s="16" t="s">
        <v>1487</v>
      </c>
      <c r="LNT989" s="16" t="s">
        <v>1487</v>
      </c>
      <c r="LNU989" s="16" t="s">
        <v>1487</v>
      </c>
      <c r="LNV989" s="16" t="s">
        <v>1487</v>
      </c>
      <c r="LNW989" s="16" t="s">
        <v>1487</v>
      </c>
      <c r="LNX989" s="16" t="s">
        <v>1487</v>
      </c>
      <c r="LNY989" s="16" t="s">
        <v>1487</v>
      </c>
      <c r="LNZ989" s="16" t="s">
        <v>1487</v>
      </c>
      <c r="LOA989" s="16" t="s">
        <v>1487</v>
      </c>
      <c r="LOB989" s="16" t="s">
        <v>1487</v>
      </c>
      <c r="LOC989" s="16" t="s">
        <v>1487</v>
      </c>
      <c r="LOD989" s="16" t="s">
        <v>1487</v>
      </c>
      <c r="LOE989" s="16" t="s">
        <v>1487</v>
      </c>
      <c r="LOF989" s="16" t="s">
        <v>1487</v>
      </c>
      <c r="LOG989" s="16" t="s">
        <v>1487</v>
      </c>
      <c r="LOH989" s="16" t="s">
        <v>1487</v>
      </c>
      <c r="LOI989" s="16" t="s">
        <v>1487</v>
      </c>
      <c r="LOJ989" s="16" t="s">
        <v>1487</v>
      </c>
      <c r="LOK989" s="16" t="s">
        <v>1487</v>
      </c>
      <c r="LOL989" s="16" t="s">
        <v>1487</v>
      </c>
      <c r="LOM989" s="16" t="s">
        <v>1487</v>
      </c>
      <c r="LON989" s="16" t="s">
        <v>1487</v>
      </c>
      <c r="LOO989" s="16" t="s">
        <v>1487</v>
      </c>
      <c r="LOP989" s="16" t="s">
        <v>1487</v>
      </c>
      <c r="LOQ989" s="16" t="s">
        <v>1487</v>
      </c>
      <c r="LOR989" s="16" t="s">
        <v>1487</v>
      </c>
      <c r="LOS989" s="16" t="s">
        <v>1487</v>
      </c>
      <c r="LOT989" s="16" t="s">
        <v>1487</v>
      </c>
      <c r="LOU989" s="16" t="s">
        <v>1487</v>
      </c>
      <c r="LOV989" s="16" t="s">
        <v>1487</v>
      </c>
      <c r="LOW989" s="16" t="s">
        <v>1487</v>
      </c>
      <c r="LOX989" s="16" t="s">
        <v>1487</v>
      </c>
      <c r="LOY989" s="16" t="s">
        <v>1487</v>
      </c>
      <c r="LOZ989" s="16" t="s">
        <v>1487</v>
      </c>
      <c r="LPA989" s="16" t="s">
        <v>1487</v>
      </c>
      <c r="LPB989" s="16" t="s">
        <v>1487</v>
      </c>
      <c r="LPC989" s="16" t="s">
        <v>1487</v>
      </c>
      <c r="LPD989" s="16" t="s">
        <v>1487</v>
      </c>
      <c r="LPE989" s="16" t="s">
        <v>1487</v>
      </c>
      <c r="LPF989" s="16" t="s">
        <v>1487</v>
      </c>
      <c r="LPG989" s="16" t="s">
        <v>1487</v>
      </c>
      <c r="LPH989" s="16" t="s">
        <v>1487</v>
      </c>
      <c r="LPI989" s="16" t="s">
        <v>1487</v>
      </c>
      <c r="LPJ989" s="16" t="s">
        <v>1487</v>
      </c>
      <c r="LPK989" s="16" t="s">
        <v>1487</v>
      </c>
      <c r="LPL989" s="16" t="s">
        <v>1487</v>
      </c>
      <c r="LPM989" s="16" t="s">
        <v>1487</v>
      </c>
      <c r="LPN989" s="16" t="s">
        <v>1487</v>
      </c>
      <c r="LPO989" s="16" t="s">
        <v>1487</v>
      </c>
      <c r="LPP989" s="16" t="s">
        <v>1487</v>
      </c>
      <c r="LPQ989" s="16" t="s">
        <v>1487</v>
      </c>
      <c r="LPR989" s="16" t="s">
        <v>1487</v>
      </c>
      <c r="LPS989" s="16" t="s">
        <v>1487</v>
      </c>
      <c r="LPT989" s="16" t="s">
        <v>1487</v>
      </c>
      <c r="LPU989" s="16" t="s">
        <v>1487</v>
      </c>
      <c r="LPV989" s="16" t="s">
        <v>1487</v>
      </c>
      <c r="LPW989" s="16" t="s">
        <v>1487</v>
      </c>
      <c r="LPX989" s="16" t="s">
        <v>1487</v>
      </c>
      <c r="LPY989" s="16" t="s">
        <v>1487</v>
      </c>
      <c r="LPZ989" s="16" t="s">
        <v>1487</v>
      </c>
      <c r="LQA989" s="16" t="s">
        <v>1487</v>
      </c>
      <c r="LQB989" s="16" t="s">
        <v>1487</v>
      </c>
      <c r="LQC989" s="16" t="s">
        <v>1487</v>
      </c>
      <c r="LQD989" s="16" t="s">
        <v>1487</v>
      </c>
      <c r="LQE989" s="16" t="s">
        <v>1487</v>
      </c>
      <c r="LQF989" s="16" t="s">
        <v>1487</v>
      </c>
      <c r="LQG989" s="16" t="s">
        <v>1487</v>
      </c>
      <c r="LQH989" s="16" t="s">
        <v>1487</v>
      </c>
      <c r="LQI989" s="16" t="s">
        <v>1487</v>
      </c>
      <c r="LQJ989" s="16" t="s">
        <v>1487</v>
      </c>
      <c r="LQK989" s="16" t="s">
        <v>1487</v>
      </c>
      <c r="LQL989" s="16" t="s">
        <v>1487</v>
      </c>
      <c r="LQM989" s="16" t="s">
        <v>1487</v>
      </c>
      <c r="LQN989" s="16" t="s">
        <v>1487</v>
      </c>
      <c r="LQO989" s="16" t="s">
        <v>1487</v>
      </c>
      <c r="LQP989" s="16" t="s">
        <v>1487</v>
      </c>
      <c r="LQQ989" s="16" t="s">
        <v>1487</v>
      </c>
      <c r="LQR989" s="16" t="s">
        <v>1487</v>
      </c>
      <c r="LQS989" s="16" t="s">
        <v>1487</v>
      </c>
      <c r="LQT989" s="16" t="s">
        <v>1487</v>
      </c>
      <c r="LQU989" s="16" t="s">
        <v>1487</v>
      </c>
      <c r="LQV989" s="16" t="s">
        <v>1487</v>
      </c>
      <c r="LQW989" s="16" t="s">
        <v>1487</v>
      </c>
      <c r="LQX989" s="16" t="s">
        <v>1487</v>
      </c>
      <c r="LQY989" s="16" t="s">
        <v>1487</v>
      </c>
      <c r="LQZ989" s="16" t="s">
        <v>1487</v>
      </c>
      <c r="LRA989" s="16" t="s">
        <v>1487</v>
      </c>
      <c r="LRB989" s="16" t="s">
        <v>1487</v>
      </c>
      <c r="LRC989" s="16" t="s">
        <v>1487</v>
      </c>
      <c r="LRD989" s="16" t="s">
        <v>1487</v>
      </c>
      <c r="LRE989" s="16" t="s">
        <v>1487</v>
      </c>
      <c r="LRF989" s="16" t="s">
        <v>1487</v>
      </c>
      <c r="LRG989" s="16" t="s">
        <v>1487</v>
      </c>
      <c r="LRH989" s="16" t="s">
        <v>1487</v>
      </c>
      <c r="LRI989" s="16" t="s">
        <v>1487</v>
      </c>
      <c r="LRJ989" s="16" t="s">
        <v>1487</v>
      </c>
      <c r="LRK989" s="16" t="s">
        <v>1487</v>
      </c>
      <c r="LRL989" s="16" t="s">
        <v>1487</v>
      </c>
      <c r="LRM989" s="16" t="s">
        <v>1487</v>
      </c>
      <c r="LRN989" s="16" t="s">
        <v>1487</v>
      </c>
      <c r="LRO989" s="16" t="s">
        <v>1487</v>
      </c>
      <c r="LRP989" s="16" t="s">
        <v>1487</v>
      </c>
      <c r="LRQ989" s="16" t="s">
        <v>1487</v>
      </c>
      <c r="LRR989" s="16" t="s">
        <v>1487</v>
      </c>
      <c r="LRS989" s="16" t="s">
        <v>1487</v>
      </c>
      <c r="LRT989" s="16" t="s">
        <v>1487</v>
      </c>
      <c r="LRU989" s="16" t="s">
        <v>1487</v>
      </c>
      <c r="LRV989" s="16" t="s">
        <v>1487</v>
      </c>
      <c r="LRW989" s="16" t="s">
        <v>1487</v>
      </c>
      <c r="LRX989" s="16" t="s">
        <v>1487</v>
      </c>
      <c r="LRY989" s="16" t="s">
        <v>1487</v>
      </c>
      <c r="LRZ989" s="16" t="s">
        <v>1487</v>
      </c>
      <c r="LSA989" s="16" t="s">
        <v>1487</v>
      </c>
      <c r="LSB989" s="16" t="s">
        <v>1487</v>
      </c>
      <c r="LSC989" s="16" t="s">
        <v>1487</v>
      </c>
      <c r="LSD989" s="16" t="s">
        <v>1487</v>
      </c>
      <c r="LSE989" s="16" t="s">
        <v>1487</v>
      </c>
      <c r="LSF989" s="16" t="s">
        <v>1487</v>
      </c>
      <c r="LSG989" s="16" t="s">
        <v>1487</v>
      </c>
      <c r="LSH989" s="16" t="s">
        <v>1487</v>
      </c>
      <c r="LSI989" s="16" t="s">
        <v>1487</v>
      </c>
      <c r="LSJ989" s="16" t="s">
        <v>1487</v>
      </c>
      <c r="LSK989" s="16" t="s">
        <v>1487</v>
      </c>
      <c r="LSL989" s="16" t="s">
        <v>1487</v>
      </c>
      <c r="LSM989" s="16" t="s">
        <v>1487</v>
      </c>
      <c r="LSN989" s="16" t="s">
        <v>1487</v>
      </c>
      <c r="LSO989" s="16" t="s">
        <v>1487</v>
      </c>
      <c r="LSP989" s="16" t="s">
        <v>1487</v>
      </c>
      <c r="LSQ989" s="16" t="s">
        <v>1487</v>
      </c>
      <c r="LSR989" s="16" t="s">
        <v>1487</v>
      </c>
      <c r="LSS989" s="16" t="s">
        <v>1487</v>
      </c>
      <c r="LST989" s="16" t="s">
        <v>1487</v>
      </c>
      <c r="LSU989" s="16" t="s">
        <v>1487</v>
      </c>
      <c r="LSV989" s="16" t="s">
        <v>1487</v>
      </c>
      <c r="LSW989" s="16" t="s">
        <v>1487</v>
      </c>
      <c r="LSX989" s="16" t="s">
        <v>1487</v>
      </c>
      <c r="LSY989" s="16" t="s">
        <v>1487</v>
      </c>
      <c r="LSZ989" s="16" t="s">
        <v>1487</v>
      </c>
      <c r="LTA989" s="16" t="s">
        <v>1487</v>
      </c>
      <c r="LTB989" s="16" t="s">
        <v>1487</v>
      </c>
      <c r="LTC989" s="16" t="s">
        <v>1487</v>
      </c>
      <c r="LTD989" s="16" t="s">
        <v>1487</v>
      </c>
      <c r="LTE989" s="16" t="s">
        <v>1487</v>
      </c>
      <c r="LTF989" s="16" t="s">
        <v>1487</v>
      </c>
      <c r="LTG989" s="16" t="s">
        <v>1487</v>
      </c>
      <c r="LTH989" s="16" t="s">
        <v>1487</v>
      </c>
      <c r="LTI989" s="16" t="s">
        <v>1487</v>
      </c>
      <c r="LTJ989" s="16" t="s">
        <v>1487</v>
      </c>
      <c r="LTK989" s="16" t="s">
        <v>1487</v>
      </c>
      <c r="LTL989" s="16" t="s">
        <v>1487</v>
      </c>
      <c r="LTM989" s="16" t="s">
        <v>1487</v>
      </c>
      <c r="LTN989" s="16" t="s">
        <v>1487</v>
      </c>
      <c r="LTO989" s="16" t="s">
        <v>1487</v>
      </c>
      <c r="LTP989" s="16" t="s">
        <v>1487</v>
      </c>
      <c r="LTQ989" s="16" t="s">
        <v>1487</v>
      </c>
      <c r="LTR989" s="16" t="s">
        <v>1487</v>
      </c>
      <c r="LTS989" s="16" t="s">
        <v>1487</v>
      </c>
      <c r="LTT989" s="16" t="s">
        <v>1487</v>
      </c>
      <c r="LTU989" s="16" t="s">
        <v>1487</v>
      </c>
      <c r="LTV989" s="16" t="s">
        <v>1487</v>
      </c>
      <c r="LTW989" s="16" t="s">
        <v>1487</v>
      </c>
      <c r="LTX989" s="16" t="s">
        <v>1487</v>
      </c>
      <c r="LTY989" s="16" t="s">
        <v>1487</v>
      </c>
      <c r="LTZ989" s="16" t="s">
        <v>1487</v>
      </c>
      <c r="LUA989" s="16" t="s">
        <v>1487</v>
      </c>
      <c r="LUB989" s="16" t="s">
        <v>1487</v>
      </c>
      <c r="LUC989" s="16" t="s">
        <v>1487</v>
      </c>
      <c r="LUD989" s="16" t="s">
        <v>1487</v>
      </c>
      <c r="LUE989" s="16" t="s">
        <v>1487</v>
      </c>
      <c r="LUF989" s="16" t="s">
        <v>1487</v>
      </c>
      <c r="LUG989" s="16" t="s">
        <v>1487</v>
      </c>
      <c r="LUH989" s="16" t="s">
        <v>1487</v>
      </c>
      <c r="LUI989" s="16" t="s">
        <v>1487</v>
      </c>
      <c r="LUJ989" s="16" t="s">
        <v>1487</v>
      </c>
      <c r="LUK989" s="16" t="s">
        <v>1487</v>
      </c>
      <c r="LUL989" s="16" t="s">
        <v>1487</v>
      </c>
      <c r="LUM989" s="16" t="s">
        <v>1487</v>
      </c>
      <c r="LUN989" s="16" t="s">
        <v>1487</v>
      </c>
      <c r="LUO989" s="16" t="s">
        <v>1487</v>
      </c>
      <c r="LUP989" s="16" t="s">
        <v>1487</v>
      </c>
      <c r="LUQ989" s="16" t="s">
        <v>1487</v>
      </c>
      <c r="LUR989" s="16" t="s">
        <v>1487</v>
      </c>
      <c r="LUS989" s="16" t="s">
        <v>1487</v>
      </c>
      <c r="LUT989" s="16" t="s">
        <v>1487</v>
      </c>
      <c r="LUU989" s="16" t="s">
        <v>1487</v>
      </c>
      <c r="LUV989" s="16" t="s">
        <v>1487</v>
      </c>
      <c r="LUW989" s="16" t="s">
        <v>1487</v>
      </c>
      <c r="LUX989" s="16" t="s">
        <v>1487</v>
      </c>
      <c r="LUY989" s="16" t="s">
        <v>1487</v>
      </c>
      <c r="LUZ989" s="16" t="s">
        <v>1487</v>
      </c>
      <c r="LVA989" s="16" t="s">
        <v>1487</v>
      </c>
      <c r="LVB989" s="16" t="s">
        <v>1487</v>
      </c>
      <c r="LVC989" s="16" t="s">
        <v>1487</v>
      </c>
      <c r="LVD989" s="16" t="s">
        <v>1487</v>
      </c>
      <c r="LVE989" s="16" t="s">
        <v>1487</v>
      </c>
      <c r="LVF989" s="16" t="s">
        <v>1487</v>
      </c>
      <c r="LVG989" s="16" t="s">
        <v>1487</v>
      </c>
      <c r="LVH989" s="16" t="s">
        <v>1487</v>
      </c>
      <c r="LVI989" s="16" t="s">
        <v>1487</v>
      </c>
      <c r="LVJ989" s="16" t="s">
        <v>1487</v>
      </c>
      <c r="LVK989" s="16" t="s">
        <v>1487</v>
      </c>
      <c r="LVL989" s="16" t="s">
        <v>1487</v>
      </c>
      <c r="LVM989" s="16" t="s">
        <v>1487</v>
      </c>
      <c r="LVN989" s="16" t="s">
        <v>1487</v>
      </c>
      <c r="LVO989" s="16" t="s">
        <v>1487</v>
      </c>
      <c r="LVP989" s="16" t="s">
        <v>1487</v>
      </c>
      <c r="LVQ989" s="16" t="s">
        <v>1487</v>
      </c>
      <c r="LVR989" s="16" t="s">
        <v>1487</v>
      </c>
      <c r="LVS989" s="16" t="s">
        <v>1487</v>
      </c>
      <c r="LVT989" s="16" t="s">
        <v>1487</v>
      </c>
      <c r="LVU989" s="16" t="s">
        <v>1487</v>
      </c>
      <c r="LVV989" s="16" t="s">
        <v>1487</v>
      </c>
      <c r="LVW989" s="16" t="s">
        <v>1487</v>
      </c>
      <c r="LVX989" s="16" t="s">
        <v>1487</v>
      </c>
      <c r="LVY989" s="16" t="s">
        <v>1487</v>
      </c>
      <c r="LVZ989" s="16" t="s">
        <v>1487</v>
      </c>
      <c r="LWA989" s="16" t="s">
        <v>1487</v>
      </c>
      <c r="LWB989" s="16" t="s">
        <v>1487</v>
      </c>
      <c r="LWC989" s="16" t="s">
        <v>1487</v>
      </c>
      <c r="LWD989" s="16" t="s">
        <v>1487</v>
      </c>
      <c r="LWE989" s="16" t="s">
        <v>1487</v>
      </c>
      <c r="LWF989" s="16" t="s">
        <v>1487</v>
      </c>
      <c r="LWG989" s="16" t="s">
        <v>1487</v>
      </c>
      <c r="LWH989" s="16" t="s">
        <v>1487</v>
      </c>
      <c r="LWI989" s="16" t="s">
        <v>1487</v>
      </c>
      <c r="LWJ989" s="16" t="s">
        <v>1487</v>
      </c>
      <c r="LWK989" s="16" t="s">
        <v>1487</v>
      </c>
      <c r="LWL989" s="16" t="s">
        <v>1487</v>
      </c>
      <c r="LWM989" s="16" t="s">
        <v>1487</v>
      </c>
      <c r="LWN989" s="16" t="s">
        <v>1487</v>
      </c>
      <c r="LWO989" s="16" t="s">
        <v>1487</v>
      </c>
      <c r="LWP989" s="16" t="s">
        <v>1487</v>
      </c>
      <c r="LWQ989" s="16" t="s">
        <v>1487</v>
      </c>
      <c r="LWR989" s="16" t="s">
        <v>1487</v>
      </c>
      <c r="LWS989" s="16" t="s">
        <v>1487</v>
      </c>
      <c r="LWT989" s="16" t="s">
        <v>1487</v>
      </c>
      <c r="LWU989" s="16" t="s">
        <v>1487</v>
      </c>
      <c r="LWV989" s="16" t="s">
        <v>1487</v>
      </c>
      <c r="LWW989" s="16" t="s">
        <v>1487</v>
      </c>
      <c r="LWX989" s="16" t="s">
        <v>1487</v>
      </c>
      <c r="LWY989" s="16" t="s">
        <v>1487</v>
      </c>
      <c r="LWZ989" s="16" t="s">
        <v>1487</v>
      </c>
      <c r="LXA989" s="16" t="s">
        <v>1487</v>
      </c>
      <c r="LXB989" s="16" t="s">
        <v>1487</v>
      </c>
      <c r="LXC989" s="16" t="s">
        <v>1487</v>
      </c>
      <c r="LXD989" s="16" t="s">
        <v>1487</v>
      </c>
      <c r="LXE989" s="16" t="s">
        <v>1487</v>
      </c>
      <c r="LXF989" s="16" t="s">
        <v>1487</v>
      </c>
      <c r="LXG989" s="16" t="s">
        <v>1487</v>
      </c>
      <c r="LXH989" s="16" t="s">
        <v>1487</v>
      </c>
      <c r="LXI989" s="16" t="s">
        <v>1487</v>
      </c>
      <c r="LXJ989" s="16" t="s">
        <v>1487</v>
      </c>
      <c r="LXK989" s="16" t="s">
        <v>1487</v>
      </c>
      <c r="LXL989" s="16" t="s">
        <v>1487</v>
      </c>
      <c r="LXM989" s="16" t="s">
        <v>1487</v>
      </c>
      <c r="LXN989" s="16" t="s">
        <v>1487</v>
      </c>
      <c r="LXO989" s="16" t="s">
        <v>1487</v>
      </c>
      <c r="LXP989" s="16" t="s">
        <v>1487</v>
      </c>
      <c r="LXQ989" s="16" t="s">
        <v>1487</v>
      </c>
      <c r="LXR989" s="16" t="s">
        <v>1487</v>
      </c>
      <c r="LXS989" s="16" t="s">
        <v>1487</v>
      </c>
      <c r="LXT989" s="16" t="s">
        <v>1487</v>
      </c>
      <c r="LXU989" s="16" t="s">
        <v>1487</v>
      </c>
      <c r="LXV989" s="16" t="s">
        <v>1487</v>
      </c>
      <c r="LXW989" s="16" t="s">
        <v>1487</v>
      </c>
      <c r="LXX989" s="16" t="s">
        <v>1487</v>
      </c>
      <c r="LXY989" s="16" t="s">
        <v>1487</v>
      </c>
      <c r="LXZ989" s="16" t="s">
        <v>1487</v>
      </c>
      <c r="LYA989" s="16" t="s">
        <v>1487</v>
      </c>
      <c r="LYB989" s="16" t="s">
        <v>1487</v>
      </c>
      <c r="LYC989" s="16" t="s">
        <v>1487</v>
      </c>
      <c r="LYD989" s="16" t="s">
        <v>1487</v>
      </c>
      <c r="LYE989" s="16" t="s">
        <v>1487</v>
      </c>
      <c r="LYF989" s="16" t="s">
        <v>1487</v>
      </c>
      <c r="LYG989" s="16" t="s">
        <v>1487</v>
      </c>
      <c r="LYH989" s="16" t="s">
        <v>1487</v>
      </c>
      <c r="LYI989" s="16" t="s">
        <v>1487</v>
      </c>
      <c r="LYJ989" s="16" t="s">
        <v>1487</v>
      </c>
      <c r="LYK989" s="16" t="s">
        <v>1487</v>
      </c>
      <c r="LYL989" s="16" t="s">
        <v>1487</v>
      </c>
      <c r="LYM989" s="16" t="s">
        <v>1487</v>
      </c>
      <c r="LYN989" s="16" t="s">
        <v>1487</v>
      </c>
      <c r="LYO989" s="16" t="s">
        <v>1487</v>
      </c>
      <c r="LYP989" s="16" t="s">
        <v>1487</v>
      </c>
      <c r="LYQ989" s="16" t="s">
        <v>1487</v>
      </c>
      <c r="LYR989" s="16" t="s">
        <v>1487</v>
      </c>
      <c r="LYS989" s="16" t="s">
        <v>1487</v>
      </c>
      <c r="LYT989" s="16" t="s">
        <v>1487</v>
      </c>
      <c r="LYU989" s="16" t="s">
        <v>1487</v>
      </c>
      <c r="LYV989" s="16" t="s">
        <v>1487</v>
      </c>
      <c r="LYW989" s="16" t="s">
        <v>1487</v>
      </c>
      <c r="LYX989" s="16" t="s">
        <v>1487</v>
      </c>
      <c r="LYY989" s="16" t="s">
        <v>1487</v>
      </c>
      <c r="LYZ989" s="16" t="s">
        <v>1487</v>
      </c>
      <c r="LZA989" s="16" t="s">
        <v>1487</v>
      </c>
      <c r="LZB989" s="16" t="s">
        <v>1487</v>
      </c>
      <c r="LZC989" s="16" t="s">
        <v>1487</v>
      </c>
      <c r="LZD989" s="16" t="s">
        <v>1487</v>
      </c>
      <c r="LZE989" s="16" t="s">
        <v>1487</v>
      </c>
      <c r="LZF989" s="16" t="s">
        <v>1487</v>
      </c>
      <c r="LZG989" s="16" t="s">
        <v>1487</v>
      </c>
      <c r="LZH989" s="16" t="s">
        <v>1487</v>
      </c>
      <c r="LZI989" s="16" t="s">
        <v>1487</v>
      </c>
      <c r="LZJ989" s="16" t="s">
        <v>1487</v>
      </c>
      <c r="LZK989" s="16" t="s">
        <v>1487</v>
      </c>
      <c r="LZL989" s="16" t="s">
        <v>1487</v>
      </c>
      <c r="LZM989" s="16" t="s">
        <v>1487</v>
      </c>
      <c r="LZN989" s="16" t="s">
        <v>1487</v>
      </c>
      <c r="LZO989" s="16" t="s">
        <v>1487</v>
      </c>
      <c r="LZP989" s="16" t="s">
        <v>1487</v>
      </c>
      <c r="LZQ989" s="16" t="s">
        <v>1487</v>
      </c>
      <c r="LZR989" s="16" t="s">
        <v>1487</v>
      </c>
      <c r="LZS989" s="16" t="s">
        <v>1487</v>
      </c>
      <c r="LZT989" s="16" t="s">
        <v>1487</v>
      </c>
      <c r="LZU989" s="16" t="s">
        <v>1487</v>
      </c>
      <c r="LZV989" s="16" t="s">
        <v>1487</v>
      </c>
      <c r="LZW989" s="16" t="s">
        <v>1487</v>
      </c>
      <c r="LZX989" s="16" t="s">
        <v>1487</v>
      </c>
      <c r="LZY989" s="16" t="s">
        <v>1487</v>
      </c>
      <c r="LZZ989" s="16" t="s">
        <v>1487</v>
      </c>
      <c r="MAA989" s="16" t="s">
        <v>1487</v>
      </c>
      <c r="MAB989" s="16" t="s">
        <v>1487</v>
      </c>
      <c r="MAC989" s="16" t="s">
        <v>1487</v>
      </c>
      <c r="MAD989" s="16" t="s">
        <v>1487</v>
      </c>
      <c r="MAE989" s="16" t="s">
        <v>1487</v>
      </c>
      <c r="MAF989" s="16" t="s">
        <v>1487</v>
      </c>
      <c r="MAG989" s="16" t="s">
        <v>1487</v>
      </c>
      <c r="MAH989" s="16" t="s">
        <v>1487</v>
      </c>
      <c r="MAI989" s="16" t="s">
        <v>1487</v>
      </c>
      <c r="MAJ989" s="16" t="s">
        <v>1487</v>
      </c>
      <c r="MAK989" s="16" t="s">
        <v>1487</v>
      </c>
      <c r="MAL989" s="16" t="s">
        <v>1487</v>
      </c>
      <c r="MAM989" s="16" t="s">
        <v>1487</v>
      </c>
      <c r="MAN989" s="16" t="s">
        <v>1487</v>
      </c>
      <c r="MAO989" s="16" t="s">
        <v>1487</v>
      </c>
      <c r="MAP989" s="16" t="s">
        <v>1487</v>
      </c>
      <c r="MAQ989" s="16" t="s">
        <v>1487</v>
      </c>
      <c r="MAR989" s="16" t="s">
        <v>1487</v>
      </c>
      <c r="MAS989" s="16" t="s">
        <v>1487</v>
      </c>
      <c r="MAT989" s="16" t="s">
        <v>1487</v>
      </c>
      <c r="MAU989" s="16" t="s">
        <v>1487</v>
      </c>
      <c r="MAV989" s="16" t="s">
        <v>1487</v>
      </c>
      <c r="MAW989" s="16" t="s">
        <v>1487</v>
      </c>
      <c r="MAX989" s="16" t="s">
        <v>1487</v>
      </c>
      <c r="MAY989" s="16" t="s">
        <v>1487</v>
      </c>
      <c r="MAZ989" s="16" t="s">
        <v>1487</v>
      </c>
      <c r="MBA989" s="16" t="s">
        <v>1487</v>
      </c>
      <c r="MBB989" s="16" t="s">
        <v>1487</v>
      </c>
      <c r="MBC989" s="16" t="s">
        <v>1487</v>
      </c>
      <c r="MBD989" s="16" t="s">
        <v>1487</v>
      </c>
      <c r="MBE989" s="16" t="s">
        <v>1487</v>
      </c>
      <c r="MBF989" s="16" t="s">
        <v>1487</v>
      </c>
      <c r="MBG989" s="16" t="s">
        <v>1487</v>
      </c>
      <c r="MBH989" s="16" t="s">
        <v>1487</v>
      </c>
      <c r="MBI989" s="16" t="s">
        <v>1487</v>
      </c>
      <c r="MBJ989" s="16" t="s">
        <v>1487</v>
      </c>
      <c r="MBK989" s="16" t="s">
        <v>1487</v>
      </c>
      <c r="MBL989" s="16" t="s">
        <v>1487</v>
      </c>
      <c r="MBM989" s="16" t="s">
        <v>1487</v>
      </c>
      <c r="MBN989" s="16" t="s">
        <v>1487</v>
      </c>
      <c r="MBO989" s="16" t="s">
        <v>1487</v>
      </c>
      <c r="MBP989" s="16" t="s">
        <v>1487</v>
      </c>
      <c r="MBQ989" s="16" t="s">
        <v>1487</v>
      </c>
      <c r="MBR989" s="16" t="s">
        <v>1487</v>
      </c>
      <c r="MBS989" s="16" t="s">
        <v>1487</v>
      </c>
      <c r="MBT989" s="16" t="s">
        <v>1487</v>
      </c>
      <c r="MBU989" s="16" t="s">
        <v>1487</v>
      </c>
      <c r="MBV989" s="16" t="s">
        <v>1487</v>
      </c>
      <c r="MBW989" s="16" t="s">
        <v>1487</v>
      </c>
      <c r="MBX989" s="16" t="s">
        <v>1487</v>
      </c>
      <c r="MBY989" s="16" t="s">
        <v>1487</v>
      </c>
      <c r="MBZ989" s="16" t="s">
        <v>1487</v>
      </c>
      <c r="MCA989" s="16" t="s">
        <v>1487</v>
      </c>
      <c r="MCB989" s="16" t="s">
        <v>1487</v>
      </c>
      <c r="MCC989" s="16" t="s">
        <v>1487</v>
      </c>
      <c r="MCD989" s="16" t="s">
        <v>1487</v>
      </c>
      <c r="MCE989" s="16" t="s">
        <v>1487</v>
      </c>
      <c r="MCF989" s="16" t="s">
        <v>1487</v>
      </c>
      <c r="MCG989" s="16" t="s">
        <v>1487</v>
      </c>
      <c r="MCH989" s="16" t="s">
        <v>1487</v>
      </c>
      <c r="MCI989" s="16" t="s">
        <v>1487</v>
      </c>
      <c r="MCJ989" s="16" t="s">
        <v>1487</v>
      </c>
      <c r="MCK989" s="16" t="s">
        <v>1487</v>
      </c>
      <c r="MCL989" s="16" t="s">
        <v>1487</v>
      </c>
      <c r="MCM989" s="16" t="s">
        <v>1487</v>
      </c>
      <c r="MCN989" s="16" t="s">
        <v>1487</v>
      </c>
      <c r="MCO989" s="16" t="s">
        <v>1487</v>
      </c>
      <c r="MCP989" s="16" t="s">
        <v>1487</v>
      </c>
      <c r="MCQ989" s="16" t="s">
        <v>1487</v>
      </c>
      <c r="MCR989" s="16" t="s">
        <v>1487</v>
      </c>
      <c r="MCS989" s="16" t="s">
        <v>1487</v>
      </c>
      <c r="MCT989" s="16" t="s">
        <v>1487</v>
      </c>
      <c r="MCU989" s="16" t="s">
        <v>1487</v>
      </c>
      <c r="MCV989" s="16" t="s">
        <v>1487</v>
      </c>
      <c r="MCW989" s="16" t="s">
        <v>1487</v>
      </c>
      <c r="MCX989" s="16" t="s">
        <v>1487</v>
      </c>
      <c r="MCY989" s="16" t="s">
        <v>1487</v>
      </c>
      <c r="MCZ989" s="16" t="s">
        <v>1487</v>
      </c>
      <c r="MDA989" s="16" t="s">
        <v>1487</v>
      </c>
      <c r="MDB989" s="16" t="s">
        <v>1487</v>
      </c>
      <c r="MDC989" s="16" t="s">
        <v>1487</v>
      </c>
      <c r="MDD989" s="16" t="s">
        <v>1487</v>
      </c>
      <c r="MDE989" s="16" t="s">
        <v>1487</v>
      </c>
      <c r="MDF989" s="16" t="s">
        <v>1487</v>
      </c>
      <c r="MDG989" s="16" t="s">
        <v>1487</v>
      </c>
      <c r="MDH989" s="16" t="s">
        <v>1487</v>
      </c>
      <c r="MDI989" s="16" t="s">
        <v>1487</v>
      </c>
      <c r="MDJ989" s="16" t="s">
        <v>1487</v>
      </c>
      <c r="MDK989" s="16" t="s">
        <v>1487</v>
      </c>
      <c r="MDL989" s="16" t="s">
        <v>1487</v>
      </c>
      <c r="MDM989" s="16" t="s">
        <v>1487</v>
      </c>
      <c r="MDN989" s="16" t="s">
        <v>1487</v>
      </c>
      <c r="MDO989" s="16" t="s">
        <v>1487</v>
      </c>
      <c r="MDP989" s="16" t="s">
        <v>1487</v>
      </c>
      <c r="MDQ989" s="16" t="s">
        <v>1487</v>
      </c>
      <c r="MDR989" s="16" t="s">
        <v>1487</v>
      </c>
      <c r="MDS989" s="16" t="s">
        <v>1487</v>
      </c>
      <c r="MDT989" s="16" t="s">
        <v>1487</v>
      </c>
      <c r="MDU989" s="16" t="s">
        <v>1487</v>
      </c>
      <c r="MDV989" s="16" t="s">
        <v>1487</v>
      </c>
      <c r="MDW989" s="16" t="s">
        <v>1487</v>
      </c>
      <c r="MDX989" s="16" t="s">
        <v>1487</v>
      </c>
      <c r="MDY989" s="16" t="s">
        <v>1487</v>
      </c>
      <c r="MDZ989" s="16" t="s">
        <v>1487</v>
      </c>
      <c r="MEA989" s="16" t="s">
        <v>1487</v>
      </c>
      <c r="MEB989" s="16" t="s">
        <v>1487</v>
      </c>
      <c r="MEC989" s="16" t="s">
        <v>1487</v>
      </c>
      <c r="MED989" s="16" t="s">
        <v>1487</v>
      </c>
      <c r="MEE989" s="16" t="s">
        <v>1487</v>
      </c>
      <c r="MEF989" s="16" t="s">
        <v>1487</v>
      </c>
      <c r="MEG989" s="16" t="s">
        <v>1487</v>
      </c>
      <c r="MEH989" s="16" t="s">
        <v>1487</v>
      </c>
      <c r="MEI989" s="16" t="s">
        <v>1487</v>
      </c>
      <c r="MEJ989" s="16" t="s">
        <v>1487</v>
      </c>
      <c r="MEK989" s="16" t="s">
        <v>1487</v>
      </c>
      <c r="MEL989" s="16" t="s">
        <v>1487</v>
      </c>
      <c r="MEM989" s="16" t="s">
        <v>1487</v>
      </c>
      <c r="MEN989" s="16" t="s">
        <v>1487</v>
      </c>
      <c r="MEO989" s="16" t="s">
        <v>1487</v>
      </c>
      <c r="MEP989" s="16" t="s">
        <v>1487</v>
      </c>
      <c r="MEQ989" s="16" t="s">
        <v>1487</v>
      </c>
      <c r="MER989" s="16" t="s">
        <v>1487</v>
      </c>
      <c r="MES989" s="16" t="s">
        <v>1487</v>
      </c>
      <c r="MET989" s="16" t="s">
        <v>1487</v>
      </c>
      <c r="MEU989" s="16" t="s">
        <v>1487</v>
      </c>
      <c r="MEV989" s="16" t="s">
        <v>1487</v>
      </c>
      <c r="MEW989" s="16" t="s">
        <v>1487</v>
      </c>
      <c r="MEX989" s="16" t="s">
        <v>1487</v>
      </c>
      <c r="MEY989" s="16" t="s">
        <v>1487</v>
      </c>
      <c r="MEZ989" s="16" t="s">
        <v>1487</v>
      </c>
      <c r="MFA989" s="16" t="s">
        <v>1487</v>
      </c>
      <c r="MFB989" s="16" t="s">
        <v>1487</v>
      </c>
      <c r="MFC989" s="16" t="s">
        <v>1487</v>
      </c>
      <c r="MFD989" s="16" t="s">
        <v>1487</v>
      </c>
      <c r="MFE989" s="16" t="s">
        <v>1487</v>
      </c>
      <c r="MFF989" s="16" t="s">
        <v>1487</v>
      </c>
      <c r="MFG989" s="16" t="s">
        <v>1487</v>
      </c>
      <c r="MFH989" s="16" t="s">
        <v>1487</v>
      </c>
      <c r="MFI989" s="16" t="s">
        <v>1487</v>
      </c>
      <c r="MFJ989" s="16" t="s">
        <v>1487</v>
      </c>
      <c r="MFK989" s="16" t="s">
        <v>1487</v>
      </c>
      <c r="MFL989" s="16" t="s">
        <v>1487</v>
      </c>
      <c r="MFM989" s="16" t="s">
        <v>1487</v>
      </c>
      <c r="MFN989" s="16" t="s">
        <v>1487</v>
      </c>
      <c r="MFO989" s="16" t="s">
        <v>1487</v>
      </c>
      <c r="MFP989" s="16" t="s">
        <v>1487</v>
      </c>
      <c r="MFQ989" s="16" t="s">
        <v>1487</v>
      </c>
      <c r="MFR989" s="16" t="s">
        <v>1487</v>
      </c>
      <c r="MFS989" s="16" t="s">
        <v>1487</v>
      </c>
      <c r="MFT989" s="16" t="s">
        <v>1487</v>
      </c>
      <c r="MFU989" s="16" t="s">
        <v>1487</v>
      </c>
      <c r="MFV989" s="16" t="s">
        <v>1487</v>
      </c>
      <c r="MFW989" s="16" t="s">
        <v>1487</v>
      </c>
      <c r="MFX989" s="16" t="s">
        <v>1487</v>
      </c>
      <c r="MFY989" s="16" t="s">
        <v>1487</v>
      </c>
      <c r="MFZ989" s="16" t="s">
        <v>1487</v>
      </c>
      <c r="MGA989" s="16" t="s">
        <v>1487</v>
      </c>
      <c r="MGB989" s="16" t="s">
        <v>1487</v>
      </c>
      <c r="MGC989" s="16" t="s">
        <v>1487</v>
      </c>
      <c r="MGD989" s="16" t="s">
        <v>1487</v>
      </c>
      <c r="MGE989" s="16" t="s">
        <v>1487</v>
      </c>
      <c r="MGF989" s="16" t="s">
        <v>1487</v>
      </c>
      <c r="MGG989" s="16" t="s">
        <v>1487</v>
      </c>
      <c r="MGH989" s="16" t="s">
        <v>1487</v>
      </c>
      <c r="MGI989" s="16" t="s">
        <v>1487</v>
      </c>
      <c r="MGJ989" s="16" t="s">
        <v>1487</v>
      </c>
      <c r="MGK989" s="16" t="s">
        <v>1487</v>
      </c>
      <c r="MGL989" s="16" t="s">
        <v>1487</v>
      </c>
      <c r="MGM989" s="16" t="s">
        <v>1487</v>
      </c>
      <c r="MGN989" s="16" t="s">
        <v>1487</v>
      </c>
      <c r="MGO989" s="16" t="s">
        <v>1487</v>
      </c>
      <c r="MGP989" s="16" t="s">
        <v>1487</v>
      </c>
      <c r="MGQ989" s="16" t="s">
        <v>1487</v>
      </c>
      <c r="MGR989" s="16" t="s">
        <v>1487</v>
      </c>
      <c r="MGS989" s="16" t="s">
        <v>1487</v>
      </c>
      <c r="MGT989" s="16" t="s">
        <v>1487</v>
      </c>
      <c r="MGU989" s="16" t="s">
        <v>1487</v>
      </c>
      <c r="MGV989" s="16" t="s">
        <v>1487</v>
      </c>
      <c r="MGW989" s="16" t="s">
        <v>1487</v>
      </c>
      <c r="MGX989" s="16" t="s">
        <v>1487</v>
      </c>
      <c r="MGY989" s="16" t="s">
        <v>1487</v>
      </c>
      <c r="MGZ989" s="16" t="s">
        <v>1487</v>
      </c>
      <c r="MHA989" s="16" t="s">
        <v>1487</v>
      </c>
      <c r="MHB989" s="16" t="s">
        <v>1487</v>
      </c>
      <c r="MHC989" s="16" t="s">
        <v>1487</v>
      </c>
      <c r="MHD989" s="16" t="s">
        <v>1487</v>
      </c>
      <c r="MHE989" s="16" t="s">
        <v>1487</v>
      </c>
      <c r="MHF989" s="16" t="s">
        <v>1487</v>
      </c>
      <c r="MHG989" s="16" t="s">
        <v>1487</v>
      </c>
      <c r="MHH989" s="16" t="s">
        <v>1487</v>
      </c>
      <c r="MHI989" s="16" t="s">
        <v>1487</v>
      </c>
      <c r="MHJ989" s="16" t="s">
        <v>1487</v>
      </c>
      <c r="MHK989" s="16" t="s">
        <v>1487</v>
      </c>
      <c r="MHL989" s="16" t="s">
        <v>1487</v>
      </c>
      <c r="MHM989" s="16" t="s">
        <v>1487</v>
      </c>
      <c r="MHN989" s="16" t="s">
        <v>1487</v>
      </c>
      <c r="MHO989" s="16" t="s">
        <v>1487</v>
      </c>
      <c r="MHP989" s="16" t="s">
        <v>1487</v>
      </c>
      <c r="MHQ989" s="16" t="s">
        <v>1487</v>
      </c>
      <c r="MHR989" s="16" t="s">
        <v>1487</v>
      </c>
      <c r="MHS989" s="16" t="s">
        <v>1487</v>
      </c>
      <c r="MHT989" s="16" t="s">
        <v>1487</v>
      </c>
      <c r="MHU989" s="16" t="s">
        <v>1487</v>
      </c>
      <c r="MHV989" s="16" t="s">
        <v>1487</v>
      </c>
      <c r="MHW989" s="16" t="s">
        <v>1487</v>
      </c>
      <c r="MHX989" s="16" t="s">
        <v>1487</v>
      </c>
      <c r="MHY989" s="16" t="s">
        <v>1487</v>
      </c>
      <c r="MHZ989" s="16" t="s">
        <v>1487</v>
      </c>
      <c r="MIA989" s="16" t="s">
        <v>1487</v>
      </c>
      <c r="MIB989" s="16" t="s">
        <v>1487</v>
      </c>
      <c r="MIC989" s="16" t="s">
        <v>1487</v>
      </c>
      <c r="MID989" s="16" t="s">
        <v>1487</v>
      </c>
      <c r="MIE989" s="16" t="s">
        <v>1487</v>
      </c>
      <c r="MIF989" s="16" t="s">
        <v>1487</v>
      </c>
      <c r="MIG989" s="16" t="s">
        <v>1487</v>
      </c>
      <c r="MIH989" s="16" t="s">
        <v>1487</v>
      </c>
      <c r="MII989" s="16" t="s">
        <v>1487</v>
      </c>
      <c r="MIJ989" s="16" t="s">
        <v>1487</v>
      </c>
      <c r="MIK989" s="16" t="s">
        <v>1487</v>
      </c>
      <c r="MIL989" s="16" t="s">
        <v>1487</v>
      </c>
      <c r="MIM989" s="16" t="s">
        <v>1487</v>
      </c>
      <c r="MIN989" s="16" t="s">
        <v>1487</v>
      </c>
      <c r="MIO989" s="16" t="s">
        <v>1487</v>
      </c>
      <c r="MIP989" s="16" t="s">
        <v>1487</v>
      </c>
      <c r="MIQ989" s="16" t="s">
        <v>1487</v>
      </c>
      <c r="MIR989" s="16" t="s">
        <v>1487</v>
      </c>
      <c r="MIS989" s="16" t="s">
        <v>1487</v>
      </c>
      <c r="MIT989" s="16" t="s">
        <v>1487</v>
      </c>
      <c r="MIU989" s="16" t="s">
        <v>1487</v>
      </c>
      <c r="MIV989" s="16" t="s">
        <v>1487</v>
      </c>
      <c r="MIW989" s="16" t="s">
        <v>1487</v>
      </c>
      <c r="MIX989" s="16" t="s">
        <v>1487</v>
      </c>
      <c r="MIY989" s="16" t="s">
        <v>1487</v>
      </c>
      <c r="MIZ989" s="16" t="s">
        <v>1487</v>
      </c>
      <c r="MJA989" s="16" t="s">
        <v>1487</v>
      </c>
      <c r="MJB989" s="16" t="s">
        <v>1487</v>
      </c>
      <c r="MJC989" s="16" t="s">
        <v>1487</v>
      </c>
      <c r="MJD989" s="16" t="s">
        <v>1487</v>
      </c>
      <c r="MJE989" s="16" t="s">
        <v>1487</v>
      </c>
      <c r="MJF989" s="16" t="s">
        <v>1487</v>
      </c>
      <c r="MJG989" s="16" t="s">
        <v>1487</v>
      </c>
      <c r="MJH989" s="16" t="s">
        <v>1487</v>
      </c>
      <c r="MJI989" s="16" t="s">
        <v>1487</v>
      </c>
      <c r="MJJ989" s="16" t="s">
        <v>1487</v>
      </c>
      <c r="MJK989" s="16" t="s">
        <v>1487</v>
      </c>
      <c r="MJL989" s="16" t="s">
        <v>1487</v>
      </c>
      <c r="MJM989" s="16" t="s">
        <v>1487</v>
      </c>
      <c r="MJN989" s="16" t="s">
        <v>1487</v>
      </c>
      <c r="MJO989" s="16" t="s">
        <v>1487</v>
      </c>
      <c r="MJP989" s="16" t="s">
        <v>1487</v>
      </c>
      <c r="MJQ989" s="16" t="s">
        <v>1487</v>
      </c>
      <c r="MJR989" s="16" t="s">
        <v>1487</v>
      </c>
      <c r="MJS989" s="16" t="s">
        <v>1487</v>
      </c>
      <c r="MJT989" s="16" t="s">
        <v>1487</v>
      </c>
      <c r="MJU989" s="16" t="s">
        <v>1487</v>
      </c>
      <c r="MJV989" s="16" t="s">
        <v>1487</v>
      </c>
      <c r="MJW989" s="16" t="s">
        <v>1487</v>
      </c>
      <c r="MJX989" s="16" t="s">
        <v>1487</v>
      </c>
      <c r="MJY989" s="16" t="s">
        <v>1487</v>
      </c>
      <c r="MJZ989" s="16" t="s">
        <v>1487</v>
      </c>
      <c r="MKA989" s="16" t="s">
        <v>1487</v>
      </c>
      <c r="MKB989" s="16" t="s">
        <v>1487</v>
      </c>
      <c r="MKC989" s="16" t="s">
        <v>1487</v>
      </c>
      <c r="MKD989" s="16" t="s">
        <v>1487</v>
      </c>
      <c r="MKE989" s="16" t="s">
        <v>1487</v>
      </c>
      <c r="MKF989" s="16" t="s">
        <v>1487</v>
      </c>
      <c r="MKG989" s="16" t="s">
        <v>1487</v>
      </c>
      <c r="MKH989" s="16" t="s">
        <v>1487</v>
      </c>
      <c r="MKI989" s="16" t="s">
        <v>1487</v>
      </c>
      <c r="MKJ989" s="16" t="s">
        <v>1487</v>
      </c>
      <c r="MKK989" s="16" t="s">
        <v>1487</v>
      </c>
      <c r="MKL989" s="16" t="s">
        <v>1487</v>
      </c>
      <c r="MKM989" s="16" t="s">
        <v>1487</v>
      </c>
      <c r="MKN989" s="16" t="s">
        <v>1487</v>
      </c>
      <c r="MKO989" s="16" t="s">
        <v>1487</v>
      </c>
      <c r="MKP989" s="16" t="s">
        <v>1487</v>
      </c>
      <c r="MKQ989" s="16" t="s">
        <v>1487</v>
      </c>
      <c r="MKR989" s="16" t="s">
        <v>1487</v>
      </c>
      <c r="MKS989" s="16" t="s">
        <v>1487</v>
      </c>
      <c r="MKT989" s="16" t="s">
        <v>1487</v>
      </c>
      <c r="MKU989" s="16" t="s">
        <v>1487</v>
      </c>
      <c r="MKV989" s="16" t="s">
        <v>1487</v>
      </c>
      <c r="MKW989" s="16" t="s">
        <v>1487</v>
      </c>
      <c r="MKX989" s="16" t="s">
        <v>1487</v>
      </c>
      <c r="MKY989" s="16" t="s">
        <v>1487</v>
      </c>
      <c r="MKZ989" s="16" t="s">
        <v>1487</v>
      </c>
      <c r="MLA989" s="16" t="s">
        <v>1487</v>
      </c>
      <c r="MLB989" s="16" t="s">
        <v>1487</v>
      </c>
      <c r="MLC989" s="16" t="s">
        <v>1487</v>
      </c>
      <c r="MLD989" s="16" t="s">
        <v>1487</v>
      </c>
      <c r="MLE989" s="16" t="s">
        <v>1487</v>
      </c>
      <c r="MLF989" s="16" t="s">
        <v>1487</v>
      </c>
      <c r="MLG989" s="16" t="s">
        <v>1487</v>
      </c>
      <c r="MLH989" s="16" t="s">
        <v>1487</v>
      </c>
      <c r="MLI989" s="16" t="s">
        <v>1487</v>
      </c>
      <c r="MLJ989" s="16" t="s">
        <v>1487</v>
      </c>
      <c r="MLK989" s="16" t="s">
        <v>1487</v>
      </c>
      <c r="MLL989" s="16" t="s">
        <v>1487</v>
      </c>
      <c r="MLM989" s="16" t="s">
        <v>1487</v>
      </c>
      <c r="MLN989" s="16" t="s">
        <v>1487</v>
      </c>
      <c r="MLO989" s="16" t="s">
        <v>1487</v>
      </c>
      <c r="MLP989" s="16" t="s">
        <v>1487</v>
      </c>
      <c r="MLQ989" s="16" t="s">
        <v>1487</v>
      </c>
      <c r="MLR989" s="16" t="s">
        <v>1487</v>
      </c>
      <c r="MLS989" s="16" t="s">
        <v>1487</v>
      </c>
      <c r="MLT989" s="16" t="s">
        <v>1487</v>
      </c>
      <c r="MLU989" s="16" t="s">
        <v>1487</v>
      </c>
      <c r="MLV989" s="16" t="s">
        <v>1487</v>
      </c>
      <c r="MLW989" s="16" t="s">
        <v>1487</v>
      </c>
      <c r="MLX989" s="16" t="s">
        <v>1487</v>
      </c>
      <c r="MLY989" s="16" t="s">
        <v>1487</v>
      </c>
      <c r="MLZ989" s="16" t="s">
        <v>1487</v>
      </c>
      <c r="MMA989" s="16" t="s">
        <v>1487</v>
      </c>
      <c r="MMB989" s="16" t="s">
        <v>1487</v>
      </c>
      <c r="MMC989" s="16" t="s">
        <v>1487</v>
      </c>
      <c r="MMD989" s="16" t="s">
        <v>1487</v>
      </c>
      <c r="MME989" s="16" t="s">
        <v>1487</v>
      </c>
      <c r="MMF989" s="16" t="s">
        <v>1487</v>
      </c>
      <c r="MMG989" s="16" t="s">
        <v>1487</v>
      </c>
      <c r="MMH989" s="16" t="s">
        <v>1487</v>
      </c>
      <c r="MMI989" s="16" t="s">
        <v>1487</v>
      </c>
      <c r="MMJ989" s="16" t="s">
        <v>1487</v>
      </c>
      <c r="MMK989" s="16" t="s">
        <v>1487</v>
      </c>
      <c r="MML989" s="16" t="s">
        <v>1487</v>
      </c>
      <c r="MMM989" s="16" t="s">
        <v>1487</v>
      </c>
      <c r="MMN989" s="16" t="s">
        <v>1487</v>
      </c>
      <c r="MMO989" s="16" t="s">
        <v>1487</v>
      </c>
      <c r="MMP989" s="16" t="s">
        <v>1487</v>
      </c>
      <c r="MMQ989" s="16" t="s">
        <v>1487</v>
      </c>
      <c r="MMR989" s="16" t="s">
        <v>1487</v>
      </c>
      <c r="MMS989" s="16" t="s">
        <v>1487</v>
      </c>
      <c r="MMT989" s="16" t="s">
        <v>1487</v>
      </c>
      <c r="MMU989" s="16" t="s">
        <v>1487</v>
      </c>
      <c r="MMV989" s="16" t="s">
        <v>1487</v>
      </c>
      <c r="MMW989" s="16" t="s">
        <v>1487</v>
      </c>
      <c r="MMX989" s="16" t="s">
        <v>1487</v>
      </c>
      <c r="MMY989" s="16" t="s">
        <v>1487</v>
      </c>
      <c r="MMZ989" s="16" t="s">
        <v>1487</v>
      </c>
      <c r="MNA989" s="16" t="s">
        <v>1487</v>
      </c>
      <c r="MNB989" s="16" t="s">
        <v>1487</v>
      </c>
      <c r="MNC989" s="16" t="s">
        <v>1487</v>
      </c>
      <c r="MND989" s="16" t="s">
        <v>1487</v>
      </c>
      <c r="MNE989" s="16" t="s">
        <v>1487</v>
      </c>
      <c r="MNF989" s="16" t="s">
        <v>1487</v>
      </c>
      <c r="MNG989" s="16" t="s">
        <v>1487</v>
      </c>
      <c r="MNH989" s="16" t="s">
        <v>1487</v>
      </c>
      <c r="MNI989" s="16" t="s">
        <v>1487</v>
      </c>
      <c r="MNJ989" s="16" t="s">
        <v>1487</v>
      </c>
      <c r="MNK989" s="16" t="s">
        <v>1487</v>
      </c>
      <c r="MNL989" s="16" t="s">
        <v>1487</v>
      </c>
      <c r="MNM989" s="16" t="s">
        <v>1487</v>
      </c>
      <c r="MNN989" s="16" t="s">
        <v>1487</v>
      </c>
      <c r="MNO989" s="16" t="s">
        <v>1487</v>
      </c>
      <c r="MNP989" s="16" t="s">
        <v>1487</v>
      </c>
      <c r="MNQ989" s="16" t="s">
        <v>1487</v>
      </c>
      <c r="MNR989" s="16" t="s">
        <v>1487</v>
      </c>
      <c r="MNS989" s="16" t="s">
        <v>1487</v>
      </c>
      <c r="MNT989" s="16" t="s">
        <v>1487</v>
      </c>
      <c r="MNU989" s="16" t="s">
        <v>1487</v>
      </c>
      <c r="MNV989" s="16" t="s">
        <v>1487</v>
      </c>
      <c r="MNW989" s="16" t="s">
        <v>1487</v>
      </c>
      <c r="MNX989" s="16" t="s">
        <v>1487</v>
      </c>
      <c r="MNY989" s="16" t="s">
        <v>1487</v>
      </c>
      <c r="MNZ989" s="16" t="s">
        <v>1487</v>
      </c>
      <c r="MOA989" s="16" t="s">
        <v>1487</v>
      </c>
      <c r="MOB989" s="16" t="s">
        <v>1487</v>
      </c>
      <c r="MOC989" s="16" t="s">
        <v>1487</v>
      </c>
      <c r="MOD989" s="16" t="s">
        <v>1487</v>
      </c>
      <c r="MOE989" s="16" t="s">
        <v>1487</v>
      </c>
      <c r="MOF989" s="16" t="s">
        <v>1487</v>
      </c>
      <c r="MOG989" s="16" t="s">
        <v>1487</v>
      </c>
      <c r="MOH989" s="16" t="s">
        <v>1487</v>
      </c>
      <c r="MOI989" s="16" t="s">
        <v>1487</v>
      </c>
      <c r="MOJ989" s="16" t="s">
        <v>1487</v>
      </c>
      <c r="MOK989" s="16" t="s">
        <v>1487</v>
      </c>
      <c r="MOL989" s="16" t="s">
        <v>1487</v>
      </c>
      <c r="MOM989" s="16" t="s">
        <v>1487</v>
      </c>
      <c r="MON989" s="16" t="s">
        <v>1487</v>
      </c>
      <c r="MOO989" s="16" t="s">
        <v>1487</v>
      </c>
      <c r="MOP989" s="16" t="s">
        <v>1487</v>
      </c>
      <c r="MOQ989" s="16" t="s">
        <v>1487</v>
      </c>
      <c r="MOR989" s="16" t="s">
        <v>1487</v>
      </c>
      <c r="MOS989" s="16" t="s">
        <v>1487</v>
      </c>
      <c r="MOT989" s="16" t="s">
        <v>1487</v>
      </c>
      <c r="MOU989" s="16" t="s">
        <v>1487</v>
      </c>
      <c r="MOV989" s="16" t="s">
        <v>1487</v>
      </c>
      <c r="MOW989" s="16" t="s">
        <v>1487</v>
      </c>
      <c r="MOX989" s="16" t="s">
        <v>1487</v>
      </c>
      <c r="MOY989" s="16" t="s">
        <v>1487</v>
      </c>
      <c r="MOZ989" s="16" t="s">
        <v>1487</v>
      </c>
      <c r="MPA989" s="16" t="s">
        <v>1487</v>
      </c>
      <c r="MPB989" s="16" t="s">
        <v>1487</v>
      </c>
      <c r="MPC989" s="16" t="s">
        <v>1487</v>
      </c>
      <c r="MPD989" s="16" t="s">
        <v>1487</v>
      </c>
      <c r="MPE989" s="16" t="s">
        <v>1487</v>
      </c>
      <c r="MPF989" s="16" t="s">
        <v>1487</v>
      </c>
      <c r="MPG989" s="16" t="s">
        <v>1487</v>
      </c>
      <c r="MPH989" s="16" t="s">
        <v>1487</v>
      </c>
      <c r="MPI989" s="16" t="s">
        <v>1487</v>
      </c>
      <c r="MPJ989" s="16" t="s">
        <v>1487</v>
      </c>
      <c r="MPK989" s="16" t="s">
        <v>1487</v>
      </c>
      <c r="MPL989" s="16" t="s">
        <v>1487</v>
      </c>
      <c r="MPM989" s="16" t="s">
        <v>1487</v>
      </c>
      <c r="MPN989" s="16" t="s">
        <v>1487</v>
      </c>
      <c r="MPO989" s="16" t="s">
        <v>1487</v>
      </c>
      <c r="MPP989" s="16" t="s">
        <v>1487</v>
      </c>
      <c r="MPQ989" s="16" t="s">
        <v>1487</v>
      </c>
      <c r="MPR989" s="16" t="s">
        <v>1487</v>
      </c>
      <c r="MPS989" s="16" t="s">
        <v>1487</v>
      </c>
      <c r="MPT989" s="16" t="s">
        <v>1487</v>
      </c>
      <c r="MPU989" s="16" t="s">
        <v>1487</v>
      </c>
      <c r="MPV989" s="16" t="s">
        <v>1487</v>
      </c>
      <c r="MPW989" s="16" t="s">
        <v>1487</v>
      </c>
      <c r="MPX989" s="16" t="s">
        <v>1487</v>
      </c>
      <c r="MPY989" s="16" t="s">
        <v>1487</v>
      </c>
      <c r="MPZ989" s="16" t="s">
        <v>1487</v>
      </c>
      <c r="MQA989" s="16" t="s">
        <v>1487</v>
      </c>
      <c r="MQB989" s="16" t="s">
        <v>1487</v>
      </c>
      <c r="MQC989" s="16" t="s">
        <v>1487</v>
      </c>
      <c r="MQD989" s="16" t="s">
        <v>1487</v>
      </c>
      <c r="MQE989" s="16" t="s">
        <v>1487</v>
      </c>
      <c r="MQF989" s="16" t="s">
        <v>1487</v>
      </c>
      <c r="MQG989" s="16" t="s">
        <v>1487</v>
      </c>
      <c r="MQH989" s="16" t="s">
        <v>1487</v>
      </c>
      <c r="MQI989" s="16" t="s">
        <v>1487</v>
      </c>
      <c r="MQJ989" s="16" t="s">
        <v>1487</v>
      </c>
      <c r="MQK989" s="16" t="s">
        <v>1487</v>
      </c>
      <c r="MQL989" s="16" t="s">
        <v>1487</v>
      </c>
      <c r="MQM989" s="16" t="s">
        <v>1487</v>
      </c>
      <c r="MQN989" s="16" t="s">
        <v>1487</v>
      </c>
      <c r="MQO989" s="16" t="s">
        <v>1487</v>
      </c>
      <c r="MQP989" s="16" t="s">
        <v>1487</v>
      </c>
      <c r="MQQ989" s="16" t="s">
        <v>1487</v>
      </c>
      <c r="MQR989" s="16" t="s">
        <v>1487</v>
      </c>
      <c r="MQS989" s="16" t="s">
        <v>1487</v>
      </c>
      <c r="MQT989" s="16" t="s">
        <v>1487</v>
      </c>
      <c r="MQU989" s="16" t="s">
        <v>1487</v>
      </c>
      <c r="MQV989" s="16" t="s">
        <v>1487</v>
      </c>
      <c r="MQW989" s="16" t="s">
        <v>1487</v>
      </c>
      <c r="MQX989" s="16" t="s">
        <v>1487</v>
      </c>
      <c r="MQY989" s="16" t="s">
        <v>1487</v>
      </c>
      <c r="MQZ989" s="16" t="s">
        <v>1487</v>
      </c>
      <c r="MRA989" s="16" t="s">
        <v>1487</v>
      </c>
      <c r="MRB989" s="16" t="s">
        <v>1487</v>
      </c>
      <c r="MRC989" s="16" t="s">
        <v>1487</v>
      </c>
      <c r="MRD989" s="16" t="s">
        <v>1487</v>
      </c>
      <c r="MRE989" s="16" t="s">
        <v>1487</v>
      </c>
      <c r="MRF989" s="16" t="s">
        <v>1487</v>
      </c>
      <c r="MRG989" s="16" t="s">
        <v>1487</v>
      </c>
      <c r="MRH989" s="16" t="s">
        <v>1487</v>
      </c>
      <c r="MRI989" s="16" t="s">
        <v>1487</v>
      </c>
      <c r="MRJ989" s="16" t="s">
        <v>1487</v>
      </c>
      <c r="MRK989" s="16" t="s">
        <v>1487</v>
      </c>
      <c r="MRL989" s="16" t="s">
        <v>1487</v>
      </c>
      <c r="MRM989" s="16" t="s">
        <v>1487</v>
      </c>
      <c r="MRN989" s="16" t="s">
        <v>1487</v>
      </c>
      <c r="MRO989" s="16" t="s">
        <v>1487</v>
      </c>
      <c r="MRP989" s="16" t="s">
        <v>1487</v>
      </c>
      <c r="MRQ989" s="16" t="s">
        <v>1487</v>
      </c>
      <c r="MRR989" s="16" t="s">
        <v>1487</v>
      </c>
      <c r="MRS989" s="16" t="s">
        <v>1487</v>
      </c>
      <c r="MRT989" s="16" t="s">
        <v>1487</v>
      </c>
      <c r="MRU989" s="16" t="s">
        <v>1487</v>
      </c>
      <c r="MRV989" s="16" t="s">
        <v>1487</v>
      </c>
      <c r="MRW989" s="16" t="s">
        <v>1487</v>
      </c>
      <c r="MRX989" s="16" t="s">
        <v>1487</v>
      </c>
      <c r="MRY989" s="16" t="s">
        <v>1487</v>
      </c>
      <c r="MRZ989" s="16" t="s">
        <v>1487</v>
      </c>
      <c r="MSA989" s="16" t="s">
        <v>1487</v>
      </c>
      <c r="MSB989" s="16" t="s">
        <v>1487</v>
      </c>
      <c r="MSC989" s="16" t="s">
        <v>1487</v>
      </c>
      <c r="MSD989" s="16" t="s">
        <v>1487</v>
      </c>
      <c r="MSE989" s="16" t="s">
        <v>1487</v>
      </c>
      <c r="MSF989" s="16" t="s">
        <v>1487</v>
      </c>
      <c r="MSG989" s="16" t="s">
        <v>1487</v>
      </c>
      <c r="MSH989" s="16" t="s">
        <v>1487</v>
      </c>
      <c r="MSI989" s="16" t="s">
        <v>1487</v>
      </c>
      <c r="MSJ989" s="16" t="s">
        <v>1487</v>
      </c>
      <c r="MSK989" s="16" t="s">
        <v>1487</v>
      </c>
      <c r="MSL989" s="16" t="s">
        <v>1487</v>
      </c>
      <c r="MSM989" s="16" t="s">
        <v>1487</v>
      </c>
      <c r="MSN989" s="16" t="s">
        <v>1487</v>
      </c>
      <c r="MSO989" s="16" t="s">
        <v>1487</v>
      </c>
      <c r="MSP989" s="16" t="s">
        <v>1487</v>
      </c>
      <c r="MSQ989" s="16" t="s">
        <v>1487</v>
      </c>
      <c r="MSR989" s="16" t="s">
        <v>1487</v>
      </c>
      <c r="MSS989" s="16" t="s">
        <v>1487</v>
      </c>
      <c r="MST989" s="16" t="s">
        <v>1487</v>
      </c>
      <c r="MSU989" s="16" t="s">
        <v>1487</v>
      </c>
      <c r="MSV989" s="16" t="s">
        <v>1487</v>
      </c>
      <c r="MSW989" s="16" t="s">
        <v>1487</v>
      </c>
      <c r="MSX989" s="16" t="s">
        <v>1487</v>
      </c>
      <c r="MSY989" s="16" t="s">
        <v>1487</v>
      </c>
      <c r="MSZ989" s="16" t="s">
        <v>1487</v>
      </c>
      <c r="MTA989" s="16" t="s">
        <v>1487</v>
      </c>
      <c r="MTB989" s="16" t="s">
        <v>1487</v>
      </c>
      <c r="MTC989" s="16" t="s">
        <v>1487</v>
      </c>
      <c r="MTD989" s="16" t="s">
        <v>1487</v>
      </c>
      <c r="MTE989" s="16" t="s">
        <v>1487</v>
      </c>
      <c r="MTF989" s="16" t="s">
        <v>1487</v>
      </c>
      <c r="MTG989" s="16" t="s">
        <v>1487</v>
      </c>
      <c r="MTH989" s="16" t="s">
        <v>1487</v>
      </c>
      <c r="MTI989" s="16" t="s">
        <v>1487</v>
      </c>
      <c r="MTJ989" s="16" t="s">
        <v>1487</v>
      </c>
      <c r="MTK989" s="16" t="s">
        <v>1487</v>
      </c>
      <c r="MTL989" s="16" t="s">
        <v>1487</v>
      </c>
      <c r="MTM989" s="16" t="s">
        <v>1487</v>
      </c>
      <c r="MTN989" s="16" t="s">
        <v>1487</v>
      </c>
      <c r="MTO989" s="16" t="s">
        <v>1487</v>
      </c>
      <c r="MTP989" s="16" t="s">
        <v>1487</v>
      </c>
      <c r="MTQ989" s="16" t="s">
        <v>1487</v>
      </c>
      <c r="MTR989" s="16" t="s">
        <v>1487</v>
      </c>
      <c r="MTS989" s="16" t="s">
        <v>1487</v>
      </c>
      <c r="MTT989" s="16" t="s">
        <v>1487</v>
      </c>
      <c r="MTU989" s="16" t="s">
        <v>1487</v>
      </c>
      <c r="MTV989" s="16" t="s">
        <v>1487</v>
      </c>
      <c r="MTW989" s="16" t="s">
        <v>1487</v>
      </c>
      <c r="MTX989" s="16" t="s">
        <v>1487</v>
      </c>
      <c r="MTY989" s="16" t="s">
        <v>1487</v>
      </c>
      <c r="MTZ989" s="16" t="s">
        <v>1487</v>
      </c>
      <c r="MUA989" s="16" t="s">
        <v>1487</v>
      </c>
      <c r="MUB989" s="16" t="s">
        <v>1487</v>
      </c>
      <c r="MUC989" s="16" t="s">
        <v>1487</v>
      </c>
      <c r="MUD989" s="16" t="s">
        <v>1487</v>
      </c>
      <c r="MUE989" s="16" t="s">
        <v>1487</v>
      </c>
      <c r="MUF989" s="16" t="s">
        <v>1487</v>
      </c>
      <c r="MUG989" s="16" t="s">
        <v>1487</v>
      </c>
      <c r="MUH989" s="16" t="s">
        <v>1487</v>
      </c>
      <c r="MUI989" s="16" t="s">
        <v>1487</v>
      </c>
      <c r="MUJ989" s="16" t="s">
        <v>1487</v>
      </c>
      <c r="MUK989" s="16" t="s">
        <v>1487</v>
      </c>
      <c r="MUL989" s="16" t="s">
        <v>1487</v>
      </c>
      <c r="MUM989" s="16" t="s">
        <v>1487</v>
      </c>
      <c r="MUN989" s="16" t="s">
        <v>1487</v>
      </c>
      <c r="MUO989" s="16" t="s">
        <v>1487</v>
      </c>
      <c r="MUP989" s="16" t="s">
        <v>1487</v>
      </c>
      <c r="MUQ989" s="16" t="s">
        <v>1487</v>
      </c>
      <c r="MUR989" s="16" t="s">
        <v>1487</v>
      </c>
      <c r="MUS989" s="16" t="s">
        <v>1487</v>
      </c>
      <c r="MUT989" s="16" t="s">
        <v>1487</v>
      </c>
      <c r="MUU989" s="16" t="s">
        <v>1487</v>
      </c>
      <c r="MUV989" s="16" t="s">
        <v>1487</v>
      </c>
      <c r="MUW989" s="16" t="s">
        <v>1487</v>
      </c>
      <c r="MUX989" s="16" t="s">
        <v>1487</v>
      </c>
      <c r="MUY989" s="16" t="s">
        <v>1487</v>
      </c>
      <c r="MUZ989" s="16" t="s">
        <v>1487</v>
      </c>
      <c r="MVA989" s="16" t="s">
        <v>1487</v>
      </c>
      <c r="MVB989" s="16" t="s">
        <v>1487</v>
      </c>
      <c r="MVC989" s="16" t="s">
        <v>1487</v>
      </c>
      <c r="MVD989" s="16" t="s">
        <v>1487</v>
      </c>
      <c r="MVE989" s="16" t="s">
        <v>1487</v>
      </c>
      <c r="MVF989" s="16" t="s">
        <v>1487</v>
      </c>
      <c r="MVG989" s="16" t="s">
        <v>1487</v>
      </c>
      <c r="MVH989" s="16" t="s">
        <v>1487</v>
      </c>
      <c r="MVI989" s="16" t="s">
        <v>1487</v>
      </c>
      <c r="MVJ989" s="16" t="s">
        <v>1487</v>
      </c>
      <c r="MVK989" s="16" t="s">
        <v>1487</v>
      </c>
      <c r="MVL989" s="16" t="s">
        <v>1487</v>
      </c>
      <c r="MVM989" s="16" t="s">
        <v>1487</v>
      </c>
      <c r="MVN989" s="16" t="s">
        <v>1487</v>
      </c>
      <c r="MVO989" s="16" t="s">
        <v>1487</v>
      </c>
      <c r="MVP989" s="16" t="s">
        <v>1487</v>
      </c>
      <c r="MVQ989" s="16" t="s">
        <v>1487</v>
      </c>
      <c r="MVR989" s="16" t="s">
        <v>1487</v>
      </c>
      <c r="MVS989" s="16" t="s">
        <v>1487</v>
      </c>
      <c r="MVT989" s="16" t="s">
        <v>1487</v>
      </c>
      <c r="MVU989" s="16" t="s">
        <v>1487</v>
      </c>
      <c r="MVV989" s="16" t="s">
        <v>1487</v>
      </c>
      <c r="MVW989" s="16" t="s">
        <v>1487</v>
      </c>
      <c r="MVX989" s="16" t="s">
        <v>1487</v>
      </c>
      <c r="MVY989" s="16" t="s">
        <v>1487</v>
      </c>
      <c r="MVZ989" s="16" t="s">
        <v>1487</v>
      </c>
      <c r="MWA989" s="16" t="s">
        <v>1487</v>
      </c>
      <c r="MWB989" s="16" t="s">
        <v>1487</v>
      </c>
      <c r="MWC989" s="16" t="s">
        <v>1487</v>
      </c>
      <c r="MWD989" s="16" t="s">
        <v>1487</v>
      </c>
      <c r="MWE989" s="16" t="s">
        <v>1487</v>
      </c>
      <c r="MWF989" s="16" t="s">
        <v>1487</v>
      </c>
      <c r="MWG989" s="16" t="s">
        <v>1487</v>
      </c>
      <c r="MWH989" s="16" t="s">
        <v>1487</v>
      </c>
      <c r="MWI989" s="16" t="s">
        <v>1487</v>
      </c>
      <c r="MWJ989" s="16" t="s">
        <v>1487</v>
      </c>
      <c r="MWK989" s="16" t="s">
        <v>1487</v>
      </c>
      <c r="MWL989" s="16" t="s">
        <v>1487</v>
      </c>
      <c r="MWM989" s="16" t="s">
        <v>1487</v>
      </c>
      <c r="MWN989" s="16" t="s">
        <v>1487</v>
      </c>
      <c r="MWO989" s="16" t="s">
        <v>1487</v>
      </c>
      <c r="MWP989" s="16" t="s">
        <v>1487</v>
      </c>
      <c r="MWQ989" s="16" t="s">
        <v>1487</v>
      </c>
      <c r="MWR989" s="16" t="s">
        <v>1487</v>
      </c>
      <c r="MWS989" s="16" t="s">
        <v>1487</v>
      </c>
      <c r="MWT989" s="16" t="s">
        <v>1487</v>
      </c>
      <c r="MWU989" s="16" t="s">
        <v>1487</v>
      </c>
      <c r="MWV989" s="16" t="s">
        <v>1487</v>
      </c>
      <c r="MWW989" s="16" t="s">
        <v>1487</v>
      </c>
      <c r="MWX989" s="16" t="s">
        <v>1487</v>
      </c>
      <c r="MWY989" s="16" t="s">
        <v>1487</v>
      </c>
      <c r="MWZ989" s="16" t="s">
        <v>1487</v>
      </c>
      <c r="MXA989" s="16" t="s">
        <v>1487</v>
      </c>
      <c r="MXB989" s="16" t="s">
        <v>1487</v>
      </c>
      <c r="MXC989" s="16" t="s">
        <v>1487</v>
      </c>
      <c r="MXD989" s="16" t="s">
        <v>1487</v>
      </c>
      <c r="MXE989" s="16" t="s">
        <v>1487</v>
      </c>
      <c r="MXF989" s="16" t="s">
        <v>1487</v>
      </c>
      <c r="MXG989" s="16" t="s">
        <v>1487</v>
      </c>
      <c r="MXH989" s="16" t="s">
        <v>1487</v>
      </c>
      <c r="MXI989" s="16" t="s">
        <v>1487</v>
      </c>
      <c r="MXJ989" s="16" t="s">
        <v>1487</v>
      </c>
      <c r="MXK989" s="16" t="s">
        <v>1487</v>
      </c>
      <c r="MXL989" s="16" t="s">
        <v>1487</v>
      </c>
      <c r="MXM989" s="16" t="s">
        <v>1487</v>
      </c>
      <c r="MXN989" s="16" t="s">
        <v>1487</v>
      </c>
      <c r="MXO989" s="16" t="s">
        <v>1487</v>
      </c>
      <c r="MXP989" s="16" t="s">
        <v>1487</v>
      </c>
      <c r="MXQ989" s="16" t="s">
        <v>1487</v>
      </c>
      <c r="MXR989" s="16" t="s">
        <v>1487</v>
      </c>
      <c r="MXS989" s="16" t="s">
        <v>1487</v>
      </c>
      <c r="MXT989" s="16" t="s">
        <v>1487</v>
      </c>
      <c r="MXU989" s="16" t="s">
        <v>1487</v>
      </c>
      <c r="MXV989" s="16" t="s">
        <v>1487</v>
      </c>
      <c r="MXW989" s="16" t="s">
        <v>1487</v>
      </c>
      <c r="MXX989" s="16" t="s">
        <v>1487</v>
      </c>
      <c r="MXY989" s="16" t="s">
        <v>1487</v>
      </c>
      <c r="MXZ989" s="16" t="s">
        <v>1487</v>
      </c>
      <c r="MYA989" s="16" t="s">
        <v>1487</v>
      </c>
      <c r="MYB989" s="16" t="s">
        <v>1487</v>
      </c>
      <c r="MYC989" s="16" t="s">
        <v>1487</v>
      </c>
      <c r="MYD989" s="16" t="s">
        <v>1487</v>
      </c>
      <c r="MYE989" s="16" t="s">
        <v>1487</v>
      </c>
      <c r="MYF989" s="16" t="s">
        <v>1487</v>
      </c>
      <c r="MYG989" s="16" t="s">
        <v>1487</v>
      </c>
      <c r="MYH989" s="16" t="s">
        <v>1487</v>
      </c>
      <c r="MYI989" s="16" t="s">
        <v>1487</v>
      </c>
      <c r="MYJ989" s="16" t="s">
        <v>1487</v>
      </c>
      <c r="MYK989" s="16" t="s">
        <v>1487</v>
      </c>
      <c r="MYL989" s="16" t="s">
        <v>1487</v>
      </c>
      <c r="MYM989" s="16" t="s">
        <v>1487</v>
      </c>
      <c r="MYN989" s="16" t="s">
        <v>1487</v>
      </c>
      <c r="MYO989" s="16" t="s">
        <v>1487</v>
      </c>
      <c r="MYP989" s="16" t="s">
        <v>1487</v>
      </c>
      <c r="MYQ989" s="16" t="s">
        <v>1487</v>
      </c>
      <c r="MYR989" s="16" t="s">
        <v>1487</v>
      </c>
      <c r="MYS989" s="16" t="s">
        <v>1487</v>
      </c>
      <c r="MYT989" s="16" t="s">
        <v>1487</v>
      </c>
      <c r="MYU989" s="16" t="s">
        <v>1487</v>
      </c>
      <c r="MYV989" s="16" t="s">
        <v>1487</v>
      </c>
      <c r="MYW989" s="16" t="s">
        <v>1487</v>
      </c>
      <c r="MYX989" s="16" t="s">
        <v>1487</v>
      </c>
      <c r="MYY989" s="16" t="s">
        <v>1487</v>
      </c>
      <c r="MYZ989" s="16" t="s">
        <v>1487</v>
      </c>
      <c r="MZA989" s="16" t="s">
        <v>1487</v>
      </c>
      <c r="MZB989" s="16" t="s">
        <v>1487</v>
      </c>
      <c r="MZC989" s="16" t="s">
        <v>1487</v>
      </c>
      <c r="MZD989" s="16" t="s">
        <v>1487</v>
      </c>
      <c r="MZE989" s="16" t="s">
        <v>1487</v>
      </c>
      <c r="MZF989" s="16" t="s">
        <v>1487</v>
      </c>
      <c r="MZG989" s="16" t="s">
        <v>1487</v>
      </c>
      <c r="MZH989" s="16" t="s">
        <v>1487</v>
      </c>
      <c r="MZI989" s="16" t="s">
        <v>1487</v>
      </c>
      <c r="MZJ989" s="16" t="s">
        <v>1487</v>
      </c>
      <c r="MZK989" s="16" t="s">
        <v>1487</v>
      </c>
      <c r="MZL989" s="16" t="s">
        <v>1487</v>
      </c>
      <c r="MZM989" s="16" t="s">
        <v>1487</v>
      </c>
      <c r="MZN989" s="16" t="s">
        <v>1487</v>
      </c>
      <c r="MZO989" s="16" t="s">
        <v>1487</v>
      </c>
      <c r="MZP989" s="16" t="s">
        <v>1487</v>
      </c>
      <c r="MZQ989" s="16" t="s">
        <v>1487</v>
      </c>
      <c r="MZR989" s="16" t="s">
        <v>1487</v>
      </c>
      <c r="MZS989" s="16" t="s">
        <v>1487</v>
      </c>
      <c r="MZT989" s="16" t="s">
        <v>1487</v>
      </c>
      <c r="MZU989" s="16" t="s">
        <v>1487</v>
      </c>
      <c r="MZV989" s="16" t="s">
        <v>1487</v>
      </c>
      <c r="MZW989" s="16" t="s">
        <v>1487</v>
      </c>
      <c r="MZX989" s="16" t="s">
        <v>1487</v>
      </c>
      <c r="MZY989" s="16" t="s">
        <v>1487</v>
      </c>
      <c r="MZZ989" s="16" t="s">
        <v>1487</v>
      </c>
      <c r="NAA989" s="16" t="s">
        <v>1487</v>
      </c>
      <c r="NAB989" s="16" t="s">
        <v>1487</v>
      </c>
      <c r="NAC989" s="16" t="s">
        <v>1487</v>
      </c>
      <c r="NAD989" s="16" t="s">
        <v>1487</v>
      </c>
      <c r="NAE989" s="16" t="s">
        <v>1487</v>
      </c>
      <c r="NAF989" s="16" t="s">
        <v>1487</v>
      </c>
      <c r="NAG989" s="16" t="s">
        <v>1487</v>
      </c>
      <c r="NAH989" s="16" t="s">
        <v>1487</v>
      </c>
      <c r="NAI989" s="16" t="s">
        <v>1487</v>
      </c>
      <c r="NAJ989" s="16" t="s">
        <v>1487</v>
      </c>
      <c r="NAK989" s="16" t="s">
        <v>1487</v>
      </c>
      <c r="NAL989" s="16" t="s">
        <v>1487</v>
      </c>
      <c r="NAM989" s="16" t="s">
        <v>1487</v>
      </c>
      <c r="NAN989" s="16" t="s">
        <v>1487</v>
      </c>
      <c r="NAO989" s="16" t="s">
        <v>1487</v>
      </c>
      <c r="NAP989" s="16" t="s">
        <v>1487</v>
      </c>
      <c r="NAQ989" s="16" t="s">
        <v>1487</v>
      </c>
      <c r="NAR989" s="16" t="s">
        <v>1487</v>
      </c>
      <c r="NAS989" s="16" t="s">
        <v>1487</v>
      </c>
      <c r="NAT989" s="16" t="s">
        <v>1487</v>
      </c>
      <c r="NAU989" s="16" t="s">
        <v>1487</v>
      </c>
      <c r="NAV989" s="16" t="s">
        <v>1487</v>
      </c>
      <c r="NAW989" s="16" t="s">
        <v>1487</v>
      </c>
      <c r="NAX989" s="16" t="s">
        <v>1487</v>
      </c>
      <c r="NAY989" s="16" t="s">
        <v>1487</v>
      </c>
      <c r="NAZ989" s="16" t="s">
        <v>1487</v>
      </c>
      <c r="NBA989" s="16" t="s">
        <v>1487</v>
      </c>
      <c r="NBB989" s="16" t="s">
        <v>1487</v>
      </c>
      <c r="NBC989" s="16" t="s">
        <v>1487</v>
      </c>
      <c r="NBD989" s="16" t="s">
        <v>1487</v>
      </c>
      <c r="NBE989" s="16" t="s">
        <v>1487</v>
      </c>
      <c r="NBF989" s="16" t="s">
        <v>1487</v>
      </c>
      <c r="NBG989" s="16" t="s">
        <v>1487</v>
      </c>
      <c r="NBH989" s="16" t="s">
        <v>1487</v>
      </c>
      <c r="NBI989" s="16" t="s">
        <v>1487</v>
      </c>
      <c r="NBJ989" s="16" t="s">
        <v>1487</v>
      </c>
      <c r="NBK989" s="16" t="s">
        <v>1487</v>
      </c>
      <c r="NBL989" s="16" t="s">
        <v>1487</v>
      </c>
      <c r="NBM989" s="16" t="s">
        <v>1487</v>
      </c>
      <c r="NBN989" s="16" t="s">
        <v>1487</v>
      </c>
      <c r="NBO989" s="16" t="s">
        <v>1487</v>
      </c>
      <c r="NBP989" s="16" t="s">
        <v>1487</v>
      </c>
      <c r="NBQ989" s="16" t="s">
        <v>1487</v>
      </c>
      <c r="NBR989" s="16" t="s">
        <v>1487</v>
      </c>
      <c r="NBS989" s="16" t="s">
        <v>1487</v>
      </c>
      <c r="NBT989" s="16" t="s">
        <v>1487</v>
      </c>
      <c r="NBU989" s="16" t="s">
        <v>1487</v>
      </c>
      <c r="NBV989" s="16" t="s">
        <v>1487</v>
      </c>
      <c r="NBW989" s="16" t="s">
        <v>1487</v>
      </c>
      <c r="NBX989" s="16" t="s">
        <v>1487</v>
      </c>
      <c r="NBY989" s="16" t="s">
        <v>1487</v>
      </c>
      <c r="NBZ989" s="16" t="s">
        <v>1487</v>
      </c>
      <c r="NCA989" s="16" t="s">
        <v>1487</v>
      </c>
      <c r="NCB989" s="16" t="s">
        <v>1487</v>
      </c>
      <c r="NCC989" s="16" t="s">
        <v>1487</v>
      </c>
      <c r="NCD989" s="16" t="s">
        <v>1487</v>
      </c>
      <c r="NCE989" s="16" t="s">
        <v>1487</v>
      </c>
      <c r="NCF989" s="16" t="s">
        <v>1487</v>
      </c>
      <c r="NCG989" s="16" t="s">
        <v>1487</v>
      </c>
      <c r="NCH989" s="16" t="s">
        <v>1487</v>
      </c>
      <c r="NCI989" s="16" t="s">
        <v>1487</v>
      </c>
      <c r="NCJ989" s="16" t="s">
        <v>1487</v>
      </c>
      <c r="NCK989" s="16" t="s">
        <v>1487</v>
      </c>
      <c r="NCL989" s="16" t="s">
        <v>1487</v>
      </c>
      <c r="NCM989" s="16" t="s">
        <v>1487</v>
      </c>
      <c r="NCN989" s="16" t="s">
        <v>1487</v>
      </c>
      <c r="NCO989" s="16" t="s">
        <v>1487</v>
      </c>
      <c r="NCP989" s="16" t="s">
        <v>1487</v>
      </c>
      <c r="NCQ989" s="16" t="s">
        <v>1487</v>
      </c>
      <c r="NCR989" s="16" t="s">
        <v>1487</v>
      </c>
      <c r="NCS989" s="16" t="s">
        <v>1487</v>
      </c>
      <c r="NCT989" s="16" t="s">
        <v>1487</v>
      </c>
      <c r="NCU989" s="16" t="s">
        <v>1487</v>
      </c>
      <c r="NCV989" s="16" t="s">
        <v>1487</v>
      </c>
      <c r="NCW989" s="16" t="s">
        <v>1487</v>
      </c>
      <c r="NCX989" s="16" t="s">
        <v>1487</v>
      </c>
      <c r="NCY989" s="16" t="s">
        <v>1487</v>
      </c>
      <c r="NCZ989" s="16" t="s">
        <v>1487</v>
      </c>
      <c r="NDA989" s="16" t="s">
        <v>1487</v>
      </c>
      <c r="NDB989" s="16" t="s">
        <v>1487</v>
      </c>
      <c r="NDC989" s="16" t="s">
        <v>1487</v>
      </c>
      <c r="NDD989" s="16" t="s">
        <v>1487</v>
      </c>
      <c r="NDE989" s="16" t="s">
        <v>1487</v>
      </c>
      <c r="NDF989" s="16" t="s">
        <v>1487</v>
      </c>
      <c r="NDG989" s="16" t="s">
        <v>1487</v>
      </c>
      <c r="NDH989" s="16" t="s">
        <v>1487</v>
      </c>
      <c r="NDI989" s="16" t="s">
        <v>1487</v>
      </c>
      <c r="NDJ989" s="16" t="s">
        <v>1487</v>
      </c>
      <c r="NDK989" s="16" t="s">
        <v>1487</v>
      </c>
      <c r="NDL989" s="16" t="s">
        <v>1487</v>
      </c>
      <c r="NDM989" s="16" t="s">
        <v>1487</v>
      </c>
      <c r="NDN989" s="16" t="s">
        <v>1487</v>
      </c>
      <c r="NDO989" s="16" t="s">
        <v>1487</v>
      </c>
      <c r="NDP989" s="16" t="s">
        <v>1487</v>
      </c>
      <c r="NDQ989" s="16" t="s">
        <v>1487</v>
      </c>
      <c r="NDR989" s="16" t="s">
        <v>1487</v>
      </c>
      <c r="NDS989" s="16" t="s">
        <v>1487</v>
      </c>
      <c r="NDT989" s="16" t="s">
        <v>1487</v>
      </c>
      <c r="NDU989" s="16" t="s">
        <v>1487</v>
      </c>
      <c r="NDV989" s="16" t="s">
        <v>1487</v>
      </c>
      <c r="NDW989" s="16" t="s">
        <v>1487</v>
      </c>
      <c r="NDX989" s="16" t="s">
        <v>1487</v>
      </c>
      <c r="NDY989" s="16" t="s">
        <v>1487</v>
      </c>
      <c r="NDZ989" s="16" t="s">
        <v>1487</v>
      </c>
      <c r="NEA989" s="16" t="s">
        <v>1487</v>
      </c>
      <c r="NEB989" s="16" t="s">
        <v>1487</v>
      </c>
      <c r="NEC989" s="16" t="s">
        <v>1487</v>
      </c>
      <c r="NED989" s="16" t="s">
        <v>1487</v>
      </c>
      <c r="NEE989" s="16" t="s">
        <v>1487</v>
      </c>
      <c r="NEF989" s="16" t="s">
        <v>1487</v>
      </c>
      <c r="NEG989" s="16" t="s">
        <v>1487</v>
      </c>
      <c r="NEH989" s="16" t="s">
        <v>1487</v>
      </c>
      <c r="NEI989" s="16" t="s">
        <v>1487</v>
      </c>
      <c r="NEJ989" s="16" t="s">
        <v>1487</v>
      </c>
      <c r="NEK989" s="16" t="s">
        <v>1487</v>
      </c>
      <c r="NEL989" s="16" t="s">
        <v>1487</v>
      </c>
      <c r="NEM989" s="16" t="s">
        <v>1487</v>
      </c>
      <c r="NEN989" s="16" t="s">
        <v>1487</v>
      </c>
      <c r="NEO989" s="16" t="s">
        <v>1487</v>
      </c>
      <c r="NEP989" s="16" t="s">
        <v>1487</v>
      </c>
      <c r="NEQ989" s="16" t="s">
        <v>1487</v>
      </c>
      <c r="NER989" s="16" t="s">
        <v>1487</v>
      </c>
      <c r="NES989" s="16" t="s">
        <v>1487</v>
      </c>
      <c r="NET989" s="16" t="s">
        <v>1487</v>
      </c>
      <c r="NEU989" s="16" t="s">
        <v>1487</v>
      </c>
      <c r="NEV989" s="16" t="s">
        <v>1487</v>
      </c>
      <c r="NEW989" s="16" t="s">
        <v>1487</v>
      </c>
      <c r="NEX989" s="16" t="s">
        <v>1487</v>
      </c>
      <c r="NEY989" s="16" t="s">
        <v>1487</v>
      </c>
      <c r="NEZ989" s="16" t="s">
        <v>1487</v>
      </c>
      <c r="NFA989" s="16" t="s">
        <v>1487</v>
      </c>
      <c r="NFB989" s="16" t="s">
        <v>1487</v>
      </c>
      <c r="NFC989" s="16" t="s">
        <v>1487</v>
      </c>
      <c r="NFD989" s="16" t="s">
        <v>1487</v>
      </c>
      <c r="NFE989" s="16" t="s">
        <v>1487</v>
      </c>
      <c r="NFF989" s="16" t="s">
        <v>1487</v>
      </c>
      <c r="NFG989" s="16" t="s">
        <v>1487</v>
      </c>
      <c r="NFH989" s="16" t="s">
        <v>1487</v>
      </c>
      <c r="NFI989" s="16" t="s">
        <v>1487</v>
      </c>
      <c r="NFJ989" s="16" t="s">
        <v>1487</v>
      </c>
      <c r="NFK989" s="16" t="s">
        <v>1487</v>
      </c>
      <c r="NFL989" s="16" t="s">
        <v>1487</v>
      </c>
      <c r="NFM989" s="16" t="s">
        <v>1487</v>
      </c>
      <c r="NFN989" s="16" t="s">
        <v>1487</v>
      </c>
      <c r="NFO989" s="16" t="s">
        <v>1487</v>
      </c>
      <c r="NFP989" s="16" t="s">
        <v>1487</v>
      </c>
      <c r="NFQ989" s="16" t="s">
        <v>1487</v>
      </c>
      <c r="NFR989" s="16" t="s">
        <v>1487</v>
      </c>
      <c r="NFS989" s="16" t="s">
        <v>1487</v>
      </c>
      <c r="NFT989" s="16" t="s">
        <v>1487</v>
      </c>
      <c r="NFU989" s="16" t="s">
        <v>1487</v>
      </c>
      <c r="NFV989" s="16" t="s">
        <v>1487</v>
      </c>
      <c r="NFW989" s="16" t="s">
        <v>1487</v>
      </c>
      <c r="NFX989" s="16" t="s">
        <v>1487</v>
      </c>
      <c r="NFY989" s="16" t="s">
        <v>1487</v>
      </c>
      <c r="NFZ989" s="16" t="s">
        <v>1487</v>
      </c>
      <c r="NGA989" s="16" t="s">
        <v>1487</v>
      </c>
      <c r="NGB989" s="16" t="s">
        <v>1487</v>
      </c>
      <c r="NGC989" s="16" t="s">
        <v>1487</v>
      </c>
      <c r="NGD989" s="16" t="s">
        <v>1487</v>
      </c>
      <c r="NGE989" s="16" t="s">
        <v>1487</v>
      </c>
      <c r="NGF989" s="16" t="s">
        <v>1487</v>
      </c>
      <c r="NGG989" s="16" t="s">
        <v>1487</v>
      </c>
      <c r="NGH989" s="16" t="s">
        <v>1487</v>
      </c>
      <c r="NGI989" s="16" t="s">
        <v>1487</v>
      </c>
      <c r="NGJ989" s="16" t="s">
        <v>1487</v>
      </c>
      <c r="NGK989" s="16" t="s">
        <v>1487</v>
      </c>
      <c r="NGL989" s="16" t="s">
        <v>1487</v>
      </c>
      <c r="NGM989" s="16" t="s">
        <v>1487</v>
      </c>
      <c r="NGN989" s="16" t="s">
        <v>1487</v>
      </c>
      <c r="NGO989" s="16" t="s">
        <v>1487</v>
      </c>
      <c r="NGP989" s="16" t="s">
        <v>1487</v>
      </c>
      <c r="NGQ989" s="16" t="s">
        <v>1487</v>
      </c>
      <c r="NGR989" s="16" t="s">
        <v>1487</v>
      </c>
      <c r="NGS989" s="16" t="s">
        <v>1487</v>
      </c>
      <c r="NGT989" s="16" t="s">
        <v>1487</v>
      </c>
      <c r="NGU989" s="16" t="s">
        <v>1487</v>
      </c>
      <c r="NGV989" s="16" t="s">
        <v>1487</v>
      </c>
      <c r="NGW989" s="16" t="s">
        <v>1487</v>
      </c>
      <c r="NGX989" s="16" t="s">
        <v>1487</v>
      </c>
      <c r="NGY989" s="16" t="s">
        <v>1487</v>
      </c>
      <c r="NGZ989" s="16" t="s">
        <v>1487</v>
      </c>
      <c r="NHA989" s="16" t="s">
        <v>1487</v>
      </c>
      <c r="NHB989" s="16" t="s">
        <v>1487</v>
      </c>
      <c r="NHC989" s="16" t="s">
        <v>1487</v>
      </c>
      <c r="NHD989" s="16" t="s">
        <v>1487</v>
      </c>
      <c r="NHE989" s="16" t="s">
        <v>1487</v>
      </c>
      <c r="NHF989" s="16" t="s">
        <v>1487</v>
      </c>
      <c r="NHG989" s="16" t="s">
        <v>1487</v>
      </c>
      <c r="NHH989" s="16" t="s">
        <v>1487</v>
      </c>
      <c r="NHI989" s="16" t="s">
        <v>1487</v>
      </c>
      <c r="NHJ989" s="16" t="s">
        <v>1487</v>
      </c>
      <c r="NHK989" s="16" t="s">
        <v>1487</v>
      </c>
      <c r="NHL989" s="16" t="s">
        <v>1487</v>
      </c>
      <c r="NHM989" s="16" t="s">
        <v>1487</v>
      </c>
      <c r="NHN989" s="16" t="s">
        <v>1487</v>
      </c>
      <c r="NHO989" s="16" t="s">
        <v>1487</v>
      </c>
      <c r="NHP989" s="16" t="s">
        <v>1487</v>
      </c>
      <c r="NHQ989" s="16" t="s">
        <v>1487</v>
      </c>
      <c r="NHR989" s="16" t="s">
        <v>1487</v>
      </c>
      <c r="NHS989" s="16" t="s">
        <v>1487</v>
      </c>
      <c r="NHT989" s="16" t="s">
        <v>1487</v>
      </c>
      <c r="NHU989" s="16" t="s">
        <v>1487</v>
      </c>
      <c r="NHV989" s="16" t="s">
        <v>1487</v>
      </c>
      <c r="NHW989" s="16" t="s">
        <v>1487</v>
      </c>
      <c r="NHX989" s="16" t="s">
        <v>1487</v>
      </c>
      <c r="NHY989" s="16" t="s">
        <v>1487</v>
      </c>
      <c r="NHZ989" s="16" t="s">
        <v>1487</v>
      </c>
      <c r="NIA989" s="16" t="s">
        <v>1487</v>
      </c>
      <c r="NIB989" s="16" t="s">
        <v>1487</v>
      </c>
      <c r="NIC989" s="16" t="s">
        <v>1487</v>
      </c>
      <c r="NID989" s="16" t="s">
        <v>1487</v>
      </c>
      <c r="NIE989" s="16" t="s">
        <v>1487</v>
      </c>
      <c r="NIF989" s="16" t="s">
        <v>1487</v>
      </c>
      <c r="NIG989" s="16" t="s">
        <v>1487</v>
      </c>
      <c r="NIH989" s="16" t="s">
        <v>1487</v>
      </c>
      <c r="NII989" s="16" t="s">
        <v>1487</v>
      </c>
      <c r="NIJ989" s="16" t="s">
        <v>1487</v>
      </c>
      <c r="NIK989" s="16" t="s">
        <v>1487</v>
      </c>
      <c r="NIL989" s="16" t="s">
        <v>1487</v>
      </c>
      <c r="NIM989" s="16" t="s">
        <v>1487</v>
      </c>
      <c r="NIN989" s="16" t="s">
        <v>1487</v>
      </c>
      <c r="NIO989" s="16" t="s">
        <v>1487</v>
      </c>
      <c r="NIP989" s="16" t="s">
        <v>1487</v>
      </c>
      <c r="NIQ989" s="16" t="s">
        <v>1487</v>
      </c>
      <c r="NIR989" s="16" t="s">
        <v>1487</v>
      </c>
      <c r="NIS989" s="16" t="s">
        <v>1487</v>
      </c>
      <c r="NIT989" s="16" t="s">
        <v>1487</v>
      </c>
      <c r="NIU989" s="16" t="s">
        <v>1487</v>
      </c>
      <c r="NIV989" s="16" t="s">
        <v>1487</v>
      </c>
      <c r="NIW989" s="16" t="s">
        <v>1487</v>
      </c>
      <c r="NIX989" s="16" t="s">
        <v>1487</v>
      </c>
      <c r="NIY989" s="16" t="s">
        <v>1487</v>
      </c>
      <c r="NIZ989" s="16" t="s">
        <v>1487</v>
      </c>
      <c r="NJA989" s="16" t="s">
        <v>1487</v>
      </c>
      <c r="NJB989" s="16" t="s">
        <v>1487</v>
      </c>
      <c r="NJC989" s="16" t="s">
        <v>1487</v>
      </c>
      <c r="NJD989" s="16" t="s">
        <v>1487</v>
      </c>
      <c r="NJE989" s="16" t="s">
        <v>1487</v>
      </c>
      <c r="NJF989" s="16" t="s">
        <v>1487</v>
      </c>
      <c r="NJG989" s="16" t="s">
        <v>1487</v>
      </c>
      <c r="NJH989" s="16" t="s">
        <v>1487</v>
      </c>
      <c r="NJI989" s="16" t="s">
        <v>1487</v>
      </c>
      <c r="NJJ989" s="16" t="s">
        <v>1487</v>
      </c>
      <c r="NJK989" s="16" t="s">
        <v>1487</v>
      </c>
      <c r="NJL989" s="16" t="s">
        <v>1487</v>
      </c>
      <c r="NJM989" s="16" t="s">
        <v>1487</v>
      </c>
      <c r="NJN989" s="16" t="s">
        <v>1487</v>
      </c>
      <c r="NJO989" s="16" t="s">
        <v>1487</v>
      </c>
      <c r="NJP989" s="16" t="s">
        <v>1487</v>
      </c>
      <c r="NJQ989" s="16" t="s">
        <v>1487</v>
      </c>
      <c r="NJR989" s="16" t="s">
        <v>1487</v>
      </c>
      <c r="NJS989" s="16" t="s">
        <v>1487</v>
      </c>
      <c r="NJT989" s="16" t="s">
        <v>1487</v>
      </c>
      <c r="NJU989" s="16" t="s">
        <v>1487</v>
      </c>
      <c r="NJV989" s="16" t="s">
        <v>1487</v>
      </c>
      <c r="NJW989" s="16" t="s">
        <v>1487</v>
      </c>
      <c r="NJX989" s="16" t="s">
        <v>1487</v>
      </c>
      <c r="NJY989" s="16" t="s">
        <v>1487</v>
      </c>
      <c r="NJZ989" s="16" t="s">
        <v>1487</v>
      </c>
      <c r="NKA989" s="16" t="s">
        <v>1487</v>
      </c>
      <c r="NKB989" s="16" t="s">
        <v>1487</v>
      </c>
      <c r="NKC989" s="16" t="s">
        <v>1487</v>
      </c>
      <c r="NKD989" s="16" t="s">
        <v>1487</v>
      </c>
      <c r="NKE989" s="16" t="s">
        <v>1487</v>
      </c>
      <c r="NKF989" s="16" t="s">
        <v>1487</v>
      </c>
      <c r="NKG989" s="16" t="s">
        <v>1487</v>
      </c>
      <c r="NKH989" s="16" t="s">
        <v>1487</v>
      </c>
      <c r="NKI989" s="16" t="s">
        <v>1487</v>
      </c>
      <c r="NKJ989" s="16" t="s">
        <v>1487</v>
      </c>
      <c r="NKK989" s="16" t="s">
        <v>1487</v>
      </c>
      <c r="NKL989" s="16" t="s">
        <v>1487</v>
      </c>
      <c r="NKM989" s="16" t="s">
        <v>1487</v>
      </c>
      <c r="NKN989" s="16" t="s">
        <v>1487</v>
      </c>
      <c r="NKO989" s="16" t="s">
        <v>1487</v>
      </c>
      <c r="NKP989" s="16" t="s">
        <v>1487</v>
      </c>
      <c r="NKQ989" s="16" t="s">
        <v>1487</v>
      </c>
      <c r="NKR989" s="16" t="s">
        <v>1487</v>
      </c>
      <c r="NKS989" s="16" t="s">
        <v>1487</v>
      </c>
      <c r="NKT989" s="16" t="s">
        <v>1487</v>
      </c>
      <c r="NKU989" s="16" t="s">
        <v>1487</v>
      </c>
      <c r="NKV989" s="16" t="s">
        <v>1487</v>
      </c>
      <c r="NKW989" s="16" t="s">
        <v>1487</v>
      </c>
      <c r="NKX989" s="16" t="s">
        <v>1487</v>
      </c>
      <c r="NKY989" s="16" t="s">
        <v>1487</v>
      </c>
      <c r="NKZ989" s="16" t="s">
        <v>1487</v>
      </c>
      <c r="NLA989" s="16" t="s">
        <v>1487</v>
      </c>
      <c r="NLB989" s="16" t="s">
        <v>1487</v>
      </c>
      <c r="NLC989" s="16" t="s">
        <v>1487</v>
      </c>
      <c r="NLD989" s="16" t="s">
        <v>1487</v>
      </c>
      <c r="NLE989" s="16" t="s">
        <v>1487</v>
      </c>
      <c r="NLF989" s="16" t="s">
        <v>1487</v>
      </c>
      <c r="NLG989" s="16" t="s">
        <v>1487</v>
      </c>
      <c r="NLH989" s="16" t="s">
        <v>1487</v>
      </c>
      <c r="NLI989" s="16" t="s">
        <v>1487</v>
      </c>
      <c r="NLJ989" s="16" t="s">
        <v>1487</v>
      </c>
      <c r="NLK989" s="16" t="s">
        <v>1487</v>
      </c>
      <c r="NLL989" s="16" t="s">
        <v>1487</v>
      </c>
      <c r="NLM989" s="16" t="s">
        <v>1487</v>
      </c>
      <c r="NLN989" s="16" t="s">
        <v>1487</v>
      </c>
      <c r="NLO989" s="16" t="s">
        <v>1487</v>
      </c>
      <c r="NLP989" s="16" t="s">
        <v>1487</v>
      </c>
      <c r="NLQ989" s="16" t="s">
        <v>1487</v>
      </c>
      <c r="NLR989" s="16" t="s">
        <v>1487</v>
      </c>
      <c r="NLS989" s="16" t="s">
        <v>1487</v>
      </c>
      <c r="NLT989" s="16" t="s">
        <v>1487</v>
      </c>
      <c r="NLU989" s="16" t="s">
        <v>1487</v>
      </c>
      <c r="NLV989" s="16" t="s">
        <v>1487</v>
      </c>
      <c r="NLW989" s="16" t="s">
        <v>1487</v>
      </c>
      <c r="NLX989" s="16" t="s">
        <v>1487</v>
      </c>
      <c r="NLY989" s="16" t="s">
        <v>1487</v>
      </c>
      <c r="NLZ989" s="16" t="s">
        <v>1487</v>
      </c>
      <c r="NMA989" s="16" t="s">
        <v>1487</v>
      </c>
      <c r="NMB989" s="16" t="s">
        <v>1487</v>
      </c>
      <c r="NMC989" s="16" t="s">
        <v>1487</v>
      </c>
      <c r="NMD989" s="16" t="s">
        <v>1487</v>
      </c>
      <c r="NME989" s="16" t="s">
        <v>1487</v>
      </c>
      <c r="NMF989" s="16" t="s">
        <v>1487</v>
      </c>
      <c r="NMG989" s="16" t="s">
        <v>1487</v>
      </c>
      <c r="NMH989" s="16" t="s">
        <v>1487</v>
      </c>
      <c r="NMI989" s="16" t="s">
        <v>1487</v>
      </c>
      <c r="NMJ989" s="16" t="s">
        <v>1487</v>
      </c>
      <c r="NMK989" s="16" t="s">
        <v>1487</v>
      </c>
      <c r="NML989" s="16" t="s">
        <v>1487</v>
      </c>
      <c r="NMM989" s="16" t="s">
        <v>1487</v>
      </c>
      <c r="NMN989" s="16" t="s">
        <v>1487</v>
      </c>
      <c r="NMO989" s="16" t="s">
        <v>1487</v>
      </c>
      <c r="NMP989" s="16" t="s">
        <v>1487</v>
      </c>
      <c r="NMQ989" s="16" t="s">
        <v>1487</v>
      </c>
      <c r="NMR989" s="16" t="s">
        <v>1487</v>
      </c>
      <c r="NMS989" s="16" t="s">
        <v>1487</v>
      </c>
      <c r="NMT989" s="16" t="s">
        <v>1487</v>
      </c>
      <c r="NMU989" s="16" t="s">
        <v>1487</v>
      </c>
      <c r="NMV989" s="16" t="s">
        <v>1487</v>
      </c>
      <c r="NMW989" s="16" t="s">
        <v>1487</v>
      </c>
      <c r="NMX989" s="16" t="s">
        <v>1487</v>
      </c>
      <c r="NMY989" s="16" t="s">
        <v>1487</v>
      </c>
      <c r="NMZ989" s="16" t="s">
        <v>1487</v>
      </c>
      <c r="NNA989" s="16" t="s">
        <v>1487</v>
      </c>
      <c r="NNB989" s="16" t="s">
        <v>1487</v>
      </c>
      <c r="NNC989" s="16" t="s">
        <v>1487</v>
      </c>
      <c r="NND989" s="16" t="s">
        <v>1487</v>
      </c>
      <c r="NNE989" s="16" t="s">
        <v>1487</v>
      </c>
      <c r="NNF989" s="16" t="s">
        <v>1487</v>
      </c>
      <c r="NNG989" s="16" t="s">
        <v>1487</v>
      </c>
      <c r="NNH989" s="16" t="s">
        <v>1487</v>
      </c>
      <c r="NNI989" s="16" t="s">
        <v>1487</v>
      </c>
      <c r="NNJ989" s="16" t="s">
        <v>1487</v>
      </c>
      <c r="NNK989" s="16" t="s">
        <v>1487</v>
      </c>
      <c r="NNL989" s="16" t="s">
        <v>1487</v>
      </c>
      <c r="NNM989" s="16" t="s">
        <v>1487</v>
      </c>
      <c r="NNN989" s="16" t="s">
        <v>1487</v>
      </c>
      <c r="NNO989" s="16" t="s">
        <v>1487</v>
      </c>
      <c r="NNP989" s="16" t="s">
        <v>1487</v>
      </c>
      <c r="NNQ989" s="16" t="s">
        <v>1487</v>
      </c>
      <c r="NNR989" s="16" t="s">
        <v>1487</v>
      </c>
      <c r="NNS989" s="16" t="s">
        <v>1487</v>
      </c>
      <c r="NNT989" s="16" t="s">
        <v>1487</v>
      </c>
      <c r="NNU989" s="16" t="s">
        <v>1487</v>
      </c>
      <c r="NNV989" s="16" t="s">
        <v>1487</v>
      </c>
      <c r="NNW989" s="16" t="s">
        <v>1487</v>
      </c>
      <c r="NNX989" s="16" t="s">
        <v>1487</v>
      </c>
      <c r="NNY989" s="16" t="s">
        <v>1487</v>
      </c>
      <c r="NNZ989" s="16" t="s">
        <v>1487</v>
      </c>
      <c r="NOA989" s="16" t="s">
        <v>1487</v>
      </c>
      <c r="NOB989" s="16" t="s">
        <v>1487</v>
      </c>
      <c r="NOC989" s="16" t="s">
        <v>1487</v>
      </c>
      <c r="NOD989" s="16" t="s">
        <v>1487</v>
      </c>
      <c r="NOE989" s="16" t="s">
        <v>1487</v>
      </c>
      <c r="NOF989" s="16" t="s">
        <v>1487</v>
      </c>
      <c r="NOG989" s="16" t="s">
        <v>1487</v>
      </c>
      <c r="NOH989" s="16" t="s">
        <v>1487</v>
      </c>
      <c r="NOI989" s="16" t="s">
        <v>1487</v>
      </c>
      <c r="NOJ989" s="16" t="s">
        <v>1487</v>
      </c>
      <c r="NOK989" s="16" t="s">
        <v>1487</v>
      </c>
      <c r="NOL989" s="16" t="s">
        <v>1487</v>
      </c>
      <c r="NOM989" s="16" t="s">
        <v>1487</v>
      </c>
      <c r="NON989" s="16" t="s">
        <v>1487</v>
      </c>
      <c r="NOO989" s="16" t="s">
        <v>1487</v>
      </c>
      <c r="NOP989" s="16" t="s">
        <v>1487</v>
      </c>
      <c r="NOQ989" s="16" t="s">
        <v>1487</v>
      </c>
      <c r="NOR989" s="16" t="s">
        <v>1487</v>
      </c>
      <c r="NOS989" s="16" t="s">
        <v>1487</v>
      </c>
      <c r="NOT989" s="16" t="s">
        <v>1487</v>
      </c>
      <c r="NOU989" s="16" t="s">
        <v>1487</v>
      </c>
      <c r="NOV989" s="16" t="s">
        <v>1487</v>
      </c>
      <c r="NOW989" s="16" t="s">
        <v>1487</v>
      </c>
      <c r="NOX989" s="16" t="s">
        <v>1487</v>
      </c>
      <c r="NOY989" s="16" t="s">
        <v>1487</v>
      </c>
      <c r="NOZ989" s="16" t="s">
        <v>1487</v>
      </c>
      <c r="NPA989" s="16" t="s">
        <v>1487</v>
      </c>
      <c r="NPB989" s="16" t="s">
        <v>1487</v>
      </c>
      <c r="NPC989" s="16" t="s">
        <v>1487</v>
      </c>
      <c r="NPD989" s="16" t="s">
        <v>1487</v>
      </c>
      <c r="NPE989" s="16" t="s">
        <v>1487</v>
      </c>
      <c r="NPF989" s="16" t="s">
        <v>1487</v>
      </c>
      <c r="NPG989" s="16" t="s">
        <v>1487</v>
      </c>
      <c r="NPH989" s="16" t="s">
        <v>1487</v>
      </c>
      <c r="NPI989" s="16" t="s">
        <v>1487</v>
      </c>
      <c r="NPJ989" s="16" t="s">
        <v>1487</v>
      </c>
      <c r="NPK989" s="16" t="s">
        <v>1487</v>
      </c>
      <c r="NPL989" s="16" t="s">
        <v>1487</v>
      </c>
      <c r="NPM989" s="16" t="s">
        <v>1487</v>
      </c>
      <c r="NPN989" s="16" t="s">
        <v>1487</v>
      </c>
      <c r="NPO989" s="16" t="s">
        <v>1487</v>
      </c>
      <c r="NPP989" s="16" t="s">
        <v>1487</v>
      </c>
      <c r="NPQ989" s="16" t="s">
        <v>1487</v>
      </c>
      <c r="NPR989" s="16" t="s">
        <v>1487</v>
      </c>
      <c r="NPS989" s="16" t="s">
        <v>1487</v>
      </c>
      <c r="NPT989" s="16" t="s">
        <v>1487</v>
      </c>
      <c r="NPU989" s="16" t="s">
        <v>1487</v>
      </c>
      <c r="NPV989" s="16" t="s">
        <v>1487</v>
      </c>
      <c r="NPW989" s="16" t="s">
        <v>1487</v>
      </c>
      <c r="NPX989" s="16" t="s">
        <v>1487</v>
      </c>
      <c r="NPY989" s="16" t="s">
        <v>1487</v>
      </c>
      <c r="NPZ989" s="16" t="s">
        <v>1487</v>
      </c>
      <c r="NQA989" s="16" t="s">
        <v>1487</v>
      </c>
      <c r="NQB989" s="16" t="s">
        <v>1487</v>
      </c>
      <c r="NQC989" s="16" t="s">
        <v>1487</v>
      </c>
      <c r="NQD989" s="16" t="s">
        <v>1487</v>
      </c>
      <c r="NQE989" s="16" t="s">
        <v>1487</v>
      </c>
      <c r="NQF989" s="16" t="s">
        <v>1487</v>
      </c>
      <c r="NQG989" s="16" t="s">
        <v>1487</v>
      </c>
      <c r="NQH989" s="16" t="s">
        <v>1487</v>
      </c>
      <c r="NQI989" s="16" t="s">
        <v>1487</v>
      </c>
      <c r="NQJ989" s="16" t="s">
        <v>1487</v>
      </c>
      <c r="NQK989" s="16" t="s">
        <v>1487</v>
      </c>
      <c r="NQL989" s="16" t="s">
        <v>1487</v>
      </c>
      <c r="NQM989" s="16" t="s">
        <v>1487</v>
      </c>
      <c r="NQN989" s="16" t="s">
        <v>1487</v>
      </c>
      <c r="NQO989" s="16" t="s">
        <v>1487</v>
      </c>
      <c r="NQP989" s="16" t="s">
        <v>1487</v>
      </c>
      <c r="NQQ989" s="16" t="s">
        <v>1487</v>
      </c>
      <c r="NQR989" s="16" t="s">
        <v>1487</v>
      </c>
      <c r="NQS989" s="16" t="s">
        <v>1487</v>
      </c>
      <c r="NQT989" s="16" t="s">
        <v>1487</v>
      </c>
      <c r="NQU989" s="16" t="s">
        <v>1487</v>
      </c>
      <c r="NQV989" s="16" t="s">
        <v>1487</v>
      </c>
      <c r="NQW989" s="16" t="s">
        <v>1487</v>
      </c>
      <c r="NQX989" s="16" t="s">
        <v>1487</v>
      </c>
      <c r="NQY989" s="16" t="s">
        <v>1487</v>
      </c>
      <c r="NQZ989" s="16" t="s">
        <v>1487</v>
      </c>
      <c r="NRA989" s="16" t="s">
        <v>1487</v>
      </c>
      <c r="NRB989" s="16" t="s">
        <v>1487</v>
      </c>
      <c r="NRC989" s="16" t="s">
        <v>1487</v>
      </c>
      <c r="NRD989" s="16" t="s">
        <v>1487</v>
      </c>
      <c r="NRE989" s="16" t="s">
        <v>1487</v>
      </c>
      <c r="NRF989" s="16" t="s">
        <v>1487</v>
      </c>
      <c r="NRG989" s="16" t="s">
        <v>1487</v>
      </c>
      <c r="NRH989" s="16" t="s">
        <v>1487</v>
      </c>
      <c r="NRI989" s="16" t="s">
        <v>1487</v>
      </c>
      <c r="NRJ989" s="16" t="s">
        <v>1487</v>
      </c>
      <c r="NRK989" s="16" t="s">
        <v>1487</v>
      </c>
      <c r="NRL989" s="16" t="s">
        <v>1487</v>
      </c>
      <c r="NRM989" s="16" t="s">
        <v>1487</v>
      </c>
      <c r="NRN989" s="16" t="s">
        <v>1487</v>
      </c>
      <c r="NRO989" s="16" t="s">
        <v>1487</v>
      </c>
      <c r="NRP989" s="16" t="s">
        <v>1487</v>
      </c>
      <c r="NRQ989" s="16" t="s">
        <v>1487</v>
      </c>
      <c r="NRR989" s="16" t="s">
        <v>1487</v>
      </c>
      <c r="NRS989" s="16" t="s">
        <v>1487</v>
      </c>
      <c r="NRT989" s="16" t="s">
        <v>1487</v>
      </c>
      <c r="NRU989" s="16" t="s">
        <v>1487</v>
      </c>
      <c r="NRV989" s="16" t="s">
        <v>1487</v>
      </c>
      <c r="NRW989" s="16" t="s">
        <v>1487</v>
      </c>
      <c r="NRX989" s="16" t="s">
        <v>1487</v>
      </c>
      <c r="NRY989" s="16" t="s">
        <v>1487</v>
      </c>
      <c r="NRZ989" s="16" t="s">
        <v>1487</v>
      </c>
      <c r="NSA989" s="16" t="s">
        <v>1487</v>
      </c>
      <c r="NSB989" s="16" t="s">
        <v>1487</v>
      </c>
      <c r="NSC989" s="16" t="s">
        <v>1487</v>
      </c>
      <c r="NSD989" s="16" t="s">
        <v>1487</v>
      </c>
      <c r="NSE989" s="16" t="s">
        <v>1487</v>
      </c>
      <c r="NSF989" s="16" t="s">
        <v>1487</v>
      </c>
      <c r="NSG989" s="16" t="s">
        <v>1487</v>
      </c>
      <c r="NSH989" s="16" t="s">
        <v>1487</v>
      </c>
      <c r="NSI989" s="16" t="s">
        <v>1487</v>
      </c>
      <c r="NSJ989" s="16" t="s">
        <v>1487</v>
      </c>
      <c r="NSK989" s="16" t="s">
        <v>1487</v>
      </c>
      <c r="NSL989" s="16" t="s">
        <v>1487</v>
      </c>
      <c r="NSM989" s="16" t="s">
        <v>1487</v>
      </c>
      <c r="NSN989" s="16" t="s">
        <v>1487</v>
      </c>
      <c r="NSO989" s="16" t="s">
        <v>1487</v>
      </c>
      <c r="NSP989" s="16" t="s">
        <v>1487</v>
      </c>
      <c r="NSQ989" s="16" t="s">
        <v>1487</v>
      </c>
      <c r="NSR989" s="16" t="s">
        <v>1487</v>
      </c>
      <c r="NSS989" s="16" t="s">
        <v>1487</v>
      </c>
      <c r="NST989" s="16" t="s">
        <v>1487</v>
      </c>
      <c r="NSU989" s="16" t="s">
        <v>1487</v>
      </c>
      <c r="NSV989" s="16" t="s">
        <v>1487</v>
      </c>
      <c r="NSW989" s="16" t="s">
        <v>1487</v>
      </c>
      <c r="NSX989" s="16" t="s">
        <v>1487</v>
      </c>
      <c r="NSY989" s="16" t="s">
        <v>1487</v>
      </c>
      <c r="NSZ989" s="16" t="s">
        <v>1487</v>
      </c>
      <c r="NTA989" s="16" t="s">
        <v>1487</v>
      </c>
      <c r="NTB989" s="16" t="s">
        <v>1487</v>
      </c>
      <c r="NTC989" s="16" t="s">
        <v>1487</v>
      </c>
      <c r="NTD989" s="16" t="s">
        <v>1487</v>
      </c>
      <c r="NTE989" s="16" t="s">
        <v>1487</v>
      </c>
      <c r="NTF989" s="16" t="s">
        <v>1487</v>
      </c>
      <c r="NTG989" s="16" t="s">
        <v>1487</v>
      </c>
      <c r="NTH989" s="16" t="s">
        <v>1487</v>
      </c>
      <c r="NTI989" s="16" t="s">
        <v>1487</v>
      </c>
      <c r="NTJ989" s="16" t="s">
        <v>1487</v>
      </c>
      <c r="NTK989" s="16" t="s">
        <v>1487</v>
      </c>
      <c r="NTL989" s="16" t="s">
        <v>1487</v>
      </c>
      <c r="NTM989" s="16" t="s">
        <v>1487</v>
      </c>
      <c r="NTN989" s="16" t="s">
        <v>1487</v>
      </c>
      <c r="NTO989" s="16" t="s">
        <v>1487</v>
      </c>
      <c r="NTP989" s="16" t="s">
        <v>1487</v>
      </c>
      <c r="NTQ989" s="16" t="s">
        <v>1487</v>
      </c>
      <c r="NTR989" s="16" t="s">
        <v>1487</v>
      </c>
      <c r="NTS989" s="16" t="s">
        <v>1487</v>
      </c>
      <c r="NTT989" s="16" t="s">
        <v>1487</v>
      </c>
      <c r="NTU989" s="16" t="s">
        <v>1487</v>
      </c>
      <c r="NTV989" s="16" t="s">
        <v>1487</v>
      </c>
      <c r="NTW989" s="16" t="s">
        <v>1487</v>
      </c>
      <c r="NTX989" s="16" t="s">
        <v>1487</v>
      </c>
      <c r="NTY989" s="16" t="s">
        <v>1487</v>
      </c>
      <c r="NTZ989" s="16" t="s">
        <v>1487</v>
      </c>
      <c r="NUA989" s="16" t="s">
        <v>1487</v>
      </c>
      <c r="NUB989" s="16" t="s">
        <v>1487</v>
      </c>
      <c r="NUC989" s="16" t="s">
        <v>1487</v>
      </c>
      <c r="NUD989" s="16" t="s">
        <v>1487</v>
      </c>
      <c r="NUE989" s="16" t="s">
        <v>1487</v>
      </c>
      <c r="NUF989" s="16" t="s">
        <v>1487</v>
      </c>
      <c r="NUG989" s="16" t="s">
        <v>1487</v>
      </c>
      <c r="NUH989" s="16" t="s">
        <v>1487</v>
      </c>
      <c r="NUI989" s="16" t="s">
        <v>1487</v>
      </c>
      <c r="NUJ989" s="16" t="s">
        <v>1487</v>
      </c>
      <c r="NUK989" s="16" t="s">
        <v>1487</v>
      </c>
      <c r="NUL989" s="16" t="s">
        <v>1487</v>
      </c>
      <c r="NUM989" s="16" t="s">
        <v>1487</v>
      </c>
      <c r="NUN989" s="16" t="s">
        <v>1487</v>
      </c>
      <c r="NUO989" s="16" t="s">
        <v>1487</v>
      </c>
      <c r="NUP989" s="16" t="s">
        <v>1487</v>
      </c>
      <c r="NUQ989" s="16" t="s">
        <v>1487</v>
      </c>
      <c r="NUR989" s="16" t="s">
        <v>1487</v>
      </c>
      <c r="NUS989" s="16" t="s">
        <v>1487</v>
      </c>
      <c r="NUT989" s="16" t="s">
        <v>1487</v>
      </c>
      <c r="NUU989" s="16" t="s">
        <v>1487</v>
      </c>
      <c r="NUV989" s="16" t="s">
        <v>1487</v>
      </c>
      <c r="NUW989" s="16" t="s">
        <v>1487</v>
      </c>
      <c r="NUX989" s="16" t="s">
        <v>1487</v>
      </c>
      <c r="NUY989" s="16" t="s">
        <v>1487</v>
      </c>
      <c r="NUZ989" s="16" t="s">
        <v>1487</v>
      </c>
      <c r="NVA989" s="16" t="s">
        <v>1487</v>
      </c>
      <c r="NVB989" s="16" t="s">
        <v>1487</v>
      </c>
      <c r="NVC989" s="16" t="s">
        <v>1487</v>
      </c>
      <c r="NVD989" s="16" t="s">
        <v>1487</v>
      </c>
      <c r="NVE989" s="16" t="s">
        <v>1487</v>
      </c>
      <c r="NVF989" s="16" t="s">
        <v>1487</v>
      </c>
      <c r="NVG989" s="16" t="s">
        <v>1487</v>
      </c>
      <c r="NVH989" s="16" t="s">
        <v>1487</v>
      </c>
      <c r="NVI989" s="16" t="s">
        <v>1487</v>
      </c>
      <c r="NVJ989" s="16" t="s">
        <v>1487</v>
      </c>
      <c r="NVK989" s="16" t="s">
        <v>1487</v>
      </c>
      <c r="NVL989" s="16" t="s">
        <v>1487</v>
      </c>
      <c r="NVM989" s="16" t="s">
        <v>1487</v>
      </c>
      <c r="NVN989" s="16" t="s">
        <v>1487</v>
      </c>
      <c r="NVO989" s="16" t="s">
        <v>1487</v>
      </c>
      <c r="NVP989" s="16" t="s">
        <v>1487</v>
      </c>
      <c r="NVQ989" s="16" t="s">
        <v>1487</v>
      </c>
      <c r="NVR989" s="16" t="s">
        <v>1487</v>
      </c>
      <c r="NVS989" s="16" t="s">
        <v>1487</v>
      </c>
      <c r="NVT989" s="16" t="s">
        <v>1487</v>
      </c>
      <c r="NVU989" s="16" t="s">
        <v>1487</v>
      </c>
      <c r="NVV989" s="16" t="s">
        <v>1487</v>
      </c>
      <c r="NVW989" s="16" t="s">
        <v>1487</v>
      </c>
      <c r="NVX989" s="16" t="s">
        <v>1487</v>
      </c>
      <c r="NVY989" s="16" t="s">
        <v>1487</v>
      </c>
      <c r="NVZ989" s="16" t="s">
        <v>1487</v>
      </c>
      <c r="NWA989" s="16" t="s">
        <v>1487</v>
      </c>
      <c r="NWB989" s="16" t="s">
        <v>1487</v>
      </c>
      <c r="NWC989" s="16" t="s">
        <v>1487</v>
      </c>
      <c r="NWD989" s="16" t="s">
        <v>1487</v>
      </c>
      <c r="NWE989" s="16" t="s">
        <v>1487</v>
      </c>
      <c r="NWF989" s="16" t="s">
        <v>1487</v>
      </c>
      <c r="NWG989" s="16" t="s">
        <v>1487</v>
      </c>
      <c r="NWH989" s="16" t="s">
        <v>1487</v>
      </c>
      <c r="NWI989" s="16" t="s">
        <v>1487</v>
      </c>
      <c r="NWJ989" s="16" t="s">
        <v>1487</v>
      </c>
      <c r="NWK989" s="16" t="s">
        <v>1487</v>
      </c>
      <c r="NWL989" s="16" t="s">
        <v>1487</v>
      </c>
      <c r="NWM989" s="16" t="s">
        <v>1487</v>
      </c>
      <c r="NWN989" s="16" t="s">
        <v>1487</v>
      </c>
      <c r="NWO989" s="16" t="s">
        <v>1487</v>
      </c>
      <c r="NWP989" s="16" t="s">
        <v>1487</v>
      </c>
      <c r="NWQ989" s="16" t="s">
        <v>1487</v>
      </c>
      <c r="NWR989" s="16" t="s">
        <v>1487</v>
      </c>
      <c r="NWS989" s="16" t="s">
        <v>1487</v>
      </c>
      <c r="NWT989" s="16" t="s">
        <v>1487</v>
      </c>
      <c r="NWU989" s="16" t="s">
        <v>1487</v>
      </c>
      <c r="NWV989" s="16" t="s">
        <v>1487</v>
      </c>
      <c r="NWW989" s="16" t="s">
        <v>1487</v>
      </c>
      <c r="NWX989" s="16" t="s">
        <v>1487</v>
      </c>
      <c r="NWY989" s="16" t="s">
        <v>1487</v>
      </c>
      <c r="NWZ989" s="16" t="s">
        <v>1487</v>
      </c>
      <c r="NXA989" s="16" t="s">
        <v>1487</v>
      </c>
      <c r="NXB989" s="16" t="s">
        <v>1487</v>
      </c>
      <c r="NXC989" s="16" t="s">
        <v>1487</v>
      </c>
      <c r="NXD989" s="16" t="s">
        <v>1487</v>
      </c>
      <c r="NXE989" s="16" t="s">
        <v>1487</v>
      </c>
      <c r="NXF989" s="16" t="s">
        <v>1487</v>
      </c>
      <c r="NXG989" s="16" t="s">
        <v>1487</v>
      </c>
      <c r="NXH989" s="16" t="s">
        <v>1487</v>
      </c>
      <c r="NXI989" s="16" t="s">
        <v>1487</v>
      </c>
      <c r="NXJ989" s="16" t="s">
        <v>1487</v>
      </c>
      <c r="NXK989" s="16" t="s">
        <v>1487</v>
      </c>
      <c r="NXL989" s="16" t="s">
        <v>1487</v>
      </c>
      <c r="NXM989" s="16" t="s">
        <v>1487</v>
      </c>
      <c r="NXN989" s="16" t="s">
        <v>1487</v>
      </c>
      <c r="NXO989" s="16" t="s">
        <v>1487</v>
      </c>
      <c r="NXP989" s="16" t="s">
        <v>1487</v>
      </c>
      <c r="NXQ989" s="16" t="s">
        <v>1487</v>
      </c>
      <c r="NXR989" s="16" t="s">
        <v>1487</v>
      </c>
      <c r="NXS989" s="16" t="s">
        <v>1487</v>
      </c>
      <c r="NXT989" s="16" t="s">
        <v>1487</v>
      </c>
      <c r="NXU989" s="16" t="s">
        <v>1487</v>
      </c>
      <c r="NXV989" s="16" t="s">
        <v>1487</v>
      </c>
      <c r="NXW989" s="16" t="s">
        <v>1487</v>
      </c>
      <c r="NXX989" s="16" t="s">
        <v>1487</v>
      </c>
      <c r="NXY989" s="16" t="s">
        <v>1487</v>
      </c>
      <c r="NXZ989" s="16" t="s">
        <v>1487</v>
      </c>
      <c r="NYA989" s="16" t="s">
        <v>1487</v>
      </c>
      <c r="NYB989" s="16" t="s">
        <v>1487</v>
      </c>
      <c r="NYC989" s="16" t="s">
        <v>1487</v>
      </c>
      <c r="NYD989" s="16" t="s">
        <v>1487</v>
      </c>
      <c r="NYE989" s="16" t="s">
        <v>1487</v>
      </c>
      <c r="NYF989" s="16" t="s">
        <v>1487</v>
      </c>
      <c r="NYG989" s="16" t="s">
        <v>1487</v>
      </c>
      <c r="NYH989" s="16" t="s">
        <v>1487</v>
      </c>
      <c r="NYI989" s="16" t="s">
        <v>1487</v>
      </c>
      <c r="NYJ989" s="16" t="s">
        <v>1487</v>
      </c>
      <c r="NYK989" s="16" t="s">
        <v>1487</v>
      </c>
      <c r="NYL989" s="16" t="s">
        <v>1487</v>
      </c>
      <c r="NYM989" s="16" t="s">
        <v>1487</v>
      </c>
      <c r="NYN989" s="16" t="s">
        <v>1487</v>
      </c>
      <c r="NYO989" s="16" t="s">
        <v>1487</v>
      </c>
      <c r="NYP989" s="16" t="s">
        <v>1487</v>
      </c>
      <c r="NYQ989" s="16" t="s">
        <v>1487</v>
      </c>
      <c r="NYR989" s="16" t="s">
        <v>1487</v>
      </c>
      <c r="NYS989" s="16" t="s">
        <v>1487</v>
      </c>
      <c r="NYT989" s="16" t="s">
        <v>1487</v>
      </c>
      <c r="NYU989" s="16" t="s">
        <v>1487</v>
      </c>
      <c r="NYV989" s="16" t="s">
        <v>1487</v>
      </c>
      <c r="NYW989" s="16" t="s">
        <v>1487</v>
      </c>
      <c r="NYX989" s="16" t="s">
        <v>1487</v>
      </c>
      <c r="NYY989" s="16" t="s">
        <v>1487</v>
      </c>
      <c r="NYZ989" s="16" t="s">
        <v>1487</v>
      </c>
      <c r="NZA989" s="16" t="s">
        <v>1487</v>
      </c>
      <c r="NZB989" s="16" t="s">
        <v>1487</v>
      </c>
      <c r="NZC989" s="16" t="s">
        <v>1487</v>
      </c>
      <c r="NZD989" s="16" t="s">
        <v>1487</v>
      </c>
      <c r="NZE989" s="16" t="s">
        <v>1487</v>
      </c>
      <c r="NZF989" s="16" t="s">
        <v>1487</v>
      </c>
      <c r="NZG989" s="16" t="s">
        <v>1487</v>
      </c>
      <c r="NZH989" s="16" t="s">
        <v>1487</v>
      </c>
      <c r="NZI989" s="16" t="s">
        <v>1487</v>
      </c>
      <c r="NZJ989" s="16" t="s">
        <v>1487</v>
      </c>
      <c r="NZK989" s="16" t="s">
        <v>1487</v>
      </c>
      <c r="NZL989" s="16" t="s">
        <v>1487</v>
      </c>
      <c r="NZM989" s="16" t="s">
        <v>1487</v>
      </c>
      <c r="NZN989" s="16" t="s">
        <v>1487</v>
      </c>
      <c r="NZO989" s="16" t="s">
        <v>1487</v>
      </c>
      <c r="NZP989" s="16" t="s">
        <v>1487</v>
      </c>
      <c r="NZQ989" s="16" t="s">
        <v>1487</v>
      </c>
      <c r="NZR989" s="16" t="s">
        <v>1487</v>
      </c>
      <c r="NZS989" s="16" t="s">
        <v>1487</v>
      </c>
      <c r="NZT989" s="16" t="s">
        <v>1487</v>
      </c>
      <c r="NZU989" s="16" t="s">
        <v>1487</v>
      </c>
      <c r="NZV989" s="16" t="s">
        <v>1487</v>
      </c>
      <c r="NZW989" s="16" t="s">
        <v>1487</v>
      </c>
      <c r="NZX989" s="16" t="s">
        <v>1487</v>
      </c>
      <c r="NZY989" s="16" t="s">
        <v>1487</v>
      </c>
      <c r="NZZ989" s="16" t="s">
        <v>1487</v>
      </c>
      <c r="OAA989" s="16" t="s">
        <v>1487</v>
      </c>
      <c r="OAB989" s="16" t="s">
        <v>1487</v>
      </c>
      <c r="OAC989" s="16" t="s">
        <v>1487</v>
      </c>
      <c r="OAD989" s="16" t="s">
        <v>1487</v>
      </c>
      <c r="OAE989" s="16" t="s">
        <v>1487</v>
      </c>
      <c r="OAF989" s="16" t="s">
        <v>1487</v>
      </c>
      <c r="OAG989" s="16" t="s">
        <v>1487</v>
      </c>
      <c r="OAH989" s="16" t="s">
        <v>1487</v>
      </c>
      <c r="OAI989" s="16" t="s">
        <v>1487</v>
      </c>
      <c r="OAJ989" s="16" t="s">
        <v>1487</v>
      </c>
      <c r="OAK989" s="16" t="s">
        <v>1487</v>
      </c>
      <c r="OAL989" s="16" t="s">
        <v>1487</v>
      </c>
      <c r="OAM989" s="16" t="s">
        <v>1487</v>
      </c>
      <c r="OAN989" s="16" t="s">
        <v>1487</v>
      </c>
      <c r="OAO989" s="16" t="s">
        <v>1487</v>
      </c>
      <c r="OAP989" s="16" t="s">
        <v>1487</v>
      </c>
      <c r="OAQ989" s="16" t="s">
        <v>1487</v>
      </c>
      <c r="OAR989" s="16" t="s">
        <v>1487</v>
      </c>
      <c r="OAS989" s="16" t="s">
        <v>1487</v>
      </c>
      <c r="OAT989" s="16" t="s">
        <v>1487</v>
      </c>
      <c r="OAU989" s="16" t="s">
        <v>1487</v>
      </c>
      <c r="OAV989" s="16" t="s">
        <v>1487</v>
      </c>
      <c r="OAW989" s="16" t="s">
        <v>1487</v>
      </c>
      <c r="OAX989" s="16" t="s">
        <v>1487</v>
      </c>
      <c r="OAY989" s="16" t="s">
        <v>1487</v>
      </c>
      <c r="OAZ989" s="16" t="s">
        <v>1487</v>
      </c>
      <c r="OBA989" s="16" t="s">
        <v>1487</v>
      </c>
      <c r="OBB989" s="16" t="s">
        <v>1487</v>
      </c>
      <c r="OBC989" s="16" t="s">
        <v>1487</v>
      </c>
      <c r="OBD989" s="16" t="s">
        <v>1487</v>
      </c>
      <c r="OBE989" s="16" t="s">
        <v>1487</v>
      </c>
      <c r="OBF989" s="16" t="s">
        <v>1487</v>
      </c>
      <c r="OBG989" s="16" t="s">
        <v>1487</v>
      </c>
      <c r="OBH989" s="16" t="s">
        <v>1487</v>
      </c>
      <c r="OBI989" s="16" t="s">
        <v>1487</v>
      </c>
      <c r="OBJ989" s="16" t="s">
        <v>1487</v>
      </c>
      <c r="OBK989" s="16" t="s">
        <v>1487</v>
      </c>
      <c r="OBL989" s="16" t="s">
        <v>1487</v>
      </c>
      <c r="OBM989" s="16" t="s">
        <v>1487</v>
      </c>
      <c r="OBN989" s="16" t="s">
        <v>1487</v>
      </c>
      <c r="OBO989" s="16" t="s">
        <v>1487</v>
      </c>
      <c r="OBP989" s="16" t="s">
        <v>1487</v>
      </c>
      <c r="OBQ989" s="16" t="s">
        <v>1487</v>
      </c>
      <c r="OBR989" s="16" t="s">
        <v>1487</v>
      </c>
      <c r="OBS989" s="16" t="s">
        <v>1487</v>
      </c>
      <c r="OBT989" s="16" t="s">
        <v>1487</v>
      </c>
      <c r="OBU989" s="16" t="s">
        <v>1487</v>
      </c>
      <c r="OBV989" s="16" t="s">
        <v>1487</v>
      </c>
      <c r="OBW989" s="16" t="s">
        <v>1487</v>
      </c>
      <c r="OBX989" s="16" t="s">
        <v>1487</v>
      </c>
      <c r="OBY989" s="16" t="s">
        <v>1487</v>
      </c>
      <c r="OBZ989" s="16" t="s">
        <v>1487</v>
      </c>
      <c r="OCA989" s="16" t="s">
        <v>1487</v>
      </c>
      <c r="OCB989" s="16" t="s">
        <v>1487</v>
      </c>
      <c r="OCC989" s="16" t="s">
        <v>1487</v>
      </c>
      <c r="OCD989" s="16" t="s">
        <v>1487</v>
      </c>
      <c r="OCE989" s="16" t="s">
        <v>1487</v>
      </c>
      <c r="OCF989" s="16" t="s">
        <v>1487</v>
      </c>
      <c r="OCG989" s="16" t="s">
        <v>1487</v>
      </c>
      <c r="OCH989" s="16" t="s">
        <v>1487</v>
      </c>
      <c r="OCI989" s="16" t="s">
        <v>1487</v>
      </c>
      <c r="OCJ989" s="16" t="s">
        <v>1487</v>
      </c>
      <c r="OCK989" s="16" t="s">
        <v>1487</v>
      </c>
      <c r="OCL989" s="16" t="s">
        <v>1487</v>
      </c>
      <c r="OCM989" s="16" t="s">
        <v>1487</v>
      </c>
      <c r="OCN989" s="16" t="s">
        <v>1487</v>
      </c>
      <c r="OCO989" s="16" t="s">
        <v>1487</v>
      </c>
      <c r="OCP989" s="16" t="s">
        <v>1487</v>
      </c>
      <c r="OCQ989" s="16" t="s">
        <v>1487</v>
      </c>
      <c r="OCR989" s="16" t="s">
        <v>1487</v>
      </c>
      <c r="OCS989" s="16" t="s">
        <v>1487</v>
      </c>
      <c r="OCT989" s="16" t="s">
        <v>1487</v>
      </c>
      <c r="OCU989" s="16" t="s">
        <v>1487</v>
      </c>
      <c r="OCV989" s="16" t="s">
        <v>1487</v>
      </c>
      <c r="OCW989" s="16" t="s">
        <v>1487</v>
      </c>
      <c r="OCX989" s="16" t="s">
        <v>1487</v>
      </c>
      <c r="OCY989" s="16" t="s">
        <v>1487</v>
      </c>
      <c r="OCZ989" s="16" t="s">
        <v>1487</v>
      </c>
      <c r="ODA989" s="16" t="s">
        <v>1487</v>
      </c>
      <c r="ODB989" s="16" t="s">
        <v>1487</v>
      </c>
      <c r="ODC989" s="16" t="s">
        <v>1487</v>
      </c>
      <c r="ODD989" s="16" t="s">
        <v>1487</v>
      </c>
      <c r="ODE989" s="16" t="s">
        <v>1487</v>
      </c>
      <c r="ODF989" s="16" t="s">
        <v>1487</v>
      </c>
      <c r="ODG989" s="16" t="s">
        <v>1487</v>
      </c>
      <c r="ODH989" s="16" t="s">
        <v>1487</v>
      </c>
      <c r="ODI989" s="16" t="s">
        <v>1487</v>
      </c>
      <c r="ODJ989" s="16" t="s">
        <v>1487</v>
      </c>
      <c r="ODK989" s="16" t="s">
        <v>1487</v>
      </c>
      <c r="ODL989" s="16" t="s">
        <v>1487</v>
      </c>
      <c r="ODM989" s="16" t="s">
        <v>1487</v>
      </c>
      <c r="ODN989" s="16" t="s">
        <v>1487</v>
      </c>
      <c r="ODO989" s="16" t="s">
        <v>1487</v>
      </c>
      <c r="ODP989" s="16" t="s">
        <v>1487</v>
      </c>
      <c r="ODQ989" s="16" t="s">
        <v>1487</v>
      </c>
      <c r="ODR989" s="16" t="s">
        <v>1487</v>
      </c>
      <c r="ODS989" s="16" t="s">
        <v>1487</v>
      </c>
      <c r="ODT989" s="16" t="s">
        <v>1487</v>
      </c>
      <c r="ODU989" s="16" t="s">
        <v>1487</v>
      </c>
      <c r="ODV989" s="16" t="s">
        <v>1487</v>
      </c>
      <c r="ODW989" s="16" t="s">
        <v>1487</v>
      </c>
      <c r="ODX989" s="16" t="s">
        <v>1487</v>
      </c>
      <c r="ODY989" s="16" t="s">
        <v>1487</v>
      </c>
      <c r="ODZ989" s="16" t="s">
        <v>1487</v>
      </c>
      <c r="OEA989" s="16" t="s">
        <v>1487</v>
      </c>
      <c r="OEB989" s="16" t="s">
        <v>1487</v>
      </c>
      <c r="OEC989" s="16" t="s">
        <v>1487</v>
      </c>
      <c r="OED989" s="16" t="s">
        <v>1487</v>
      </c>
      <c r="OEE989" s="16" t="s">
        <v>1487</v>
      </c>
      <c r="OEF989" s="16" t="s">
        <v>1487</v>
      </c>
      <c r="OEG989" s="16" t="s">
        <v>1487</v>
      </c>
      <c r="OEH989" s="16" t="s">
        <v>1487</v>
      </c>
      <c r="OEI989" s="16" t="s">
        <v>1487</v>
      </c>
      <c r="OEJ989" s="16" t="s">
        <v>1487</v>
      </c>
      <c r="OEK989" s="16" t="s">
        <v>1487</v>
      </c>
      <c r="OEL989" s="16" t="s">
        <v>1487</v>
      </c>
      <c r="OEM989" s="16" t="s">
        <v>1487</v>
      </c>
      <c r="OEN989" s="16" t="s">
        <v>1487</v>
      </c>
      <c r="OEO989" s="16" t="s">
        <v>1487</v>
      </c>
      <c r="OEP989" s="16" t="s">
        <v>1487</v>
      </c>
      <c r="OEQ989" s="16" t="s">
        <v>1487</v>
      </c>
      <c r="OER989" s="16" t="s">
        <v>1487</v>
      </c>
      <c r="OES989" s="16" t="s">
        <v>1487</v>
      </c>
      <c r="OET989" s="16" t="s">
        <v>1487</v>
      </c>
      <c r="OEU989" s="16" t="s">
        <v>1487</v>
      </c>
      <c r="OEV989" s="16" t="s">
        <v>1487</v>
      </c>
      <c r="OEW989" s="16" t="s">
        <v>1487</v>
      </c>
      <c r="OEX989" s="16" t="s">
        <v>1487</v>
      </c>
      <c r="OEY989" s="16" t="s">
        <v>1487</v>
      </c>
      <c r="OEZ989" s="16" t="s">
        <v>1487</v>
      </c>
      <c r="OFA989" s="16" t="s">
        <v>1487</v>
      </c>
      <c r="OFB989" s="16" t="s">
        <v>1487</v>
      </c>
      <c r="OFC989" s="16" t="s">
        <v>1487</v>
      </c>
      <c r="OFD989" s="16" t="s">
        <v>1487</v>
      </c>
      <c r="OFE989" s="16" t="s">
        <v>1487</v>
      </c>
      <c r="OFF989" s="16" t="s">
        <v>1487</v>
      </c>
      <c r="OFG989" s="16" t="s">
        <v>1487</v>
      </c>
      <c r="OFH989" s="16" t="s">
        <v>1487</v>
      </c>
      <c r="OFI989" s="16" t="s">
        <v>1487</v>
      </c>
      <c r="OFJ989" s="16" t="s">
        <v>1487</v>
      </c>
      <c r="OFK989" s="16" t="s">
        <v>1487</v>
      </c>
      <c r="OFL989" s="16" t="s">
        <v>1487</v>
      </c>
      <c r="OFM989" s="16" t="s">
        <v>1487</v>
      </c>
      <c r="OFN989" s="16" t="s">
        <v>1487</v>
      </c>
      <c r="OFO989" s="16" t="s">
        <v>1487</v>
      </c>
      <c r="OFP989" s="16" t="s">
        <v>1487</v>
      </c>
      <c r="OFQ989" s="16" t="s">
        <v>1487</v>
      </c>
      <c r="OFR989" s="16" t="s">
        <v>1487</v>
      </c>
      <c r="OFS989" s="16" t="s">
        <v>1487</v>
      </c>
      <c r="OFT989" s="16" t="s">
        <v>1487</v>
      </c>
      <c r="OFU989" s="16" t="s">
        <v>1487</v>
      </c>
      <c r="OFV989" s="16" t="s">
        <v>1487</v>
      </c>
      <c r="OFW989" s="16" t="s">
        <v>1487</v>
      </c>
      <c r="OFX989" s="16" t="s">
        <v>1487</v>
      </c>
      <c r="OFY989" s="16" t="s">
        <v>1487</v>
      </c>
      <c r="OFZ989" s="16" t="s">
        <v>1487</v>
      </c>
      <c r="OGA989" s="16" t="s">
        <v>1487</v>
      </c>
      <c r="OGB989" s="16" t="s">
        <v>1487</v>
      </c>
      <c r="OGC989" s="16" t="s">
        <v>1487</v>
      </c>
      <c r="OGD989" s="16" t="s">
        <v>1487</v>
      </c>
      <c r="OGE989" s="16" t="s">
        <v>1487</v>
      </c>
      <c r="OGF989" s="16" t="s">
        <v>1487</v>
      </c>
      <c r="OGG989" s="16" t="s">
        <v>1487</v>
      </c>
      <c r="OGH989" s="16" t="s">
        <v>1487</v>
      </c>
      <c r="OGI989" s="16" t="s">
        <v>1487</v>
      </c>
      <c r="OGJ989" s="16" t="s">
        <v>1487</v>
      </c>
      <c r="OGK989" s="16" t="s">
        <v>1487</v>
      </c>
      <c r="OGL989" s="16" t="s">
        <v>1487</v>
      </c>
      <c r="OGM989" s="16" t="s">
        <v>1487</v>
      </c>
      <c r="OGN989" s="16" t="s">
        <v>1487</v>
      </c>
      <c r="OGO989" s="16" t="s">
        <v>1487</v>
      </c>
      <c r="OGP989" s="16" t="s">
        <v>1487</v>
      </c>
      <c r="OGQ989" s="16" t="s">
        <v>1487</v>
      </c>
      <c r="OGR989" s="16" t="s">
        <v>1487</v>
      </c>
      <c r="OGS989" s="16" t="s">
        <v>1487</v>
      </c>
      <c r="OGT989" s="16" t="s">
        <v>1487</v>
      </c>
      <c r="OGU989" s="16" t="s">
        <v>1487</v>
      </c>
      <c r="OGV989" s="16" t="s">
        <v>1487</v>
      </c>
      <c r="OGW989" s="16" t="s">
        <v>1487</v>
      </c>
      <c r="OGX989" s="16" t="s">
        <v>1487</v>
      </c>
      <c r="OGY989" s="16" t="s">
        <v>1487</v>
      </c>
      <c r="OGZ989" s="16" t="s">
        <v>1487</v>
      </c>
      <c r="OHA989" s="16" t="s">
        <v>1487</v>
      </c>
      <c r="OHB989" s="16" t="s">
        <v>1487</v>
      </c>
      <c r="OHC989" s="16" t="s">
        <v>1487</v>
      </c>
      <c r="OHD989" s="16" t="s">
        <v>1487</v>
      </c>
      <c r="OHE989" s="16" t="s">
        <v>1487</v>
      </c>
      <c r="OHF989" s="16" t="s">
        <v>1487</v>
      </c>
      <c r="OHG989" s="16" t="s">
        <v>1487</v>
      </c>
      <c r="OHH989" s="16" t="s">
        <v>1487</v>
      </c>
      <c r="OHI989" s="16" t="s">
        <v>1487</v>
      </c>
      <c r="OHJ989" s="16" t="s">
        <v>1487</v>
      </c>
      <c r="OHK989" s="16" t="s">
        <v>1487</v>
      </c>
      <c r="OHL989" s="16" t="s">
        <v>1487</v>
      </c>
      <c r="OHM989" s="16" t="s">
        <v>1487</v>
      </c>
      <c r="OHN989" s="16" t="s">
        <v>1487</v>
      </c>
      <c r="OHO989" s="16" t="s">
        <v>1487</v>
      </c>
      <c r="OHP989" s="16" t="s">
        <v>1487</v>
      </c>
      <c r="OHQ989" s="16" t="s">
        <v>1487</v>
      </c>
      <c r="OHR989" s="16" t="s">
        <v>1487</v>
      </c>
      <c r="OHS989" s="16" t="s">
        <v>1487</v>
      </c>
      <c r="OHT989" s="16" t="s">
        <v>1487</v>
      </c>
      <c r="OHU989" s="16" t="s">
        <v>1487</v>
      </c>
      <c r="OHV989" s="16" t="s">
        <v>1487</v>
      </c>
      <c r="OHW989" s="16" t="s">
        <v>1487</v>
      </c>
      <c r="OHX989" s="16" t="s">
        <v>1487</v>
      </c>
      <c r="OHY989" s="16" t="s">
        <v>1487</v>
      </c>
      <c r="OHZ989" s="16" t="s">
        <v>1487</v>
      </c>
      <c r="OIA989" s="16" t="s">
        <v>1487</v>
      </c>
      <c r="OIB989" s="16" t="s">
        <v>1487</v>
      </c>
      <c r="OIC989" s="16" t="s">
        <v>1487</v>
      </c>
      <c r="OID989" s="16" t="s">
        <v>1487</v>
      </c>
      <c r="OIE989" s="16" t="s">
        <v>1487</v>
      </c>
      <c r="OIF989" s="16" t="s">
        <v>1487</v>
      </c>
      <c r="OIG989" s="16" t="s">
        <v>1487</v>
      </c>
      <c r="OIH989" s="16" t="s">
        <v>1487</v>
      </c>
      <c r="OII989" s="16" t="s">
        <v>1487</v>
      </c>
      <c r="OIJ989" s="16" t="s">
        <v>1487</v>
      </c>
      <c r="OIK989" s="16" t="s">
        <v>1487</v>
      </c>
      <c r="OIL989" s="16" t="s">
        <v>1487</v>
      </c>
      <c r="OIM989" s="16" t="s">
        <v>1487</v>
      </c>
      <c r="OIN989" s="16" t="s">
        <v>1487</v>
      </c>
      <c r="OIO989" s="16" t="s">
        <v>1487</v>
      </c>
      <c r="OIP989" s="16" t="s">
        <v>1487</v>
      </c>
      <c r="OIQ989" s="16" t="s">
        <v>1487</v>
      </c>
      <c r="OIR989" s="16" t="s">
        <v>1487</v>
      </c>
      <c r="OIS989" s="16" t="s">
        <v>1487</v>
      </c>
      <c r="OIT989" s="16" t="s">
        <v>1487</v>
      </c>
      <c r="OIU989" s="16" t="s">
        <v>1487</v>
      </c>
      <c r="OIV989" s="16" t="s">
        <v>1487</v>
      </c>
      <c r="OIW989" s="16" t="s">
        <v>1487</v>
      </c>
      <c r="OIX989" s="16" t="s">
        <v>1487</v>
      </c>
      <c r="OIY989" s="16" t="s">
        <v>1487</v>
      </c>
      <c r="OIZ989" s="16" t="s">
        <v>1487</v>
      </c>
      <c r="OJA989" s="16" t="s">
        <v>1487</v>
      </c>
      <c r="OJB989" s="16" t="s">
        <v>1487</v>
      </c>
      <c r="OJC989" s="16" t="s">
        <v>1487</v>
      </c>
      <c r="OJD989" s="16" t="s">
        <v>1487</v>
      </c>
      <c r="OJE989" s="16" t="s">
        <v>1487</v>
      </c>
      <c r="OJF989" s="16" t="s">
        <v>1487</v>
      </c>
      <c r="OJG989" s="16" t="s">
        <v>1487</v>
      </c>
      <c r="OJH989" s="16" t="s">
        <v>1487</v>
      </c>
      <c r="OJI989" s="16" t="s">
        <v>1487</v>
      </c>
      <c r="OJJ989" s="16" t="s">
        <v>1487</v>
      </c>
      <c r="OJK989" s="16" t="s">
        <v>1487</v>
      </c>
      <c r="OJL989" s="16" t="s">
        <v>1487</v>
      </c>
      <c r="OJM989" s="16" t="s">
        <v>1487</v>
      </c>
      <c r="OJN989" s="16" t="s">
        <v>1487</v>
      </c>
      <c r="OJO989" s="16" t="s">
        <v>1487</v>
      </c>
      <c r="OJP989" s="16" t="s">
        <v>1487</v>
      </c>
      <c r="OJQ989" s="16" t="s">
        <v>1487</v>
      </c>
      <c r="OJR989" s="16" t="s">
        <v>1487</v>
      </c>
      <c r="OJS989" s="16" t="s">
        <v>1487</v>
      </c>
      <c r="OJT989" s="16" t="s">
        <v>1487</v>
      </c>
      <c r="OJU989" s="16" t="s">
        <v>1487</v>
      </c>
      <c r="OJV989" s="16" t="s">
        <v>1487</v>
      </c>
      <c r="OJW989" s="16" t="s">
        <v>1487</v>
      </c>
      <c r="OJX989" s="16" t="s">
        <v>1487</v>
      </c>
      <c r="OJY989" s="16" t="s">
        <v>1487</v>
      </c>
      <c r="OJZ989" s="16" t="s">
        <v>1487</v>
      </c>
      <c r="OKA989" s="16" t="s">
        <v>1487</v>
      </c>
      <c r="OKB989" s="16" t="s">
        <v>1487</v>
      </c>
      <c r="OKC989" s="16" t="s">
        <v>1487</v>
      </c>
      <c r="OKD989" s="16" t="s">
        <v>1487</v>
      </c>
      <c r="OKE989" s="16" t="s">
        <v>1487</v>
      </c>
      <c r="OKF989" s="16" t="s">
        <v>1487</v>
      </c>
      <c r="OKG989" s="16" t="s">
        <v>1487</v>
      </c>
      <c r="OKH989" s="16" t="s">
        <v>1487</v>
      </c>
      <c r="OKI989" s="16" t="s">
        <v>1487</v>
      </c>
      <c r="OKJ989" s="16" t="s">
        <v>1487</v>
      </c>
      <c r="OKK989" s="16" t="s">
        <v>1487</v>
      </c>
      <c r="OKL989" s="16" t="s">
        <v>1487</v>
      </c>
      <c r="OKM989" s="16" t="s">
        <v>1487</v>
      </c>
      <c r="OKN989" s="16" t="s">
        <v>1487</v>
      </c>
      <c r="OKO989" s="16" t="s">
        <v>1487</v>
      </c>
      <c r="OKP989" s="16" t="s">
        <v>1487</v>
      </c>
      <c r="OKQ989" s="16" t="s">
        <v>1487</v>
      </c>
      <c r="OKR989" s="16" t="s">
        <v>1487</v>
      </c>
      <c r="OKS989" s="16" t="s">
        <v>1487</v>
      </c>
      <c r="OKT989" s="16" t="s">
        <v>1487</v>
      </c>
      <c r="OKU989" s="16" t="s">
        <v>1487</v>
      </c>
      <c r="OKV989" s="16" t="s">
        <v>1487</v>
      </c>
      <c r="OKW989" s="16" t="s">
        <v>1487</v>
      </c>
      <c r="OKX989" s="16" t="s">
        <v>1487</v>
      </c>
      <c r="OKY989" s="16" t="s">
        <v>1487</v>
      </c>
      <c r="OKZ989" s="16" t="s">
        <v>1487</v>
      </c>
      <c r="OLA989" s="16" t="s">
        <v>1487</v>
      </c>
      <c r="OLB989" s="16" t="s">
        <v>1487</v>
      </c>
      <c r="OLC989" s="16" t="s">
        <v>1487</v>
      </c>
      <c r="OLD989" s="16" t="s">
        <v>1487</v>
      </c>
      <c r="OLE989" s="16" t="s">
        <v>1487</v>
      </c>
      <c r="OLF989" s="16" t="s">
        <v>1487</v>
      </c>
      <c r="OLG989" s="16" t="s">
        <v>1487</v>
      </c>
      <c r="OLH989" s="16" t="s">
        <v>1487</v>
      </c>
      <c r="OLI989" s="16" t="s">
        <v>1487</v>
      </c>
      <c r="OLJ989" s="16" t="s">
        <v>1487</v>
      </c>
      <c r="OLK989" s="16" t="s">
        <v>1487</v>
      </c>
      <c r="OLL989" s="16" t="s">
        <v>1487</v>
      </c>
      <c r="OLM989" s="16" t="s">
        <v>1487</v>
      </c>
      <c r="OLN989" s="16" t="s">
        <v>1487</v>
      </c>
      <c r="OLO989" s="16" t="s">
        <v>1487</v>
      </c>
      <c r="OLP989" s="16" t="s">
        <v>1487</v>
      </c>
      <c r="OLQ989" s="16" t="s">
        <v>1487</v>
      </c>
      <c r="OLR989" s="16" t="s">
        <v>1487</v>
      </c>
      <c r="OLS989" s="16" t="s">
        <v>1487</v>
      </c>
      <c r="OLT989" s="16" t="s">
        <v>1487</v>
      </c>
      <c r="OLU989" s="16" t="s">
        <v>1487</v>
      </c>
      <c r="OLV989" s="16" t="s">
        <v>1487</v>
      </c>
      <c r="OLW989" s="16" t="s">
        <v>1487</v>
      </c>
      <c r="OLX989" s="16" t="s">
        <v>1487</v>
      </c>
      <c r="OLY989" s="16" t="s">
        <v>1487</v>
      </c>
      <c r="OLZ989" s="16" t="s">
        <v>1487</v>
      </c>
      <c r="OMA989" s="16" t="s">
        <v>1487</v>
      </c>
      <c r="OMB989" s="16" t="s">
        <v>1487</v>
      </c>
      <c r="OMC989" s="16" t="s">
        <v>1487</v>
      </c>
      <c r="OMD989" s="16" t="s">
        <v>1487</v>
      </c>
      <c r="OME989" s="16" t="s">
        <v>1487</v>
      </c>
      <c r="OMF989" s="16" t="s">
        <v>1487</v>
      </c>
      <c r="OMG989" s="16" t="s">
        <v>1487</v>
      </c>
      <c r="OMH989" s="16" t="s">
        <v>1487</v>
      </c>
      <c r="OMI989" s="16" t="s">
        <v>1487</v>
      </c>
      <c r="OMJ989" s="16" t="s">
        <v>1487</v>
      </c>
      <c r="OMK989" s="16" t="s">
        <v>1487</v>
      </c>
      <c r="OML989" s="16" t="s">
        <v>1487</v>
      </c>
      <c r="OMM989" s="16" t="s">
        <v>1487</v>
      </c>
      <c r="OMN989" s="16" t="s">
        <v>1487</v>
      </c>
      <c r="OMO989" s="16" t="s">
        <v>1487</v>
      </c>
      <c r="OMP989" s="16" t="s">
        <v>1487</v>
      </c>
      <c r="OMQ989" s="16" t="s">
        <v>1487</v>
      </c>
      <c r="OMR989" s="16" t="s">
        <v>1487</v>
      </c>
      <c r="OMS989" s="16" t="s">
        <v>1487</v>
      </c>
      <c r="OMT989" s="16" t="s">
        <v>1487</v>
      </c>
      <c r="OMU989" s="16" t="s">
        <v>1487</v>
      </c>
      <c r="OMV989" s="16" t="s">
        <v>1487</v>
      </c>
      <c r="OMW989" s="16" t="s">
        <v>1487</v>
      </c>
      <c r="OMX989" s="16" t="s">
        <v>1487</v>
      </c>
      <c r="OMY989" s="16" t="s">
        <v>1487</v>
      </c>
      <c r="OMZ989" s="16" t="s">
        <v>1487</v>
      </c>
      <c r="ONA989" s="16" t="s">
        <v>1487</v>
      </c>
      <c r="ONB989" s="16" t="s">
        <v>1487</v>
      </c>
      <c r="ONC989" s="16" t="s">
        <v>1487</v>
      </c>
      <c r="OND989" s="16" t="s">
        <v>1487</v>
      </c>
      <c r="ONE989" s="16" t="s">
        <v>1487</v>
      </c>
      <c r="ONF989" s="16" t="s">
        <v>1487</v>
      </c>
      <c r="ONG989" s="16" t="s">
        <v>1487</v>
      </c>
      <c r="ONH989" s="16" t="s">
        <v>1487</v>
      </c>
      <c r="ONI989" s="16" t="s">
        <v>1487</v>
      </c>
      <c r="ONJ989" s="16" t="s">
        <v>1487</v>
      </c>
      <c r="ONK989" s="16" t="s">
        <v>1487</v>
      </c>
      <c r="ONL989" s="16" t="s">
        <v>1487</v>
      </c>
      <c r="ONM989" s="16" t="s">
        <v>1487</v>
      </c>
      <c r="ONN989" s="16" t="s">
        <v>1487</v>
      </c>
      <c r="ONO989" s="16" t="s">
        <v>1487</v>
      </c>
      <c r="ONP989" s="16" t="s">
        <v>1487</v>
      </c>
      <c r="ONQ989" s="16" t="s">
        <v>1487</v>
      </c>
      <c r="ONR989" s="16" t="s">
        <v>1487</v>
      </c>
      <c r="ONS989" s="16" t="s">
        <v>1487</v>
      </c>
      <c r="ONT989" s="16" t="s">
        <v>1487</v>
      </c>
      <c r="ONU989" s="16" t="s">
        <v>1487</v>
      </c>
      <c r="ONV989" s="16" t="s">
        <v>1487</v>
      </c>
      <c r="ONW989" s="16" t="s">
        <v>1487</v>
      </c>
      <c r="ONX989" s="16" t="s">
        <v>1487</v>
      </c>
      <c r="ONY989" s="16" t="s">
        <v>1487</v>
      </c>
      <c r="ONZ989" s="16" t="s">
        <v>1487</v>
      </c>
      <c r="OOA989" s="16" t="s">
        <v>1487</v>
      </c>
      <c r="OOB989" s="16" t="s">
        <v>1487</v>
      </c>
      <c r="OOC989" s="16" t="s">
        <v>1487</v>
      </c>
      <c r="OOD989" s="16" t="s">
        <v>1487</v>
      </c>
      <c r="OOE989" s="16" t="s">
        <v>1487</v>
      </c>
      <c r="OOF989" s="16" t="s">
        <v>1487</v>
      </c>
      <c r="OOG989" s="16" t="s">
        <v>1487</v>
      </c>
      <c r="OOH989" s="16" t="s">
        <v>1487</v>
      </c>
      <c r="OOI989" s="16" t="s">
        <v>1487</v>
      </c>
      <c r="OOJ989" s="16" t="s">
        <v>1487</v>
      </c>
      <c r="OOK989" s="16" t="s">
        <v>1487</v>
      </c>
      <c r="OOL989" s="16" t="s">
        <v>1487</v>
      </c>
      <c r="OOM989" s="16" t="s">
        <v>1487</v>
      </c>
      <c r="OON989" s="16" t="s">
        <v>1487</v>
      </c>
      <c r="OOO989" s="16" t="s">
        <v>1487</v>
      </c>
      <c r="OOP989" s="16" t="s">
        <v>1487</v>
      </c>
      <c r="OOQ989" s="16" t="s">
        <v>1487</v>
      </c>
      <c r="OOR989" s="16" t="s">
        <v>1487</v>
      </c>
      <c r="OOS989" s="16" t="s">
        <v>1487</v>
      </c>
      <c r="OOT989" s="16" t="s">
        <v>1487</v>
      </c>
      <c r="OOU989" s="16" t="s">
        <v>1487</v>
      </c>
      <c r="OOV989" s="16" t="s">
        <v>1487</v>
      </c>
      <c r="OOW989" s="16" t="s">
        <v>1487</v>
      </c>
      <c r="OOX989" s="16" t="s">
        <v>1487</v>
      </c>
      <c r="OOY989" s="16" t="s">
        <v>1487</v>
      </c>
      <c r="OOZ989" s="16" t="s">
        <v>1487</v>
      </c>
      <c r="OPA989" s="16" t="s">
        <v>1487</v>
      </c>
      <c r="OPB989" s="16" t="s">
        <v>1487</v>
      </c>
      <c r="OPC989" s="16" t="s">
        <v>1487</v>
      </c>
      <c r="OPD989" s="16" t="s">
        <v>1487</v>
      </c>
      <c r="OPE989" s="16" t="s">
        <v>1487</v>
      </c>
      <c r="OPF989" s="16" t="s">
        <v>1487</v>
      </c>
      <c r="OPG989" s="16" t="s">
        <v>1487</v>
      </c>
      <c r="OPH989" s="16" t="s">
        <v>1487</v>
      </c>
      <c r="OPI989" s="16" t="s">
        <v>1487</v>
      </c>
      <c r="OPJ989" s="16" t="s">
        <v>1487</v>
      </c>
      <c r="OPK989" s="16" t="s">
        <v>1487</v>
      </c>
      <c r="OPL989" s="16" t="s">
        <v>1487</v>
      </c>
      <c r="OPM989" s="16" t="s">
        <v>1487</v>
      </c>
      <c r="OPN989" s="16" t="s">
        <v>1487</v>
      </c>
      <c r="OPO989" s="16" t="s">
        <v>1487</v>
      </c>
      <c r="OPP989" s="16" t="s">
        <v>1487</v>
      </c>
      <c r="OPQ989" s="16" t="s">
        <v>1487</v>
      </c>
      <c r="OPR989" s="16" t="s">
        <v>1487</v>
      </c>
      <c r="OPS989" s="16" t="s">
        <v>1487</v>
      </c>
      <c r="OPT989" s="16" t="s">
        <v>1487</v>
      </c>
      <c r="OPU989" s="16" t="s">
        <v>1487</v>
      </c>
      <c r="OPV989" s="16" t="s">
        <v>1487</v>
      </c>
      <c r="OPW989" s="16" t="s">
        <v>1487</v>
      </c>
      <c r="OPX989" s="16" t="s">
        <v>1487</v>
      </c>
      <c r="OPY989" s="16" t="s">
        <v>1487</v>
      </c>
      <c r="OPZ989" s="16" t="s">
        <v>1487</v>
      </c>
      <c r="OQA989" s="16" t="s">
        <v>1487</v>
      </c>
      <c r="OQB989" s="16" t="s">
        <v>1487</v>
      </c>
      <c r="OQC989" s="16" t="s">
        <v>1487</v>
      </c>
      <c r="OQD989" s="16" t="s">
        <v>1487</v>
      </c>
      <c r="OQE989" s="16" t="s">
        <v>1487</v>
      </c>
      <c r="OQF989" s="16" t="s">
        <v>1487</v>
      </c>
      <c r="OQG989" s="16" t="s">
        <v>1487</v>
      </c>
      <c r="OQH989" s="16" t="s">
        <v>1487</v>
      </c>
      <c r="OQI989" s="16" t="s">
        <v>1487</v>
      </c>
      <c r="OQJ989" s="16" t="s">
        <v>1487</v>
      </c>
      <c r="OQK989" s="16" t="s">
        <v>1487</v>
      </c>
      <c r="OQL989" s="16" t="s">
        <v>1487</v>
      </c>
      <c r="OQM989" s="16" t="s">
        <v>1487</v>
      </c>
      <c r="OQN989" s="16" t="s">
        <v>1487</v>
      </c>
      <c r="OQO989" s="16" t="s">
        <v>1487</v>
      </c>
      <c r="OQP989" s="16" t="s">
        <v>1487</v>
      </c>
      <c r="OQQ989" s="16" t="s">
        <v>1487</v>
      </c>
      <c r="OQR989" s="16" t="s">
        <v>1487</v>
      </c>
      <c r="OQS989" s="16" t="s">
        <v>1487</v>
      </c>
      <c r="OQT989" s="16" t="s">
        <v>1487</v>
      </c>
      <c r="OQU989" s="16" t="s">
        <v>1487</v>
      </c>
      <c r="OQV989" s="16" t="s">
        <v>1487</v>
      </c>
      <c r="OQW989" s="16" t="s">
        <v>1487</v>
      </c>
      <c r="OQX989" s="16" t="s">
        <v>1487</v>
      </c>
      <c r="OQY989" s="16" t="s">
        <v>1487</v>
      </c>
      <c r="OQZ989" s="16" t="s">
        <v>1487</v>
      </c>
      <c r="ORA989" s="16" t="s">
        <v>1487</v>
      </c>
      <c r="ORB989" s="16" t="s">
        <v>1487</v>
      </c>
      <c r="ORC989" s="16" t="s">
        <v>1487</v>
      </c>
      <c r="ORD989" s="16" t="s">
        <v>1487</v>
      </c>
      <c r="ORE989" s="16" t="s">
        <v>1487</v>
      </c>
      <c r="ORF989" s="16" t="s">
        <v>1487</v>
      </c>
      <c r="ORG989" s="16" t="s">
        <v>1487</v>
      </c>
      <c r="ORH989" s="16" t="s">
        <v>1487</v>
      </c>
      <c r="ORI989" s="16" t="s">
        <v>1487</v>
      </c>
      <c r="ORJ989" s="16" t="s">
        <v>1487</v>
      </c>
      <c r="ORK989" s="16" t="s">
        <v>1487</v>
      </c>
      <c r="ORL989" s="16" t="s">
        <v>1487</v>
      </c>
      <c r="ORM989" s="16" t="s">
        <v>1487</v>
      </c>
      <c r="ORN989" s="16" t="s">
        <v>1487</v>
      </c>
      <c r="ORO989" s="16" t="s">
        <v>1487</v>
      </c>
      <c r="ORP989" s="16" t="s">
        <v>1487</v>
      </c>
      <c r="ORQ989" s="16" t="s">
        <v>1487</v>
      </c>
      <c r="ORR989" s="16" t="s">
        <v>1487</v>
      </c>
      <c r="ORS989" s="16" t="s">
        <v>1487</v>
      </c>
      <c r="ORT989" s="16" t="s">
        <v>1487</v>
      </c>
      <c r="ORU989" s="16" t="s">
        <v>1487</v>
      </c>
      <c r="ORV989" s="16" t="s">
        <v>1487</v>
      </c>
      <c r="ORW989" s="16" t="s">
        <v>1487</v>
      </c>
      <c r="ORX989" s="16" t="s">
        <v>1487</v>
      </c>
      <c r="ORY989" s="16" t="s">
        <v>1487</v>
      </c>
      <c r="ORZ989" s="16" t="s">
        <v>1487</v>
      </c>
      <c r="OSA989" s="16" t="s">
        <v>1487</v>
      </c>
      <c r="OSB989" s="16" t="s">
        <v>1487</v>
      </c>
      <c r="OSC989" s="16" t="s">
        <v>1487</v>
      </c>
      <c r="OSD989" s="16" t="s">
        <v>1487</v>
      </c>
      <c r="OSE989" s="16" t="s">
        <v>1487</v>
      </c>
      <c r="OSF989" s="16" t="s">
        <v>1487</v>
      </c>
      <c r="OSG989" s="16" t="s">
        <v>1487</v>
      </c>
      <c r="OSH989" s="16" t="s">
        <v>1487</v>
      </c>
      <c r="OSI989" s="16" t="s">
        <v>1487</v>
      </c>
      <c r="OSJ989" s="16" t="s">
        <v>1487</v>
      </c>
      <c r="OSK989" s="16" t="s">
        <v>1487</v>
      </c>
      <c r="OSL989" s="16" t="s">
        <v>1487</v>
      </c>
      <c r="OSM989" s="16" t="s">
        <v>1487</v>
      </c>
      <c r="OSN989" s="16" t="s">
        <v>1487</v>
      </c>
      <c r="OSO989" s="16" t="s">
        <v>1487</v>
      </c>
      <c r="OSP989" s="16" t="s">
        <v>1487</v>
      </c>
      <c r="OSQ989" s="16" t="s">
        <v>1487</v>
      </c>
      <c r="OSR989" s="16" t="s">
        <v>1487</v>
      </c>
      <c r="OSS989" s="16" t="s">
        <v>1487</v>
      </c>
      <c r="OST989" s="16" t="s">
        <v>1487</v>
      </c>
      <c r="OSU989" s="16" t="s">
        <v>1487</v>
      </c>
      <c r="OSV989" s="16" t="s">
        <v>1487</v>
      </c>
      <c r="OSW989" s="16" t="s">
        <v>1487</v>
      </c>
      <c r="OSX989" s="16" t="s">
        <v>1487</v>
      </c>
      <c r="OSY989" s="16" t="s">
        <v>1487</v>
      </c>
      <c r="OSZ989" s="16" t="s">
        <v>1487</v>
      </c>
      <c r="OTA989" s="16" t="s">
        <v>1487</v>
      </c>
      <c r="OTB989" s="16" t="s">
        <v>1487</v>
      </c>
      <c r="OTC989" s="16" t="s">
        <v>1487</v>
      </c>
      <c r="OTD989" s="16" t="s">
        <v>1487</v>
      </c>
      <c r="OTE989" s="16" t="s">
        <v>1487</v>
      </c>
      <c r="OTF989" s="16" t="s">
        <v>1487</v>
      </c>
      <c r="OTG989" s="16" t="s">
        <v>1487</v>
      </c>
      <c r="OTH989" s="16" t="s">
        <v>1487</v>
      </c>
      <c r="OTI989" s="16" t="s">
        <v>1487</v>
      </c>
      <c r="OTJ989" s="16" t="s">
        <v>1487</v>
      </c>
      <c r="OTK989" s="16" t="s">
        <v>1487</v>
      </c>
      <c r="OTL989" s="16" t="s">
        <v>1487</v>
      </c>
      <c r="OTM989" s="16" t="s">
        <v>1487</v>
      </c>
      <c r="OTN989" s="16" t="s">
        <v>1487</v>
      </c>
      <c r="OTO989" s="16" t="s">
        <v>1487</v>
      </c>
      <c r="OTP989" s="16" t="s">
        <v>1487</v>
      </c>
      <c r="OTQ989" s="16" t="s">
        <v>1487</v>
      </c>
      <c r="OTR989" s="16" t="s">
        <v>1487</v>
      </c>
      <c r="OTS989" s="16" t="s">
        <v>1487</v>
      </c>
      <c r="OTT989" s="16" t="s">
        <v>1487</v>
      </c>
      <c r="OTU989" s="16" t="s">
        <v>1487</v>
      </c>
      <c r="OTV989" s="16" t="s">
        <v>1487</v>
      </c>
      <c r="OTW989" s="16" t="s">
        <v>1487</v>
      </c>
      <c r="OTX989" s="16" t="s">
        <v>1487</v>
      </c>
      <c r="OTY989" s="16" t="s">
        <v>1487</v>
      </c>
      <c r="OTZ989" s="16" t="s">
        <v>1487</v>
      </c>
      <c r="OUA989" s="16" t="s">
        <v>1487</v>
      </c>
      <c r="OUB989" s="16" t="s">
        <v>1487</v>
      </c>
      <c r="OUC989" s="16" t="s">
        <v>1487</v>
      </c>
      <c r="OUD989" s="16" t="s">
        <v>1487</v>
      </c>
      <c r="OUE989" s="16" t="s">
        <v>1487</v>
      </c>
      <c r="OUF989" s="16" t="s">
        <v>1487</v>
      </c>
      <c r="OUG989" s="16" t="s">
        <v>1487</v>
      </c>
      <c r="OUH989" s="16" t="s">
        <v>1487</v>
      </c>
      <c r="OUI989" s="16" t="s">
        <v>1487</v>
      </c>
      <c r="OUJ989" s="16" t="s">
        <v>1487</v>
      </c>
      <c r="OUK989" s="16" t="s">
        <v>1487</v>
      </c>
      <c r="OUL989" s="16" t="s">
        <v>1487</v>
      </c>
      <c r="OUM989" s="16" t="s">
        <v>1487</v>
      </c>
      <c r="OUN989" s="16" t="s">
        <v>1487</v>
      </c>
      <c r="OUO989" s="16" t="s">
        <v>1487</v>
      </c>
      <c r="OUP989" s="16" t="s">
        <v>1487</v>
      </c>
      <c r="OUQ989" s="16" t="s">
        <v>1487</v>
      </c>
      <c r="OUR989" s="16" t="s">
        <v>1487</v>
      </c>
      <c r="OUS989" s="16" t="s">
        <v>1487</v>
      </c>
      <c r="OUT989" s="16" t="s">
        <v>1487</v>
      </c>
      <c r="OUU989" s="16" t="s">
        <v>1487</v>
      </c>
      <c r="OUV989" s="16" t="s">
        <v>1487</v>
      </c>
      <c r="OUW989" s="16" t="s">
        <v>1487</v>
      </c>
      <c r="OUX989" s="16" t="s">
        <v>1487</v>
      </c>
      <c r="OUY989" s="16" t="s">
        <v>1487</v>
      </c>
      <c r="OUZ989" s="16" t="s">
        <v>1487</v>
      </c>
      <c r="OVA989" s="16" t="s">
        <v>1487</v>
      </c>
      <c r="OVB989" s="16" t="s">
        <v>1487</v>
      </c>
      <c r="OVC989" s="16" t="s">
        <v>1487</v>
      </c>
      <c r="OVD989" s="16" t="s">
        <v>1487</v>
      </c>
      <c r="OVE989" s="16" t="s">
        <v>1487</v>
      </c>
      <c r="OVF989" s="16" t="s">
        <v>1487</v>
      </c>
      <c r="OVG989" s="16" t="s">
        <v>1487</v>
      </c>
      <c r="OVH989" s="16" t="s">
        <v>1487</v>
      </c>
      <c r="OVI989" s="16" t="s">
        <v>1487</v>
      </c>
      <c r="OVJ989" s="16" t="s">
        <v>1487</v>
      </c>
      <c r="OVK989" s="16" t="s">
        <v>1487</v>
      </c>
      <c r="OVL989" s="16" t="s">
        <v>1487</v>
      </c>
      <c r="OVM989" s="16" t="s">
        <v>1487</v>
      </c>
      <c r="OVN989" s="16" t="s">
        <v>1487</v>
      </c>
      <c r="OVO989" s="16" t="s">
        <v>1487</v>
      </c>
      <c r="OVP989" s="16" t="s">
        <v>1487</v>
      </c>
      <c r="OVQ989" s="16" t="s">
        <v>1487</v>
      </c>
      <c r="OVR989" s="16" t="s">
        <v>1487</v>
      </c>
      <c r="OVS989" s="16" t="s">
        <v>1487</v>
      </c>
      <c r="OVT989" s="16" t="s">
        <v>1487</v>
      </c>
      <c r="OVU989" s="16" t="s">
        <v>1487</v>
      </c>
      <c r="OVV989" s="16" t="s">
        <v>1487</v>
      </c>
      <c r="OVW989" s="16" t="s">
        <v>1487</v>
      </c>
      <c r="OVX989" s="16" t="s">
        <v>1487</v>
      </c>
      <c r="OVY989" s="16" t="s">
        <v>1487</v>
      </c>
      <c r="OVZ989" s="16" t="s">
        <v>1487</v>
      </c>
      <c r="OWA989" s="16" t="s">
        <v>1487</v>
      </c>
      <c r="OWB989" s="16" t="s">
        <v>1487</v>
      </c>
      <c r="OWC989" s="16" t="s">
        <v>1487</v>
      </c>
      <c r="OWD989" s="16" t="s">
        <v>1487</v>
      </c>
      <c r="OWE989" s="16" t="s">
        <v>1487</v>
      </c>
      <c r="OWF989" s="16" t="s">
        <v>1487</v>
      </c>
      <c r="OWG989" s="16" t="s">
        <v>1487</v>
      </c>
      <c r="OWH989" s="16" t="s">
        <v>1487</v>
      </c>
      <c r="OWI989" s="16" t="s">
        <v>1487</v>
      </c>
      <c r="OWJ989" s="16" t="s">
        <v>1487</v>
      </c>
      <c r="OWK989" s="16" t="s">
        <v>1487</v>
      </c>
      <c r="OWL989" s="16" t="s">
        <v>1487</v>
      </c>
      <c r="OWM989" s="16" t="s">
        <v>1487</v>
      </c>
      <c r="OWN989" s="16" t="s">
        <v>1487</v>
      </c>
      <c r="OWO989" s="16" t="s">
        <v>1487</v>
      </c>
      <c r="OWP989" s="16" t="s">
        <v>1487</v>
      </c>
      <c r="OWQ989" s="16" t="s">
        <v>1487</v>
      </c>
      <c r="OWR989" s="16" t="s">
        <v>1487</v>
      </c>
      <c r="OWS989" s="16" t="s">
        <v>1487</v>
      </c>
      <c r="OWT989" s="16" t="s">
        <v>1487</v>
      </c>
      <c r="OWU989" s="16" t="s">
        <v>1487</v>
      </c>
      <c r="OWV989" s="16" t="s">
        <v>1487</v>
      </c>
      <c r="OWW989" s="16" t="s">
        <v>1487</v>
      </c>
      <c r="OWX989" s="16" t="s">
        <v>1487</v>
      </c>
      <c r="OWY989" s="16" t="s">
        <v>1487</v>
      </c>
      <c r="OWZ989" s="16" t="s">
        <v>1487</v>
      </c>
      <c r="OXA989" s="16" t="s">
        <v>1487</v>
      </c>
      <c r="OXB989" s="16" t="s">
        <v>1487</v>
      </c>
      <c r="OXC989" s="16" t="s">
        <v>1487</v>
      </c>
      <c r="OXD989" s="16" t="s">
        <v>1487</v>
      </c>
      <c r="OXE989" s="16" t="s">
        <v>1487</v>
      </c>
      <c r="OXF989" s="16" t="s">
        <v>1487</v>
      </c>
      <c r="OXG989" s="16" t="s">
        <v>1487</v>
      </c>
      <c r="OXH989" s="16" t="s">
        <v>1487</v>
      </c>
      <c r="OXI989" s="16" t="s">
        <v>1487</v>
      </c>
      <c r="OXJ989" s="16" t="s">
        <v>1487</v>
      </c>
      <c r="OXK989" s="16" t="s">
        <v>1487</v>
      </c>
      <c r="OXL989" s="16" t="s">
        <v>1487</v>
      </c>
      <c r="OXM989" s="16" t="s">
        <v>1487</v>
      </c>
      <c r="OXN989" s="16" t="s">
        <v>1487</v>
      </c>
      <c r="OXO989" s="16" t="s">
        <v>1487</v>
      </c>
      <c r="OXP989" s="16" t="s">
        <v>1487</v>
      </c>
      <c r="OXQ989" s="16" t="s">
        <v>1487</v>
      </c>
      <c r="OXR989" s="16" t="s">
        <v>1487</v>
      </c>
      <c r="OXS989" s="16" t="s">
        <v>1487</v>
      </c>
      <c r="OXT989" s="16" t="s">
        <v>1487</v>
      </c>
      <c r="OXU989" s="16" t="s">
        <v>1487</v>
      </c>
      <c r="OXV989" s="16" t="s">
        <v>1487</v>
      </c>
      <c r="OXW989" s="16" t="s">
        <v>1487</v>
      </c>
      <c r="OXX989" s="16" t="s">
        <v>1487</v>
      </c>
      <c r="OXY989" s="16" t="s">
        <v>1487</v>
      </c>
      <c r="OXZ989" s="16" t="s">
        <v>1487</v>
      </c>
      <c r="OYA989" s="16" t="s">
        <v>1487</v>
      </c>
      <c r="OYB989" s="16" t="s">
        <v>1487</v>
      </c>
      <c r="OYC989" s="16" t="s">
        <v>1487</v>
      </c>
      <c r="OYD989" s="16" t="s">
        <v>1487</v>
      </c>
      <c r="OYE989" s="16" t="s">
        <v>1487</v>
      </c>
      <c r="OYF989" s="16" t="s">
        <v>1487</v>
      </c>
      <c r="OYG989" s="16" t="s">
        <v>1487</v>
      </c>
      <c r="OYH989" s="16" t="s">
        <v>1487</v>
      </c>
      <c r="OYI989" s="16" t="s">
        <v>1487</v>
      </c>
      <c r="OYJ989" s="16" t="s">
        <v>1487</v>
      </c>
      <c r="OYK989" s="16" t="s">
        <v>1487</v>
      </c>
      <c r="OYL989" s="16" t="s">
        <v>1487</v>
      </c>
      <c r="OYM989" s="16" t="s">
        <v>1487</v>
      </c>
      <c r="OYN989" s="16" t="s">
        <v>1487</v>
      </c>
      <c r="OYO989" s="16" t="s">
        <v>1487</v>
      </c>
      <c r="OYP989" s="16" t="s">
        <v>1487</v>
      </c>
      <c r="OYQ989" s="16" t="s">
        <v>1487</v>
      </c>
      <c r="OYR989" s="16" t="s">
        <v>1487</v>
      </c>
      <c r="OYS989" s="16" t="s">
        <v>1487</v>
      </c>
      <c r="OYT989" s="16" t="s">
        <v>1487</v>
      </c>
      <c r="OYU989" s="16" t="s">
        <v>1487</v>
      </c>
      <c r="OYV989" s="16" t="s">
        <v>1487</v>
      </c>
      <c r="OYW989" s="16" t="s">
        <v>1487</v>
      </c>
      <c r="OYX989" s="16" t="s">
        <v>1487</v>
      </c>
      <c r="OYY989" s="16" t="s">
        <v>1487</v>
      </c>
      <c r="OYZ989" s="16" t="s">
        <v>1487</v>
      </c>
      <c r="OZA989" s="16" t="s">
        <v>1487</v>
      </c>
      <c r="OZB989" s="16" t="s">
        <v>1487</v>
      </c>
      <c r="OZC989" s="16" t="s">
        <v>1487</v>
      </c>
      <c r="OZD989" s="16" t="s">
        <v>1487</v>
      </c>
      <c r="OZE989" s="16" t="s">
        <v>1487</v>
      </c>
      <c r="OZF989" s="16" t="s">
        <v>1487</v>
      </c>
      <c r="OZG989" s="16" t="s">
        <v>1487</v>
      </c>
      <c r="OZH989" s="16" t="s">
        <v>1487</v>
      </c>
      <c r="OZI989" s="16" t="s">
        <v>1487</v>
      </c>
      <c r="OZJ989" s="16" t="s">
        <v>1487</v>
      </c>
      <c r="OZK989" s="16" t="s">
        <v>1487</v>
      </c>
      <c r="OZL989" s="16" t="s">
        <v>1487</v>
      </c>
      <c r="OZM989" s="16" t="s">
        <v>1487</v>
      </c>
      <c r="OZN989" s="16" t="s">
        <v>1487</v>
      </c>
      <c r="OZO989" s="16" t="s">
        <v>1487</v>
      </c>
      <c r="OZP989" s="16" t="s">
        <v>1487</v>
      </c>
      <c r="OZQ989" s="16" t="s">
        <v>1487</v>
      </c>
      <c r="OZR989" s="16" t="s">
        <v>1487</v>
      </c>
      <c r="OZS989" s="16" t="s">
        <v>1487</v>
      </c>
      <c r="OZT989" s="16" t="s">
        <v>1487</v>
      </c>
      <c r="OZU989" s="16" t="s">
        <v>1487</v>
      </c>
      <c r="OZV989" s="16" t="s">
        <v>1487</v>
      </c>
      <c r="OZW989" s="16" t="s">
        <v>1487</v>
      </c>
      <c r="OZX989" s="16" t="s">
        <v>1487</v>
      </c>
      <c r="OZY989" s="16" t="s">
        <v>1487</v>
      </c>
      <c r="OZZ989" s="16" t="s">
        <v>1487</v>
      </c>
      <c r="PAA989" s="16" t="s">
        <v>1487</v>
      </c>
      <c r="PAB989" s="16" t="s">
        <v>1487</v>
      </c>
      <c r="PAC989" s="16" t="s">
        <v>1487</v>
      </c>
      <c r="PAD989" s="16" t="s">
        <v>1487</v>
      </c>
      <c r="PAE989" s="16" t="s">
        <v>1487</v>
      </c>
      <c r="PAF989" s="16" t="s">
        <v>1487</v>
      </c>
      <c r="PAG989" s="16" t="s">
        <v>1487</v>
      </c>
      <c r="PAH989" s="16" t="s">
        <v>1487</v>
      </c>
      <c r="PAI989" s="16" t="s">
        <v>1487</v>
      </c>
      <c r="PAJ989" s="16" t="s">
        <v>1487</v>
      </c>
      <c r="PAK989" s="16" t="s">
        <v>1487</v>
      </c>
      <c r="PAL989" s="16" t="s">
        <v>1487</v>
      </c>
      <c r="PAM989" s="16" t="s">
        <v>1487</v>
      </c>
      <c r="PAN989" s="16" t="s">
        <v>1487</v>
      </c>
      <c r="PAO989" s="16" t="s">
        <v>1487</v>
      </c>
      <c r="PAP989" s="16" t="s">
        <v>1487</v>
      </c>
      <c r="PAQ989" s="16" t="s">
        <v>1487</v>
      </c>
      <c r="PAR989" s="16" t="s">
        <v>1487</v>
      </c>
      <c r="PAS989" s="16" t="s">
        <v>1487</v>
      </c>
      <c r="PAT989" s="16" t="s">
        <v>1487</v>
      </c>
      <c r="PAU989" s="16" t="s">
        <v>1487</v>
      </c>
      <c r="PAV989" s="16" t="s">
        <v>1487</v>
      </c>
      <c r="PAW989" s="16" t="s">
        <v>1487</v>
      </c>
      <c r="PAX989" s="16" t="s">
        <v>1487</v>
      </c>
      <c r="PAY989" s="16" t="s">
        <v>1487</v>
      </c>
      <c r="PAZ989" s="16" t="s">
        <v>1487</v>
      </c>
      <c r="PBA989" s="16" t="s">
        <v>1487</v>
      </c>
      <c r="PBB989" s="16" t="s">
        <v>1487</v>
      </c>
      <c r="PBC989" s="16" t="s">
        <v>1487</v>
      </c>
      <c r="PBD989" s="16" t="s">
        <v>1487</v>
      </c>
      <c r="PBE989" s="16" t="s">
        <v>1487</v>
      </c>
      <c r="PBF989" s="16" t="s">
        <v>1487</v>
      </c>
      <c r="PBG989" s="16" t="s">
        <v>1487</v>
      </c>
      <c r="PBH989" s="16" t="s">
        <v>1487</v>
      </c>
      <c r="PBI989" s="16" t="s">
        <v>1487</v>
      </c>
      <c r="PBJ989" s="16" t="s">
        <v>1487</v>
      </c>
      <c r="PBK989" s="16" t="s">
        <v>1487</v>
      </c>
      <c r="PBL989" s="16" t="s">
        <v>1487</v>
      </c>
      <c r="PBM989" s="16" t="s">
        <v>1487</v>
      </c>
      <c r="PBN989" s="16" t="s">
        <v>1487</v>
      </c>
      <c r="PBO989" s="16" t="s">
        <v>1487</v>
      </c>
      <c r="PBP989" s="16" t="s">
        <v>1487</v>
      </c>
      <c r="PBQ989" s="16" t="s">
        <v>1487</v>
      </c>
      <c r="PBR989" s="16" t="s">
        <v>1487</v>
      </c>
      <c r="PBS989" s="16" t="s">
        <v>1487</v>
      </c>
      <c r="PBT989" s="16" t="s">
        <v>1487</v>
      </c>
      <c r="PBU989" s="16" t="s">
        <v>1487</v>
      </c>
      <c r="PBV989" s="16" t="s">
        <v>1487</v>
      </c>
      <c r="PBW989" s="16" t="s">
        <v>1487</v>
      </c>
      <c r="PBX989" s="16" t="s">
        <v>1487</v>
      </c>
      <c r="PBY989" s="16" t="s">
        <v>1487</v>
      </c>
      <c r="PBZ989" s="16" t="s">
        <v>1487</v>
      </c>
      <c r="PCA989" s="16" t="s">
        <v>1487</v>
      </c>
      <c r="PCB989" s="16" t="s">
        <v>1487</v>
      </c>
      <c r="PCC989" s="16" t="s">
        <v>1487</v>
      </c>
      <c r="PCD989" s="16" t="s">
        <v>1487</v>
      </c>
      <c r="PCE989" s="16" t="s">
        <v>1487</v>
      </c>
      <c r="PCF989" s="16" t="s">
        <v>1487</v>
      </c>
      <c r="PCG989" s="16" t="s">
        <v>1487</v>
      </c>
      <c r="PCH989" s="16" t="s">
        <v>1487</v>
      </c>
      <c r="PCI989" s="16" t="s">
        <v>1487</v>
      </c>
      <c r="PCJ989" s="16" t="s">
        <v>1487</v>
      </c>
      <c r="PCK989" s="16" t="s">
        <v>1487</v>
      </c>
      <c r="PCL989" s="16" t="s">
        <v>1487</v>
      </c>
      <c r="PCM989" s="16" t="s">
        <v>1487</v>
      </c>
      <c r="PCN989" s="16" t="s">
        <v>1487</v>
      </c>
      <c r="PCO989" s="16" t="s">
        <v>1487</v>
      </c>
      <c r="PCP989" s="16" t="s">
        <v>1487</v>
      </c>
      <c r="PCQ989" s="16" t="s">
        <v>1487</v>
      </c>
      <c r="PCR989" s="16" t="s">
        <v>1487</v>
      </c>
      <c r="PCS989" s="16" t="s">
        <v>1487</v>
      </c>
      <c r="PCT989" s="16" t="s">
        <v>1487</v>
      </c>
      <c r="PCU989" s="16" t="s">
        <v>1487</v>
      </c>
      <c r="PCV989" s="16" t="s">
        <v>1487</v>
      </c>
      <c r="PCW989" s="16" t="s">
        <v>1487</v>
      </c>
      <c r="PCX989" s="16" t="s">
        <v>1487</v>
      </c>
      <c r="PCY989" s="16" t="s">
        <v>1487</v>
      </c>
      <c r="PCZ989" s="16" t="s">
        <v>1487</v>
      </c>
      <c r="PDA989" s="16" t="s">
        <v>1487</v>
      </c>
      <c r="PDB989" s="16" t="s">
        <v>1487</v>
      </c>
      <c r="PDC989" s="16" t="s">
        <v>1487</v>
      </c>
      <c r="PDD989" s="16" t="s">
        <v>1487</v>
      </c>
      <c r="PDE989" s="16" t="s">
        <v>1487</v>
      </c>
      <c r="PDF989" s="16" t="s">
        <v>1487</v>
      </c>
      <c r="PDG989" s="16" t="s">
        <v>1487</v>
      </c>
      <c r="PDH989" s="16" t="s">
        <v>1487</v>
      </c>
      <c r="PDI989" s="16" t="s">
        <v>1487</v>
      </c>
      <c r="PDJ989" s="16" t="s">
        <v>1487</v>
      </c>
      <c r="PDK989" s="16" t="s">
        <v>1487</v>
      </c>
      <c r="PDL989" s="16" t="s">
        <v>1487</v>
      </c>
      <c r="PDM989" s="16" t="s">
        <v>1487</v>
      </c>
      <c r="PDN989" s="16" t="s">
        <v>1487</v>
      </c>
      <c r="PDO989" s="16" t="s">
        <v>1487</v>
      </c>
      <c r="PDP989" s="16" t="s">
        <v>1487</v>
      </c>
      <c r="PDQ989" s="16" t="s">
        <v>1487</v>
      </c>
      <c r="PDR989" s="16" t="s">
        <v>1487</v>
      </c>
      <c r="PDS989" s="16" t="s">
        <v>1487</v>
      </c>
      <c r="PDT989" s="16" t="s">
        <v>1487</v>
      </c>
      <c r="PDU989" s="16" t="s">
        <v>1487</v>
      </c>
      <c r="PDV989" s="16" t="s">
        <v>1487</v>
      </c>
      <c r="PDW989" s="16" t="s">
        <v>1487</v>
      </c>
      <c r="PDX989" s="16" t="s">
        <v>1487</v>
      </c>
      <c r="PDY989" s="16" t="s">
        <v>1487</v>
      </c>
      <c r="PDZ989" s="16" t="s">
        <v>1487</v>
      </c>
      <c r="PEA989" s="16" t="s">
        <v>1487</v>
      </c>
      <c r="PEB989" s="16" t="s">
        <v>1487</v>
      </c>
      <c r="PEC989" s="16" t="s">
        <v>1487</v>
      </c>
      <c r="PED989" s="16" t="s">
        <v>1487</v>
      </c>
      <c r="PEE989" s="16" t="s">
        <v>1487</v>
      </c>
      <c r="PEF989" s="16" t="s">
        <v>1487</v>
      </c>
      <c r="PEG989" s="16" t="s">
        <v>1487</v>
      </c>
      <c r="PEH989" s="16" t="s">
        <v>1487</v>
      </c>
      <c r="PEI989" s="16" t="s">
        <v>1487</v>
      </c>
      <c r="PEJ989" s="16" t="s">
        <v>1487</v>
      </c>
      <c r="PEK989" s="16" t="s">
        <v>1487</v>
      </c>
      <c r="PEL989" s="16" t="s">
        <v>1487</v>
      </c>
      <c r="PEM989" s="16" t="s">
        <v>1487</v>
      </c>
      <c r="PEN989" s="16" t="s">
        <v>1487</v>
      </c>
      <c r="PEO989" s="16" t="s">
        <v>1487</v>
      </c>
      <c r="PEP989" s="16" t="s">
        <v>1487</v>
      </c>
      <c r="PEQ989" s="16" t="s">
        <v>1487</v>
      </c>
      <c r="PER989" s="16" t="s">
        <v>1487</v>
      </c>
      <c r="PES989" s="16" t="s">
        <v>1487</v>
      </c>
      <c r="PET989" s="16" t="s">
        <v>1487</v>
      </c>
      <c r="PEU989" s="16" t="s">
        <v>1487</v>
      </c>
      <c r="PEV989" s="16" t="s">
        <v>1487</v>
      </c>
      <c r="PEW989" s="16" t="s">
        <v>1487</v>
      </c>
      <c r="PEX989" s="16" t="s">
        <v>1487</v>
      </c>
      <c r="PEY989" s="16" t="s">
        <v>1487</v>
      </c>
      <c r="PEZ989" s="16" t="s">
        <v>1487</v>
      </c>
      <c r="PFA989" s="16" t="s">
        <v>1487</v>
      </c>
      <c r="PFB989" s="16" t="s">
        <v>1487</v>
      </c>
      <c r="PFC989" s="16" t="s">
        <v>1487</v>
      </c>
      <c r="PFD989" s="16" t="s">
        <v>1487</v>
      </c>
      <c r="PFE989" s="16" t="s">
        <v>1487</v>
      </c>
      <c r="PFF989" s="16" t="s">
        <v>1487</v>
      </c>
      <c r="PFG989" s="16" t="s">
        <v>1487</v>
      </c>
      <c r="PFH989" s="16" t="s">
        <v>1487</v>
      </c>
      <c r="PFI989" s="16" t="s">
        <v>1487</v>
      </c>
      <c r="PFJ989" s="16" t="s">
        <v>1487</v>
      </c>
      <c r="PFK989" s="16" t="s">
        <v>1487</v>
      </c>
      <c r="PFL989" s="16" t="s">
        <v>1487</v>
      </c>
      <c r="PFM989" s="16" t="s">
        <v>1487</v>
      </c>
      <c r="PFN989" s="16" t="s">
        <v>1487</v>
      </c>
      <c r="PFO989" s="16" t="s">
        <v>1487</v>
      </c>
      <c r="PFP989" s="16" t="s">
        <v>1487</v>
      </c>
      <c r="PFQ989" s="16" t="s">
        <v>1487</v>
      </c>
      <c r="PFR989" s="16" t="s">
        <v>1487</v>
      </c>
      <c r="PFS989" s="16" t="s">
        <v>1487</v>
      </c>
      <c r="PFT989" s="16" t="s">
        <v>1487</v>
      </c>
      <c r="PFU989" s="16" t="s">
        <v>1487</v>
      </c>
      <c r="PFV989" s="16" t="s">
        <v>1487</v>
      </c>
      <c r="PFW989" s="16" t="s">
        <v>1487</v>
      </c>
      <c r="PFX989" s="16" t="s">
        <v>1487</v>
      </c>
      <c r="PFY989" s="16" t="s">
        <v>1487</v>
      </c>
      <c r="PFZ989" s="16" t="s">
        <v>1487</v>
      </c>
      <c r="PGA989" s="16" t="s">
        <v>1487</v>
      </c>
      <c r="PGB989" s="16" t="s">
        <v>1487</v>
      </c>
      <c r="PGC989" s="16" t="s">
        <v>1487</v>
      </c>
      <c r="PGD989" s="16" t="s">
        <v>1487</v>
      </c>
      <c r="PGE989" s="16" t="s">
        <v>1487</v>
      </c>
      <c r="PGF989" s="16" t="s">
        <v>1487</v>
      </c>
      <c r="PGG989" s="16" t="s">
        <v>1487</v>
      </c>
      <c r="PGH989" s="16" t="s">
        <v>1487</v>
      </c>
      <c r="PGI989" s="16" t="s">
        <v>1487</v>
      </c>
      <c r="PGJ989" s="16" t="s">
        <v>1487</v>
      </c>
      <c r="PGK989" s="16" t="s">
        <v>1487</v>
      </c>
      <c r="PGL989" s="16" t="s">
        <v>1487</v>
      </c>
      <c r="PGM989" s="16" t="s">
        <v>1487</v>
      </c>
      <c r="PGN989" s="16" t="s">
        <v>1487</v>
      </c>
      <c r="PGO989" s="16" t="s">
        <v>1487</v>
      </c>
      <c r="PGP989" s="16" t="s">
        <v>1487</v>
      </c>
      <c r="PGQ989" s="16" t="s">
        <v>1487</v>
      </c>
      <c r="PGR989" s="16" t="s">
        <v>1487</v>
      </c>
      <c r="PGS989" s="16" t="s">
        <v>1487</v>
      </c>
      <c r="PGT989" s="16" t="s">
        <v>1487</v>
      </c>
      <c r="PGU989" s="16" t="s">
        <v>1487</v>
      </c>
      <c r="PGV989" s="16" t="s">
        <v>1487</v>
      </c>
      <c r="PGW989" s="16" t="s">
        <v>1487</v>
      </c>
      <c r="PGX989" s="16" t="s">
        <v>1487</v>
      </c>
      <c r="PGY989" s="16" t="s">
        <v>1487</v>
      </c>
      <c r="PGZ989" s="16" t="s">
        <v>1487</v>
      </c>
      <c r="PHA989" s="16" t="s">
        <v>1487</v>
      </c>
      <c r="PHB989" s="16" t="s">
        <v>1487</v>
      </c>
      <c r="PHC989" s="16" t="s">
        <v>1487</v>
      </c>
      <c r="PHD989" s="16" t="s">
        <v>1487</v>
      </c>
      <c r="PHE989" s="16" t="s">
        <v>1487</v>
      </c>
      <c r="PHF989" s="16" t="s">
        <v>1487</v>
      </c>
      <c r="PHG989" s="16" t="s">
        <v>1487</v>
      </c>
      <c r="PHH989" s="16" t="s">
        <v>1487</v>
      </c>
      <c r="PHI989" s="16" t="s">
        <v>1487</v>
      </c>
      <c r="PHJ989" s="16" t="s">
        <v>1487</v>
      </c>
      <c r="PHK989" s="16" t="s">
        <v>1487</v>
      </c>
      <c r="PHL989" s="16" t="s">
        <v>1487</v>
      </c>
      <c r="PHM989" s="16" t="s">
        <v>1487</v>
      </c>
      <c r="PHN989" s="16" t="s">
        <v>1487</v>
      </c>
      <c r="PHO989" s="16" t="s">
        <v>1487</v>
      </c>
      <c r="PHP989" s="16" t="s">
        <v>1487</v>
      </c>
      <c r="PHQ989" s="16" t="s">
        <v>1487</v>
      </c>
      <c r="PHR989" s="16" t="s">
        <v>1487</v>
      </c>
      <c r="PHS989" s="16" t="s">
        <v>1487</v>
      </c>
      <c r="PHT989" s="16" t="s">
        <v>1487</v>
      </c>
      <c r="PHU989" s="16" t="s">
        <v>1487</v>
      </c>
      <c r="PHV989" s="16" t="s">
        <v>1487</v>
      </c>
      <c r="PHW989" s="16" t="s">
        <v>1487</v>
      </c>
      <c r="PHX989" s="16" t="s">
        <v>1487</v>
      </c>
      <c r="PHY989" s="16" t="s">
        <v>1487</v>
      </c>
      <c r="PHZ989" s="16" t="s">
        <v>1487</v>
      </c>
      <c r="PIA989" s="16" t="s">
        <v>1487</v>
      </c>
      <c r="PIB989" s="16" t="s">
        <v>1487</v>
      </c>
      <c r="PIC989" s="16" t="s">
        <v>1487</v>
      </c>
      <c r="PID989" s="16" t="s">
        <v>1487</v>
      </c>
      <c r="PIE989" s="16" t="s">
        <v>1487</v>
      </c>
      <c r="PIF989" s="16" t="s">
        <v>1487</v>
      </c>
      <c r="PIG989" s="16" t="s">
        <v>1487</v>
      </c>
      <c r="PIH989" s="16" t="s">
        <v>1487</v>
      </c>
      <c r="PII989" s="16" t="s">
        <v>1487</v>
      </c>
      <c r="PIJ989" s="16" t="s">
        <v>1487</v>
      </c>
      <c r="PIK989" s="16" t="s">
        <v>1487</v>
      </c>
      <c r="PIL989" s="16" t="s">
        <v>1487</v>
      </c>
      <c r="PIM989" s="16" t="s">
        <v>1487</v>
      </c>
      <c r="PIN989" s="16" t="s">
        <v>1487</v>
      </c>
      <c r="PIO989" s="16" t="s">
        <v>1487</v>
      </c>
      <c r="PIP989" s="16" t="s">
        <v>1487</v>
      </c>
      <c r="PIQ989" s="16" t="s">
        <v>1487</v>
      </c>
      <c r="PIR989" s="16" t="s">
        <v>1487</v>
      </c>
      <c r="PIS989" s="16" t="s">
        <v>1487</v>
      </c>
      <c r="PIT989" s="16" t="s">
        <v>1487</v>
      </c>
      <c r="PIU989" s="16" t="s">
        <v>1487</v>
      </c>
      <c r="PIV989" s="16" t="s">
        <v>1487</v>
      </c>
      <c r="PIW989" s="16" t="s">
        <v>1487</v>
      </c>
      <c r="PIX989" s="16" t="s">
        <v>1487</v>
      </c>
      <c r="PIY989" s="16" t="s">
        <v>1487</v>
      </c>
      <c r="PIZ989" s="16" t="s">
        <v>1487</v>
      </c>
      <c r="PJA989" s="16" t="s">
        <v>1487</v>
      </c>
      <c r="PJB989" s="16" t="s">
        <v>1487</v>
      </c>
      <c r="PJC989" s="16" t="s">
        <v>1487</v>
      </c>
      <c r="PJD989" s="16" t="s">
        <v>1487</v>
      </c>
      <c r="PJE989" s="16" t="s">
        <v>1487</v>
      </c>
      <c r="PJF989" s="16" t="s">
        <v>1487</v>
      </c>
      <c r="PJG989" s="16" t="s">
        <v>1487</v>
      </c>
      <c r="PJH989" s="16" t="s">
        <v>1487</v>
      </c>
      <c r="PJI989" s="16" t="s">
        <v>1487</v>
      </c>
      <c r="PJJ989" s="16" t="s">
        <v>1487</v>
      </c>
      <c r="PJK989" s="16" t="s">
        <v>1487</v>
      </c>
      <c r="PJL989" s="16" t="s">
        <v>1487</v>
      </c>
      <c r="PJM989" s="16" t="s">
        <v>1487</v>
      </c>
      <c r="PJN989" s="16" t="s">
        <v>1487</v>
      </c>
      <c r="PJO989" s="16" t="s">
        <v>1487</v>
      </c>
      <c r="PJP989" s="16" t="s">
        <v>1487</v>
      </c>
      <c r="PJQ989" s="16" t="s">
        <v>1487</v>
      </c>
      <c r="PJR989" s="16" t="s">
        <v>1487</v>
      </c>
      <c r="PJS989" s="16" t="s">
        <v>1487</v>
      </c>
      <c r="PJT989" s="16" t="s">
        <v>1487</v>
      </c>
      <c r="PJU989" s="16" t="s">
        <v>1487</v>
      </c>
      <c r="PJV989" s="16" t="s">
        <v>1487</v>
      </c>
      <c r="PJW989" s="16" t="s">
        <v>1487</v>
      </c>
      <c r="PJX989" s="16" t="s">
        <v>1487</v>
      </c>
      <c r="PJY989" s="16" t="s">
        <v>1487</v>
      </c>
      <c r="PJZ989" s="16" t="s">
        <v>1487</v>
      </c>
      <c r="PKA989" s="16" t="s">
        <v>1487</v>
      </c>
      <c r="PKB989" s="16" t="s">
        <v>1487</v>
      </c>
      <c r="PKC989" s="16" t="s">
        <v>1487</v>
      </c>
      <c r="PKD989" s="16" t="s">
        <v>1487</v>
      </c>
      <c r="PKE989" s="16" t="s">
        <v>1487</v>
      </c>
      <c r="PKF989" s="16" t="s">
        <v>1487</v>
      </c>
      <c r="PKG989" s="16" t="s">
        <v>1487</v>
      </c>
      <c r="PKH989" s="16" t="s">
        <v>1487</v>
      </c>
      <c r="PKI989" s="16" t="s">
        <v>1487</v>
      </c>
      <c r="PKJ989" s="16" t="s">
        <v>1487</v>
      </c>
      <c r="PKK989" s="16" t="s">
        <v>1487</v>
      </c>
      <c r="PKL989" s="16" t="s">
        <v>1487</v>
      </c>
      <c r="PKM989" s="16" t="s">
        <v>1487</v>
      </c>
      <c r="PKN989" s="16" t="s">
        <v>1487</v>
      </c>
      <c r="PKO989" s="16" t="s">
        <v>1487</v>
      </c>
      <c r="PKP989" s="16" t="s">
        <v>1487</v>
      </c>
      <c r="PKQ989" s="16" t="s">
        <v>1487</v>
      </c>
      <c r="PKR989" s="16" t="s">
        <v>1487</v>
      </c>
      <c r="PKS989" s="16" t="s">
        <v>1487</v>
      </c>
      <c r="PKT989" s="16" t="s">
        <v>1487</v>
      </c>
      <c r="PKU989" s="16" t="s">
        <v>1487</v>
      </c>
      <c r="PKV989" s="16" t="s">
        <v>1487</v>
      </c>
      <c r="PKW989" s="16" t="s">
        <v>1487</v>
      </c>
      <c r="PKX989" s="16" t="s">
        <v>1487</v>
      </c>
      <c r="PKY989" s="16" t="s">
        <v>1487</v>
      </c>
      <c r="PKZ989" s="16" t="s">
        <v>1487</v>
      </c>
      <c r="PLA989" s="16" t="s">
        <v>1487</v>
      </c>
      <c r="PLB989" s="16" t="s">
        <v>1487</v>
      </c>
      <c r="PLC989" s="16" t="s">
        <v>1487</v>
      </c>
      <c r="PLD989" s="16" t="s">
        <v>1487</v>
      </c>
      <c r="PLE989" s="16" t="s">
        <v>1487</v>
      </c>
      <c r="PLF989" s="16" t="s">
        <v>1487</v>
      </c>
      <c r="PLG989" s="16" t="s">
        <v>1487</v>
      </c>
      <c r="PLH989" s="16" t="s">
        <v>1487</v>
      </c>
      <c r="PLI989" s="16" t="s">
        <v>1487</v>
      </c>
      <c r="PLJ989" s="16" t="s">
        <v>1487</v>
      </c>
      <c r="PLK989" s="16" t="s">
        <v>1487</v>
      </c>
      <c r="PLL989" s="16" t="s">
        <v>1487</v>
      </c>
      <c r="PLM989" s="16" t="s">
        <v>1487</v>
      </c>
      <c r="PLN989" s="16" t="s">
        <v>1487</v>
      </c>
      <c r="PLO989" s="16" t="s">
        <v>1487</v>
      </c>
      <c r="PLP989" s="16" t="s">
        <v>1487</v>
      </c>
      <c r="PLQ989" s="16" t="s">
        <v>1487</v>
      </c>
      <c r="PLR989" s="16" t="s">
        <v>1487</v>
      </c>
      <c r="PLS989" s="16" t="s">
        <v>1487</v>
      </c>
      <c r="PLT989" s="16" t="s">
        <v>1487</v>
      </c>
      <c r="PLU989" s="16" t="s">
        <v>1487</v>
      </c>
      <c r="PLV989" s="16" t="s">
        <v>1487</v>
      </c>
      <c r="PLW989" s="16" t="s">
        <v>1487</v>
      </c>
      <c r="PLX989" s="16" t="s">
        <v>1487</v>
      </c>
      <c r="PLY989" s="16" t="s">
        <v>1487</v>
      </c>
      <c r="PLZ989" s="16" t="s">
        <v>1487</v>
      </c>
      <c r="PMA989" s="16" t="s">
        <v>1487</v>
      </c>
      <c r="PMB989" s="16" t="s">
        <v>1487</v>
      </c>
      <c r="PMC989" s="16" t="s">
        <v>1487</v>
      </c>
      <c r="PMD989" s="16" t="s">
        <v>1487</v>
      </c>
      <c r="PME989" s="16" t="s">
        <v>1487</v>
      </c>
      <c r="PMF989" s="16" t="s">
        <v>1487</v>
      </c>
      <c r="PMG989" s="16" t="s">
        <v>1487</v>
      </c>
      <c r="PMH989" s="16" t="s">
        <v>1487</v>
      </c>
      <c r="PMI989" s="16" t="s">
        <v>1487</v>
      </c>
      <c r="PMJ989" s="16" t="s">
        <v>1487</v>
      </c>
      <c r="PMK989" s="16" t="s">
        <v>1487</v>
      </c>
      <c r="PML989" s="16" t="s">
        <v>1487</v>
      </c>
      <c r="PMM989" s="16" t="s">
        <v>1487</v>
      </c>
      <c r="PMN989" s="16" t="s">
        <v>1487</v>
      </c>
      <c r="PMO989" s="16" t="s">
        <v>1487</v>
      </c>
      <c r="PMP989" s="16" t="s">
        <v>1487</v>
      </c>
      <c r="PMQ989" s="16" t="s">
        <v>1487</v>
      </c>
      <c r="PMR989" s="16" t="s">
        <v>1487</v>
      </c>
      <c r="PMS989" s="16" t="s">
        <v>1487</v>
      </c>
      <c r="PMT989" s="16" t="s">
        <v>1487</v>
      </c>
      <c r="PMU989" s="16" t="s">
        <v>1487</v>
      </c>
      <c r="PMV989" s="16" t="s">
        <v>1487</v>
      </c>
      <c r="PMW989" s="16" t="s">
        <v>1487</v>
      </c>
      <c r="PMX989" s="16" t="s">
        <v>1487</v>
      </c>
      <c r="PMY989" s="16" t="s">
        <v>1487</v>
      </c>
      <c r="PMZ989" s="16" t="s">
        <v>1487</v>
      </c>
      <c r="PNA989" s="16" t="s">
        <v>1487</v>
      </c>
      <c r="PNB989" s="16" t="s">
        <v>1487</v>
      </c>
      <c r="PNC989" s="16" t="s">
        <v>1487</v>
      </c>
      <c r="PND989" s="16" t="s">
        <v>1487</v>
      </c>
      <c r="PNE989" s="16" t="s">
        <v>1487</v>
      </c>
      <c r="PNF989" s="16" t="s">
        <v>1487</v>
      </c>
      <c r="PNG989" s="16" t="s">
        <v>1487</v>
      </c>
      <c r="PNH989" s="16" t="s">
        <v>1487</v>
      </c>
      <c r="PNI989" s="16" t="s">
        <v>1487</v>
      </c>
      <c r="PNJ989" s="16" t="s">
        <v>1487</v>
      </c>
      <c r="PNK989" s="16" t="s">
        <v>1487</v>
      </c>
      <c r="PNL989" s="16" t="s">
        <v>1487</v>
      </c>
      <c r="PNM989" s="16" t="s">
        <v>1487</v>
      </c>
      <c r="PNN989" s="16" t="s">
        <v>1487</v>
      </c>
      <c r="PNO989" s="16" t="s">
        <v>1487</v>
      </c>
      <c r="PNP989" s="16" t="s">
        <v>1487</v>
      </c>
      <c r="PNQ989" s="16" t="s">
        <v>1487</v>
      </c>
      <c r="PNR989" s="16" t="s">
        <v>1487</v>
      </c>
      <c r="PNS989" s="16" t="s">
        <v>1487</v>
      </c>
      <c r="PNT989" s="16" t="s">
        <v>1487</v>
      </c>
      <c r="PNU989" s="16" t="s">
        <v>1487</v>
      </c>
      <c r="PNV989" s="16" t="s">
        <v>1487</v>
      </c>
      <c r="PNW989" s="16" t="s">
        <v>1487</v>
      </c>
      <c r="PNX989" s="16" t="s">
        <v>1487</v>
      </c>
      <c r="PNY989" s="16" t="s">
        <v>1487</v>
      </c>
      <c r="PNZ989" s="16" t="s">
        <v>1487</v>
      </c>
      <c r="POA989" s="16" t="s">
        <v>1487</v>
      </c>
      <c r="POB989" s="16" t="s">
        <v>1487</v>
      </c>
      <c r="POC989" s="16" t="s">
        <v>1487</v>
      </c>
      <c r="POD989" s="16" t="s">
        <v>1487</v>
      </c>
      <c r="POE989" s="16" t="s">
        <v>1487</v>
      </c>
      <c r="POF989" s="16" t="s">
        <v>1487</v>
      </c>
      <c r="POG989" s="16" t="s">
        <v>1487</v>
      </c>
      <c r="POH989" s="16" t="s">
        <v>1487</v>
      </c>
      <c r="POI989" s="16" t="s">
        <v>1487</v>
      </c>
      <c r="POJ989" s="16" t="s">
        <v>1487</v>
      </c>
      <c r="POK989" s="16" t="s">
        <v>1487</v>
      </c>
      <c r="POL989" s="16" t="s">
        <v>1487</v>
      </c>
      <c r="POM989" s="16" t="s">
        <v>1487</v>
      </c>
      <c r="PON989" s="16" t="s">
        <v>1487</v>
      </c>
      <c r="POO989" s="16" t="s">
        <v>1487</v>
      </c>
      <c r="POP989" s="16" t="s">
        <v>1487</v>
      </c>
      <c r="POQ989" s="16" t="s">
        <v>1487</v>
      </c>
      <c r="POR989" s="16" t="s">
        <v>1487</v>
      </c>
      <c r="POS989" s="16" t="s">
        <v>1487</v>
      </c>
      <c r="POT989" s="16" t="s">
        <v>1487</v>
      </c>
      <c r="POU989" s="16" t="s">
        <v>1487</v>
      </c>
      <c r="POV989" s="16" t="s">
        <v>1487</v>
      </c>
      <c r="POW989" s="16" t="s">
        <v>1487</v>
      </c>
      <c r="POX989" s="16" t="s">
        <v>1487</v>
      </c>
      <c r="POY989" s="16" t="s">
        <v>1487</v>
      </c>
      <c r="POZ989" s="16" t="s">
        <v>1487</v>
      </c>
      <c r="PPA989" s="16" t="s">
        <v>1487</v>
      </c>
      <c r="PPB989" s="16" t="s">
        <v>1487</v>
      </c>
      <c r="PPC989" s="16" t="s">
        <v>1487</v>
      </c>
      <c r="PPD989" s="16" t="s">
        <v>1487</v>
      </c>
      <c r="PPE989" s="16" t="s">
        <v>1487</v>
      </c>
      <c r="PPF989" s="16" t="s">
        <v>1487</v>
      </c>
      <c r="PPG989" s="16" t="s">
        <v>1487</v>
      </c>
      <c r="PPH989" s="16" t="s">
        <v>1487</v>
      </c>
      <c r="PPI989" s="16" t="s">
        <v>1487</v>
      </c>
      <c r="PPJ989" s="16" t="s">
        <v>1487</v>
      </c>
      <c r="PPK989" s="16" t="s">
        <v>1487</v>
      </c>
      <c r="PPL989" s="16" t="s">
        <v>1487</v>
      </c>
      <c r="PPM989" s="16" t="s">
        <v>1487</v>
      </c>
      <c r="PPN989" s="16" t="s">
        <v>1487</v>
      </c>
      <c r="PPO989" s="16" t="s">
        <v>1487</v>
      </c>
      <c r="PPP989" s="16" t="s">
        <v>1487</v>
      </c>
      <c r="PPQ989" s="16" t="s">
        <v>1487</v>
      </c>
      <c r="PPR989" s="16" t="s">
        <v>1487</v>
      </c>
      <c r="PPS989" s="16" t="s">
        <v>1487</v>
      </c>
      <c r="PPT989" s="16" t="s">
        <v>1487</v>
      </c>
      <c r="PPU989" s="16" t="s">
        <v>1487</v>
      </c>
      <c r="PPV989" s="16" t="s">
        <v>1487</v>
      </c>
      <c r="PPW989" s="16" t="s">
        <v>1487</v>
      </c>
      <c r="PPX989" s="16" t="s">
        <v>1487</v>
      </c>
      <c r="PPY989" s="16" t="s">
        <v>1487</v>
      </c>
      <c r="PPZ989" s="16" t="s">
        <v>1487</v>
      </c>
      <c r="PQA989" s="16" t="s">
        <v>1487</v>
      </c>
      <c r="PQB989" s="16" t="s">
        <v>1487</v>
      </c>
      <c r="PQC989" s="16" t="s">
        <v>1487</v>
      </c>
      <c r="PQD989" s="16" t="s">
        <v>1487</v>
      </c>
      <c r="PQE989" s="16" t="s">
        <v>1487</v>
      </c>
      <c r="PQF989" s="16" t="s">
        <v>1487</v>
      </c>
      <c r="PQG989" s="16" t="s">
        <v>1487</v>
      </c>
      <c r="PQH989" s="16" t="s">
        <v>1487</v>
      </c>
      <c r="PQI989" s="16" t="s">
        <v>1487</v>
      </c>
      <c r="PQJ989" s="16" t="s">
        <v>1487</v>
      </c>
      <c r="PQK989" s="16" t="s">
        <v>1487</v>
      </c>
      <c r="PQL989" s="16" t="s">
        <v>1487</v>
      </c>
      <c r="PQM989" s="16" t="s">
        <v>1487</v>
      </c>
      <c r="PQN989" s="16" t="s">
        <v>1487</v>
      </c>
      <c r="PQO989" s="16" t="s">
        <v>1487</v>
      </c>
      <c r="PQP989" s="16" t="s">
        <v>1487</v>
      </c>
      <c r="PQQ989" s="16" t="s">
        <v>1487</v>
      </c>
      <c r="PQR989" s="16" t="s">
        <v>1487</v>
      </c>
      <c r="PQS989" s="16" t="s">
        <v>1487</v>
      </c>
      <c r="PQT989" s="16" t="s">
        <v>1487</v>
      </c>
      <c r="PQU989" s="16" t="s">
        <v>1487</v>
      </c>
      <c r="PQV989" s="16" t="s">
        <v>1487</v>
      </c>
      <c r="PQW989" s="16" t="s">
        <v>1487</v>
      </c>
      <c r="PQX989" s="16" t="s">
        <v>1487</v>
      </c>
      <c r="PQY989" s="16" t="s">
        <v>1487</v>
      </c>
      <c r="PQZ989" s="16" t="s">
        <v>1487</v>
      </c>
      <c r="PRA989" s="16" t="s">
        <v>1487</v>
      </c>
      <c r="PRB989" s="16" t="s">
        <v>1487</v>
      </c>
      <c r="PRC989" s="16" t="s">
        <v>1487</v>
      </c>
      <c r="PRD989" s="16" t="s">
        <v>1487</v>
      </c>
      <c r="PRE989" s="16" t="s">
        <v>1487</v>
      </c>
      <c r="PRF989" s="16" t="s">
        <v>1487</v>
      </c>
      <c r="PRG989" s="16" t="s">
        <v>1487</v>
      </c>
      <c r="PRH989" s="16" t="s">
        <v>1487</v>
      </c>
      <c r="PRI989" s="16" t="s">
        <v>1487</v>
      </c>
      <c r="PRJ989" s="16" t="s">
        <v>1487</v>
      </c>
      <c r="PRK989" s="16" t="s">
        <v>1487</v>
      </c>
      <c r="PRL989" s="16" t="s">
        <v>1487</v>
      </c>
      <c r="PRM989" s="16" t="s">
        <v>1487</v>
      </c>
      <c r="PRN989" s="16" t="s">
        <v>1487</v>
      </c>
      <c r="PRO989" s="16" t="s">
        <v>1487</v>
      </c>
      <c r="PRP989" s="16" t="s">
        <v>1487</v>
      </c>
      <c r="PRQ989" s="16" t="s">
        <v>1487</v>
      </c>
      <c r="PRR989" s="16" t="s">
        <v>1487</v>
      </c>
      <c r="PRS989" s="16" t="s">
        <v>1487</v>
      </c>
      <c r="PRT989" s="16" t="s">
        <v>1487</v>
      </c>
      <c r="PRU989" s="16" t="s">
        <v>1487</v>
      </c>
      <c r="PRV989" s="16" t="s">
        <v>1487</v>
      </c>
      <c r="PRW989" s="16" t="s">
        <v>1487</v>
      </c>
      <c r="PRX989" s="16" t="s">
        <v>1487</v>
      </c>
      <c r="PRY989" s="16" t="s">
        <v>1487</v>
      </c>
      <c r="PRZ989" s="16" t="s">
        <v>1487</v>
      </c>
      <c r="PSA989" s="16" t="s">
        <v>1487</v>
      </c>
      <c r="PSB989" s="16" t="s">
        <v>1487</v>
      </c>
      <c r="PSC989" s="16" t="s">
        <v>1487</v>
      </c>
      <c r="PSD989" s="16" t="s">
        <v>1487</v>
      </c>
      <c r="PSE989" s="16" t="s">
        <v>1487</v>
      </c>
      <c r="PSF989" s="16" t="s">
        <v>1487</v>
      </c>
      <c r="PSG989" s="16" t="s">
        <v>1487</v>
      </c>
      <c r="PSH989" s="16" t="s">
        <v>1487</v>
      </c>
      <c r="PSI989" s="16" t="s">
        <v>1487</v>
      </c>
      <c r="PSJ989" s="16" t="s">
        <v>1487</v>
      </c>
      <c r="PSK989" s="16" t="s">
        <v>1487</v>
      </c>
      <c r="PSL989" s="16" t="s">
        <v>1487</v>
      </c>
      <c r="PSM989" s="16" t="s">
        <v>1487</v>
      </c>
      <c r="PSN989" s="16" t="s">
        <v>1487</v>
      </c>
      <c r="PSO989" s="16" t="s">
        <v>1487</v>
      </c>
      <c r="PSP989" s="16" t="s">
        <v>1487</v>
      </c>
      <c r="PSQ989" s="16" t="s">
        <v>1487</v>
      </c>
      <c r="PSR989" s="16" t="s">
        <v>1487</v>
      </c>
      <c r="PSS989" s="16" t="s">
        <v>1487</v>
      </c>
      <c r="PST989" s="16" t="s">
        <v>1487</v>
      </c>
      <c r="PSU989" s="16" t="s">
        <v>1487</v>
      </c>
      <c r="PSV989" s="16" t="s">
        <v>1487</v>
      </c>
      <c r="PSW989" s="16" t="s">
        <v>1487</v>
      </c>
      <c r="PSX989" s="16" t="s">
        <v>1487</v>
      </c>
      <c r="PSY989" s="16" t="s">
        <v>1487</v>
      </c>
      <c r="PSZ989" s="16" t="s">
        <v>1487</v>
      </c>
      <c r="PTA989" s="16" t="s">
        <v>1487</v>
      </c>
      <c r="PTB989" s="16" t="s">
        <v>1487</v>
      </c>
      <c r="PTC989" s="16" t="s">
        <v>1487</v>
      </c>
      <c r="PTD989" s="16" t="s">
        <v>1487</v>
      </c>
      <c r="PTE989" s="16" t="s">
        <v>1487</v>
      </c>
      <c r="PTF989" s="16" t="s">
        <v>1487</v>
      </c>
      <c r="PTG989" s="16" t="s">
        <v>1487</v>
      </c>
      <c r="PTH989" s="16" t="s">
        <v>1487</v>
      </c>
      <c r="PTI989" s="16" t="s">
        <v>1487</v>
      </c>
      <c r="PTJ989" s="16" t="s">
        <v>1487</v>
      </c>
      <c r="PTK989" s="16" t="s">
        <v>1487</v>
      </c>
      <c r="PTL989" s="16" t="s">
        <v>1487</v>
      </c>
      <c r="PTM989" s="16" t="s">
        <v>1487</v>
      </c>
      <c r="PTN989" s="16" t="s">
        <v>1487</v>
      </c>
      <c r="PTO989" s="16" t="s">
        <v>1487</v>
      </c>
      <c r="PTP989" s="16" t="s">
        <v>1487</v>
      </c>
      <c r="PTQ989" s="16" t="s">
        <v>1487</v>
      </c>
      <c r="PTR989" s="16" t="s">
        <v>1487</v>
      </c>
      <c r="PTS989" s="16" t="s">
        <v>1487</v>
      </c>
      <c r="PTT989" s="16" t="s">
        <v>1487</v>
      </c>
      <c r="PTU989" s="16" t="s">
        <v>1487</v>
      </c>
      <c r="PTV989" s="16" t="s">
        <v>1487</v>
      </c>
      <c r="PTW989" s="16" t="s">
        <v>1487</v>
      </c>
      <c r="PTX989" s="16" t="s">
        <v>1487</v>
      </c>
      <c r="PTY989" s="16" t="s">
        <v>1487</v>
      </c>
      <c r="PTZ989" s="16" t="s">
        <v>1487</v>
      </c>
      <c r="PUA989" s="16" t="s">
        <v>1487</v>
      </c>
      <c r="PUB989" s="16" t="s">
        <v>1487</v>
      </c>
      <c r="PUC989" s="16" t="s">
        <v>1487</v>
      </c>
      <c r="PUD989" s="16" t="s">
        <v>1487</v>
      </c>
      <c r="PUE989" s="16" t="s">
        <v>1487</v>
      </c>
      <c r="PUF989" s="16" t="s">
        <v>1487</v>
      </c>
      <c r="PUG989" s="16" t="s">
        <v>1487</v>
      </c>
      <c r="PUH989" s="16" t="s">
        <v>1487</v>
      </c>
      <c r="PUI989" s="16" t="s">
        <v>1487</v>
      </c>
      <c r="PUJ989" s="16" t="s">
        <v>1487</v>
      </c>
      <c r="PUK989" s="16" t="s">
        <v>1487</v>
      </c>
      <c r="PUL989" s="16" t="s">
        <v>1487</v>
      </c>
      <c r="PUM989" s="16" t="s">
        <v>1487</v>
      </c>
      <c r="PUN989" s="16" t="s">
        <v>1487</v>
      </c>
      <c r="PUO989" s="16" t="s">
        <v>1487</v>
      </c>
      <c r="PUP989" s="16" t="s">
        <v>1487</v>
      </c>
      <c r="PUQ989" s="16" t="s">
        <v>1487</v>
      </c>
      <c r="PUR989" s="16" t="s">
        <v>1487</v>
      </c>
      <c r="PUS989" s="16" t="s">
        <v>1487</v>
      </c>
      <c r="PUT989" s="16" t="s">
        <v>1487</v>
      </c>
      <c r="PUU989" s="16" t="s">
        <v>1487</v>
      </c>
      <c r="PUV989" s="16" t="s">
        <v>1487</v>
      </c>
      <c r="PUW989" s="16" t="s">
        <v>1487</v>
      </c>
      <c r="PUX989" s="16" t="s">
        <v>1487</v>
      </c>
      <c r="PUY989" s="16" t="s">
        <v>1487</v>
      </c>
      <c r="PUZ989" s="16" t="s">
        <v>1487</v>
      </c>
      <c r="PVA989" s="16" t="s">
        <v>1487</v>
      </c>
      <c r="PVB989" s="16" t="s">
        <v>1487</v>
      </c>
      <c r="PVC989" s="16" t="s">
        <v>1487</v>
      </c>
      <c r="PVD989" s="16" t="s">
        <v>1487</v>
      </c>
      <c r="PVE989" s="16" t="s">
        <v>1487</v>
      </c>
      <c r="PVF989" s="16" t="s">
        <v>1487</v>
      </c>
      <c r="PVG989" s="16" t="s">
        <v>1487</v>
      </c>
      <c r="PVH989" s="16" t="s">
        <v>1487</v>
      </c>
      <c r="PVI989" s="16" t="s">
        <v>1487</v>
      </c>
      <c r="PVJ989" s="16" t="s">
        <v>1487</v>
      </c>
      <c r="PVK989" s="16" t="s">
        <v>1487</v>
      </c>
      <c r="PVL989" s="16" t="s">
        <v>1487</v>
      </c>
      <c r="PVM989" s="16" t="s">
        <v>1487</v>
      </c>
      <c r="PVN989" s="16" t="s">
        <v>1487</v>
      </c>
      <c r="PVO989" s="16" t="s">
        <v>1487</v>
      </c>
      <c r="PVP989" s="16" t="s">
        <v>1487</v>
      </c>
      <c r="PVQ989" s="16" t="s">
        <v>1487</v>
      </c>
      <c r="PVR989" s="16" t="s">
        <v>1487</v>
      </c>
      <c r="PVS989" s="16" t="s">
        <v>1487</v>
      </c>
      <c r="PVT989" s="16" t="s">
        <v>1487</v>
      </c>
      <c r="PVU989" s="16" t="s">
        <v>1487</v>
      </c>
      <c r="PVV989" s="16" t="s">
        <v>1487</v>
      </c>
      <c r="PVW989" s="16" t="s">
        <v>1487</v>
      </c>
      <c r="PVX989" s="16" t="s">
        <v>1487</v>
      </c>
      <c r="PVY989" s="16" t="s">
        <v>1487</v>
      </c>
      <c r="PVZ989" s="16" t="s">
        <v>1487</v>
      </c>
      <c r="PWA989" s="16" t="s">
        <v>1487</v>
      </c>
      <c r="PWB989" s="16" t="s">
        <v>1487</v>
      </c>
      <c r="PWC989" s="16" t="s">
        <v>1487</v>
      </c>
      <c r="PWD989" s="16" t="s">
        <v>1487</v>
      </c>
      <c r="PWE989" s="16" t="s">
        <v>1487</v>
      </c>
      <c r="PWF989" s="16" t="s">
        <v>1487</v>
      </c>
      <c r="PWG989" s="16" t="s">
        <v>1487</v>
      </c>
      <c r="PWH989" s="16" t="s">
        <v>1487</v>
      </c>
      <c r="PWI989" s="16" t="s">
        <v>1487</v>
      </c>
      <c r="PWJ989" s="16" t="s">
        <v>1487</v>
      </c>
      <c r="PWK989" s="16" t="s">
        <v>1487</v>
      </c>
      <c r="PWL989" s="16" t="s">
        <v>1487</v>
      </c>
      <c r="PWM989" s="16" t="s">
        <v>1487</v>
      </c>
      <c r="PWN989" s="16" t="s">
        <v>1487</v>
      </c>
      <c r="PWO989" s="16" t="s">
        <v>1487</v>
      </c>
      <c r="PWP989" s="16" t="s">
        <v>1487</v>
      </c>
      <c r="PWQ989" s="16" t="s">
        <v>1487</v>
      </c>
      <c r="PWR989" s="16" t="s">
        <v>1487</v>
      </c>
      <c r="PWS989" s="16" t="s">
        <v>1487</v>
      </c>
      <c r="PWT989" s="16" t="s">
        <v>1487</v>
      </c>
      <c r="PWU989" s="16" t="s">
        <v>1487</v>
      </c>
      <c r="PWV989" s="16" t="s">
        <v>1487</v>
      </c>
      <c r="PWW989" s="16" t="s">
        <v>1487</v>
      </c>
      <c r="PWX989" s="16" t="s">
        <v>1487</v>
      </c>
      <c r="PWY989" s="16" t="s">
        <v>1487</v>
      </c>
      <c r="PWZ989" s="16" t="s">
        <v>1487</v>
      </c>
      <c r="PXA989" s="16" t="s">
        <v>1487</v>
      </c>
      <c r="PXB989" s="16" t="s">
        <v>1487</v>
      </c>
      <c r="PXC989" s="16" t="s">
        <v>1487</v>
      </c>
      <c r="PXD989" s="16" t="s">
        <v>1487</v>
      </c>
      <c r="PXE989" s="16" t="s">
        <v>1487</v>
      </c>
      <c r="PXF989" s="16" t="s">
        <v>1487</v>
      </c>
      <c r="PXG989" s="16" t="s">
        <v>1487</v>
      </c>
      <c r="PXH989" s="16" t="s">
        <v>1487</v>
      </c>
      <c r="PXI989" s="16" t="s">
        <v>1487</v>
      </c>
      <c r="PXJ989" s="16" t="s">
        <v>1487</v>
      </c>
      <c r="PXK989" s="16" t="s">
        <v>1487</v>
      </c>
      <c r="PXL989" s="16" t="s">
        <v>1487</v>
      </c>
      <c r="PXM989" s="16" t="s">
        <v>1487</v>
      </c>
      <c r="PXN989" s="16" t="s">
        <v>1487</v>
      </c>
      <c r="PXO989" s="16" t="s">
        <v>1487</v>
      </c>
      <c r="PXP989" s="16" t="s">
        <v>1487</v>
      </c>
      <c r="PXQ989" s="16" t="s">
        <v>1487</v>
      </c>
      <c r="PXR989" s="16" t="s">
        <v>1487</v>
      </c>
      <c r="PXS989" s="16" t="s">
        <v>1487</v>
      </c>
      <c r="PXT989" s="16" t="s">
        <v>1487</v>
      </c>
      <c r="PXU989" s="16" t="s">
        <v>1487</v>
      </c>
      <c r="PXV989" s="16" t="s">
        <v>1487</v>
      </c>
      <c r="PXW989" s="16" t="s">
        <v>1487</v>
      </c>
      <c r="PXX989" s="16" t="s">
        <v>1487</v>
      </c>
      <c r="PXY989" s="16" t="s">
        <v>1487</v>
      </c>
      <c r="PXZ989" s="16" t="s">
        <v>1487</v>
      </c>
      <c r="PYA989" s="16" t="s">
        <v>1487</v>
      </c>
      <c r="PYB989" s="16" t="s">
        <v>1487</v>
      </c>
      <c r="PYC989" s="16" t="s">
        <v>1487</v>
      </c>
      <c r="PYD989" s="16" t="s">
        <v>1487</v>
      </c>
      <c r="PYE989" s="16" t="s">
        <v>1487</v>
      </c>
      <c r="PYF989" s="16" t="s">
        <v>1487</v>
      </c>
      <c r="PYG989" s="16" t="s">
        <v>1487</v>
      </c>
      <c r="PYH989" s="16" t="s">
        <v>1487</v>
      </c>
      <c r="PYI989" s="16" t="s">
        <v>1487</v>
      </c>
      <c r="PYJ989" s="16" t="s">
        <v>1487</v>
      </c>
      <c r="PYK989" s="16" t="s">
        <v>1487</v>
      </c>
      <c r="PYL989" s="16" t="s">
        <v>1487</v>
      </c>
      <c r="PYM989" s="16" t="s">
        <v>1487</v>
      </c>
      <c r="PYN989" s="16" t="s">
        <v>1487</v>
      </c>
      <c r="PYO989" s="16" t="s">
        <v>1487</v>
      </c>
      <c r="PYP989" s="16" t="s">
        <v>1487</v>
      </c>
      <c r="PYQ989" s="16" t="s">
        <v>1487</v>
      </c>
      <c r="PYR989" s="16" t="s">
        <v>1487</v>
      </c>
      <c r="PYS989" s="16" t="s">
        <v>1487</v>
      </c>
      <c r="PYT989" s="16" t="s">
        <v>1487</v>
      </c>
      <c r="PYU989" s="16" t="s">
        <v>1487</v>
      </c>
      <c r="PYV989" s="16" t="s">
        <v>1487</v>
      </c>
      <c r="PYW989" s="16" t="s">
        <v>1487</v>
      </c>
      <c r="PYX989" s="16" t="s">
        <v>1487</v>
      </c>
      <c r="PYY989" s="16" t="s">
        <v>1487</v>
      </c>
      <c r="PYZ989" s="16" t="s">
        <v>1487</v>
      </c>
      <c r="PZA989" s="16" t="s">
        <v>1487</v>
      </c>
      <c r="PZB989" s="16" t="s">
        <v>1487</v>
      </c>
      <c r="PZC989" s="16" t="s">
        <v>1487</v>
      </c>
      <c r="PZD989" s="16" t="s">
        <v>1487</v>
      </c>
      <c r="PZE989" s="16" t="s">
        <v>1487</v>
      </c>
      <c r="PZF989" s="16" t="s">
        <v>1487</v>
      </c>
      <c r="PZG989" s="16" t="s">
        <v>1487</v>
      </c>
      <c r="PZH989" s="16" t="s">
        <v>1487</v>
      </c>
      <c r="PZI989" s="16" t="s">
        <v>1487</v>
      </c>
      <c r="PZJ989" s="16" t="s">
        <v>1487</v>
      </c>
      <c r="PZK989" s="16" t="s">
        <v>1487</v>
      </c>
      <c r="PZL989" s="16" t="s">
        <v>1487</v>
      </c>
      <c r="PZM989" s="16" t="s">
        <v>1487</v>
      </c>
      <c r="PZN989" s="16" t="s">
        <v>1487</v>
      </c>
      <c r="PZO989" s="16" t="s">
        <v>1487</v>
      </c>
      <c r="PZP989" s="16" t="s">
        <v>1487</v>
      </c>
      <c r="PZQ989" s="16" t="s">
        <v>1487</v>
      </c>
      <c r="PZR989" s="16" t="s">
        <v>1487</v>
      </c>
      <c r="PZS989" s="16" t="s">
        <v>1487</v>
      </c>
      <c r="PZT989" s="16" t="s">
        <v>1487</v>
      </c>
      <c r="PZU989" s="16" t="s">
        <v>1487</v>
      </c>
      <c r="PZV989" s="16" t="s">
        <v>1487</v>
      </c>
      <c r="PZW989" s="16" t="s">
        <v>1487</v>
      </c>
      <c r="PZX989" s="16" t="s">
        <v>1487</v>
      </c>
      <c r="PZY989" s="16" t="s">
        <v>1487</v>
      </c>
      <c r="PZZ989" s="16" t="s">
        <v>1487</v>
      </c>
      <c r="QAA989" s="16" t="s">
        <v>1487</v>
      </c>
      <c r="QAB989" s="16" t="s">
        <v>1487</v>
      </c>
      <c r="QAC989" s="16" t="s">
        <v>1487</v>
      </c>
      <c r="QAD989" s="16" t="s">
        <v>1487</v>
      </c>
      <c r="QAE989" s="16" t="s">
        <v>1487</v>
      </c>
      <c r="QAF989" s="16" t="s">
        <v>1487</v>
      </c>
      <c r="QAG989" s="16" t="s">
        <v>1487</v>
      </c>
      <c r="QAH989" s="16" t="s">
        <v>1487</v>
      </c>
      <c r="QAI989" s="16" t="s">
        <v>1487</v>
      </c>
      <c r="QAJ989" s="16" t="s">
        <v>1487</v>
      </c>
      <c r="QAK989" s="16" t="s">
        <v>1487</v>
      </c>
      <c r="QAL989" s="16" t="s">
        <v>1487</v>
      </c>
      <c r="QAM989" s="16" t="s">
        <v>1487</v>
      </c>
      <c r="QAN989" s="16" t="s">
        <v>1487</v>
      </c>
      <c r="QAO989" s="16" t="s">
        <v>1487</v>
      </c>
      <c r="QAP989" s="16" t="s">
        <v>1487</v>
      </c>
      <c r="QAQ989" s="16" t="s">
        <v>1487</v>
      </c>
      <c r="QAR989" s="16" t="s">
        <v>1487</v>
      </c>
      <c r="QAS989" s="16" t="s">
        <v>1487</v>
      </c>
      <c r="QAT989" s="16" t="s">
        <v>1487</v>
      </c>
      <c r="QAU989" s="16" t="s">
        <v>1487</v>
      </c>
      <c r="QAV989" s="16" t="s">
        <v>1487</v>
      </c>
      <c r="QAW989" s="16" t="s">
        <v>1487</v>
      </c>
      <c r="QAX989" s="16" t="s">
        <v>1487</v>
      </c>
      <c r="QAY989" s="16" t="s">
        <v>1487</v>
      </c>
      <c r="QAZ989" s="16" t="s">
        <v>1487</v>
      </c>
      <c r="QBA989" s="16" t="s">
        <v>1487</v>
      </c>
      <c r="QBB989" s="16" t="s">
        <v>1487</v>
      </c>
      <c r="QBC989" s="16" t="s">
        <v>1487</v>
      </c>
      <c r="QBD989" s="16" t="s">
        <v>1487</v>
      </c>
      <c r="QBE989" s="16" t="s">
        <v>1487</v>
      </c>
      <c r="QBF989" s="16" t="s">
        <v>1487</v>
      </c>
      <c r="QBG989" s="16" t="s">
        <v>1487</v>
      </c>
      <c r="QBH989" s="16" t="s">
        <v>1487</v>
      </c>
      <c r="QBI989" s="16" t="s">
        <v>1487</v>
      </c>
      <c r="QBJ989" s="16" t="s">
        <v>1487</v>
      </c>
      <c r="QBK989" s="16" t="s">
        <v>1487</v>
      </c>
      <c r="QBL989" s="16" t="s">
        <v>1487</v>
      </c>
      <c r="QBM989" s="16" t="s">
        <v>1487</v>
      </c>
      <c r="QBN989" s="16" t="s">
        <v>1487</v>
      </c>
      <c r="QBO989" s="16" t="s">
        <v>1487</v>
      </c>
      <c r="QBP989" s="16" t="s">
        <v>1487</v>
      </c>
      <c r="QBQ989" s="16" t="s">
        <v>1487</v>
      </c>
      <c r="QBR989" s="16" t="s">
        <v>1487</v>
      </c>
      <c r="QBS989" s="16" t="s">
        <v>1487</v>
      </c>
      <c r="QBT989" s="16" t="s">
        <v>1487</v>
      </c>
      <c r="QBU989" s="16" t="s">
        <v>1487</v>
      </c>
      <c r="QBV989" s="16" t="s">
        <v>1487</v>
      </c>
      <c r="QBW989" s="16" t="s">
        <v>1487</v>
      </c>
      <c r="QBX989" s="16" t="s">
        <v>1487</v>
      </c>
      <c r="QBY989" s="16" t="s">
        <v>1487</v>
      </c>
      <c r="QBZ989" s="16" t="s">
        <v>1487</v>
      </c>
      <c r="QCA989" s="16" t="s">
        <v>1487</v>
      </c>
      <c r="QCB989" s="16" t="s">
        <v>1487</v>
      </c>
      <c r="QCC989" s="16" t="s">
        <v>1487</v>
      </c>
      <c r="QCD989" s="16" t="s">
        <v>1487</v>
      </c>
      <c r="QCE989" s="16" t="s">
        <v>1487</v>
      </c>
      <c r="QCF989" s="16" t="s">
        <v>1487</v>
      </c>
      <c r="QCG989" s="16" t="s">
        <v>1487</v>
      </c>
      <c r="QCH989" s="16" t="s">
        <v>1487</v>
      </c>
      <c r="QCI989" s="16" t="s">
        <v>1487</v>
      </c>
      <c r="QCJ989" s="16" t="s">
        <v>1487</v>
      </c>
      <c r="QCK989" s="16" t="s">
        <v>1487</v>
      </c>
      <c r="QCL989" s="16" t="s">
        <v>1487</v>
      </c>
      <c r="QCM989" s="16" t="s">
        <v>1487</v>
      </c>
      <c r="QCN989" s="16" t="s">
        <v>1487</v>
      </c>
      <c r="QCO989" s="16" t="s">
        <v>1487</v>
      </c>
      <c r="QCP989" s="16" t="s">
        <v>1487</v>
      </c>
      <c r="QCQ989" s="16" t="s">
        <v>1487</v>
      </c>
      <c r="QCR989" s="16" t="s">
        <v>1487</v>
      </c>
      <c r="QCS989" s="16" t="s">
        <v>1487</v>
      </c>
      <c r="QCT989" s="16" t="s">
        <v>1487</v>
      </c>
      <c r="QCU989" s="16" t="s">
        <v>1487</v>
      </c>
      <c r="QCV989" s="16" t="s">
        <v>1487</v>
      </c>
      <c r="QCW989" s="16" t="s">
        <v>1487</v>
      </c>
      <c r="QCX989" s="16" t="s">
        <v>1487</v>
      </c>
      <c r="QCY989" s="16" t="s">
        <v>1487</v>
      </c>
      <c r="QCZ989" s="16" t="s">
        <v>1487</v>
      </c>
      <c r="QDA989" s="16" t="s">
        <v>1487</v>
      </c>
      <c r="QDB989" s="16" t="s">
        <v>1487</v>
      </c>
      <c r="QDC989" s="16" t="s">
        <v>1487</v>
      </c>
      <c r="QDD989" s="16" t="s">
        <v>1487</v>
      </c>
      <c r="QDE989" s="16" t="s">
        <v>1487</v>
      </c>
      <c r="QDF989" s="16" t="s">
        <v>1487</v>
      </c>
      <c r="QDG989" s="16" t="s">
        <v>1487</v>
      </c>
      <c r="QDH989" s="16" t="s">
        <v>1487</v>
      </c>
      <c r="QDI989" s="16" t="s">
        <v>1487</v>
      </c>
      <c r="QDJ989" s="16" t="s">
        <v>1487</v>
      </c>
      <c r="QDK989" s="16" t="s">
        <v>1487</v>
      </c>
      <c r="QDL989" s="16" t="s">
        <v>1487</v>
      </c>
      <c r="QDM989" s="16" t="s">
        <v>1487</v>
      </c>
      <c r="QDN989" s="16" t="s">
        <v>1487</v>
      </c>
      <c r="QDO989" s="16" t="s">
        <v>1487</v>
      </c>
      <c r="QDP989" s="16" t="s">
        <v>1487</v>
      </c>
      <c r="QDQ989" s="16" t="s">
        <v>1487</v>
      </c>
      <c r="QDR989" s="16" t="s">
        <v>1487</v>
      </c>
      <c r="QDS989" s="16" t="s">
        <v>1487</v>
      </c>
      <c r="QDT989" s="16" t="s">
        <v>1487</v>
      </c>
      <c r="QDU989" s="16" t="s">
        <v>1487</v>
      </c>
      <c r="QDV989" s="16" t="s">
        <v>1487</v>
      </c>
      <c r="QDW989" s="16" t="s">
        <v>1487</v>
      </c>
      <c r="QDX989" s="16" t="s">
        <v>1487</v>
      </c>
      <c r="QDY989" s="16" t="s">
        <v>1487</v>
      </c>
      <c r="QDZ989" s="16" t="s">
        <v>1487</v>
      </c>
      <c r="QEA989" s="16" t="s">
        <v>1487</v>
      </c>
      <c r="QEB989" s="16" t="s">
        <v>1487</v>
      </c>
      <c r="QEC989" s="16" t="s">
        <v>1487</v>
      </c>
      <c r="QED989" s="16" t="s">
        <v>1487</v>
      </c>
      <c r="QEE989" s="16" t="s">
        <v>1487</v>
      </c>
      <c r="QEF989" s="16" t="s">
        <v>1487</v>
      </c>
      <c r="QEG989" s="16" t="s">
        <v>1487</v>
      </c>
      <c r="QEH989" s="16" t="s">
        <v>1487</v>
      </c>
      <c r="QEI989" s="16" t="s">
        <v>1487</v>
      </c>
      <c r="QEJ989" s="16" t="s">
        <v>1487</v>
      </c>
      <c r="QEK989" s="16" t="s">
        <v>1487</v>
      </c>
      <c r="QEL989" s="16" t="s">
        <v>1487</v>
      </c>
      <c r="QEM989" s="16" t="s">
        <v>1487</v>
      </c>
      <c r="QEN989" s="16" t="s">
        <v>1487</v>
      </c>
      <c r="QEO989" s="16" t="s">
        <v>1487</v>
      </c>
      <c r="QEP989" s="16" t="s">
        <v>1487</v>
      </c>
      <c r="QEQ989" s="16" t="s">
        <v>1487</v>
      </c>
      <c r="QER989" s="16" t="s">
        <v>1487</v>
      </c>
      <c r="QES989" s="16" t="s">
        <v>1487</v>
      </c>
      <c r="QET989" s="16" t="s">
        <v>1487</v>
      </c>
      <c r="QEU989" s="16" t="s">
        <v>1487</v>
      </c>
      <c r="QEV989" s="16" t="s">
        <v>1487</v>
      </c>
      <c r="QEW989" s="16" t="s">
        <v>1487</v>
      </c>
      <c r="QEX989" s="16" t="s">
        <v>1487</v>
      </c>
      <c r="QEY989" s="16" t="s">
        <v>1487</v>
      </c>
      <c r="QEZ989" s="16" t="s">
        <v>1487</v>
      </c>
      <c r="QFA989" s="16" t="s">
        <v>1487</v>
      </c>
      <c r="QFB989" s="16" t="s">
        <v>1487</v>
      </c>
      <c r="QFC989" s="16" t="s">
        <v>1487</v>
      </c>
      <c r="QFD989" s="16" t="s">
        <v>1487</v>
      </c>
      <c r="QFE989" s="16" t="s">
        <v>1487</v>
      </c>
      <c r="QFF989" s="16" t="s">
        <v>1487</v>
      </c>
      <c r="QFG989" s="16" t="s">
        <v>1487</v>
      </c>
      <c r="QFH989" s="16" t="s">
        <v>1487</v>
      </c>
      <c r="QFI989" s="16" t="s">
        <v>1487</v>
      </c>
      <c r="QFJ989" s="16" t="s">
        <v>1487</v>
      </c>
      <c r="QFK989" s="16" t="s">
        <v>1487</v>
      </c>
      <c r="QFL989" s="16" t="s">
        <v>1487</v>
      </c>
      <c r="QFM989" s="16" t="s">
        <v>1487</v>
      </c>
      <c r="QFN989" s="16" t="s">
        <v>1487</v>
      </c>
      <c r="QFO989" s="16" t="s">
        <v>1487</v>
      </c>
      <c r="QFP989" s="16" t="s">
        <v>1487</v>
      </c>
      <c r="QFQ989" s="16" t="s">
        <v>1487</v>
      </c>
      <c r="QFR989" s="16" t="s">
        <v>1487</v>
      </c>
      <c r="QFS989" s="16" t="s">
        <v>1487</v>
      </c>
      <c r="QFT989" s="16" t="s">
        <v>1487</v>
      </c>
      <c r="QFU989" s="16" t="s">
        <v>1487</v>
      </c>
      <c r="QFV989" s="16" t="s">
        <v>1487</v>
      </c>
      <c r="QFW989" s="16" t="s">
        <v>1487</v>
      </c>
      <c r="QFX989" s="16" t="s">
        <v>1487</v>
      </c>
      <c r="QFY989" s="16" t="s">
        <v>1487</v>
      </c>
      <c r="QFZ989" s="16" t="s">
        <v>1487</v>
      </c>
      <c r="QGA989" s="16" t="s">
        <v>1487</v>
      </c>
      <c r="QGB989" s="16" t="s">
        <v>1487</v>
      </c>
      <c r="QGC989" s="16" t="s">
        <v>1487</v>
      </c>
      <c r="QGD989" s="16" t="s">
        <v>1487</v>
      </c>
      <c r="QGE989" s="16" t="s">
        <v>1487</v>
      </c>
      <c r="QGF989" s="16" t="s">
        <v>1487</v>
      </c>
      <c r="QGG989" s="16" t="s">
        <v>1487</v>
      </c>
      <c r="QGH989" s="16" t="s">
        <v>1487</v>
      </c>
      <c r="QGI989" s="16" t="s">
        <v>1487</v>
      </c>
      <c r="QGJ989" s="16" t="s">
        <v>1487</v>
      </c>
      <c r="QGK989" s="16" t="s">
        <v>1487</v>
      </c>
      <c r="QGL989" s="16" t="s">
        <v>1487</v>
      </c>
      <c r="QGM989" s="16" t="s">
        <v>1487</v>
      </c>
      <c r="QGN989" s="16" t="s">
        <v>1487</v>
      </c>
      <c r="QGO989" s="16" t="s">
        <v>1487</v>
      </c>
      <c r="QGP989" s="16" t="s">
        <v>1487</v>
      </c>
      <c r="QGQ989" s="16" t="s">
        <v>1487</v>
      </c>
      <c r="QGR989" s="16" t="s">
        <v>1487</v>
      </c>
      <c r="QGS989" s="16" t="s">
        <v>1487</v>
      </c>
      <c r="QGT989" s="16" t="s">
        <v>1487</v>
      </c>
      <c r="QGU989" s="16" t="s">
        <v>1487</v>
      </c>
      <c r="QGV989" s="16" t="s">
        <v>1487</v>
      </c>
      <c r="QGW989" s="16" t="s">
        <v>1487</v>
      </c>
      <c r="QGX989" s="16" t="s">
        <v>1487</v>
      </c>
      <c r="QGY989" s="16" t="s">
        <v>1487</v>
      </c>
      <c r="QGZ989" s="16" t="s">
        <v>1487</v>
      </c>
      <c r="QHA989" s="16" t="s">
        <v>1487</v>
      </c>
      <c r="QHB989" s="16" t="s">
        <v>1487</v>
      </c>
      <c r="QHC989" s="16" t="s">
        <v>1487</v>
      </c>
      <c r="QHD989" s="16" t="s">
        <v>1487</v>
      </c>
      <c r="QHE989" s="16" t="s">
        <v>1487</v>
      </c>
      <c r="QHF989" s="16" t="s">
        <v>1487</v>
      </c>
      <c r="QHG989" s="16" t="s">
        <v>1487</v>
      </c>
      <c r="QHH989" s="16" t="s">
        <v>1487</v>
      </c>
      <c r="QHI989" s="16" t="s">
        <v>1487</v>
      </c>
      <c r="QHJ989" s="16" t="s">
        <v>1487</v>
      </c>
      <c r="QHK989" s="16" t="s">
        <v>1487</v>
      </c>
      <c r="QHL989" s="16" t="s">
        <v>1487</v>
      </c>
      <c r="QHM989" s="16" t="s">
        <v>1487</v>
      </c>
      <c r="QHN989" s="16" t="s">
        <v>1487</v>
      </c>
      <c r="QHO989" s="16" t="s">
        <v>1487</v>
      </c>
      <c r="QHP989" s="16" t="s">
        <v>1487</v>
      </c>
      <c r="QHQ989" s="16" t="s">
        <v>1487</v>
      </c>
      <c r="QHR989" s="16" t="s">
        <v>1487</v>
      </c>
      <c r="QHS989" s="16" t="s">
        <v>1487</v>
      </c>
      <c r="QHT989" s="16" t="s">
        <v>1487</v>
      </c>
      <c r="QHU989" s="16" t="s">
        <v>1487</v>
      </c>
      <c r="QHV989" s="16" t="s">
        <v>1487</v>
      </c>
      <c r="QHW989" s="16" t="s">
        <v>1487</v>
      </c>
      <c r="QHX989" s="16" t="s">
        <v>1487</v>
      </c>
      <c r="QHY989" s="16" t="s">
        <v>1487</v>
      </c>
      <c r="QHZ989" s="16" t="s">
        <v>1487</v>
      </c>
      <c r="QIA989" s="16" t="s">
        <v>1487</v>
      </c>
      <c r="QIB989" s="16" t="s">
        <v>1487</v>
      </c>
      <c r="QIC989" s="16" t="s">
        <v>1487</v>
      </c>
      <c r="QID989" s="16" t="s">
        <v>1487</v>
      </c>
      <c r="QIE989" s="16" t="s">
        <v>1487</v>
      </c>
      <c r="QIF989" s="16" t="s">
        <v>1487</v>
      </c>
      <c r="QIG989" s="16" t="s">
        <v>1487</v>
      </c>
      <c r="QIH989" s="16" t="s">
        <v>1487</v>
      </c>
      <c r="QII989" s="16" t="s">
        <v>1487</v>
      </c>
      <c r="QIJ989" s="16" t="s">
        <v>1487</v>
      </c>
      <c r="QIK989" s="16" t="s">
        <v>1487</v>
      </c>
      <c r="QIL989" s="16" t="s">
        <v>1487</v>
      </c>
      <c r="QIM989" s="16" t="s">
        <v>1487</v>
      </c>
      <c r="QIN989" s="16" t="s">
        <v>1487</v>
      </c>
      <c r="QIO989" s="16" t="s">
        <v>1487</v>
      </c>
      <c r="QIP989" s="16" t="s">
        <v>1487</v>
      </c>
      <c r="QIQ989" s="16" t="s">
        <v>1487</v>
      </c>
      <c r="QIR989" s="16" t="s">
        <v>1487</v>
      </c>
      <c r="QIS989" s="16" t="s">
        <v>1487</v>
      </c>
      <c r="QIT989" s="16" t="s">
        <v>1487</v>
      </c>
      <c r="QIU989" s="16" t="s">
        <v>1487</v>
      </c>
      <c r="QIV989" s="16" t="s">
        <v>1487</v>
      </c>
      <c r="QIW989" s="16" t="s">
        <v>1487</v>
      </c>
      <c r="QIX989" s="16" t="s">
        <v>1487</v>
      </c>
      <c r="QIY989" s="16" t="s">
        <v>1487</v>
      </c>
      <c r="QIZ989" s="16" t="s">
        <v>1487</v>
      </c>
      <c r="QJA989" s="16" t="s">
        <v>1487</v>
      </c>
      <c r="QJB989" s="16" t="s">
        <v>1487</v>
      </c>
      <c r="QJC989" s="16" t="s">
        <v>1487</v>
      </c>
      <c r="QJD989" s="16" t="s">
        <v>1487</v>
      </c>
      <c r="QJE989" s="16" t="s">
        <v>1487</v>
      </c>
      <c r="QJF989" s="16" t="s">
        <v>1487</v>
      </c>
      <c r="QJG989" s="16" t="s">
        <v>1487</v>
      </c>
      <c r="QJH989" s="16" t="s">
        <v>1487</v>
      </c>
      <c r="QJI989" s="16" t="s">
        <v>1487</v>
      </c>
      <c r="QJJ989" s="16" t="s">
        <v>1487</v>
      </c>
      <c r="QJK989" s="16" t="s">
        <v>1487</v>
      </c>
      <c r="QJL989" s="16" t="s">
        <v>1487</v>
      </c>
      <c r="QJM989" s="16" t="s">
        <v>1487</v>
      </c>
      <c r="QJN989" s="16" t="s">
        <v>1487</v>
      </c>
      <c r="QJO989" s="16" t="s">
        <v>1487</v>
      </c>
      <c r="QJP989" s="16" t="s">
        <v>1487</v>
      </c>
      <c r="QJQ989" s="16" t="s">
        <v>1487</v>
      </c>
      <c r="QJR989" s="16" t="s">
        <v>1487</v>
      </c>
      <c r="QJS989" s="16" t="s">
        <v>1487</v>
      </c>
      <c r="QJT989" s="16" t="s">
        <v>1487</v>
      </c>
      <c r="QJU989" s="16" t="s">
        <v>1487</v>
      </c>
      <c r="QJV989" s="16" t="s">
        <v>1487</v>
      </c>
      <c r="QJW989" s="16" t="s">
        <v>1487</v>
      </c>
      <c r="QJX989" s="16" t="s">
        <v>1487</v>
      </c>
      <c r="QJY989" s="16" t="s">
        <v>1487</v>
      </c>
      <c r="QJZ989" s="16" t="s">
        <v>1487</v>
      </c>
      <c r="QKA989" s="16" t="s">
        <v>1487</v>
      </c>
      <c r="QKB989" s="16" t="s">
        <v>1487</v>
      </c>
      <c r="QKC989" s="16" t="s">
        <v>1487</v>
      </c>
      <c r="QKD989" s="16" t="s">
        <v>1487</v>
      </c>
      <c r="QKE989" s="16" t="s">
        <v>1487</v>
      </c>
      <c r="QKF989" s="16" t="s">
        <v>1487</v>
      </c>
      <c r="QKG989" s="16" t="s">
        <v>1487</v>
      </c>
      <c r="QKH989" s="16" t="s">
        <v>1487</v>
      </c>
      <c r="QKI989" s="16" t="s">
        <v>1487</v>
      </c>
      <c r="QKJ989" s="16" t="s">
        <v>1487</v>
      </c>
      <c r="QKK989" s="16" t="s">
        <v>1487</v>
      </c>
      <c r="QKL989" s="16" t="s">
        <v>1487</v>
      </c>
      <c r="QKM989" s="16" t="s">
        <v>1487</v>
      </c>
      <c r="QKN989" s="16" t="s">
        <v>1487</v>
      </c>
      <c r="QKO989" s="16" t="s">
        <v>1487</v>
      </c>
      <c r="QKP989" s="16" t="s">
        <v>1487</v>
      </c>
      <c r="QKQ989" s="16" t="s">
        <v>1487</v>
      </c>
      <c r="QKR989" s="16" t="s">
        <v>1487</v>
      </c>
      <c r="QKS989" s="16" t="s">
        <v>1487</v>
      </c>
      <c r="QKT989" s="16" t="s">
        <v>1487</v>
      </c>
      <c r="QKU989" s="16" t="s">
        <v>1487</v>
      </c>
      <c r="QKV989" s="16" t="s">
        <v>1487</v>
      </c>
      <c r="QKW989" s="16" t="s">
        <v>1487</v>
      </c>
      <c r="QKX989" s="16" t="s">
        <v>1487</v>
      </c>
      <c r="QKY989" s="16" t="s">
        <v>1487</v>
      </c>
      <c r="QKZ989" s="16" t="s">
        <v>1487</v>
      </c>
      <c r="QLA989" s="16" t="s">
        <v>1487</v>
      </c>
      <c r="QLB989" s="16" t="s">
        <v>1487</v>
      </c>
      <c r="QLC989" s="16" t="s">
        <v>1487</v>
      </c>
      <c r="QLD989" s="16" t="s">
        <v>1487</v>
      </c>
      <c r="QLE989" s="16" t="s">
        <v>1487</v>
      </c>
      <c r="QLF989" s="16" t="s">
        <v>1487</v>
      </c>
      <c r="QLG989" s="16" t="s">
        <v>1487</v>
      </c>
      <c r="QLH989" s="16" t="s">
        <v>1487</v>
      </c>
      <c r="QLI989" s="16" t="s">
        <v>1487</v>
      </c>
      <c r="QLJ989" s="16" t="s">
        <v>1487</v>
      </c>
      <c r="QLK989" s="16" t="s">
        <v>1487</v>
      </c>
      <c r="QLL989" s="16" t="s">
        <v>1487</v>
      </c>
      <c r="QLM989" s="16" t="s">
        <v>1487</v>
      </c>
      <c r="QLN989" s="16" t="s">
        <v>1487</v>
      </c>
      <c r="QLO989" s="16" t="s">
        <v>1487</v>
      </c>
      <c r="QLP989" s="16" t="s">
        <v>1487</v>
      </c>
      <c r="QLQ989" s="16" t="s">
        <v>1487</v>
      </c>
      <c r="QLR989" s="16" t="s">
        <v>1487</v>
      </c>
      <c r="QLS989" s="16" t="s">
        <v>1487</v>
      </c>
      <c r="QLT989" s="16" t="s">
        <v>1487</v>
      </c>
      <c r="QLU989" s="16" t="s">
        <v>1487</v>
      </c>
      <c r="QLV989" s="16" t="s">
        <v>1487</v>
      </c>
      <c r="QLW989" s="16" t="s">
        <v>1487</v>
      </c>
      <c r="QLX989" s="16" t="s">
        <v>1487</v>
      </c>
      <c r="QLY989" s="16" t="s">
        <v>1487</v>
      </c>
      <c r="QLZ989" s="16" t="s">
        <v>1487</v>
      </c>
      <c r="QMA989" s="16" t="s">
        <v>1487</v>
      </c>
      <c r="QMB989" s="16" t="s">
        <v>1487</v>
      </c>
      <c r="QMC989" s="16" t="s">
        <v>1487</v>
      </c>
      <c r="QMD989" s="16" t="s">
        <v>1487</v>
      </c>
      <c r="QME989" s="16" t="s">
        <v>1487</v>
      </c>
      <c r="QMF989" s="16" t="s">
        <v>1487</v>
      </c>
      <c r="QMG989" s="16" t="s">
        <v>1487</v>
      </c>
      <c r="QMH989" s="16" t="s">
        <v>1487</v>
      </c>
      <c r="QMI989" s="16" t="s">
        <v>1487</v>
      </c>
      <c r="QMJ989" s="16" t="s">
        <v>1487</v>
      </c>
      <c r="QMK989" s="16" t="s">
        <v>1487</v>
      </c>
      <c r="QML989" s="16" t="s">
        <v>1487</v>
      </c>
      <c r="QMM989" s="16" t="s">
        <v>1487</v>
      </c>
      <c r="QMN989" s="16" t="s">
        <v>1487</v>
      </c>
      <c r="QMO989" s="16" t="s">
        <v>1487</v>
      </c>
      <c r="QMP989" s="16" t="s">
        <v>1487</v>
      </c>
      <c r="QMQ989" s="16" t="s">
        <v>1487</v>
      </c>
      <c r="QMR989" s="16" t="s">
        <v>1487</v>
      </c>
      <c r="QMS989" s="16" t="s">
        <v>1487</v>
      </c>
      <c r="QMT989" s="16" t="s">
        <v>1487</v>
      </c>
      <c r="QMU989" s="16" t="s">
        <v>1487</v>
      </c>
      <c r="QMV989" s="16" t="s">
        <v>1487</v>
      </c>
      <c r="QMW989" s="16" t="s">
        <v>1487</v>
      </c>
      <c r="QMX989" s="16" t="s">
        <v>1487</v>
      </c>
      <c r="QMY989" s="16" t="s">
        <v>1487</v>
      </c>
      <c r="QMZ989" s="16" t="s">
        <v>1487</v>
      </c>
      <c r="QNA989" s="16" t="s">
        <v>1487</v>
      </c>
      <c r="QNB989" s="16" t="s">
        <v>1487</v>
      </c>
      <c r="QNC989" s="16" t="s">
        <v>1487</v>
      </c>
      <c r="QND989" s="16" t="s">
        <v>1487</v>
      </c>
      <c r="QNE989" s="16" t="s">
        <v>1487</v>
      </c>
      <c r="QNF989" s="16" t="s">
        <v>1487</v>
      </c>
      <c r="QNG989" s="16" t="s">
        <v>1487</v>
      </c>
      <c r="QNH989" s="16" t="s">
        <v>1487</v>
      </c>
      <c r="QNI989" s="16" t="s">
        <v>1487</v>
      </c>
      <c r="QNJ989" s="16" t="s">
        <v>1487</v>
      </c>
      <c r="QNK989" s="16" t="s">
        <v>1487</v>
      </c>
      <c r="QNL989" s="16" t="s">
        <v>1487</v>
      </c>
      <c r="QNM989" s="16" t="s">
        <v>1487</v>
      </c>
      <c r="QNN989" s="16" t="s">
        <v>1487</v>
      </c>
      <c r="QNO989" s="16" t="s">
        <v>1487</v>
      </c>
      <c r="QNP989" s="16" t="s">
        <v>1487</v>
      </c>
      <c r="QNQ989" s="16" t="s">
        <v>1487</v>
      </c>
      <c r="QNR989" s="16" t="s">
        <v>1487</v>
      </c>
      <c r="QNS989" s="16" t="s">
        <v>1487</v>
      </c>
      <c r="QNT989" s="16" t="s">
        <v>1487</v>
      </c>
      <c r="QNU989" s="16" t="s">
        <v>1487</v>
      </c>
      <c r="QNV989" s="16" t="s">
        <v>1487</v>
      </c>
      <c r="QNW989" s="16" t="s">
        <v>1487</v>
      </c>
      <c r="QNX989" s="16" t="s">
        <v>1487</v>
      </c>
      <c r="QNY989" s="16" t="s">
        <v>1487</v>
      </c>
      <c r="QNZ989" s="16" t="s">
        <v>1487</v>
      </c>
      <c r="QOA989" s="16" t="s">
        <v>1487</v>
      </c>
      <c r="QOB989" s="16" t="s">
        <v>1487</v>
      </c>
      <c r="QOC989" s="16" t="s">
        <v>1487</v>
      </c>
      <c r="QOD989" s="16" t="s">
        <v>1487</v>
      </c>
      <c r="QOE989" s="16" t="s">
        <v>1487</v>
      </c>
      <c r="QOF989" s="16" t="s">
        <v>1487</v>
      </c>
      <c r="QOG989" s="16" t="s">
        <v>1487</v>
      </c>
      <c r="QOH989" s="16" t="s">
        <v>1487</v>
      </c>
      <c r="QOI989" s="16" t="s">
        <v>1487</v>
      </c>
      <c r="QOJ989" s="16" t="s">
        <v>1487</v>
      </c>
      <c r="QOK989" s="16" t="s">
        <v>1487</v>
      </c>
      <c r="QOL989" s="16" t="s">
        <v>1487</v>
      </c>
      <c r="QOM989" s="16" t="s">
        <v>1487</v>
      </c>
      <c r="QON989" s="16" t="s">
        <v>1487</v>
      </c>
      <c r="QOO989" s="16" t="s">
        <v>1487</v>
      </c>
      <c r="QOP989" s="16" t="s">
        <v>1487</v>
      </c>
      <c r="QOQ989" s="16" t="s">
        <v>1487</v>
      </c>
      <c r="QOR989" s="16" t="s">
        <v>1487</v>
      </c>
      <c r="QOS989" s="16" t="s">
        <v>1487</v>
      </c>
      <c r="QOT989" s="16" t="s">
        <v>1487</v>
      </c>
      <c r="QOU989" s="16" t="s">
        <v>1487</v>
      </c>
      <c r="QOV989" s="16" t="s">
        <v>1487</v>
      </c>
      <c r="QOW989" s="16" t="s">
        <v>1487</v>
      </c>
      <c r="QOX989" s="16" t="s">
        <v>1487</v>
      </c>
      <c r="QOY989" s="16" t="s">
        <v>1487</v>
      </c>
      <c r="QOZ989" s="16" t="s">
        <v>1487</v>
      </c>
      <c r="QPA989" s="16" t="s">
        <v>1487</v>
      </c>
      <c r="QPB989" s="16" t="s">
        <v>1487</v>
      </c>
      <c r="QPC989" s="16" t="s">
        <v>1487</v>
      </c>
      <c r="QPD989" s="16" t="s">
        <v>1487</v>
      </c>
      <c r="QPE989" s="16" t="s">
        <v>1487</v>
      </c>
      <c r="QPF989" s="16" t="s">
        <v>1487</v>
      </c>
      <c r="QPG989" s="16" t="s">
        <v>1487</v>
      </c>
      <c r="QPH989" s="16" t="s">
        <v>1487</v>
      </c>
      <c r="QPI989" s="16" t="s">
        <v>1487</v>
      </c>
      <c r="QPJ989" s="16" t="s">
        <v>1487</v>
      </c>
      <c r="QPK989" s="16" t="s">
        <v>1487</v>
      </c>
      <c r="QPL989" s="16" t="s">
        <v>1487</v>
      </c>
      <c r="QPM989" s="16" t="s">
        <v>1487</v>
      </c>
      <c r="QPN989" s="16" t="s">
        <v>1487</v>
      </c>
      <c r="QPO989" s="16" t="s">
        <v>1487</v>
      </c>
      <c r="QPP989" s="16" t="s">
        <v>1487</v>
      </c>
      <c r="QPQ989" s="16" t="s">
        <v>1487</v>
      </c>
      <c r="QPR989" s="16" t="s">
        <v>1487</v>
      </c>
      <c r="QPS989" s="16" t="s">
        <v>1487</v>
      </c>
      <c r="QPT989" s="16" t="s">
        <v>1487</v>
      </c>
      <c r="QPU989" s="16" t="s">
        <v>1487</v>
      </c>
      <c r="QPV989" s="16" t="s">
        <v>1487</v>
      </c>
      <c r="QPW989" s="16" t="s">
        <v>1487</v>
      </c>
      <c r="QPX989" s="16" t="s">
        <v>1487</v>
      </c>
      <c r="QPY989" s="16" t="s">
        <v>1487</v>
      </c>
      <c r="QPZ989" s="16" t="s">
        <v>1487</v>
      </c>
      <c r="QQA989" s="16" t="s">
        <v>1487</v>
      </c>
      <c r="QQB989" s="16" t="s">
        <v>1487</v>
      </c>
      <c r="QQC989" s="16" t="s">
        <v>1487</v>
      </c>
      <c r="QQD989" s="16" t="s">
        <v>1487</v>
      </c>
      <c r="QQE989" s="16" t="s">
        <v>1487</v>
      </c>
      <c r="QQF989" s="16" t="s">
        <v>1487</v>
      </c>
      <c r="QQG989" s="16" t="s">
        <v>1487</v>
      </c>
      <c r="QQH989" s="16" t="s">
        <v>1487</v>
      </c>
      <c r="QQI989" s="16" t="s">
        <v>1487</v>
      </c>
      <c r="QQJ989" s="16" t="s">
        <v>1487</v>
      </c>
      <c r="QQK989" s="16" t="s">
        <v>1487</v>
      </c>
      <c r="QQL989" s="16" t="s">
        <v>1487</v>
      </c>
      <c r="QQM989" s="16" t="s">
        <v>1487</v>
      </c>
      <c r="QQN989" s="16" t="s">
        <v>1487</v>
      </c>
      <c r="QQO989" s="16" t="s">
        <v>1487</v>
      </c>
      <c r="QQP989" s="16" t="s">
        <v>1487</v>
      </c>
      <c r="QQQ989" s="16" t="s">
        <v>1487</v>
      </c>
      <c r="QQR989" s="16" t="s">
        <v>1487</v>
      </c>
      <c r="QQS989" s="16" t="s">
        <v>1487</v>
      </c>
      <c r="QQT989" s="16" t="s">
        <v>1487</v>
      </c>
      <c r="QQU989" s="16" t="s">
        <v>1487</v>
      </c>
      <c r="QQV989" s="16" t="s">
        <v>1487</v>
      </c>
      <c r="QQW989" s="16" t="s">
        <v>1487</v>
      </c>
      <c r="QQX989" s="16" t="s">
        <v>1487</v>
      </c>
      <c r="QQY989" s="16" t="s">
        <v>1487</v>
      </c>
      <c r="QQZ989" s="16" t="s">
        <v>1487</v>
      </c>
      <c r="QRA989" s="16" t="s">
        <v>1487</v>
      </c>
      <c r="QRB989" s="16" t="s">
        <v>1487</v>
      </c>
      <c r="QRC989" s="16" t="s">
        <v>1487</v>
      </c>
      <c r="QRD989" s="16" t="s">
        <v>1487</v>
      </c>
      <c r="QRE989" s="16" t="s">
        <v>1487</v>
      </c>
      <c r="QRF989" s="16" t="s">
        <v>1487</v>
      </c>
      <c r="QRG989" s="16" t="s">
        <v>1487</v>
      </c>
      <c r="QRH989" s="16" t="s">
        <v>1487</v>
      </c>
      <c r="QRI989" s="16" t="s">
        <v>1487</v>
      </c>
      <c r="QRJ989" s="16" t="s">
        <v>1487</v>
      </c>
      <c r="QRK989" s="16" t="s">
        <v>1487</v>
      </c>
      <c r="QRL989" s="16" t="s">
        <v>1487</v>
      </c>
      <c r="QRM989" s="16" t="s">
        <v>1487</v>
      </c>
      <c r="QRN989" s="16" t="s">
        <v>1487</v>
      </c>
      <c r="QRO989" s="16" t="s">
        <v>1487</v>
      </c>
      <c r="QRP989" s="16" t="s">
        <v>1487</v>
      </c>
      <c r="QRQ989" s="16" t="s">
        <v>1487</v>
      </c>
      <c r="QRR989" s="16" t="s">
        <v>1487</v>
      </c>
      <c r="QRS989" s="16" t="s">
        <v>1487</v>
      </c>
      <c r="QRT989" s="16" t="s">
        <v>1487</v>
      </c>
      <c r="QRU989" s="16" t="s">
        <v>1487</v>
      </c>
      <c r="QRV989" s="16" t="s">
        <v>1487</v>
      </c>
      <c r="QRW989" s="16" t="s">
        <v>1487</v>
      </c>
      <c r="QRX989" s="16" t="s">
        <v>1487</v>
      </c>
      <c r="QRY989" s="16" t="s">
        <v>1487</v>
      </c>
      <c r="QRZ989" s="16" t="s">
        <v>1487</v>
      </c>
      <c r="QSA989" s="16" t="s">
        <v>1487</v>
      </c>
      <c r="QSB989" s="16" t="s">
        <v>1487</v>
      </c>
      <c r="QSC989" s="16" t="s">
        <v>1487</v>
      </c>
      <c r="QSD989" s="16" t="s">
        <v>1487</v>
      </c>
      <c r="QSE989" s="16" t="s">
        <v>1487</v>
      </c>
      <c r="QSF989" s="16" t="s">
        <v>1487</v>
      </c>
      <c r="QSG989" s="16" t="s">
        <v>1487</v>
      </c>
      <c r="QSH989" s="16" t="s">
        <v>1487</v>
      </c>
      <c r="QSI989" s="16" t="s">
        <v>1487</v>
      </c>
      <c r="QSJ989" s="16" t="s">
        <v>1487</v>
      </c>
      <c r="QSK989" s="16" t="s">
        <v>1487</v>
      </c>
      <c r="QSL989" s="16" t="s">
        <v>1487</v>
      </c>
      <c r="QSM989" s="16" t="s">
        <v>1487</v>
      </c>
      <c r="QSN989" s="16" t="s">
        <v>1487</v>
      </c>
      <c r="QSO989" s="16" t="s">
        <v>1487</v>
      </c>
      <c r="QSP989" s="16" t="s">
        <v>1487</v>
      </c>
      <c r="QSQ989" s="16" t="s">
        <v>1487</v>
      </c>
      <c r="QSR989" s="16" t="s">
        <v>1487</v>
      </c>
      <c r="QSS989" s="16" t="s">
        <v>1487</v>
      </c>
      <c r="QST989" s="16" t="s">
        <v>1487</v>
      </c>
      <c r="QSU989" s="16" t="s">
        <v>1487</v>
      </c>
      <c r="QSV989" s="16" t="s">
        <v>1487</v>
      </c>
      <c r="QSW989" s="16" t="s">
        <v>1487</v>
      </c>
      <c r="QSX989" s="16" t="s">
        <v>1487</v>
      </c>
      <c r="QSY989" s="16" t="s">
        <v>1487</v>
      </c>
      <c r="QSZ989" s="16" t="s">
        <v>1487</v>
      </c>
      <c r="QTA989" s="16" t="s">
        <v>1487</v>
      </c>
      <c r="QTB989" s="16" t="s">
        <v>1487</v>
      </c>
      <c r="QTC989" s="16" t="s">
        <v>1487</v>
      </c>
      <c r="QTD989" s="16" t="s">
        <v>1487</v>
      </c>
      <c r="QTE989" s="16" t="s">
        <v>1487</v>
      </c>
      <c r="QTF989" s="16" t="s">
        <v>1487</v>
      </c>
      <c r="QTG989" s="16" t="s">
        <v>1487</v>
      </c>
      <c r="QTH989" s="16" t="s">
        <v>1487</v>
      </c>
      <c r="QTI989" s="16" t="s">
        <v>1487</v>
      </c>
      <c r="QTJ989" s="16" t="s">
        <v>1487</v>
      </c>
      <c r="QTK989" s="16" t="s">
        <v>1487</v>
      </c>
      <c r="QTL989" s="16" t="s">
        <v>1487</v>
      </c>
      <c r="QTM989" s="16" t="s">
        <v>1487</v>
      </c>
      <c r="QTN989" s="16" t="s">
        <v>1487</v>
      </c>
      <c r="QTO989" s="16" t="s">
        <v>1487</v>
      </c>
      <c r="QTP989" s="16" t="s">
        <v>1487</v>
      </c>
      <c r="QTQ989" s="16" t="s">
        <v>1487</v>
      </c>
      <c r="QTR989" s="16" t="s">
        <v>1487</v>
      </c>
      <c r="QTS989" s="16" t="s">
        <v>1487</v>
      </c>
      <c r="QTT989" s="16" t="s">
        <v>1487</v>
      </c>
      <c r="QTU989" s="16" t="s">
        <v>1487</v>
      </c>
      <c r="QTV989" s="16" t="s">
        <v>1487</v>
      </c>
      <c r="QTW989" s="16" t="s">
        <v>1487</v>
      </c>
      <c r="QTX989" s="16" t="s">
        <v>1487</v>
      </c>
      <c r="QTY989" s="16" t="s">
        <v>1487</v>
      </c>
      <c r="QTZ989" s="16" t="s">
        <v>1487</v>
      </c>
      <c r="QUA989" s="16" t="s">
        <v>1487</v>
      </c>
      <c r="QUB989" s="16" t="s">
        <v>1487</v>
      </c>
      <c r="QUC989" s="16" t="s">
        <v>1487</v>
      </c>
      <c r="QUD989" s="16" t="s">
        <v>1487</v>
      </c>
      <c r="QUE989" s="16" t="s">
        <v>1487</v>
      </c>
      <c r="QUF989" s="16" t="s">
        <v>1487</v>
      </c>
      <c r="QUG989" s="16" t="s">
        <v>1487</v>
      </c>
      <c r="QUH989" s="16" t="s">
        <v>1487</v>
      </c>
      <c r="QUI989" s="16" t="s">
        <v>1487</v>
      </c>
      <c r="QUJ989" s="16" t="s">
        <v>1487</v>
      </c>
      <c r="QUK989" s="16" t="s">
        <v>1487</v>
      </c>
      <c r="QUL989" s="16" t="s">
        <v>1487</v>
      </c>
      <c r="QUM989" s="16" t="s">
        <v>1487</v>
      </c>
      <c r="QUN989" s="16" t="s">
        <v>1487</v>
      </c>
      <c r="QUO989" s="16" t="s">
        <v>1487</v>
      </c>
      <c r="QUP989" s="16" t="s">
        <v>1487</v>
      </c>
      <c r="QUQ989" s="16" t="s">
        <v>1487</v>
      </c>
      <c r="QUR989" s="16" t="s">
        <v>1487</v>
      </c>
      <c r="QUS989" s="16" t="s">
        <v>1487</v>
      </c>
      <c r="QUT989" s="16" t="s">
        <v>1487</v>
      </c>
      <c r="QUU989" s="16" t="s">
        <v>1487</v>
      </c>
      <c r="QUV989" s="16" t="s">
        <v>1487</v>
      </c>
      <c r="QUW989" s="16" t="s">
        <v>1487</v>
      </c>
      <c r="QUX989" s="16" t="s">
        <v>1487</v>
      </c>
      <c r="QUY989" s="16" t="s">
        <v>1487</v>
      </c>
      <c r="QUZ989" s="16" t="s">
        <v>1487</v>
      </c>
      <c r="QVA989" s="16" t="s">
        <v>1487</v>
      </c>
      <c r="QVB989" s="16" t="s">
        <v>1487</v>
      </c>
      <c r="QVC989" s="16" t="s">
        <v>1487</v>
      </c>
      <c r="QVD989" s="16" t="s">
        <v>1487</v>
      </c>
      <c r="QVE989" s="16" t="s">
        <v>1487</v>
      </c>
      <c r="QVF989" s="16" t="s">
        <v>1487</v>
      </c>
      <c r="QVG989" s="16" t="s">
        <v>1487</v>
      </c>
      <c r="QVH989" s="16" t="s">
        <v>1487</v>
      </c>
      <c r="QVI989" s="16" t="s">
        <v>1487</v>
      </c>
      <c r="QVJ989" s="16" t="s">
        <v>1487</v>
      </c>
      <c r="QVK989" s="16" t="s">
        <v>1487</v>
      </c>
      <c r="QVL989" s="16" t="s">
        <v>1487</v>
      </c>
      <c r="QVM989" s="16" t="s">
        <v>1487</v>
      </c>
      <c r="QVN989" s="16" t="s">
        <v>1487</v>
      </c>
      <c r="QVO989" s="16" t="s">
        <v>1487</v>
      </c>
      <c r="QVP989" s="16" t="s">
        <v>1487</v>
      </c>
      <c r="QVQ989" s="16" t="s">
        <v>1487</v>
      </c>
      <c r="QVR989" s="16" t="s">
        <v>1487</v>
      </c>
      <c r="QVS989" s="16" t="s">
        <v>1487</v>
      </c>
      <c r="QVT989" s="16" t="s">
        <v>1487</v>
      </c>
      <c r="QVU989" s="16" t="s">
        <v>1487</v>
      </c>
      <c r="QVV989" s="16" t="s">
        <v>1487</v>
      </c>
      <c r="QVW989" s="16" t="s">
        <v>1487</v>
      </c>
      <c r="QVX989" s="16" t="s">
        <v>1487</v>
      </c>
      <c r="QVY989" s="16" t="s">
        <v>1487</v>
      </c>
      <c r="QVZ989" s="16" t="s">
        <v>1487</v>
      </c>
      <c r="QWA989" s="16" t="s">
        <v>1487</v>
      </c>
      <c r="QWB989" s="16" t="s">
        <v>1487</v>
      </c>
      <c r="QWC989" s="16" t="s">
        <v>1487</v>
      </c>
      <c r="QWD989" s="16" t="s">
        <v>1487</v>
      </c>
      <c r="QWE989" s="16" t="s">
        <v>1487</v>
      </c>
      <c r="QWF989" s="16" t="s">
        <v>1487</v>
      </c>
      <c r="QWG989" s="16" t="s">
        <v>1487</v>
      </c>
      <c r="QWH989" s="16" t="s">
        <v>1487</v>
      </c>
      <c r="QWI989" s="16" t="s">
        <v>1487</v>
      </c>
      <c r="QWJ989" s="16" t="s">
        <v>1487</v>
      </c>
      <c r="QWK989" s="16" t="s">
        <v>1487</v>
      </c>
      <c r="QWL989" s="16" t="s">
        <v>1487</v>
      </c>
      <c r="QWM989" s="16" t="s">
        <v>1487</v>
      </c>
      <c r="QWN989" s="16" t="s">
        <v>1487</v>
      </c>
      <c r="QWO989" s="16" t="s">
        <v>1487</v>
      </c>
      <c r="QWP989" s="16" t="s">
        <v>1487</v>
      </c>
      <c r="QWQ989" s="16" t="s">
        <v>1487</v>
      </c>
      <c r="QWR989" s="16" t="s">
        <v>1487</v>
      </c>
      <c r="QWS989" s="16" t="s">
        <v>1487</v>
      </c>
      <c r="QWT989" s="16" t="s">
        <v>1487</v>
      </c>
      <c r="QWU989" s="16" t="s">
        <v>1487</v>
      </c>
      <c r="QWV989" s="16" t="s">
        <v>1487</v>
      </c>
      <c r="QWW989" s="16" t="s">
        <v>1487</v>
      </c>
      <c r="QWX989" s="16" t="s">
        <v>1487</v>
      </c>
      <c r="QWY989" s="16" t="s">
        <v>1487</v>
      </c>
      <c r="QWZ989" s="16" t="s">
        <v>1487</v>
      </c>
      <c r="QXA989" s="16" t="s">
        <v>1487</v>
      </c>
      <c r="QXB989" s="16" t="s">
        <v>1487</v>
      </c>
      <c r="QXC989" s="16" t="s">
        <v>1487</v>
      </c>
      <c r="QXD989" s="16" t="s">
        <v>1487</v>
      </c>
      <c r="QXE989" s="16" t="s">
        <v>1487</v>
      </c>
      <c r="QXF989" s="16" t="s">
        <v>1487</v>
      </c>
      <c r="QXG989" s="16" t="s">
        <v>1487</v>
      </c>
      <c r="QXH989" s="16" t="s">
        <v>1487</v>
      </c>
      <c r="QXI989" s="16" t="s">
        <v>1487</v>
      </c>
      <c r="QXJ989" s="16" t="s">
        <v>1487</v>
      </c>
      <c r="QXK989" s="16" t="s">
        <v>1487</v>
      </c>
      <c r="QXL989" s="16" t="s">
        <v>1487</v>
      </c>
      <c r="QXM989" s="16" t="s">
        <v>1487</v>
      </c>
      <c r="QXN989" s="16" t="s">
        <v>1487</v>
      </c>
      <c r="QXO989" s="16" t="s">
        <v>1487</v>
      </c>
      <c r="QXP989" s="16" t="s">
        <v>1487</v>
      </c>
      <c r="QXQ989" s="16" t="s">
        <v>1487</v>
      </c>
      <c r="QXR989" s="16" t="s">
        <v>1487</v>
      </c>
      <c r="QXS989" s="16" t="s">
        <v>1487</v>
      </c>
      <c r="QXT989" s="16" t="s">
        <v>1487</v>
      </c>
      <c r="QXU989" s="16" t="s">
        <v>1487</v>
      </c>
      <c r="QXV989" s="16" t="s">
        <v>1487</v>
      </c>
      <c r="QXW989" s="16" t="s">
        <v>1487</v>
      </c>
      <c r="QXX989" s="16" t="s">
        <v>1487</v>
      </c>
      <c r="QXY989" s="16" t="s">
        <v>1487</v>
      </c>
      <c r="QXZ989" s="16" t="s">
        <v>1487</v>
      </c>
      <c r="QYA989" s="16" t="s">
        <v>1487</v>
      </c>
      <c r="QYB989" s="16" t="s">
        <v>1487</v>
      </c>
      <c r="QYC989" s="16" t="s">
        <v>1487</v>
      </c>
      <c r="QYD989" s="16" t="s">
        <v>1487</v>
      </c>
      <c r="QYE989" s="16" t="s">
        <v>1487</v>
      </c>
      <c r="QYF989" s="16" t="s">
        <v>1487</v>
      </c>
      <c r="QYG989" s="16" t="s">
        <v>1487</v>
      </c>
      <c r="QYH989" s="16" t="s">
        <v>1487</v>
      </c>
      <c r="QYI989" s="16" t="s">
        <v>1487</v>
      </c>
      <c r="QYJ989" s="16" t="s">
        <v>1487</v>
      </c>
      <c r="QYK989" s="16" t="s">
        <v>1487</v>
      </c>
      <c r="QYL989" s="16" t="s">
        <v>1487</v>
      </c>
      <c r="QYM989" s="16" t="s">
        <v>1487</v>
      </c>
      <c r="QYN989" s="16" t="s">
        <v>1487</v>
      </c>
      <c r="QYO989" s="16" t="s">
        <v>1487</v>
      </c>
      <c r="QYP989" s="16" t="s">
        <v>1487</v>
      </c>
      <c r="QYQ989" s="16" t="s">
        <v>1487</v>
      </c>
      <c r="QYR989" s="16" t="s">
        <v>1487</v>
      </c>
      <c r="QYS989" s="16" t="s">
        <v>1487</v>
      </c>
      <c r="QYT989" s="16" t="s">
        <v>1487</v>
      </c>
      <c r="QYU989" s="16" t="s">
        <v>1487</v>
      </c>
      <c r="QYV989" s="16" t="s">
        <v>1487</v>
      </c>
      <c r="QYW989" s="16" t="s">
        <v>1487</v>
      </c>
      <c r="QYX989" s="16" t="s">
        <v>1487</v>
      </c>
      <c r="QYY989" s="16" t="s">
        <v>1487</v>
      </c>
      <c r="QYZ989" s="16" t="s">
        <v>1487</v>
      </c>
      <c r="QZA989" s="16" t="s">
        <v>1487</v>
      </c>
      <c r="QZB989" s="16" t="s">
        <v>1487</v>
      </c>
      <c r="QZC989" s="16" t="s">
        <v>1487</v>
      </c>
      <c r="QZD989" s="16" t="s">
        <v>1487</v>
      </c>
      <c r="QZE989" s="16" t="s">
        <v>1487</v>
      </c>
      <c r="QZF989" s="16" t="s">
        <v>1487</v>
      </c>
      <c r="QZG989" s="16" t="s">
        <v>1487</v>
      </c>
      <c r="QZH989" s="16" t="s">
        <v>1487</v>
      </c>
      <c r="QZI989" s="16" t="s">
        <v>1487</v>
      </c>
      <c r="QZJ989" s="16" t="s">
        <v>1487</v>
      </c>
      <c r="QZK989" s="16" t="s">
        <v>1487</v>
      </c>
      <c r="QZL989" s="16" t="s">
        <v>1487</v>
      </c>
      <c r="QZM989" s="16" t="s">
        <v>1487</v>
      </c>
      <c r="QZN989" s="16" t="s">
        <v>1487</v>
      </c>
      <c r="QZO989" s="16" t="s">
        <v>1487</v>
      </c>
      <c r="QZP989" s="16" t="s">
        <v>1487</v>
      </c>
      <c r="QZQ989" s="16" t="s">
        <v>1487</v>
      </c>
      <c r="QZR989" s="16" t="s">
        <v>1487</v>
      </c>
      <c r="QZS989" s="16" t="s">
        <v>1487</v>
      </c>
      <c r="QZT989" s="16" t="s">
        <v>1487</v>
      </c>
      <c r="QZU989" s="16" t="s">
        <v>1487</v>
      </c>
      <c r="QZV989" s="16" t="s">
        <v>1487</v>
      </c>
      <c r="QZW989" s="16" t="s">
        <v>1487</v>
      </c>
      <c r="QZX989" s="16" t="s">
        <v>1487</v>
      </c>
      <c r="QZY989" s="16" t="s">
        <v>1487</v>
      </c>
      <c r="QZZ989" s="16" t="s">
        <v>1487</v>
      </c>
      <c r="RAA989" s="16" t="s">
        <v>1487</v>
      </c>
      <c r="RAB989" s="16" t="s">
        <v>1487</v>
      </c>
      <c r="RAC989" s="16" t="s">
        <v>1487</v>
      </c>
      <c r="RAD989" s="16" t="s">
        <v>1487</v>
      </c>
      <c r="RAE989" s="16" t="s">
        <v>1487</v>
      </c>
      <c r="RAF989" s="16" t="s">
        <v>1487</v>
      </c>
      <c r="RAG989" s="16" t="s">
        <v>1487</v>
      </c>
      <c r="RAH989" s="16" t="s">
        <v>1487</v>
      </c>
      <c r="RAI989" s="16" t="s">
        <v>1487</v>
      </c>
      <c r="RAJ989" s="16" t="s">
        <v>1487</v>
      </c>
      <c r="RAK989" s="16" t="s">
        <v>1487</v>
      </c>
      <c r="RAL989" s="16" t="s">
        <v>1487</v>
      </c>
      <c r="RAM989" s="16" t="s">
        <v>1487</v>
      </c>
      <c r="RAN989" s="16" t="s">
        <v>1487</v>
      </c>
      <c r="RAO989" s="16" t="s">
        <v>1487</v>
      </c>
      <c r="RAP989" s="16" t="s">
        <v>1487</v>
      </c>
      <c r="RAQ989" s="16" t="s">
        <v>1487</v>
      </c>
      <c r="RAR989" s="16" t="s">
        <v>1487</v>
      </c>
      <c r="RAS989" s="16" t="s">
        <v>1487</v>
      </c>
      <c r="RAT989" s="16" t="s">
        <v>1487</v>
      </c>
      <c r="RAU989" s="16" t="s">
        <v>1487</v>
      </c>
      <c r="RAV989" s="16" t="s">
        <v>1487</v>
      </c>
      <c r="RAW989" s="16" t="s">
        <v>1487</v>
      </c>
      <c r="RAX989" s="16" t="s">
        <v>1487</v>
      </c>
      <c r="RAY989" s="16" t="s">
        <v>1487</v>
      </c>
      <c r="RAZ989" s="16" t="s">
        <v>1487</v>
      </c>
      <c r="RBA989" s="16" t="s">
        <v>1487</v>
      </c>
      <c r="RBB989" s="16" t="s">
        <v>1487</v>
      </c>
      <c r="RBC989" s="16" t="s">
        <v>1487</v>
      </c>
      <c r="RBD989" s="16" t="s">
        <v>1487</v>
      </c>
      <c r="RBE989" s="16" t="s">
        <v>1487</v>
      </c>
      <c r="RBF989" s="16" t="s">
        <v>1487</v>
      </c>
      <c r="RBG989" s="16" t="s">
        <v>1487</v>
      </c>
      <c r="RBH989" s="16" t="s">
        <v>1487</v>
      </c>
      <c r="RBI989" s="16" t="s">
        <v>1487</v>
      </c>
      <c r="RBJ989" s="16" t="s">
        <v>1487</v>
      </c>
      <c r="RBK989" s="16" t="s">
        <v>1487</v>
      </c>
      <c r="RBL989" s="16" t="s">
        <v>1487</v>
      </c>
      <c r="RBM989" s="16" t="s">
        <v>1487</v>
      </c>
      <c r="RBN989" s="16" t="s">
        <v>1487</v>
      </c>
      <c r="RBO989" s="16" t="s">
        <v>1487</v>
      </c>
      <c r="RBP989" s="16" t="s">
        <v>1487</v>
      </c>
      <c r="RBQ989" s="16" t="s">
        <v>1487</v>
      </c>
      <c r="RBR989" s="16" t="s">
        <v>1487</v>
      </c>
      <c r="RBS989" s="16" t="s">
        <v>1487</v>
      </c>
      <c r="RBT989" s="16" t="s">
        <v>1487</v>
      </c>
      <c r="RBU989" s="16" t="s">
        <v>1487</v>
      </c>
      <c r="RBV989" s="16" t="s">
        <v>1487</v>
      </c>
      <c r="RBW989" s="16" t="s">
        <v>1487</v>
      </c>
      <c r="RBX989" s="16" t="s">
        <v>1487</v>
      </c>
      <c r="RBY989" s="16" t="s">
        <v>1487</v>
      </c>
      <c r="RBZ989" s="16" t="s">
        <v>1487</v>
      </c>
      <c r="RCA989" s="16" t="s">
        <v>1487</v>
      </c>
      <c r="RCB989" s="16" t="s">
        <v>1487</v>
      </c>
      <c r="RCC989" s="16" t="s">
        <v>1487</v>
      </c>
      <c r="RCD989" s="16" t="s">
        <v>1487</v>
      </c>
      <c r="RCE989" s="16" t="s">
        <v>1487</v>
      </c>
      <c r="RCF989" s="16" t="s">
        <v>1487</v>
      </c>
      <c r="RCG989" s="16" t="s">
        <v>1487</v>
      </c>
      <c r="RCH989" s="16" t="s">
        <v>1487</v>
      </c>
      <c r="RCI989" s="16" t="s">
        <v>1487</v>
      </c>
      <c r="RCJ989" s="16" t="s">
        <v>1487</v>
      </c>
      <c r="RCK989" s="16" t="s">
        <v>1487</v>
      </c>
      <c r="RCL989" s="16" t="s">
        <v>1487</v>
      </c>
      <c r="RCM989" s="16" t="s">
        <v>1487</v>
      </c>
      <c r="RCN989" s="16" t="s">
        <v>1487</v>
      </c>
      <c r="RCO989" s="16" t="s">
        <v>1487</v>
      </c>
      <c r="RCP989" s="16" t="s">
        <v>1487</v>
      </c>
      <c r="RCQ989" s="16" t="s">
        <v>1487</v>
      </c>
      <c r="RCR989" s="16" t="s">
        <v>1487</v>
      </c>
      <c r="RCS989" s="16" t="s">
        <v>1487</v>
      </c>
      <c r="RCT989" s="16" t="s">
        <v>1487</v>
      </c>
      <c r="RCU989" s="16" t="s">
        <v>1487</v>
      </c>
      <c r="RCV989" s="16" t="s">
        <v>1487</v>
      </c>
      <c r="RCW989" s="16" t="s">
        <v>1487</v>
      </c>
      <c r="RCX989" s="16" t="s">
        <v>1487</v>
      </c>
      <c r="RCY989" s="16" t="s">
        <v>1487</v>
      </c>
      <c r="RCZ989" s="16" t="s">
        <v>1487</v>
      </c>
      <c r="RDA989" s="16" t="s">
        <v>1487</v>
      </c>
      <c r="RDB989" s="16" t="s">
        <v>1487</v>
      </c>
      <c r="RDC989" s="16" t="s">
        <v>1487</v>
      </c>
      <c r="RDD989" s="16" t="s">
        <v>1487</v>
      </c>
      <c r="RDE989" s="16" t="s">
        <v>1487</v>
      </c>
      <c r="RDF989" s="16" t="s">
        <v>1487</v>
      </c>
      <c r="RDG989" s="16" t="s">
        <v>1487</v>
      </c>
      <c r="RDH989" s="16" t="s">
        <v>1487</v>
      </c>
      <c r="RDI989" s="16" t="s">
        <v>1487</v>
      </c>
      <c r="RDJ989" s="16" t="s">
        <v>1487</v>
      </c>
      <c r="RDK989" s="16" t="s">
        <v>1487</v>
      </c>
      <c r="RDL989" s="16" t="s">
        <v>1487</v>
      </c>
      <c r="RDM989" s="16" t="s">
        <v>1487</v>
      </c>
      <c r="RDN989" s="16" t="s">
        <v>1487</v>
      </c>
      <c r="RDO989" s="16" t="s">
        <v>1487</v>
      </c>
      <c r="RDP989" s="16" t="s">
        <v>1487</v>
      </c>
      <c r="RDQ989" s="16" t="s">
        <v>1487</v>
      </c>
      <c r="RDR989" s="16" t="s">
        <v>1487</v>
      </c>
      <c r="RDS989" s="16" t="s">
        <v>1487</v>
      </c>
      <c r="RDT989" s="16" t="s">
        <v>1487</v>
      </c>
      <c r="RDU989" s="16" t="s">
        <v>1487</v>
      </c>
      <c r="RDV989" s="16" t="s">
        <v>1487</v>
      </c>
      <c r="RDW989" s="16" t="s">
        <v>1487</v>
      </c>
      <c r="RDX989" s="16" t="s">
        <v>1487</v>
      </c>
      <c r="RDY989" s="16" t="s">
        <v>1487</v>
      </c>
      <c r="RDZ989" s="16" t="s">
        <v>1487</v>
      </c>
      <c r="REA989" s="16" t="s">
        <v>1487</v>
      </c>
      <c r="REB989" s="16" t="s">
        <v>1487</v>
      </c>
      <c r="REC989" s="16" t="s">
        <v>1487</v>
      </c>
      <c r="RED989" s="16" t="s">
        <v>1487</v>
      </c>
      <c r="REE989" s="16" t="s">
        <v>1487</v>
      </c>
      <c r="REF989" s="16" t="s">
        <v>1487</v>
      </c>
      <c r="REG989" s="16" t="s">
        <v>1487</v>
      </c>
      <c r="REH989" s="16" t="s">
        <v>1487</v>
      </c>
      <c r="REI989" s="16" t="s">
        <v>1487</v>
      </c>
      <c r="REJ989" s="16" t="s">
        <v>1487</v>
      </c>
      <c r="REK989" s="16" t="s">
        <v>1487</v>
      </c>
      <c r="REL989" s="16" t="s">
        <v>1487</v>
      </c>
      <c r="REM989" s="16" t="s">
        <v>1487</v>
      </c>
      <c r="REN989" s="16" t="s">
        <v>1487</v>
      </c>
      <c r="REO989" s="16" t="s">
        <v>1487</v>
      </c>
      <c r="REP989" s="16" t="s">
        <v>1487</v>
      </c>
      <c r="REQ989" s="16" t="s">
        <v>1487</v>
      </c>
      <c r="RER989" s="16" t="s">
        <v>1487</v>
      </c>
      <c r="RES989" s="16" t="s">
        <v>1487</v>
      </c>
      <c r="RET989" s="16" t="s">
        <v>1487</v>
      </c>
      <c r="REU989" s="16" t="s">
        <v>1487</v>
      </c>
      <c r="REV989" s="16" t="s">
        <v>1487</v>
      </c>
      <c r="REW989" s="16" t="s">
        <v>1487</v>
      </c>
      <c r="REX989" s="16" t="s">
        <v>1487</v>
      </c>
      <c r="REY989" s="16" t="s">
        <v>1487</v>
      </c>
      <c r="REZ989" s="16" t="s">
        <v>1487</v>
      </c>
      <c r="RFA989" s="16" t="s">
        <v>1487</v>
      </c>
      <c r="RFB989" s="16" t="s">
        <v>1487</v>
      </c>
      <c r="RFC989" s="16" t="s">
        <v>1487</v>
      </c>
      <c r="RFD989" s="16" t="s">
        <v>1487</v>
      </c>
      <c r="RFE989" s="16" t="s">
        <v>1487</v>
      </c>
      <c r="RFF989" s="16" t="s">
        <v>1487</v>
      </c>
      <c r="RFG989" s="16" t="s">
        <v>1487</v>
      </c>
      <c r="RFH989" s="16" t="s">
        <v>1487</v>
      </c>
      <c r="RFI989" s="16" t="s">
        <v>1487</v>
      </c>
      <c r="RFJ989" s="16" t="s">
        <v>1487</v>
      </c>
      <c r="RFK989" s="16" t="s">
        <v>1487</v>
      </c>
      <c r="RFL989" s="16" t="s">
        <v>1487</v>
      </c>
      <c r="RFM989" s="16" t="s">
        <v>1487</v>
      </c>
      <c r="RFN989" s="16" t="s">
        <v>1487</v>
      </c>
      <c r="RFO989" s="16" t="s">
        <v>1487</v>
      </c>
      <c r="RFP989" s="16" t="s">
        <v>1487</v>
      </c>
      <c r="RFQ989" s="16" t="s">
        <v>1487</v>
      </c>
      <c r="RFR989" s="16" t="s">
        <v>1487</v>
      </c>
      <c r="RFS989" s="16" t="s">
        <v>1487</v>
      </c>
      <c r="RFT989" s="16" t="s">
        <v>1487</v>
      </c>
      <c r="RFU989" s="16" t="s">
        <v>1487</v>
      </c>
      <c r="RFV989" s="16" t="s">
        <v>1487</v>
      </c>
      <c r="RFW989" s="16" t="s">
        <v>1487</v>
      </c>
      <c r="RFX989" s="16" t="s">
        <v>1487</v>
      </c>
      <c r="RFY989" s="16" t="s">
        <v>1487</v>
      </c>
      <c r="RFZ989" s="16" t="s">
        <v>1487</v>
      </c>
      <c r="RGA989" s="16" t="s">
        <v>1487</v>
      </c>
      <c r="RGB989" s="16" t="s">
        <v>1487</v>
      </c>
      <c r="RGC989" s="16" t="s">
        <v>1487</v>
      </c>
      <c r="RGD989" s="16" t="s">
        <v>1487</v>
      </c>
      <c r="RGE989" s="16" t="s">
        <v>1487</v>
      </c>
      <c r="RGF989" s="16" t="s">
        <v>1487</v>
      </c>
      <c r="RGG989" s="16" t="s">
        <v>1487</v>
      </c>
      <c r="RGH989" s="16" t="s">
        <v>1487</v>
      </c>
      <c r="RGI989" s="16" t="s">
        <v>1487</v>
      </c>
      <c r="RGJ989" s="16" t="s">
        <v>1487</v>
      </c>
      <c r="RGK989" s="16" t="s">
        <v>1487</v>
      </c>
      <c r="RGL989" s="16" t="s">
        <v>1487</v>
      </c>
      <c r="RGM989" s="16" t="s">
        <v>1487</v>
      </c>
      <c r="RGN989" s="16" t="s">
        <v>1487</v>
      </c>
      <c r="RGO989" s="16" t="s">
        <v>1487</v>
      </c>
      <c r="RGP989" s="16" t="s">
        <v>1487</v>
      </c>
      <c r="RGQ989" s="16" t="s">
        <v>1487</v>
      </c>
      <c r="RGR989" s="16" t="s">
        <v>1487</v>
      </c>
      <c r="RGS989" s="16" t="s">
        <v>1487</v>
      </c>
      <c r="RGT989" s="16" t="s">
        <v>1487</v>
      </c>
      <c r="RGU989" s="16" t="s">
        <v>1487</v>
      </c>
      <c r="RGV989" s="16" t="s">
        <v>1487</v>
      </c>
      <c r="RGW989" s="16" t="s">
        <v>1487</v>
      </c>
      <c r="RGX989" s="16" t="s">
        <v>1487</v>
      </c>
      <c r="RGY989" s="16" t="s">
        <v>1487</v>
      </c>
      <c r="RGZ989" s="16" t="s">
        <v>1487</v>
      </c>
      <c r="RHA989" s="16" t="s">
        <v>1487</v>
      </c>
      <c r="RHB989" s="16" t="s">
        <v>1487</v>
      </c>
      <c r="RHC989" s="16" t="s">
        <v>1487</v>
      </c>
      <c r="RHD989" s="16" t="s">
        <v>1487</v>
      </c>
      <c r="RHE989" s="16" t="s">
        <v>1487</v>
      </c>
      <c r="RHF989" s="16" t="s">
        <v>1487</v>
      </c>
      <c r="RHG989" s="16" t="s">
        <v>1487</v>
      </c>
      <c r="RHH989" s="16" t="s">
        <v>1487</v>
      </c>
      <c r="RHI989" s="16" t="s">
        <v>1487</v>
      </c>
      <c r="RHJ989" s="16" t="s">
        <v>1487</v>
      </c>
      <c r="RHK989" s="16" t="s">
        <v>1487</v>
      </c>
      <c r="RHL989" s="16" t="s">
        <v>1487</v>
      </c>
      <c r="RHM989" s="16" t="s">
        <v>1487</v>
      </c>
      <c r="RHN989" s="16" t="s">
        <v>1487</v>
      </c>
      <c r="RHO989" s="16" t="s">
        <v>1487</v>
      </c>
      <c r="RHP989" s="16" t="s">
        <v>1487</v>
      </c>
      <c r="RHQ989" s="16" t="s">
        <v>1487</v>
      </c>
      <c r="RHR989" s="16" t="s">
        <v>1487</v>
      </c>
      <c r="RHS989" s="16" t="s">
        <v>1487</v>
      </c>
      <c r="RHT989" s="16" t="s">
        <v>1487</v>
      </c>
      <c r="RHU989" s="16" t="s">
        <v>1487</v>
      </c>
      <c r="RHV989" s="16" t="s">
        <v>1487</v>
      </c>
      <c r="RHW989" s="16" t="s">
        <v>1487</v>
      </c>
      <c r="RHX989" s="16" t="s">
        <v>1487</v>
      </c>
      <c r="RHY989" s="16" t="s">
        <v>1487</v>
      </c>
      <c r="RHZ989" s="16" t="s">
        <v>1487</v>
      </c>
      <c r="RIA989" s="16" t="s">
        <v>1487</v>
      </c>
      <c r="RIB989" s="16" t="s">
        <v>1487</v>
      </c>
      <c r="RIC989" s="16" t="s">
        <v>1487</v>
      </c>
      <c r="RID989" s="16" t="s">
        <v>1487</v>
      </c>
      <c r="RIE989" s="16" t="s">
        <v>1487</v>
      </c>
      <c r="RIF989" s="16" t="s">
        <v>1487</v>
      </c>
      <c r="RIG989" s="16" t="s">
        <v>1487</v>
      </c>
      <c r="RIH989" s="16" t="s">
        <v>1487</v>
      </c>
      <c r="RII989" s="16" t="s">
        <v>1487</v>
      </c>
      <c r="RIJ989" s="16" t="s">
        <v>1487</v>
      </c>
      <c r="RIK989" s="16" t="s">
        <v>1487</v>
      </c>
      <c r="RIL989" s="16" t="s">
        <v>1487</v>
      </c>
      <c r="RIM989" s="16" t="s">
        <v>1487</v>
      </c>
      <c r="RIN989" s="16" t="s">
        <v>1487</v>
      </c>
      <c r="RIO989" s="16" t="s">
        <v>1487</v>
      </c>
      <c r="RIP989" s="16" t="s">
        <v>1487</v>
      </c>
      <c r="RIQ989" s="16" t="s">
        <v>1487</v>
      </c>
      <c r="RIR989" s="16" t="s">
        <v>1487</v>
      </c>
      <c r="RIS989" s="16" t="s">
        <v>1487</v>
      </c>
      <c r="RIT989" s="16" t="s">
        <v>1487</v>
      </c>
      <c r="RIU989" s="16" t="s">
        <v>1487</v>
      </c>
      <c r="RIV989" s="16" t="s">
        <v>1487</v>
      </c>
      <c r="RIW989" s="16" t="s">
        <v>1487</v>
      </c>
      <c r="RIX989" s="16" t="s">
        <v>1487</v>
      </c>
      <c r="RIY989" s="16" t="s">
        <v>1487</v>
      </c>
      <c r="RIZ989" s="16" t="s">
        <v>1487</v>
      </c>
      <c r="RJA989" s="16" t="s">
        <v>1487</v>
      </c>
      <c r="RJB989" s="16" t="s">
        <v>1487</v>
      </c>
      <c r="RJC989" s="16" t="s">
        <v>1487</v>
      </c>
      <c r="RJD989" s="16" t="s">
        <v>1487</v>
      </c>
      <c r="RJE989" s="16" t="s">
        <v>1487</v>
      </c>
      <c r="RJF989" s="16" t="s">
        <v>1487</v>
      </c>
      <c r="RJG989" s="16" t="s">
        <v>1487</v>
      </c>
      <c r="RJH989" s="16" t="s">
        <v>1487</v>
      </c>
      <c r="RJI989" s="16" t="s">
        <v>1487</v>
      </c>
      <c r="RJJ989" s="16" t="s">
        <v>1487</v>
      </c>
      <c r="RJK989" s="16" t="s">
        <v>1487</v>
      </c>
      <c r="RJL989" s="16" t="s">
        <v>1487</v>
      </c>
      <c r="RJM989" s="16" t="s">
        <v>1487</v>
      </c>
      <c r="RJN989" s="16" t="s">
        <v>1487</v>
      </c>
      <c r="RJO989" s="16" t="s">
        <v>1487</v>
      </c>
      <c r="RJP989" s="16" t="s">
        <v>1487</v>
      </c>
      <c r="RJQ989" s="16" t="s">
        <v>1487</v>
      </c>
      <c r="RJR989" s="16" t="s">
        <v>1487</v>
      </c>
      <c r="RJS989" s="16" t="s">
        <v>1487</v>
      </c>
      <c r="RJT989" s="16" t="s">
        <v>1487</v>
      </c>
      <c r="RJU989" s="16" t="s">
        <v>1487</v>
      </c>
      <c r="RJV989" s="16" t="s">
        <v>1487</v>
      </c>
      <c r="RJW989" s="16" t="s">
        <v>1487</v>
      </c>
      <c r="RJX989" s="16" t="s">
        <v>1487</v>
      </c>
      <c r="RJY989" s="16" t="s">
        <v>1487</v>
      </c>
      <c r="RJZ989" s="16" t="s">
        <v>1487</v>
      </c>
      <c r="RKA989" s="16" t="s">
        <v>1487</v>
      </c>
      <c r="RKB989" s="16" t="s">
        <v>1487</v>
      </c>
      <c r="RKC989" s="16" t="s">
        <v>1487</v>
      </c>
      <c r="RKD989" s="16" t="s">
        <v>1487</v>
      </c>
      <c r="RKE989" s="16" t="s">
        <v>1487</v>
      </c>
      <c r="RKF989" s="16" t="s">
        <v>1487</v>
      </c>
      <c r="RKG989" s="16" t="s">
        <v>1487</v>
      </c>
      <c r="RKH989" s="16" t="s">
        <v>1487</v>
      </c>
      <c r="RKI989" s="16" t="s">
        <v>1487</v>
      </c>
      <c r="RKJ989" s="16" t="s">
        <v>1487</v>
      </c>
      <c r="RKK989" s="16" t="s">
        <v>1487</v>
      </c>
      <c r="RKL989" s="16" t="s">
        <v>1487</v>
      </c>
      <c r="RKM989" s="16" t="s">
        <v>1487</v>
      </c>
      <c r="RKN989" s="16" t="s">
        <v>1487</v>
      </c>
      <c r="RKO989" s="16" t="s">
        <v>1487</v>
      </c>
      <c r="RKP989" s="16" t="s">
        <v>1487</v>
      </c>
      <c r="RKQ989" s="16" t="s">
        <v>1487</v>
      </c>
      <c r="RKR989" s="16" t="s">
        <v>1487</v>
      </c>
      <c r="RKS989" s="16" t="s">
        <v>1487</v>
      </c>
      <c r="RKT989" s="16" t="s">
        <v>1487</v>
      </c>
      <c r="RKU989" s="16" t="s">
        <v>1487</v>
      </c>
      <c r="RKV989" s="16" t="s">
        <v>1487</v>
      </c>
      <c r="RKW989" s="16" t="s">
        <v>1487</v>
      </c>
      <c r="RKX989" s="16" t="s">
        <v>1487</v>
      </c>
      <c r="RKY989" s="16" t="s">
        <v>1487</v>
      </c>
      <c r="RKZ989" s="16" t="s">
        <v>1487</v>
      </c>
      <c r="RLA989" s="16" t="s">
        <v>1487</v>
      </c>
      <c r="RLB989" s="16" t="s">
        <v>1487</v>
      </c>
      <c r="RLC989" s="16" t="s">
        <v>1487</v>
      </c>
      <c r="RLD989" s="16" t="s">
        <v>1487</v>
      </c>
      <c r="RLE989" s="16" t="s">
        <v>1487</v>
      </c>
      <c r="RLF989" s="16" t="s">
        <v>1487</v>
      </c>
      <c r="RLG989" s="16" t="s">
        <v>1487</v>
      </c>
      <c r="RLH989" s="16" t="s">
        <v>1487</v>
      </c>
      <c r="RLI989" s="16" t="s">
        <v>1487</v>
      </c>
      <c r="RLJ989" s="16" t="s">
        <v>1487</v>
      </c>
      <c r="RLK989" s="16" t="s">
        <v>1487</v>
      </c>
      <c r="RLL989" s="16" t="s">
        <v>1487</v>
      </c>
      <c r="RLM989" s="16" t="s">
        <v>1487</v>
      </c>
      <c r="RLN989" s="16" t="s">
        <v>1487</v>
      </c>
      <c r="RLO989" s="16" t="s">
        <v>1487</v>
      </c>
      <c r="RLP989" s="16" t="s">
        <v>1487</v>
      </c>
      <c r="RLQ989" s="16" t="s">
        <v>1487</v>
      </c>
      <c r="RLR989" s="16" t="s">
        <v>1487</v>
      </c>
      <c r="RLS989" s="16" t="s">
        <v>1487</v>
      </c>
      <c r="RLT989" s="16" t="s">
        <v>1487</v>
      </c>
      <c r="RLU989" s="16" t="s">
        <v>1487</v>
      </c>
      <c r="RLV989" s="16" t="s">
        <v>1487</v>
      </c>
      <c r="RLW989" s="16" t="s">
        <v>1487</v>
      </c>
      <c r="RLX989" s="16" t="s">
        <v>1487</v>
      </c>
      <c r="RLY989" s="16" t="s">
        <v>1487</v>
      </c>
      <c r="RLZ989" s="16" t="s">
        <v>1487</v>
      </c>
      <c r="RMA989" s="16" t="s">
        <v>1487</v>
      </c>
      <c r="RMB989" s="16" t="s">
        <v>1487</v>
      </c>
      <c r="RMC989" s="16" t="s">
        <v>1487</v>
      </c>
      <c r="RMD989" s="16" t="s">
        <v>1487</v>
      </c>
      <c r="RME989" s="16" t="s">
        <v>1487</v>
      </c>
      <c r="RMF989" s="16" t="s">
        <v>1487</v>
      </c>
      <c r="RMG989" s="16" t="s">
        <v>1487</v>
      </c>
      <c r="RMH989" s="16" t="s">
        <v>1487</v>
      </c>
      <c r="RMI989" s="16" t="s">
        <v>1487</v>
      </c>
      <c r="RMJ989" s="16" t="s">
        <v>1487</v>
      </c>
      <c r="RMK989" s="16" t="s">
        <v>1487</v>
      </c>
      <c r="RML989" s="16" t="s">
        <v>1487</v>
      </c>
      <c r="RMM989" s="16" t="s">
        <v>1487</v>
      </c>
      <c r="RMN989" s="16" t="s">
        <v>1487</v>
      </c>
      <c r="RMO989" s="16" t="s">
        <v>1487</v>
      </c>
      <c r="RMP989" s="16" t="s">
        <v>1487</v>
      </c>
      <c r="RMQ989" s="16" t="s">
        <v>1487</v>
      </c>
      <c r="RMR989" s="16" t="s">
        <v>1487</v>
      </c>
      <c r="RMS989" s="16" t="s">
        <v>1487</v>
      </c>
      <c r="RMT989" s="16" t="s">
        <v>1487</v>
      </c>
      <c r="RMU989" s="16" t="s">
        <v>1487</v>
      </c>
      <c r="RMV989" s="16" t="s">
        <v>1487</v>
      </c>
      <c r="RMW989" s="16" t="s">
        <v>1487</v>
      </c>
      <c r="RMX989" s="16" t="s">
        <v>1487</v>
      </c>
      <c r="RMY989" s="16" t="s">
        <v>1487</v>
      </c>
      <c r="RMZ989" s="16" t="s">
        <v>1487</v>
      </c>
      <c r="RNA989" s="16" t="s">
        <v>1487</v>
      </c>
      <c r="RNB989" s="16" t="s">
        <v>1487</v>
      </c>
      <c r="RNC989" s="16" t="s">
        <v>1487</v>
      </c>
      <c r="RND989" s="16" t="s">
        <v>1487</v>
      </c>
      <c r="RNE989" s="16" t="s">
        <v>1487</v>
      </c>
      <c r="RNF989" s="16" t="s">
        <v>1487</v>
      </c>
      <c r="RNG989" s="16" t="s">
        <v>1487</v>
      </c>
      <c r="RNH989" s="16" t="s">
        <v>1487</v>
      </c>
      <c r="RNI989" s="16" t="s">
        <v>1487</v>
      </c>
      <c r="RNJ989" s="16" t="s">
        <v>1487</v>
      </c>
      <c r="RNK989" s="16" t="s">
        <v>1487</v>
      </c>
      <c r="RNL989" s="16" t="s">
        <v>1487</v>
      </c>
      <c r="RNM989" s="16" t="s">
        <v>1487</v>
      </c>
      <c r="RNN989" s="16" t="s">
        <v>1487</v>
      </c>
      <c r="RNO989" s="16" t="s">
        <v>1487</v>
      </c>
      <c r="RNP989" s="16" t="s">
        <v>1487</v>
      </c>
      <c r="RNQ989" s="16" t="s">
        <v>1487</v>
      </c>
      <c r="RNR989" s="16" t="s">
        <v>1487</v>
      </c>
      <c r="RNS989" s="16" t="s">
        <v>1487</v>
      </c>
      <c r="RNT989" s="16" t="s">
        <v>1487</v>
      </c>
      <c r="RNU989" s="16" t="s">
        <v>1487</v>
      </c>
      <c r="RNV989" s="16" t="s">
        <v>1487</v>
      </c>
      <c r="RNW989" s="16" t="s">
        <v>1487</v>
      </c>
      <c r="RNX989" s="16" t="s">
        <v>1487</v>
      </c>
      <c r="RNY989" s="16" t="s">
        <v>1487</v>
      </c>
      <c r="RNZ989" s="16" t="s">
        <v>1487</v>
      </c>
      <c r="ROA989" s="16" t="s">
        <v>1487</v>
      </c>
      <c r="ROB989" s="16" t="s">
        <v>1487</v>
      </c>
      <c r="ROC989" s="16" t="s">
        <v>1487</v>
      </c>
      <c r="ROD989" s="16" t="s">
        <v>1487</v>
      </c>
      <c r="ROE989" s="16" t="s">
        <v>1487</v>
      </c>
      <c r="ROF989" s="16" t="s">
        <v>1487</v>
      </c>
      <c r="ROG989" s="16" t="s">
        <v>1487</v>
      </c>
      <c r="ROH989" s="16" t="s">
        <v>1487</v>
      </c>
      <c r="ROI989" s="16" t="s">
        <v>1487</v>
      </c>
      <c r="ROJ989" s="16" t="s">
        <v>1487</v>
      </c>
      <c r="ROK989" s="16" t="s">
        <v>1487</v>
      </c>
      <c r="ROL989" s="16" t="s">
        <v>1487</v>
      </c>
      <c r="ROM989" s="16" t="s">
        <v>1487</v>
      </c>
      <c r="RON989" s="16" t="s">
        <v>1487</v>
      </c>
      <c r="ROO989" s="16" t="s">
        <v>1487</v>
      </c>
      <c r="ROP989" s="16" t="s">
        <v>1487</v>
      </c>
      <c r="ROQ989" s="16" t="s">
        <v>1487</v>
      </c>
      <c r="ROR989" s="16" t="s">
        <v>1487</v>
      </c>
      <c r="ROS989" s="16" t="s">
        <v>1487</v>
      </c>
      <c r="ROT989" s="16" t="s">
        <v>1487</v>
      </c>
      <c r="ROU989" s="16" t="s">
        <v>1487</v>
      </c>
      <c r="ROV989" s="16" t="s">
        <v>1487</v>
      </c>
      <c r="ROW989" s="16" t="s">
        <v>1487</v>
      </c>
      <c r="ROX989" s="16" t="s">
        <v>1487</v>
      </c>
      <c r="ROY989" s="16" t="s">
        <v>1487</v>
      </c>
      <c r="ROZ989" s="16" t="s">
        <v>1487</v>
      </c>
      <c r="RPA989" s="16" t="s">
        <v>1487</v>
      </c>
      <c r="RPB989" s="16" t="s">
        <v>1487</v>
      </c>
      <c r="RPC989" s="16" t="s">
        <v>1487</v>
      </c>
      <c r="RPD989" s="16" t="s">
        <v>1487</v>
      </c>
      <c r="RPE989" s="16" t="s">
        <v>1487</v>
      </c>
      <c r="RPF989" s="16" t="s">
        <v>1487</v>
      </c>
      <c r="RPG989" s="16" t="s">
        <v>1487</v>
      </c>
      <c r="RPH989" s="16" t="s">
        <v>1487</v>
      </c>
      <c r="RPI989" s="16" t="s">
        <v>1487</v>
      </c>
      <c r="RPJ989" s="16" t="s">
        <v>1487</v>
      </c>
      <c r="RPK989" s="16" t="s">
        <v>1487</v>
      </c>
      <c r="RPL989" s="16" t="s">
        <v>1487</v>
      </c>
      <c r="RPM989" s="16" t="s">
        <v>1487</v>
      </c>
      <c r="RPN989" s="16" t="s">
        <v>1487</v>
      </c>
      <c r="RPO989" s="16" t="s">
        <v>1487</v>
      </c>
      <c r="RPP989" s="16" t="s">
        <v>1487</v>
      </c>
      <c r="RPQ989" s="16" t="s">
        <v>1487</v>
      </c>
      <c r="RPR989" s="16" t="s">
        <v>1487</v>
      </c>
      <c r="RPS989" s="16" t="s">
        <v>1487</v>
      </c>
      <c r="RPT989" s="16" t="s">
        <v>1487</v>
      </c>
      <c r="RPU989" s="16" t="s">
        <v>1487</v>
      </c>
      <c r="RPV989" s="16" t="s">
        <v>1487</v>
      </c>
      <c r="RPW989" s="16" t="s">
        <v>1487</v>
      </c>
      <c r="RPX989" s="16" t="s">
        <v>1487</v>
      </c>
      <c r="RPY989" s="16" t="s">
        <v>1487</v>
      </c>
      <c r="RPZ989" s="16" t="s">
        <v>1487</v>
      </c>
      <c r="RQA989" s="16" t="s">
        <v>1487</v>
      </c>
      <c r="RQB989" s="16" t="s">
        <v>1487</v>
      </c>
      <c r="RQC989" s="16" t="s">
        <v>1487</v>
      </c>
      <c r="RQD989" s="16" t="s">
        <v>1487</v>
      </c>
      <c r="RQE989" s="16" t="s">
        <v>1487</v>
      </c>
      <c r="RQF989" s="16" t="s">
        <v>1487</v>
      </c>
      <c r="RQG989" s="16" t="s">
        <v>1487</v>
      </c>
      <c r="RQH989" s="16" t="s">
        <v>1487</v>
      </c>
      <c r="RQI989" s="16" t="s">
        <v>1487</v>
      </c>
      <c r="RQJ989" s="16" t="s">
        <v>1487</v>
      </c>
      <c r="RQK989" s="16" t="s">
        <v>1487</v>
      </c>
      <c r="RQL989" s="16" t="s">
        <v>1487</v>
      </c>
      <c r="RQM989" s="16" t="s">
        <v>1487</v>
      </c>
      <c r="RQN989" s="16" t="s">
        <v>1487</v>
      </c>
      <c r="RQO989" s="16" t="s">
        <v>1487</v>
      </c>
      <c r="RQP989" s="16" t="s">
        <v>1487</v>
      </c>
      <c r="RQQ989" s="16" t="s">
        <v>1487</v>
      </c>
      <c r="RQR989" s="16" t="s">
        <v>1487</v>
      </c>
      <c r="RQS989" s="16" t="s">
        <v>1487</v>
      </c>
      <c r="RQT989" s="16" t="s">
        <v>1487</v>
      </c>
      <c r="RQU989" s="16" t="s">
        <v>1487</v>
      </c>
      <c r="RQV989" s="16" t="s">
        <v>1487</v>
      </c>
      <c r="RQW989" s="16" t="s">
        <v>1487</v>
      </c>
      <c r="RQX989" s="16" t="s">
        <v>1487</v>
      </c>
      <c r="RQY989" s="16" t="s">
        <v>1487</v>
      </c>
      <c r="RQZ989" s="16" t="s">
        <v>1487</v>
      </c>
      <c r="RRA989" s="16" t="s">
        <v>1487</v>
      </c>
      <c r="RRB989" s="16" t="s">
        <v>1487</v>
      </c>
      <c r="RRC989" s="16" t="s">
        <v>1487</v>
      </c>
      <c r="RRD989" s="16" t="s">
        <v>1487</v>
      </c>
      <c r="RRE989" s="16" t="s">
        <v>1487</v>
      </c>
      <c r="RRF989" s="16" t="s">
        <v>1487</v>
      </c>
      <c r="RRG989" s="16" t="s">
        <v>1487</v>
      </c>
      <c r="RRH989" s="16" t="s">
        <v>1487</v>
      </c>
      <c r="RRI989" s="16" t="s">
        <v>1487</v>
      </c>
      <c r="RRJ989" s="16" t="s">
        <v>1487</v>
      </c>
      <c r="RRK989" s="16" t="s">
        <v>1487</v>
      </c>
      <c r="RRL989" s="16" t="s">
        <v>1487</v>
      </c>
      <c r="RRM989" s="16" t="s">
        <v>1487</v>
      </c>
      <c r="RRN989" s="16" t="s">
        <v>1487</v>
      </c>
      <c r="RRO989" s="16" t="s">
        <v>1487</v>
      </c>
      <c r="RRP989" s="16" t="s">
        <v>1487</v>
      </c>
      <c r="RRQ989" s="16" t="s">
        <v>1487</v>
      </c>
      <c r="RRR989" s="16" t="s">
        <v>1487</v>
      </c>
      <c r="RRS989" s="16" t="s">
        <v>1487</v>
      </c>
      <c r="RRT989" s="16" t="s">
        <v>1487</v>
      </c>
      <c r="RRU989" s="16" t="s">
        <v>1487</v>
      </c>
      <c r="RRV989" s="16" t="s">
        <v>1487</v>
      </c>
      <c r="RRW989" s="16" t="s">
        <v>1487</v>
      </c>
      <c r="RRX989" s="16" t="s">
        <v>1487</v>
      </c>
      <c r="RRY989" s="16" t="s">
        <v>1487</v>
      </c>
      <c r="RRZ989" s="16" t="s">
        <v>1487</v>
      </c>
      <c r="RSA989" s="16" t="s">
        <v>1487</v>
      </c>
      <c r="RSB989" s="16" t="s">
        <v>1487</v>
      </c>
      <c r="RSC989" s="16" t="s">
        <v>1487</v>
      </c>
      <c r="RSD989" s="16" t="s">
        <v>1487</v>
      </c>
      <c r="RSE989" s="16" t="s">
        <v>1487</v>
      </c>
      <c r="RSF989" s="16" t="s">
        <v>1487</v>
      </c>
      <c r="RSG989" s="16" t="s">
        <v>1487</v>
      </c>
      <c r="RSH989" s="16" t="s">
        <v>1487</v>
      </c>
      <c r="RSI989" s="16" t="s">
        <v>1487</v>
      </c>
      <c r="RSJ989" s="16" t="s">
        <v>1487</v>
      </c>
      <c r="RSK989" s="16" t="s">
        <v>1487</v>
      </c>
      <c r="RSL989" s="16" t="s">
        <v>1487</v>
      </c>
      <c r="RSM989" s="16" t="s">
        <v>1487</v>
      </c>
      <c r="RSN989" s="16" t="s">
        <v>1487</v>
      </c>
      <c r="RSO989" s="16" t="s">
        <v>1487</v>
      </c>
      <c r="RSP989" s="16" t="s">
        <v>1487</v>
      </c>
      <c r="RSQ989" s="16" t="s">
        <v>1487</v>
      </c>
      <c r="RSR989" s="16" t="s">
        <v>1487</v>
      </c>
      <c r="RSS989" s="16" t="s">
        <v>1487</v>
      </c>
      <c r="RST989" s="16" t="s">
        <v>1487</v>
      </c>
      <c r="RSU989" s="16" t="s">
        <v>1487</v>
      </c>
      <c r="RSV989" s="16" t="s">
        <v>1487</v>
      </c>
      <c r="RSW989" s="16" t="s">
        <v>1487</v>
      </c>
      <c r="RSX989" s="16" t="s">
        <v>1487</v>
      </c>
      <c r="RSY989" s="16" t="s">
        <v>1487</v>
      </c>
      <c r="RSZ989" s="16" t="s">
        <v>1487</v>
      </c>
      <c r="RTA989" s="16" t="s">
        <v>1487</v>
      </c>
      <c r="RTB989" s="16" t="s">
        <v>1487</v>
      </c>
      <c r="RTC989" s="16" t="s">
        <v>1487</v>
      </c>
      <c r="RTD989" s="16" t="s">
        <v>1487</v>
      </c>
      <c r="RTE989" s="16" t="s">
        <v>1487</v>
      </c>
      <c r="RTF989" s="16" t="s">
        <v>1487</v>
      </c>
      <c r="RTG989" s="16" t="s">
        <v>1487</v>
      </c>
      <c r="RTH989" s="16" t="s">
        <v>1487</v>
      </c>
      <c r="RTI989" s="16" t="s">
        <v>1487</v>
      </c>
      <c r="RTJ989" s="16" t="s">
        <v>1487</v>
      </c>
      <c r="RTK989" s="16" t="s">
        <v>1487</v>
      </c>
      <c r="RTL989" s="16" t="s">
        <v>1487</v>
      </c>
      <c r="RTM989" s="16" t="s">
        <v>1487</v>
      </c>
      <c r="RTN989" s="16" t="s">
        <v>1487</v>
      </c>
      <c r="RTO989" s="16" t="s">
        <v>1487</v>
      </c>
      <c r="RTP989" s="16" t="s">
        <v>1487</v>
      </c>
      <c r="RTQ989" s="16" t="s">
        <v>1487</v>
      </c>
      <c r="RTR989" s="16" t="s">
        <v>1487</v>
      </c>
      <c r="RTS989" s="16" t="s">
        <v>1487</v>
      </c>
      <c r="RTT989" s="16" t="s">
        <v>1487</v>
      </c>
      <c r="RTU989" s="16" t="s">
        <v>1487</v>
      </c>
      <c r="RTV989" s="16" t="s">
        <v>1487</v>
      </c>
      <c r="RTW989" s="16" t="s">
        <v>1487</v>
      </c>
      <c r="RTX989" s="16" t="s">
        <v>1487</v>
      </c>
      <c r="RTY989" s="16" t="s">
        <v>1487</v>
      </c>
      <c r="RTZ989" s="16" t="s">
        <v>1487</v>
      </c>
      <c r="RUA989" s="16" t="s">
        <v>1487</v>
      </c>
      <c r="RUB989" s="16" t="s">
        <v>1487</v>
      </c>
      <c r="RUC989" s="16" t="s">
        <v>1487</v>
      </c>
      <c r="RUD989" s="16" t="s">
        <v>1487</v>
      </c>
      <c r="RUE989" s="16" t="s">
        <v>1487</v>
      </c>
      <c r="RUF989" s="16" t="s">
        <v>1487</v>
      </c>
      <c r="RUG989" s="16" t="s">
        <v>1487</v>
      </c>
      <c r="RUH989" s="16" t="s">
        <v>1487</v>
      </c>
      <c r="RUI989" s="16" t="s">
        <v>1487</v>
      </c>
      <c r="RUJ989" s="16" t="s">
        <v>1487</v>
      </c>
      <c r="RUK989" s="16" t="s">
        <v>1487</v>
      </c>
      <c r="RUL989" s="16" t="s">
        <v>1487</v>
      </c>
      <c r="RUM989" s="16" t="s">
        <v>1487</v>
      </c>
      <c r="RUN989" s="16" t="s">
        <v>1487</v>
      </c>
      <c r="RUO989" s="16" t="s">
        <v>1487</v>
      </c>
      <c r="RUP989" s="16" t="s">
        <v>1487</v>
      </c>
      <c r="RUQ989" s="16" t="s">
        <v>1487</v>
      </c>
      <c r="RUR989" s="16" t="s">
        <v>1487</v>
      </c>
      <c r="RUS989" s="16" t="s">
        <v>1487</v>
      </c>
      <c r="RUT989" s="16" t="s">
        <v>1487</v>
      </c>
      <c r="RUU989" s="16" t="s">
        <v>1487</v>
      </c>
      <c r="RUV989" s="16" t="s">
        <v>1487</v>
      </c>
      <c r="RUW989" s="16" t="s">
        <v>1487</v>
      </c>
      <c r="RUX989" s="16" t="s">
        <v>1487</v>
      </c>
      <c r="RUY989" s="16" t="s">
        <v>1487</v>
      </c>
      <c r="RUZ989" s="16" t="s">
        <v>1487</v>
      </c>
      <c r="RVA989" s="16" t="s">
        <v>1487</v>
      </c>
      <c r="RVB989" s="16" t="s">
        <v>1487</v>
      </c>
      <c r="RVC989" s="16" t="s">
        <v>1487</v>
      </c>
      <c r="RVD989" s="16" t="s">
        <v>1487</v>
      </c>
      <c r="RVE989" s="16" t="s">
        <v>1487</v>
      </c>
      <c r="RVF989" s="16" t="s">
        <v>1487</v>
      </c>
      <c r="RVG989" s="16" t="s">
        <v>1487</v>
      </c>
      <c r="RVH989" s="16" t="s">
        <v>1487</v>
      </c>
      <c r="RVI989" s="16" t="s">
        <v>1487</v>
      </c>
      <c r="RVJ989" s="16" t="s">
        <v>1487</v>
      </c>
      <c r="RVK989" s="16" t="s">
        <v>1487</v>
      </c>
      <c r="RVL989" s="16" t="s">
        <v>1487</v>
      </c>
      <c r="RVM989" s="16" t="s">
        <v>1487</v>
      </c>
      <c r="RVN989" s="16" t="s">
        <v>1487</v>
      </c>
      <c r="RVO989" s="16" t="s">
        <v>1487</v>
      </c>
      <c r="RVP989" s="16" t="s">
        <v>1487</v>
      </c>
      <c r="RVQ989" s="16" t="s">
        <v>1487</v>
      </c>
      <c r="RVR989" s="16" t="s">
        <v>1487</v>
      </c>
      <c r="RVS989" s="16" t="s">
        <v>1487</v>
      </c>
      <c r="RVT989" s="16" t="s">
        <v>1487</v>
      </c>
      <c r="RVU989" s="16" t="s">
        <v>1487</v>
      </c>
      <c r="RVV989" s="16" t="s">
        <v>1487</v>
      </c>
      <c r="RVW989" s="16" t="s">
        <v>1487</v>
      </c>
      <c r="RVX989" s="16" t="s">
        <v>1487</v>
      </c>
      <c r="RVY989" s="16" t="s">
        <v>1487</v>
      </c>
      <c r="RVZ989" s="16" t="s">
        <v>1487</v>
      </c>
      <c r="RWA989" s="16" t="s">
        <v>1487</v>
      </c>
      <c r="RWB989" s="16" t="s">
        <v>1487</v>
      </c>
      <c r="RWC989" s="16" t="s">
        <v>1487</v>
      </c>
      <c r="RWD989" s="16" t="s">
        <v>1487</v>
      </c>
      <c r="RWE989" s="16" t="s">
        <v>1487</v>
      </c>
      <c r="RWF989" s="16" t="s">
        <v>1487</v>
      </c>
      <c r="RWG989" s="16" t="s">
        <v>1487</v>
      </c>
      <c r="RWH989" s="16" t="s">
        <v>1487</v>
      </c>
      <c r="RWI989" s="16" t="s">
        <v>1487</v>
      </c>
      <c r="RWJ989" s="16" t="s">
        <v>1487</v>
      </c>
      <c r="RWK989" s="16" t="s">
        <v>1487</v>
      </c>
      <c r="RWL989" s="16" t="s">
        <v>1487</v>
      </c>
      <c r="RWM989" s="16" t="s">
        <v>1487</v>
      </c>
      <c r="RWN989" s="16" t="s">
        <v>1487</v>
      </c>
      <c r="RWO989" s="16" t="s">
        <v>1487</v>
      </c>
      <c r="RWP989" s="16" t="s">
        <v>1487</v>
      </c>
      <c r="RWQ989" s="16" t="s">
        <v>1487</v>
      </c>
      <c r="RWR989" s="16" t="s">
        <v>1487</v>
      </c>
      <c r="RWS989" s="16" t="s">
        <v>1487</v>
      </c>
      <c r="RWT989" s="16" t="s">
        <v>1487</v>
      </c>
      <c r="RWU989" s="16" t="s">
        <v>1487</v>
      </c>
      <c r="RWV989" s="16" t="s">
        <v>1487</v>
      </c>
      <c r="RWW989" s="16" t="s">
        <v>1487</v>
      </c>
      <c r="RWX989" s="16" t="s">
        <v>1487</v>
      </c>
      <c r="RWY989" s="16" t="s">
        <v>1487</v>
      </c>
      <c r="RWZ989" s="16" t="s">
        <v>1487</v>
      </c>
      <c r="RXA989" s="16" t="s">
        <v>1487</v>
      </c>
      <c r="RXB989" s="16" t="s">
        <v>1487</v>
      </c>
      <c r="RXC989" s="16" t="s">
        <v>1487</v>
      </c>
      <c r="RXD989" s="16" t="s">
        <v>1487</v>
      </c>
      <c r="RXE989" s="16" t="s">
        <v>1487</v>
      </c>
      <c r="RXF989" s="16" t="s">
        <v>1487</v>
      </c>
      <c r="RXG989" s="16" t="s">
        <v>1487</v>
      </c>
      <c r="RXH989" s="16" t="s">
        <v>1487</v>
      </c>
      <c r="RXI989" s="16" t="s">
        <v>1487</v>
      </c>
      <c r="RXJ989" s="16" t="s">
        <v>1487</v>
      </c>
      <c r="RXK989" s="16" t="s">
        <v>1487</v>
      </c>
      <c r="RXL989" s="16" t="s">
        <v>1487</v>
      </c>
      <c r="RXM989" s="16" t="s">
        <v>1487</v>
      </c>
      <c r="RXN989" s="16" t="s">
        <v>1487</v>
      </c>
      <c r="RXO989" s="16" t="s">
        <v>1487</v>
      </c>
      <c r="RXP989" s="16" t="s">
        <v>1487</v>
      </c>
      <c r="RXQ989" s="16" t="s">
        <v>1487</v>
      </c>
      <c r="RXR989" s="16" t="s">
        <v>1487</v>
      </c>
      <c r="RXS989" s="16" t="s">
        <v>1487</v>
      </c>
      <c r="RXT989" s="16" t="s">
        <v>1487</v>
      </c>
      <c r="RXU989" s="16" t="s">
        <v>1487</v>
      </c>
      <c r="RXV989" s="16" t="s">
        <v>1487</v>
      </c>
      <c r="RXW989" s="16" t="s">
        <v>1487</v>
      </c>
      <c r="RXX989" s="16" t="s">
        <v>1487</v>
      </c>
      <c r="RXY989" s="16" t="s">
        <v>1487</v>
      </c>
      <c r="RXZ989" s="16" t="s">
        <v>1487</v>
      </c>
      <c r="RYA989" s="16" t="s">
        <v>1487</v>
      </c>
      <c r="RYB989" s="16" t="s">
        <v>1487</v>
      </c>
      <c r="RYC989" s="16" t="s">
        <v>1487</v>
      </c>
      <c r="RYD989" s="16" t="s">
        <v>1487</v>
      </c>
      <c r="RYE989" s="16" t="s">
        <v>1487</v>
      </c>
      <c r="RYF989" s="16" t="s">
        <v>1487</v>
      </c>
      <c r="RYG989" s="16" t="s">
        <v>1487</v>
      </c>
      <c r="RYH989" s="16" t="s">
        <v>1487</v>
      </c>
      <c r="RYI989" s="16" t="s">
        <v>1487</v>
      </c>
      <c r="RYJ989" s="16" t="s">
        <v>1487</v>
      </c>
      <c r="RYK989" s="16" t="s">
        <v>1487</v>
      </c>
      <c r="RYL989" s="16" t="s">
        <v>1487</v>
      </c>
      <c r="RYM989" s="16" t="s">
        <v>1487</v>
      </c>
      <c r="RYN989" s="16" t="s">
        <v>1487</v>
      </c>
      <c r="RYO989" s="16" t="s">
        <v>1487</v>
      </c>
      <c r="RYP989" s="16" t="s">
        <v>1487</v>
      </c>
      <c r="RYQ989" s="16" t="s">
        <v>1487</v>
      </c>
      <c r="RYR989" s="16" t="s">
        <v>1487</v>
      </c>
      <c r="RYS989" s="16" t="s">
        <v>1487</v>
      </c>
      <c r="RYT989" s="16" t="s">
        <v>1487</v>
      </c>
      <c r="RYU989" s="16" t="s">
        <v>1487</v>
      </c>
      <c r="RYV989" s="16" t="s">
        <v>1487</v>
      </c>
      <c r="RYW989" s="16" t="s">
        <v>1487</v>
      </c>
      <c r="RYX989" s="16" t="s">
        <v>1487</v>
      </c>
      <c r="RYY989" s="16" t="s">
        <v>1487</v>
      </c>
      <c r="RYZ989" s="16" t="s">
        <v>1487</v>
      </c>
      <c r="RZA989" s="16" t="s">
        <v>1487</v>
      </c>
      <c r="RZB989" s="16" t="s">
        <v>1487</v>
      </c>
      <c r="RZC989" s="16" t="s">
        <v>1487</v>
      </c>
      <c r="RZD989" s="16" t="s">
        <v>1487</v>
      </c>
      <c r="RZE989" s="16" t="s">
        <v>1487</v>
      </c>
      <c r="RZF989" s="16" t="s">
        <v>1487</v>
      </c>
      <c r="RZG989" s="16" t="s">
        <v>1487</v>
      </c>
      <c r="RZH989" s="16" t="s">
        <v>1487</v>
      </c>
      <c r="RZI989" s="16" t="s">
        <v>1487</v>
      </c>
      <c r="RZJ989" s="16" t="s">
        <v>1487</v>
      </c>
      <c r="RZK989" s="16" t="s">
        <v>1487</v>
      </c>
      <c r="RZL989" s="16" t="s">
        <v>1487</v>
      </c>
      <c r="RZM989" s="16" t="s">
        <v>1487</v>
      </c>
      <c r="RZN989" s="16" t="s">
        <v>1487</v>
      </c>
      <c r="RZO989" s="16" t="s">
        <v>1487</v>
      </c>
      <c r="RZP989" s="16" t="s">
        <v>1487</v>
      </c>
      <c r="RZQ989" s="16" t="s">
        <v>1487</v>
      </c>
      <c r="RZR989" s="16" t="s">
        <v>1487</v>
      </c>
      <c r="RZS989" s="16" t="s">
        <v>1487</v>
      </c>
      <c r="RZT989" s="16" t="s">
        <v>1487</v>
      </c>
      <c r="RZU989" s="16" t="s">
        <v>1487</v>
      </c>
      <c r="RZV989" s="16" t="s">
        <v>1487</v>
      </c>
      <c r="RZW989" s="16" t="s">
        <v>1487</v>
      </c>
      <c r="RZX989" s="16" t="s">
        <v>1487</v>
      </c>
      <c r="RZY989" s="16" t="s">
        <v>1487</v>
      </c>
      <c r="RZZ989" s="16" t="s">
        <v>1487</v>
      </c>
      <c r="SAA989" s="16" t="s">
        <v>1487</v>
      </c>
      <c r="SAB989" s="16" t="s">
        <v>1487</v>
      </c>
      <c r="SAC989" s="16" t="s">
        <v>1487</v>
      </c>
      <c r="SAD989" s="16" t="s">
        <v>1487</v>
      </c>
      <c r="SAE989" s="16" t="s">
        <v>1487</v>
      </c>
      <c r="SAF989" s="16" t="s">
        <v>1487</v>
      </c>
      <c r="SAG989" s="16" t="s">
        <v>1487</v>
      </c>
      <c r="SAH989" s="16" t="s">
        <v>1487</v>
      </c>
      <c r="SAI989" s="16" t="s">
        <v>1487</v>
      </c>
      <c r="SAJ989" s="16" t="s">
        <v>1487</v>
      </c>
      <c r="SAK989" s="16" t="s">
        <v>1487</v>
      </c>
      <c r="SAL989" s="16" t="s">
        <v>1487</v>
      </c>
      <c r="SAM989" s="16" t="s">
        <v>1487</v>
      </c>
      <c r="SAN989" s="16" t="s">
        <v>1487</v>
      </c>
      <c r="SAO989" s="16" t="s">
        <v>1487</v>
      </c>
      <c r="SAP989" s="16" t="s">
        <v>1487</v>
      </c>
      <c r="SAQ989" s="16" t="s">
        <v>1487</v>
      </c>
      <c r="SAR989" s="16" t="s">
        <v>1487</v>
      </c>
      <c r="SAS989" s="16" t="s">
        <v>1487</v>
      </c>
      <c r="SAT989" s="16" t="s">
        <v>1487</v>
      </c>
      <c r="SAU989" s="16" t="s">
        <v>1487</v>
      </c>
      <c r="SAV989" s="16" t="s">
        <v>1487</v>
      </c>
      <c r="SAW989" s="16" t="s">
        <v>1487</v>
      </c>
      <c r="SAX989" s="16" t="s">
        <v>1487</v>
      </c>
      <c r="SAY989" s="16" t="s">
        <v>1487</v>
      </c>
      <c r="SAZ989" s="16" t="s">
        <v>1487</v>
      </c>
      <c r="SBA989" s="16" t="s">
        <v>1487</v>
      </c>
      <c r="SBB989" s="16" t="s">
        <v>1487</v>
      </c>
      <c r="SBC989" s="16" t="s">
        <v>1487</v>
      </c>
      <c r="SBD989" s="16" t="s">
        <v>1487</v>
      </c>
      <c r="SBE989" s="16" t="s">
        <v>1487</v>
      </c>
      <c r="SBF989" s="16" t="s">
        <v>1487</v>
      </c>
      <c r="SBG989" s="16" t="s">
        <v>1487</v>
      </c>
      <c r="SBH989" s="16" t="s">
        <v>1487</v>
      </c>
      <c r="SBI989" s="16" t="s">
        <v>1487</v>
      </c>
      <c r="SBJ989" s="16" t="s">
        <v>1487</v>
      </c>
      <c r="SBK989" s="16" t="s">
        <v>1487</v>
      </c>
      <c r="SBL989" s="16" t="s">
        <v>1487</v>
      </c>
      <c r="SBM989" s="16" t="s">
        <v>1487</v>
      </c>
      <c r="SBN989" s="16" t="s">
        <v>1487</v>
      </c>
      <c r="SBO989" s="16" t="s">
        <v>1487</v>
      </c>
      <c r="SBP989" s="16" t="s">
        <v>1487</v>
      </c>
      <c r="SBQ989" s="16" t="s">
        <v>1487</v>
      </c>
      <c r="SBR989" s="16" t="s">
        <v>1487</v>
      </c>
      <c r="SBS989" s="16" t="s">
        <v>1487</v>
      </c>
      <c r="SBT989" s="16" t="s">
        <v>1487</v>
      </c>
      <c r="SBU989" s="16" t="s">
        <v>1487</v>
      </c>
      <c r="SBV989" s="16" t="s">
        <v>1487</v>
      </c>
      <c r="SBW989" s="16" t="s">
        <v>1487</v>
      </c>
      <c r="SBX989" s="16" t="s">
        <v>1487</v>
      </c>
      <c r="SBY989" s="16" t="s">
        <v>1487</v>
      </c>
      <c r="SBZ989" s="16" t="s">
        <v>1487</v>
      </c>
      <c r="SCA989" s="16" t="s">
        <v>1487</v>
      </c>
      <c r="SCB989" s="16" t="s">
        <v>1487</v>
      </c>
      <c r="SCC989" s="16" t="s">
        <v>1487</v>
      </c>
      <c r="SCD989" s="16" t="s">
        <v>1487</v>
      </c>
      <c r="SCE989" s="16" t="s">
        <v>1487</v>
      </c>
      <c r="SCF989" s="16" t="s">
        <v>1487</v>
      </c>
      <c r="SCG989" s="16" t="s">
        <v>1487</v>
      </c>
      <c r="SCH989" s="16" t="s">
        <v>1487</v>
      </c>
      <c r="SCI989" s="16" t="s">
        <v>1487</v>
      </c>
      <c r="SCJ989" s="16" t="s">
        <v>1487</v>
      </c>
      <c r="SCK989" s="16" t="s">
        <v>1487</v>
      </c>
      <c r="SCL989" s="16" t="s">
        <v>1487</v>
      </c>
      <c r="SCM989" s="16" t="s">
        <v>1487</v>
      </c>
      <c r="SCN989" s="16" t="s">
        <v>1487</v>
      </c>
      <c r="SCO989" s="16" t="s">
        <v>1487</v>
      </c>
      <c r="SCP989" s="16" t="s">
        <v>1487</v>
      </c>
      <c r="SCQ989" s="16" t="s">
        <v>1487</v>
      </c>
      <c r="SCR989" s="16" t="s">
        <v>1487</v>
      </c>
      <c r="SCS989" s="16" t="s">
        <v>1487</v>
      </c>
      <c r="SCT989" s="16" t="s">
        <v>1487</v>
      </c>
      <c r="SCU989" s="16" t="s">
        <v>1487</v>
      </c>
      <c r="SCV989" s="16" t="s">
        <v>1487</v>
      </c>
      <c r="SCW989" s="16" t="s">
        <v>1487</v>
      </c>
      <c r="SCX989" s="16" t="s">
        <v>1487</v>
      </c>
      <c r="SCY989" s="16" t="s">
        <v>1487</v>
      </c>
      <c r="SCZ989" s="16" t="s">
        <v>1487</v>
      </c>
      <c r="SDA989" s="16" t="s">
        <v>1487</v>
      </c>
      <c r="SDB989" s="16" t="s">
        <v>1487</v>
      </c>
      <c r="SDC989" s="16" t="s">
        <v>1487</v>
      </c>
      <c r="SDD989" s="16" t="s">
        <v>1487</v>
      </c>
      <c r="SDE989" s="16" t="s">
        <v>1487</v>
      </c>
      <c r="SDF989" s="16" t="s">
        <v>1487</v>
      </c>
      <c r="SDG989" s="16" t="s">
        <v>1487</v>
      </c>
      <c r="SDH989" s="16" t="s">
        <v>1487</v>
      </c>
      <c r="SDI989" s="16" t="s">
        <v>1487</v>
      </c>
      <c r="SDJ989" s="16" t="s">
        <v>1487</v>
      </c>
      <c r="SDK989" s="16" t="s">
        <v>1487</v>
      </c>
      <c r="SDL989" s="16" t="s">
        <v>1487</v>
      </c>
      <c r="SDM989" s="16" t="s">
        <v>1487</v>
      </c>
      <c r="SDN989" s="16" t="s">
        <v>1487</v>
      </c>
      <c r="SDO989" s="16" t="s">
        <v>1487</v>
      </c>
      <c r="SDP989" s="16" t="s">
        <v>1487</v>
      </c>
      <c r="SDQ989" s="16" t="s">
        <v>1487</v>
      </c>
      <c r="SDR989" s="16" t="s">
        <v>1487</v>
      </c>
      <c r="SDS989" s="16" t="s">
        <v>1487</v>
      </c>
      <c r="SDT989" s="16" t="s">
        <v>1487</v>
      </c>
      <c r="SDU989" s="16" t="s">
        <v>1487</v>
      </c>
      <c r="SDV989" s="16" t="s">
        <v>1487</v>
      </c>
      <c r="SDW989" s="16" t="s">
        <v>1487</v>
      </c>
      <c r="SDX989" s="16" t="s">
        <v>1487</v>
      </c>
      <c r="SDY989" s="16" t="s">
        <v>1487</v>
      </c>
      <c r="SDZ989" s="16" t="s">
        <v>1487</v>
      </c>
      <c r="SEA989" s="16" t="s">
        <v>1487</v>
      </c>
      <c r="SEB989" s="16" t="s">
        <v>1487</v>
      </c>
      <c r="SEC989" s="16" t="s">
        <v>1487</v>
      </c>
      <c r="SED989" s="16" t="s">
        <v>1487</v>
      </c>
      <c r="SEE989" s="16" t="s">
        <v>1487</v>
      </c>
      <c r="SEF989" s="16" t="s">
        <v>1487</v>
      </c>
      <c r="SEG989" s="16" t="s">
        <v>1487</v>
      </c>
      <c r="SEH989" s="16" t="s">
        <v>1487</v>
      </c>
      <c r="SEI989" s="16" t="s">
        <v>1487</v>
      </c>
      <c r="SEJ989" s="16" t="s">
        <v>1487</v>
      </c>
      <c r="SEK989" s="16" t="s">
        <v>1487</v>
      </c>
      <c r="SEL989" s="16" t="s">
        <v>1487</v>
      </c>
      <c r="SEM989" s="16" t="s">
        <v>1487</v>
      </c>
      <c r="SEN989" s="16" t="s">
        <v>1487</v>
      </c>
      <c r="SEO989" s="16" t="s">
        <v>1487</v>
      </c>
      <c r="SEP989" s="16" t="s">
        <v>1487</v>
      </c>
      <c r="SEQ989" s="16" t="s">
        <v>1487</v>
      </c>
      <c r="SER989" s="16" t="s">
        <v>1487</v>
      </c>
      <c r="SES989" s="16" t="s">
        <v>1487</v>
      </c>
      <c r="SET989" s="16" t="s">
        <v>1487</v>
      </c>
      <c r="SEU989" s="16" t="s">
        <v>1487</v>
      </c>
      <c r="SEV989" s="16" t="s">
        <v>1487</v>
      </c>
      <c r="SEW989" s="16" t="s">
        <v>1487</v>
      </c>
      <c r="SEX989" s="16" t="s">
        <v>1487</v>
      </c>
      <c r="SEY989" s="16" t="s">
        <v>1487</v>
      </c>
      <c r="SEZ989" s="16" t="s">
        <v>1487</v>
      </c>
      <c r="SFA989" s="16" t="s">
        <v>1487</v>
      </c>
      <c r="SFB989" s="16" t="s">
        <v>1487</v>
      </c>
      <c r="SFC989" s="16" t="s">
        <v>1487</v>
      </c>
      <c r="SFD989" s="16" t="s">
        <v>1487</v>
      </c>
      <c r="SFE989" s="16" t="s">
        <v>1487</v>
      </c>
      <c r="SFF989" s="16" t="s">
        <v>1487</v>
      </c>
      <c r="SFG989" s="16" t="s">
        <v>1487</v>
      </c>
      <c r="SFH989" s="16" t="s">
        <v>1487</v>
      </c>
      <c r="SFI989" s="16" t="s">
        <v>1487</v>
      </c>
      <c r="SFJ989" s="16" t="s">
        <v>1487</v>
      </c>
      <c r="SFK989" s="16" t="s">
        <v>1487</v>
      </c>
      <c r="SFL989" s="16" t="s">
        <v>1487</v>
      </c>
      <c r="SFM989" s="16" t="s">
        <v>1487</v>
      </c>
      <c r="SFN989" s="16" t="s">
        <v>1487</v>
      </c>
      <c r="SFO989" s="16" t="s">
        <v>1487</v>
      </c>
      <c r="SFP989" s="16" t="s">
        <v>1487</v>
      </c>
      <c r="SFQ989" s="16" t="s">
        <v>1487</v>
      </c>
      <c r="SFR989" s="16" t="s">
        <v>1487</v>
      </c>
      <c r="SFS989" s="16" t="s">
        <v>1487</v>
      </c>
      <c r="SFT989" s="16" t="s">
        <v>1487</v>
      </c>
      <c r="SFU989" s="16" t="s">
        <v>1487</v>
      </c>
      <c r="SFV989" s="16" t="s">
        <v>1487</v>
      </c>
      <c r="SFW989" s="16" t="s">
        <v>1487</v>
      </c>
      <c r="SFX989" s="16" t="s">
        <v>1487</v>
      </c>
      <c r="SFY989" s="16" t="s">
        <v>1487</v>
      </c>
      <c r="SFZ989" s="16" t="s">
        <v>1487</v>
      </c>
      <c r="SGA989" s="16" t="s">
        <v>1487</v>
      </c>
      <c r="SGB989" s="16" t="s">
        <v>1487</v>
      </c>
      <c r="SGC989" s="16" t="s">
        <v>1487</v>
      </c>
      <c r="SGD989" s="16" t="s">
        <v>1487</v>
      </c>
      <c r="SGE989" s="16" t="s">
        <v>1487</v>
      </c>
      <c r="SGF989" s="16" t="s">
        <v>1487</v>
      </c>
      <c r="SGG989" s="16" t="s">
        <v>1487</v>
      </c>
      <c r="SGH989" s="16" t="s">
        <v>1487</v>
      </c>
      <c r="SGI989" s="16" t="s">
        <v>1487</v>
      </c>
      <c r="SGJ989" s="16" t="s">
        <v>1487</v>
      </c>
      <c r="SGK989" s="16" t="s">
        <v>1487</v>
      </c>
      <c r="SGL989" s="16" t="s">
        <v>1487</v>
      </c>
      <c r="SGM989" s="16" t="s">
        <v>1487</v>
      </c>
      <c r="SGN989" s="16" t="s">
        <v>1487</v>
      </c>
      <c r="SGO989" s="16" t="s">
        <v>1487</v>
      </c>
      <c r="SGP989" s="16" t="s">
        <v>1487</v>
      </c>
      <c r="SGQ989" s="16" t="s">
        <v>1487</v>
      </c>
      <c r="SGR989" s="16" t="s">
        <v>1487</v>
      </c>
      <c r="SGS989" s="16" t="s">
        <v>1487</v>
      </c>
      <c r="SGT989" s="16" t="s">
        <v>1487</v>
      </c>
      <c r="SGU989" s="16" t="s">
        <v>1487</v>
      </c>
      <c r="SGV989" s="16" t="s">
        <v>1487</v>
      </c>
      <c r="SGW989" s="16" t="s">
        <v>1487</v>
      </c>
      <c r="SGX989" s="16" t="s">
        <v>1487</v>
      </c>
      <c r="SGY989" s="16" t="s">
        <v>1487</v>
      </c>
      <c r="SGZ989" s="16" t="s">
        <v>1487</v>
      </c>
      <c r="SHA989" s="16" t="s">
        <v>1487</v>
      </c>
      <c r="SHB989" s="16" t="s">
        <v>1487</v>
      </c>
      <c r="SHC989" s="16" t="s">
        <v>1487</v>
      </c>
      <c r="SHD989" s="16" t="s">
        <v>1487</v>
      </c>
      <c r="SHE989" s="16" t="s">
        <v>1487</v>
      </c>
      <c r="SHF989" s="16" t="s">
        <v>1487</v>
      </c>
      <c r="SHG989" s="16" t="s">
        <v>1487</v>
      </c>
      <c r="SHH989" s="16" t="s">
        <v>1487</v>
      </c>
      <c r="SHI989" s="16" t="s">
        <v>1487</v>
      </c>
      <c r="SHJ989" s="16" t="s">
        <v>1487</v>
      </c>
      <c r="SHK989" s="16" t="s">
        <v>1487</v>
      </c>
      <c r="SHL989" s="16" t="s">
        <v>1487</v>
      </c>
      <c r="SHM989" s="16" t="s">
        <v>1487</v>
      </c>
      <c r="SHN989" s="16" t="s">
        <v>1487</v>
      </c>
      <c r="SHO989" s="16" t="s">
        <v>1487</v>
      </c>
      <c r="SHP989" s="16" t="s">
        <v>1487</v>
      </c>
      <c r="SHQ989" s="16" t="s">
        <v>1487</v>
      </c>
      <c r="SHR989" s="16" t="s">
        <v>1487</v>
      </c>
      <c r="SHS989" s="16" t="s">
        <v>1487</v>
      </c>
      <c r="SHT989" s="16" t="s">
        <v>1487</v>
      </c>
      <c r="SHU989" s="16" t="s">
        <v>1487</v>
      </c>
      <c r="SHV989" s="16" t="s">
        <v>1487</v>
      </c>
      <c r="SHW989" s="16" t="s">
        <v>1487</v>
      </c>
      <c r="SHX989" s="16" t="s">
        <v>1487</v>
      </c>
      <c r="SHY989" s="16" t="s">
        <v>1487</v>
      </c>
      <c r="SHZ989" s="16" t="s">
        <v>1487</v>
      </c>
      <c r="SIA989" s="16" t="s">
        <v>1487</v>
      </c>
      <c r="SIB989" s="16" t="s">
        <v>1487</v>
      </c>
      <c r="SIC989" s="16" t="s">
        <v>1487</v>
      </c>
      <c r="SID989" s="16" t="s">
        <v>1487</v>
      </c>
      <c r="SIE989" s="16" t="s">
        <v>1487</v>
      </c>
      <c r="SIF989" s="16" t="s">
        <v>1487</v>
      </c>
      <c r="SIG989" s="16" t="s">
        <v>1487</v>
      </c>
      <c r="SIH989" s="16" t="s">
        <v>1487</v>
      </c>
      <c r="SII989" s="16" t="s">
        <v>1487</v>
      </c>
      <c r="SIJ989" s="16" t="s">
        <v>1487</v>
      </c>
      <c r="SIK989" s="16" t="s">
        <v>1487</v>
      </c>
      <c r="SIL989" s="16" t="s">
        <v>1487</v>
      </c>
      <c r="SIM989" s="16" t="s">
        <v>1487</v>
      </c>
      <c r="SIN989" s="16" t="s">
        <v>1487</v>
      </c>
      <c r="SIO989" s="16" t="s">
        <v>1487</v>
      </c>
      <c r="SIP989" s="16" t="s">
        <v>1487</v>
      </c>
      <c r="SIQ989" s="16" t="s">
        <v>1487</v>
      </c>
      <c r="SIR989" s="16" t="s">
        <v>1487</v>
      </c>
      <c r="SIS989" s="16" t="s">
        <v>1487</v>
      </c>
      <c r="SIT989" s="16" t="s">
        <v>1487</v>
      </c>
      <c r="SIU989" s="16" t="s">
        <v>1487</v>
      </c>
      <c r="SIV989" s="16" t="s">
        <v>1487</v>
      </c>
      <c r="SIW989" s="16" t="s">
        <v>1487</v>
      </c>
      <c r="SIX989" s="16" t="s">
        <v>1487</v>
      </c>
      <c r="SIY989" s="16" t="s">
        <v>1487</v>
      </c>
      <c r="SIZ989" s="16" t="s">
        <v>1487</v>
      </c>
      <c r="SJA989" s="16" t="s">
        <v>1487</v>
      </c>
      <c r="SJB989" s="16" t="s">
        <v>1487</v>
      </c>
      <c r="SJC989" s="16" t="s">
        <v>1487</v>
      </c>
      <c r="SJD989" s="16" t="s">
        <v>1487</v>
      </c>
      <c r="SJE989" s="16" t="s">
        <v>1487</v>
      </c>
      <c r="SJF989" s="16" t="s">
        <v>1487</v>
      </c>
      <c r="SJG989" s="16" t="s">
        <v>1487</v>
      </c>
      <c r="SJH989" s="16" t="s">
        <v>1487</v>
      </c>
      <c r="SJI989" s="16" t="s">
        <v>1487</v>
      </c>
      <c r="SJJ989" s="16" t="s">
        <v>1487</v>
      </c>
      <c r="SJK989" s="16" t="s">
        <v>1487</v>
      </c>
      <c r="SJL989" s="16" t="s">
        <v>1487</v>
      </c>
      <c r="SJM989" s="16" t="s">
        <v>1487</v>
      </c>
      <c r="SJN989" s="16" t="s">
        <v>1487</v>
      </c>
      <c r="SJO989" s="16" t="s">
        <v>1487</v>
      </c>
      <c r="SJP989" s="16" t="s">
        <v>1487</v>
      </c>
      <c r="SJQ989" s="16" t="s">
        <v>1487</v>
      </c>
      <c r="SJR989" s="16" t="s">
        <v>1487</v>
      </c>
      <c r="SJS989" s="16" t="s">
        <v>1487</v>
      </c>
      <c r="SJT989" s="16" t="s">
        <v>1487</v>
      </c>
      <c r="SJU989" s="16" t="s">
        <v>1487</v>
      </c>
      <c r="SJV989" s="16" t="s">
        <v>1487</v>
      </c>
      <c r="SJW989" s="16" t="s">
        <v>1487</v>
      </c>
      <c r="SJX989" s="16" t="s">
        <v>1487</v>
      </c>
      <c r="SJY989" s="16" t="s">
        <v>1487</v>
      </c>
      <c r="SJZ989" s="16" t="s">
        <v>1487</v>
      </c>
      <c r="SKA989" s="16" t="s">
        <v>1487</v>
      </c>
      <c r="SKB989" s="16" t="s">
        <v>1487</v>
      </c>
      <c r="SKC989" s="16" t="s">
        <v>1487</v>
      </c>
      <c r="SKD989" s="16" t="s">
        <v>1487</v>
      </c>
      <c r="SKE989" s="16" t="s">
        <v>1487</v>
      </c>
      <c r="SKF989" s="16" t="s">
        <v>1487</v>
      </c>
      <c r="SKG989" s="16" t="s">
        <v>1487</v>
      </c>
      <c r="SKH989" s="16" t="s">
        <v>1487</v>
      </c>
      <c r="SKI989" s="16" t="s">
        <v>1487</v>
      </c>
      <c r="SKJ989" s="16" t="s">
        <v>1487</v>
      </c>
      <c r="SKK989" s="16" t="s">
        <v>1487</v>
      </c>
      <c r="SKL989" s="16" t="s">
        <v>1487</v>
      </c>
      <c r="SKM989" s="16" t="s">
        <v>1487</v>
      </c>
      <c r="SKN989" s="16" t="s">
        <v>1487</v>
      </c>
      <c r="SKO989" s="16" t="s">
        <v>1487</v>
      </c>
      <c r="SKP989" s="16" t="s">
        <v>1487</v>
      </c>
      <c r="SKQ989" s="16" t="s">
        <v>1487</v>
      </c>
      <c r="SKR989" s="16" t="s">
        <v>1487</v>
      </c>
      <c r="SKS989" s="16" t="s">
        <v>1487</v>
      </c>
      <c r="SKT989" s="16" t="s">
        <v>1487</v>
      </c>
      <c r="SKU989" s="16" t="s">
        <v>1487</v>
      </c>
      <c r="SKV989" s="16" t="s">
        <v>1487</v>
      </c>
      <c r="SKW989" s="16" t="s">
        <v>1487</v>
      </c>
      <c r="SKX989" s="16" t="s">
        <v>1487</v>
      </c>
      <c r="SKY989" s="16" t="s">
        <v>1487</v>
      </c>
      <c r="SKZ989" s="16" t="s">
        <v>1487</v>
      </c>
      <c r="SLA989" s="16" t="s">
        <v>1487</v>
      </c>
      <c r="SLB989" s="16" t="s">
        <v>1487</v>
      </c>
      <c r="SLC989" s="16" t="s">
        <v>1487</v>
      </c>
      <c r="SLD989" s="16" t="s">
        <v>1487</v>
      </c>
      <c r="SLE989" s="16" t="s">
        <v>1487</v>
      </c>
      <c r="SLF989" s="16" t="s">
        <v>1487</v>
      </c>
      <c r="SLG989" s="16" t="s">
        <v>1487</v>
      </c>
      <c r="SLH989" s="16" t="s">
        <v>1487</v>
      </c>
      <c r="SLI989" s="16" t="s">
        <v>1487</v>
      </c>
      <c r="SLJ989" s="16" t="s">
        <v>1487</v>
      </c>
      <c r="SLK989" s="16" t="s">
        <v>1487</v>
      </c>
      <c r="SLL989" s="16" t="s">
        <v>1487</v>
      </c>
      <c r="SLM989" s="16" t="s">
        <v>1487</v>
      </c>
      <c r="SLN989" s="16" t="s">
        <v>1487</v>
      </c>
      <c r="SLO989" s="16" t="s">
        <v>1487</v>
      </c>
      <c r="SLP989" s="16" t="s">
        <v>1487</v>
      </c>
      <c r="SLQ989" s="16" t="s">
        <v>1487</v>
      </c>
      <c r="SLR989" s="16" t="s">
        <v>1487</v>
      </c>
      <c r="SLS989" s="16" t="s">
        <v>1487</v>
      </c>
      <c r="SLT989" s="16" t="s">
        <v>1487</v>
      </c>
      <c r="SLU989" s="16" t="s">
        <v>1487</v>
      </c>
      <c r="SLV989" s="16" t="s">
        <v>1487</v>
      </c>
      <c r="SLW989" s="16" t="s">
        <v>1487</v>
      </c>
      <c r="SLX989" s="16" t="s">
        <v>1487</v>
      </c>
      <c r="SLY989" s="16" t="s">
        <v>1487</v>
      </c>
      <c r="SLZ989" s="16" t="s">
        <v>1487</v>
      </c>
      <c r="SMA989" s="16" t="s">
        <v>1487</v>
      </c>
      <c r="SMB989" s="16" t="s">
        <v>1487</v>
      </c>
      <c r="SMC989" s="16" t="s">
        <v>1487</v>
      </c>
      <c r="SMD989" s="16" t="s">
        <v>1487</v>
      </c>
      <c r="SME989" s="16" t="s">
        <v>1487</v>
      </c>
      <c r="SMF989" s="16" t="s">
        <v>1487</v>
      </c>
      <c r="SMG989" s="16" t="s">
        <v>1487</v>
      </c>
      <c r="SMH989" s="16" t="s">
        <v>1487</v>
      </c>
      <c r="SMI989" s="16" t="s">
        <v>1487</v>
      </c>
      <c r="SMJ989" s="16" t="s">
        <v>1487</v>
      </c>
      <c r="SMK989" s="16" t="s">
        <v>1487</v>
      </c>
      <c r="SML989" s="16" t="s">
        <v>1487</v>
      </c>
      <c r="SMM989" s="16" t="s">
        <v>1487</v>
      </c>
      <c r="SMN989" s="16" t="s">
        <v>1487</v>
      </c>
      <c r="SMO989" s="16" t="s">
        <v>1487</v>
      </c>
      <c r="SMP989" s="16" t="s">
        <v>1487</v>
      </c>
      <c r="SMQ989" s="16" t="s">
        <v>1487</v>
      </c>
      <c r="SMR989" s="16" t="s">
        <v>1487</v>
      </c>
      <c r="SMS989" s="16" t="s">
        <v>1487</v>
      </c>
      <c r="SMT989" s="16" t="s">
        <v>1487</v>
      </c>
      <c r="SMU989" s="16" t="s">
        <v>1487</v>
      </c>
      <c r="SMV989" s="16" t="s">
        <v>1487</v>
      </c>
      <c r="SMW989" s="16" t="s">
        <v>1487</v>
      </c>
      <c r="SMX989" s="16" t="s">
        <v>1487</v>
      </c>
      <c r="SMY989" s="16" t="s">
        <v>1487</v>
      </c>
      <c r="SMZ989" s="16" t="s">
        <v>1487</v>
      </c>
      <c r="SNA989" s="16" t="s">
        <v>1487</v>
      </c>
      <c r="SNB989" s="16" t="s">
        <v>1487</v>
      </c>
      <c r="SNC989" s="16" t="s">
        <v>1487</v>
      </c>
      <c r="SND989" s="16" t="s">
        <v>1487</v>
      </c>
      <c r="SNE989" s="16" t="s">
        <v>1487</v>
      </c>
      <c r="SNF989" s="16" t="s">
        <v>1487</v>
      </c>
      <c r="SNG989" s="16" t="s">
        <v>1487</v>
      </c>
      <c r="SNH989" s="16" t="s">
        <v>1487</v>
      </c>
      <c r="SNI989" s="16" t="s">
        <v>1487</v>
      </c>
      <c r="SNJ989" s="16" t="s">
        <v>1487</v>
      </c>
      <c r="SNK989" s="16" t="s">
        <v>1487</v>
      </c>
      <c r="SNL989" s="16" t="s">
        <v>1487</v>
      </c>
      <c r="SNM989" s="16" t="s">
        <v>1487</v>
      </c>
      <c r="SNN989" s="16" t="s">
        <v>1487</v>
      </c>
      <c r="SNO989" s="16" t="s">
        <v>1487</v>
      </c>
      <c r="SNP989" s="16" t="s">
        <v>1487</v>
      </c>
      <c r="SNQ989" s="16" t="s">
        <v>1487</v>
      </c>
      <c r="SNR989" s="16" t="s">
        <v>1487</v>
      </c>
      <c r="SNS989" s="16" t="s">
        <v>1487</v>
      </c>
      <c r="SNT989" s="16" t="s">
        <v>1487</v>
      </c>
      <c r="SNU989" s="16" t="s">
        <v>1487</v>
      </c>
      <c r="SNV989" s="16" t="s">
        <v>1487</v>
      </c>
      <c r="SNW989" s="16" t="s">
        <v>1487</v>
      </c>
      <c r="SNX989" s="16" t="s">
        <v>1487</v>
      </c>
      <c r="SNY989" s="16" t="s">
        <v>1487</v>
      </c>
      <c r="SNZ989" s="16" t="s">
        <v>1487</v>
      </c>
      <c r="SOA989" s="16" t="s">
        <v>1487</v>
      </c>
      <c r="SOB989" s="16" t="s">
        <v>1487</v>
      </c>
      <c r="SOC989" s="16" t="s">
        <v>1487</v>
      </c>
      <c r="SOD989" s="16" t="s">
        <v>1487</v>
      </c>
      <c r="SOE989" s="16" t="s">
        <v>1487</v>
      </c>
      <c r="SOF989" s="16" t="s">
        <v>1487</v>
      </c>
      <c r="SOG989" s="16" t="s">
        <v>1487</v>
      </c>
      <c r="SOH989" s="16" t="s">
        <v>1487</v>
      </c>
      <c r="SOI989" s="16" t="s">
        <v>1487</v>
      </c>
      <c r="SOJ989" s="16" t="s">
        <v>1487</v>
      </c>
      <c r="SOK989" s="16" t="s">
        <v>1487</v>
      </c>
      <c r="SOL989" s="16" t="s">
        <v>1487</v>
      </c>
      <c r="SOM989" s="16" t="s">
        <v>1487</v>
      </c>
      <c r="SON989" s="16" t="s">
        <v>1487</v>
      </c>
      <c r="SOO989" s="16" t="s">
        <v>1487</v>
      </c>
      <c r="SOP989" s="16" t="s">
        <v>1487</v>
      </c>
      <c r="SOQ989" s="16" t="s">
        <v>1487</v>
      </c>
      <c r="SOR989" s="16" t="s">
        <v>1487</v>
      </c>
      <c r="SOS989" s="16" t="s">
        <v>1487</v>
      </c>
      <c r="SOT989" s="16" t="s">
        <v>1487</v>
      </c>
      <c r="SOU989" s="16" t="s">
        <v>1487</v>
      </c>
      <c r="SOV989" s="16" t="s">
        <v>1487</v>
      </c>
      <c r="SOW989" s="16" t="s">
        <v>1487</v>
      </c>
      <c r="SOX989" s="16" t="s">
        <v>1487</v>
      </c>
      <c r="SOY989" s="16" t="s">
        <v>1487</v>
      </c>
      <c r="SOZ989" s="16" t="s">
        <v>1487</v>
      </c>
      <c r="SPA989" s="16" t="s">
        <v>1487</v>
      </c>
      <c r="SPB989" s="16" t="s">
        <v>1487</v>
      </c>
      <c r="SPC989" s="16" t="s">
        <v>1487</v>
      </c>
      <c r="SPD989" s="16" t="s">
        <v>1487</v>
      </c>
      <c r="SPE989" s="16" t="s">
        <v>1487</v>
      </c>
      <c r="SPF989" s="16" t="s">
        <v>1487</v>
      </c>
      <c r="SPG989" s="16" t="s">
        <v>1487</v>
      </c>
      <c r="SPH989" s="16" t="s">
        <v>1487</v>
      </c>
      <c r="SPI989" s="16" t="s">
        <v>1487</v>
      </c>
      <c r="SPJ989" s="16" t="s">
        <v>1487</v>
      </c>
      <c r="SPK989" s="16" t="s">
        <v>1487</v>
      </c>
      <c r="SPL989" s="16" t="s">
        <v>1487</v>
      </c>
      <c r="SPM989" s="16" t="s">
        <v>1487</v>
      </c>
      <c r="SPN989" s="16" t="s">
        <v>1487</v>
      </c>
      <c r="SPO989" s="16" t="s">
        <v>1487</v>
      </c>
      <c r="SPP989" s="16" t="s">
        <v>1487</v>
      </c>
      <c r="SPQ989" s="16" t="s">
        <v>1487</v>
      </c>
      <c r="SPR989" s="16" t="s">
        <v>1487</v>
      </c>
      <c r="SPS989" s="16" t="s">
        <v>1487</v>
      </c>
      <c r="SPT989" s="16" t="s">
        <v>1487</v>
      </c>
      <c r="SPU989" s="16" t="s">
        <v>1487</v>
      </c>
      <c r="SPV989" s="16" t="s">
        <v>1487</v>
      </c>
      <c r="SPW989" s="16" t="s">
        <v>1487</v>
      </c>
      <c r="SPX989" s="16" t="s">
        <v>1487</v>
      </c>
      <c r="SPY989" s="16" t="s">
        <v>1487</v>
      </c>
      <c r="SPZ989" s="16" t="s">
        <v>1487</v>
      </c>
      <c r="SQA989" s="16" t="s">
        <v>1487</v>
      </c>
      <c r="SQB989" s="16" t="s">
        <v>1487</v>
      </c>
      <c r="SQC989" s="16" t="s">
        <v>1487</v>
      </c>
      <c r="SQD989" s="16" t="s">
        <v>1487</v>
      </c>
      <c r="SQE989" s="16" t="s">
        <v>1487</v>
      </c>
      <c r="SQF989" s="16" t="s">
        <v>1487</v>
      </c>
      <c r="SQG989" s="16" t="s">
        <v>1487</v>
      </c>
      <c r="SQH989" s="16" t="s">
        <v>1487</v>
      </c>
      <c r="SQI989" s="16" t="s">
        <v>1487</v>
      </c>
      <c r="SQJ989" s="16" t="s">
        <v>1487</v>
      </c>
      <c r="SQK989" s="16" t="s">
        <v>1487</v>
      </c>
      <c r="SQL989" s="16" t="s">
        <v>1487</v>
      </c>
      <c r="SQM989" s="16" t="s">
        <v>1487</v>
      </c>
      <c r="SQN989" s="16" t="s">
        <v>1487</v>
      </c>
      <c r="SQO989" s="16" t="s">
        <v>1487</v>
      </c>
      <c r="SQP989" s="16" t="s">
        <v>1487</v>
      </c>
      <c r="SQQ989" s="16" t="s">
        <v>1487</v>
      </c>
      <c r="SQR989" s="16" t="s">
        <v>1487</v>
      </c>
      <c r="SQS989" s="16" t="s">
        <v>1487</v>
      </c>
      <c r="SQT989" s="16" t="s">
        <v>1487</v>
      </c>
      <c r="SQU989" s="16" t="s">
        <v>1487</v>
      </c>
      <c r="SQV989" s="16" t="s">
        <v>1487</v>
      </c>
      <c r="SQW989" s="16" t="s">
        <v>1487</v>
      </c>
      <c r="SQX989" s="16" t="s">
        <v>1487</v>
      </c>
      <c r="SQY989" s="16" t="s">
        <v>1487</v>
      </c>
      <c r="SQZ989" s="16" t="s">
        <v>1487</v>
      </c>
      <c r="SRA989" s="16" t="s">
        <v>1487</v>
      </c>
      <c r="SRB989" s="16" t="s">
        <v>1487</v>
      </c>
      <c r="SRC989" s="16" t="s">
        <v>1487</v>
      </c>
      <c r="SRD989" s="16" t="s">
        <v>1487</v>
      </c>
      <c r="SRE989" s="16" t="s">
        <v>1487</v>
      </c>
      <c r="SRF989" s="16" t="s">
        <v>1487</v>
      </c>
      <c r="SRG989" s="16" t="s">
        <v>1487</v>
      </c>
      <c r="SRH989" s="16" t="s">
        <v>1487</v>
      </c>
      <c r="SRI989" s="16" t="s">
        <v>1487</v>
      </c>
      <c r="SRJ989" s="16" t="s">
        <v>1487</v>
      </c>
      <c r="SRK989" s="16" t="s">
        <v>1487</v>
      </c>
      <c r="SRL989" s="16" t="s">
        <v>1487</v>
      </c>
      <c r="SRM989" s="16" t="s">
        <v>1487</v>
      </c>
      <c r="SRN989" s="16" t="s">
        <v>1487</v>
      </c>
      <c r="SRO989" s="16" t="s">
        <v>1487</v>
      </c>
      <c r="SRP989" s="16" t="s">
        <v>1487</v>
      </c>
      <c r="SRQ989" s="16" t="s">
        <v>1487</v>
      </c>
      <c r="SRR989" s="16" t="s">
        <v>1487</v>
      </c>
      <c r="SRS989" s="16" t="s">
        <v>1487</v>
      </c>
      <c r="SRT989" s="16" t="s">
        <v>1487</v>
      </c>
      <c r="SRU989" s="16" t="s">
        <v>1487</v>
      </c>
      <c r="SRV989" s="16" t="s">
        <v>1487</v>
      </c>
      <c r="SRW989" s="16" t="s">
        <v>1487</v>
      </c>
      <c r="SRX989" s="16" t="s">
        <v>1487</v>
      </c>
      <c r="SRY989" s="16" t="s">
        <v>1487</v>
      </c>
      <c r="SRZ989" s="16" t="s">
        <v>1487</v>
      </c>
      <c r="SSA989" s="16" t="s">
        <v>1487</v>
      </c>
      <c r="SSB989" s="16" t="s">
        <v>1487</v>
      </c>
      <c r="SSC989" s="16" t="s">
        <v>1487</v>
      </c>
      <c r="SSD989" s="16" t="s">
        <v>1487</v>
      </c>
      <c r="SSE989" s="16" t="s">
        <v>1487</v>
      </c>
      <c r="SSF989" s="16" t="s">
        <v>1487</v>
      </c>
      <c r="SSG989" s="16" t="s">
        <v>1487</v>
      </c>
      <c r="SSH989" s="16" t="s">
        <v>1487</v>
      </c>
      <c r="SSI989" s="16" t="s">
        <v>1487</v>
      </c>
      <c r="SSJ989" s="16" t="s">
        <v>1487</v>
      </c>
      <c r="SSK989" s="16" t="s">
        <v>1487</v>
      </c>
      <c r="SSL989" s="16" t="s">
        <v>1487</v>
      </c>
      <c r="SSM989" s="16" t="s">
        <v>1487</v>
      </c>
      <c r="SSN989" s="16" t="s">
        <v>1487</v>
      </c>
      <c r="SSO989" s="16" t="s">
        <v>1487</v>
      </c>
      <c r="SSP989" s="16" t="s">
        <v>1487</v>
      </c>
      <c r="SSQ989" s="16" t="s">
        <v>1487</v>
      </c>
      <c r="SSR989" s="16" t="s">
        <v>1487</v>
      </c>
      <c r="SSS989" s="16" t="s">
        <v>1487</v>
      </c>
      <c r="SST989" s="16" t="s">
        <v>1487</v>
      </c>
      <c r="SSU989" s="16" t="s">
        <v>1487</v>
      </c>
      <c r="SSV989" s="16" t="s">
        <v>1487</v>
      </c>
      <c r="SSW989" s="16" t="s">
        <v>1487</v>
      </c>
      <c r="SSX989" s="16" t="s">
        <v>1487</v>
      </c>
      <c r="SSY989" s="16" t="s">
        <v>1487</v>
      </c>
      <c r="SSZ989" s="16" t="s">
        <v>1487</v>
      </c>
      <c r="STA989" s="16" t="s">
        <v>1487</v>
      </c>
      <c r="STB989" s="16" t="s">
        <v>1487</v>
      </c>
      <c r="STC989" s="16" t="s">
        <v>1487</v>
      </c>
      <c r="STD989" s="16" t="s">
        <v>1487</v>
      </c>
      <c r="STE989" s="16" t="s">
        <v>1487</v>
      </c>
      <c r="STF989" s="16" t="s">
        <v>1487</v>
      </c>
      <c r="STG989" s="16" t="s">
        <v>1487</v>
      </c>
      <c r="STH989" s="16" t="s">
        <v>1487</v>
      </c>
      <c r="STI989" s="16" t="s">
        <v>1487</v>
      </c>
      <c r="STJ989" s="16" t="s">
        <v>1487</v>
      </c>
      <c r="STK989" s="16" t="s">
        <v>1487</v>
      </c>
      <c r="STL989" s="16" t="s">
        <v>1487</v>
      </c>
      <c r="STM989" s="16" t="s">
        <v>1487</v>
      </c>
      <c r="STN989" s="16" t="s">
        <v>1487</v>
      </c>
      <c r="STO989" s="16" t="s">
        <v>1487</v>
      </c>
      <c r="STP989" s="16" t="s">
        <v>1487</v>
      </c>
      <c r="STQ989" s="16" t="s">
        <v>1487</v>
      </c>
      <c r="STR989" s="16" t="s">
        <v>1487</v>
      </c>
      <c r="STS989" s="16" t="s">
        <v>1487</v>
      </c>
      <c r="STT989" s="16" t="s">
        <v>1487</v>
      </c>
      <c r="STU989" s="16" t="s">
        <v>1487</v>
      </c>
      <c r="STV989" s="16" t="s">
        <v>1487</v>
      </c>
      <c r="STW989" s="16" t="s">
        <v>1487</v>
      </c>
      <c r="STX989" s="16" t="s">
        <v>1487</v>
      </c>
      <c r="STY989" s="16" t="s">
        <v>1487</v>
      </c>
      <c r="STZ989" s="16" t="s">
        <v>1487</v>
      </c>
      <c r="SUA989" s="16" t="s">
        <v>1487</v>
      </c>
      <c r="SUB989" s="16" t="s">
        <v>1487</v>
      </c>
      <c r="SUC989" s="16" t="s">
        <v>1487</v>
      </c>
      <c r="SUD989" s="16" t="s">
        <v>1487</v>
      </c>
      <c r="SUE989" s="16" t="s">
        <v>1487</v>
      </c>
      <c r="SUF989" s="16" t="s">
        <v>1487</v>
      </c>
      <c r="SUG989" s="16" t="s">
        <v>1487</v>
      </c>
      <c r="SUH989" s="16" t="s">
        <v>1487</v>
      </c>
      <c r="SUI989" s="16" t="s">
        <v>1487</v>
      </c>
      <c r="SUJ989" s="16" t="s">
        <v>1487</v>
      </c>
      <c r="SUK989" s="16" t="s">
        <v>1487</v>
      </c>
      <c r="SUL989" s="16" t="s">
        <v>1487</v>
      </c>
      <c r="SUM989" s="16" t="s">
        <v>1487</v>
      </c>
      <c r="SUN989" s="16" t="s">
        <v>1487</v>
      </c>
      <c r="SUO989" s="16" t="s">
        <v>1487</v>
      </c>
      <c r="SUP989" s="16" t="s">
        <v>1487</v>
      </c>
      <c r="SUQ989" s="16" t="s">
        <v>1487</v>
      </c>
      <c r="SUR989" s="16" t="s">
        <v>1487</v>
      </c>
      <c r="SUS989" s="16" t="s">
        <v>1487</v>
      </c>
      <c r="SUT989" s="16" t="s">
        <v>1487</v>
      </c>
      <c r="SUU989" s="16" t="s">
        <v>1487</v>
      </c>
      <c r="SUV989" s="16" t="s">
        <v>1487</v>
      </c>
      <c r="SUW989" s="16" t="s">
        <v>1487</v>
      </c>
      <c r="SUX989" s="16" t="s">
        <v>1487</v>
      </c>
      <c r="SUY989" s="16" t="s">
        <v>1487</v>
      </c>
      <c r="SUZ989" s="16" t="s">
        <v>1487</v>
      </c>
      <c r="SVA989" s="16" t="s">
        <v>1487</v>
      </c>
      <c r="SVB989" s="16" t="s">
        <v>1487</v>
      </c>
      <c r="SVC989" s="16" t="s">
        <v>1487</v>
      </c>
      <c r="SVD989" s="16" t="s">
        <v>1487</v>
      </c>
      <c r="SVE989" s="16" t="s">
        <v>1487</v>
      </c>
      <c r="SVF989" s="16" t="s">
        <v>1487</v>
      </c>
      <c r="SVG989" s="16" t="s">
        <v>1487</v>
      </c>
      <c r="SVH989" s="16" t="s">
        <v>1487</v>
      </c>
      <c r="SVI989" s="16" t="s">
        <v>1487</v>
      </c>
      <c r="SVJ989" s="16" t="s">
        <v>1487</v>
      </c>
      <c r="SVK989" s="16" t="s">
        <v>1487</v>
      </c>
      <c r="SVL989" s="16" t="s">
        <v>1487</v>
      </c>
      <c r="SVM989" s="16" t="s">
        <v>1487</v>
      </c>
      <c r="SVN989" s="16" t="s">
        <v>1487</v>
      </c>
      <c r="SVO989" s="16" t="s">
        <v>1487</v>
      </c>
      <c r="SVP989" s="16" t="s">
        <v>1487</v>
      </c>
      <c r="SVQ989" s="16" t="s">
        <v>1487</v>
      </c>
      <c r="SVR989" s="16" t="s">
        <v>1487</v>
      </c>
      <c r="SVS989" s="16" t="s">
        <v>1487</v>
      </c>
      <c r="SVT989" s="16" t="s">
        <v>1487</v>
      </c>
      <c r="SVU989" s="16" t="s">
        <v>1487</v>
      </c>
      <c r="SVV989" s="16" t="s">
        <v>1487</v>
      </c>
      <c r="SVW989" s="16" t="s">
        <v>1487</v>
      </c>
      <c r="SVX989" s="16" t="s">
        <v>1487</v>
      </c>
      <c r="SVY989" s="16" t="s">
        <v>1487</v>
      </c>
      <c r="SVZ989" s="16" t="s">
        <v>1487</v>
      </c>
      <c r="SWA989" s="16" t="s">
        <v>1487</v>
      </c>
      <c r="SWB989" s="16" t="s">
        <v>1487</v>
      </c>
      <c r="SWC989" s="16" t="s">
        <v>1487</v>
      </c>
      <c r="SWD989" s="16" t="s">
        <v>1487</v>
      </c>
      <c r="SWE989" s="16" t="s">
        <v>1487</v>
      </c>
      <c r="SWF989" s="16" t="s">
        <v>1487</v>
      </c>
      <c r="SWG989" s="16" t="s">
        <v>1487</v>
      </c>
      <c r="SWH989" s="16" t="s">
        <v>1487</v>
      </c>
      <c r="SWI989" s="16" t="s">
        <v>1487</v>
      </c>
      <c r="SWJ989" s="16" t="s">
        <v>1487</v>
      </c>
      <c r="SWK989" s="16" t="s">
        <v>1487</v>
      </c>
      <c r="SWL989" s="16" t="s">
        <v>1487</v>
      </c>
      <c r="SWM989" s="16" t="s">
        <v>1487</v>
      </c>
      <c r="SWN989" s="16" t="s">
        <v>1487</v>
      </c>
      <c r="SWO989" s="16" t="s">
        <v>1487</v>
      </c>
      <c r="SWP989" s="16" t="s">
        <v>1487</v>
      </c>
      <c r="SWQ989" s="16" t="s">
        <v>1487</v>
      </c>
      <c r="SWR989" s="16" t="s">
        <v>1487</v>
      </c>
      <c r="SWS989" s="16" t="s">
        <v>1487</v>
      </c>
      <c r="SWT989" s="16" t="s">
        <v>1487</v>
      </c>
      <c r="SWU989" s="16" t="s">
        <v>1487</v>
      </c>
      <c r="SWV989" s="16" t="s">
        <v>1487</v>
      </c>
      <c r="SWW989" s="16" t="s">
        <v>1487</v>
      </c>
      <c r="SWX989" s="16" t="s">
        <v>1487</v>
      </c>
      <c r="SWY989" s="16" t="s">
        <v>1487</v>
      </c>
      <c r="SWZ989" s="16" t="s">
        <v>1487</v>
      </c>
      <c r="SXA989" s="16" t="s">
        <v>1487</v>
      </c>
      <c r="SXB989" s="16" t="s">
        <v>1487</v>
      </c>
      <c r="SXC989" s="16" t="s">
        <v>1487</v>
      </c>
      <c r="SXD989" s="16" t="s">
        <v>1487</v>
      </c>
      <c r="SXE989" s="16" t="s">
        <v>1487</v>
      </c>
      <c r="SXF989" s="16" t="s">
        <v>1487</v>
      </c>
      <c r="SXG989" s="16" t="s">
        <v>1487</v>
      </c>
      <c r="SXH989" s="16" t="s">
        <v>1487</v>
      </c>
      <c r="SXI989" s="16" t="s">
        <v>1487</v>
      </c>
      <c r="SXJ989" s="16" t="s">
        <v>1487</v>
      </c>
      <c r="SXK989" s="16" t="s">
        <v>1487</v>
      </c>
      <c r="SXL989" s="16" t="s">
        <v>1487</v>
      </c>
      <c r="SXM989" s="16" t="s">
        <v>1487</v>
      </c>
      <c r="SXN989" s="16" t="s">
        <v>1487</v>
      </c>
      <c r="SXO989" s="16" t="s">
        <v>1487</v>
      </c>
      <c r="SXP989" s="16" t="s">
        <v>1487</v>
      </c>
      <c r="SXQ989" s="16" t="s">
        <v>1487</v>
      </c>
      <c r="SXR989" s="16" t="s">
        <v>1487</v>
      </c>
      <c r="SXS989" s="16" t="s">
        <v>1487</v>
      </c>
      <c r="SXT989" s="16" t="s">
        <v>1487</v>
      </c>
      <c r="SXU989" s="16" t="s">
        <v>1487</v>
      </c>
      <c r="SXV989" s="16" t="s">
        <v>1487</v>
      </c>
      <c r="SXW989" s="16" t="s">
        <v>1487</v>
      </c>
      <c r="SXX989" s="16" t="s">
        <v>1487</v>
      </c>
      <c r="SXY989" s="16" t="s">
        <v>1487</v>
      </c>
      <c r="SXZ989" s="16" t="s">
        <v>1487</v>
      </c>
      <c r="SYA989" s="16" t="s">
        <v>1487</v>
      </c>
      <c r="SYB989" s="16" t="s">
        <v>1487</v>
      </c>
      <c r="SYC989" s="16" t="s">
        <v>1487</v>
      </c>
      <c r="SYD989" s="16" t="s">
        <v>1487</v>
      </c>
      <c r="SYE989" s="16" t="s">
        <v>1487</v>
      </c>
      <c r="SYF989" s="16" t="s">
        <v>1487</v>
      </c>
      <c r="SYG989" s="16" t="s">
        <v>1487</v>
      </c>
      <c r="SYH989" s="16" t="s">
        <v>1487</v>
      </c>
      <c r="SYI989" s="16" t="s">
        <v>1487</v>
      </c>
      <c r="SYJ989" s="16" t="s">
        <v>1487</v>
      </c>
      <c r="SYK989" s="16" t="s">
        <v>1487</v>
      </c>
      <c r="SYL989" s="16" t="s">
        <v>1487</v>
      </c>
      <c r="SYM989" s="16" t="s">
        <v>1487</v>
      </c>
      <c r="SYN989" s="16" t="s">
        <v>1487</v>
      </c>
      <c r="SYO989" s="16" t="s">
        <v>1487</v>
      </c>
      <c r="SYP989" s="16" t="s">
        <v>1487</v>
      </c>
      <c r="SYQ989" s="16" t="s">
        <v>1487</v>
      </c>
      <c r="SYR989" s="16" t="s">
        <v>1487</v>
      </c>
      <c r="SYS989" s="16" t="s">
        <v>1487</v>
      </c>
      <c r="SYT989" s="16" t="s">
        <v>1487</v>
      </c>
      <c r="SYU989" s="16" t="s">
        <v>1487</v>
      </c>
      <c r="SYV989" s="16" t="s">
        <v>1487</v>
      </c>
      <c r="SYW989" s="16" t="s">
        <v>1487</v>
      </c>
      <c r="SYX989" s="16" t="s">
        <v>1487</v>
      </c>
      <c r="SYY989" s="16" t="s">
        <v>1487</v>
      </c>
      <c r="SYZ989" s="16" t="s">
        <v>1487</v>
      </c>
      <c r="SZA989" s="16" t="s">
        <v>1487</v>
      </c>
      <c r="SZB989" s="16" t="s">
        <v>1487</v>
      </c>
      <c r="SZC989" s="16" t="s">
        <v>1487</v>
      </c>
      <c r="SZD989" s="16" t="s">
        <v>1487</v>
      </c>
      <c r="SZE989" s="16" t="s">
        <v>1487</v>
      </c>
      <c r="SZF989" s="16" t="s">
        <v>1487</v>
      </c>
      <c r="SZG989" s="16" t="s">
        <v>1487</v>
      </c>
      <c r="SZH989" s="16" t="s">
        <v>1487</v>
      </c>
      <c r="SZI989" s="16" t="s">
        <v>1487</v>
      </c>
      <c r="SZJ989" s="16" t="s">
        <v>1487</v>
      </c>
      <c r="SZK989" s="16" t="s">
        <v>1487</v>
      </c>
      <c r="SZL989" s="16" t="s">
        <v>1487</v>
      </c>
      <c r="SZM989" s="16" t="s">
        <v>1487</v>
      </c>
      <c r="SZN989" s="16" t="s">
        <v>1487</v>
      </c>
      <c r="SZO989" s="16" t="s">
        <v>1487</v>
      </c>
      <c r="SZP989" s="16" t="s">
        <v>1487</v>
      </c>
      <c r="SZQ989" s="16" t="s">
        <v>1487</v>
      </c>
      <c r="SZR989" s="16" t="s">
        <v>1487</v>
      </c>
      <c r="SZS989" s="16" t="s">
        <v>1487</v>
      </c>
      <c r="SZT989" s="16" t="s">
        <v>1487</v>
      </c>
      <c r="SZU989" s="16" t="s">
        <v>1487</v>
      </c>
      <c r="SZV989" s="16" t="s">
        <v>1487</v>
      </c>
      <c r="SZW989" s="16" t="s">
        <v>1487</v>
      </c>
      <c r="SZX989" s="16" t="s">
        <v>1487</v>
      </c>
      <c r="SZY989" s="16" t="s">
        <v>1487</v>
      </c>
      <c r="SZZ989" s="16" t="s">
        <v>1487</v>
      </c>
      <c r="TAA989" s="16" t="s">
        <v>1487</v>
      </c>
      <c r="TAB989" s="16" t="s">
        <v>1487</v>
      </c>
      <c r="TAC989" s="16" t="s">
        <v>1487</v>
      </c>
      <c r="TAD989" s="16" t="s">
        <v>1487</v>
      </c>
      <c r="TAE989" s="16" t="s">
        <v>1487</v>
      </c>
      <c r="TAF989" s="16" t="s">
        <v>1487</v>
      </c>
      <c r="TAG989" s="16" t="s">
        <v>1487</v>
      </c>
      <c r="TAH989" s="16" t="s">
        <v>1487</v>
      </c>
      <c r="TAI989" s="16" t="s">
        <v>1487</v>
      </c>
      <c r="TAJ989" s="16" t="s">
        <v>1487</v>
      </c>
      <c r="TAK989" s="16" t="s">
        <v>1487</v>
      </c>
      <c r="TAL989" s="16" t="s">
        <v>1487</v>
      </c>
      <c r="TAM989" s="16" t="s">
        <v>1487</v>
      </c>
      <c r="TAN989" s="16" t="s">
        <v>1487</v>
      </c>
      <c r="TAO989" s="16" t="s">
        <v>1487</v>
      </c>
      <c r="TAP989" s="16" t="s">
        <v>1487</v>
      </c>
      <c r="TAQ989" s="16" t="s">
        <v>1487</v>
      </c>
      <c r="TAR989" s="16" t="s">
        <v>1487</v>
      </c>
      <c r="TAS989" s="16" t="s">
        <v>1487</v>
      </c>
      <c r="TAT989" s="16" t="s">
        <v>1487</v>
      </c>
      <c r="TAU989" s="16" t="s">
        <v>1487</v>
      </c>
      <c r="TAV989" s="16" t="s">
        <v>1487</v>
      </c>
      <c r="TAW989" s="16" t="s">
        <v>1487</v>
      </c>
      <c r="TAX989" s="16" t="s">
        <v>1487</v>
      </c>
      <c r="TAY989" s="16" t="s">
        <v>1487</v>
      </c>
      <c r="TAZ989" s="16" t="s">
        <v>1487</v>
      </c>
      <c r="TBA989" s="16" t="s">
        <v>1487</v>
      </c>
      <c r="TBB989" s="16" t="s">
        <v>1487</v>
      </c>
      <c r="TBC989" s="16" t="s">
        <v>1487</v>
      </c>
      <c r="TBD989" s="16" t="s">
        <v>1487</v>
      </c>
      <c r="TBE989" s="16" t="s">
        <v>1487</v>
      </c>
      <c r="TBF989" s="16" t="s">
        <v>1487</v>
      </c>
      <c r="TBG989" s="16" t="s">
        <v>1487</v>
      </c>
      <c r="TBH989" s="16" t="s">
        <v>1487</v>
      </c>
      <c r="TBI989" s="16" t="s">
        <v>1487</v>
      </c>
      <c r="TBJ989" s="16" t="s">
        <v>1487</v>
      </c>
      <c r="TBK989" s="16" t="s">
        <v>1487</v>
      </c>
      <c r="TBL989" s="16" t="s">
        <v>1487</v>
      </c>
      <c r="TBM989" s="16" t="s">
        <v>1487</v>
      </c>
      <c r="TBN989" s="16" t="s">
        <v>1487</v>
      </c>
      <c r="TBO989" s="16" t="s">
        <v>1487</v>
      </c>
      <c r="TBP989" s="16" t="s">
        <v>1487</v>
      </c>
      <c r="TBQ989" s="16" t="s">
        <v>1487</v>
      </c>
      <c r="TBR989" s="16" t="s">
        <v>1487</v>
      </c>
      <c r="TBS989" s="16" t="s">
        <v>1487</v>
      </c>
      <c r="TBT989" s="16" t="s">
        <v>1487</v>
      </c>
      <c r="TBU989" s="16" t="s">
        <v>1487</v>
      </c>
      <c r="TBV989" s="16" t="s">
        <v>1487</v>
      </c>
      <c r="TBW989" s="16" t="s">
        <v>1487</v>
      </c>
      <c r="TBX989" s="16" t="s">
        <v>1487</v>
      </c>
      <c r="TBY989" s="16" t="s">
        <v>1487</v>
      </c>
      <c r="TBZ989" s="16" t="s">
        <v>1487</v>
      </c>
      <c r="TCA989" s="16" t="s">
        <v>1487</v>
      </c>
      <c r="TCB989" s="16" t="s">
        <v>1487</v>
      </c>
      <c r="TCC989" s="16" t="s">
        <v>1487</v>
      </c>
      <c r="TCD989" s="16" t="s">
        <v>1487</v>
      </c>
      <c r="TCE989" s="16" t="s">
        <v>1487</v>
      </c>
      <c r="TCF989" s="16" t="s">
        <v>1487</v>
      </c>
      <c r="TCG989" s="16" t="s">
        <v>1487</v>
      </c>
      <c r="TCH989" s="16" t="s">
        <v>1487</v>
      </c>
      <c r="TCI989" s="16" t="s">
        <v>1487</v>
      </c>
      <c r="TCJ989" s="16" t="s">
        <v>1487</v>
      </c>
      <c r="TCK989" s="16" t="s">
        <v>1487</v>
      </c>
      <c r="TCL989" s="16" t="s">
        <v>1487</v>
      </c>
      <c r="TCM989" s="16" t="s">
        <v>1487</v>
      </c>
      <c r="TCN989" s="16" t="s">
        <v>1487</v>
      </c>
      <c r="TCO989" s="16" t="s">
        <v>1487</v>
      </c>
      <c r="TCP989" s="16" t="s">
        <v>1487</v>
      </c>
      <c r="TCQ989" s="16" t="s">
        <v>1487</v>
      </c>
      <c r="TCR989" s="16" t="s">
        <v>1487</v>
      </c>
      <c r="TCS989" s="16" t="s">
        <v>1487</v>
      </c>
      <c r="TCT989" s="16" t="s">
        <v>1487</v>
      </c>
      <c r="TCU989" s="16" t="s">
        <v>1487</v>
      </c>
      <c r="TCV989" s="16" t="s">
        <v>1487</v>
      </c>
      <c r="TCW989" s="16" t="s">
        <v>1487</v>
      </c>
      <c r="TCX989" s="16" t="s">
        <v>1487</v>
      </c>
      <c r="TCY989" s="16" t="s">
        <v>1487</v>
      </c>
      <c r="TCZ989" s="16" t="s">
        <v>1487</v>
      </c>
      <c r="TDA989" s="16" t="s">
        <v>1487</v>
      </c>
      <c r="TDB989" s="16" t="s">
        <v>1487</v>
      </c>
      <c r="TDC989" s="16" t="s">
        <v>1487</v>
      </c>
      <c r="TDD989" s="16" t="s">
        <v>1487</v>
      </c>
      <c r="TDE989" s="16" t="s">
        <v>1487</v>
      </c>
      <c r="TDF989" s="16" t="s">
        <v>1487</v>
      </c>
      <c r="TDG989" s="16" t="s">
        <v>1487</v>
      </c>
      <c r="TDH989" s="16" t="s">
        <v>1487</v>
      </c>
      <c r="TDI989" s="16" t="s">
        <v>1487</v>
      </c>
      <c r="TDJ989" s="16" t="s">
        <v>1487</v>
      </c>
      <c r="TDK989" s="16" t="s">
        <v>1487</v>
      </c>
      <c r="TDL989" s="16" t="s">
        <v>1487</v>
      </c>
      <c r="TDM989" s="16" t="s">
        <v>1487</v>
      </c>
      <c r="TDN989" s="16" t="s">
        <v>1487</v>
      </c>
      <c r="TDO989" s="16" t="s">
        <v>1487</v>
      </c>
      <c r="TDP989" s="16" t="s">
        <v>1487</v>
      </c>
      <c r="TDQ989" s="16" t="s">
        <v>1487</v>
      </c>
      <c r="TDR989" s="16" t="s">
        <v>1487</v>
      </c>
      <c r="TDS989" s="16" t="s">
        <v>1487</v>
      </c>
      <c r="TDT989" s="16" t="s">
        <v>1487</v>
      </c>
      <c r="TDU989" s="16" t="s">
        <v>1487</v>
      </c>
      <c r="TDV989" s="16" t="s">
        <v>1487</v>
      </c>
      <c r="TDW989" s="16" t="s">
        <v>1487</v>
      </c>
      <c r="TDX989" s="16" t="s">
        <v>1487</v>
      </c>
      <c r="TDY989" s="16" t="s">
        <v>1487</v>
      </c>
      <c r="TDZ989" s="16" t="s">
        <v>1487</v>
      </c>
      <c r="TEA989" s="16" t="s">
        <v>1487</v>
      </c>
      <c r="TEB989" s="16" t="s">
        <v>1487</v>
      </c>
      <c r="TEC989" s="16" t="s">
        <v>1487</v>
      </c>
      <c r="TED989" s="16" t="s">
        <v>1487</v>
      </c>
      <c r="TEE989" s="16" t="s">
        <v>1487</v>
      </c>
      <c r="TEF989" s="16" t="s">
        <v>1487</v>
      </c>
      <c r="TEG989" s="16" t="s">
        <v>1487</v>
      </c>
      <c r="TEH989" s="16" t="s">
        <v>1487</v>
      </c>
      <c r="TEI989" s="16" t="s">
        <v>1487</v>
      </c>
      <c r="TEJ989" s="16" t="s">
        <v>1487</v>
      </c>
      <c r="TEK989" s="16" t="s">
        <v>1487</v>
      </c>
      <c r="TEL989" s="16" t="s">
        <v>1487</v>
      </c>
      <c r="TEM989" s="16" t="s">
        <v>1487</v>
      </c>
      <c r="TEN989" s="16" t="s">
        <v>1487</v>
      </c>
      <c r="TEO989" s="16" t="s">
        <v>1487</v>
      </c>
      <c r="TEP989" s="16" t="s">
        <v>1487</v>
      </c>
      <c r="TEQ989" s="16" t="s">
        <v>1487</v>
      </c>
      <c r="TER989" s="16" t="s">
        <v>1487</v>
      </c>
      <c r="TES989" s="16" t="s">
        <v>1487</v>
      </c>
      <c r="TET989" s="16" t="s">
        <v>1487</v>
      </c>
      <c r="TEU989" s="16" t="s">
        <v>1487</v>
      </c>
      <c r="TEV989" s="16" t="s">
        <v>1487</v>
      </c>
      <c r="TEW989" s="16" t="s">
        <v>1487</v>
      </c>
      <c r="TEX989" s="16" t="s">
        <v>1487</v>
      </c>
      <c r="TEY989" s="16" t="s">
        <v>1487</v>
      </c>
      <c r="TEZ989" s="16" t="s">
        <v>1487</v>
      </c>
      <c r="TFA989" s="16" t="s">
        <v>1487</v>
      </c>
      <c r="TFB989" s="16" t="s">
        <v>1487</v>
      </c>
      <c r="TFC989" s="16" t="s">
        <v>1487</v>
      </c>
      <c r="TFD989" s="16" t="s">
        <v>1487</v>
      </c>
      <c r="TFE989" s="16" t="s">
        <v>1487</v>
      </c>
      <c r="TFF989" s="16" t="s">
        <v>1487</v>
      </c>
      <c r="TFG989" s="16" t="s">
        <v>1487</v>
      </c>
      <c r="TFH989" s="16" t="s">
        <v>1487</v>
      </c>
      <c r="TFI989" s="16" t="s">
        <v>1487</v>
      </c>
      <c r="TFJ989" s="16" t="s">
        <v>1487</v>
      </c>
      <c r="TFK989" s="16" t="s">
        <v>1487</v>
      </c>
      <c r="TFL989" s="16" t="s">
        <v>1487</v>
      </c>
      <c r="TFM989" s="16" t="s">
        <v>1487</v>
      </c>
      <c r="TFN989" s="16" t="s">
        <v>1487</v>
      </c>
      <c r="TFO989" s="16" t="s">
        <v>1487</v>
      </c>
      <c r="TFP989" s="16" t="s">
        <v>1487</v>
      </c>
      <c r="TFQ989" s="16" t="s">
        <v>1487</v>
      </c>
      <c r="TFR989" s="16" t="s">
        <v>1487</v>
      </c>
      <c r="TFS989" s="16" t="s">
        <v>1487</v>
      </c>
      <c r="TFT989" s="16" t="s">
        <v>1487</v>
      </c>
      <c r="TFU989" s="16" t="s">
        <v>1487</v>
      </c>
      <c r="TFV989" s="16" t="s">
        <v>1487</v>
      </c>
      <c r="TFW989" s="16" t="s">
        <v>1487</v>
      </c>
      <c r="TFX989" s="16" t="s">
        <v>1487</v>
      </c>
      <c r="TFY989" s="16" t="s">
        <v>1487</v>
      </c>
      <c r="TFZ989" s="16" t="s">
        <v>1487</v>
      </c>
      <c r="TGA989" s="16" t="s">
        <v>1487</v>
      </c>
      <c r="TGB989" s="16" t="s">
        <v>1487</v>
      </c>
      <c r="TGC989" s="16" t="s">
        <v>1487</v>
      </c>
      <c r="TGD989" s="16" t="s">
        <v>1487</v>
      </c>
      <c r="TGE989" s="16" t="s">
        <v>1487</v>
      </c>
      <c r="TGF989" s="16" t="s">
        <v>1487</v>
      </c>
      <c r="TGG989" s="16" t="s">
        <v>1487</v>
      </c>
      <c r="TGH989" s="16" t="s">
        <v>1487</v>
      </c>
      <c r="TGI989" s="16" t="s">
        <v>1487</v>
      </c>
      <c r="TGJ989" s="16" t="s">
        <v>1487</v>
      </c>
      <c r="TGK989" s="16" t="s">
        <v>1487</v>
      </c>
      <c r="TGL989" s="16" t="s">
        <v>1487</v>
      </c>
      <c r="TGM989" s="16" t="s">
        <v>1487</v>
      </c>
      <c r="TGN989" s="16" t="s">
        <v>1487</v>
      </c>
      <c r="TGO989" s="16" t="s">
        <v>1487</v>
      </c>
      <c r="TGP989" s="16" t="s">
        <v>1487</v>
      </c>
      <c r="TGQ989" s="16" t="s">
        <v>1487</v>
      </c>
      <c r="TGR989" s="16" t="s">
        <v>1487</v>
      </c>
      <c r="TGS989" s="16" t="s">
        <v>1487</v>
      </c>
      <c r="TGT989" s="16" t="s">
        <v>1487</v>
      </c>
      <c r="TGU989" s="16" t="s">
        <v>1487</v>
      </c>
      <c r="TGV989" s="16" t="s">
        <v>1487</v>
      </c>
      <c r="TGW989" s="16" t="s">
        <v>1487</v>
      </c>
      <c r="TGX989" s="16" t="s">
        <v>1487</v>
      </c>
      <c r="TGY989" s="16" t="s">
        <v>1487</v>
      </c>
      <c r="TGZ989" s="16" t="s">
        <v>1487</v>
      </c>
      <c r="THA989" s="16" t="s">
        <v>1487</v>
      </c>
      <c r="THB989" s="16" t="s">
        <v>1487</v>
      </c>
      <c r="THC989" s="16" t="s">
        <v>1487</v>
      </c>
      <c r="THD989" s="16" t="s">
        <v>1487</v>
      </c>
      <c r="THE989" s="16" t="s">
        <v>1487</v>
      </c>
      <c r="THF989" s="16" t="s">
        <v>1487</v>
      </c>
      <c r="THG989" s="16" t="s">
        <v>1487</v>
      </c>
      <c r="THH989" s="16" t="s">
        <v>1487</v>
      </c>
      <c r="THI989" s="16" t="s">
        <v>1487</v>
      </c>
      <c r="THJ989" s="16" t="s">
        <v>1487</v>
      </c>
      <c r="THK989" s="16" t="s">
        <v>1487</v>
      </c>
      <c r="THL989" s="16" t="s">
        <v>1487</v>
      </c>
      <c r="THM989" s="16" t="s">
        <v>1487</v>
      </c>
      <c r="THN989" s="16" t="s">
        <v>1487</v>
      </c>
      <c r="THO989" s="16" t="s">
        <v>1487</v>
      </c>
      <c r="THP989" s="16" t="s">
        <v>1487</v>
      </c>
      <c r="THQ989" s="16" t="s">
        <v>1487</v>
      </c>
      <c r="THR989" s="16" t="s">
        <v>1487</v>
      </c>
      <c r="THS989" s="16" t="s">
        <v>1487</v>
      </c>
      <c r="THT989" s="16" t="s">
        <v>1487</v>
      </c>
      <c r="THU989" s="16" t="s">
        <v>1487</v>
      </c>
      <c r="THV989" s="16" t="s">
        <v>1487</v>
      </c>
      <c r="THW989" s="16" t="s">
        <v>1487</v>
      </c>
      <c r="THX989" s="16" t="s">
        <v>1487</v>
      </c>
      <c r="THY989" s="16" t="s">
        <v>1487</v>
      </c>
      <c r="THZ989" s="16" t="s">
        <v>1487</v>
      </c>
      <c r="TIA989" s="16" t="s">
        <v>1487</v>
      </c>
      <c r="TIB989" s="16" t="s">
        <v>1487</v>
      </c>
      <c r="TIC989" s="16" t="s">
        <v>1487</v>
      </c>
      <c r="TID989" s="16" t="s">
        <v>1487</v>
      </c>
      <c r="TIE989" s="16" t="s">
        <v>1487</v>
      </c>
      <c r="TIF989" s="16" t="s">
        <v>1487</v>
      </c>
      <c r="TIG989" s="16" t="s">
        <v>1487</v>
      </c>
      <c r="TIH989" s="16" t="s">
        <v>1487</v>
      </c>
      <c r="TII989" s="16" t="s">
        <v>1487</v>
      </c>
      <c r="TIJ989" s="16" t="s">
        <v>1487</v>
      </c>
      <c r="TIK989" s="16" t="s">
        <v>1487</v>
      </c>
      <c r="TIL989" s="16" t="s">
        <v>1487</v>
      </c>
      <c r="TIM989" s="16" t="s">
        <v>1487</v>
      </c>
      <c r="TIN989" s="16" t="s">
        <v>1487</v>
      </c>
      <c r="TIO989" s="16" t="s">
        <v>1487</v>
      </c>
      <c r="TIP989" s="16" t="s">
        <v>1487</v>
      </c>
      <c r="TIQ989" s="16" t="s">
        <v>1487</v>
      </c>
      <c r="TIR989" s="16" t="s">
        <v>1487</v>
      </c>
      <c r="TIS989" s="16" t="s">
        <v>1487</v>
      </c>
      <c r="TIT989" s="16" t="s">
        <v>1487</v>
      </c>
      <c r="TIU989" s="16" t="s">
        <v>1487</v>
      </c>
      <c r="TIV989" s="16" t="s">
        <v>1487</v>
      </c>
      <c r="TIW989" s="16" t="s">
        <v>1487</v>
      </c>
      <c r="TIX989" s="16" t="s">
        <v>1487</v>
      </c>
      <c r="TIY989" s="16" t="s">
        <v>1487</v>
      </c>
      <c r="TIZ989" s="16" t="s">
        <v>1487</v>
      </c>
      <c r="TJA989" s="16" t="s">
        <v>1487</v>
      </c>
      <c r="TJB989" s="16" t="s">
        <v>1487</v>
      </c>
      <c r="TJC989" s="16" t="s">
        <v>1487</v>
      </c>
      <c r="TJD989" s="16" t="s">
        <v>1487</v>
      </c>
      <c r="TJE989" s="16" t="s">
        <v>1487</v>
      </c>
      <c r="TJF989" s="16" t="s">
        <v>1487</v>
      </c>
      <c r="TJG989" s="16" t="s">
        <v>1487</v>
      </c>
      <c r="TJH989" s="16" t="s">
        <v>1487</v>
      </c>
      <c r="TJI989" s="16" t="s">
        <v>1487</v>
      </c>
      <c r="TJJ989" s="16" t="s">
        <v>1487</v>
      </c>
      <c r="TJK989" s="16" t="s">
        <v>1487</v>
      </c>
      <c r="TJL989" s="16" t="s">
        <v>1487</v>
      </c>
      <c r="TJM989" s="16" t="s">
        <v>1487</v>
      </c>
      <c r="TJN989" s="16" t="s">
        <v>1487</v>
      </c>
      <c r="TJO989" s="16" t="s">
        <v>1487</v>
      </c>
      <c r="TJP989" s="16" t="s">
        <v>1487</v>
      </c>
      <c r="TJQ989" s="16" t="s">
        <v>1487</v>
      </c>
      <c r="TJR989" s="16" t="s">
        <v>1487</v>
      </c>
      <c r="TJS989" s="16" t="s">
        <v>1487</v>
      </c>
      <c r="TJT989" s="16" t="s">
        <v>1487</v>
      </c>
      <c r="TJU989" s="16" t="s">
        <v>1487</v>
      </c>
      <c r="TJV989" s="16" t="s">
        <v>1487</v>
      </c>
      <c r="TJW989" s="16" t="s">
        <v>1487</v>
      </c>
      <c r="TJX989" s="16" t="s">
        <v>1487</v>
      </c>
      <c r="TJY989" s="16" t="s">
        <v>1487</v>
      </c>
      <c r="TJZ989" s="16" t="s">
        <v>1487</v>
      </c>
      <c r="TKA989" s="16" t="s">
        <v>1487</v>
      </c>
      <c r="TKB989" s="16" t="s">
        <v>1487</v>
      </c>
      <c r="TKC989" s="16" t="s">
        <v>1487</v>
      </c>
      <c r="TKD989" s="16" t="s">
        <v>1487</v>
      </c>
      <c r="TKE989" s="16" t="s">
        <v>1487</v>
      </c>
      <c r="TKF989" s="16" t="s">
        <v>1487</v>
      </c>
      <c r="TKG989" s="16" t="s">
        <v>1487</v>
      </c>
      <c r="TKH989" s="16" t="s">
        <v>1487</v>
      </c>
      <c r="TKI989" s="16" t="s">
        <v>1487</v>
      </c>
      <c r="TKJ989" s="16" t="s">
        <v>1487</v>
      </c>
      <c r="TKK989" s="16" t="s">
        <v>1487</v>
      </c>
      <c r="TKL989" s="16" t="s">
        <v>1487</v>
      </c>
      <c r="TKM989" s="16" t="s">
        <v>1487</v>
      </c>
      <c r="TKN989" s="16" t="s">
        <v>1487</v>
      </c>
      <c r="TKO989" s="16" t="s">
        <v>1487</v>
      </c>
      <c r="TKP989" s="16" t="s">
        <v>1487</v>
      </c>
      <c r="TKQ989" s="16" t="s">
        <v>1487</v>
      </c>
      <c r="TKR989" s="16" t="s">
        <v>1487</v>
      </c>
      <c r="TKS989" s="16" t="s">
        <v>1487</v>
      </c>
      <c r="TKT989" s="16" t="s">
        <v>1487</v>
      </c>
      <c r="TKU989" s="16" t="s">
        <v>1487</v>
      </c>
      <c r="TKV989" s="16" t="s">
        <v>1487</v>
      </c>
      <c r="TKW989" s="16" t="s">
        <v>1487</v>
      </c>
      <c r="TKX989" s="16" t="s">
        <v>1487</v>
      </c>
      <c r="TKY989" s="16" t="s">
        <v>1487</v>
      </c>
      <c r="TKZ989" s="16" t="s">
        <v>1487</v>
      </c>
      <c r="TLA989" s="16" t="s">
        <v>1487</v>
      </c>
      <c r="TLB989" s="16" t="s">
        <v>1487</v>
      </c>
      <c r="TLC989" s="16" t="s">
        <v>1487</v>
      </c>
      <c r="TLD989" s="16" t="s">
        <v>1487</v>
      </c>
      <c r="TLE989" s="16" t="s">
        <v>1487</v>
      </c>
      <c r="TLF989" s="16" t="s">
        <v>1487</v>
      </c>
      <c r="TLG989" s="16" t="s">
        <v>1487</v>
      </c>
      <c r="TLH989" s="16" t="s">
        <v>1487</v>
      </c>
      <c r="TLI989" s="16" t="s">
        <v>1487</v>
      </c>
      <c r="TLJ989" s="16" t="s">
        <v>1487</v>
      </c>
      <c r="TLK989" s="16" t="s">
        <v>1487</v>
      </c>
      <c r="TLL989" s="16" t="s">
        <v>1487</v>
      </c>
      <c r="TLM989" s="16" t="s">
        <v>1487</v>
      </c>
      <c r="TLN989" s="16" t="s">
        <v>1487</v>
      </c>
      <c r="TLO989" s="16" t="s">
        <v>1487</v>
      </c>
      <c r="TLP989" s="16" t="s">
        <v>1487</v>
      </c>
      <c r="TLQ989" s="16" t="s">
        <v>1487</v>
      </c>
      <c r="TLR989" s="16" t="s">
        <v>1487</v>
      </c>
      <c r="TLS989" s="16" t="s">
        <v>1487</v>
      </c>
      <c r="TLT989" s="16" t="s">
        <v>1487</v>
      </c>
      <c r="TLU989" s="16" t="s">
        <v>1487</v>
      </c>
      <c r="TLV989" s="16" t="s">
        <v>1487</v>
      </c>
      <c r="TLW989" s="16" t="s">
        <v>1487</v>
      </c>
      <c r="TLX989" s="16" t="s">
        <v>1487</v>
      </c>
      <c r="TLY989" s="16" t="s">
        <v>1487</v>
      </c>
      <c r="TLZ989" s="16" t="s">
        <v>1487</v>
      </c>
      <c r="TMA989" s="16" t="s">
        <v>1487</v>
      </c>
      <c r="TMB989" s="16" t="s">
        <v>1487</v>
      </c>
      <c r="TMC989" s="16" t="s">
        <v>1487</v>
      </c>
      <c r="TMD989" s="16" t="s">
        <v>1487</v>
      </c>
      <c r="TME989" s="16" t="s">
        <v>1487</v>
      </c>
      <c r="TMF989" s="16" t="s">
        <v>1487</v>
      </c>
      <c r="TMG989" s="16" t="s">
        <v>1487</v>
      </c>
      <c r="TMH989" s="16" t="s">
        <v>1487</v>
      </c>
      <c r="TMI989" s="16" t="s">
        <v>1487</v>
      </c>
      <c r="TMJ989" s="16" t="s">
        <v>1487</v>
      </c>
      <c r="TMK989" s="16" t="s">
        <v>1487</v>
      </c>
      <c r="TML989" s="16" t="s">
        <v>1487</v>
      </c>
      <c r="TMM989" s="16" t="s">
        <v>1487</v>
      </c>
      <c r="TMN989" s="16" t="s">
        <v>1487</v>
      </c>
      <c r="TMO989" s="16" t="s">
        <v>1487</v>
      </c>
      <c r="TMP989" s="16" t="s">
        <v>1487</v>
      </c>
      <c r="TMQ989" s="16" t="s">
        <v>1487</v>
      </c>
      <c r="TMR989" s="16" t="s">
        <v>1487</v>
      </c>
      <c r="TMS989" s="16" t="s">
        <v>1487</v>
      </c>
      <c r="TMT989" s="16" t="s">
        <v>1487</v>
      </c>
      <c r="TMU989" s="16" t="s">
        <v>1487</v>
      </c>
      <c r="TMV989" s="16" t="s">
        <v>1487</v>
      </c>
      <c r="TMW989" s="16" t="s">
        <v>1487</v>
      </c>
      <c r="TMX989" s="16" t="s">
        <v>1487</v>
      </c>
      <c r="TMY989" s="16" t="s">
        <v>1487</v>
      </c>
      <c r="TMZ989" s="16" t="s">
        <v>1487</v>
      </c>
      <c r="TNA989" s="16" t="s">
        <v>1487</v>
      </c>
      <c r="TNB989" s="16" t="s">
        <v>1487</v>
      </c>
      <c r="TNC989" s="16" t="s">
        <v>1487</v>
      </c>
      <c r="TND989" s="16" t="s">
        <v>1487</v>
      </c>
      <c r="TNE989" s="16" t="s">
        <v>1487</v>
      </c>
      <c r="TNF989" s="16" t="s">
        <v>1487</v>
      </c>
      <c r="TNG989" s="16" t="s">
        <v>1487</v>
      </c>
      <c r="TNH989" s="16" t="s">
        <v>1487</v>
      </c>
      <c r="TNI989" s="16" t="s">
        <v>1487</v>
      </c>
      <c r="TNJ989" s="16" t="s">
        <v>1487</v>
      </c>
      <c r="TNK989" s="16" t="s">
        <v>1487</v>
      </c>
      <c r="TNL989" s="16" t="s">
        <v>1487</v>
      </c>
      <c r="TNM989" s="16" t="s">
        <v>1487</v>
      </c>
      <c r="TNN989" s="16" t="s">
        <v>1487</v>
      </c>
      <c r="TNO989" s="16" t="s">
        <v>1487</v>
      </c>
      <c r="TNP989" s="16" t="s">
        <v>1487</v>
      </c>
      <c r="TNQ989" s="16" t="s">
        <v>1487</v>
      </c>
      <c r="TNR989" s="16" t="s">
        <v>1487</v>
      </c>
      <c r="TNS989" s="16" t="s">
        <v>1487</v>
      </c>
      <c r="TNT989" s="16" t="s">
        <v>1487</v>
      </c>
      <c r="TNU989" s="16" t="s">
        <v>1487</v>
      </c>
      <c r="TNV989" s="16" t="s">
        <v>1487</v>
      </c>
      <c r="TNW989" s="16" t="s">
        <v>1487</v>
      </c>
      <c r="TNX989" s="16" t="s">
        <v>1487</v>
      </c>
      <c r="TNY989" s="16" t="s">
        <v>1487</v>
      </c>
      <c r="TNZ989" s="16" t="s">
        <v>1487</v>
      </c>
      <c r="TOA989" s="16" t="s">
        <v>1487</v>
      </c>
      <c r="TOB989" s="16" t="s">
        <v>1487</v>
      </c>
      <c r="TOC989" s="16" t="s">
        <v>1487</v>
      </c>
      <c r="TOD989" s="16" t="s">
        <v>1487</v>
      </c>
      <c r="TOE989" s="16" t="s">
        <v>1487</v>
      </c>
      <c r="TOF989" s="16" t="s">
        <v>1487</v>
      </c>
      <c r="TOG989" s="16" t="s">
        <v>1487</v>
      </c>
      <c r="TOH989" s="16" t="s">
        <v>1487</v>
      </c>
      <c r="TOI989" s="16" t="s">
        <v>1487</v>
      </c>
      <c r="TOJ989" s="16" t="s">
        <v>1487</v>
      </c>
      <c r="TOK989" s="16" t="s">
        <v>1487</v>
      </c>
      <c r="TOL989" s="16" t="s">
        <v>1487</v>
      </c>
      <c r="TOM989" s="16" t="s">
        <v>1487</v>
      </c>
      <c r="TON989" s="16" t="s">
        <v>1487</v>
      </c>
      <c r="TOO989" s="16" t="s">
        <v>1487</v>
      </c>
      <c r="TOP989" s="16" t="s">
        <v>1487</v>
      </c>
      <c r="TOQ989" s="16" t="s">
        <v>1487</v>
      </c>
      <c r="TOR989" s="16" t="s">
        <v>1487</v>
      </c>
      <c r="TOS989" s="16" t="s">
        <v>1487</v>
      </c>
      <c r="TOT989" s="16" t="s">
        <v>1487</v>
      </c>
      <c r="TOU989" s="16" t="s">
        <v>1487</v>
      </c>
      <c r="TOV989" s="16" t="s">
        <v>1487</v>
      </c>
      <c r="TOW989" s="16" t="s">
        <v>1487</v>
      </c>
      <c r="TOX989" s="16" t="s">
        <v>1487</v>
      </c>
      <c r="TOY989" s="16" t="s">
        <v>1487</v>
      </c>
      <c r="TOZ989" s="16" t="s">
        <v>1487</v>
      </c>
      <c r="TPA989" s="16" t="s">
        <v>1487</v>
      </c>
      <c r="TPB989" s="16" t="s">
        <v>1487</v>
      </c>
      <c r="TPC989" s="16" t="s">
        <v>1487</v>
      </c>
      <c r="TPD989" s="16" t="s">
        <v>1487</v>
      </c>
      <c r="TPE989" s="16" t="s">
        <v>1487</v>
      </c>
      <c r="TPF989" s="16" t="s">
        <v>1487</v>
      </c>
      <c r="TPG989" s="16" t="s">
        <v>1487</v>
      </c>
      <c r="TPH989" s="16" t="s">
        <v>1487</v>
      </c>
      <c r="TPI989" s="16" t="s">
        <v>1487</v>
      </c>
      <c r="TPJ989" s="16" t="s">
        <v>1487</v>
      </c>
      <c r="TPK989" s="16" t="s">
        <v>1487</v>
      </c>
      <c r="TPL989" s="16" t="s">
        <v>1487</v>
      </c>
      <c r="TPM989" s="16" t="s">
        <v>1487</v>
      </c>
      <c r="TPN989" s="16" t="s">
        <v>1487</v>
      </c>
      <c r="TPO989" s="16" t="s">
        <v>1487</v>
      </c>
      <c r="TPP989" s="16" t="s">
        <v>1487</v>
      </c>
      <c r="TPQ989" s="16" t="s">
        <v>1487</v>
      </c>
      <c r="TPR989" s="16" t="s">
        <v>1487</v>
      </c>
      <c r="TPS989" s="16" t="s">
        <v>1487</v>
      </c>
      <c r="TPT989" s="16" t="s">
        <v>1487</v>
      </c>
      <c r="TPU989" s="16" t="s">
        <v>1487</v>
      </c>
      <c r="TPV989" s="16" t="s">
        <v>1487</v>
      </c>
      <c r="TPW989" s="16" t="s">
        <v>1487</v>
      </c>
      <c r="TPX989" s="16" t="s">
        <v>1487</v>
      </c>
      <c r="TPY989" s="16" t="s">
        <v>1487</v>
      </c>
      <c r="TPZ989" s="16" t="s">
        <v>1487</v>
      </c>
      <c r="TQA989" s="16" t="s">
        <v>1487</v>
      </c>
      <c r="TQB989" s="16" t="s">
        <v>1487</v>
      </c>
      <c r="TQC989" s="16" t="s">
        <v>1487</v>
      </c>
      <c r="TQD989" s="16" t="s">
        <v>1487</v>
      </c>
      <c r="TQE989" s="16" t="s">
        <v>1487</v>
      </c>
      <c r="TQF989" s="16" t="s">
        <v>1487</v>
      </c>
      <c r="TQG989" s="16" t="s">
        <v>1487</v>
      </c>
      <c r="TQH989" s="16" t="s">
        <v>1487</v>
      </c>
      <c r="TQI989" s="16" t="s">
        <v>1487</v>
      </c>
      <c r="TQJ989" s="16" t="s">
        <v>1487</v>
      </c>
      <c r="TQK989" s="16" t="s">
        <v>1487</v>
      </c>
      <c r="TQL989" s="16" t="s">
        <v>1487</v>
      </c>
      <c r="TQM989" s="16" t="s">
        <v>1487</v>
      </c>
      <c r="TQN989" s="16" t="s">
        <v>1487</v>
      </c>
      <c r="TQO989" s="16" t="s">
        <v>1487</v>
      </c>
      <c r="TQP989" s="16" t="s">
        <v>1487</v>
      </c>
      <c r="TQQ989" s="16" t="s">
        <v>1487</v>
      </c>
      <c r="TQR989" s="16" t="s">
        <v>1487</v>
      </c>
      <c r="TQS989" s="16" t="s">
        <v>1487</v>
      </c>
      <c r="TQT989" s="16" t="s">
        <v>1487</v>
      </c>
      <c r="TQU989" s="16" t="s">
        <v>1487</v>
      </c>
      <c r="TQV989" s="16" t="s">
        <v>1487</v>
      </c>
      <c r="TQW989" s="16" t="s">
        <v>1487</v>
      </c>
      <c r="TQX989" s="16" t="s">
        <v>1487</v>
      </c>
      <c r="TQY989" s="16" t="s">
        <v>1487</v>
      </c>
      <c r="TQZ989" s="16" t="s">
        <v>1487</v>
      </c>
      <c r="TRA989" s="16" t="s">
        <v>1487</v>
      </c>
      <c r="TRB989" s="16" t="s">
        <v>1487</v>
      </c>
      <c r="TRC989" s="16" t="s">
        <v>1487</v>
      </c>
      <c r="TRD989" s="16" t="s">
        <v>1487</v>
      </c>
      <c r="TRE989" s="16" t="s">
        <v>1487</v>
      </c>
      <c r="TRF989" s="16" t="s">
        <v>1487</v>
      </c>
      <c r="TRG989" s="16" t="s">
        <v>1487</v>
      </c>
      <c r="TRH989" s="16" t="s">
        <v>1487</v>
      </c>
      <c r="TRI989" s="16" t="s">
        <v>1487</v>
      </c>
      <c r="TRJ989" s="16" t="s">
        <v>1487</v>
      </c>
      <c r="TRK989" s="16" t="s">
        <v>1487</v>
      </c>
      <c r="TRL989" s="16" t="s">
        <v>1487</v>
      </c>
      <c r="TRM989" s="16" t="s">
        <v>1487</v>
      </c>
      <c r="TRN989" s="16" t="s">
        <v>1487</v>
      </c>
      <c r="TRO989" s="16" t="s">
        <v>1487</v>
      </c>
      <c r="TRP989" s="16" t="s">
        <v>1487</v>
      </c>
      <c r="TRQ989" s="16" t="s">
        <v>1487</v>
      </c>
      <c r="TRR989" s="16" t="s">
        <v>1487</v>
      </c>
      <c r="TRS989" s="16" t="s">
        <v>1487</v>
      </c>
      <c r="TRT989" s="16" t="s">
        <v>1487</v>
      </c>
      <c r="TRU989" s="16" t="s">
        <v>1487</v>
      </c>
      <c r="TRV989" s="16" t="s">
        <v>1487</v>
      </c>
      <c r="TRW989" s="16" t="s">
        <v>1487</v>
      </c>
      <c r="TRX989" s="16" t="s">
        <v>1487</v>
      </c>
      <c r="TRY989" s="16" t="s">
        <v>1487</v>
      </c>
      <c r="TRZ989" s="16" t="s">
        <v>1487</v>
      </c>
      <c r="TSA989" s="16" t="s">
        <v>1487</v>
      </c>
      <c r="TSB989" s="16" t="s">
        <v>1487</v>
      </c>
      <c r="TSC989" s="16" t="s">
        <v>1487</v>
      </c>
      <c r="TSD989" s="16" t="s">
        <v>1487</v>
      </c>
      <c r="TSE989" s="16" t="s">
        <v>1487</v>
      </c>
      <c r="TSF989" s="16" t="s">
        <v>1487</v>
      </c>
      <c r="TSG989" s="16" t="s">
        <v>1487</v>
      </c>
      <c r="TSH989" s="16" t="s">
        <v>1487</v>
      </c>
      <c r="TSI989" s="16" t="s">
        <v>1487</v>
      </c>
      <c r="TSJ989" s="16" t="s">
        <v>1487</v>
      </c>
      <c r="TSK989" s="16" t="s">
        <v>1487</v>
      </c>
      <c r="TSL989" s="16" t="s">
        <v>1487</v>
      </c>
      <c r="TSM989" s="16" t="s">
        <v>1487</v>
      </c>
      <c r="TSN989" s="16" t="s">
        <v>1487</v>
      </c>
      <c r="TSO989" s="16" t="s">
        <v>1487</v>
      </c>
      <c r="TSP989" s="16" t="s">
        <v>1487</v>
      </c>
      <c r="TSQ989" s="16" t="s">
        <v>1487</v>
      </c>
      <c r="TSR989" s="16" t="s">
        <v>1487</v>
      </c>
      <c r="TSS989" s="16" t="s">
        <v>1487</v>
      </c>
      <c r="TST989" s="16" t="s">
        <v>1487</v>
      </c>
      <c r="TSU989" s="16" t="s">
        <v>1487</v>
      </c>
      <c r="TSV989" s="16" t="s">
        <v>1487</v>
      </c>
      <c r="TSW989" s="16" t="s">
        <v>1487</v>
      </c>
      <c r="TSX989" s="16" t="s">
        <v>1487</v>
      </c>
      <c r="TSY989" s="16" t="s">
        <v>1487</v>
      </c>
      <c r="TSZ989" s="16" t="s">
        <v>1487</v>
      </c>
      <c r="TTA989" s="16" t="s">
        <v>1487</v>
      </c>
      <c r="TTB989" s="16" t="s">
        <v>1487</v>
      </c>
      <c r="TTC989" s="16" t="s">
        <v>1487</v>
      </c>
      <c r="TTD989" s="16" t="s">
        <v>1487</v>
      </c>
      <c r="TTE989" s="16" t="s">
        <v>1487</v>
      </c>
      <c r="TTF989" s="16" t="s">
        <v>1487</v>
      </c>
      <c r="TTG989" s="16" t="s">
        <v>1487</v>
      </c>
      <c r="TTH989" s="16" t="s">
        <v>1487</v>
      </c>
      <c r="TTI989" s="16" t="s">
        <v>1487</v>
      </c>
      <c r="TTJ989" s="16" t="s">
        <v>1487</v>
      </c>
      <c r="TTK989" s="16" t="s">
        <v>1487</v>
      </c>
      <c r="TTL989" s="16" t="s">
        <v>1487</v>
      </c>
      <c r="TTM989" s="16" t="s">
        <v>1487</v>
      </c>
      <c r="TTN989" s="16" t="s">
        <v>1487</v>
      </c>
      <c r="TTO989" s="16" t="s">
        <v>1487</v>
      </c>
      <c r="TTP989" s="16" t="s">
        <v>1487</v>
      </c>
      <c r="TTQ989" s="16" t="s">
        <v>1487</v>
      </c>
      <c r="TTR989" s="16" t="s">
        <v>1487</v>
      </c>
      <c r="TTS989" s="16" t="s">
        <v>1487</v>
      </c>
      <c r="TTT989" s="16" t="s">
        <v>1487</v>
      </c>
      <c r="TTU989" s="16" t="s">
        <v>1487</v>
      </c>
      <c r="TTV989" s="16" t="s">
        <v>1487</v>
      </c>
      <c r="TTW989" s="16" t="s">
        <v>1487</v>
      </c>
      <c r="TTX989" s="16" t="s">
        <v>1487</v>
      </c>
      <c r="TTY989" s="16" t="s">
        <v>1487</v>
      </c>
      <c r="TTZ989" s="16" t="s">
        <v>1487</v>
      </c>
      <c r="TUA989" s="16" t="s">
        <v>1487</v>
      </c>
      <c r="TUB989" s="16" t="s">
        <v>1487</v>
      </c>
      <c r="TUC989" s="16" t="s">
        <v>1487</v>
      </c>
      <c r="TUD989" s="16" t="s">
        <v>1487</v>
      </c>
      <c r="TUE989" s="16" t="s">
        <v>1487</v>
      </c>
      <c r="TUF989" s="16" t="s">
        <v>1487</v>
      </c>
      <c r="TUG989" s="16" t="s">
        <v>1487</v>
      </c>
      <c r="TUH989" s="16" t="s">
        <v>1487</v>
      </c>
      <c r="TUI989" s="16" t="s">
        <v>1487</v>
      </c>
      <c r="TUJ989" s="16" t="s">
        <v>1487</v>
      </c>
      <c r="TUK989" s="16" t="s">
        <v>1487</v>
      </c>
      <c r="TUL989" s="16" t="s">
        <v>1487</v>
      </c>
      <c r="TUM989" s="16" t="s">
        <v>1487</v>
      </c>
      <c r="TUN989" s="16" t="s">
        <v>1487</v>
      </c>
      <c r="TUO989" s="16" t="s">
        <v>1487</v>
      </c>
      <c r="TUP989" s="16" t="s">
        <v>1487</v>
      </c>
      <c r="TUQ989" s="16" t="s">
        <v>1487</v>
      </c>
      <c r="TUR989" s="16" t="s">
        <v>1487</v>
      </c>
      <c r="TUS989" s="16" t="s">
        <v>1487</v>
      </c>
      <c r="TUT989" s="16" t="s">
        <v>1487</v>
      </c>
      <c r="TUU989" s="16" t="s">
        <v>1487</v>
      </c>
      <c r="TUV989" s="16" t="s">
        <v>1487</v>
      </c>
      <c r="TUW989" s="16" t="s">
        <v>1487</v>
      </c>
      <c r="TUX989" s="16" t="s">
        <v>1487</v>
      </c>
      <c r="TUY989" s="16" t="s">
        <v>1487</v>
      </c>
      <c r="TUZ989" s="16" t="s">
        <v>1487</v>
      </c>
      <c r="TVA989" s="16" t="s">
        <v>1487</v>
      </c>
      <c r="TVB989" s="16" t="s">
        <v>1487</v>
      </c>
      <c r="TVC989" s="16" t="s">
        <v>1487</v>
      </c>
      <c r="TVD989" s="16" t="s">
        <v>1487</v>
      </c>
      <c r="TVE989" s="16" t="s">
        <v>1487</v>
      </c>
      <c r="TVF989" s="16" t="s">
        <v>1487</v>
      </c>
      <c r="TVG989" s="16" t="s">
        <v>1487</v>
      </c>
      <c r="TVH989" s="16" t="s">
        <v>1487</v>
      </c>
      <c r="TVI989" s="16" t="s">
        <v>1487</v>
      </c>
      <c r="TVJ989" s="16" t="s">
        <v>1487</v>
      </c>
      <c r="TVK989" s="16" t="s">
        <v>1487</v>
      </c>
      <c r="TVL989" s="16" t="s">
        <v>1487</v>
      </c>
      <c r="TVM989" s="16" t="s">
        <v>1487</v>
      </c>
      <c r="TVN989" s="16" t="s">
        <v>1487</v>
      </c>
      <c r="TVO989" s="16" t="s">
        <v>1487</v>
      </c>
      <c r="TVP989" s="16" t="s">
        <v>1487</v>
      </c>
      <c r="TVQ989" s="16" t="s">
        <v>1487</v>
      </c>
      <c r="TVR989" s="16" t="s">
        <v>1487</v>
      </c>
      <c r="TVS989" s="16" t="s">
        <v>1487</v>
      </c>
      <c r="TVT989" s="16" t="s">
        <v>1487</v>
      </c>
      <c r="TVU989" s="16" t="s">
        <v>1487</v>
      </c>
      <c r="TVV989" s="16" t="s">
        <v>1487</v>
      </c>
      <c r="TVW989" s="16" t="s">
        <v>1487</v>
      </c>
      <c r="TVX989" s="16" t="s">
        <v>1487</v>
      </c>
      <c r="TVY989" s="16" t="s">
        <v>1487</v>
      </c>
      <c r="TVZ989" s="16" t="s">
        <v>1487</v>
      </c>
      <c r="TWA989" s="16" t="s">
        <v>1487</v>
      </c>
      <c r="TWB989" s="16" t="s">
        <v>1487</v>
      </c>
      <c r="TWC989" s="16" t="s">
        <v>1487</v>
      </c>
      <c r="TWD989" s="16" t="s">
        <v>1487</v>
      </c>
      <c r="TWE989" s="16" t="s">
        <v>1487</v>
      </c>
      <c r="TWF989" s="16" t="s">
        <v>1487</v>
      </c>
      <c r="TWG989" s="16" t="s">
        <v>1487</v>
      </c>
      <c r="TWH989" s="16" t="s">
        <v>1487</v>
      </c>
      <c r="TWI989" s="16" t="s">
        <v>1487</v>
      </c>
      <c r="TWJ989" s="16" t="s">
        <v>1487</v>
      </c>
      <c r="TWK989" s="16" t="s">
        <v>1487</v>
      </c>
      <c r="TWL989" s="16" t="s">
        <v>1487</v>
      </c>
      <c r="TWM989" s="16" t="s">
        <v>1487</v>
      </c>
      <c r="TWN989" s="16" t="s">
        <v>1487</v>
      </c>
      <c r="TWO989" s="16" t="s">
        <v>1487</v>
      </c>
      <c r="TWP989" s="16" t="s">
        <v>1487</v>
      </c>
      <c r="TWQ989" s="16" t="s">
        <v>1487</v>
      </c>
      <c r="TWR989" s="16" t="s">
        <v>1487</v>
      </c>
      <c r="TWS989" s="16" t="s">
        <v>1487</v>
      </c>
      <c r="TWT989" s="16" t="s">
        <v>1487</v>
      </c>
      <c r="TWU989" s="16" t="s">
        <v>1487</v>
      </c>
      <c r="TWV989" s="16" t="s">
        <v>1487</v>
      </c>
      <c r="TWW989" s="16" t="s">
        <v>1487</v>
      </c>
      <c r="TWX989" s="16" t="s">
        <v>1487</v>
      </c>
      <c r="TWY989" s="16" t="s">
        <v>1487</v>
      </c>
      <c r="TWZ989" s="16" t="s">
        <v>1487</v>
      </c>
      <c r="TXA989" s="16" t="s">
        <v>1487</v>
      </c>
      <c r="TXB989" s="16" t="s">
        <v>1487</v>
      </c>
      <c r="TXC989" s="16" t="s">
        <v>1487</v>
      </c>
      <c r="TXD989" s="16" t="s">
        <v>1487</v>
      </c>
      <c r="TXE989" s="16" t="s">
        <v>1487</v>
      </c>
      <c r="TXF989" s="16" t="s">
        <v>1487</v>
      </c>
      <c r="TXG989" s="16" t="s">
        <v>1487</v>
      </c>
      <c r="TXH989" s="16" t="s">
        <v>1487</v>
      </c>
      <c r="TXI989" s="16" t="s">
        <v>1487</v>
      </c>
      <c r="TXJ989" s="16" t="s">
        <v>1487</v>
      </c>
      <c r="TXK989" s="16" t="s">
        <v>1487</v>
      </c>
      <c r="TXL989" s="16" t="s">
        <v>1487</v>
      </c>
      <c r="TXM989" s="16" t="s">
        <v>1487</v>
      </c>
      <c r="TXN989" s="16" t="s">
        <v>1487</v>
      </c>
      <c r="TXO989" s="16" t="s">
        <v>1487</v>
      </c>
      <c r="TXP989" s="16" t="s">
        <v>1487</v>
      </c>
      <c r="TXQ989" s="16" t="s">
        <v>1487</v>
      </c>
      <c r="TXR989" s="16" t="s">
        <v>1487</v>
      </c>
      <c r="TXS989" s="16" t="s">
        <v>1487</v>
      </c>
      <c r="TXT989" s="16" t="s">
        <v>1487</v>
      </c>
      <c r="TXU989" s="16" t="s">
        <v>1487</v>
      </c>
      <c r="TXV989" s="16" t="s">
        <v>1487</v>
      </c>
      <c r="TXW989" s="16" t="s">
        <v>1487</v>
      </c>
      <c r="TXX989" s="16" t="s">
        <v>1487</v>
      </c>
      <c r="TXY989" s="16" t="s">
        <v>1487</v>
      </c>
      <c r="TXZ989" s="16" t="s">
        <v>1487</v>
      </c>
      <c r="TYA989" s="16" t="s">
        <v>1487</v>
      </c>
      <c r="TYB989" s="16" t="s">
        <v>1487</v>
      </c>
      <c r="TYC989" s="16" t="s">
        <v>1487</v>
      </c>
      <c r="TYD989" s="16" t="s">
        <v>1487</v>
      </c>
      <c r="TYE989" s="16" t="s">
        <v>1487</v>
      </c>
      <c r="TYF989" s="16" t="s">
        <v>1487</v>
      </c>
      <c r="TYG989" s="16" t="s">
        <v>1487</v>
      </c>
      <c r="TYH989" s="16" t="s">
        <v>1487</v>
      </c>
      <c r="TYI989" s="16" t="s">
        <v>1487</v>
      </c>
      <c r="TYJ989" s="16" t="s">
        <v>1487</v>
      </c>
      <c r="TYK989" s="16" t="s">
        <v>1487</v>
      </c>
      <c r="TYL989" s="16" t="s">
        <v>1487</v>
      </c>
      <c r="TYM989" s="16" t="s">
        <v>1487</v>
      </c>
      <c r="TYN989" s="16" t="s">
        <v>1487</v>
      </c>
      <c r="TYO989" s="16" t="s">
        <v>1487</v>
      </c>
      <c r="TYP989" s="16" t="s">
        <v>1487</v>
      </c>
      <c r="TYQ989" s="16" t="s">
        <v>1487</v>
      </c>
      <c r="TYR989" s="16" t="s">
        <v>1487</v>
      </c>
      <c r="TYS989" s="16" t="s">
        <v>1487</v>
      </c>
      <c r="TYT989" s="16" t="s">
        <v>1487</v>
      </c>
      <c r="TYU989" s="16" t="s">
        <v>1487</v>
      </c>
      <c r="TYV989" s="16" t="s">
        <v>1487</v>
      </c>
      <c r="TYW989" s="16" t="s">
        <v>1487</v>
      </c>
      <c r="TYX989" s="16" t="s">
        <v>1487</v>
      </c>
      <c r="TYY989" s="16" t="s">
        <v>1487</v>
      </c>
      <c r="TYZ989" s="16" t="s">
        <v>1487</v>
      </c>
      <c r="TZA989" s="16" t="s">
        <v>1487</v>
      </c>
      <c r="TZB989" s="16" t="s">
        <v>1487</v>
      </c>
      <c r="TZC989" s="16" t="s">
        <v>1487</v>
      </c>
      <c r="TZD989" s="16" t="s">
        <v>1487</v>
      </c>
      <c r="TZE989" s="16" t="s">
        <v>1487</v>
      </c>
      <c r="TZF989" s="16" t="s">
        <v>1487</v>
      </c>
      <c r="TZG989" s="16" t="s">
        <v>1487</v>
      </c>
      <c r="TZH989" s="16" t="s">
        <v>1487</v>
      </c>
      <c r="TZI989" s="16" t="s">
        <v>1487</v>
      </c>
      <c r="TZJ989" s="16" t="s">
        <v>1487</v>
      </c>
      <c r="TZK989" s="16" t="s">
        <v>1487</v>
      </c>
      <c r="TZL989" s="16" t="s">
        <v>1487</v>
      </c>
      <c r="TZM989" s="16" t="s">
        <v>1487</v>
      </c>
      <c r="TZN989" s="16" t="s">
        <v>1487</v>
      </c>
      <c r="TZO989" s="16" t="s">
        <v>1487</v>
      </c>
      <c r="TZP989" s="16" t="s">
        <v>1487</v>
      </c>
      <c r="TZQ989" s="16" t="s">
        <v>1487</v>
      </c>
      <c r="TZR989" s="16" t="s">
        <v>1487</v>
      </c>
      <c r="TZS989" s="16" t="s">
        <v>1487</v>
      </c>
      <c r="TZT989" s="16" t="s">
        <v>1487</v>
      </c>
      <c r="TZU989" s="16" t="s">
        <v>1487</v>
      </c>
      <c r="TZV989" s="16" t="s">
        <v>1487</v>
      </c>
      <c r="TZW989" s="16" t="s">
        <v>1487</v>
      </c>
      <c r="TZX989" s="16" t="s">
        <v>1487</v>
      </c>
      <c r="TZY989" s="16" t="s">
        <v>1487</v>
      </c>
      <c r="TZZ989" s="16" t="s">
        <v>1487</v>
      </c>
      <c r="UAA989" s="16" t="s">
        <v>1487</v>
      </c>
      <c r="UAB989" s="16" t="s">
        <v>1487</v>
      </c>
      <c r="UAC989" s="16" t="s">
        <v>1487</v>
      </c>
      <c r="UAD989" s="16" t="s">
        <v>1487</v>
      </c>
      <c r="UAE989" s="16" t="s">
        <v>1487</v>
      </c>
      <c r="UAF989" s="16" t="s">
        <v>1487</v>
      </c>
      <c r="UAG989" s="16" t="s">
        <v>1487</v>
      </c>
      <c r="UAH989" s="16" t="s">
        <v>1487</v>
      </c>
      <c r="UAI989" s="16" t="s">
        <v>1487</v>
      </c>
      <c r="UAJ989" s="16" t="s">
        <v>1487</v>
      </c>
      <c r="UAK989" s="16" t="s">
        <v>1487</v>
      </c>
      <c r="UAL989" s="16" t="s">
        <v>1487</v>
      </c>
      <c r="UAM989" s="16" t="s">
        <v>1487</v>
      </c>
      <c r="UAN989" s="16" t="s">
        <v>1487</v>
      </c>
      <c r="UAO989" s="16" t="s">
        <v>1487</v>
      </c>
      <c r="UAP989" s="16" t="s">
        <v>1487</v>
      </c>
      <c r="UAQ989" s="16" t="s">
        <v>1487</v>
      </c>
      <c r="UAR989" s="16" t="s">
        <v>1487</v>
      </c>
      <c r="UAS989" s="16" t="s">
        <v>1487</v>
      </c>
      <c r="UAT989" s="16" t="s">
        <v>1487</v>
      </c>
      <c r="UAU989" s="16" t="s">
        <v>1487</v>
      </c>
      <c r="UAV989" s="16" t="s">
        <v>1487</v>
      </c>
      <c r="UAW989" s="16" t="s">
        <v>1487</v>
      </c>
      <c r="UAX989" s="16" t="s">
        <v>1487</v>
      </c>
      <c r="UAY989" s="16" t="s">
        <v>1487</v>
      </c>
      <c r="UAZ989" s="16" t="s">
        <v>1487</v>
      </c>
      <c r="UBA989" s="16" t="s">
        <v>1487</v>
      </c>
      <c r="UBB989" s="16" t="s">
        <v>1487</v>
      </c>
      <c r="UBC989" s="16" t="s">
        <v>1487</v>
      </c>
      <c r="UBD989" s="16" t="s">
        <v>1487</v>
      </c>
      <c r="UBE989" s="16" t="s">
        <v>1487</v>
      </c>
      <c r="UBF989" s="16" t="s">
        <v>1487</v>
      </c>
      <c r="UBG989" s="16" t="s">
        <v>1487</v>
      </c>
      <c r="UBH989" s="16" t="s">
        <v>1487</v>
      </c>
      <c r="UBI989" s="16" t="s">
        <v>1487</v>
      </c>
      <c r="UBJ989" s="16" t="s">
        <v>1487</v>
      </c>
      <c r="UBK989" s="16" t="s">
        <v>1487</v>
      </c>
      <c r="UBL989" s="16" t="s">
        <v>1487</v>
      </c>
      <c r="UBM989" s="16" t="s">
        <v>1487</v>
      </c>
      <c r="UBN989" s="16" t="s">
        <v>1487</v>
      </c>
      <c r="UBO989" s="16" t="s">
        <v>1487</v>
      </c>
      <c r="UBP989" s="16" t="s">
        <v>1487</v>
      </c>
      <c r="UBQ989" s="16" t="s">
        <v>1487</v>
      </c>
      <c r="UBR989" s="16" t="s">
        <v>1487</v>
      </c>
      <c r="UBS989" s="16" t="s">
        <v>1487</v>
      </c>
      <c r="UBT989" s="16" t="s">
        <v>1487</v>
      </c>
      <c r="UBU989" s="16" t="s">
        <v>1487</v>
      </c>
      <c r="UBV989" s="16" t="s">
        <v>1487</v>
      </c>
      <c r="UBW989" s="16" t="s">
        <v>1487</v>
      </c>
      <c r="UBX989" s="16" t="s">
        <v>1487</v>
      </c>
      <c r="UBY989" s="16" t="s">
        <v>1487</v>
      </c>
      <c r="UBZ989" s="16" t="s">
        <v>1487</v>
      </c>
      <c r="UCA989" s="16" t="s">
        <v>1487</v>
      </c>
      <c r="UCB989" s="16" t="s">
        <v>1487</v>
      </c>
      <c r="UCC989" s="16" t="s">
        <v>1487</v>
      </c>
      <c r="UCD989" s="16" t="s">
        <v>1487</v>
      </c>
      <c r="UCE989" s="16" t="s">
        <v>1487</v>
      </c>
      <c r="UCF989" s="16" t="s">
        <v>1487</v>
      </c>
      <c r="UCG989" s="16" t="s">
        <v>1487</v>
      </c>
      <c r="UCH989" s="16" t="s">
        <v>1487</v>
      </c>
      <c r="UCI989" s="16" t="s">
        <v>1487</v>
      </c>
      <c r="UCJ989" s="16" t="s">
        <v>1487</v>
      </c>
      <c r="UCK989" s="16" t="s">
        <v>1487</v>
      </c>
      <c r="UCL989" s="16" t="s">
        <v>1487</v>
      </c>
      <c r="UCM989" s="16" t="s">
        <v>1487</v>
      </c>
      <c r="UCN989" s="16" t="s">
        <v>1487</v>
      </c>
      <c r="UCO989" s="16" t="s">
        <v>1487</v>
      </c>
      <c r="UCP989" s="16" t="s">
        <v>1487</v>
      </c>
      <c r="UCQ989" s="16" t="s">
        <v>1487</v>
      </c>
      <c r="UCR989" s="16" t="s">
        <v>1487</v>
      </c>
      <c r="UCS989" s="16" t="s">
        <v>1487</v>
      </c>
      <c r="UCT989" s="16" t="s">
        <v>1487</v>
      </c>
      <c r="UCU989" s="16" t="s">
        <v>1487</v>
      </c>
      <c r="UCV989" s="16" t="s">
        <v>1487</v>
      </c>
      <c r="UCW989" s="16" t="s">
        <v>1487</v>
      </c>
      <c r="UCX989" s="16" t="s">
        <v>1487</v>
      </c>
      <c r="UCY989" s="16" t="s">
        <v>1487</v>
      </c>
      <c r="UCZ989" s="16" t="s">
        <v>1487</v>
      </c>
      <c r="UDA989" s="16" t="s">
        <v>1487</v>
      </c>
      <c r="UDB989" s="16" t="s">
        <v>1487</v>
      </c>
      <c r="UDC989" s="16" t="s">
        <v>1487</v>
      </c>
      <c r="UDD989" s="16" t="s">
        <v>1487</v>
      </c>
      <c r="UDE989" s="16" t="s">
        <v>1487</v>
      </c>
      <c r="UDF989" s="16" t="s">
        <v>1487</v>
      </c>
      <c r="UDG989" s="16" t="s">
        <v>1487</v>
      </c>
      <c r="UDH989" s="16" t="s">
        <v>1487</v>
      </c>
      <c r="UDI989" s="16" t="s">
        <v>1487</v>
      </c>
      <c r="UDJ989" s="16" t="s">
        <v>1487</v>
      </c>
      <c r="UDK989" s="16" t="s">
        <v>1487</v>
      </c>
      <c r="UDL989" s="16" t="s">
        <v>1487</v>
      </c>
      <c r="UDM989" s="16" t="s">
        <v>1487</v>
      </c>
      <c r="UDN989" s="16" t="s">
        <v>1487</v>
      </c>
      <c r="UDO989" s="16" t="s">
        <v>1487</v>
      </c>
      <c r="UDP989" s="16" t="s">
        <v>1487</v>
      </c>
      <c r="UDQ989" s="16" t="s">
        <v>1487</v>
      </c>
      <c r="UDR989" s="16" t="s">
        <v>1487</v>
      </c>
      <c r="UDS989" s="16" t="s">
        <v>1487</v>
      </c>
      <c r="UDT989" s="16" t="s">
        <v>1487</v>
      </c>
      <c r="UDU989" s="16" t="s">
        <v>1487</v>
      </c>
      <c r="UDV989" s="16" t="s">
        <v>1487</v>
      </c>
      <c r="UDW989" s="16" t="s">
        <v>1487</v>
      </c>
      <c r="UDX989" s="16" t="s">
        <v>1487</v>
      </c>
      <c r="UDY989" s="16" t="s">
        <v>1487</v>
      </c>
      <c r="UDZ989" s="16" t="s">
        <v>1487</v>
      </c>
      <c r="UEA989" s="16" t="s">
        <v>1487</v>
      </c>
      <c r="UEB989" s="16" t="s">
        <v>1487</v>
      </c>
      <c r="UEC989" s="16" t="s">
        <v>1487</v>
      </c>
      <c r="UED989" s="16" t="s">
        <v>1487</v>
      </c>
      <c r="UEE989" s="16" t="s">
        <v>1487</v>
      </c>
      <c r="UEF989" s="16" t="s">
        <v>1487</v>
      </c>
      <c r="UEG989" s="16" t="s">
        <v>1487</v>
      </c>
      <c r="UEH989" s="16" t="s">
        <v>1487</v>
      </c>
      <c r="UEI989" s="16" t="s">
        <v>1487</v>
      </c>
      <c r="UEJ989" s="16" t="s">
        <v>1487</v>
      </c>
      <c r="UEK989" s="16" t="s">
        <v>1487</v>
      </c>
      <c r="UEL989" s="16" t="s">
        <v>1487</v>
      </c>
      <c r="UEM989" s="16" t="s">
        <v>1487</v>
      </c>
      <c r="UEN989" s="16" t="s">
        <v>1487</v>
      </c>
      <c r="UEO989" s="16" t="s">
        <v>1487</v>
      </c>
      <c r="UEP989" s="16" t="s">
        <v>1487</v>
      </c>
      <c r="UEQ989" s="16" t="s">
        <v>1487</v>
      </c>
      <c r="UER989" s="16" t="s">
        <v>1487</v>
      </c>
      <c r="UES989" s="16" t="s">
        <v>1487</v>
      </c>
      <c r="UET989" s="16" t="s">
        <v>1487</v>
      </c>
      <c r="UEU989" s="16" t="s">
        <v>1487</v>
      </c>
      <c r="UEV989" s="16" t="s">
        <v>1487</v>
      </c>
      <c r="UEW989" s="16" t="s">
        <v>1487</v>
      </c>
      <c r="UEX989" s="16" t="s">
        <v>1487</v>
      </c>
      <c r="UEY989" s="16" t="s">
        <v>1487</v>
      </c>
      <c r="UEZ989" s="16" t="s">
        <v>1487</v>
      </c>
      <c r="UFA989" s="16" t="s">
        <v>1487</v>
      </c>
      <c r="UFB989" s="16" t="s">
        <v>1487</v>
      </c>
      <c r="UFC989" s="16" t="s">
        <v>1487</v>
      </c>
      <c r="UFD989" s="16" t="s">
        <v>1487</v>
      </c>
      <c r="UFE989" s="16" t="s">
        <v>1487</v>
      </c>
      <c r="UFF989" s="16" t="s">
        <v>1487</v>
      </c>
      <c r="UFG989" s="16" t="s">
        <v>1487</v>
      </c>
      <c r="UFH989" s="16" t="s">
        <v>1487</v>
      </c>
      <c r="UFI989" s="16" t="s">
        <v>1487</v>
      </c>
      <c r="UFJ989" s="16" t="s">
        <v>1487</v>
      </c>
      <c r="UFK989" s="16" t="s">
        <v>1487</v>
      </c>
      <c r="UFL989" s="16" t="s">
        <v>1487</v>
      </c>
      <c r="UFM989" s="16" t="s">
        <v>1487</v>
      </c>
      <c r="UFN989" s="16" t="s">
        <v>1487</v>
      </c>
      <c r="UFO989" s="16" t="s">
        <v>1487</v>
      </c>
      <c r="UFP989" s="16" t="s">
        <v>1487</v>
      </c>
      <c r="UFQ989" s="16" t="s">
        <v>1487</v>
      </c>
      <c r="UFR989" s="16" t="s">
        <v>1487</v>
      </c>
      <c r="UFS989" s="16" t="s">
        <v>1487</v>
      </c>
      <c r="UFT989" s="16" t="s">
        <v>1487</v>
      </c>
      <c r="UFU989" s="16" t="s">
        <v>1487</v>
      </c>
      <c r="UFV989" s="16" t="s">
        <v>1487</v>
      </c>
      <c r="UFW989" s="16" t="s">
        <v>1487</v>
      </c>
      <c r="UFX989" s="16" t="s">
        <v>1487</v>
      </c>
      <c r="UFY989" s="16" t="s">
        <v>1487</v>
      </c>
      <c r="UFZ989" s="16" t="s">
        <v>1487</v>
      </c>
      <c r="UGA989" s="16" t="s">
        <v>1487</v>
      </c>
      <c r="UGB989" s="16" t="s">
        <v>1487</v>
      </c>
      <c r="UGC989" s="16" t="s">
        <v>1487</v>
      </c>
      <c r="UGD989" s="16" t="s">
        <v>1487</v>
      </c>
      <c r="UGE989" s="16" t="s">
        <v>1487</v>
      </c>
      <c r="UGF989" s="16" t="s">
        <v>1487</v>
      </c>
      <c r="UGG989" s="16" t="s">
        <v>1487</v>
      </c>
      <c r="UGH989" s="16" t="s">
        <v>1487</v>
      </c>
      <c r="UGI989" s="16" t="s">
        <v>1487</v>
      </c>
      <c r="UGJ989" s="16" t="s">
        <v>1487</v>
      </c>
      <c r="UGK989" s="16" t="s">
        <v>1487</v>
      </c>
      <c r="UGL989" s="16" t="s">
        <v>1487</v>
      </c>
      <c r="UGM989" s="16" t="s">
        <v>1487</v>
      </c>
      <c r="UGN989" s="16" t="s">
        <v>1487</v>
      </c>
      <c r="UGO989" s="16" t="s">
        <v>1487</v>
      </c>
      <c r="UGP989" s="16" t="s">
        <v>1487</v>
      </c>
      <c r="UGQ989" s="16" t="s">
        <v>1487</v>
      </c>
      <c r="UGR989" s="16" t="s">
        <v>1487</v>
      </c>
      <c r="UGS989" s="16" t="s">
        <v>1487</v>
      </c>
      <c r="UGT989" s="16" t="s">
        <v>1487</v>
      </c>
      <c r="UGU989" s="16" t="s">
        <v>1487</v>
      </c>
      <c r="UGV989" s="16" t="s">
        <v>1487</v>
      </c>
      <c r="UGW989" s="16" t="s">
        <v>1487</v>
      </c>
      <c r="UGX989" s="16" t="s">
        <v>1487</v>
      </c>
      <c r="UGY989" s="16" t="s">
        <v>1487</v>
      </c>
      <c r="UGZ989" s="16" t="s">
        <v>1487</v>
      </c>
      <c r="UHA989" s="16" t="s">
        <v>1487</v>
      </c>
      <c r="UHB989" s="16" t="s">
        <v>1487</v>
      </c>
      <c r="UHC989" s="16" t="s">
        <v>1487</v>
      </c>
      <c r="UHD989" s="16" t="s">
        <v>1487</v>
      </c>
      <c r="UHE989" s="16" t="s">
        <v>1487</v>
      </c>
      <c r="UHF989" s="16" t="s">
        <v>1487</v>
      </c>
      <c r="UHG989" s="16" t="s">
        <v>1487</v>
      </c>
      <c r="UHH989" s="16" t="s">
        <v>1487</v>
      </c>
      <c r="UHI989" s="16" t="s">
        <v>1487</v>
      </c>
      <c r="UHJ989" s="16" t="s">
        <v>1487</v>
      </c>
      <c r="UHK989" s="16" t="s">
        <v>1487</v>
      </c>
      <c r="UHL989" s="16" t="s">
        <v>1487</v>
      </c>
      <c r="UHM989" s="16" t="s">
        <v>1487</v>
      </c>
      <c r="UHN989" s="16" t="s">
        <v>1487</v>
      </c>
      <c r="UHO989" s="16" t="s">
        <v>1487</v>
      </c>
      <c r="UHP989" s="16" t="s">
        <v>1487</v>
      </c>
      <c r="UHQ989" s="16" t="s">
        <v>1487</v>
      </c>
      <c r="UHR989" s="16" t="s">
        <v>1487</v>
      </c>
      <c r="UHS989" s="16" t="s">
        <v>1487</v>
      </c>
      <c r="UHT989" s="16" t="s">
        <v>1487</v>
      </c>
      <c r="UHU989" s="16" t="s">
        <v>1487</v>
      </c>
      <c r="UHV989" s="16" t="s">
        <v>1487</v>
      </c>
      <c r="UHW989" s="16" t="s">
        <v>1487</v>
      </c>
      <c r="UHX989" s="16" t="s">
        <v>1487</v>
      </c>
      <c r="UHY989" s="16" t="s">
        <v>1487</v>
      </c>
      <c r="UHZ989" s="16" t="s">
        <v>1487</v>
      </c>
      <c r="UIA989" s="16" t="s">
        <v>1487</v>
      </c>
      <c r="UIB989" s="16" t="s">
        <v>1487</v>
      </c>
      <c r="UIC989" s="16" t="s">
        <v>1487</v>
      </c>
      <c r="UID989" s="16" t="s">
        <v>1487</v>
      </c>
      <c r="UIE989" s="16" t="s">
        <v>1487</v>
      </c>
      <c r="UIF989" s="16" t="s">
        <v>1487</v>
      </c>
      <c r="UIG989" s="16" t="s">
        <v>1487</v>
      </c>
      <c r="UIH989" s="16" t="s">
        <v>1487</v>
      </c>
      <c r="UII989" s="16" t="s">
        <v>1487</v>
      </c>
      <c r="UIJ989" s="16" t="s">
        <v>1487</v>
      </c>
      <c r="UIK989" s="16" t="s">
        <v>1487</v>
      </c>
      <c r="UIL989" s="16" t="s">
        <v>1487</v>
      </c>
      <c r="UIM989" s="16" t="s">
        <v>1487</v>
      </c>
      <c r="UIN989" s="16" t="s">
        <v>1487</v>
      </c>
      <c r="UIO989" s="16" t="s">
        <v>1487</v>
      </c>
      <c r="UIP989" s="16" t="s">
        <v>1487</v>
      </c>
      <c r="UIQ989" s="16" t="s">
        <v>1487</v>
      </c>
      <c r="UIR989" s="16" t="s">
        <v>1487</v>
      </c>
      <c r="UIS989" s="16" t="s">
        <v>1487</v>
      </c>
      <c r="UIT989" s="16" t="s">
        <v>1487</v>
      </c>
      <c r="UIU989" s="16" t="s">
        <v>1487</v>
      </c>
      <c r="UIV989" s="16" t="s">
        <v>1487</v>
      </c>
      <c r="UIW989" s="16" t="s">
        <v>1487</v>
      </c>
      <c r="UIX989" s="16" t="s">
        <v>1487</v>
      </c>
      <c r="UIY989" s="16" t="s">
        <v>1487</v>
      </c>
      <c r="UIZ989" s="16" t="s">
        <v>1487</v>
      </c>
      <c r="UJA989" s="16" t="s">
        <v>1487</v>
      </c>
      <c r="UJB989" s="16" t="s">
        <v>1487</v>
      </c>
      <c r="UJC989" s="16" t="s">
        <v>1487</v>
      </c>
      <c r="UJD989" s="16" t="s">
        <v>1487</v>
      </c>
      <c r="UJE989" s="16" t="s">
        <v>1487</v>
      </c>
      <c r="UJF989" s="16" t="s">
        <v>1487</v>
      </c>
      <c r="UJG989" s="16" t="s">
        <v>1487</v>
      </c>
      <c r="UJH989" s="16" t="s">
        <v>1487</v>
      </c>
      <c r="UJI989" s="16" t="s">
        <v>1487</v>
      </c>
      <c r="UJJ989" s="16" t="s">
        <v>1487</v>
      </c>
      <c r="UJK989" s="16" t="s">
        <v>1487</v>
      </c>
      <c r="UJL989" s="16" t="s">
        <v>1487</v>
      </c>
      <c r="UJM989" s="16" t="s">
        <v>1487</v>
      </c>
      <c r="UJN989" s="16" t="s">
        <v>1487</v>
      </c>
      <c r="UJO989" s="16" t="s">
        <v>1487</v>
      </c>
      <c r="UJP989" s="16" t="s">
        <v>1487</v>
      </c>
      <c r="UJQ989" s="16" t="s">
        <v>1487</v>
      </c>
      <c r="UJR989" s="16" t="s">
        <v>1487</v>
      </c>
      <c r="UJS989" s="16" t="s">
        <v>1487</v>
      </c>
      <c r="UJT989" s="16" t="s">
        <v>1487</v>
      </c>
      <c r="UJU989" s="16" t="s">
        <v>1487</v>
      </c>
      <c r="UJV989" s="16" t="s">
        <v>1487</v>
      </c>
      <c r="UJW989" s="16" t="s">
        <v>1487</v>
      </c>
      <c r="UJX989" s="16" t="s">
        <v>1487</v>
      </c>
      <c r="UJY989" s="16" t="s">
        <v>1487</v>
      </c>
      <c r="UJZ989" s="16" t="s">
        <v>1487</v>
      </c>
      <c r="UKA989" s="16" t="s">
        <v>1487</v>
      </c>
      <c r="UKB989" s="16" t="s">
        <v>1487</v>
      </c>
      <c r="UKC989" s="16" t="s">
        <v>1487</v>
      </c>
      <c r="UKD989" s="16" t="s">
        <v>1487</v>
      </c>
      <c r="UKE989" s="16" t="s">
        <v>1487</v>
      </c>
      <c r="UKF989" s="16" t="s">
        <v>1487</v>
      </c>
      <c r="UKG989" s="16" t="s">
        <v>1487</v>
      </c>
      <c r="UKH989" s="16" t="s">
        <v>1487</v>
      </c>
      <c r="UKI989" s="16" t="s">
        <v>1487</v>
      </c>
      <c r="UKJ989" s="16" t="s">
        <v>1487</v>
      </c>
      <c r="UKK989" s="16" t="s">
        <v>1487</v>
      </c>
      <c r="UKL989" s="16" t="s">
        <v>1487</v>
      </c>
      <c r="UKM989" s="16" t="s">
        <v>1487</v>
      </c>
      <c r="UKN989" s="16" t="s">
        <v>1487</v>
      </c>
      <c r="UKO989" s="16" t="s">
        <v>1487</v>
      </c>
      <c r="UKP989" s="16" t="s">
        <v>1487</v>
      </c>
      <c r="UKQ989" s="16" t="s">
        <v>1487</v>
      </c>
      <c r="UKR989" s="16" t="s">
        <v>1487</v>
      </c>
      <c r="UKS989" s="16" t="s">
        <v>1487</v>
      </c>
      <c r="UKT989" s="16" t="s">
        <v>1487</v>
      </c>
      <c r="UKU989" s="16" t="s">
        <v>1487</v>
      </c>
      <c r="UKV989" s="16" t="s">
        <v>1487</v>
      </c>
      <c r="UKW989" s="16" t="s">
        <v>1487</v>
      </c>
      <c r="UKX989" s="16" t="s">
        <v>1487</v>
      </c>
      <c r="UKY989" s="16" t="s">
        <v>1487</v>
      </c>
      <c r="UKZ989" s="16" t="s">
        <v>1487</v>
      </c>
      <c r="ULA989" s="16" t="s">
        <v>1487</v>
      </c>
      <c r="ULB989" s="16" t="s">
        <v>1487</v>
      </c>
      <c r="ULC989" s="16" t="s">
        <v>1487</v>
      </c>
      <c r="ULD989" s="16" t="s">
        <v>1487</v>
      </c>
      <c r="ULE989" s="16" t="s">
        <v>1487</v>
      </c>
      <c r="ULF989" s="16" t="s">
        <v>1487</v>
      </c>
      <c r="ULG989" s="16" t="s">
        <v>1487</v>
      </c>
      <c r="ULH989" s="16" t="s">
        <v>1487</v>
      </c>
      <c r="ULI989" s="16" t="s">
        <v>1487</v>
      </c>
      <c r="ULJ989" s="16" t="s">
        <v>1487</v>
      </c>
      <c r="ULK989" s="16" t="s">
        <v>1487</v>
      </c>
      <c r="ULL989" s="16" t="s">
        <v>1487</v>
      </c>
      <c r="ULM989" s="16" t="s">
        <v>1487</v>
      </c>
      <c r="ULN989" s="16" t="s">
        <v>1487</v>
      </c>
      <c r="ULO989" s="16" t="s">
        <v>1487</v>
      </c>
      <c r="ULP989" s="16" t="s">
        <v>1487</v>
      </c>
      <c r="ULQ989" s="16" t="s">
        <v>1487</v>
      </c>
      <c r="ULR989" s="16" t="s">
        <v>1487</v>
      </c>
      <c r="ULS989" s="16" t="s">
        <v>1487</v>
      </c>
      <c r="ULT989" s="16" t="s">
        <v>1487</v>
      </c>
      <c r="ULU989" s="16" t="s">
        <v>1487</v>
      </c>
      <c r="ULV989" s="16" t="s">
        <v>1487</v>
      </c>
      <c r="ULW989" s="16" t="s">
        <v>1487</v>
      </c>
      <c r="ULX989" s="16" t="s">
        <v>1487</v>
      </c>
      <c r="ULY989" s="16" t="s">
        <v>1487</v>
      </c>
      <c r="ULZ989" s="16" t="s">
        <v>1487</v>
      </c>
      <c r="UMA989" s="16" t="s">
        <v>1487</v>
      </c>
      <c r="UMB989" s="16" t="s">
        <v>1487</v>
      </c>
      <c r="UMC989" s="16" t="s">
        <v>1487</v>
      </c>
      <c r="UMD989" s="16" t="s">
        <v>1487</v>
      </c>
      <c r="UME989" s="16" t="s">
        <v>1487</v>
      </c>
      <c r="UMF989" s="16" t="s">
        <v>1487</v>
      </c>
      <c r="UMG989" s="16" t="s">
        <v>1487</v>
      </c>
      <c r="UMH989" s="16" t="s">
        <v>1487</v>
      </c>
      <c r="UMI989" s="16" t="s">
        <v>1487</v>
      </c>
      <c r="UMJ989" s="16" t="s">
        <v>1487</v>
      </c>
      <c r="UMK989" s="16" t="s">
        <v>1487</v>
      </c>
      <c r="UML989" s="16" t="s">
        <v>1487</v>
      </c>
      <c r="UMM989" s="16" t="s">
        <v>1487</v>
      </c>
      <c r="UMN989" s="16" t="s">
        <v>1487</v>
      </c>
      <c r="UMO989" s="16" t="s">
        <v>1487</v>
      </c>
      <c r="UMP989" s="16" t="s">
        <v>1487</v>
      </c>
      <c r="UMQ989" s="16" t="s">
        <v>1487</v>
      </c>
      <c r="UMR989" s="16" t="s">
        <v>1487</v>
      </c>
      <c r="UMS989" s="16" t="s">
        <v>1487</v>
      </c>
      <c r="UMT989" s="16" t="s">
        <v>1487</v>
      </c>
      <c r="UMU989" s="16" t="s">
        <v>1487</v>
      </c>
      <c r="UMV989" s="16" t="s">
        <v>1487</v>
      </c>
      <c r="UMW989" s="16" t="s">
        <v>1487</v>
      </c>
      <c r="UMX989" s="16" t="s">
        <v>1487</v>
      </c>
      <c r="UMY989" s="16" t="s">
        <v>1487</v>
      </c>
      <c r="UMZ989" s="16" t="s">
        <v>1487</v>
      </c>
      <c r="UNA989" s="16" t="s">
        <v>1487</v>
      </c>
      <c r="UNB989" s="16" t="s">
        <v>1487</v>
      </c>
      <c r="UNC989" s="16" t="s">
        <v>1487</v>
      </c>
      <c r="UND989" s="16" t="s">
        <v>1487</v>
      </c>
      <c r="UNE989" s="16" t="s">
        <v>1487</v>
      </c>
      <c r="UNF989" s="16" t="s">
        <v>1487</v>
      </c>
      <c r="UNG989" s="16" t="s">
        <v>1487</v>
      </c>
      <c r="UNH989" s="16" t="s">
        <v>1487</v>
      </c>
      <c r="UNI989" s="16" t="s">
        <v>1487</v>
      </c>
      <c r="UNJ989" s="16" t="s">
        <v>1487</v>
      </c>
      <c r="UNK989" s="16" t="s">
        <v>1487</v>
      </c>
      <c r="UNL989" s="16" t="s">
        <v>1487</v>
      </c>
      <c r="UNM989" s="16" t="s">
        <v>1487</v>
      </c>
      <c r="UNN989" s="16" t="s">
        <v>1487</v>
      </c>
      <c r="UNO989" s="16" t="s">
        <v>1487</v>
      </c>
      <c r="UNP989" s="16" t="s">
        <v>1487</v>
      </c>
      <c r="UNQ989" s="16" t="s">
        <v>1487</v>
      </c>
      <c r="UNR989" s="16" t="s">
        <v>1487</v>
      </c>
      <c r="UNS989" s="16" t="s">
        <v>1487</v>
      </c>
      <c r="UNT989" s="16" t="s">
        <v>1487</v>
      </c>
      <c r="UNU989" s="16" t="s">
        <v>1487</v>
      </c>
      <c r="UNV989" s="16" t="s">
        <v>1487</v>
      </c>
      <c r="UNW989" s="16" t="s">
        <v>1487</v>
      </c>
      <c r="UNX989" s="16" t="s">
        <v>1487</v>
      </c>
      <c r="UNY989" s="16" t="s">
        <v>1487</v>
      </c>
      <c r="UNZ989" s="16" t="s">
        <v>1487</v>
      </c>
      <c r="UOA989" s="16" t="s">
        <v>1487</v>
      </c>
      <c r="UOB989" s="16" t="s">
        <v>1487</v>
      </c>
      <c r="UOC989" s="16" t="s">
        <v>1487</v>
      </c>
      <c r="UOD989" s="16" t="s">
        <v>1487</v>
      </c>
      <c r="UOE989" s="16" t="s">
        <v>1487</v>
      </c>
      <c r="UOF989" s="16" t="s">
        <v>1487</v>
      </c>
      <c r="UOG989" s="16" t="s">
        <v>1487</v>
      </c>
      <c r="UOH989" s="16" t="s">
        <v>1487</v>
      </c>
      <c r="UOI989" s="16" t="s">
        <v>1487</v>
      </c>
      <c r="UOJ989" s="16" t="s">
        <v>1487</v>
      </c>
      <c r="UOK989" s="16" t="s">
        <v>1487</v>
      </c>
      <c r="UOL989" s="16" t="s">
        <v>1487</v>
      </c>
      <c r="UOM989" s="16" t="s">
        <v>1487</v>
      </c>
      <c r="UON989" s="16" t="s">
        <v>1487</v>
      </c>
      <c r="UOO989" s="16" t="s">
        <v>1487</v>
      </c>
      <c r="UOP989" s="16" t="s">
        <v>1487</v>
      </c>
      <c r="UOQ989" s="16" t="s">
        <v>1487</v>
      </c>
      <c r="UOR989" s="16" t="s">
        <v>1487</v>
      </c>
      <c r="UOS989" s="16" t="s">
        <v>1487</v>
      </c>
      <c r="UOT989" s="16" t="s">
        <v>1487</v>
      </c>
      <c r="UOU989" s="16" t="s">
        <v>1487</v>
      </c>
      <c r="UOV989" s="16" t="s">
        <v>1487</v>
      </c>
      <c r="UOW989" s="16" t="s">
        <v>1487</v>
      </c>
      <c r="UOX989" s="16" t="s">
        <v>1487</v>
      </c>
      <c r="UOY989" s="16" t="s">
        <v>1487</v>
      </c>
      <c r="UOZ989" s="16" t="s">
        <v>1487</v>
      </c>
      <c r="UPA989" s="16" t="s">
        <v>1487</v>
      </c>
      <c r="UPB989" s="16" t="s">
        <v>1487</v>
      </c>
      <c r="UPC989" s="16" t="s">
        <v>1487</v>
      </c>
      <c r="UPD989" s="16" t="s">
        <v>1487</v>
      </c>
      <c r="UPE989" s="16" t="s">
        <v>1487</v>
      </c>
      <c r="UPF989" s="16" t="s">
        <v>1487</v>
      </c>
      <c r="UPG989" s="16" t="s">
        <v>1487</v>
      </c>
      <c r="UPH989" s="16" t="s">
        <v>1487</v>
      </c>
      <c r="UPI989" s="16" t="s">
        <v>1487</v>
      </c>
      <c r="UPJ989" s="16" t="s">
        <v>1487</v>
      </c>
      <c r="UPK989" s="16" t="s">
        <v>1487</v>
      </c>
      <c r="UPL989" s="16" t="s">
        <v>1487</v>
      </c>
      <c r="UPM989" s="16" t="s">
        <v>1487</v>
      </c>
      <c r="UPN989" s="16" t="s">
        <v>1487</v>
      </c>
      <c r="UPO989" s="16" t="s">
        <v>1487</v>
      </c>
      <c r="UPP989" s="16" t="s">
        <v>1487</v>
      </c>
      <c r="UPQ989" s="16" t="s">
        <v>1487</v>
      </c>
      <c r="UPR989" s="16" t="s">
        <v>1487</v>
      </c>
      <c r="UPS989" s="16" t="s">
        <v>1487</v>
      </c>
      <c r="UPT989" s="16" t="s">
        <v>1487</v>
      </c>
      <c r="UPU989" s="16" t="s">
        <v>1487</v>
      </c>
      <c r="UPV989" s="16" t="s">
        <v>1487</v>
      </c>
      <c r="UPW989" s="16" t="s">
        <v>1487</v>
      </c>
      <c r="UPX989" s="16" t="s">
        <v>1487</v>
      </c>
      <c r="UPY989" s="16" t="s">
        <v>1487</v>
      </c>
      <c r="UPZ989" s="16" t="s">
        <v>1487</v>
      </c>
      <c r="UQA989" s="16" t="s">
        <v>1487</v>
      </c>
      <c r="UQB989" s="16" t="s">
        <v>1487</v>
      </c>
      <c r="UQC989" s="16" t="s">
        <v>1487</v>
      </c>
      <c r="UQD989" s="16" t="s">
        <v>1487</v>
      </c>
      <c r="UQE989" s="16" t="s">
        <v>1487</v>
      </c>
      <c r="UQF989" s="16" t="s">
        <v>1487</v>
      </c>
      <c r="UQG989" s="16" t="s">
        <v>1487</v>
      </c>
      <c r="UQH989" s="16" t="s">
        <v>1487</v>
      </c>
      <c r="UQI989" s="16" t="s">
        <v>1487</v>
      </c>
      <c r="UQJ989" s="16" t="s">
        <v>1487</v>
      </c>
      <c r="UQK989" s="16" t="s">
        <v>1487</v>
      </c>
      <c r="UQL989" s="16" t="s">
        <v>1487</v>
      </c>
      <c r="UQM989" s="16" t="s">
        <v>1487</v>
      </c>
      <c r="UQN989" s="16" t="s">
        <v>1487</v>
      </c>
      <c r="UQO989" s="16" t="s">
        <v>1487</v>
      </c>
      <c r="UQP989" s="16" t="s">
        <v>1487</v>
      </c>
      <c r="UQQ989" s="16" t="s">
        <v>1487</v>
      </c>
      <c r="UQR989" s="16" t="s">
        <v>1487</v>
      </c>
      <c r="UQS989" s="16" t="s">
        <v>1487</v>
      </c>
      <c r="UQT989" s="16" t="s">
        <v>1487</v>
      </c>
      <c r="UQU989" s="16" t="s">
        <v>1487</v>
      </c>
      <c r="UQV989" s="16" t="s">
        <v>1487</v>
      </c>
      <c r="UQW989" s="16" t="s">
        <v>1487</v>
      </c>
      <c r="UQX989" s="16" t="s">
        <v>1487</v>
      </c>
      <c r="UQY989" s="16" t="s">
        <v>1487</v>
      </c>
      <c r="UQZ989" s="16" t="s">
        <v>1487</v>
      </c>
      <c r="URA989" s="16" t="s">
        <v>1487</v>
      </c>
      <c r="URB989" s="16" t="s">
        <v>1487</v>
      </c>
      <c r="URC989" s="16" t="s">
        <v>1487</v>
      </c>
      <c r="URD989" s="16" t="s">
        <v>1487</v>
      </c>
      <c r="URE989" s="16" t="s">
        <v>1487</v>
      </c>
      <c r="URF989" s="16" t="s">
        <v>1487</v>
      </c>
      <c r="URG989" s="16" t="s">
        <v>1487</v>
      </c>
      <c r="URH989" s="16" t="s">
        <v>1487</v>
      </c>
      <c r="URI989" s="16" t="s">
        <v>1487</v>
      </c>
      <c r="URJ989" s="16" t="s">
        <v>1487</v>
      </c>
      <c r="URK989" s="16" t="s">
        <v>1487</v>
      </c>
      <c r="URL989" s="16" t="s">
        <v>1487</v>
      </c>
      <c r="URM989" s="16" t="s">
        <v>1487</v>
      </c>
      <c r="URN989" s="16" t="s">
        <v>1487</v>
      </c>
      <c r="URO989" s="16" t="s">
        <v>1487</v>
      </c>
      <c r="URP989" s="16" t="s">
        <v>1487</v>
      </c>
      <c r="URQ989" s="16" t="s">
        <v>1487</v>
      </c>
      <c r="URR989" s="16" t="s">
        <v>1487</v>
      </c>
      <c r="URS989" s="16" t="s">
        <v>1487</v>
      </c>
      <c r="URT989" s="16" t="s">
        <v>1487</v>
      </c>
      <c r="URU989" s="16" t="s">
        <v>1487</v>
      </c>
      <c r="URV989" s="16" t="s">
        <v>1487</v>
      </c>
      <c r="URW989" s="16" t="s">
        <v>1487</v>
      </c>
      <c r="URX989" s="16" t="s">
        <v>1487</v>
      </c>
      <c r="URY989" s="16" t="s">
        <v>1487</v>
      </c>
      <c r="URZ989" s="16" t="s">
        <v>1487</v>
      </c>
      <c r="USA989" s="16" t="s">
        <v>1487</v>
      </c>
      <c r="USB989" s="16" t="s">
        <v>1487</v>
      </c>
      <c r="USC989" s="16" t="s">
        <v>1487</v>
      </c>
      <c r="USD989" s="16" t="s">
        <v>1487</v>
      </c>
      <c r="USE989" s="16" t="s">
        <v>1487</v>
      </c>
      <c r="USF989" s="16" t="s">
        <v>1487</v>
      </c>
      <c r="USG989" s="16" t="s">
        <v>1487</v>
      </c>
      <c r="USH989" s="16" t="s">
        <v>1487</v>
      </c>
      <c r="USI989" s="16" t="s">
        <v>1487</v>
      </c>
      <c r="USJ989" s="16" t="s">
        <v>1487</v>
      </c>
      <c r="USK989" s="16" t="s">
        <v>1487</v>
      </c>
      <c r="USL989" s="16" t="s">
        <v>1487</v>
      </c>
      <c r="USM989" s="16" t="s">
        <v>1487</v>
      </c>
      <c r="USN989" s="16" t="s">
        <v>1487</v>
      </c>
      <c r="USO989" s="16" t="s">
        <v>1487</v>
      </c>
      <c r="USP989" s="16" t="s">
        <v>1487</v>
      </c>
      <c r="USQ989" s="16" t="s">
        <v>1487</v>
      </c>
      <c r="USR989" s="16" t="s">
        <v>1487</v>
      </c>
      <c r="USS989" s="16" t="s">
        <v>1487</v>
      </c>
      <c r="UST989" s="16" t="s">
        <v>1487</v>
      </c>
      <c r="USU989" s="16" t="s">
        <v>1487</v>
      </c>
      <c r="USV989" s="16" t="s">
        <v>1487</v>
      </c>
      <c r="USW989" s="16" t="s">
        <v>1487</v>
      </c>
      <c r="USX989" s="16" t="s">
        <v>1487</v>
      </c>
      <c r="USY989" s="16" t="s">
        <v>1487</v>
      </c>
      <c r="USZ989" s="16" t="s">
        <v>1487</v>
      </c>
      <c r="UTA989" s="16" t="s">
        <v>1487</v>
      </c>
      <c r="UTB989" s="16" t="s">
        <v>1487</v>
      </c>
      <c r="UTC989" s="16" t="s">
        <v>1487</v>
      </c>
      <c r="UTD989" s="16" t="s">
        <v>1487</v>
      </c>
      <c r="UTE989" s="16" t="s">
        <v>1487</v>
      </c>
      <c r="UTF989" s="16" t="s">
        <v>1487</v>
      </c>
      <c r="UTG989" s="16" t="s">
        <v>1487</v>
      </c>
      <c r="UTH989" s="16" t="s">
        <v>1487</v>
      </c>
      <c r="UTI989" s="16" t="s">
        <v>1487</v>
      </c>
      <c r="UTJ989" s="16" t="s">
        <v>1487</v>
      </c>
      <c r="UTK989" s="16" t="s">
        <v>1487</v>
      </c>
      <c r="UTL989" s="16" t="s">
        <v>1487</v>
      </c>
      <c r="UTM989" s="16" t="s">
        <v>1487</v>
      </c>
      <c r="UTN989" s="16" t="s">
        <v>1487</v>
      </c>
      <c r="UTO989" s="16" t="s">
        <v>1487</v>
      </c>
      <c r="UTP989" s="16" t="s">
        <v>1487</v>
      </c>
      <c r="UTQ989" s="16" t="s">
        <v>1487</v>
      </c>
      <c r="UTR989" s="16" t="s">
        <v>1487</v>
      </c>
      <c r="UTS989" s="16" t="s">
        <v>1487</v>
      </c>
      <c r="UTT989" s="16" t="s">
        <v>1487</v>
      </c>
      <c r="UTU989" s="16" t="s">
        <v>1487</v>
      </c>
      <c r="UTV989" s="16" t="s">
        <v>1487</v>
      </c>
      <c r="UTW989" s="16" t="s">
        <v>1487</v>
      </c>
      <c r="UTX989" s="16" t="s">
        <v>1487</v>
      </c>
      <c r="UTY989" s="16" t="s">
        <v>1487</v>
      </c>
      <c r="UTZ989" s="16" t="s">
        <v>1487</v>
      </c>
      <c r="UUA989" s="16" t="s">
        <v>1487</v>
      </c>
      <c r="UUB989" s="16" t="s">
        <v>1487</v>
      </c>
      <c r="UUC989" s="16" t="s">
        <v>1487</v>
      </c>
      <c r="UUD989" s="16" t="s">
        <v>1487</v>
      </c>
      <c r="UUE989" s="16" t="s">
        <v>1487</v>
      </c>
      <c r="UUF989" s="16" t="s">
        <v>1487</v>
      </c>
      <c r="UUG989" s="16" t="s">
        <v>1487</v>
      </c>
      <c r="UUH989" s="16" t="s">
        <v>1487</v>
      </c>
      <c r="UUI989" s="16" t="s">
        <v>1487</v>
      </c>
      <c r="UUJ989" s="16" t="s">
        <v>1487</v>
      </c>
      <c r="UUK989" s="16" t="s">
        <v>1487</v>
      </c>
      <c r="UUL989" s="16" t="s">
        <v>1487</v>
      </c>
      <c r="UUM989" s="16" t="s">
        <v>1487</v>
      </c>
      <c r="UUN989" s="16" t="s">
        <v>1487</v>
      </c>
      <c r="UUO989" s="16" t="s">
        <v>1487</v>
      </c>
      <c r="UUP989" s="16" t="s">
        <v>1487</v>
      </c>
      <c r="UUQ989" s="16" t="s">
        <v>1487</v>
      </c>
      <c r="UUR989" s="16" t="s">
        <v>1487</v>
      </c>
      <c r="UUS989" s="16" t="s">
        <v>1487</v>
      </c>
      <c r="UUT989" s="16" t="s">
        <v>1487</v>
      </c>
      <c r="UUU989" s="16" t="s">
        <v>1487</v>
      </c>
      <c r="UUV989" s="16" t="s">
        <v>1487</v>
      </c>
      <c r="UUW989" s="16" t="s">
        <v>1487</v>
      </c>
      <c r="UUX989" s="16" t="s">
        <v>1487</v>
      </c>
      <c r="UUY989" s="16" t="s">
        <v>1487</v>
      </c>
      <c r="UUZ989" s="16" t="s">
        <v>1487</v>
      </c>
      <c r="UVA989" s="16" t="s">
        <v>1487</v>
      </c>
      <c r="UVB989" s="16" t="s">
        <v>1487</v>
      </c>
      <c r="UVC989" s="16" t="s">
        <v>1487</v>
      </c>
      <c r="UVD989" s="16" t="s">
        <v>1487</v>
      </c>
      <c r="UVE989" s="16" t="s">
        <v>1487</v>
      </c>
      <c r="UVF989" s="16" t="s">
        <v>1487</v>
      </c>
      <c r="UVG989" s="16" t="s">
        <v>1487</v>
      </c>
      <c r="UVH989" s="16" t="s">
        <v>1487</v>
      </c>
      <c r="UVI989" s="16" t="s">
        <v>1487</v>
      </c>
      <c r="UVJ989" s="16" t="s">
        <v>1487</v>
      </c>
      <c r="UVK989" s="16" t="s">
        <v>1487</v>
      </c>
      <c r="UVL989" s="16" t="s">
        <v>1487</v>
      </c>
      <c r="UVM989" s="16" t="s">
        <v>1487</v>
      </c>
      <c r="UVN989" s="16" t="s">
        <v>1487</v>
      </c>
      <c r="UVO989" s="16" t="s">
        <v>1487</v>
      </c>
      <c r="UVP989" s="16" t="s">
        <v>1487</v>
      </c>
      <c r="UVQ989" s="16" t="s">
        <v>1487</v>
      </c>
      <c r="UVR989" s="16" t="s">
        <v>1487</v>
      </c>
      <c r="UVS989" s="16" t="s">
        <v>1487</v>
      </c>
      <c r="UVT989" s="16" t="s">
        <v>1487</v>
      </c>
      <c r="UVU989" s="16" t="s">
        <v>1487</v>
      </c>
      <c r="UVV989" s="16" t="s">
        <v>1487</v>
      </c>
      <c r="UVW989" s="16" t="s">
        <v>1487</v>
      </c>
      <c r="UVX989" s="16" t="s">
        <v>1487</v>
      </c>
      <c r="UVY989" s="16" t="s">
        <v>1487</v>
      </c>
      <c r="UVZ989" s="16" t="s">
        <v>1487</v>
      </c>
      <c r="UWA989" s="16" t="s">
        <v>1487</v>
      </c>
      <c r="UWB989" s="16" t="s">
        <v>1487</v>
      </c>
      <c r="UWC989" s="16" t="s">
        <v>1487</v>
      </c>
      <c r="UWD989" s="16" t="s">
        <v>1487</v>
      </c>
      <c r="UWE989" s="16" t="s">
        <v>1487</v>
      </c>
      <c r="UWF989" s="16" t="s">
        <v>1487</v>
      </c>
      <c r="UWG989" s="16" t="s">
        <v>1487</v>
      </c>
      <c r="UWH989" s="16" t="s">
        <v>1487</v>
      </c>
      <c r="UWI989" s="16" t="s">
        <v>1487</v>
      </c>
      <c r="UWJ989" s="16" t="s">
        <v>1487</v>
      </c>
      <c r="UWK989" s="16" t="s">
        <v>1487</v>
      </c>
      <c r="UWL989" s="16" t="s">
        <v>1487</v>
      </c>
      <c r="UWM989" s="16" t="s">
        <v>1487</v>
      </c>
      <c r="UWN989" s="16" t="s">
        <v>1487</v>
      </c>
      <c r="UWO989" s="16" t="s">
        <v>1487</v>
      </c>
      <c r="UWP989" s="16" t="s">
        <v>1487</v>
      </c>
      <c r="UWQ989" s="16" t="s">
        <v>1487</v>
      </c>
      <c r="UWR989" s="16" t="s">
        <v>1487</v>
      </c>
      <c r="UWS989" s="16" t="s">
        <v>1487</v>
      </c>
      <c r="UWT989" s="16" t="s">
        <v>1487</v>
      </c>
      <c r="UWU989" s="16" t="s">
        <v>1487</v>
      </c>
      <c r="UWV989" s="16" t="s">
        <v>1487</v>
      </c>
      <c r="UWW989" s="16" t="s">
        <v>1487</v>
      </c>
      <c r="UWX989" s="16" t="s">
        <v>1487</v>
      </c>
      <c r="UWY989" s="16" t="s">
        <v>1487</v>
      </c>
      <c r="UWZ989" s="16" t="s">
        <v>1487</v>
      </c>
      <c r="UXA989" s="16" t="s">
        <v>1487</v>
      </c>
      <c r="UXB989" s="16" t="s">
        <v>1487</v>
      </c>
      <c r="UXC989" s="16" t="s">
        <v>1487</v>
      </c>
      <c r="UXD989" s="16" t="s">
        <v>1487</v>
      </c>
      <c r="UXE989" s="16" t="s">
        <v>1487</v>
      </c>
      <c r="UXF989" s="16" t="s">
        <v>1487</v>
      </c>
      <c r="UXG989" s="16" t="s">
        <v>1487</v>
      </c>
      <c r="UXH989" s="16" t="s">
        <v>1487</v>
      </c>
      <c r="UXI989" s="16" t="s">
        <v>1487</v>
      </c>
      <c r="UXJ989" s="16" t="s">
        <v>1487</v>
      </c>
      <c r="UXK989" s="16" t="s">
        <v>1487</v>
      </c>
      <c r="UXL989" s="16" t="s">
        <v>1487</v>
      </c>
      <c r="UXM989" s="16" t="s">
        <v>1487</v>
      </c>
      <c r="UXN989" s="16" t="s">
        <v>1487</v>
      </c>
      <c r="UXO989" s="16" t="s">
        <v>1487</v>
      </c>
      <c r="UXP989" s="16" t="s">
        <v>1487</v>
      </c>
      <c r="UXQ989" s="16" t="s">
        <v>1487</v>
      </c>
      <c r="UXR989" s="16" t="s">
        <v>1487</v>
      </c>
      <c r="UXS989" s="16" t="s">
        <v>1487</v>
      </c>
      <c r="UXT989" s="16" t="s">
        <v>1487</v>
      </c>
      <c r="UXU989" s="16" t="s">
        <v>1487</v>
      </c>
      <c r="UXV989" s="16" t="s">
        <v>1487</v>
      </c>
      <c r="UXW989" s="16" t="s">
        <v>1487</v>
      </c>
      <c r="UXX989" s="16" t="s">
        <v>1487</v>
      </c>
      <c r="UXY989" s="16" t="s">
        <v>1487</v>
      </c>
      <c r="UXZ989" s="16" t="s">
        <v>1487</v>
      </c>
      <c r="UYA989" s="16" t="s">
        <v>1487</v>
      </c>
      <c r="UYB989" s="16" t="s">
        <v>1487</v>
      </c>
      <c r="UYC989" s="16" t="s">
        <v>1487</v>
      </c>
      <c r="UYD989" s="16" t="s">
        <v>1487</v>
      </c>
      <c r="UYE989" s="16" t="s">
        <v>1487</v>
      </c>
      <c r="UYF989" s="16" t="s">
        <v>1487</v>
      </c>
      <c r="UYG989" s="16" t="s">
        <v>1487</v>
      </c>
      <c r="UYH989" s="16" t="s">
        <v>1487</v>
      </c>
      <c r="UYI989" s="16" t="s">
        <v>1487</v>
      </c>
      <c r="UYJ989" s="16" t="s">
        <v>1487</v>
      </c>
      <c r="UYK989" s="16" t="s">
        <v>1487</v>
      </c>
      <c r="UYL989" s="16" t="s">
        <v>1487</v>
      </c>
      <c r="UYM989" s="16" t="s">
        <v>1487</v>
      </c>
      <c r="UYN989" s="16" t="s">
        <v>1487</v>
      </c>
      <c r="UYO989" s="16" t="s">
        <v>1487</v>
      </c>
      <c r="UYP989" s="16" t="s">
        <v>1487</v>
      </c>
      <c r="UYQ989" s="16" t="s">
        <v>1487</v>
      </c>
      <c r="UYR989" s="16" t="s">
        <v>1487</v>
      </c>
      <c r="UYS989" s="16" t="s">
        <v>1487</v>
      </c>
      <c r="UYT989" s="16" t="s">
        <v>1487</v>
      </c>
      <c r="UYU989" s="16" t="s">
        <v>1487</v>
      </c>
      <c r="UYV989" s="16" t="s">
        <v>1487</v>
      </c>
      <c r="UYW989" s="16" t="s">
        <v>1487</v>
      </c>
      <c r="UYX989" s="16" t="s">
        <v>1487</v>
      </c>
      <c r="UYY989" s="16" t="s">
        <v>1487</v>
      </c>
      <c r="UYZ989" s="16" t="s">
        <v>1487</v>
      </c>
      <c r="UZA989" s="16" t="s">
        <v>1487</v>
      </c>
      <c r="UZB989" s="16" t="s">
        <v>1487</v>
      </c>
      <c r="UZC989" s="16" t="s">
        <v>1487</v>
      </c>
      <c r="UZD989" s="16" t="s">
        <v>1487</v>
      </c>
      <c r="UZE989" s="16" t="s">
        <v>1487</v>
      </c>
      <c r="UZF989" s="16" t="s">
        <v>1487</v>
      </c>
      <c r="UZG989" s="16" t="s">
        <v>1487</v>
      </c>
      <c r="UZH989" s="16" t="s">
        <v>1487</v>
      </c>
      <c r="UZI989" s="16" t="s">
        <v>1487</v>
      </c>
      <c r="UZJ989" s="16" t="s">
        <v>1487</v>
      </c>
      <c r="UZK989" s="16" t="s">
        <v>1487</v>
      </c>
      <c r="UZL989" s="16" t="s">
        <v>1487</v>
      </c>
      <c r="UZM989" s="16" t="s">
        <v>1487</v>
      </c>
      <c r="UZN989" s="16" t="s">
        <v>1487</v>
      </c>
      <c r="UZO989" s="16" t="s">
        <v>1487</v>
      </c>
      <c r="UZP989" s="16" t="s">
        <v>1487</v>
      </c>
      <c r="UZQ989" s="16" t="s">
        <v>1487</v>
      </c>
      <c r="UZR989" s="16" t="s">
        <v>1487</v>
      </c>
      <c r="UZS989" s="16" t="s">
        <v>1487</v>
      </c>
      <c r="UZT989" s="16" t="s">
        <v>1487</v>
      </c>
      <c r="UZU989" s="16" t="s">
        <v>1487</v>
      </c>
      <c r="UZV989" s="16" t="s">
        <v>1487</v>
      </c>
      <c r="UZW989" s="16" t="s">
        <v>1487</v>
      </c>
      <c r="UZX989" s="16" t="s">
        <v>1487</v>
      </c>
      <c r="UZY989" s="16" t="s">
        <v>1487</v>
      </c>
      <c r="UZZ989" s="16" t="s">
        <v>1487</v>
      </c>
      <c r="VAA989" s="16" t="s">
        <v>1487</v>
      </c>
      <c r="VAB989" s="16" t="s">
        <v>1487</v>
      </c>
      <c r="VAC989" s="16" t="s">
        <v>1487</v>
      </c>
      <c r="VAD989" s="16" t="s">
        <v>1487</v>
      </c>
      <c r="VAE989" s="16" t="s">
        <v>1487</v>
      </c>
      <c r="VAF989" s="16" t="s">
        <v>1487</v>
      </c>
      <c r="VAG989" s="16" t="s">
        <v>1487</v>
      </c>
      <c r="VAH989" s="16" t="s">
        <v>1487</v>
      </c>
      <c r="VAI989" s="16" t="s">
        <v>1487</v>
      </c>
      <c r="VAJ989" s="16" t="s">
        <v>1487</v>
      </c>
      <c r="VAK989" s="16" t="s">
        <v>1487</v>
      </c>
      <c r="VAL989" s="16" t="s">
        <v>1487</v>
      </c>
      <c r="VAM989" s="16" t="s">
        <v>1487</v>
      </c>
      <c r="VAN989" s="16" t="s">
        <v>1487</v>
      </c>
      <c r="VAO989" s="16" t="s">
        <v>1487</v>
      </c>
      <c r="VAP989" s="16" t="s">
        <v>1487</v>
      </c>
      <c r="VAQ989" s="16" t="s">
        <v>1487</v>
      </c>
      <c r="VAR989" s="16" t="s">
        <v>1487</v>
      </c>
      <c r="VAS989" s="16" t="s">
        <v>1487</v>
      </c>
      <c r="VAT989" s="16" t="s">
        <v>1487</v>
      </c>
      <c r="VAU989" s="16" t="s">
        <v>1487</v>
      </c>
      <c r="VAV989" s="16" t="s">
        <v>1487</v>
      </c>
      <c r="VAW989" s="16" t="s">
        <v>1487</v>
      </c>
      <c r="VAX989" s="16" t="s">
        <v>1487</v>
      </c>
      <c r="VAY989" s="16" t="s">
        <v>1487</v>
      </c>
      <c r="VAZ989" s="16" t="s">
        <v>1487</v>
      </c>
      <c r="VBA989" s="16" t="s">
        <v>1487</v>
      </c>
      <c r="VBB989" s="16" t="s">
        <v>1487</v>
      </c>
      <c r="VBC989" s="16" t="s">
        <v>1487</v>
      </c>
      <c r="VBD989" s="16" t="s">
        <v>1487</v>
      </c>
      <c r="VBE989" s="16" t="s">
        <v>1487</v>
      </c>
      <c r="VBF989" s="16" t="s">
        <v>1487</v>
      </c>
      <c r="VBG989" s="16" t="s">
        <v>1487</v>
      </c>
      <c r="VBH989" s="16" t="s">
        <v>1487</v>
      </c>
      <c r="VBI989" s="16" t="s">
        <v>1487</v>
      </c>
      <c r="VBJ989" s="16" t="s">
        <v>1487</v>
      </c>
      <c r="VBK989" s="16" t="s">
        <v>1487</v>
      </c>
      <c r="VBL989" s="16" t="s">
        <v>1487</v>
      </c>
      <c r="VBM989" s="16" t="s">
        <v>1487</v>
      </c>
      <c r="VBN989" s="16" t="s">
        <v>1487</v>
      </c>
      <c r="VBO989" s="16" t="s">
        <v>1487</v>
      </c>
      <c r="VBP989" s="16" t="s">
        <v>1487</v>
      </c>
      <c r="VBQ989" s="16" t="s">
        <v>1487</v>
      </c>
      <c r="VBR989" s="16" t="s">
        <v>1487</v>
      </c>
      <c r="VBS989" s="16" t="s">
        <v>1487</v>
      </c>
      <c r="VBT989" s="16" t="s">
        <v>1487</v>
      </c>
      <c r="VBU989" s="16" t="s">
        <v>1487</v>
      </c>
      <c r="VBV989" s="16" t="s">
        <v>1487</v>
      </c>
      <c r="VBW989" s="16" t="s">
        <v>1487</v>
      </c>
      <c r="VBX989" s="16" t="s">
        <v>1487</v>
      </c>
      <c r="VBY989" s="16" t="s">
        <v>1487</v>
      </c>
      <c r="VBZ989" s="16" t="s">
        <v>1487</v>
      </c>
      <c r="VCA989" s="16" t="s">
        <v>1487</v>
      </c>
      <c r="VCB989" s="16" t="s">
        <v>1487</v>
      </c>
      <c r="VCC989" s="16" t="s">
        <v>1487</v>
      </c>
      <c r="VCD989" s="16" t="s">
        <v>1487</v>
      </c>
      <c r="VCE989" s="16" t="s">
        <v>1487</v>
      </c>
      <c r="VCF989" s="16" t="s">
        <v>1487</v>
      </c>
      <c r="VCG989" s="16" t="s">
        <v>1487</v>
      </c>
      <c r="VCH989" s="16" t="s">
        <v>1487</v>
      </c>
      <c r="VCI989" s="16" t="s">
        <v>1487</v>
      </c>
      <c r="VCJ989" s="16" t="s">
        <v>1487</v>
      </c>
      <c r="VCK989" s="16" t="s">
        <v>1487</v>
      </c>
      <c r="VCL989" s="16" t="s">
        <v>1487</v>
      </c>
      <c r="VCM989" s="16" t="s">
        <v>1487</v>
      </c>
      <c r="VCN989" s="16" t="s">
        <v>1487</v>
      </c>
      <c r="VCO989" s="16" t="s">
        <v>1487</v>
      </c>
      <c r="VCP989" s="16" t="s">
        <v>1487</v>
      </c>
      <c r="VCQ989" s="16" t="s">
        <v>1487</v>
      </c>
      <c r="VCR989" s="16" t="s">
        <v>1487</v>
      </c>
      <c r="VCS989" s="16" t="s">
        <v>1487</v>
      </c>
      <c r="VCT989" s="16" t="s">
        <v>1487</v>
      </c>
      <c r="VCU989" s="16" t="s">
        <v>1487</v>
      </c>
      <c r="VCV989" s="16" t="s">
        <v>1487</v>
      </c>
      <c r="VCW989" s="16" t="s">
        <v>1487</v>
      </c>
      <c r="VCX989" s="16" t="s">
        <v>1487</v>
      </c>
      <c r="VCY989" s="16" t="s">
        <v>1487</v>
      </c>
      <c r="VCZ989" s="16" t="s">
        <v>1487</v>
      </c>
      <c r="VDA989" s="16" t="s">
        <v>1487</v>
      </c>
      <c r="VDB989" s="16" t="s">
        <v>1487</v>
      </c>
      <c r="VDC989" s="16" t="s">
        <v>1487</v>
      </c>
      <c r="VDD989" s="16" t="s">
        <v>1487</v>
      </c>
      <c r="VDE989" s="16" t="s">
        <v>1487</v>
      </c>
      <c r="VDF989" s="16" t="s">
        <v>1487</v>
      </c>
      <c r="VDG989" s="16" t="s">
        <v>1487</v>
      </c>
      <c r="VDH989" s="16" t="s">
        <v>1487</v>
      </c>
      <c r="VDI989" s="16" t="s">
        <v>1487</v>
      </c>
      <c r="VDJ989" s="16" t="s">
        <v>1487</v>
      </c>
      <c r="VDK989" s="16" t="s">
        <v>1487</v>
      </c>
      <c r="VDL989" s="16" t="s">
        <v>1487</v>
      </c>
      <c r="VDM989" s="16" t="s">
        <v>1487</v>
      </c>
      <c r="VDN989" s="16" t="s">
        <v>1487</v>
      </c>
      <c r="VDO989" s="16" t="s">
        <v>1487</v>
      </c>
      <c r="VDP989" s="16" t="s">
        <v>1487</v>
      </c>
      <c r="VDQ989" s="16" t="s">
        <v>1487</v>
      </c>
      <c r="VDR989" s="16" t="s">
        <v>1487</v>
      </c>
      <c r="VDS989" s="16" t="s">
        <v>1487</v>
      </c>
      <c r="VDT989" s="16" t="s">
        <v>1487</v>
      </c>
      <c r="VDU989" s="16" t="s">
        <v>1487</v>
      </c>
      <c r="VDV989" s="16" t="s">
        <v>1487</v>
      </c>
      <c r="VDW989" s="16" t="s">
        <v>1487</v>
      </c>
      <c r="VDX989" s="16" t="s">
        <v>1487</v>
      </c>
      <c r="VDY989" s="16" t="s">
        <v>1487</v>
      </c>
      <c r="VDZ989" s="16" t="s">
        <v>1487</v>
      </c>
      <c r="VEA989" s="16" t="s">
        <v>1487</v>
      </c>
      <c r="VEB989" s="16" t="s">
        <v>1487</v>
      </c>
      <c r="VEC989" s="16" t="s">
        <v>1487</v>
      </c>
      <c r="VED989" s="16" t="s">
        <v>1487</v>
      </c>
      <c r="VEE989" s="16" t="s">
        <v>1487</v>
      </c>
      <c r="VEF989" s="16" t="s">
        <v>1487</v>
      </c>
      <c r="VEG989" s="16" t="s">
        <v>1487</v>
      </c>
      <c r="VEH989" s="16" t="s">
        <v>1487</v>
      </c>
      <c r="VEI989" s="16" t="s">
        <v>1487</v>
      </c>
      <c r="VEJ989" s="16" t="s">
        <v>1487</v>
      </c>
      <c r="VEK989" s="16" t="s">
        <v>1487</v>
      </c>
      <c r="VEL989" s="16" t="s">
        <v>1487</v>
      </c>
      <c r="VEM989" s="16" t="s">
        <v>1487</v>
      </c>
      <c r="VEN989" s="16" t="s">
        <v>1487</v>
      </c>
      <c r="VEO989" s="16" t="s">
        <v>1487</v>
      </c>
      <c r="VEP989" s="16" t="s">
        <v>1487</v>
      </c>
      <c r="VEQ989" s="16" t="s">
        <v>1487</v>
      </c>
      <c r="VER989" s="16" t="s">
        <v>1487</v>
      </c>
      <c r="VES989" s="16" t="s">
        <v>1487</v>
      </c>
      <c r="VET989" s="16" t="s">
        <v>1487</v>
      </c>
      <c r="VEU989" s="16" t="s">
        <v>1487</v>
      </c>
      <c r="VEV989" s="16" t="s">
        <v>1487</v>
      </c>
      <c r="VEW989" s="16" t="s">
        <v>1487</v>
      </c>
      <c r="VEX989" s="16" t="s">
        <v>1487</v>
      </c>
      <c r="VEY989" s="16" t="s">
        <v>1487</v>
      </c>
      <c r="VEZ989" s="16" t="s">
        <v>1487</v>
      </c>
      <c r="VFA989" s="16" t="s">
        <v>1487</v>
      </c>
      <c r="VFB989" s="16" t="s">
        <v>1487</v>
      </c>
      <c r="VFC989" s="16" t="s">
        <v>1487</v>
      </c>
      <c r="VFD989" s="16" t="s">
        <v>1487</v>
      </c>
      <c r="VFE989" s="16" t="s">
        <v>1487</v>
      </c>
      <c r="VFF989" s="16" t="s">
        <v>1487</v>
      </c>
      <c r="VFG989" s="16" t="s">
        <v>1487</v>
      </c>
      <c r="VFH989" s="16" t="s">
        <v>1487</v>
      </c>
      <c r="VFI989" s="16" t="s">
        <v>1487</v>
      </c>
      <c r="VFJ989" s="16" t="s">
        <v>1487</v>
      </c>
      <c r="VFK989" s="16" t="s">
        <v>1487</v>
      </c>
      <c r="VFL989" s="16" t="s">
        <v>1487</v>
      </c>
      <c r="VFM989" s="16" t="s">
        <v>1487</v>
      </c>
      <c r="VFN989" s="16" t="s">
        <v>1487</v>
      </c>
      <c r="VFO989" s="16" t="s">
        <v>1487</v>
      </c>
      <c r="VFP989" s="16" t="s">
        <v>1487</v>
      </c>
      <c r="VFQ989" s="16" t="s">
        <v>1487</v>
      </c>
      <c r="VFR989" s="16" t="s">
        <v>1487</v>
      </c>
      <c r="VFS989" s="16" t="s">
        <v>1487</v>
      </c>
      <c r="VFT989" s="16" t="s">
        <v>1487</v>
      </c>
      <c r="VFU989" s="16" t="s">
        <v>1487</v>
      </c>
      <c r="VFV989" s="16" t="s">
        <v>1487</v>
      </c>
      <c r="VFW989" s="16" t="s">
        <v>1487</v>
      </c>
      <c r="VFX989" s="16" t="s">
        <v>1487</v>
      </c>
      <c r="VFY989" s="16" t="s">
        <v>1487</v>
      </c>
      <c r="VFZ989" s="16" t="s">
        <v>1487</v>
      </c>
      <c r="VGA989" s="16" t="s">
        <v>1487</v>
      </c>
      <c r="VGB989" s="16" t="s">
        <v>1487</v>
      </c>
      <c r="VGC989" s="16" t="s">
        <v>1487</v>
      </c>
      <c r="VGD989" s="16" t="s">
        <v>1487</v>
      </c>
      <c r="VGE989" s="16" t="s">
        <v>1487</v>
      </c>
      <c r="VGF989" s="16" t="s">
        <v>1487</v>
      </c>
      <c r="VGG989" s="16" t="s">
        <v>1487</v>
      </c>
      <c r="VGH989" s="16" t="s">
        <v>1487</v>
      </c>
      <c r="VGI989" s="16" t="s">
        <v>1487</v>
      </c>
      <c r="VGJ989" s="16" t="s">
        <v>1487</v>
      </c>
      <c r="VGK989" s="16" t="s">
        <v>1487</v>
      </c>
      <c r="VGL989" s="16" t="s">
        <v>1487</v>
      </c>
      <c r="VGM989" s="16" t="s">
        <v>1487</v>
      </c>
      <c r="VGN989" s="16" t="s">
        <v>1487</v>
      </c>
      <c r="VGO989" s="16" t="s">
        <v>1487</v>
      </c>
      <c r="VGP989" s="16" t="s">
        <v>1487</v>
      </c>
      <c r="VGQ989" s="16" t="s">
        <v>1487</v>
      </c>
      <c r="VGR989" s="16" t="s">
        <v>1487</v>
      </c>
      <c r="VGS989" s="16" t="s">
        <v>1487</v>
      </c>
      <c r="VGT989" s="16" t="s">
        <v>1487</v>
      </c>
      <c r="VGU989" s="16" t="s">
        <v>1487</v>
      </c>
      <c r="VGV989" s="16" t="s">
        <v>1487</v>
      </c>
      <c r="VGW989" s="16" t="s">
        <v>1487</v>
      </c>
      <c r="VGX989" s="16" t="s">
        <v>1487</v>
      </c>
      <c r="VGY989" s="16" t="s">
        <v>1487</v>
      </c>
      <c r="VGZ989" s="16" t="s">
        <v>1487</v>
      </c>
      <c r="VHA989" s="16" t="s">
        <v>1487</v>
      </c>
      <c r="VHB989" s="16" t="s">
        <v>1487</v>
      </c>
      <c r="VHC989" s="16" t="s">
        <v>1487</v>
      </c>
      <c r="VHD989" s="16" t="s">
        <v>1487</v>
      </c>
      <c r="VHE989" s="16" t="s">
        <v>1487</v>
      </c>
      <c r="VHF989" s="16" t="s">
        <v>1487</v>
      </c>
      <c r="VHG989" s="16" t="s">
        <v>1487</v>
      </c>
      <c r="VHH989" s="16" t="s">
        <v>1487</v>
      </c>
      <c r="VHI989" s="16" t="s">
        <v>1487</v>
      </c>
      <c r="VHJ989" s="16" t="s">
        <v>1487</v>
      </c>
      <c r="VHK989" s="16" t="s">
        <v>1487</v>
      </c>
      <c r="VHL989" s="16" t="s">
        <v>1487</v>
      </c>
      <c r="VHM989" s="16" t="s">
        <v>1487</v>
      </c>
      <c r="VHN989" s="16" t="s">
        <v>1487</v>
      </c>
      <c r="VHO989" s="16" t="s">
        <v>1487</v>
      </c>
      <c r="VHP989" s="16" t="s">
        <v>1487</v>
      </c>
      <c r="VHQ989" s="16" t="s">
        <v>1487</v>
      </c>
      <c r="VHR989" s="16" t="s">
        <v>1487</v>
      </c>
      <c r="VHS989" s="16" t="s">
        <v>1487</v>
      </c>
      <c r="VHT989" s="16" t="s">
        <v>1487</v>
      </c>
      <c r="VHU989" s="16" t="s">
        <v>1487</v>
      </c>
      <c r="VHV989" s="16" t="s">
        <v>1487</v>
      </c>
      <c r="VHW989" s="16" t="s">
        <v>1487</v>
      </c>
      <c r="VHX989" s="16" t="s">
        <v>1487</v>
      </c>
      <c r="VHY989" s="16" t="s">
        <v>1487</v>
      </c>
      <c r="VHZ989" s="16" t="s">
        <v>1487</v>
      </c>
      <c r="VIA989" s="16" t="s">
        <v>1487</v>
      </c>
      <c r="VIB989" s="16" t="s">
        <v>1487</v>
      </c>
      <c r="VIC989" s="16" t="s">
        <v>1487</v>
      </c>
      <c r="VID989" s="16" t="s">
        <v>1487</v>
      </c>
      <c r="VIE989" s="16" t="s">
        <v>1487</v>
      </c>
      <c r="VIF989" s="16" t="s">
        <v>1487</v>
      </c>
      <c r="VIG989" s="16" t="s">
        <v>1487</v>
      </c>
      <c r="VIH989" s="16" t="s">
        <v>1487</v>
      </c>
      <c r="VII989" s="16" t="s">
        <v>1487</v>
      </c>
      <c r="VIJ989" s="16" t="s">
        <v>1487</v>
      </c>
      <c r="VIK989" s="16" t="s">
        <v>1487</v>
      </c>
      <c r="VIL989" s="16" t="s">
        <v>1487</v>
      </c>
      <c r="VIM989" s="16" t="s">
        <v>1487</v>
      </c>
      <c r="VIN989" s="16" t="s">
        <v>1487</v>
      </c>
      <c r="VIO989" s="16" t="s">
        <v>1487</v>
      </c>
      <c r="VIP989" s="16" t="s">
        <v>1487</v>
      </c>
      <c r="VIQ989" s="16" t="s">
        <v>1487</v>
      </c>
      <c r="VIR989" s="16" t="s">
        <v>1487</v>
      </c>
      <c r="VIS989" s="16" t="s">
        <v>1487</v>
      </c>
      <c r="VIT989" s="16" t="s">
        <v>1487</v>
      </c>
      <c r="VIU989" s="16" t="s">
        <v>1487</v>
      </c>
      <c r="VIV989" s="16" t="s">
        <v>1487</v>
      </c>
      <c r="VIW989" s="16" t="s">
        <v>1487</v>
      </c>
      <c r="VIX989" s="16" t="s">
        <v>1487</v>
      </c>
      <c r="VIY989" s="16" t="s">
        <v>1487</v>
      </c>
      <c r="VIZ989" s="16" t="s">
        <v>1487</v>
      </c>
      <c r="VJA989" s="16" t="s">
        <v>1487</v>
      </c>
      <c r="VJB989" s="16" t="s">
        <v>1487</v>
      </c>
      <c r="VJC989" s="16" t="s">
        <v>1487</v>
      </c>
      <c r="VJD989" s="16" t="s">
        <v>1487</v>
      </c>
      <c r="VJE989" s="16" t="s">
        <v>1487</v>
      </c>
      <c r="VJF989" s="16" t="s">
        <v>1487</v>
      </c>
      <c r="VJG989" s="16" t="s">
        <v>1487</v>
      </c>
      <c r="VJH989" s="16" t="s">
        <v>1487</v>
      </c>
      <c r="VJI989" s="16" t="s">
        <v>1487</v>
      </c>
      <c r="VJJ989" s="16" t="s">
        <v>1487</v>
      </c>
      <c r="VJK989" s="16" t="s">
        <v>1487</v>
      </c>
      <c r="VJL989" s="16" t="s">
        <v>1487</v>
      </c>
      <c r="VJM989" s="16" t="s">
        <v>1487</v>
      </c>
      <c r="VJN989" s="16" t="s">
        <v>1487</v>
      </c>
      <c r="VJO989" s="16" t="s">
        <v>1487</v>
      </c>
      <c r="VJP989" s="16" t="s">
        <v>1487</v>
      </c>
      <c r="VJQ989" s="16" t="s">
        <v>1487</v>
      </c>
      <c r="VJR989" s="16" t="s">
        <v>1487</v>
      </c>
      <c r="VJS989" s="16" t="s">
        <v>1487</v>
      </c>
      <c r="VJT989" s="16" t="s">
        <v>1487</v>
      </c>
      <c r="VJU989" s="16" t="s">
        <v>1487</v>
      </c>
      <c r="VJV989" s="16" t="s">
        <v>1487</v>
      </c>
      <c r="VJW989" s="16" t="s">
        <v>1487</v>
      </c>
      <c r="VJX989" s="16" t="s">
        <v>1487</v>
      </c>
      <c r="VJY989" s="16" t="s">
        <v>1487</v>
      </c>
      <c r="VJZ989" s="16" t="s">
        <v>1487</v>
      </c>
      <c r="VKA989" s="16" t="s">
        <v>1487</v>
      </c>
      <c r="VKB989" s="16" t="s">
        <v>1487</v>
      </c>
      <c r="VKC989" s="16" t="s">
        <v>1487</v>
      </c>
      <c r="VKD989" s="16" t="s">
        <v>1487</v>
      </c>
      <c r="VKE989" s="16" t="s">
        <v>1487</v>
      </c>
      <c r="VKF989" s="16" t="s">
        <v>1487</v>
      </c>
      <c r="VKG989" s="16" t="s">
        <v>1487</v>
      </c>
      <c r="VKH989" s="16" t="s">
        <v>1487</v>
      </c>
      <c r="VKI989" s="16" t="s">
        <v>1487</v>
      </c>
      <c r="VKJ989" s="16" t="s">
        <v>1487</v>
      </c>
      <c r="VKK989" s="16" t="s">
        <v>1487</v>
      </c>
      <c r="VKL989" s="16" t="s">
        <v>1487</v>
      </c>
      <c r="VKM989" s="16" t="s">
        <v>1487</v>
      </c>
      <c r="VKN989" s="16" t="s">
        <v>1487</v>
      </c>
      <c r="VKO989" s="16" t="s">
        <v>1487</v>
      </c>
      <c r="VKP989" s="16" t="s">
        <v>1487</v>
      </c>
      <c r="VKQ989" s="16" t="s">
        <v>1487</v>
      </c>
      <c r="VKR989" s="16" t="s">
        <v>1487</v>
      </c>
      <c r="VKS989" s="16" t="s">
        <v>1487</v>
      </c>
      <c r="VKT989" s="16" t="s">
        <v>1487</v>
      </c>
      <c r="VKU989" s="16" t="s">
        <v>1487</v>
      </c>
      <c r="VKV989" s="16" t="s">
        <v>1487</v>
      </c>
      <c r="VKW989" s="16" t="s">
        <v>1487</v>
      </c>
      <c r="VKX989" s="16" t="s">
        <v>1487</v>
      </c>
      <c r="VKY989" s="16" t="s">
        <v>1487</v>
      </c>
      <c r="VKZ989" s="16" t="s">
        <v>1487</v>
      </c>
      <c r="VLA989" s="16" t="s">
        <v>1487</v>
      </c>
      <c r="VLB989" s="16" t="s">
        <v>1487</v>
      </c>
      <c r="VLC989" s="16" t="s">
        <v>1487</v>
      </c>
      <c r="VLD989" s="16" t="s">
        <v>1487</v>
      </c>
      <c r="VLE989" s="16" t="s">
        <v>1487</v>
      </c>
      <c r="VLF989" s="16" t="s">
        <v>1487</v>
      </c>
      <c r="VLG989" s="16" t="s">
        <v>1487</v>
      </c>
      <c r="VLH989" s="16" t="s">
        <v>1487</v>
      </c>
      <c r="VLI989" s="16" t="s">
        <v>1487</v>
      </c>
      <c r="VLJ989" s="16" t="s">
        <v>1487</v>
      </c>
      <c r="VLK989" s="16" t="s">
        <v>1487</v>
      </c>
      <c r="VLL989" s="16" t="s">
        <v>1487</v>
      </c>
      <c r="VLM989" s="16" t="s">
        <v>1487</v>
      </c>
      <c r="VLN989" s="16" t="s">
        <v>1487</v>
      </c>
      <c r="VLO989" s="16" t="s">
        <v>1487</v>
      </c>
      <c r="VLP989" s="16" t="s">
        <v>1487</v>
      </c>
      <c r="VLQ989" s="16" t="s">
        <v>1487</v>
      </c>
      <c r="VLR989" s="16" t="s">
        <v>1487</v>
      </c>
      <c r="VLS989" s="16" t="s">
        <v>1487</v>
      </c>
      <c r="VLT989" s="16" t="s">
        <v>1487</v>
      </c>
      <c r="VLU989" s="16" t="s">
        <v>1487</v>
      </c>
      <c r="VLV989" s="16" t="s">
        <v>1487</v>
      </c>
      <c r="VLW989" s="16" t="s">
        <v>1487</v>
      </c>
      <c r="VLX989" s="16" t="s">
        <v>1487</v>
      </c>
      <c r="VLY989" s="16" t="s">
        <v>1487</v>
      </c>
      <c r="VLZ989" s="16" t="s">
        <v>1487</v>
      </c>
      <c r="VMA989" s="16" t="s">
        <v>1487</v>
      </c>
      <c r="VMB989" s="16" t="s">
        <v>1487</v>
      </c>
      <c r="VMC989" s="16" t="s">
        <v>1487</v>
      </c>
      <c r="VMD989" s="16" t="s">
        <v>1487</v>
      </c>
      <c r="VME989" s="16" t="s">
        <v>1487</v>
      </c>
      <c r="VMF989" s="16" t="s">
        <v>1487</v>
      </c>
      <c r="VMG989" s="16" t="s">
        <v>1487</v>
      </c>
      <c r="VMH989" s="16" t="s">
        <v>1487</v>
      </c>
      <c r="VMI989" s="16" t="s">
        <v>1487</v>
      </c>
      <c r="VMJ989" s="16" t="s">
        <v>1487</v>
      </c>
      <c r="VMK989" s="16" t="s">
        <v>1487</v>
      </c>
      <c r="VML989" s="16" t="s">
        <v>1487</v>
      </c>
      <c r="VMM989" s="16" t="s">
        <v>1487</v>
      </c>
      <c r="VMN989" s="16" t="s">
        <v>1487</v>
      </c>
      <c r="VMO989" s="16" t="s">
        <v>1487</v>
      </c>
      <c r="VMP989" s="16" t="s">
        <v>1487</v>
      </c>
      <c r="VMQ989" s="16" t="s">
        <v>1487</v>
      </c>
      <c r="VMR989" s="16" t="s">
        <v>1487</v>
      </c>
      <c r="VMS989" s="16" t="s">
        <v>1487</v>
      </c>
      <c r="VMT989" s="16" t="s">
        <v>1487</v>
      </c>
      <c r="VMU989" s="16" t="s">
        <v>1487</v>
      </c>
      <c r="VMV989" s="16" t="s">
        <v>1487</v>
      </c>
      <c r="VMW989" s="16" t="s">
        <v>1487</v>
      </c>
      <c r="VMX989" s="16" t="s">
        <v>1487</v>
      </c>
      <c r="VMY989" s="16" t="s">
        <v>1487</v>
      </c>
      <c r="VMZ989" s="16" t="s">
        <v>1487</v>
      </c>
      <c r="VNA989" s="16" t="s">
        <v>1487</v>
      </c>
      <c r="VNB989" s="16" t="s">
        <v>1487</v>
      </c>
      <c r="VNC989" s="16" t="s">
        <v>1487</v>
      </c>
      <c r="VND989" s="16" t="s">
        <v>1487</v>
      </c>
      <c r="VNE989" s="16" t="s">
        <v>1487</v>
      </c>
      <c r="VNF989" s="16" t="s">
        <v>1487</v>
      </c>
      <c r="VNG989" s="16" t="s">
        <v>1487</v>
      </c>
      <c r="VNH989" s="16" t="s">
        <v>1487</v>
      </c>
      <c r="VNI989" s="16" t="s">
        <v>1487</v>
      </c>
      <c r="VNJ989" s="16" t="s">
        <v>1487</v>
      </c>
      <c r="VNK989" s="16" t="s">
        <v>1487</v>
      </c>
      <c r="VNL989" s="16" t="s">
        <v>1487</v>
      </c>
      <c r="VNM989" s="16" t="s">
        <v>1487</v>
      </c>
      <c r="VNN989" s="16" t="s">
        <v>1487</v>
      </c>
      <c r="VNO989" s="16" t="s">
        <v>1487</v>
      </c>
      <c r="VNP989" s="16" t="s">
        <v>1487</v>
      </c>
      <c r="VNQ989" s="16" t="s">
        <v>1487</v>
      </c>
      <c r="VNR989" s="16" t="s">
        <v>1487</v>
      </c>
      <c r="VNS989" s="16" t="s">
        <v>1487</v>
      </c>
      <c r="VNT989" s="16" t="s">
        <v>1487</v>
      </c>
      <c r="VNU989" s="16" t="s">
        <v>1487</v>
      </c>
      <c r="VNV989" s="16" t="s">
        <v>1487</v>
      </c>
      <c r="VNW989" s="16" t="s">
        <v>1487</v>
      </c>
      <c r="VNX989" s="16" t="s">
        <v>1487</v>
      </c>
      <c r="VNY989" s="16" t="s">
        <v>1487</v>
      </c>
      <c r="VNZ989" s="16" t="s">
        <v>1487</v>
      </c>
      <c r="VOA989" s="16" t="s">
        <v>1487</v>
      </c>
      <c r="VOB989" s="16" t="s">
        <v>1487</v>
      </c>
      <c r="VOC989" s="16" t="s">
        <v>1487</v>
      </c>
      <c r="VOD989" s="16" t="s">
        <v>1487</v>
      </c>
      <c r="VOE989" s="16" t="s">
        <v>1487</v>
      </c>
      <c r="VOF989" s="16" t="s">
        <v>1487</v>
      </c>
      <c r="VOG989" s="16" t="s">
        <v>1487</v>
      </c>
      <c r="VOH989" s="16" t="s">
        <v>1487</v>
      </c>
      <c r="VOI989" s="16" t="s">
        <v>1487</v>
      </c>
      <c r="VOJ989" s="16" t="s">
        <v>1487</v>
      </c>
      <c r="VOK989" s="16" t="s">
        <v>1487</v>
      </c>
      <c r="VOL989" s="16" t="s">
        <v>1487</v>
      </c>
      <c r="VOM989" s="16" t="s">
        <v>1487</v>
      </c>
      <c r="VON989" s="16" t="s">
        <v>1487</v>
      </c>
      <c r="VOO989" s="16" t="s">
        <v>1487</v>
      </c>
      <c r="VOP989" s="16" t="s">
        <v>1487</v>
      </c>
      <c r="VOQ989" s="16" t="s">
        <v>1487</v>
      </c>
      <c r="VOR989" s="16" t="s">
        <v>1487</v>
      </c>
      <c r="VOS989" s="16" t="s">
        <v>1487</v>
      </c>
      <c r="VOT989" s="16" t="s">
        <v>1487</v>
      </c>
      <c r="VOU989" s="16" t="s">
        <v>1487</v>
      </c>
      <c r="VOV989" s="16" t="s">
        <v>1487</v>
      </c>
      <c r="VOW989" s="16" t="s">
        <v>1487</v>
      </c>
      <c r="VOX989" s="16" t="s">
        <v>1487</v>
      </c>
      <c r="VOY989" s="16" t="s">
        <v>1487</v>
      </c>
      <c r="VOZ989" s="16" t="s">
        <v>1487</v>
      </c>
      <c r="VPA989" s="16" t="s">
        <v>1487</v>
      </c>
      <c r="VPB989" s="16" t="s">
        <v>1487</v>
      </c>
      <c r="VPC989" s="16" t="s">
        <v>1487</v>
      </c>
      <c r="VPD989" s="16" t="s">
        <v>1487</v>
      </c>
      <c r="VPE989" s="16" t="s">
        <v>1487</v>
      </c>
      <c r="VPF989" s="16" t="s">
        <v>1487</v>
      </c>
      <c r="VPG989" s="16" t="s">
        <v>1487</v>
      </c>
      <c r="VPH989" s="16" t="s">
        <v>1487</v>
      </c>
      <c r="VPI989" s="16" t="s">
        <v>1487</v>
      </c>
      <c r="VPJ989" s="16" t="s">
        <v>1487</v>
      </c>
      <c r="VPK989" s="16" t="s">
        <v>1487</v>
      </c>
      <c r="VPL989" s="16" t="s">
        <v>1487</v>
      </c>
      <c r="VPM989" s="16" t="s">
        <v>1487</v>
      </c>
      <c r="VPN989" s="16" t="s">
        <v>1487</v>
      </c>
      <c r="VPO989" s="16" t="s">
        <v>1487</v>
      </c>
      <c r="VPP989" s="16" t="s">
        <v>1487</v>
      </c>
      <c r="VPQ989" s="16" t="s">
        <v>1487</v>
      </c>
      <c r="VPR989" s="16" t="s">
        <v>1487</v>
      </c>
      <c r="VPS989" s="16" t="s">
        <v>1487</v>
      </c>
      <c r="VPT989" s="16" t="s">
        <v>1487</v>
      </c>
      <c r="VPU989" s="16" t="s">
        <v>1487</v>
      </c>
      <c r="VPV989" s="16" t="s">
        <v>1487</v>
      </c>
      <c r="VPW989" s="16" t="s">
        <v>1487</v>
      </c>
      <c r="VPX989" s="16" t="s">
        <v>1487</v>
      </c>
      <c r="VPY989" s="16" t="s">
        <v>1487</v>
      </c>
      <c r="VPZ989" s="16" t="s">
        <v>1487</v>
      </c>
      <c r="VQA989" s="16" t="s">
        <v>1487</v>
      </c>
      <c r="VQB989" s="16" t="s">
        <v>1487</v>
      </c>
      <c r="VQC989" s="16" t="s">
        <v>1487</v>
      </c>
      <c r="VQD989" s="16" t="s">
        <v>1487</v>
      </c>
      <c r="VQE989" s="16" t="s">
        <v>1487</v>
      </c>
      <c r="VQF989" s="16" t="s">
        <v>1487</v>
      </c>
      <c r="VQG989" s="16" t="s">
        <v>1487</v>
      </c>
      <c r="VQH989" s="16" t="s">
        <v>1487</v>
      </c>
      <c r="VQI989" s="16" t="s">
        <v>1487</v>
      </c>
      <c r="VQJ989" s="16" t="s">
        <v>1487</v>
      </c>
      <c r="VQK989" s="16" t="s">
        <v>1487</v>
      </c>
      <c r="VQL989" s="16" t="s">
        <v>1487</v>
      </c>
      <c r="VQM989" s="16" t="s">
        <v>1487</v>
      </c>
      <c r="VQN989" s="16" t="s">
        <v>1487</v>
      </c>
      <c r="VQO989" s="16" t="s">
        <v>1487</v>
      </c>
      <c r="VQP989" s="16" t="s">
        <v>1487</v>
      </c>
      <c r="VQQ989" s="16" t="s">
        <v>1487</v>
      </c>
      <c r="VQR989" s="16" t="s">
        <v>1487</v>
      </c>
      <c r="VQS989" s="16" t="s">
        <v>1487</v>
      </c>
      <c r="VQT989" s="16" t="s">
        <v>1487</v>
      </c>
      <c r="VQU989" s="16" t="s">
        <v>1487</v>
      </c>
      <c r="VQV989" s="16" t="s">
        <v>1487</v>
      </c>
      <c r="VQW989" s="16" t="s">
        <v>1487</v>
      </c>
      <c r="VQX989" s="16" t="s">
        <v>1487</v>
      </c>
      <c r="VQY989" s="16" t="s">
        <v>1487</v>
      </c>
      <c r="VQZ989" s="16" t="s">
        <v>1487</v>
      </c>
      <c r="VRA989" s="16" t="s">
        <v>1487</v>
      </c>
      <c r="VRB989" s="16" t="s">
        <v>1487</v>
      </c>
      <c r="VRC989" s="16" t="s">
        <v>1487</v>
      </c>
      <c r="VRD989" s="16" t="s">
        <v>1487</v>
      </c>
      <c r="VRE989" s="16" t="s">
        <v>1487</v>
      </c>
      <c r="VRF989" s="16" t="s">
        <v>1487</v>
      </c>
      <c r="VRG989" s="16" t="s">
        <v>1487</v>
      </c>
      <c r="VRH989" s="16" t="s">
        <v>1487</v>
      </c>
      <c r="VRI989" s="16" t="s">
        <v>1487</v>
      </c>
      <c r="VRJ989" s="16" t="s">
        <v>1487</v>
      </c>
      <c r="VRK989" s="16" t="s">
        <v>1487</v>
      </c>
      <c r="VRL989" s="16" t="s">
        <v>1487</v>
      </c>
      <c r="VRM989" s="16" t="s">
        <v>1487</v>
      </c>
      <c r="VRN989" s="16" t="s">
        <v>1487</v>
      </c>
      <c r="VRO989" s="16" t="s">
        <v>1487</v>
      </c>
      <c r="VRP989" s="16" t="s">
        <v>1487</v>
      </c>
      <c r="VRQ989" s="16" t="s">
        <v>1487</v>
      </c>
      <c r="VRR989" s="16" t="s">
        <v>1487</v>
      </c>
      <c r="VRS989" s="16" t="s">
        <v>1487</v>
      </c>
      <c r="VRT989" s="16" t="s">
        <v>1487</v>
      </c>
      <c r="VRU989" s="16" t="s">
        <v>1487</v>
      </c>
      <c r="VRV989" s="16" t="s">
        <v>1487</v>
      </c>
      <c r="VRW989" s="16" t="s">
        <v>1487</v>
      </c>
      <c r="VRX989" s="16" t="s">
        <v>1487</v>
      </c>
      <c r="VRY989" s="16" t="s">
        <v>1487</v>
      </c>
      <c r="VRZ989" s="16" t="s">
        <v>1487</v>
      </c>
      <c r="VSA989" s="16" t="s">
        <v>1487</v>
      </c>
      <c r="VSB989" s="16" t="s">
        <v>1487</v>
      </c>
      <c r="VSC989" s="16" t="s">
        <v>1487</v>
      </c>
      <c r="VSD989" s="16" t="s">
        <v>1487</v>
      </c>
      <c r="VSE989" s="16" t="s">
        <v>1487</v>
      </c>
      <c r="VSF989" s="16" t="s">
        <v>1487</v>
      </c>
      <c r="VSG989" s="16" t="s">
        <v>1487</v>
      </c>
      <c r="VSH989" s="16" t="s">
        <v>1487</v>
      </c>
      <c r="VSI989" s="16" t="s">
        <v>1487</v>
      </c>
      <c r="VSJ989" s="16" t="s">
        <v>1487</v>
      </c>
      <c r="VSK989" s="16" t="s">
        <v>1487</v>
      </c>
      <c r="VSL989" s="16" t="s">
        <v>1487</v>
      </c>
      <c r="VSM989" s="16" t="s">
        <v>1487</v>
      </c>
      <c r="VSN989" s="16" t="s">
        <v>1487</v>
      </c>
      <c r="VSO989" s="16" t="s">
        <v>1487</v>
      </c>
      <c r="VSP989" s="16" t="s">
        <v>1487</v>
      </c>
      <c r="VSQ989" s="16" t="s">
        <v>1487</v>
      </c>
      <c r="VSR989" s="16" t="s">
        <v>1487</v>
      </c>
      <c r="VSS989" s="16" t="s">
        <v>1487</v>
      </c>
      <c r="VST989" s="16" t="s">
        <v>1487</v>
      </c>
      <c r="VSU989" s="16" t="s">
        <v>1487</v>
      </c>
      <c r="VSV989" s="16" t="s">
        <v>1487</v>
      </c>
      <c r="VSW989" s="16" t="s">
        <v>1487</v>
      </c>
      <c r="VSX989" s="16" t="s">
        <v>1487</v>
      </c>
      <c r="VSY989" s="16" t="s">
        <v>1487</v>
      </c>
      <c r="VSZ989" s="16" t="s">
        <v>1487</v>
      </c>
      <c r="VTA989" s="16" t="s">
        <v>1487</v>
      </c>
      <c r="VTB989" s="16" t="s">
        <v>1487</v>
      </c>
      <c r="VTC989" s="16" t="s">
        <v>1487</v>
      </c>
      <c r="VTD989" s="16" t="s">
        <v>1487</v>
      </c>
      <c r="VTE989" s="16" t="s">
        <v>1487</v>
      </c>
      <c r="VTF989" s="16" t="s">
        <v>1487</v>
      </c>
      <c r="VTG989" s="16" t="s">
        <v>1487</v>
      </c>
      <c r="VTH989" s="16" t="s">
        <v>1487</v>
      </c>
      <c r="VTI989" s="16" t="s">
        <v>1487</v>
      </c>
      <c r="VTJ989" s="16" t="s">
        <v>1487</v>
      </c>
      <c r="VTK989" s="16" t="s">
        <v>1487</v>
      </c>
      <c r="VTL989" s="16" t="s">
        <v>1487</v>
      </c>
      <c r="VTM989" s="16" t="s">
        <v>1487</v>
      </c>
      <c r="VTN989" s="16" t="s">
        <v>1487</v>
      </c>
      <c r="VTO989" s="16" t="s">
        <v>1487</v>
      </c>
      <c r="VTP989" s="16" t="s">
        <v>1487</v>
      </c>
      <c r="VTQ989" s="16" t="s">
        <v>1487</v>
      </c>
      <c r="VTR989" s="16" t="s">
        <v>1487</v>
      </c>
      <c r="VTS989" s="16" t="s">
        <v>1487</v>
      </c>
      <c r="VTT989" s="16" t="s">
        <v>1487</v>
      </c>
      <c r="VTU989" s="16" t="s">
        <v>1487</v>
      </c>
      <c r="VTV989" s="16" t="s">
        <v>1487</v>
      </c>
      <c r="VTW989" s="16" t="s">
        <v>1487</v>
      </c>
      <c r="VTX989" s="16" t="s">
        <v>1487</v>
      </c>
      <c r="VTY989" s="16" t="s">
        <v>1487</v>
      </c>
      <c r="VTZ989" s="16" t="s">
        <v>1487</v>
      </c>
      <c r="VUA989" s="16" t="s">
        <v>1487</v>
      </c>
      <c r="VUB989" s="16" t="s">
        <v>1487</v>
      </c>
      <c r="VUC989" s="16" t="s">
        <v>1487</v>
      </c>
      <c r="VUD989" s="16" t="s">
        <v>1487</v>
      </c>
      <c r="VUE989" s="16" t="s">
        <v>1487</v>
      </c>
      <c r="VUF989" s="16" t="s">
        <v>1487</v>
      </c>
      <c r="VUG989" s="16" t="s">
        <v>1487</v>
      </c>
      <c r="VUH989" s="16" t="s">
        <v>1487</v>
      </c>
      <c r="VUI989" s="16" t="s">
        <v>1487</v>
      </c>
      <c r="VUJ989" s="16" t="s">
        <v>1487</v>
      </c>
      <c r="VUK989" s="16" t="s">
        <v>1487</v>
      </c>
      <c r="VUL989" s="16" t="s">
        <v>1487</v>
      </c>
      <c r="VUM989" s="16" t="s">
        <v>1487</v>
      </c>
      <c r="VUN989" s="16" t="s">
        <v>1487</v>
      </c>
      <c r="VUO989" s="16" t="s">
        <v>1487</v>
      </c>
      <c r="VUP989" s="16" t="s">
        <v>1487</v>
      </c>
      <c r="VUQ989" s="16" t="s">
        <v>1487</v>
      </c>
      <c r="VUR989" s="16" t="s">
        <v>1487</v>
      </c>
      <c r="VUS989" s="16" t="s">
        <v>1487</v>
      </c>
      <c r="VUT989" s="16" t="s">
        <v>1487</v>
      </c>
      <c r="VUU989" s="16" t="s">
        <v>1487</v>
      </c>
      <c r="VUV989" s="16" t="s">
        <v>1487</v>
      </c>
      <c r="VUW989" s="16" t="s">
        <v>1487</v>
      </c>
      <c r="VUX989" s="16" t="s">
        <v>1487</v>
      </c>
      <c r="VUY989" s="16" t="s">
        <v>1487</v>
      </c>
      <c r="VUZ989" s="16" t="s">
        <v>1487</v>
      </c>
      <c r="VVA989" s="16" t="s">
        <v>1487</v>
      </c>
      <c r="VVB989" s="16" t="s">
        <v>1487</v>
      </c>
      <c r="VVC989" s="16" t="s">
        <v>1487</v>
      </c>
      <c r="VVD989" s="16" t="s">
        <v>1487</v>
      </c>
      <c r="VVE989" s="16" t="s">
        <v>1487</v>
      </c>
      <c r="VVF989" s="16" t="s">
        <v>1487</v>
      </c>
      <c r="VVG989" s="16" t="s">
        <v>1487</v>
      </c>
      <c r="VVH989" s="16" t="s">
        <v>1487</v>
      </c>
      <c r="VVI989" s="16" t="s">
        <v>1487</v>
      </c>
      <c r="VVJ989" s="16" t="s">
        <v>1487</v>
      </c>
      <c r="VVK989" s="16" t="s">
        <v>1487</v>
      </c>
      <c r="VVL989" s="16" t="s">
        <v>1487</v>
      </c>
      <c r="VVM989" s="16" t="s">
        <v>1487</v>
      </c>
      <c r="VVN989" s="16" t="s">
        <v>1487</v>
      </c>
      <c r="VVO989" s="16" t="s">
        <v>1487</v>
      </c>
      <c r="VVP989" s="16" t="s">
        <v>1487</v>
      </c>
      <c r="VVQ989" s="16" t="s">
        <v>1487</v>
      </c>
      <c r="VVR989" s="16" t="s">
        <v>1487</v>
      </c>
      <c r="VVS989" s="16" t="s">
        <v>1487</v>
      </c>
      <c r="VVT989" s="16" t="s">
        <v>1487</v>
      </c>
      <c r="VVU989" s="16" t="s">
        <v>1487</v>
      </c>
      <c r="VVV989" s="16" t="s">
        <v>1487</v>
      </c>
      <c r="VVW989" s="16" t="s">
        <v>1487</v>
      </c>
      <c r="VVX989" s="16" t="s">
        <v>1487</v>
      </c>
      <c r="VVY989" s="16" t="s">
        <v>1487</v>
      </c>
      <c r="VVZ989" s="16" t="s">
        <v>1487</v>
      </c>
      <c r="VWA989" s="16" t="s">
        <v>1487</v>
      </c>
      <c r="VWB989" s="16" t="s">
        <v>1487</v>
      </c>
      <c r="VWC989" s="16" t="s">
        <v>1487</v>
      </c>
      <c r="VWD989" s="16" t="s">
        <v>1487</v>
      </c>
      <c r="VWE989" s="16" t="s">
        <v>1487</v>
      </c>
      <c r="VWF989" s="16" t="s">
        <v>1487</v>
      </c>
      <c r="VWG989" s="16" t="s">
        <v>1487</v>
      </c>
      <c r="VWH989" s="16" t="s">
        <v>1487</v>
      </c>
      <c r="VWI989" s="16" t="s">
        <v>1487</v>
      </c>
      <c r="VWJ989" s="16" t="s">
        <v>1487</v>
      </c>
      <c r="VWK989" s="16" t="s">
        <v>1487</v>
      </c>
      <c r="VWL989" s="16" t="s">
        <v>1487</v>
      </c>
      <c r="VWM989" s="16" t="s">
        <v>1487</v>
      </c>
      <c r="VWN989" s="16" t="s">
        <v>1487</v>
      </c>
      <c r="VWO989" s="16" t="s">
        <v>1487</v>
      </c>
      <c r="VWP989" s="16" t="s">
        <v>1487</v>
      </c>
      <c r="VWQ989" s="16" t="s">
        <v>1487</v>
      </c>
      <c r="VWR989" s="16" t="s">
        <v>1487</v>
      </c>
      <c r="VWS989" s="16" t="s">
        <v>1487</v>
      </c>
      <c r="VWT989" s="16" t="s">
        <v>1487</v>
      </c>
      <c r="VWU989" s="16" t="s">
        <v>1487</v>
      </c>
      <c r="VWV989" s="16" t="s">
        <v>1487</v>
      </c>
      <c r="VWW989" s="16" t="s">
        <v>1487</v>
      </c>
      <c r="VWX989" s="16" t="s">
        <v>1487</v>
      </c>
      <c r="VWY989" s="16" t="s">
        <v>1487</v>
      </c>
      <c r="VWZ989" s="16" t="s">
        <v>1487</v>
      </c>
      <c r="VXA989" s="16" t="s">
        <v>1487</v>
      </c>
      <c r="VXB989" s="16" t="s">
        <v>1487</v>
      </c>
      <c r="VXC989" s="16" t="s">
        <v>1487</v>
      </c>
      <c r="VXD989" s="16" t="s">
        <v>1487</v>
      </c>
      <c r="VXE989" s="16" t="s">
        <v>1487</v>
      </c>
      <c r="VXF989" s="16" t="s">
        <v>1487</v>
      </c>
      <c r="VXG989" s="16" t="s">
        <v>1487</v>
      </c>
      <c r="VXH989" s="16" t="s">
        <v>1487</v>
      </c>
      <c r="VXI989" s="16" t="s">
        <v>1487</v>
      </c>
      <c r="VXJ989" s="16" t="s">
        <v>1487</v>
      </c>
      <c r="VXK989" s="16" t="s">
        <v>1487</v>
      </c>
      <c r="VXL989" s="16" t="s">
        <v>1487</v>
      </c>
      <c r="VXM989" s="16" t="s">
        <v>1487</v>
      </c>
      <c r="VXN989" s="16" t="s">
        <v>1487</v>
      </c>
      <c r="VXO989" s="16" t="s">
        <v>1487</v>
      </c>
      <c r="VXP989" s="16" t="s">
        <v>1487</v>
      </c>
      <c r="VXQ989" s="16" t="s">
        <v>1487</v>
      </c>
      <c r="VXR989" s="16" t="s">
        <v>1487</v>
      </c>
      <c r="VXS989" s="16" t="s">
        <v>1487</v>
      </c>
      <c r="VXT989" s="16" t="s">
        <v>1487</v>
      </c>
      <c r="VXU989" s="16" t="s">
        <v>1487</v>
      </c>
      <c r="VXV989" s="16" t="s">
        <v>1487</v>
      </c>
      <c r="VXW989" s="16" t="s">
        <v>1487</v>
      </c>
      <c r="VXX989" s="16" t="s">
        <v>1487</v>
      </c>
      <c r="VXY989" s="16" t="s">
        <v>1487</v>
      </c>
      <c r="VXZ989" s="16" t="s">
        <v>1487</v>
      </c>
      <c r="VYA989" s="16" t="s">
        <v>1487</v>
      </c>
      <c r="VYB989" s="16" t="s">
        <v>1487</v>
      </c>
      <c r="VYC989" s="16" t="s">
        <v>1487</v>
      </c>
      <c r="VYD989" s="16" t="s">
        <v>1487</v>
      </c>
      <c r="VYE989" s="16" t="s">
        <v>1487</v>
      </c>
      <c r="VYF989" s="16" t="s">
        <v>1487</v>
      </c>
      <c r="VYG989" s="16" t="s">
        <v>1487</v>
      </c>
      <c r="VYH989" s="16" t="s">
        <v>1487</v>
      </c>
      <c r="VYI989" s="16" t="s">
        <v>1487</v>
      </c>
      <c r="VYJ989" s="16" t="s">
        <v>1487</v>
      </c>
      <c r="VYK989" s="16" t="s">
        <v>1487</v>
      </c>
      <c r="VYL989" s="16" t="s">
        <v>1487</v>
      </c>
      <c r="VYM989" s="16" t="s">
        <v>1487</v>
      </c>
      <c r="VYN989" s="16" t="s">
        <v>1487</v>
      </c>
      <c r="VYO989" s="16" t="s">
        <v>1487</v>
      </c>
      <c r="VYP989" s="16" t="s">
        <v>1487</v>
      </c>
      <c r="VYQ989" s="16" t="s">
        <v>1487</v>
      </c>
      <c r="VYR989" s="16" t="s">
        <v>1487</v>
      </c>
      <c r="VYS989" s="16" t="s">
        <v>1487</v>
      </c>
      <c r="VYT989" s="16" t="s">
        <v>1487</v>
      </c>
      <c r="VYU989" s="16" t="s">
        <v>1487</v>
      </c>
      <c r="VYV989" s="16" t="s">
        <v>1487</v>
      </c>
      <c r="VYW989" s="16" t="s">
        <v>1487</v>
      </c>
      <c r="VYX989" s="16" t="s">
        <v>1487</v>
      </c>
      <c r="VYY989" s="16" t="s">
        <v>1487</v>
      </c>
      <c r="VYZ989" s="16" t="s">
        <v>1487</v>
      </c>
      <c r="VZA989" s="16" t="s">
        <v>1487</v>
      </c>
      <c r="VZB989" s="16" t="s">
        <v>1487</v>
      </c>
      <c r="VZC989" s="16" t="s">
        <v>1487</v>
      </c>
      <c r="VZD989" s="16" t="s">
        <v>1487</v>
      </c>
      <c r="VZE989" s="16" t="s">
        <v>1487</v>
      </c>
      <c r="VZF989" s="16" t="s">
        <v>1487</v>
      </c>
      <c r="VZG989" s="16" t="s">
        <v>1487</v>
      </c>
      <c r="VZH989" s="16" t="s">
        <v>1487</v>
      </c>
      <c r="VZI989" s="16" t="s">
        <v>1487</v>
      </c>
      <c r="VZJ989" s="16" t="s">
        <v>1487</v>
      </c>
      <c r="VZK989" s="16" t="s">
        <v>1487</v>
      </c>
      <c r="VZL989" s="16" t="s">
        <v>1487</v>
      </c>
      <c r="VZM989" s="16" t="s">
        <v>1487</v>
      </c>
      <c r="VZN989" s="16" t="s">
        <v>1487</v>
      </c>
      <c r="VZO989" s="16" t="s">
        <v>1487</v>
      </c>
      <c r="VZP989" s="16" t="s">
        <v>1487</v>
      </c>
      <c r="VZQ989" s="16" t="s">
        <v>1487</v>
      </c>
      <c r="VZR989" s="16" t="s">
        <v>1487</v>
      </c>
      <c r="VZS989" s="16" t="s">
        <v>1487</v>
      </c>
      <c r="VZT989" s="16" t="s">
        <v>1487</v>
      </c>
      <c r="VZU989" s="16" t="s">
        <v>1487</v>
      </c>
      <c r="VZV989" s="16" t="s">
        <v>1487</v>
      </c>
      <c r="VZW989" s="16" t="s">
        <v>1487</v>
      </c>
      <c r="VZX989" s="16" t="s">
        <v>1487</v>
      </c>
      <c r="VZY989" s="16" t="s">
        <v>1487</v>
      </c>
      <c r="VZZ989" s="16" t="s">
        <v>1487</v>
      </c>
      <c r="WAA989" s="16" t="s">
        <v>1487</v>
      </c>
      <c r="WAB989" s="16" t="s">
        <v>1487</v>
      </c>
      <c r="WAC989" s="16" t="s">
        <v>1487</v>
      </c>
      <c r="WAD989" s="16" t="s">
        <v>1487</v>
      </c>
      <c r="WAE989" s="16" t="s">
        <v>1487</v>
      </c>
      <c r="WAF989" s="16" t="s">
        <v>1487</v>
      </c>
      <c r="WAG989" s="16" t="s">
        <v>1487</v>
      </c>
      <c r="WAH989" s="16" t="s">
        <v>1487</v>
      </c>
      <c r="WAI989" s="16" t="s">
        <v>1487</v>
      </c>
      <c r="WAJ989" s="16" t="s">
        <v>1487</v>
      </c>
      <c r="WAK989" s="16" t="s">
        <v>1487</v>
      </c>
      <c r="WAL989" s="16" t="s">
        <v>1487</v>
      </c>
      <c r="WAM989" s="16" t="s">
        <v>1487</v>
      </c>
      <c r="WAN989" s="16" t="s">
        <v>1487</v>
      </c>
      <c r="WAO989" s="16" t="s">
        <v>1487</v>
      </c>
      <c r="WAP989" s="16" t="s">
        <v>1487</v>
      </c>
      <c r="WAQ989" s="16" t="s">
        <v>1487</v>
      </c>
      <c r="WAR989" s="16" t="s">
        <v>1487</v>
      </c>
      <c r="WAS989" s="16" t="s">
        <v>1487</v>
      </c>
      <c r="WAT989" s="16" t="s">
        <v>1487</v>
      </c>
      <c r="WAU989" s="16" t="s">
        <v>1487</v>
      </c>
      <c r="WAV989" s="16" t="s">
        <v>1487</v>
      </c>
      <c r="WAW989" s="16" t="s">
        <v>1487</v>
      </c>
      <c r="WAX989" s="16" t="s">
        <v>1487</v>
      </c>
      <c r="WAY989" s="16" t="s">
        <v>1487</v>
      </c>
      <c r="WAZ989" s="16" t="s">
        <v>1487</v>
      </c>
      <c r="WBA989" s="16" t="s">
        <v>1487</v>
      </c>
      <c r="WBB989" s="16" t="s">
        <v>1487</v>
      </c>
      <c r="WBC989" s="16" t="s">
        <v>1487</v>
      </c>
      <c r="WBD989" s="16" t="s">
        <v>1487</v>
      </c>
      <c r="WBE989" s="16" t="s">
        <v>1487</v>
      </c>
      <c r="WBF989" s="16" t="s">
        <v>1487</v>
      </c>
      <c r="WBG989" s="16" t="s">
        <v>1487</v>
      </c>
      <c r="WBH989" s="16" t="s">
        <v>1487</v>
      </c>
      <c r="WBI989" s="16" t="s">
        <v>1487</v>
      </c>
      <c r="WBJ989" s="16" t="s">
        <v>1487</v>
      </c>
      <c r="WBK989" s="16" t="s">
        <v>1487</v>
      </c>
      <c r="WBL989" s="16" t="s">
        <v>1487</v>
      </c>
      <c r="WBM989" s="16" t="s">
        <v>1487</v>
      </c>
      <c r="WBN989" s="16" t="s">
        <v>1487</v>
      </c>
      <c r="WBO989" s="16" t="s">
        <v>1487</v>
      </c>
      <c r="WBP989" s="16" t="s">
        <v>1487</v>
      </c>
      <c r="WBQ989" s="16" t="s">
        <v>1487</v>
      </c>
      <c r="WBR989" s="16" t="s">
        <v>1487</v>
      </c>
      <c r="WBS989" s="16" t="s">
        <v>1487</v>
      </c>
      <c r="WBT989" s="16" t="s">
        <v>1487</v>
      </c>
      <c r="WBU989" s="16" t="s">
        <v>1487</v>
      </c>
      <c r="WBV989" s="16" t="s">
        <v>1487</v>
      </c>
      <c r="WBW989" s="16" t="s">
        <v>1487</v>
      </c>
      <c r="WBX989" s="16" t="s">
        <v>1487</v>
      </c>
      <c r="WBY989" s="16" t="s">
        <v>1487</v>
      </c>
      <c r="WBZ989" s="16" t="s">
        <v>1487</v>
      </c>
      <c r="WCA989" s="16" t="s">
        <v>1487</v>
      </c>
      <c r="WCB989" s="16" t="s">
        <v>1487</v>
      </c>
      <c r="WCC989" s="16" t="s">
        <v>1487</v>
      </c>
      <c r="WCD989" s="16" t="s">
        <v>1487</v>
      </c>
      <c r="WCE989" s="16" t="s">
        <v>1487</v>
      </c>
      <c r="WCF989" s="16" t="s">
        <v>1487</v>
      </c>
      <c r="WCG989" s="16" t="s">
        <v>1487</v>
      </c>
      <c r="WCH989" s="16" t="s">
        <v>1487</v>
      </c>
      <c r="WCI989" s="16" t="s">
        <v>1487</v>
      </c>
      <c r="WCJ989" s="16" t="s">
        <v>1487</v>
      </c>
      <c r="WCK989" s="16" t="s">
        <v>1487</v>
      </c>
      <c r="WCL989" s="16" t="s">
        <v>1487</v>
      </c>
      <c r="WCM989" s="16" t="s">
        <v>1487</v>
      </c>
      <c r="WCN989" s="16" t="s">
        <v>1487</v>
      </c>
      <c r="WCO989" s="16" t="s">
        <v>1487</v>
      </c>
      <c r="WCP989" s="16" t="s">
        <v>1487</v>
      </c>
      <c r="WCQ989" s="16" t="s">
        <v>1487</v>
      </c>
      <c r="WCR989" s="16" t="s">
        <v>1487</v>
      </c>
      <c r="WCS989" s="16" t="s">
        <v>1487</v>
      </c>
      <c r="WCT989" s="16" t="s">
        <v>1487</v>
      </c>
      <c r="WCU989" s="16" t="s">
        <v>1487</v>
      </c>
      <c r="WCV989" s="16" t="s">
        <v>1487</v>
      </c>
      <c r="WCW989" s="16" t="s">
        <v>1487</v>
      </c>
      <c r="WCX989" s="16" t="s">
        <v>1487</v>
      </c>
      <c r="WCY989" s="16" t="s">
        <v>1487</v>
      </c>
      <c r="WCZ989" s="16" t="s">
        <v>1487</v>
      </c>
      <c r="WDA989" s="16" t="s">
        <v>1487</v>
      </c>
      <c r="WDB989" s="16" t="s">
        <v>1487</v>
      </c>
      <c r="WDC989" s="16" t="s">
        <v>1487</v>
      </c>
      <c r="WDD989" s="16" t="s">
        <v>1487</v>
      </c>
      <c r="WDE989" s="16" t="s">
        <v>1487</v>
      </c>
      <c r="WDF989" s="16" t="s">
        <v>1487</v>
      </c>
      <c r="WDG989" s="16" t="s">
        <v>1487</v>
      </c>
      <c r="WDH989" s="16" t="s">
        <v>1487</v>
      </c>
      <c r="WDI989" s="16" t="s">
        <v>1487</v>
      </c>
      <c r="WDJ989" s="16" t="s">
        <v>1487</v>
      </c>
      <c r="WDK989" s="16" t="s">
        <v>1487</v>
      </c>
      <c r="WDL989" s="16" t="s">
        <v>1487</v>
      </c>
      <c r="WDM989" s="16" t="s">
        <v>1487</v>
      </c>
      <c r="WDN989" s="16" t="s">
        <v>1487</v>
      </c>
      <c r="WDO989" s="16" t="s">
        <v>1487</v>
      </c>
      <c r="WDP989" s="16" t="s">
        <v>1487</v>
      </c>
      <c r="WDQ989" s="16" t="s">
        <v>1487</v>
      </c>
      <c r="WDR989" s="16" t="s">
        <v>1487</v>
      </c>
      <c r="WDS989" s="16" t="s">
        <v>1487</v>
      </c>
      <c r="WDT989" s="16" t="s">
        <v>1487</v>
      </c>
      <c r="WDU989" s="16" t="s">
        <v>1487</v>
      </c>
      <c r="WDV989" s="16" t="s">
        <v>1487</v>
      </c>
      <c r="WDW989" s="16" t="s">
        <v>1487</v>
      </c>
      <c r="WDX989" s="16" t="s">
        <v>1487</v>
      </c>
      <c r="WDY989" s="16" t="s">
        <v>1487</v>
      </c>
      <c r="WDZ989" s="16" t="s">
        <v>1487</v>
      </c>
      <c r="WEA989" s="16" t="s">
        <v>1487</v>
      </c>
      <c r="WEB989" s="16" t="s">
        <v>1487</v>
      </c>
      <c r="WEC989" s="16" t="s">
        <v>1487</v>
      </c>
      <c r="WED989" s="16" t="s">
        <v>1487</v>
      </c>
      <c r="WEE989" s="16" t="s">
        <v>1487</v>
      </c>
      <c r="WEF989" s="16" t="s">
        <v>1487</v>
      </c>
      <c r="WEG989" s="16" t="s">
        <v>1487</v>
      </c>
      <c r="WEH989" s="16" t="s">
        <v>1487</v>
      </c>
      <c r="WEI989" s="16" t="s">
        <v>1487</v>
      </c>
      <c r="WEJ989" s="16" t="s">
        <v>1487</v>
      </c>
      <c r="WEK989" s="16" t="s">
        <v>1487</v>
      </c>
      <c r="WEL989" s="16" t="s">
        <v>1487</v>
      </c>
      <c r="WEM989" s="16" t="s">
        <v>1487</v>
      </c>
      <c r="WEN989" s="16" t="s">
        <v>1487</v>
      </c>
      <c r="WEO989" s="16" t="s">
        <v>1487</v>
      </c>
      <c r="WEP989" s="16" t="s">
        <v>1487</v>
      </c>
      <c r="WEQ989" s="16" t="s">
        <v>1487</v>
      </c>
      <c r="WER989" s="16" t="s">
        <v>1487</v>
      </c>
      <c r="WES989" s="16" t="s">
        <v>1487</v>
      </c>
      <c r="WET989" s="16" t="s">
        <v>1487</v>
      </c>
      <c r="WEU989" s="16" t="s">
        <v>1487</v>
      </c>
      <c r="WEV989" s="16" t="s">
        <v>1487</v>
      </c>
      <c r="WEW989" s="16" t="s">
        <v>1487</v>
      </c>
      <c r="WEX989" s="16" t="s">
        <v>1487</v>
      </c>
      <c r="WEY989" s="16" t="s">
        <v>1487</v>
      </c>
      <c r="WEZ989" s="16" t="s">
        <v>1487</v>
      </c>
      <c r="WFA989" s="16" t="s">
        <v>1487</v>
      </c>
      <c r="WFB989" s="16" t="s">
        <v>1487</v>
      </c>
      <c r="WFC989" s="16" t="s">
        <v>1487</v>
      </c>
      <c r="WFD989" s="16" t="s">
        <v>1487</v>
      </c>
      <c r="WFE989" s="16" t="s">
        <v>1487</v>
      </c>
      <c r="WFF989" s="16" t="s">
        <v>1487</v>
      </c>
      <c r="WFG989" s="16" t="s">
        <v>1487</v>
      </c>
      <c r="WFH989" s="16" t="s">
        <v>1487</v>
      </c>
      <c r="WFI989" s="16" t="s">
        <v>1487</v>
      </c>
      <c r="WFJ989" s="16" t="s">
        <v>1487</v>
      </c>
      <c r="WFK989" s="16" t="s">
        <v>1487</v>
      </c>
      <c r="WFL989" s="16" t="s">
        <v>1487</v>
      </c>
      <c r="WFM989" s="16" t="s">
        <v>1487</v>
      </c>
      <c r="WFN989" s="16" t="s">
        <v>1487</v>
      </c>
      <c r="WFO989" s="16" t="s">
        <v>1487</v>
      </c>
      <c r="WFP989" s="16" t="s">
        <v>1487</v>
      </c>
      <c r="WFQ989" s="16" t="s">
        <v>1487</v>
      </c>
      <c r="WFR989" s="16" t="s">
        <v>1487</v>
      </c>
      <c r="WFS989" s="16" t="s">
        <v>1487</v>
      </c>
      <c r="WFT989" s="16" t="s">
        <v>1487</v>
      </c>
      <c r="WFU989" s="16" t="s">
        <v>1487</v>
      </c>
      <c r="WFV989" s="16" t="s">
        <v>1487</v>
      </c>
      <c r="WFW989" s="16" t="s">
        <v>1487</v>
      </c>
      <c r="WFX989" s="16" t="s">
        <v>1487</v>
      </c>
      <c r="WFY989" s="16" t="s">
        <v>1487</v>
      </c>
      <c r="WFZ989" s="16" t="s">
        <v>1487</v>
      </c>
      <c r="WGA989" s="16" t="s">
        <v>1487</v>
      </c>
      <c r="WGB989" s="16" t="s">
        <v>1487</v>
      </c>
      <c r="WGC989" s="16" t="s">
        <v>1487</v>
      </c>
      <c r="WGD989" s="16" t="s">
        <v>1487</v>
      </c>
      <c r="WGE989" s="16" t="s">
        <v>1487</v>
      </c>
      <c r="WGF989" s="16" t="s">
        <v>1487</v>
      </c>
      <c r="WGG989" s="16" t="s">
        <v>1487</v>
      </c>
      <c r="WGH989" s="16" t="s">
        <v>1487</v>
      </c>
      <c r="WGI989" s="16" t="s">
        <v>1487</v>
      </c>
      <c r="WGJ989" s="16" t="s">
        <v>1487</v>
      </c>
      <c r="WGK989" s="16" t="s">
        <v>1487</v>
      </c>
      <c r="WGL989" s="16" t="s">
        <v>1487</v>
      </c>
      <c r="WGM989" s="16" t="s">
        <v>1487</v>
      </c>
      <c r="WGN989" s="16" t="s">
        <v>1487</v>
      </c>
      <c r="WGO989" s="16" t="s">
        <v>1487</v>
      </c>
      <c r="WGP989" s="16" t="s">
        <v>1487</v>
      </c>
      <c r="WGQ989" s="16" t="s">
        <v>1487</v>
      </c>
      <c r="WGR989" s="16" t="s">
        <v>1487</v>
      </c>
      <c r="WGS989" s="16" t="s">
        <v>1487</v>
      </c>
      <c r="WGT989" s="16" t="s">
        <v>1487</v>
      </c>
      <c r="WGU989" s="16" t="s">
        <v>1487</v>
      </c>
      <c r="WGV989" s="16" t="s">
        <v>1487</v>
      </c>
      <c r="WGW989" s="16" t="s">
        <v>1487</v>
      </c>
      <c r="WGX989" s="16" t="s">
        <v>1487</v>
      </c>
      <c r="WGY989" s="16" t="s">
        <v>1487</v>
      </c>
      <c r="WGZ989" s="16" t="s">
        <v>1487</v>
      </c>
      <c r="WHA989" s="16" t="s">
        <v>1487</v>
      </c>
      <c r="WHB989" s="16" t="s">
        <v>1487</v>
      </c>
      <c r="WHC989" s="16" t="s">
        <v>1487</v>
      </c>
      <c r="WHD989" s="16" t="s">
        <v>1487</v>
      </c>
      <c r="WHE989" s="16" t="s">
        <v>1487</v>
      </c>
      <c r="WHF989" s="16" t="s">
        <v>1487</v>
      </c>
      <c r="WHG989" s="16" t="s">
        <v>1487</v>
      </c>
      <c r="WHH989" s="16" t="s">
        <v>1487</v>
      </c>
      <c r="WHI989" s="16" t="s">
        <v>1487</v>
      </c>
      <c r="WHJ989" s="16" t="s">
        <v>1487</v>
      </c>
      <c r="WHK989" s="16" t="s">
        <v>1487</v>
      </c>
      <c r="WHL989" s="16" t="s">
        <v>1487</v>
      </c>
      <c r="WHM989" s="16" t="s">
        <v>1487</v>
      </c>
      <c r="WHN989" s="16" t="s">
        <v>1487</v>
      </c>
      <c r="WHO989" s="16" t="s">
        <v>1487</v>
      </c>
      <c r="WHP989" s="16" t="s">
        <v>1487</v>
      </c>
      <c r="WHQ989" s="16" t="s">
        <v>1487</v>
      </c>
      <c r="WHR989" s="16" t="s">
        <v>1487</v>
      </c>
      <c r="WHS989" s="16" t="s">
        <v>1487</v>
      </c>
      <c r="WHT989" s="16" t="s">
        <v>1487</v>
      </c>
      <c r="WHU989" s="16" t="s">
        <v>1487</v>
      </c>
      <c r="WHV989" s="16" t="s">
        <v>1487</v>
      </c>
      <c r="WHW989" s="16" t="s">
        <v>1487</v>
      </c>
      <c r="WHX989" s="16" t="s">
        <v>1487</v>
      </c>
      <c r="WHY989" s="16" t="s">
        <v>1487</v>
      </c>
      <c r="WHZ989" s="16" t="s">
        <v>1487</v>
      </c>
      <c r="WIA989" s="16" t="s">
        <v>1487</v>
      </c>
      <c r="WIB989" s="16" t="s">
        <v>1487</v>
      </c>
      <c r="WIC989" s="16" t="s">
        <v>1487</v>
      </c>
      <c r="WID989" s="16" t="s">
        <v>1487</v>
      </c>
      <c r="WIE989" s="16" t="s">
        <v>1487</v>
      </c>
      <c r="WIF989" s="16" t="s">
        <v>1487</v>
      </c>
      <c r="WIG989" s="16" t="s">
        <v>1487</v>
      </c>
      <c r="WIH989" s="16" t="s">
        <v>1487</v>
      </c>
      <c r="WII989" s="16" t="s">
        <v>1487</v>
      </c>
      <c r="WIJ989" s="16" t="s">
        <v>1487</v>
      </c>
      <c r="WIK989" s="16" t="s">
        <v>1487</v>
      </c>
      <c r="WIL989" s="16" t="s">
        <v>1487</v>
      </c>
      <c r="WIM989" s="16" t="s">
        <v>1487</v>
      </c>
      <c r="WIN989" s="16" t="s">
        <v>1487</v>
      </c>
      <c r="WIO989" s="16" t="s">
        <v>1487</v>
      </c>
      <c r="WIP989" s="16" t="s">
        <v>1487</v>
      </c>
      <c r="WIQ989" s="16" t="s">
        <v>1487</v>
      </c>
      <c r="WIR989" s="16" t="s">
        <v>1487</v>
      </c>
      <c r="WIS989" s="16" t="s">
        <v>1487</v>
      </c>
      <c r="WIT989" s="16" t="s">
        <v>1487</v>
      </c>
      <c r="WIU989" s="16" t="s">
        <v>1487</v>
      </c>
      <c r="WIV989" s="16" t="s">
        <v>1487</v>
      </c>
      <c r="WIW989" s="16" t="s">
        <v>1487</v>
      </c>
      <c r="WIX989" s="16" t="s">
        <v>1487</v>
      </c>
      <c r="WIY989" s="16" t="s">
        <v>1487</v>
      </c>
      <c r="WIZ989" s="16" t="s">
        <v>1487</v>
      </c>
      <c r="WJA989" s="16" t="s">
        <v>1487</v>
      </c>
      <c r="WJB989" s="16" t="s">
        <v>1487</v>
      </c>
      <c r="WJC989" s="16" t="s">
        <v>1487</v>
      </c>
      <c r="WJD989" s="16" t="s">
        <v>1487</v>
      </c>
      <c r="WJE989" s="16" t="s">
        <v>1487</v>
      </c>
      <c r="WJF989" s="16" t="s">
        <v>1487</v>
      </c>
      <c r="WJG989" s="16" t="s">
        <v>1487</v>
      </c>
      <c r="WJH989" s="16" t="s">
        <v>1487</v>
      </c>
      <c r="WJI989" s="16" t="s">
        <v>1487</v>
      </c>
      <c r="WJJ989" s="16" t="s">
        <v>1487</v>
      </c>
      <c r="WJK989" s="16" t="s">
        <v>1487</v>
      </c>
      <c r="WJL989" s="16" t="s">
        <v>1487</v>
      </c>
      <c r="WJM989" s="16" t="s">
        <v>1487</v>
      </c>
      <c r="WJN989" s="16" t="s">
        <v>1487</v>
      </c>
      <c r="WJO989" s="16" t="s">
        <v>1487</v>
      </c>
      <c r="WJP989" s="16" t="s">
        <v>1487</v>
      </c>
      <c r="WJQ989" s="16" t="s">
        <v>1487</v>
      </c>
      <c r="WJR989" s="16" t="s">
        <v>1487</v>
      </c>
      <c r="WJS989" s="16" t="s">
        <v>1487</v>
      </c>
      <c r="WJT989" s="16" t="s">
        <v>1487</v>
      </c>
      <c r="WJU989" s="16" t="s">
        <v>1487</v>
      </c>
      <c r="WJV989" s="16" t="s">
        <v>1487</v>
      </c>
      <c r="WJW989" s="16" t="s">
        <v>1487</v>
      </c>
      <c r="WJX989" s="16" t="s">
        <v>1487</v>
      </c>
      <c r="WJY989" s="16" t="s">
        <v>1487</v>
      </c>
      <c r="WJZ989" s="16" t="s">
        <v>1487</v>
      </c>
      <c r="WKA989" s="16" t="s">
        <v>1487</v>
      </c>
      <c r="WKB989" s="16" t="s">
        <v>1487</v>
      </c>
      <c r="WKC989" s="16" t="s">
        <v>1487</v>
      </c>
      <c r="WKD989" s="16" t="s">
        <v>1487</v>
      </c>
      <c r="WKE989" s="16" t="s">
        <v>1487</v>
      </c>
      <c r="WKF989" s="16" t="s">
        <v>1487</v>
      </c>
      <c r="WKG989" s="16" t="s">
        <v>1487</v>
      </c>
      <c r="WKH989" s="16" t="s">
        <v>1487</v>
      </c>
      <c r="WKI989" s="16" t="s">
        <v>1487</v>
      </c>
      <c r="WKJ989" s="16" t="s">
        <v>1487</v>
      </c>
      <c r="WKK989" s="16" t="s">
        <v>1487</v>
      </c>
      <c r="WKL989" s="16" t="s">
        <v>1487</v>
      </c>
      <c r="WKM989" s="16" t="s">
        <v>1487</v>
      </c>
      <c r="WKN989" s="16" t="s">
        <v>1487</v>
      </c>
      <c r="WKO989" s="16" t="s">
        <v>1487</v>
      </c>
      <c r="WKP989" s="16" t="s">
        <v>1487</v>
      </c>
      <c r="WKQ989" s="16" t="s">
        <v>1487</v>
      </c>
      <c r="WKR989" s="16" t="s">
        <v>1487</v>
      </c>
      <c r="WKS989" s="16" t="s">
        <v>1487</v>
      </c>
      <c r="WKT989" s="16" t="s">
        <v>1487</v>
      </c>
      <c r="WKU989" s="16" t="s">
        <v>1487</v>
      </c>
      <c r="WKV989" s="16" t="s">
        <v>1487</v>
      </c>
      <c r="WKW989" s="16" t="s">
        <v>1487</v>
      </c>
      <c r="WKX989" s="16" t="s">
        <v>1487</v>
      </c>
      <c r="WKY989" s="16" t="s">
        <v>1487</v>
      </c>
      <c r="WKZ989" s="16" t="s">
        <v>1487</v>
      </c>
      <c r="WLA989" s="16" t="s">
        <v>1487</v>
      </c>
      <c r="WLB989" s="16" t="s">
        <v>1487</v>
      </c>
      <c r="WLC989" s="16" t="s">
        <v>1487</v>
      </c>
      <c r="WLD989" s="16" t="s">
        <v>1487</v>
      </c>
      <c r="WLE989" s="16" t="s">
        <v>1487</v>
      </c>
      <c r="WLF989" s="16" t="s">
        <v>1487</v>
      </c>
      <c r="WLG989" s="16" t="s">
        <v>1487</v>
      </c>
      <c r="WLH989" s="16" t="s">
        <v>1487</v>
      </c>
      <c r="WLI989" s="16" t="s">
        <v>1487</v>
      </c>
      <c r="WLJ989" s="16" t="s">
        <v>1487</v>
      </c>
      <c r="WLK989" s="16" t="s">
        <v>1487</v>
      </c>
      <c r="WLL989" s="16" t="s">
        <v>1487</v>
      </c>
      <c r="WLM989" s="16" t="s">
        <v>1487</v>
      </c>
      <c r="WLN989" s="16" t="s">
        <v>1487</v>
      </c>
      <c r="WLO989" s="16" t="s">
        <v>1487</v>
      </c>
      <c r="WLP989" s="16" t="s">
        <v>1487</v>
      </c>
      <c r="WLQ989" s="16" t="s">
        <v>1487</v>
      </c>
      <c r="WLR989" s="16" t="s">
        <v>1487</v>
      </c>
      <c r="WLS989" s="16" t="s">
        <v>1487</v>
      </c>
      <c r="WLT989" s="16" t="s">
        <v>1487</v>
      </c>
      <c r="WLU989" s="16" t="s">
        <v>1487</v>
      </c>
      <c r="WLV989" s="16" t="s">
        <v>1487</v>
      </c>
      <c r="WLW989" s="16" t="s">
        <v>1487</v>
      </c>
      <c r="WLX989" s="16" t="s">
        <v>1487</v>
      </c>
      <c r="WLY989" s="16" t="s">
        <v>1487</v>
      </c>
      <c r="WLZ989" s="16" t="s">
        <v>1487</v>
      </c>
      <c r="WMA989" s="16" t="s">
        <v>1487</v>
      </c>
      <c r="WMB989" s="16" t="s">
        <v>1487</v>
      </c>
      <c r="WMC989" s="16" t="s">
        <v>1487</v>
      </c>
      <c r="WMD989" s="16" t="s">
        <v>1487</v>
      </c>
      <c r="WME989" s="16" t="s">
        <v>1487</v>
      </c>
      <c r="WMF989" s="16" t="s">
        <v>1487</v>
      </c>
      <c r="WMG989" s="16" t="s">
        <v>1487</v>
      </c>
      <c r="WMH989" s="16" t="s">
        <v>1487</v>
      </c>
      <c r="WMI989" s="16" t="s">
        <v>1487</v>
      </c>
      <c r="WMJ989" s="16" t="s">
        <v>1487</v>
      </c>
      <c r="WMK989" s="16" t="s">
        <v>1487</v>
      </c>
      <c r="WML989" s="16" t="s">
        <v>1487</v>
      </c>
      <c r="WMM989" s="16" t="s">
        <v>1487</v>
      </c>
      <c r="WMN989" s="16" t="s">
        <v>1487</v>
      </c>
      <c r="WMO989" s="16" t="s">
        <v>1487</v>
      </c>
      <c r="WMP989" s="16" t="s">
        <v>1487</v>
      </c>
      <c r="WMQ989" s="16" t="s">
        <v>1487</v>
      </c>
      <c r="WMR989" s="16" t="s">
        <v>1487</v>
      </c>
      <c r="WMS989" s="16" t="s">
        <v>1487</v>
      </c>
      <c r="WMT989" s="16" t="s">
        <v>1487</v>
      </c>
      <c r="WMU989" s="16" t="s">
        <v>1487</v>
      </c>
      <c r="WMV989" s="16" t="s">
        <v>1487</v>
      </c>
      <c r="WMW989" s="16" t="s">
        <v>1487</v>
      </c>
      <c r="WMX989" s="16" t="s">
        <v>1487</v>
      </c>
      <c r="WMY989" s="16" t="s">
        <v>1487</v>
      </c>
      <c r="WMZ989" s="16" t="s">
        <v>1487</v>
      </c>
      <c r="WNA989" s="16" t="s">
        <v>1487</v>
      </c>
      <c r="WNB989" s="16" t="s">
        <v>1487</v>
      </c>
      <c r="WNC989" s="16" t="s">
        <v>1487</v>
      </c>
      <c r="WND989" s="16" t="s">
        <v>1487</v>
      </c>
      <c r="WNE989" s="16" t="s">
        <v>1487</v>
      </c>
      <c r="WNF989" s="16" t="s">
        <v>1487</v>
      </c>
      <c r="WNG989" s="16" t="s">
        <v>1487</v>
      </c>
      <c r="WNH989" s="16" t="s">
        <v>1487</v>
      </c>
      <c r="WNI989" s="16" t="s">
        <v>1487</v>
      </c>
      <c r="WNJ989" s="16" t="s">
        <v>1487</v>
      </c>
      <c r="WNK989" s="16" t="s">
        <v>1487</v>
      </c>
      <c r="WNL989" s="16" t="s">
        <v>1487</v>
      </c>
      <c r="WNM989" s="16" t="s">
        <v>1487</v>
      </c>
      <c r="WNN989" s="16" t="s">
        <v>1487</v>
      </c>
      <c r="WNO989" s="16" t="s">
        <v>1487</v>
      </c>
      <c r="WNP989" s="16" t="s">
        <v>1487</v>
      </c>
      <c r="WNQ989" s="16" t="s">
        <v>1487</v>
      </c>
      <c r="WNR989" s="16" t="s">
        <v>1487</v>
      </c>
      <c r="WNS989" s="16" t="s">
        <v>1487</v>
      </c>
      <c r="WNT989" s="16" t="s">
        <v>1487</v>
      </c>
      <c r="WNU989" s="16" t="s">
        <v>1487</v>
      </c>
      <c r="WNV989" s="16" t="s">
        <v>1487</v>
      </c>
      <c r="WNW989" s="16" t="s">
        <v>1487</v>
      </c>
      <c r="WNX989" s="16" t="s">
        <v>1487</v>
      </c>
      <c r="WNY989" s="16" t="s">
        <v>1487</v>
      </c>
      <c r="WNZ989" s="16" t="s">
        <v>1487</v>
      </c>
      <c r="WOA989" s="16" t="s">
        <v>1487</v>
      </c>
      <c r="WOB989" s="16" t="s">
        <v>1487</v>
      </c>
      <c r="WOC989" s="16" t="s">
        <v>1487</v>
      </c>
      <c r="WOD989" s="16" t="s">
        <v>1487</v>
      </c>
      <c r="WOE989" s="16" t="s">
        <v>1487</v>
      </c>
      <c r="WOF989" s="16" t="s">
        <v>1487</v>
      </c>
      <c r="WOG989" s="16" t="s">
        <v>1487</v>
      </c>
      <c r="WOH989" s="16" t="s">
        <v>1487</v>
      </c>
      <c r="WOI989" s="16" t="s">
        <v>1487</v>
      </c>
      <c r="WOJ989" s="16" t="s">
        <v>1487</v>
      </c>
      <c r="WOK989" s="16" t="s">
        <v>1487</v>
      </c>
      <c r="WOL989" s="16" t="s">
        <v>1487</v>
      </c>
      <c r="WOM989" s="16" t="s">
        <v>1487</v>
      </c>
      <c r="WON989" s="16" t="s">
        <v>1487</v>
      </c>
      <c r="WOO989" s="16" t="s">
        <v>1487</v>
      </c>
      <c r="WOP989" s="16" t="s">
        <v>1487</v>
      </c>
      <c r="WOQ989" s="16" t="s">
        <v>1487</v>
      </c>
      <c r="WOR989" s="16" t="s">
        <v>1487</v>
      </c>
      <c r="WOS989" s="16" t="s">
        <v>1487</v>
      </c>
      <c r="WOT989" s="16" t="s">
        <v>1487</v>
      </c>
      <c r="WOU989" s="16" t="s">
        <v>1487</v>
      </c>
      <c r="WOV989" s="16" t="s">
        <v>1487</v>
      </c>
      <c r="WOW989" s="16" t="s">
        <v>1487</v>
      </c>
      <c r="WOX989" s="16" t="s">
        <v>1487</v>
      </c>
      <c r="WOY989" s="16" t="s">
        <v>1487</v>
      </c>
      <c r="WOZ989" s="16" t="s">
        <v>1487</v>
      </c>
      <c r="WPA989" s="16" t="s">
        <v>1487</v>
      </c>
      <c r="WPB989" s="16" t="s">
        <v>1487</v>
      </c>
      <c r="WPC989" s="16" t="s">
        <v>1487</v>
      </c>
      <c r="WPD989" s="16" t="s">
        <v>1487</v>
      </c>
      <c r="WPE989" s="16" t="s">
        <v>1487</v>
      </c>
      <c r="WPF989" s="16" t="s">
        <v>1487</v>
      </c>
      <c r="WPG989" s="16" t="s">
        <v>1487</v>
      </c>
      <c r="WPH989" s="16" t="s">
        <v>1487</v>
      </c>
      <c r="WPI989" s="16" t="s">
        <v>1487</v>
      </c>
      <c r="WPJ989" s="16" t="s">
        <v>1487</v>
      </c>
      <c r="WPK989" s="16" t="s">
        <v>1487</v>
      </c>
      <c r="WPL989" s="16" t="s">
        <v>1487</v>
      </c>
      <c r="WPM989" s="16" t="s">
        <v>1487</v>
      </c>
      <c r="WPN989" s="16" t="s">
        <v>1487</v>
      </c>
      <c r="WPO989" s="16" t="s">
        <v>1487</v>
      </c>
      <c r="WPP989" s="16" t="s">
        <v>1487</v>
      </c>
      <c r="WPQ989" s="16" t="s">
        <v>1487</v>
      </c>
      <c r="WPR989" s="16" t="s">
        <v>1487</v>
      </c>
      <c r="WPS989" s="16" t="s">
        <v>1487</v>
      </c>
      <c r="WPT989" s="16" t="s">
        <v>1487</v>
      </c>
      <c r="WPU989" s="16" t="s">
        <v>1487</v>
      </c>
      <c r="WPV989" s="16" t="s">
        <v>1487</v>
      </c>
      <c r="WPW989" s="16" t="s">
        <v>1487</v>
      </c>
      <c r="WPX989" s="16" t="s">
        <v>1487</v>
      </c>
      <c r="WPY989" s="16" t="s">
        <v>1487</v>
      </c>
      <c r="WPZ989" s="16" t="s">
        <v>1487</v>
      </c>
      <c r="WQA989" s="16" t="s">
        <v>1487</v>
      </c>
      <c r="WQB989" s="16" t="s">
        <v>1487</v>
      </c>
      <c r="WQC989" s="16" t="s">
        <v>1487</v>
      </c>
      <c r="WQD989" s="16" t="s">
        <v>1487</v>
      </c>
      <c r="WQE989" s="16" t="s">
        <v>1487</v>
      </c>
      <c r="WQF989" s="16" t="s">
        <v>1487</v>
      </c>
      <c r="WQG989" s="16" t="s">
        <v>1487</v>
      </c>
      <c r="WQH989" s="16" t="s">
        <v>1487</v>
      </c>
      <c r="WQI989" s="16" t="s">
        <v>1487</v>
      </c>
      <c r="WQJ989" s="16" t="s">
        <v>1487</v>
      </c>
      <c r="WQK989" s="16" t="s">
        <v>1487</v>
      </c>
      <c r="WQL989" s="16" t="s">
        <v>1487</v>
      </c>
      <c r="WQM989" s="16" t="s">
        <v>1487</v>
      </c>
      <c r="WQN989" s="16" t="s">
        <v>1487</v>
      </c>
      <c r="WQO989" s="16" t="s">
        <v>1487</v>
      </c>
      <c r="WQP989" s="16" t="s">
        <v>1487</v>
      </c>
      <c r="WQQ989" s="16" t="s">
        <v>1487</v>
      </c>
      <c r="WQR989" s="16" t="s">
        <v>1487</v>
      </c>
      <c r="WQS989" s="16" t="s">
        <v>1487</v>
      </c>
      <c r="WQT989" s="16" t="s">
        <v>1487</v>
      </c>
      <c r="WQU989" s="16" t="s">
        <v>1487</v>
      </c>
      <c r="WQV989" s="16" t="s">
        <v>1487</v>
      </c>
      <c r="WQW989" s="16" t="s">
        <v>1487</v>
      </c>
      <c r="WQX989" s="16" t="s">
        <v>1487</v>
      </c>
      <c r="WQY989" s="16" t="s">
        <v>1487</v>
      </c>
      <c r="WQZ989" s="16" t="s">
        <v>1487</v>
      </c>
      <c r="WRA989" s="16" t="s">
        <v>1487</v>
      </c>
      <c r="WRB989" s="16" t="s">
        <v>1487</v>
      </c>
      <c r="WRC989" s="16" t="s">
        <v>1487</v>
      </c>
      <c r="WRD989" s="16" t="s">
        <v>1487</v>
      </c>
      <c r="WRE989" s="16" t="s">
        <v>1487</v>
      </c>
      <c r="WRF989" s="16" t="s">
        <v>1487</v>
      </c>
      <c r="WRG989" s="16" t="s">
        <v>1487</v>
      </c>
      <c r="WRH989" s="16" t="s">
        <v>1487</v>
      </c>
      <c r="WRI989" s="16" t="s">
        <v>1487</v>
      </c>
      <c r="WRJ989" s="16" t="s">
        <v>1487</v>
      </c>
      <c r="WRK989" s="16" t="s">
        <v>1487</v>
      </c>
      <c r="WRL989" s="16" t="s">
        <v>1487</v>
      </c>
      <c r="WRM989" s="16" t="s">
        <v>1487</v>
      </c>
      <c r="WRN989" s="16" t="s">
        <v>1487</v>
      </c>
      <c r="WRO989" s="16" t="s">
        <v>1487</v>
      </c>
      <c r="WRP989" s="16" t="s">
        <v>1487</v>
      </c>
      <c r="WRQ989" s="16" t="s">
        <v>1487</v>
      </c>
      <c r="WRR989" s="16" t="s">
        <v>1487</v>
      </c>
      <c r="WRS989" s="16" t="s">
        <v>1487</v>
      </c>
      <c r="WRT989" s="16" t="s">
        <v>1487</v>
      </c>
      <c r="WRU989" s="16" t="s">
        <v>1487</v>
      </c>
      <c r="WRV989" s="16" t="s">
        <v>1487</v>
      </c>
      <c r="WRW989" s="16" t="s">
        <v>1487</v>
      </c>
      <c r="WRX989" s="16" t="s">
        <v>1487</v>
      </c>
      <c r="WRY989" s="16" t="s">
        <v>1487</v>
      </c>
      <c r="WRZ989" s="16" t="s">
        <v>1487</v>
      </c>
      <c r="WSA989" s="16" t="s">
        <v>1487</v>
      </c>
      <c r="WSB989" s="16" t="s">
        <v>1487</v>
      </c>
      <c r="WSC989" s="16" t="s">
        <v>1487</v>
      </c>
      <c r="WSD989" s="16" t="s">
        <v>1487</v>
      </c>
      <c r="WSE989" s="16" t="s">
        <v>1487</v>
      </c>
      <c r="WSF989" s="16" t="s">
        <v>1487</v>
      </c>
      <c r="WSG989" s="16" t="s">
        <v>1487</v>
      </c>
      <c r="WSH989" s="16" t="s">
        <v>1487</v>
      </c>
      <c r="WSI989" s="16" t="s">
        <v>1487</v>
      </c>
      <c r="WSJ989" s="16" t="s">
        <v>1487</v>
      </c>
      <c r="WSK989" s="16" t="s">
        <v>1487</v>
      </c>
      <c r="WSL989" s="16" t="s">
        <v>1487</v>
      </c>
      <c r="WSM989" s="16" t="s">
        <v>1487</v>
      </c>
      <c r="WSN989" s="16" t="s">
        <v>1487</v>
      </c>
      <c r="WSO989" s="16" t="s">
        <v>1487</v>
      </c>
      <c r="WSP989" s="16" t="s">
        <v>1487</v>
      </c>
      <c r="WSQ989" s="16" t="s">
        <v>1487</v>
      </c>
      <c r="WSR989" s="16" t="s">
        <v>1487</v>
      </c>
      <c r="WSS989" s="16" t="s">
        <v>1487</v>
      </c>
      <c r="WST989" s="16" t="s">
        <v>1487</v>
      </c>
      <c r="WSU989" s="16" t="s">
        <v>1487</v>
      </c>
      <c r="WSV989" s="16" t="s">
        <v>1487</v>
      </c>
      <c r="WSW989" s="16" t="s">
        <v>1487</v>
      </c>
      <c r="WSX989" s="16" t="s">
        <v>1487</v>
      </c>
      <c r="WSY989" s="16" t="s">
        <v>1487</v>
      </c>
      <c r="WSZ989" s="16" t="s">
        <v>1487</v>
      </c>
      <c r="WTA989" s="16" t="s">
        <v>1487</v>
      </c>
      <c r="WTB989" s="16" t="s">
        <v>1487</v>
      </c>
      <c r="WTC989" s="16" t="s">
        <v>1487</v>
      </c>
      <c r="WTD989" s="16" t="s">
        <v>1487</v>
      </c>
      <c r="WTE989" s="16" t="s">
        <v>1487</v>
      </c>
      <c r="WTF989" s="16" t="s">
        <v>1487</v>
      </c>
      <c r="WTG989" s="16" t="s">
        <v>1487</v>
      </c>
      <c r="WTH989" s="16" t="s">
        <v>1487</v>
      </c>
      <c r="WTI989" s="16" t="s">
        <v>1487</v>
      </c>
      <c r="WTJ989" s="16" t="s">
        <v>1487</v>
      </c>
      <c r="WTK989" s="16" t="s">
        <v>1487</v>
      </c>
      <c r="WTL989" s="16" t="s">
        <v>1487</v>
      </c>
      <c r="WTM989" s="16" t="s">
        <v>1487</v>
      </c>
      <c r="WTN989" s="16" t="s">
        <v>1487</v>
      </c>
      <c r="WTO989" s="16" t="s">
        <v>1487</v>
      </c>
      <c r="WTP989" s="16" t="s">
        <v>1487</v>
      </c>
      <c r="WTQ989" s="16" t="s">
        <v>1487</v>
      </c>
      <c r="WTR989" s="16" t="s">
        <v>1487</v>
      </c>
      <c r="WTS989" s="16" t="s">
        <v>1487</v>
      </c>
      <c r="WTT989" s="16" t="s">
        <v>1487</v>
      </c>
      <c r="WTU989" s="16" t="s">
        <v>1487</v>
      </c>
      <c r="WTV989" s="16" t="s">
        <v>1487</v>
      </c>
      <c r="WTW989" s="16" t="s">
        <v>1487</v>
      </c>
      <c r="WTX989" s="16" t="s">
        <v>1487</v>
      </c>
      <c r="WTY989" s="16" t="s">
        <v>1487</v>
      </c>
      <c r="WTZ989" s="16" t="s">
        <v>1487</v>
      </c>
      <c r="WUA989" s="16" t="s">
        <v>1487</v>
      </c>
      <c r="WUB989" s="16" t="s">
        <v>1487</v>
      </c>
      <c r="WUC989" s="16" t="s">
        <v>1487</v>
      </c>
      <c r="WUD989" s="16" t="s">
        <v>1487</v>
      </c>
      <c r="WUE989" s="16" t="s">
        <v>1487</v>
      </c>
      <c r="WUF989" s="16" t="s">
        <v>1487</v>
      </c>
      <c r="WUG989" s="16" t="s">
        <v>1487</v>
      </c>
      <c r="WUH989" s="16" t="s">
        <v>1487</v>
      </c>
      <c r="WUI989" s="16" t="s">
        <v>1487</v>
      </c>
      <c r="WUJ989" s="16" t="s">
        <v>1487</v>
      </c>
      <c r="WUK989" s="16" t="s">
        <v>1487</v>
      </c>
      <c r="WUL989" s="16" t="s">
        <v>1487</v>
      </c>
      <c r="WUM989" s="16" t="s">
        <v>1487</v>
      </c>
      <c r="WUN989" s="16" t="s">
        <v>1487</v>
      </c>
      <c r="WUO989" s="16" t="s">
        <v>1487</v>
      </c>
      <c r="WUP989" s="16" t="s">
        <v>1487</v>
      </c>
      <c r="WUQ989" s="16" t="s">
        <v>1487</v>
      </c>
      <c r="WUR989" s="16" t="s">
        <v>1487</v>
      </c>
      <c r="WUS989" s="16" t="s">
        <v>1487</v>
      </c>
      <c r="WUT989" s="16" t="s">
        <v>1487</v>
      </c>
      <c r="WUU989" s="16" t="s">
        <v>1487</v>
      </c>
      <c r="WUV989" s="16" t="s">
        <v>1487</v>
      </c>
      <c r="WUW989" s="16" t="s">
        <v>1487</v>
      </c>
      <c r="WUX989" s="16" t="s">
        <v>1487</v>
      </c>
      <c r="WUY989" s="16" t="s">
        <v>1487</v>
      </c>
      <c r="WUZ989" s="16" t="s">
        <v>1487</v>
      </c>
      <c r="WVA989" s="16" t="s">
        <v>1487</v>
      </c>
      <c r="WVB989" s="16" t="s">
        <v>1487</v>
      </c>
      <c r="WVC989" s="16" t="s">
        <v>1487</v>
      </c>
      <c r="WVD989" s="16" t="s">
        <v>1487</v>
      </c>
      <c r="WVE989" s="16" t="s">
        <v>1487</v>
      </c>
      <c r="WVF989" s="16" t="s">
        <v>1487</v>
      </c>
      <c r="WVG989" s="16" t="s">
        <v>1487</v>
      </c>
      <c r="WVH989" s="16" t="s">
        <v>1487</v>
      </c>
      <c r="WVI989" s="16" t="s">
        <v>1487</v>
      </c>
      <c r="WVJ989" s="16" t="s">
        <v>1487</v>
      </c>
      <c r="WVK989" s="16" t="s">
        <v>1487</v>
      </c>
      <c r="WVL989" s="16" t="s">
        <v>1487</v>
      </c>
      <c r="WVM989" s="16" t="s">
        <v>1487</v>
      </c>
      <c r="WVN989" s="16" t="s">
        <v>1487</v>
      </c>
      <c r="WVO989" s="16" t="s">
        <v>1487</v>
      </c>
      <c r="WVP989" s="16" t="s">
        <v>1487</v>
      </c>
      <c r="WVQ989" s="16" t="s">
        <v>1487</v>
      </c>
      <c r="WVR989" s="16" t="s">
        <v>1487</v>
      </c>
      <c r="WVS989" s="16" t="s">
        <v>1487</v>
      </c>
      <c r="WVT989" s="16" t="s">
        <v>1487</v>
      </c>
      <c r="WVU989" s="16" t="s">
        <v>1487</v>
      </c>
      <c r="WVV989" s="16" t="s">
        <v>1487</v>
      </c>
      <c r="WVW989" s="16" t="s">
        <v>1487</v>
      </c>
      <c r="WVX989" s="16" t="s">
        <v>1487</v>
      </c>
      <c r="WVY989" s="16" t="s">
        <v>1487</v>
      </c>
      <c r="WVZ989" s="16" t="s">
        <v>1487</v>
      </c>
      <c r="WWA989" s="16" t="s">
        <v>1487</v>
      </c>
      <c r="WWB989" s="16" t="s">
        <v>1487</v>
      </c>
      <c r="WWC989" s="16" t="s">
        <v>1487</v>
      </c>
      <c r="WWD989" s="16" t="s">
        <v>1487</v>
      </c>
      <c r="WWE989" s="16" t="s">
        <v>1487</v>
      </c>
      <c r="WWF989" s="16" t="s">
        <v>1487</v>
      </c>
      <c r="WWG989" s="16" t="s">
        <v>1487</v>
      </c>
      <c r="WWH989" s="16" t="s">
        <v>1487</v>
      </c>
      <c r="WWI989" s="16" t="s">
        <v>1487</v>
      </c>
      <c r="WWJ989" s="16" t="s">
        <v>1487</v>
      </c>
      <c r="WWK989" s="16" t="s">
        <v>1487</v>
      </c>
      <c r="WWL989" s="16" t="s">
        <v>1487</v>
      </c>
      <c r="WWM989" s="16" t="s">
        <v>1487</v>
      </c>
      <c r="WWN989" s="16" t="s">
        <v>1487</v>
      </c>
      <c r="WWO989" s="16" t="s">
        <v>1487</v>
      </c>
      <c r="WWP989" s="16" t="s">
        <v>1487</v>
      </c>
      <c r="WWQ989" s="16" t="s">
        <v>1487</v>
      </c>
      <c r="WWR989" s="16" t="s">
        <v>1487</v>
      </c>
      <c r="WWS989" s="16" t="s">
        <v>1487</v>
      </c>
      <c r="WWT989" s="16" t="s">
        <v>1487</v>
      </c>
      <c r="WWU989" s="16" t="s">
        <v>1487</v>
      </c>
      <c r="WWV989" s="16" t="s">
        <v>1487</v>
      </c>
      <c r="WWW989" s="16" t="s">
        <v>1487</v>
      </c>
      <c r="WWX989" s="16" t="s">
        <v>1487</v>
      </c>
      <c r="WWY989" s="16" t="s">
        <v>1487</v>
      </c>
      <c r="WWZ989" s="16" t="s">
        <v>1487</v>
      </c>
      <c r="WXA989" s="16" t="s">
        <v>1487</v>
      </c>
      <c r="WXB989" s="16" t="s">
        <v>1487</v>
      </c>
      <c r="WXC989" s="16" t="s">
        <v>1487</v>
      </c>
      <c r="WXD989" s="16" t="s">
        <v>1487</v>
      </c>
      <c r="WXE989" s="16" t="s">
        <v>1487</v>
      </c>
      <c r="WXF989" s="16" t="s">
        <v>1487</v>
      </c>
      <c r="WXG989" s="16" t="s">
        <v>1487</v>
      </c>
      <c r="WXH989" s="16" t="s">
        <v>1487</v>
      </c>
      <c r="WXI989" s="16" t="s">
        <v>1487</v>
      </c>
      <c r="WXJ989" s="16" t="s">
        <v>1487</v>
      </c>
      <c r="WXK989" s="16" t="s">
        <v>1487</v>
      </c>
      <c r="WXL989" s="16" t="s">
        <v>1487</v>
      </c>
      <c r="WXM989" s="16" t="s">
        <v>1487</v>
      </c>
      <c r="WXN989" s="16" t="s">
        <v>1487</v>
      </c>
      <c r="WXO989" s="16" t="s">
        <v>1487</v>
      </c>
      <c r="WXP989" s="16" t="s">
        <v>1487</v>
      </c>
      <c r="WXQ989" s="16" t="s">
        <v>1487</v>
      </c>
      <c r="WXR989" s="16" t="s">
        <v>1487</v>
      </c>
      <c r="WXS989" s="16" t="s">
        <v>1487</v>
      </c>
      <c r="WXT989" s="16" t="s">
        <v>1487</v>
      </c>
      <c r="WXU989" s="16" t="s">
        <v>1487</v>
      </c>
      <c r="WXV989" s="16" t="s">
        <v>1487</v>
      </c>
      <c r="WXW989" s="16" t="s">
        <v>1487</v>
      </c>
      <c r="WXX989" s="16" t="s">
        <v>1487</v>
      </c>
      <c r="WXY989" s="16" t="s">
        <v>1487</v>
      </c>
      <c r="WXZ989" s="16" t="s">
        <v>1487</v>
      </c>
      <c r="WYA989" s="16" t="s">
        <v>1487</v>
      </c>
      <c r="WYB989" s="16" t="s">
        <v>1487</v>
      </c>
      <c r="WYC989" s="16" t="s">
        <v>1487</v>
      </c>
      <c r="WYD989" s="16" t="s">
        <v>1487</v>
      </c>
      <c r="WYE989" s="16" t="s">
        <v>1487</v>
      </c>
      <c r="WYF989" s="16" t="s">
        <v>1487</v>
      </c>
      <c r="WYG989" s="16" t="s">
        <v>1487</v>
      </c>
      <c r="WYH989" s="16" t="s">
        <v>1487</v>
      </c>
      <c r="WYI989" s="16" t="s">
        <v>1487</v>
      </c>
      <c r="WYJ989" s="16" t="s">
        <v>1487</v>
      </c>
      <c r="WYK989" s="16" t="s">
        <v>1487</v>
      </c>
      <c r="WYL989" s="16" t="s">
        <v>1487</v>
      </c>
      <c r="WYM989" s="16" t="s">
        <v>1487</v>
      </c>
      <c r="WYN989" s="16" t="s">
        <v>1487</v>
      </c>
      <c r="WYO989" s="16" t="s">
        <v>1487</v>
      </c>
      <c r="WYP989" s="16" t="s">
        <v>1487</v>
      </c>
      <c r="WYQ989" s="16" t="s">
        <v>1487</v>
      </c>
      <c r="WYR989" s="16" t="s">
        <v>1487</v>
      </c>
      <c r="WYS989" s="16" t="s">
        <v>1487</v>
      </c>
      <c r="WYT989" s="16" t="s">
        <v>1487</v>
      </c>
      <c r="WYU989" s="16" t="s">
        <v>1487</v>
      </c>
      <c r="WYV989" s="16" t="s">
        <v>1487</v>
      </c>
      <c r="WYW989" s="16" t="s">
        <v>1487</v>
      </c>
      <c r="WYX989" s="16" t="s">
        <v>1487</v>
      </c>
      <c r="WYY989" s="16" t="s">
        <v>1487</v>
      </c>
      <c r="WYZ989" s="16" t="s">
        <v>1487</v>
      </c>
      <c r="WZA989" s="16" t="s">
        <v>1487</v>
      </c>
      <c r="WZB989" s="16" t="s">
        <v>1487</v>
      </c>
      <c r="WZC989" s="16" t="s">
        <v>1487</v>
      </c>
      <c r="WZD989" s="16" t="s">
        <v>1487</v>
      </c>
      <c r="WZE989" s="16" t="s">
        <v>1487</v>
      </c>
      <c r="WZF989" s="16" t="s">
        <v>1487</v>
      </c>
      <c r="WZG989" s="16" t="s">
        <v>1487</v>
      </c>
      <c r="WZH989" s="16" t="s">
        <v>1487</v>
      </c>
      <c r="WZI989" s="16" t="s">
        <v>1487</v>
      </c>
      <c r="WZJ989" s="16" t="s">
        <v>1487</v>
      </c>
      <c r="WZK989" s="16" t="s">
        <v>1487</v>
      </c>
      <c r="WZL989" s="16" t="s">
        <v>1487</v>
      </c>
      <c r="WZM989" s="16" t="s">
        <v>1487</v>
      </c>
      <c r="WZN989" s="16" t="s">
        <v>1487</v>
      </c>
      <c r="WZO989" s="16" t="s">
        <v>1487</v>
      </c>
      <c r="WZP989" s="16" t="s">
        <v>1487</v>
      </c>
      <c r="WZQ989" s="16" t="s">
        <v>1487</v>
      </c>
      <c r="WZR989" s="16" t="s">
        <v>1487</v>
      </c>
      <c r="WZS989" s="16" t="s">
        <v>1487</v>
      </c>
      <c r="WZT989" s="16" t="s">
        <v>1487</v>
      </c>
      <c r="WZU989" s="16" t="s">
        <v>1487</v>
      </c>
      <c r="WZV989" s="16" t="s">
        <v>1487</v>
      </c>
      <c r="WZW989" s="16" t="s">
        <v>1487</v>
      </c>
      <c r="WZX989" s="16" t="s">
        <v>1487</v>
      </c>
      <c r="WZY989" s="16" t="s">
        <v>1487</v>
      </c>
      <c r="WZZ989" s="16" t="s">
        <v>1487</v>
      </c>
      <c r="XAA989" s="16" t="s">
        <v>1487</v>
      </c>
      <c r="XAB989" s="16" t="s">
        <v>1487</v>
      </c>
      <c r="XAC989" s="16" t="s">
        <v>1487</v>
      </c>
      <c r="XAD989" s="16" t="s">
        <v>1487</v>
      </c>
      <c r="XAE989" s="16" t="s">
        <v>1487</v>
      </c>
      <c r="XAF989" s="16" t="s">
        <v>1487</v>
      </c>
      <c r="XAG989" s="16" t="s">
        <v>1487</v>
      </c>
      <c r="XAH989" s="16" t="s">
        <v>1487</v>
      </c>
      <c r="XAI989" s="16" t="s">
        <v>1487</v>
      </c>
      <c r="XAJ989" s="16" t="s">
        <v>1487</v>
      </c>
      <c r="XAK989" s="16" t="s">
        <v>1487</v>
      </c>
      <c r="XAL989" s="16" t="s">
        <v>1487</v>
      </c>
      <c r="XAM989" s="16" t="s">
        <v>1487</v>
      </c>
      <c r="XAN989" s="16" t="s">
        <v>1487</v>
      </c>
      <c r="XAO989" s="16" t="s">
        <v>1487</v>
      </c>
      <c r="XAP989" s="16" t="s">
        <v>1487</v>
      </c>
      <c r="XAQ989" s="16" t="s">
        <v>1487</v>
      </c>
      <c r="XAR989" s="16" t="s">
        <v>1487</v>
      </c>
      <c r="XAS989" s="16" t="s">
        <v>1487</v>
      </c>
      <c r="XAT989" s="16" t="s">
        <v>1487</v>
      </c>
      <c r="XAU989" s="16" t="s">
        <v>1487</v>
      </c>
      <c r="XAV989" s="16" t="s">
        <v>1487</v>
      </c>
      <c r="XAW989" s="16" t="s">
        <v>1487</v>
      </c>
      <c r="XAX989" s="16" t="s">
        <v>1487</v>
      </c>
      <c r="XAY989" s="16" t="s">
        <v>1487</v>
      </c>
      <c r="XAZ989" s="16" t="s">
        <v>1487</v>
      </c>
      <c r="XBA989" s="16" t="s">
        <v>1487</v>
      </c>
      <c r="XBB989" s="16" t="s">
        <v>1487</v>
      </c>
      <c r="XBC989" s="16" t="s">
        <v>1487</v>
      </c>
      <c r="XBD989" s="16" t="s">
        <v>1487</v>
      </c>
      <c r="XBE989" s="16" t="s">
        <v>1487</v>
      </c>
      <c r="XBF989" s="16" t="s">
        <v>1487</v>
      </c>
      <c r="XBG989" s="16" t="s">
        <v>1487</v>
      </c>
      <c r="XBH989" s="16" t="s">
        <v>1487</v>
      </c>
      <c r="XBI989" s="16" t="s">
        <v>1487</v>
      </c>
      <c r="XBJ989" s="16" t="s">
        <v>1487</v>
      </c>
      <c r="XBK989" s="16" t="s">
        <v>1487</v>
      </c>
      <c r="XBL989" s="16" t="s">
        <v>1487</v>
      </c>
      <c r="XBM989" s="16" t="s">
        <v>1487</v>
      </c>
      <c r="XBN989" s="16" t="s">
        <v>1487</v>
      </c>
      <c r="XBO989" s="16" t="s">
        <v>1487</v>
      </c>
      <c r="XBP989" s="16" t="s">
        <v>1487</v>
      </c>
      <c r="XBQ989" s="16" t="s">
        <v>1487</v>
      </c>
      <c r="XBR989" s="16" t="s">
        <v>1487</v>
      </c>
      <c r="XBS989" s="16" t="s">
        <v>1487</v>
      </c>
      <c r="XBT989" s="16" t="s">
        <v>1487</v>
      </c>
      <c r="XBU989" s="16" t="s">
        <v>1487</v>
      </c>
      <c r="XBV989" s="16" t="s">
        <v>1487</v>
      </c>
      <c r="XBW989" s="16" t="s">
        <v>1487</v>
      </c>
      <c r="XBX989" s="16" t="s">
        <v>1487</v>
      </c>
      <c r="XBY989" s="16" t="s">
        <v>1487</v>
      </c>
      <c r="XBZ989" s="16" t="s">
        <v>1487</v>
      </c>
      <c r="XCA989" s="16" t="s">
        <v>1487</v>
      </c>
      <c r="XCB989" s="16" t="s">
        <v>1487</v>
      </c>
      <c r="XCC989" s="16" t="s">
        <v>1487</v>
      </c>
      <c r="XCD989" s="16" t="s">
        <v>1487</v>
      </c>
      <c r="XCE989" s="16" t="s">
        <v>1487</v>
      </c>
      <c r="XCF989" s="16" t="s">
        <v>1487</v>
      </c>
      <c r="XCG989" s="16" t="s">
        <v>1487</v>
      </c>
      <c r="XCH989" s="16" t="s">
        <v>1487</v>
      </c>
      <c r="XCI989" s="16" t="s">
        <v>1487</v>
      </c>
      <c r="XCJ989" s="16" t="s">
        <v>1487</v>
      </c>
      <c r="XCK989" s="16" t="s">
        <v>1487</v>
      </c>
      <c r="XCL989" s="16" t="s">
        <v>1487</v>
      </c>
      <c r="XCM989" s="16" t="s">
        <v>1487</v>
      </c>
      <c r="XCN989" s="16" t="s">
        <v>1487</v>
      </c>
      <c r="XCO989" s="16" t="s">
        <v>1487</v>
      </c>
      <c r="XCP989" s="16" t="s">
        <v>1487</v>
      </c>
      <c r="XCQ989" s="16" t="s">
        <v>1487</v>
      </c>
      <c r="XCR989" s="16" t="s">
        <v>1487</v>
      </c>
      <c r="XCS989" s="16" t="s">
        <v>1487</v>
      </c>
      <c r="XCT989" s="16" t="s">
        <v>1487</v>
      </c>
      <c r="XCU989" s="16" t="s">
        <v>1487</v>
      </c>
      <c r="XCV989" s="16" t="s">
        <v>1487</v>
      </c>
      <c r="XCW989" s="16" t="s">
        <v>1487</v>
      </c>
      <c r="XCX989" s="16" t="s">
        <v>1487</v>
      </c>
      <c r="XCY989" s="16" t="s">
        <v>1487</v>
      </c>
      <c r="XCZ989" s="16" t="s">
        <v>1487</v>
      </c>
      <c r="XDA989" s="16" t="s">
        <v>1487</v>
      </c>
      <c r="XDB989" s="16" t="s">
        <v>1487</v>
      </c>
      <c r="XDC989" s="16" t="s">
        <v>1487</v>
      </c>
      <c r="XDD989" s="16" t="s">
        <v>1487</v>
      </c>
      <c r="XDE989" s="16" t="s">
        <v>1487</v>
      </c>
      <c r="XDF989" s="16" t="s">
        <v>1487</v>
      </c>
      <c r="XDG989" s="16" t="s">
        <v>1487</v>
      </c>
      <c r="XDH989" s="16" t="s">
        <v>1487</v>
      </c>
      <c r="XDI989" s="16" t="s">
        <v>1487</v>
      </c>
      <c r="XDJ989" s="16" t="s">
        <v>1487</v>
      </c>
      <c r="XDK989" s="16" t="s">
        <v>1487</v>
      </c>
      <c r="XDL989" s="16" t="s">
        <v>1487</v>
      </c>
      <c r="XDM989" s="16" t="s">
        <v>1487</v>
      </c>
      <c r="XDN989" s="16" t="s">
        <v>1487</v>
      </c>
      <c r="XDO989" s="16" t="s">
        <v>1487</v>
      </c>
      <c r="XDP989" s="16" t="s">
        <v>1487</v>
      </c>
      <c r="XDQ989" s="16" t="s">
        <v>1487</v>
      </c>
      <c r="XDR989" s="16" t="s">
        <v>1487</v>
      </c>
      <c r="XDS989" s="16" t="s">
        <v>1487</v>
      </c>
      <c r="XDT989" s="16" t="s">
        <v>1487</v>
      </c>
      <c r="XDU989" s="16" t="s">
        <v>1487</v>
      </c>
      <c r="XDV989" s="16" t="s">
        <v>1487</v>
      </c>
      <c r="XDW989" s="16" t="s">
        <v>1487</v>
      </c>
      <c r="XDX989" s="16" t="s">
        <v>1487</v>
      </c>
      <c r="XDY989" s="16" t="s">
        <v>1487</v>
      </c>
      <c r="XDZ989" s="16" t="s">
        <v>1487</v>
      </c>
      <c r="XEA989" s="16" t="s">
        <v>1487</v>
      </c>
      <c r="XEB989" s="16" t="s">
        <v>1487</v>
      </c>
      <c r="XEC989" s="16" t="s">
        <v>1487</v>
      </c>
      <c r="XED989" s="16" t="s">
        <v>1487</v>
      </c>
      <c r="XEE989" s="16" t="s">
        <v>1487</v>
      </c>
      <c r="XEF989" s="16" t="s">
        <v>1487</v>
      </c>
      <c r="XEG989" s="16" t="s">
        <v>1487</v>
      </c>
      <c r="XEH989" s="16" t="s">
        <v>1487</v>
      </c>
      <c r="XEI989" s="16" t="s">
        <v>1487</v>
      </c>
      <c r="XEJ989" s="16" t="s">
        <v>1487</v>
      </c>
      <c r="XEK989" s="16" t="s">
        <v>1487</v>
      </c>
      <c r="XEL989" s="16" t="s">
        <v>1487</v>
      </c>
      <c r="XEM989" s="16" t="s">
        <v>1487</v>
      </c>
      <c r="XEN989" s="16" t="s">
        <v>1487</v>
      </c>
      <c r="XEO989" s="16" t="s">
        <v>1487</v>
      </c>
      <c r="XEP989" s="16" t="s">
        <v>1487</v>
      </c>
      <c r="XEQ989" s="16" t="s">
        <v>1487</v>
      </c>
      <c r="XER989" s="16" t="s">
        <v>1487</v>
      </c>
      <c r="XES989" s="16" t="s">
        <v>1487</v>
      </c>
      <c r="XET989" s="16" t="s">
        <v>1487</v>
      </c>
      <c r="XEU989" s="16" t="s">
        <v>1487</v>
      </c>
      <c r="XEV989" s="16" t="s">
        <v>1487</v>
      </c>
      <c r="XEW989" s="16" t="s">
        <v>1487</v>
      </c>
      <c r="XEX989" s="16" t="s">
        <v>1487</v>
      </c>
      <c r="XEY989" s="16" t="s">
        <v>1487</v>
      </c>
      <c r="XEZ989" s="16" t="s">
        <v>1487</v>
      </c>
      <c r="XFA989" s="16" t="s">
        <v>1487</v>
      </c>
      <c r="XFB989" s="16" t="s">
        <v>1487</v>
      </c>
      <c r="XFC989" s="16" t="s">
        <v>1487</v>
      </c>
      <c r="XFD989" s="16" t="s">
        <v>1487</v>
      </c>
    </row>
  </sheetData>
  <autoFilter ref="A5:U987" xr:uid="{00000000-0009-0000-0000-000003000000}"/>
  <mergeCells count="6">
    <mergeCell ref="Q2:Q4"/>
    <mergeCell ref="G2:G4"/>
    <mergeCell ref="H2:H4"/>
    <mergeCell ref="I2:I4"/>
    <mergeCell ref="J2:K2"/>
    <mergeCell ref="L2:L4"/>
  </mergeCells>
  <phoneticPr fontId="37" type="noConversion"/>
  <conditionalFormatting sqref="J573 L573">
    <cfRule type="iconSet" priority="2815">
      <iconSet iconSet="3Symbols2" showValue="0">
        <cfvo type="percent" val="0"/>
        <cfvo type="num" val="0"/>
        <cfvo type="num" val="1"/>
      </iconSet>
    </cfRule>
  </conditionalFormatting>
  <conditionalFormatting sqref="J581 L581">
    <cfRule type="iconSet" priority="2814">
      <iconSet iconSet="3Symbols2" showValue="0">
        <cfvo type="percent" val="0"/>
        <cfvo type="num" val="0"/>
        <cfvo type="num" val="1"/>
      </iconSet>
    </cfRule>
  </conditionalFormatting>
  <conditionalFormatting sqref="J422:J435">
    <cfRule type="iconSet" priority="2812">
      <iconSet iconSet="3Symbols2" showValue="0">
        <cfvo type="percent" val="0"/>
        <cfvo type="num" val="0"/>
        <cfvo type="num" val="1"/>
      </iconSet>
    </cfRule>
  </conditionalFormatting>
  <conditionalFormatting sqref="J438">
    <cfRule type="iconSet" priority="2811">
      <iconSet iconSet="3Symbols2" showValue="0">
        <cfvo type="percent" val="0"/>
        <cfvo type="num" val="0"/>
        <cfvo type="num" val="1"/>
      </iconSet>
    </cfRule>
  </conditionalFormatting>
  <conditionalFormatting sqref="J441:J443">
    <cfRule type="iconSet" priority="2810">
      <iconSet iconSet="3Symbols2" showValue="0">
        <cfvo type="percent" val="0"/>
        <cfvo type="num" val="0"/>
        <cfvo type="num" val="1"/>
      </iconSet>
    </cfRule>
  </conditionalFormatting>
  <conditionalFormatting sqref="L822:L823 J822:J823">
    <cfRule type="iconSet" priority="2797">
      <iconSet iconSet="3Symbols2" showValue="0">
        <cfvo type="percent" val="0"/>
        <cfvo type="num" val="0"/>
        <cfvo type="num" val="1"/>
      </iconSet>
    </cfRule>
  </conditionalFormatting>
  <conditionalFormatting sqref="J888 L888:L889">
    <cfRule type="iconSet" priority="2796">
      <iconSet iconSet="3Symbols2" showValue="0">
        <cfvo type="percent" val="0"/>
        <cfvo type="num" val="0"/>
        <cfvo type="num" val="1"/>
      </iconSet>
    </cfRule>
  </conditionalFormatting>
  <conditionalFormatting sqref="J369:J373">
    <cfRule type="iconSet" priority="2794">
      <iconSet iconSet="3Symbols2" showValue="0">
        <cfvo type="percent" val="0"/>
        <cfvo type="num" val="0"/>
        <cfvo type="num" val="1"/>
      </iconSet>
    </cfRule>
  </conditionalFormatting>
  <conditionalFormatting sqref="J375">
    <cfRule type="iconSet" priority="2793">
      <iconSet iconSet="3Symbols2" showValue="0">
        <cfvo type="percent" val="0"/>
        <cfvo type="num" val="0"/>
        <cfvo type="num" val="1"/>
      </iconSet>
    </cfRule>
  </conditionalFormatting>
  <conditionalFormatting sqref="J376:J381">
    <cfRule type="iconSet" priority="3284">
      <iconSet iconSet="3Symbols2" showValue="0">
        <cfvo type="percent" val="0"/>
        <cfvo type="num" val="0"/>
        <cfvo type="num" val="1"/>
      </iconSet>
    </cfRule>
  </conditionalFormatting>
  <conditionalFormatting sqref="J416:J419">
    <cfRule type="iconSet" priority="3450">
      <iconSet iconSet="3Symbols2" showValue="0">
        <cfvo type="percent" val="0"/>
        <cfvo type="num" val="0"/>
        <cfvo type="num" val="1"/>
      </iconSet>
    </cfRule>
  </conditionalFormatting>
  <conditionalFormatting sqref="J382 L368:L382 J367:J368 J374">
    <cfRule type="iconSet" priority="3491">
      <iconSet iconSet="3Symbols2" showValue="0">
        <cfvo type="percent" val="0"/>
        <cfvo type="num" val="0"/>
        <cfvo type="num" val="1"/>
      </iconSet>
    </cfRule>
  </conditionalFormatting>
  <conditionalFormatting sqref="J399 L393 L384:L385 L399 J383:J384">
    <cfRule type="iconSet" priority="3493">
      <iconSet iconSet="3Symbols2" showValue="0">
        <cfvo type="percent" val="0"/>
        <cfvo type="num" val="0"/>
        <cfvo type="num" val="1"/>
      </iconSet>
    </cfRule>
  </conditionalFormatting>
  <conditionalFormatting sqref="J936:J939">
    <cfRule type="iconSet" priority="2787">
      <iconSet iconSet="3Symbols2" showValue="0">
        <cfvo type="percent" val="0"/>
        <cfvo type="num" val="0"/>
        <cfvo type="num" val="1"/>
      </iconSet>
    </cfRule>
  </conditionalFormatting>
  <conditionalFormatting sqref="J953:J960">
    <cfRule type="iconSet" priority="2786">
      <iconSet iconSet="3Symbols2" showValue="0">
        <cfvo type="percent" val="0"/>
        <cfvo type="num" val="0"/>
        <cfvo type="num" val="1"/>
      </iconSet>
    </cfRule>
  </conditionalFormatting>
  <conditionalFormatting sqref="K85:K88">
    <cfRule type="iconSet" priority="636">
      <iconSet iconSet="3Symbols2" showValue="0">
        <cfvo type="percent" val="0"/>
        <cfvo type="num" val="0"/>
        <cfvo type="num" val="1"/>
      </iconSet>
    </cfRule>
  </conditionalFormatting>
  <conditionalFormatting sqref="K90">
    <cfRule type="iconSet" priority="631">
      <iconSet iconSet="3Symbols2" showValue="0">
        <cfvo type="percent" val="0"/>
        <cfvo type="num" val="0"/>
        <cfvo type="num" val="1"/>
      </iconSet>
    </cfRule>
  </conditionalFormatting>
  <conditionalFormatting sqref="J179:M180">
    <cfRule type="iconSet" priority="626">
      <iconSet iconSet="3Symbols2" showValue="0">
        <cfvo type="percent" val="0"/>
        <cfvo type="num" val="0"/>
        <cfvo type="num" val="1"/>
      </iconSet>
    </cfRule>
  </conditionalFormatting>
  <conditionalFormatting sqref="L68:L69">
    <cfRule type="iconSet" priority="551">
      <iconSet iconSet="3Symbols2" showValue="0">
        <cfvo type="percent" val="0"/>
        <cfvo type="num" val="0"/>
        <cfvo type="num" val="1"/>
      </iconSet>
    </cfRule>
  </conditionalFormatting>
  <conditionalFormatting sqref="L72:L73">
    <cfRule type="iconSet" priority="530">
      <iconSet iconSet="3Symbols2" showValue="0">
        <cfvo type="percent" val="0"/>
        <cfvo type="num" val="0"/>
        <cfvo type="num" val="1"/>
      </iconSet>
    </cfRule>
  </conditionalFormatting>
  <conditionalFormatting sqref="L70:L71">
    <cfRule type="iconSet" priority="510">
      <iconSet iconSet="3Symbols2" showValue="0">
        <cfvo type="percent" val="0"/>
        <cfvo type="num" val="0"/>
        <cfvo type="num" val="1"/>
      </iconSet>
    </cfRule>
  </conditionalFormatting>
  <conditionalFormatting sqref="Q971">
    <cfRule type="iconSet" priority="506">
      <iconSet iconSet="3Symbols2" showValue="0">
        <cfvo type="percent" val="0"/>
        <cfvo type="num" val="0"/>
        <cfvo type="num" val="1"/>
      </iconSet>
    </cfRule>
  </conditionalFormatting>
  <conditionalFormatting sqref="Q973">
    <cfRule type="iconSet" priority="505">
      <iconSet iconSet="3Symbols2" showValue="0">
        <cfvo type="percent" val="0"/>
        <cfvo type="num" val="0"/>
        <cfvo type="num" val="1"/>
      </iconSet>
    </cfRule>
  </conditionalFormatting>
  <conditionalFormatting sqref="J153:J154">
    <cfRule type="iconSet" priority="484">
      <iconSet iconSet="3Symbols2" showValue="0">
        <cfvo type="percent" val="0"/>
        <cfvo type="num" val="0"/>
        <cfvo type="num" val="1"/>
      </iconSet>
    </cfRule>
  </conditionalFormatting>
  <conditionalFormatting sqref="J157">
    <cfRule type="iconSet" priority="391">
      <iconSet iconSet="3Symbols2" showValue="0">
        <cfvo type="percent" val="0"/>
        <cfvo type="num" val="0"/>
        <cfvo type="num" val="1"/>
      </iconSet>
    </cfRule>
  </conditionalFormatting>
  <conditionalFormatting sqref="L156:L157 J156">
    <cfRule type="iconSet" priority="410">
      <iconSet iconSet="3Symbols2" showValue="0">
        <cfvo type="percent" val="0"/>
        <cfvo type="num" val="0"/>
        <cfvo type="num" val="1"/>
      </iconSet>
    </cfRule>
  </conditionalFormatting>
  <conditionalFormatting sqref="J889">
    <cfRule type="iconSet" priority="388">
      <iconSet iconSet="3Symbols2" showValue="0">
        <cfvo type="percent" val="0"/>
        <cfvo type="num" val="0"/>
        <cfvo type="num" val="1"/>
      </iconSet>
    </cfRule>
  </conditionalFormatting>
  <conditionalFormatting sqref="J903">
    <cfRule type="iconSet" priority="387">
      <iconSet iconSet="3Symbols2" showValue="0">
        <cfvo type="percent" val="0"/>
        <cfvo type="num" val="0"/>
        <cfvo type="num" val="1"/>
      </iconSet>
    </cfRule>
  </conditionalFormatting>
  <conditionalFormatting sqref="J963:J968">
    <cfRule type="iconSet" priority="385">
      <iconSet iconSet="3Symbols2" showValue="0">
        <cfvo type="percent" val="0"/>
        <cfvo type="num" val="0"/>
        <cfvo type="num" val="1"/>
      </iconSet>
    </cfRule>
  </conditionalFormatting>
  <conditionalFormatting sqref="J971:J974">
    <cfRule type="iconSet" priority="384">
      <iconSet iconSet="3Symbols2" showValue="0">
        <cfvo type="percent" val="0"/>
        <cfvo type="num" val="0"/>
        <cfvo type="num" val="1"/>
      </iconSet>
    </cfRule>
  </conditionalFormatting>
  <conditionalFormatting sqref="J155">
    <cfRule type="iconSet" priority="383">
      <iconSet iconSet="3Symbols2" showValue="0">
        <cfvo type="percent" val="0"/>
        <cfvo type="num" val="0"/>
        <cfvo type="num" val="1"/>
      </iconSet>
    </cfRule>
  </conditionalFormatting>
  <conditionalFormatting sqref="M4:P4">
    <cfRule type="iconSet" priority="382">
      <iconSet iconSet="3Symbols2" showValue="0">
        <cfvo type="percent" val="0"/>
        <cfvo type="num" val="0"/>
        <cfvo type="num" val="1"/>
      </iconSet>
    </cfRule>
  </conditionalFormatting>
  <conditionalFormatting sqref="R4:U4">
    <cfRule type="iconSet" priority="328">
      <iconSet iconSet="3Symbols2" showValue="0">
        <cfvo type="percent" val="0"/>
        <cfvo type="num" val="0"/>
        <cfvo type="num" val="1"/>
      </iconSet>
    </cfRule>
  </conditionalFormatting>
  <conditionalFormatting sqref="O72:O73">
    <cfRule type="iconSet" priority="312">
      <iconSet iconSet="3Symbols2" showValue="0">
        <cfvo type="percent" val="0"/>
        <cfvo type="num" val="0"/>
        <cfvo type="num" val="1"/>
      </iconSet>
    </cfRule>
  </conditionalFormatting>
  <conditionalFormatting sqref="O70:O71">
    <cfRule type="iconSet" priority="311">
      <iconSet iconSet="3Symbols2" showValue="0">
        <cfvo type="percent" val="0"/>
        <cfvo type="num" val="0"/>
        <cfvo type="num" val="1"/>
      </iconSet>
    </cfRule>
  </conditionalFormatting>
  <conditionalFormatting sqref="M573:N573">
    <cfRule type="iconSet" priority="296">
      <iconSet iconSet="3Symbols2" showValue="0">
        <cfvo type="percent" val="0"/>
        <cfvo type="num" val="0"/>
        <cfvo type="num" val="1"/>
      </iconSet>
    </cfRule>
  </conditionalFormatting>
  <conditionalFormatting sqref="M581:N581">
    <cfRule type="iconSet" priority="295">
      <iconSet iconSet="3Symbols2" showValue="0">
        <cfvo type="percent" val="0"/>
        <cfvo type="num" val="0"/>
        <cfvo type="num" val="1"/>
      </iconSet>
    </cfRule>
  </conditionalFormatting>
  <conditionalFormatting sqref="O386:O392">
    <cfRule type="iconSet" priority="292">
      <iconSet iconSet="3Symbols2" showValue="0">
        <cfvo type="percent" val="0"/>
        <cfvo type="num" val="0"/>
        <cfvo type="num" val="1"/>
      </iconSet>
    </cfRule>
  </conditionalFormatting>
  <conditionalFormatting sqref="O448:O456">
    <cfRule type="iconSet" priority="289">
      <iconSet iconSet="3Symbols2" showValue="0">
        <cfvo type="percent" val="0"/>
        <cfvo type="num" val="0"/>
        <cfvo type="num" val="1"/>
      </iconSet>
    </cfRule>
  </conditionalFormatting>
  <conditionalFormatting sqref="O459:O463">
    <cfRule type="iconSet" priority="288">
      <iconSet iconSet="3Symbols2" showValue="0">
        <cfvo type="percent" val="0"/>
        <cfvo type="num" val="0"/>
        <cfvo type="num" val="1"/>
      </iconSet>
    </cfRule>
  </conditionalFormatting>
  <conditionalFormatting sqref="O466:O479">
    <cfRule type="iconSet" priority="287">
      <iconSet iconSet="3Symbols2" showValue="0">
        <cfvo type="percent" val="0"/>
        <cfvo type="num" val="0"/>
        <cfvo type="num" val="1"/>
      </iconSet>
    </cfRule>
  </conditionalFormatting>
  <conditionalFormatting sqref="M987:N987 M951:N976 M829:N831 M84:N99 M101:N123 M130:N158 M76:N79 M274:N358 M368:N382 M932:N939 M833:N852 N853:N856 M531:N555 N522:N530 M362:N366 N359:N361 M267:N272 N266 M160:N216 M224:N226 M223 M792:N826 M660:N663 M710:N711 N701:N709 M219:N222 N217:N218 M235:N265 N227:N234 M673:N674 N664:N672 N675:N677 M681:N682 N680 M692:N693 N683:N691 M696:N700 N694:N695 M713:N714 N712 M717:N718 N715:N716 M730:N734 N719:N729 M401:N521 M678:N679 M384:N399 M857:N930 M10:N74">
    <cfRule type="iconSet" priority="79073">
      <iconSet iconSet="3Symbols2" showValue="0">
        <cfvo type="percent" val="0"/>
        <cfvo type="num" val="0"/>
        <cfvo type="num" val="1"/>
      </iconSet>
    </cfRule>
  </conditionalFormatting>
  <conditionalFormatting sqref="O987 O932:O981 O393:O394 O169:O178 O40:O49 O52:O69 O74 O272 O399 O457:O458 O464:O465 O76:O158 O160:O161 O274:O366 O368:O382 O384:O385 O401:O447 O181:O269 O480:O663 O792:O930 O10:O36">
    <cfRule type="iconSet" priority="79084">
      <iconSet iconSet="3Symbols2" showValue="0">
        <cfvo type="percent" val="0"/>
        <cfvo type="num" val="0"/>
        <cfvo type="num" val="1"/>
      </iconSet>
    </cfRule>
  </conditionalFormatting>
  <conditionalFormatting sqref="P987 P932:P981 P368:P382 P76:P158 P274:P366 P160:P272 P401:P790 P384:P399 P792:P930 P10:P74">
    <cfRule type="iconSet" priority="79088">
      <iconSet iconSet="3Symbols2" showValue="0">
        <cfvo type="percent" val="0"/>
        <cfvo type="num" val="0"/>
        <cfvo type="num" val="1"/>
      </iconSet>
    </cfRule>
  </conditionalFormatting>
  <conditionalFormatting sqref="R987 R951:R981">
    <cfRule type="iconSet" priority="79090">
      <iconSet iconSet="3Symbols2" showValue="0">
        <cfvo type="percent" val="0"/>
        <cfvo type="num" val="0"/>
        <cfvo type="num" val="1"/>
      </iconSet>
    </cfRule>
  </conditionalFormatting>
  <conditionalFormatting sqref="T987 T942:T981">
    <cfRule type="iconSet" priority="79094">
      <iconSet iconSet="3Symbols2" showValue="0">
        <cfvo type="percent" val="0"/>
        <cfvo type="num" val="0"/>
        <cfvo type="num" val="1"/>
      </iconSet>
    </cfRule>
  </conditionalFormatting>
  <conditionalFormatting sqref="U987 U942:U981">
    <cfRule type="iconSet" priority="79096">
      <iconSet iconSet="3Symbols2" showValue="0">
        <cfvo type="percent" val="0"/>
        <cfvo type="num" val="0"/>
        <cfvo type="num" val="1"/>
      </iconSet>
    </cfRule>
  </conditionalFormatting>
  <conditionalFormatting sqref="J385">
    <cfRule type="iconSet" priority="81685">
      <iconSet iconSet="3Symbols2" showValue="0">
        <cfvo type="percent" val="0"/>
        <cfvo type="num" val="0"/>
        <cfvo type="num" val="1"/>
      </iconSet>
    </cfRule>
  </conditionalFormatting>
  <conditionalFormatting sqref="L394">
    <cfRule type="iconSet" priority="81687">
      <iconSet iconSet="3Symbols2" showValue="0">
        <cfvo type="percent" val="0"/>
        <cfvo type="num" val="0"/>
        <cfvo type="num" val="1"/>
      </iconSet>
    </cfRule>
  </conditionalFormatting>
  <conditionalFormatting sqref="L973 L971">
    <cfRule type="iconSet" priority="81695">
      <iconSet iconSet="3Symbols2" showValue="0">
        <cfvo type="percent" val="0"/>
        <cfvo type="num" val="0"/>
        <cfvo type="num" val="1"/>
      </iconSet>
    </cfRule>
  </conditionalFormatting>
  <conditionalFormatting sqref="L90">
    <cfRule type="iconSet" priority="81845">
      <iconSet iconSet="3Symbols2" showValue="0">
        <cfvo type="percent" val="0"/>
        <cfvo type="num" val="0"/>
        <cfvo type="num" val="1"/>
      </iconSet>
    </cfRule>
  </conditionalFormatting>
  <conditionalFormatting sqref="Q815">
    <cfRule type="iconSet" priority="271">
      <iconSet iconSet="3Symbols2" showValue="0">
        <cfvo type="percent" val="0"/>
        <cfvo type="num" val="0"/>
        <cfvo type="num" val="1"/>
      </iconSet>
    </cfRule>
  </conditionalFormatting>
  <conditionalFormatting sqref="Q881">
    <cfRule type="iconSet" priority="270">
      <iconSet iconSet="3Symbols2" showValue="0">
        <cfvo type="percent" val="0"/>
        <cfvo type="num" val="0"/>
        <cfvo type="num" val="1"/>
      </iconSet>
    </cfRule>
  </conditionalFormatting>
  <conditionalFormatting sqref="Q354:Q358 Q362:Q375">
    <cfRule type="iconSet" priority="269">
      <iconSet iconSet="3Symbols2" showValue="0">
        <cfvo type="percent" val="0"/>
        <cfvo type="num" val="0"/>
        <cfvo type="num" val="1"/>
      </iconSet>
    </cfRule>
  </conditionalFormatting>
  <conditionalFormatting sqref="Q376:Q398">
    <cfRule type="iconSet" priority="268">
      <iconSet iconSet="3Symbols2" showValue="0">
        <cfvo type="percent" val="0"/>
        <cfvo type="num" val="0"/>
        <cfvo type="num" val="1"/>
      </iconSet>
    </cfRule>
  </conditionalFormatting>
  <conditionalFormatting sqref="Q72:Q73">
    <cfRule type="iconSet" priority="265">
      <iconSet iconSet="3Symbols2" showValue="0">
        <cfvo type="percent" val="0"/>
        <cfvo type="num" val="0"/>
        <cfvo type="num" val="1"/>
      </iconSet>
    </cfRule>
  </conditionalFormatting>
  <conditionalFormatting sqref="Q137:Q138">
    <cfRule type="iconSet" priority="264">
      <iconSet iconSet="3Symbols2" showValue="0">
        <cfvo type="percent" val="0"/>
        <cfvo type="num" val="0"/>
        <cfvo type="num" val="1"/>
      </iconSet>
    </cfRule>
  </conditionalFormatting>
  <conditionalFormatting sqref="Q155">
    <cfRule type="iconSet" priority="263">
      <iconSet iconSet="3Symbols2" showValue="0">
        <cfvo type="percent" val="0"/>
        <cfvo type="num" val="0"/>
        <cfvo type="num" val="1"/>
      </iconSet>
    </cfRule>
  </conditionalFormatting>
  <conditionalFormatting sqref="Q154">
    <cfRule type="iconSet" priority="262">
      <iconSet iconSet="3Symbols2" showValue="0">
        <cfvo type="percent" val="0"/>
        <cfvo type="num" val="0"/>
        <cfvo type="num" val="1"/>
      </iconSet>
    </cfRule>
  </conditionalFormatting>
  <conditionalFormatting sqref="Q903:Q904 Q884:Q885 Q74:Q79 Q139:Q147 Q156:Q161 Q818:Q820 Q272:Q276 Q220 Q179:Q181 Q321:Q344 Q40:Q65 Q101:Q123 Q130:Q136 Q189:Q191 Q196:Q197 Q199:Q218 Q872:Q880 Q82:Q99 Q150:Q153 Q167 Q183:Q185 Q283 Q802:Q803 Q829:Q831 Q857:Q859 Q531:Q555 Q240:Q265 Q267 Q222 Q224:Q237 Q176 Q193:Q194 Q810:Q813 Q169:Q172 Q286 Q289 Q292 Q294:Q319 Q347:Q353 Q833:Q834 Q836 Q838:Q852 Q896:Q899 Q791:Q798 Q278:Q281 Q399:Q521 Q660:Q663 Q822:Q826 Q861:Q864 Q888:Q892 Q906 Q908:Q910 Q912 Q914:Q939 Q6:Q27 Q696:Q700 Q730:Q734">
    <cfRule type="iconSet" priority="261">
      <iconSet iconSet="3Symbols2" showValue="0">
        <cfvo type="percent" val="0"/>
        <cfvo type="num" val="0"/>
        <cfvo type="num" val="1"/>
      </iconSet>
    </cfRule>
  </conditionalFormatting>
  <conditionalFormatting sqref="Q902">
    <cfRule type="iconSet" priority="260">
      <iconSet iconSet="3Symbols2" showValue="0">
        <cfvo type="percent" val="0"/>
        <cfvo type="num" val="0"/>
        <cfvo type="num" val="1"/>
      </iconSet>
    </cfRule>
  </conditionalFormatting>
  <conditionalFormatting sqref="Q268:Q271">
    <cfRule type="iconSet" priority="257">
      <iconSet iconSet="3Symbols2" showValue="0">
        <cfvo type="percent" val="0"/>
        <cfvo type="num" val="0"/>
        <cfvo type="num" val="1"/>
      </iconSet>
    </cfRule>
  </conditionalFormatting>
  <conditionalFormatting sqref="T268:T271">
    <cfRule type="iconSet" priority="256">
      <iconSet iconSet="3Symbols2" showValue="0">
        <cfvo type="percent" val="0"/>
        <cfvo type="num" val="0"/>
        <cfvo type="num" val="1"/>
      </iconSet>
    </cfRule>
  </conditionalFormatting>
  <conditionalFormatting sqref="R268:R271">
    <cfRule type="iconSet" priority="255">
      <iconSet iconSet="3Symbols2" showValue="0">
        <cfvo type="percent" val="0"/>
        <cfvo type="num" val="0"/>
        <cfvo type="num" val="1"/>
      </iconSet>
    </cfRule>
  </conditionalFormatting>
  <conditionalFormatting sqref="Q219">
    <cfRule type="iconSet" priority="254">
      <iconSet iconSet="3Symbols2" showValue="0">
        <cfvo type="percent" val="0"/>
        <cfvo type="num" val="0"/>
        <cfvo type="num" val="1"/>
      </iconSet>
    </cfRule>
  </conditionalFormatting>
  <conditionalFormatting sqref="S219">
    <cfRule type="iconSet" priority="253">
      <iconSet iconSet="3Symbols2" showValue="0">
        <cfvo type="percent" val="0"/>
        <cfvo type="num" val="0"/>
        <cfvo type="num" val="1"/>
      </iconSet>
    </cfRule>
  </conditionalFormatting>
  <conditionalFormatting sqref="R219">
    <cfRule type="iconSet" priority="252">
      <iconSet iconSet="3Symbols2" showValue="0">
        <cfvo type="percent" val="0"/>
        <cfvo type="num" val="0"/>
        <cfvo type="num" val="1"/>
      </iconSet>
    </cfRule>
  </conditionalFormatting>
  <conditionalFormatting sqref="R6:U9">
    <cfRule type="iconSet" priority="247">
      <iconSet iconSet="3Symbols2" showValue="0">
        <cfvo type="percent" val="0"/>
        <cfvo type="num" val="0"/>
        <cfvo type="num" val="1"/>
      </iconSet>
    </cfRule>
  </conditionalFormatting>
  <conditionalFormatting sqref="Q221">
    <cfRule type="iconSet" priority="246">
      <iconSet iconSet="3Symbols2" showValue="0">
        <cfvo type="percent" val="0"/>
        <cfvo type="num" val="0"/>
        <cfvo type="num" val="1"/>
      </iconSet>
    </cfRule>
  </conditionalFormatting>
  <conditionalFormatting sqref="S221">
    <cfRule type="iconSet" priority="245">
      <iconSet iconSet="3Symbols2" showValue="0">
        <cfvo type="percent" val="0"/>
        <cfvo type="num" val="0"/>
        <cfvo type="num" val="1"/>
      </iconSet>
    </cfRule>
  </conditionalFormatting>
  <conditionalFormatting sqref="R221">
    <cfRule type="iconSet" priority="244">
      <iconSet iconSet="3Symbols2" showValue="0">
        <cfvo type="percent" val="0"/>
        <cfvo type="num" val="0"/>
        <cfvo type="num" val="1"/>
      </iconSet>
    </cfRule>
  </conditionalFormatting>
  <conditionalFormatting sqref="O50:O51">
    <cfRule type="iconSet" priority="83401">
      <iconSet iconSet="3Symbols2" showValue="0">
        <cfvo type="percent" val="0"/>
        <cfvo type="num" val="0"/>
        <cfvo type="num" val="1"/>
      </iconSet>
    </cfRule>
  </conditionalFormatting>
  <conditionalFormatting sqref="O37:O39">
    <cfRule type="iconSet" priority="84050">
      <iconSet iconSet="3Symbols2" showValue="0">
        <cfvo type="percent" val="0"/>
        <cfvo type="num" val="0"/>
        <cfvo type="num" val="1"/>
      </iconSet>
    </cfRule>
  </conditionalFormatting>
  <conditionalFormatting sqref="J68:J69">
    <cfRule type="iconSet" priority="240">
      <iconSet iconSet="3Symbols2" showValue="0">
        <cfvo type="percent" val="0"/>
        <cfvo type="num" val="0"/>
        <cfvo type="num" val="1"/>
      </iconSet>
    </cfRule>
  </conditionalFormatting>
  <conditionalFormatting sqref="J72:J73">
    <cfRule type="iconSet" priority="239">
      <iconSet iconSet="3Symbols2" showValue="0">
        <cfvo type="percent" val="0"/>
        <cfvo type="num" val="0"/>
        <cfvo type="num" val="1"/>
      </iconSet>
    </cfRule>
  </conditionalFormatting>
  <conditionalFormatting sqref="Q320">
    <cfRule type="iconSet" priority="238">
      <iconSet iconSet="3Symbols2" showValue="0">
        <cfvo type="percent" val="0"/>
        <cfvo type="num" val="0"/>
        <cfvo type="num" val="1"/>
      </iconSet>
    </cfRule>
  </conditionalFormatting>
  <conditionalFormatting sqref="T320">
    <cfRule type="iconSet" priority="237">
      <iconSet iconSet="3Symbols2" showValue="0">
        <cfvo type="percent" val="0"/>
        <cfvo type="num" val="0"/>
        <cfvo type="num" val="1"/>
      </iconSet>
    </cfRule>
  </conditionalFormatting>
  <conditionalFormatting sqref="R896:R899 R872:R892 R272:R276 R220 R40:R65 R72:R79 R130:R147 R189:R194 R196:R197 R199:R218 R82:R123 R150:R161 R167:R181 R183:R185 R802:R803 R818:R826 R829:R831 R857:R864 R240:R265 R267 R531:R555 R222 R224:R237 R810:R813 R815 R283:R358 R833:R834 R836 R838:R852 R790:R798 R278:R281 R611:R734 R362:R521 R901:R939 R10:R27">
    <cfRule type="iconSet" priority="90853">
      <iconSet iconSet="3Symbols2" showValue="0">
        <cfvo type="percent" val="0"/>
        <cfvo type="num" val="0"/>
        <cfvo type="num" val="1"/>
      </iconSet>
    </cfRule>
  </conditionalFormatting>
  <conditionalFormatting sqref="Q28:Q39">
    <cfRule type="iconSet" priority="236">
      <iconSet iconSet="3Symbols2" showValue="0">
        <cfvo type="percent" val="0"/>
        <cfvo type="num" val="0"/>
        <cfvo type="num" val="1"/>
      </iconSet>
    </cfRule>
  </conditionalFormatting>
  <conditionalFormatting sqref="R28:R39">
    <cfRule type="iconSet" priority="235">
      <iconSet iconSet="3Symbols2" showValue="0">
        <cfvo type="percent" val="0"/>
        <cfvo type="num" val="0"/>
        <cfvo type="num" val="1"/>
      </iconSet>
    </cfRule>
  </conditionalFormatting>
  <conditionalFormatting sqref="T28:T35">
    <cfRule type="iconSet" priority="234">
      <iconSet iconSet="3Symbols2" showValue="0">
        <cfvo type="percent" val="0"/>
        <cfvo type="num" val="0"/>
        <cfvo type="num" val="1"/>
      </iconSet>
    </cfRule>
  </conditionalFormatting>
  <conditionalFormatting sqref="S28:S29 S31:S36 T36:T39">
    <cfRule type="iconSet" priority="233">
      <iconSet iconSet="3Symbols2" showValue="0">
        <cfvo type="percent" val="0"/>
        <cfvo type="num" val="0"/>
        <cfvo type="num" val="1"/>
      </iconSet>
    </cfRule>
  </conditionalFormatting>
  <conditionalFormatting sqref="Q68:Q69">
    <cfRule type="iconSet" priority="232">
      <iconSet iconSet="3Symbols2" showValue="0">
        <cfvo type="percent" val="0"/>
        <cfvo type="num" val="0"/>
        <cfvo type="num" val="1"/>
      </iconSet>
    </cfRule>
  </conditionalFormatting>
  <conditionalFormatting sqref="Q70:Q71">
    <cfRule type="iconSet" priority="231">
      <iconSet iconSet="3Symbols2" showValue="0">
        <cfvo type="percent" val="0"/>
        <cfvo type="num" val="0"/>
        <cfvo type="num" val="1"/>
      </iconSet>
    </cfRule>
  </conditionalFormatting>
  <conditionalFormatting sqref="Q66:Q67">
    <cfRule type="iconSet" priority="230">
      <iconSet iconSet="3Symbols2" showValue="0">
        <cfvo type="percent" val="0"/>
        <cfvo type="num" val="0"/>
        <cfvo type="num" val="1"/>
      </iconSet>
    </cfRule>
  </conditionalFormatting>
  <conditionalFormatting sqref="S68:S69">
    <cfRule type="iconSet" priority="229">
      <iconSet iconSet="3Symbols2" showValue="0">
        <cfvo type="percent" val="0"/>
        <cfvo type="num" val="0"/>
        <cfvo type="num" val="1"/>
      </iconSet>
    </cfRule>
  </conditionalFormatting>
  <conditionalFormatting sqref="T70:T71">
    <cfRule type="iconSet" priority="228">
      <iconSet iconSet="3Symbols2" showValue="0">
        <cfvo type="percent" val="0"/>
        <cfvo type="num" val="0"/>
        <cfvo type="num" val="1"/>
      </iconSet>
    </cfRule>
  </conditionalFormatting>
  <conditionalFormatting sqref="R66:R71">
    <cfRule type="iconSet" priority="227">
      <iconSet iconSet="3Symbols2" showValue="0">
        <cfvo type="percent" val="0"/>
        <cfvo type="num" val="0"/>
        <cfvo type="num" val="1"/>
      </iconSet>
    </cfRule>
  </conditionalFormatting>
  <conditionalFormatting sqref="T66:T69">
    <cfRule type="iconSet" priority="226">
      <iconSet iconSet="3Symbols2" showValue="0">
        <cfvo type="percent" val="0"/>
        <cfvo type="num" val="0"/>
        <cfvo type="num" val="1"/>
      </iconSet>
    </cfRule>
  </conditionalFormatting>
  <conditionalFormatting sqref="S66:S67">
    <cfRule type="iconSet" priority="225">
      <iconSet iconSet="3Symbols2" showValue="0">
        <cfvo type="percent" val="0"/>
        <cfvo type="num" val="0"/>
        <cfvo type="num" val="1"/>
      </iconSet>
    </cfRule>
  </conditionalFormatting>
  <conditionalFormatting sqref="Q100">
    <cfRule type="iconSet" priority="224">
      <iconSet iconSet="3Symbols2" showValue="0">
        <cfvo type="percent" val="0"/>
        <cfvo type="num" val="0"/>
        <cfvo type="num" val="1"/>
      </iconSet>
    </cfRule>
  </conditionalFormatting>
  <conditionalFormatting sqref="S100">
    <cfRule type="iconSet" priority="223">
      <iconSet iconSet="3Symbols2" showValue="0">
        <cfvo type="percent" val="0"/>
        <cfvo type="num" val="0"/>
        <cfvo type="num" val="1"/>
      </iconSet>
    </cfRule>
  </conditionalFormatting>
  <conditionalFormatting sqref="Q124:Q129">
    <cfRule type="iconSet" priority="222">
      <iconSet iconSet="3Symbols2" showValue="0">
        <cfvo type="percent" val="0"/>
        <cfvo type="num" val="0"/>
        <cfvo type="num" val="1"/>
      </iconSet>
    </cfRule>
  </conditionalFormatting>
  <conditionalFormatting sqref="S124:S129">
    <cfRule type="iconSet" priority="221">
      <iconSet iconSet="3Symbols2" showValue="0">
        <cfvo type="percent" val="0"/>
        <cfvo type="num" val="0"/>
        <cfvo type="num" val="1"/>
      </iconSet>
    </cfRule>
  </conditionalFormatting>
  <conditionalFormatting sqref="Q186:Q188">
    <cfRule type="iconSet" priority="220">
      <iconSet iconSet="3Symbols2" showValue="0">
        <cfvo type="percent" val="0"/>
        <cfvo type="num" val="0"/>
        <cfvo type="num" val="1"/>
      </iconSet>
    </cfRule>
  </conditionalFormatting>
  <conditionalFormatting sqref="S186:S188">
    <cfRule type="iconSet" priority="219">
      <iconSet iconSet="3Symbols2" showValue="0">
        <cfvo type="percent" val="0"/>
        <cfvo type="num" val="0"/>
        <cfvo type="num" val="1"/>
      </iconSet>
    </cfRule>
  </conditionalFormatting>
  <conditionalFormatting sqref="R186:R188">
    <cfRule type="iconSet" priority="218">
      <iconSet iconSet="3Symbols2" showValue="0">
        <cfvo type="percent" val="0"/>
        <cfvo type="num" val="0"/>
        <cfvo type="num" val="1"/>
      </iconSet>
    </cfRule>
  </conditionalFormatting>
  <conditionalFormatting sqref="Q195">
    <cfRule type="iconSet" priority="217">
      <iconSet iconSet="3Symbols2" showValue="0">
        <cfvo type="percent" val="0"/>
        <cfvo type="num" val="0"/>
        <cfvo type="num" val="1"/>
      </iconSet>
    </cfRule>
  </conditionalFormatting>
  <conditionalFormatting sqref="S195">
    <cfRule type="iconSet" priority="216">
      <iconSet iconSet="3Symbols2" showValue="0">
        <cfvo type="percent" val="0"/>
        <cfvo type="num" val="0"/>
        <cfvo type="num" val="1"/>
      </iconSet>
    </cfRule>
  </conditionalFormatting>
  <conditionalFormatting sqref="R195">
    <cfRule type="iconSet" priority="215">
      <iconSet iconSet="3Symbols2" showValue="0">
        <cfvo type="percent" val="0"/>
        <cfvo type="num" val="0"/>
        <cfvo type="num" val="1"/>
      </iconSet>
    </cfRule>
  </conditionalFormatting>
  <conditionalFormatting sqref="Q198">
    <cfRule type="iconSet" priority="214">
      <iconSet iconSet="3Symbols2" showValue="0">
        <cfvo type="percent" val="0"/>
        <cfvo type="num" val="0"/>
        <cfvo type="num" val="1"/>
      </iconSet>
    </cfRule>
  </conditionalFormatting>
  <conditionalFormatting sqref="S198">
    <cfRule type="iconSet" priority="213">
      <iconSet iconSet="3Symbols2" showValue="0">
        <cfvo type="percent" val="0"/>
        <cfvo type="num" val="0"/>
        <cfvo type="num" val="1"/>
      </iconSet>
    </cfRule>
  </conditionalFormatting>
  <conditionalFormatting sqref="R198">
    <cfRule type="iconSet" priority="212">
      <iconSet iconSet="3Symbols2" showValue="0">
        <cfvo type="percent" val="0"/>
        <cfvo type="num" val="0"/>
        <cfvo type="num" val="1"/>
      </iconSet>
    </cfRule>
  </conditionalFormatting>
  <conditionalFormatting sqref="S568:S572">
    <cfRule type="iconSet" priority="210">
      <iconSet iconSet="3Symbols2" showValue="0">
        <cfvo type="percent" val="0"/>
        <cfvo type="num" val="0"/>
        <cfvo type="num" val="1"/>
      </iconSet>
    </cfRule>
  </conditionalFormatting>
  <conditionalFormatting sqref="S603:S606">
    <cfRule type="iconSet" priority="208">
      <iconSet iconSet="3Symbols2" showValue="0">
        <cfvo type="percent" val="0"/>
        <cfvo type="num" val="0"/>
        <cfvo type="num" val="1"/>
      </iconSet>
    </cfRule>
  </conditionalFormatting>
  <conditionalFormatting sqref="Q865:Q871">
    <cfRule type="iconSet" priority="206">
      <iconSet iconSet="3Symbols2" showValue="0">
        <cfvo type="percent" val="0"/>
        <cfvo type="num" val="0"/>
        <cfvo type="num" val="1"/>
      </iconSet>
    </cfRule>
  </conditionalFormatting>
  <conditionalFormatting sqref="S865:S871">
    <cfRule type="iconSet" priority="205">
      <iconSet iconSet="3Symbols2" showValue="0">
        <cfvo type="percent" val="0"/>
        <cfvo type="num" val="0"/>
        <cfvo type="num" val="1"/>
      </iconSet>
    </cfRule>
  </conditionalFormatting>
  <conditionalFormatting sqref="R865:R871">
    <cfRule type="iconSet" priority="204">
      <iconSet iconSet="3Symbols2" showValue="0">
        <cfvo type="percent" val="0"/>
        <cfvo type="num" val="0"/>
        <cfvo type="num" val="1"/>
      </iconSet>
    </cfRule>
  </conditionalFormatting>
  <conditionalFormatting sqref="S30">
    <cfRule type="iconSet" priority="203">
      <iconSet iconSet="3Symbols2" showValue="0">
        <cfvo type="percent" val="0"/>
        <cfvo type="num" val="0"/>
        <cfvo type="num" val="1"/>
      </iconSet>
    </cfRule>
  </conditionalFormatting>
  <conditionalFormatting sqref="Q80:Q81">
    <cfRule type="iconSet" priority="202">
      <iconSet iconSet="3Symbols2" showValue="0">
        <cfvo type="percent" val="0"/>
        <cfvo type="num" val="0"/>
        <cfvo type="num" val="1"/>
      </iconSet>
    </cfRule>
  </conditionalFormatting>
  <conditionalFormatting sqref="R80:R81">
    <cfRule type="iconSet" priority="201">
      <iconSet iconSet="3Symbols2" showValue="0">
        <cfvo type="percent" val="0"/>
        <cfvo type="num" val="0"/>
        <cfvo type="num" val="1"/>
      </iconSet>
    </cfRule>
  </conditionalFormatting>
  <conditionalFormatting sqref="Q148:Q149">
    <cfRule type="iconSet" priority="200">
      <iconSet iconSet="3Symbols2" showValue="0">
        <cfvo type="percent" val="0"/>
        <cfvo type="num" val="0"/>
        <cfvo type="num" val="1"/>
      </iconSet>
    </cfRule>
  </conditionalFormatting>
  <conditionalFormatting sqref="S148:S149">
    <cfRule type="iconSet" priority="199">
      <iconSet iconSet="3Symbols2" showValue="0">
        <cfvo type="percent" val="0"/>
        <cfvo type="num" val="0"/>
        <cfvo type="num" val="1"/>
      </iconSet>
    </cfRule>
  </conditionalFormatting>
  <conditionalFormatting sqref="R148:R149">
    <cfRule type="iconSet" priority="198">
      <iconSet iconSet="3Symbols2" showValue="0">
        <cfvo type="percent" val="0"/>
        <cfvo type="num" val="0"/>
        <cfvo type="num" val="1"/>
      </iconSet>
    </cfRule>
  </conditionalFormatting>
  <conditionalFormatting sqref="Q162:Q164">
    <cfRule type="iconSet" priority="197">
      <iconSet iconSet="3Symbols2" showValue="0">
        <cfvo type="percent" val="0"/>
        <cfvo type="num" val="0"/>
        <cfvo type="num" val="1"/>
      </iconSet>
    </cfRule>
  </conditionalFormatting>
  <conditionalFormatting sqref="S162:S164">
    <cfRule type="iconSet" priority="196">
      <iconSet iconSet="3Symbols2" showValue="0">
        <cfvo type="percent" val="0"/>
        <cfvo type="num" val="0"/>
        <cfvo type="num" val="1"/>
      </iconSet>
    </cfRule>
  </conditionalFormatting>
  <conditionalFormatting sqref="R162:R164">
    <cfRule type="iconSet" priority="195">
      <iconSet iconSet="3Symbols2" showValue="0">
        <cfvo type="percent" val="0"/>
        <cfvo type="num" val="0"/>
        <cfvo type="num" val="1"/>
      </iconSet>
    </cfRule>
  </conditionalFormatting>
  <conditionalFormatting sqref="Q182">
    <cfRule type="iconSet" priority="194">
      <iconSet iconSet="3Symbols2" showValue="0">
        <cfvo type="percent" val="0"/>
        <cfvo type="num" val="0"/>
        <cfvo type="num" val="1"/>
      </iconSet>
    </cfRule>
  </conditionalFormatting>
  <conditionalFormatting sqref="S182">
    <cfRule type="iconSet" priority="193">
      <iconSet iconSet="3Symbols2" showValue="0">
        <cfvo type="percent" val="0"/>
        <cfvo type="num" val="0"/>
        <cfvo type="num" val="1"/>
      </iconSet>
    </cfRule>
  </conditionalFormatting>
  <conditionalFormatting sqref="R182">
    <cfRule type="iconSet" priority="192">
      <iconSet iconSet="3Symbols2" showValue="0">
        <cfvo type="percent" val="0"/>
        <cfvo type="num" val="0"/>
        <cfvo type="num" val="1"/>
      </iconSet>
    </cfRule>
  </conditionalFormatting>
  <conditionalFormatting sqref="Q238:Q239">
    <cfRule type="iconSet" priority="191">
      <iconSet iconSet="3Symbols2" showValue="0">
        <cfvo type="percent" val="0"/>
        <cfvo type="num" val="0"/>
        <cfvo type="num" val="1"/>
      </iconSet>
    </cfRule>
  </conditionalFormatting>
  <conditionalFormatting sqref="S238:S239">
    <cfRule type="iconSet" priority="190">
      <iconSet iconSet="3Symbols2" showValue="0">
        <cfvo type="percent" val="0"/>
        <cfvo type="num" val="0"/>
        <cfvo type="num" val="1"/>
      </iconSet>
    </cfRule>
  </conditionalFormatting>
  <conditionalFormatting sqref="R238:R239">
    <cfRule type="iconSet" priority="189">
      <iconSet iconSet="3Symbols2" showValue="0">
        <cfvo type="percent" val="0"/>
        <cfvo type="num" val="0"/>
        <cfvo type="num" val="1"/>
      </iconSet>
    </cfRule>
  </conditionalFormatting>
  <conditionalFormatting sqref="Q282">
    <cfRule type="iconSet" priority="188">
      <iconSet iconSet="3Symbols2" showValue="0">
        <cfvo type="percent" val="0"/>
        <cfvo type="num" val="0"/>
        <cfvo type="num" val="1"/>
      </iconSet>
    </cfRule>
  </conditionalFormatting>
  <conditionalFormatting sqref="S282">
    <cfRule type="iconSet" priority="187">
      <iconSet iconSet="3Symbols2" showValue="0">
        <cfvo type="percent" val="0"/>
        <cfvo type="num" val="0"/>
        <cfvo type="num" val="1"/>
      </iconSet>
    </cfRule>
  </conditionalFormatting>
  <conditionalFormatting sqref="R282">
    <cfRule type="iconSet" priority="186">
      <iconSet iconSet="3Symbols2" showValue="0">
        <cfvo type="percent" val="0"/>
        <cfvo type="num" val="0"/>
        <cfvo type="num" val="1"/>
      </iconSet>
    </cfRule>
  </conditionalFormatting>
  <conditionalFormatting sqref="Q799:Q801">
    <cfRule type="iconSet" priority="185">
      <iconSet iconSet="3Symbols2" showValue="0">
        <cfvo type="percent" val="0"/>
        <cfvo type="num" val="0"/>
        <cfvo type="num" val="1"/>
      </iconSet>
    </cfRule>
  </conditionalFormatting>
  <conditionalFormatting sqref="S799:S801">
    <cfRule type="iconSet" priority="184">
      <iconSet iconSet="3Symbols2" showValue="0">
        <cfvo type="percent" val="0"/>
        <cfvo type="num" val="0"/>
        <cfvo type="num" val="1"/>
      </iconSet>
    </cfRule>
  </conditionalFormatting>
  <conditionalFormatting sqref="R799:R801">
    <cfRule type="iconSet" priority="183">
      <iconSet iconSet="3Symbols2" showValue="0">
        <cfvo type="percent" val="0"/>
        <cfvo type="num" val="0"/>
        <cfvo type="num" val="1"/>
      </iconSet>
    </cfRule>
  </conditionalFormatting>
  <conditionalFormatting sqref="Q804:Q809">
    <cfRule type="iconSet" priority="182">
      <iconSet iconSet="3Symbols2" showValue="0">
        <cfvo type="percent" val="0"/>
        <cfvo type="num" val="0"/>
        <cfvo type="num" val="1"/>
      </iconSet>
    </cfRule>
  </conditionalFormatting>
  <conditionalFormatting sqref="S804:S809">
    <cfRule type="iconSet" priority="181">
      <iconSet iconSet="3Symbols2" showValue="0">
        <cfvo type="percent" val="0"/>
        <cfvo type="num" val="0"/>
        <cfvo type="num" val="1"/>
      </iconSet>
    </cfRule>
  </conditionalFormatting>
  <conditionalFormatting sqref="R804:R809">
    <cfRule type="iconSet" priority="180">
      <iconSet iconSet="3Symbols2" showValue="0">
        <cfvo type="percent" val="0"/>
        <cfvo type="num" val="0"/>
        <cfvo type="num" val="1"/>
      </iconSet>
    </cfRule>
  </conditionalFormatting>
  <conditionalFormatting sqref="Q816:Q817">
    <cfRule type="iconSet" priority="179">
      <iconSet iconSet="3Symbols2" showValue="0">
        <cfvo type="percent" val="0"/>
        <cfvo type="num" val="0"/>
        <cfvo type="num" val="1"/>
      </iconSet>
    </cfRule>
  </conditionalFormatting>
  <conditionalFormatting sqref="S816:S817">
    <cfRule type="iconSet" priority="178">
      <iconSet iconSet="3Symbols2" showValue="0">
        <cfvo type="percent" val="0"/>
        <cfvo type="num" val="0"/>
        <cfvo type="num" val="1"/>
      </iconSet>
    </cfRule>
  </conditionalFormatting>
  <conditionalFormatting sqref="R816:R817">
    <cfRule type="iconSet" priority="177">
      <iconSet iconSet="3Symbols2" showValue="0">
        <cfvo type="percent" val="0"/>
        <cfvo type="num" val="0"/>
        <cfvo type="num" val="1"/>
      </iconSet>
    </cfRule>
  </conditionalFormatting>
  <conditionalFormatting sqref="Q827:Q828">
    <cfRule type="iconSet" priority="176">
      <iconSet iconSet="3Symbols2" showValue="0">
        <cfvo type="percent" val="0"/>
        <cfvo type="num" val="0"/>
        <cfvo type="num" val="1"/>
      </iconSet>
    </cfRule>
  </conditionalFormatting>
  <conditionalFormatting sqref="R827:R828">
    <cfRule type="iconSet" priority="175">
      <iconSet iconSet="3Symbols2" showValue="0">
        <cfvo type="percent" val="0"/>
        <cfvo type="num" val="0"/>
        <cfvo type="num" val="1"/>
      </iconSet>
    </cfRule>
  </conditionalFormatting>
  <conditionalFormatting sqref="L977:L981 L949:L950 L940:L946 L913 L911 L907 L905 L900:L901 L893:L896 L886:L887 L882:L883 L873:L879 L860 L839 L837 L835 L832:L833 L821 L583:L602 L575:L580 L556:L565 L345:L346 L330:L331 L300 L298 L293:L294 L290:L291 L287:L288 L284:L285 L279 L277 L192 L172:L180 L168 L165:L166 L48:L49 L810:L814 L19:L25">
    <cfRule type="iconSet" priority="174">
      <iconSet iconSet="3Symbols2" showValue="0">
        <cfvo type="percent" val="0"/>
        <cfvo type="num" val="0"/>
        <cfvo type="num" val="1"/>
      </iconSet>
    </cfRule>
  </conditionalFormatting>
  <conditionalFormatting sqref="L466:L479 L459:L463 L448:L456 L395:L398 L50:L51 L386:L392">
    <cfRule type="iconSet" priority="173">
      <iconSet iconSet="3Symbols2" showValue="0">
        <cfvo type="percent" val="0"/>
        <cfvo type="num" val="0"/>
        <cfvo type="num" val="1"/>
      </iconSet>
    </cfRule>
  </conditionalFormatting>
  <conditionalFormatting sqref="Q853:R856">
    <cfRule type="iconSet" priority="172">
      <iconSet iconSet="3Symbols2" showValue="0">
        <cfvo type="percent" val="0"/>
        <cfvo type="num" val="0"/>
        <cfvo type="num" val="1"/>
      </iconSet>
    </cfRule>
  </conditionalFormatting>
  <conditionalFormatting sqref="Q522:R530">
    <cfRule type="iconSet" priority="171">
      <iconSet iconSet="3Symbols2" showValue="0">
        <cfvo type="percent" val="0"/>
        <cfvo type="num" val="0"/>
        <cfvo type="num" val="1"/>
      </iconSet>
    </cfRule>
  </conditionalFormatting>
  <conditionalFormatting sqref="L359:M361">
    <cfRule type="iconSet" priority="170">
      <iconSet iconSet="3Symbols2" showValue="0">
        <cfvo type="percent" val="0"/>
        <cfvo type="num" val="0"/>
        <cfvo type="num" val="1"/>
      </iconSet>
    </cfRule>
  </conditionalFormatting>
  <conditionalFormatting sqref="Q359:R361">
    <cfRule type="iconSet" priority="169">
      <iconSet iconSet="3Symbols2" showValue="0">
        <cfvo type="percent" val="0"/>
        <cfvo type="num" val="0"/>
        <cfvo type="num" val="1"/>
      </iconSet>
    </cfRule>
  </conditionalFormatting>
  <conditionalFormatting sqref="L266:M266">
    <cfRule type="iconSet" priority="168">
      <iconSet iconSet="3Symbols2" showValue="0">
        <cfvo type="percent" val="0"/>
        <cfvo type="num" val="0"/>
        <cfvo type="num" val="1"/>
      </iconSet>
    </cfRule>
  </conditionalFormatting>
  <conditionalFormatting sqref="Q266:R266">
    <cfRule type="iconSet" priority="167">
      <iconSet iconSet="3Symbols2" showValue="0">
        <cfvo type="percent" val="0"/>
        <cfvo type="num" val="0"/>
        <cfvo type="num" val="1"/>
      </iconSet>
    </cfRule>
  </conditionalFormatting>
  <conditionalFormatting sqref="J947:J948">
    <cfRule type="iconSet" priority="166">
      <iconSet iconSet="3Symbols2" showValue="0">
        <cfvo type="percent" val="0"/>
        <cfvo type="num" val="0"/>
        <cfvo type="num" val="1"/>
      </iconSet>
    </cfRule>
  </conditionalFormatting>
  <conditionalFormatting sqref="J624 L624">
    <cfRule type="iconSet" priority="165">
      <iconSet iconSet="3Symbols2" showValue="0">
        <cfvo type="percent" val="0"/>
        <cfvo type="num" val="0"/>
        <cfvo type="num" val="1"/>
      </iconSet>
    </cfRule>
  </conditionalFormatting>
  <conditionalFormatting sqref="J628 L628">
    <cfRule type="iconSet" priority="164">
      <iconSet iconSet="3Symbols2" showValue="0">
        <cfvo type="percent" val="0"/>
        <cfvo type="num" val="0"/>
        <cfvo type="num" val="1"/>
      </iconSet>
    </cfRule>
  </conditionalFormatting>
  <conditionalFormatting sqref="M624">
    <cfRule type="iconSet" priority="163">
      <iconSet iconSet="3Symbols2" showValue="0">
        <cfvo type="percent" val="0"/>
        <cfvo type="num" val="0"/>
        <cfvo type="num" val="1"/>
      </iconSet>
    </cfRule>
  </conditionalFormatting>
  <conditionalFormatting sqref="M628">
    <cfRule type="iconSet" priority="162">
      <iconSet iconSet="3Symbols2" showValue="0">
        <cfvo type="percent" val="0"/>
        <cfvo type="num" val="0"/>
        <cfvo type="num" val="1"/>
      </iconSet>
    </cfRule>
  </conditionalFormatting>
  <conditionalFormatting sqref="M612:N615">
    <cfRule type="iconSet" priority="161">
      <iconSet iconSet="3Symbols2" showValue="0">
        <cfvo type="percent" val="0"/>
        <cfvo type="num" val="0"/>
        <cfvo type="num" val="1"/>
      </iconSet>
    </cfRule>
  </conditionalFormatting>
  <conditionalFormatting sqref="Q620">
    <cfRule type="iconSet" priority="160">
      <iconSet iconSet="3Symbols2" showValue="0">
        <cfvo type="percent" val="0"/>
        <cfvo type="num" val="0"/>
        <cfvo type="num" val="1"/>
      </iconSet>
    </cfRule>
  </conditionalFormatting>
  <conditionalFormatting sqref="Q625">
    <cfRule type="iconSet" priority="159">
      <iconSet iconSet="3Symbols2" showValue="0">
        <cfvo type="percent" val="0"/>
        <cfvo type="num" val="0"/>
        <cfvo type="num" val="1"/>
      </iconSet>
    </cfRule>
  </conditionalFormatting>
  <conditionalFormatting sqref="N624">
    <cfRule type="iconSet" priority="137">
      <iconSet iconSet="3Symbols2" showValue="0">
        <cfvo type="percent" val="0"/>
        <cfvo type="num" val="0"/>
        <cfvo type="num" val="1"/>
      </iconSet>
    </cfRule>
  </conditionalFormatting>
  <conditionalFormatting sqref="N628">
    <cfRule type="iconSet" priority="136">
      <iconSet iconSet="3Symbols2" showValue="0">
        <cfvo type="percent" val="0"/>
        <cfvo type="num" val="0"/>
        <cfvo type="num" val="1"/>
      </iconSet>
    </cfRule>
  </conditionalFormatting>
  <conditionalFormatting sqref="Q173:Q175">
    <cfRule type="iconSet" priority="127">
      <iconSet iconSet="3Symbols2" showValue="0">
        <cfvo type="percent" val="0"/>
        <cfvo type="num" val="0"/>
        <cfvo type="num" val="1"/>
      </iconSet>
    </cfRule>
  </conditionalFormatting>
  <conditionalFormatting sqref="S173:S175">
    <cfRule type="iconSet" priority="126">
      <iconSet iconSet="3Symbols2" showValue="0">
        <cfvo type="percent" val="0"/>
        <cfvo type="num" val="0"/>
        <cfvo type="num" val="1"/>
      </iconSet>
    </cfRule>
  </conditionalFormatting>
  <conditionalFormatting sqref="N223">
    <cfRule type="iconSet" priority="97051">
      <iconSet iconSet="3Symbols2" showValue="0">
        <cfvo type="percent" val="0"/>
        <cfvo type="num" val="0"/>
        <cfvo type="num" val="1"/>
      </iconSet>
    </cfRule>
  </conditionalFormatting>
  <conditionalFormatting sqref="Q223">
    <cfRule type="iconSet" priority="97052">
      <iconSet iconSet="3Symbols2" showValue="0">
        <cfvo type="percent" val="0"/>
        <cfvo type="num" val="0"/>
        <cfvo type="num" val="1"/>
      </iconSet>
    </cfRule>
  </conditionalFormatting>
  <conditionalFormatting sqref="R223">
    <cfRule type="iconSet" priority="97053">
      <iconSet iconSet="3Symbols2" showValue="0">
        <cfvo type="percent" val="0"/>
        <cfvo type="num" val="0"/>
        <cfvo type="num" val="1"/>
      </iconSet>
    </cfRule>
  </conditionalFormatting>
  <conditionalFormatting sqref="S223">
    <cfRule type="iconSet" priority="97054">
      <iconSet iconSet="3Symbols2" showValue="0">
        <cfvo type="percent" val="0"/>
        <cfvo type="num" val="0"/>
        <cfvo type="num" val="1"/>
      </iconSet>
    </cfRule>
  </conditionalFormatting>
  <conditionalFormatting sqref="Q192">
    <cfRule type="iconSet" priority="125">
      <iconSet iconSet="3Symbols2" showValue="0">
        <cfvo type="percent" val="0"/>
        <cfvo type="num" val="0"/>
        <cfvo type="num" val="1"/>
      </iconSet>
    </cfRule>
  </conditionalFormatting>
  <conditionalFormatting sqref="S192">
    <cfRule type="iconSet" priority="124">
      <iconSet iconSet="3Symbols2" showValue="0">
        <cfvo type="percent" val="0"/>
        <cfvo type="num" val="0"/>
        <cfvo type="num" val="1"/>
      </iconSet>
    </cfRule>
  </conditionalFormatting>
  <conditionalFormatting sqref="S814">
    <cfRule type="iconSet" priority="123">
      <iconSet iconSet="3Symbols2" showValue="0">
        <cfvo type="percent" val="0"/>
        <cfvo type="num" val="0"/>
        <cfvo type="num" val="1"/>
      </iconSet>
    </cfRule>
  </conditionalFormatting>
  <conditionalFormatting sqref="Q814">
    <cfRule type="iconSet" priority="122">
      <iconSet iconSet="3Symbols2" showValue="0">
        <cfvo type="percent" val="0"/>
        <cfvo type="num" val="0"/>
        <cfvo type="num" val="1"/>
      </iconSet>
    </cfRule>
  </conditionalFormatting>
  <conditionalFormatting sqref="Q977:Q981">
    <cfRule type="iconSet" priority="121">
      <iconSet iconSet="3Symbols2" showValue="0">
        <cfvo type="percent" val="0"/>
        <cfvo type="num" val="0"/>
        <cfvo type="num" val="1"/>
      </iconSet>
    </cfRule>
  </conditionalFormatting>
  <conditionalFormatting sqref="S977:S981">
    <cfRule type="iconSet" priority="120">
      <iconSet iconSet="3Symbols2" showValue="0">
        <cfvo type="percent" val="0"/>
        <cfvo type="num" val="0"/>
        <cfvo type="num" val="1"/>
      </iconSet>
    </cfRule>
  </conditionalFormatting>
  <conditionalFormatting sqref="Q168">
    <cfRule type="iconSet" priority="118">
      <iconSet iconSet="3Symbols2" showValue="0">
        <cfvo type="percent" val="0"/>
        <cfvo type="num" val="0"/>
        <cfvo type="num" val="1"/>
      </iconSet>
    </cfRule>
  </conditionalFormatting>
  <conditionalFormatting sqref="S168">
    <cfRule type="iconSet" priority="117">
      <iconSet iconSet="3Symbols2" showValue="0">
        <cfvo type="percent" val="0"/>
        <cfvo type="num" val="0"/>
        <cfvo type="num" val="1"/>
      </iconSet>
    </cfRule>
  </conditionalFormatting>
  <conditionalFormatting sqref="Q177">
    <cfRule type="iconSet" priority="116">
      <iconSet iconSet="3Symbols2" showValue="0">
        <cfvo type="percent" val="0"/>
        <cfvo type="num" val="0"/>
        <cfvo type="num" val="1"/>
      </iconSet>
    </cfRule>
  </conditionalFormatting>
  <conditionalFormatting sqref="S177">
    <cfRule type="iconSet" priority="115">
      <iconSet iconSet="3Symbols2" showValue="0">
        <cfvo type="percent" val="0"/>
        <cfvo type="num" val="0"/>
        <cfvo type="num" val="1"/>
      </iconSet>
    </cfRule>
  </conditionalFormatting>
  <conditionalFormatting sqref="S178">
    <cfRule type="iconSet" priority="114">
      <iconSet iconSet="3Symbols2" showValue="0">
        <cfvo type="percent" val="0"/>
        <cfvo type="num" val="0"/>
        <cfvo type="num" val="1"/>
      </iconSet>
    </cfRule>
  </conditionalFormatting>
  <conditionalFormatting sqref="Q178">
    <cfRule type="iconSet" priority="113">
      <iconSet iconSet="3Symbols2" showValue="0">
        <cfvo type="percent" val="0"/>
        <cfvo type="num" val="0"/>
        <cfvo type="num" val="1"/>
      </iconSet>
    </cfRule>
  </conditionalFormatting>
  <conditionalFormatting sqref="Q284">
    <cfRule type="iconSet" priority="112">
      <iconSet iconSet="3Symbols2" showValue="0">
        <cfvo type="percent" val="0"/>
        <cfvo type="num" val="0"/>
        <cfvo type="num" val="1"/>
      </iconSet>
    </cfRule>
  </conditionalFormatting>
  <conditionalFormatting sqref="S284">
    <cfRule type="iconSet" priority="111">
      <iconSet iconSet="3Symbols2" showValue="0">
        <cfvo type="percent" val="0"/>
        <cfvo type="num" val="0"/>
        <cfvo type="num" val="1"/>
      </iconSet>
    </cfRule>
  </conditionalFormatting>
  <conditionalFormatting sqref="Q285">
    <cfRule type="iconSet" priority="110">
      <iconSet iconSet="3Symbols2" showValue="0">
        <cfvo type="percent" val="0"/>
        <cfvo type="num" val="0"/>
        <cfvo type="num" val="1"/>
      </iconSet>
    </cfRule>
  </conditionalFormatting>
  <conditionalFormatting sqref="S285">
    <cfRule type="iconSet" priority="109">
      <iconSet iconSet="3Symbols2" showValue="0">
        <cfvo type="percent" val="0"/>
        <cfvo type="num" val="0"/>
        <cfvo type="num" val="1"/>
      </iconSet>
    </cfRule>
  </conditionalFormatting>
  <conditionalFormatting sqref="Q287:Q288">
    <cfRule type="iconSet" priority="108">
      <iconSet iconSet="3Symbols2" showValue="0">
        <cfvo type="percent" val="0"/>
        <cfvo type="num" val="0"/>
        <cfvo type="num" val="1"/>
      </iconSet>
    </cfRule>
  </conditionalFormatting>
  <conditionalFormatting sqref="S287:S288">
    <cfRule type="iconSet" priority="107">
      <iconSet iconSet="3Symbols2" showValue="0">
        <cfvo type="percent" val="0"/>
        <cfvo type="num" val="0"/>
        <cfvo type="num" val="1"/>
      </iconSet>
    </cfRule>
  </conditionalFormatting>
  <conditionalFormatting sqref="Q290">
    <cfRule type="iconSet" priority="106">
      <iconSet iconSet="3Symbols2" showValue="0">
        <cfvo type="percent" val="0"/>
        <cfvo type="num" val="0"/>
        <cfvo type="num" val="1"/>
      </iconSet>
    </cfRule>
  </conditionalFormatting>
  <conditionalFormatting sqref="S290">
    <cfRule type="iconSet" priority="105">
      <iconSet iconSet="3Symbols2" showValue="0">
        <cfvo type="percent" val="0"/>
        <cfvo type="num" val="0"/>
        <cfvo type="num" val="1"/>
      </iconSet>
    </cfRule>
  </conditionalFormatting>
  <conditionalFormatting sqref="Q293">
    <cfRule type="iconSet" priority="104">
      <iconSet iconSet="3Symbols2" showValue="0">
        <cfvo type="percent" val="0"/>
        <cfvo type="num" val="0"/>
        <cfvo type="num" val="1"/>
      </iconSet>
    </cfRule>
  </conditionalFormatting>
  <conditionalFormatting sqref="S293">
    <cfRule type="iconSet" priority="103">
      <iconSet iconSet="3Symbols2" showValue="0">
        <cfvo type="percent" val="0"/>
        <cfvo type="num" val="0"/>
        <cfvo type="num" val="1"/>
      </iconSet>
    </cfRule>
  </conditionalFormatting>
  <conditionalFormatting sqref="Q291">
    <cfRule type="iconSet" priority="102">
      <iconSet iconSet="3Symbols2" showValue="0">
        <cfvo type="percent" val="0"/>
        <cfvo type="num" val="0"/>
        <cfvo type="num" val="1"/>
      </iconSet>
    </cfRule>
  </conditionalFormatting>
  <conditionalFormatting sqref="S291">
    <cfRule type="iconSet" priority="101">
      <iconSet iconSet="3Symbols2" showValue="0">
        <cfvo type="percent" val="0"/>
        <cfvo type="num" val="0"/>
        <cfvo type="num" val="1"/>
      </iconSet>
    </cfRule>
  </conditionalFormatting>
  <conditionalFormatting sqref="Q345:Q346">
    <cfRule type="iconSet" priority="100">
      <iconSet iconSet="3Symbols2" showValue="0">
        <cfvo type="percent" val="0"/>
        <cfvo type="num" val="0"/>
        <cfvo type="num" val="1"/>
      </iconSet>
    </cfRule>
  </conditionalFormatting>
  <conditionalFormatting sqref="S345">
    <cfRule type="iconSet" priority="99">
      <iconSet iconSet="3Symbols2" showValue="0">
        <cfvo type="percent" val="0"/>
        <cfvo type="num" val="0"/>
        <cfvo type="num" val="1"/>
      </iconSet>
    </cfRule>
  </conditionalFormatting>
  <conditionalFormatting sqref="S346">
    <cfRule type="iconSet" priority="98">
      <iconSet iconSet="3Symbols2" showValue="0">
        <cfvo type="percent" val="0"/>
        <cfvo type="num" val="0"/>
        <cfvo type="num" val="1"/>
      </iconSet>
    </cfRule>
  </conditionalFormatting>
  <conditionalFormatting sqref="M832">
    <cfRule type="iconSet" priority="97">
      <iconSet iconSet="3Symbols2" showValue="0">
        <cfvo type="percent" val="0"/>
        <cfvo type="num" val="0"/>
        <cfvo type="num" val="1"/>
      </iconSet>
    </cfRule>
  </conditionalFormatting>
  <conditionalFormatting sqref="Q832:R832">
    <cfRule type="iconSet" priority="96">
      <iconSet iconSet="3Symbols2" showValue="0">
        <cfvo type="percent" val="0"/>
        <cfvo type="num" val="0"/>
        <cfvo type="num" val="1"/>
      </iconSet>
    </cfRule>
  </conditionalFormatting>
  <conditionalFormatting sqref="R835">
    <cfRule type="iconSet" priority="95">
      <iconSet iconSet="3Symbols2" showValue="0">
        <cfvo type="percent" val="0"/>
        <cfvo type="num" val="0"/>
        <cfvo type="num" val="1"/>
      </iconSet>
    </cfRule>
  </conditionalFormatting>
  <conditionalFormatting sqref="Q835">
    <cfRule type="iconSet" priority="94">
      <iconSet iconSet="3Symbols2" showValue="0">
        <cfvo type="percent" val="0"/>
        <cfvo type="num" val="0"/>
        <cfvo type="num" val="1"/>
      </iconSet>
    </cfRule>
  </conditionalFormatting>
  <conditionalFormatting sqref="R837">
    <cfRule type="iconSet" priority="93">
      <iconSet iconSet="3Symbols2" showValue="0">
        <cfvo type="percent" val="0"/>
        <cfvo type="num" val="0"/>
        <cfvo type="num" val="1"/>
      </iconSet>
    </cfRule>
  </conditionalFormatting>
  <conditionalFormatting sqref="Q837">
    <cfRule type="iconSet" priority="92">
      <iconSet iconSet="3Symbols2" showValue="0">
        <cfvo type="percent" val="0"/>
        <cfvo type="num" val="0"/>
        <cfvo type="num" val="1"/>
      </iconSet>
    </cfRule>
  </conditionalFormatting>
  <conditionalFormatting sqref="S940:S950">
    <cfRule type="iconSet" priority="91">
      <iconSet iconSet="3Symbols2" showValue="0">
        <cfvo type="percent" val="0"/>
        <cfvo type="num" val="0"/>
        <cfvo type="num" val="1"/>
      </iconSet>
    </cfRule>
  </conditionalFormatting>
  <conditionalFormatting sqref="Q949:Q950 Q940:Q946">
    <cfRule type="iconSet" priority="90">
      <iconSet iconSet="3Symbols2" showValue="0">
        <cfvo type="percent" val="0"/>
        <cfvo type="num" val="0"/>
        <cfvo type="num" val="1"/>
      </iconSet>
    </cfRule>
  </conditionalFormatting>
  <conditionalFormatting sqref="S987 S951:S976">
    <cfRule type="iconSet" priority="100646">
      <iconSet iconSet="3Symbols2" showValue="0">
        <cfvo type="percent" val="0"/>
        <cfvo type="num" val="0"/>
        <cfvo type="num" val="1"/>
      </iconSet>
    </cfRule>
  </conditionalFormatting>
  <conditionalFormatting sqref="R893">
    <cfRule type="iconSet" priority="89">
      <iconSet iconSet="3Symbols2" showValue="0">
        <cfvo type="percent" val="0"/>
        <cfvo type="num" val="0"/>
        <cfvo type="num" val="1"/>
      </iconSet>
    </cfRule>
  </conditionalFormatting>
  <conditionalFormatting sqref="Q893">
    <cfRule type="iconSet" priority="88">
      <iconSet iconSet="3Symbols2" showValue="0">
        <cfvo type="percent" val="0"/>
        <cfvo type="num" val="0"/>
        <cfvo type="num" val="1"/>
      </iconSet>
    </cfRule>
  </conditionalFormatting>
  <conditionalFormatting sqref="S872:S881 S573:S602 S272:S281 S220 S40:S65 S72:S99 S101:S123 S130:S147 S189:S191 S196:S197 S199:S218 S150:S161 S165:S167 S183:S185 S283 S802:S803 S818:S820 S240:S267 S607:S621 S222 S224:S237 S176 S193:S194 S810:S813 S815 S169:S172 S179:S181 S286 S289 S292 S294:S344 S752:S781 S786:S798 S566:S567 S861:S864 S884:S885 S888:S900 S902:S904 S906 S908:S910 S912 S822:S859 S624:S645 S648:S746 S347:S555 S914:S939 S10:S27">
    <cfRule type="iconSet" priority="100911">
      <iconSet iconSet="3Symbols2" showValue="0">
        <cfvo type="percent" val="0"/>
        <cfvo type="num" val="0"/>
        <cfvo type="num" val="1"/>
      </iconSet>
    </cfRule>
  </conditionalFormatting>
  <conditionalFormatting sqref="R895">
    <cfRule type="iconSet" priority="101002">
      <iconSet iconSet="3Symbols2" showValue="0">
        <cfvo type="percent" val="0"/>
        <cfvo type="num" val="0"/>
        <cfvo type="num" val="1"/>
      </iconSet>
    </cfRule>
  </conditionalFormatting>
  <conditionalFormatting sqref="Q895">
    <cfRule type="iconSet" priority="101003">
      <iconSet iconSet="3Symbols2" showValue="0">
        <cfvo type="percent" val="0"/>
        <cfvo type="num" val="0"/>
        <cfvo type="num" val="1"/>
      </iconSet>
    </cfRule>
  </conditionalFormatting>
  <conditionalFormatting sqref="R900">
    <cfRule type="iconSet" priority="85">
      <iconSet iconSet="3Symbols2" showValue="0">
        <cfvo type="percent" val="0"/>
        <cfvo type="num" val="0"/>
        <cfvo type="num" val="1"/>
      </iconSet>
    </cfRule>
  </conditionalFormatting>
  <conditionalFormatting sqref="Q900">
    <cfRule type="iconSet" priority="84">
      <iconSet iconSet="3Symbols2" showValue="0">
        <cfvo type="percent" val="0"/>
        <cfvo type="num" val="0"/>
        <cfvo type="num" val="1"/>
      </iconSet>
    </cfRule>
  </conditionalFormatting>
  <conditionalFormatting sqref="Q573">
    <cfRule type="iconSet" priority="82">
      <iconSet iconSet="3Symbols2" showValue="0">
        <cfvo type="percent" val="0"/>
        <cfvo type="num" val="0"/>
        <cfvo type="num" val="1"/>
      </iconSet>
    </cfRule>
  </conditionalFormatting>
  <conditionalFormatting sqref="Q581">
    <cfRule type="iconSet" priority="81">
      <iconSet iconSet="3Symbols2" showValue="0">
        <cfvo type="percent" val="0"/>
        <cfvo type="num" val="0"/>
        <cfvo type="num" val="1"/>
      </iconSet>
    </cfRule>
  </conditionalFormatting>
  <conditionalFormatting sqref="Q574 Q582 Q566:Q572 Q603:Q610">
    <cfRule type="iconSet" priority="83">
      <iconSet iconSet="3Symbols2" showValue="0">
        <cfvo type="percent" val="0"/>
        <cfvo type="num" val="0"/>
        <cfvo type="num" val="1"/>
      </iconSet>
    </cfRule>
  </conditionalFormatting>
  <conditionalFormatting sqref="R573">
    <cfRule type="iconSet" priority="79">
      <iconSet iconSet="3Symbols2" showValue="0">
        <cfvo type="percent" val="0"/>
        <cfvo type="num" val="0"/>
        <cfvo type="num" val="1"/>
      </iconSet>
    </cfRule>
  </conditionalFormatting>
  <conditionalFormatting sqref="R581">
    <cfRule type="iconSet" priority="78">
      <iconSet iconSet="3Symbols2" showValue="0">
        <cfvo type="percent" val="0"/>
        <cfvo type="num" val="0"/>
        <cfvo type="num" val="1"/>
      </iconSet>
    </cfRule>
  </conditionalFormatting>
  <conditionalFormatting sqref="R574:R580 R556:R572 R582:R610">
    <cfRule type="iconSet" priority="80">
      <iconSet iconSet="3Symbols2" showValue="0">
        <cfvo type="percent" val="0"/>
        <cfvo type="num" val="0"/>
        <cfvo type="num" val="1"/>
      </iconSet>
    </cfRule>
  </conditionalFormatting>
  <conditionalFormatting sqref="M940:N950 O270:O271 M574:N580 M556:N572 M827:N828 M100:N100 M582:N611 M80:N83 M977:N981 M625 M635:N635 M620:M621 M629 M649 M659:N659 M644:M645 M653">
    <cfRule type="iconSet" priority="102881">
      <iconSet iconSet="3Symbols2" showValue="0">
        <cfvo type="percent" val="0"/>
        <cfvo type="num" val="0"/>
        <cfvo type="num" val="1"/>
      </iconSet>
    </cfRule>
  </conditionalFormatting>
  <conditionalFormatting sqref="L752">
    <cfRule type="iconSet" priority="76">
      <iconSet iconSet="3Symbols2" showValue="0">
        <cfvo type="percent" val="0"/>
        <cfvo type="num" val="0"/>
        <cfvo type="num" val="1"/>
      </iconSet>
    </cfRule>
  </conditionalFormatting>
  <conditionalFormatting sqref="M752:N752">
    <cfRule type="iconSet" priority="74">
      <iconSet iconSet="3Symbols2" showValue="0">
        <cfvo type="percent" val="0"/>
        <cfvo type="num" val="0"/>
        <cfvo type="num" val="1"/>
      </iconSet>
    </cfRule>
  </conditionalFormatting>
  <conditionalFormatting sqref="S747:S751">
    <cfRule type="iconSet" priority="72">
      <iconSet iconSet="3Symbols2" showValue="0">
        <cfvo type="percent" val="0"/>
        <cfvo type="num" val="0"/>
        <cfvo type="num" val="1"/>
      </iconSet>
    </cfRule>
  </conditionalFormatting>
  <conditionalFormatting sqref="Q790">
    <cfRule type="iconSet" priority="71">
      <iconSet iconSet="3Symbols2" showValue="0">
        <cfvo type="percent" val="0"/>
        <cfvo type="num" val="0"/>
        <cfvo type="num" val="1"/>
      </iconSet>
    </cfRule>
  </conditionalFormatting>
  <conditionalFormatting sqref="S782:S785">
    <cfRule type="iconSet" priority="70">
      <iconSet iconSet="3Symbols2" showValue="0">
        <cfvo type="percent" val="0"/>
        <cfvo type="num" val="0"/>
        <cfvo type="num" val="1"/>
      </iconSet>
    </cfRule>
  </conditionalFormatting>
  <conditionalFormatting sqref="T786:T790">
    <cfRule type="iconSet" priority="69">
      <iconSet iconSet="3Symbols2" showValue="0">
        <cfvo type="percent" val="0"/>
        <cfvo type="num" val="0"/>
        <cfvo type="num" val="1"/>
      </iconSet>
    </cfRule>
  </conditionalFormatting>
  <conditionalFormatting sqref="R752">
    <cfRule type="iconSet" priority="63">
      <iconSet iconSet="3Symbols2" showValue="0">
        <cfvo type="percent" val="0"/>
        <cfvo type="num" val="0"/>
        <cfvo type="num" val="1"/>
      </iconSet>
    </cfRule>
  </conditionalFormatting>
  <conditionalFormatting sqref="R760">
    <cfRule type="iconSet" priority="62">
      <iconSet iconSet="3Symbols2" showValue="0">
        <cfvo type="percent" val="0"/>
        <cfvo type="num" val="0"/>
        <cfvo type="num" val="1"/>
      </iconSet>
    </cfRule>
  </conditionalFormatting>
  <conditionalFormatting sqref="R753:R759 R735:R751 R761:R789">
    <cfRule type="iconSet" priority="61">
      <iconSet iconSet="3Symbols2" showValue="0">
        <cfvo type="percent" val="0"/>
        <cfvo type="num" val="0"/>
        <cfvo type="num" val="1"/>
      </iconSet>
    </cfRule>
  </conditionalFormatting>
  <conditionalFormatting sqref="M753:N753 N754:N759 L754:L759 M745:N746 N735:N744 L735:L744 M790:N790 L761:L781 N747:N751 N761:N789">
    <cfRule type="iconSet" priority="59">
      <iconSet iconSet="3Symbols2" showValue="0">
        <cfvo type="percent" val="0"/>
        <cfvo type="num" val="0"/>
        <cfvo type="num" val="1"/>
      </iconSet>
    </cfRule>
  </conditionalFormatting>
  <conditionalFormatting sqref="O753 O664:O700 O782:O790 O710:O734 O745:O751">
    <cfRule type="iconSet" priority="58">
      <iconSet iconSet="3Symbols2" showValue="0">
        <cfvo type="percent" val="0"/>
        <cfvo type="num" val="0"/>
        <cfvo type="num" val="1"/>
      </iconSet>
    </cfRule>
  </conditionalFormatting>
  <conditionalFormatting sqref="O752">
    <cfRule type="iconSet" priority="57">
      <iconSet iconSet="3Symbols2" showValue="0">
        <cfvo type="percent" val="0"/>
        <cfvo type="num" val="0"/>
        <cfvo type="num" val="1"/>
      </iconSet>
    </cfRule>
  </conditionalFormatting>
  <conditionalFormatting sqref="O701:O709">
    <cfRule type="iconSet" priority="55">
      <iconSet iconSet="3Symbols2" showValue="0">
        <cfvo type="percent" val="0"/>
        <cfvo type="num" val="0"/>
        <cfvo type="num" val="1"/>
      </iconSet>
    </cfRule>
  </conditionalFormatting>
  <conditionalFormatting sqref="O735:O744">
    <cfRule type="iconSet" priority="54">
      <iconSet iconSet="3Symbols2" showValue="0">
        <cfvo type="percent" val="0"/>
        <cfvo type="num" val="0"/>
        <cfvo type="num" val="1"/>
      </iconSet>
    </cfRule>
  </conditionalFormatting>
  <conditionalFormatting sqref="L987 L753 L972 L824:L831 J574 J420:J421 J436:J437 J439:J440 L401:L447 J400:J415 J158:J164 L457:L458 L464:L465 L574 L91:L122 L124:L155 L44:L45 J70:J71 L181:L191 Q972 Q974:Q976 Q1:Q5 L582 L158 L289 J286 J347:J358 L365:L366 L864:L872 L884 J890:J892 J901:J902 L890:L892 L268:L272 L4 L74 L52:L67 L16:L18 L10:L11 L974:L976 L76:L89 L160:L164 L274:L276 L792:L809 L932:L939 Q951:Q970 L1:P3 L5:P5 L8:P9 L26:L40 L167 L169:L171 L235:L240 L278 L280:L283 L292 L295:L297 L299 L301:L329 L332:L334 L566:L572 L815:L820 L834 L836 L838 L840:L843 L861 L880 L897:L899 L902:L904 L906 L908:L910 L912 L947:L948 L951:L970 L847:L852 J824:J834 L857:L859 L853:M856 L531:L555 L522:M530 J582 L625 L629 L620:L623 L603:L615 O984:P986 J180:J191 L193:L216 L988:Q1048576 Q947:Q948 J74:J152 L745:L751 J791:J813 L782:L790 L219:L226 J219:J222 J235:J265 J167 J169:J172 J176 J193:J216 J224:J226 J267:J276 J278:J283 J289 J292 J294:J344 J362:J366 J531:J555 J566:J572 J603:J621 J815:J820 J836 J838:J852 J857:J887 J896:J899 J444:J521 L480:L521 L660:L734 J625:J627 L649 L653 L644:L647 L636:L639 J653:J663 J629:J645 J649:J651 J904:J935 L914:L930 Q984:Q987 N982:Q983 J982:J1048576 J1:J67">
    <cfRule type="iconSet" priority="103165">
      <iconSet iconSet="3Symbols2" showValue="0">
        <cfvo type="percent" val="0"/>
        <cfvo type="num" val="0"/>
        <cfvo type="num" val="1"/>
      </iconSet>
    </cfRule>
  </conditionalFormatting>
  <conditionalFormatting sqref="L760 N760:O760">
    <cfRule type="iconSet" priority="103365">
      <iconSet iconSet="3Symbols2" showValue="0">
        <cfvo type="percent" val="0"/>
        <cfvo type="num" val="0"/>
        <cfvo type="num" val="1"/>
      </iconSet>
    </cfRule>
  </conditionalFormatting>
  <conditionalFormatting sqref="O754:O759 O761:O781">
    <cfRule type="iconSet" priority="53">
      <iconSet iconSet="3Symbols2" showValue="0">
        <cfvo type="percent" val="0"/>
        <cfvo type="num" val="0"/>
        <cfvo type="num" val="1"/>
      </iconSet>
    </cfRule>
  </conditionalFormatting>
  <conditionalFormatting sqref="J227:M234 J217:M218">
    <cfRule type="iconSet" priority="52">
      <iconSet iconSet="3Symbols2" showValue="0">
        <cfvo type="percent" val="0"/>
        <cfvo type="num" val="0"/>
        <cfvo type="num" val="1"/>
      </iconSet>
    </cfRule>
  </conditionalFormatting>
  <conditionalFormatting sqref="Q556:Q565">
    <cfRule type="iconSet" priority="51">
      <iconSet iconSet="3Symbols2" showValue="0">
        <cfvo type="percent" val="0"/>
        <cfvo type="num" val="0"/>
        <cfvo type="num" val="1"/>
      </iconSet>
    </cfRule>
  </conditionalFormatting>
  <conditionalFormatting sqref="S556:S565">
    <cfRule type="iconSet" priority="50">
      <iconSet iconSet="3Symbols2" showValue="0">
        <cfvo type="percent" val="0"/>
        <cfvo type="num" val="0"/>
        <cfvo type="num" val="1"/>
      </iconSet>
    </cfRule>
  </conditionalFormatting>
  <conditionalFormatting sqref="Q583:Q602 Q575:Q580">
    <cfRule type="iconSet" priority="49">
      <iconSet iconSet="3Symbols2" showValue="0">
        <cfvo type="percent" val="0"/>
        <cfvo type="num" val="0"/>
        <cfvo type="num" val="1"/>
      </iconSet>
    </cfRule>
  </conditionalFormatting>
  <conditionalFormatting sqref="T583:T602 T575:T580">
    <cfRule type="iconSet" priority="48">
      <iconSet iconSet="3Symbols2" showValue="0">
        <cfvo type="percent" val="0"/>
        <cfvo type="num" val="0"/>
        <cfvo type="num" val="1"/>
      </iconSet>
    </cfRule>
  </conditionalFormatting>
  <conditionalFormatting sqref="T556:T565">
    <cfRule type="iconSet" priority="47">
      <iconSet iconSet="3Symbols2" showValue="0">
        <cfvo type="percent" val="0"/>
        <cfvo type="num" val="0"/>
        <cfvo type="num" val="1"/>
      </iconSet>
    </cfRule>
  </conditionalFormatting>
  <conditionalFormatting sqref="T165:T166">
    <cfRule type="iconSet" priority="46">
      <iconSet iconSet="3Symbols2" showValue="0">
        <cfvo type="percent" val="0"/>
        <cfvo type="num" val="0"/>
        <cfvo type="num" val="1"/>
      </iconSet>
    </cfRule>
  </conditionalFormatting>
  <conditionalFormatting sqref="Q165:Q166">
    <cfRule type="iconSet" priority="45">
      <iconSet iconSet="3Symbols2" showValue="0">
        <cfvo type="percent" val="0"/>
        <cfvo type="num" val="0"/>
        <cfvo type="num" val="1"/>
      </iconSet>
    </cfRule>
  </conditionalFormatting>
  <conditionalFormatting sqref="T277">
    <cfRule type="iconSet" priority="44">
      <iconSet iconSet="3Symbols2" showValue="0">
        <cfvo type="percent" val="0"/>
        <cfvo type="num" val="0"/>
        <cfvo type="num" val="1"/>
      </iconSet>
    </cfRule>
  </conditionalFormatting>
  <conditionalFormatting sqref="Q277">
    <cfRule type="iconSet" priority="43">
      <iconSet iconSet="3Symbols2" showValue="0">
        <cfvo type="percent" val="0"/>
        <cfvo type="num" val="0"/>
        <cfvo type="num" val="1"/>
      </iconSet>
    </cfRule>
  </conditionalFormatting>
  <conditionalFormatting sqref="Q894:R894">
    <cfRule type="iconSet" priority="42">
      <iconSet iconSet="3Symbols2" showValue="0">
        <cfvo type="percent" val="0"/>
        <cfvo type="num" val="0"/>
        <cfvo type="num" val="1"/>
      </iconSet>
    </cfRule>
  </conditionalFormatting>
  <conditionalFormatting sqref="J977:J981 J949:J950 J940:J946 J893:J895 J853:J856 J837 J835 J814 J583:J602 J575:J580 J556:J565 J522:J530 J359:J361 J345:J346 J293 J290:J291 J287:J288 J284:J285 J277 J266 J223 J192 J177:J178 J173:J175 J168 J165:J166">
    <cfRule type="iconSet" priority="41">
      <iconSet iconSet="3Symbols2" showValue="0">
        <cfvo type="percent" val="0"/>
        <cfvo type="num" val="0"/>
        <cfvo type="num" val="1"/>
      </iconSet>
    </cfRule>
  </conditionalFormatting>
  <conditionalFormatting sqref="M762:M789 M754:M759 M747:M751 M735:M744 M719:M729 M715:M716 M712 M701:M709 M694:M695 M683:M691 M680 M675:M677 M664:M672">
    <cfRule type="iconSet" priority="39">
      <iconSet iconSet="3Symbols2" showValue="0">
        <cfvo type="percent" val="0"/>
        <cfvo type="num" val="0"/>
        <cfvo type="num" val="1"/>
      </iconSet>
    </cfRule>
  </conditionalFormatting>
  <conditionalFormatting sqref="B10:I991">
    <cfRule type="expression" dxfId="107" priority="37">
      <formula>AND($L10=1,$Q10&lt;&gt;1)</formula>
    </cfRule>
    <cfRule type="expression" dxfId="106" priority="38">
      <formula>OR($J10=1,$Q10=1)</formula>
    </cfRule>
    <cfRule type="expression" dxfId="105" priority="119">
      <formula>($I10="NA")</formula>
    </cfRule>
  </conditionalFormatting>
  <conditionalFormatting sqref="R988:U1048576 R1:U3 R5:U5 R982:U986">
    <cfRule type="iconSet" priority="104664">
      <iconSet iconSet="3Symbols2" showValue="0">
        <cfvo type="percent" val="0"/>
        <cfvo type="num" val="0"/>
        <cfvo type="num" val="1"/>
      </iconSet>
    </cfRule>
  </conditionalFormatting>
  <conditionalFormatting sqref="M982:M986">
    <cfRule type="iconSet" priority="111738">
      <iconSet iconSet="3Symbols2" showValue="0">
        <cfvo type="percent" val="0"/>
        <cfvo type="num" val="0"/>
        <cfvo type="num" val="1"/>
      </iconSet>
    </cfRule>
  </conditionalFormatting>
  <conditionalFormatting sqref="L982:L986">
    <cfRule type="iconSet" priority="111740">
      <iconSet iconSet="3Symbols2" showValue="0">
        <cfvo type="percent" val="0"/>
        <cfvo type="num" val="0"/>
        <cfvo type="num" val="1"/>
      </iconSet>
    </cfRule>
  </conditionalFormatting>
  <conditionalFormatting sqref="Q821">
    <cfRule type="iconSet" priority="36">
      <iconSet iconSet="3Symbols2" showValue="0">
        <cfvo type="percent" val="0"/>
        <cfvo type="num" val="0"/>
        <cfvo type="num" val="1"/>
      </iconSet>
    </cfRule>
  </conditionalFormatting>
  <conditionalFormatting sqref="Q913 Q911 Q907 Q905 Q901 Q886:Q887 Q882:Q883 Q860">
    <cfRule type="iconSet" priority="35">
      <iconSet iconSet="3Symbols2" showValue="0">
        <cfvo type="percent" val="0"/>
        <cfvo type="num" val="0"/>
        <cfvo type="num" val="1"/>
      </iconSet>
    </cfRule>
  </conditionalFormatting>
  <conditionalFormatting sqref="S913 S911 S907 S905 S901 S886:S887 S882:S883 S860">
    <cfRule type="iconSet" priority="34">
      <iconSet iconSet="3Symbols2" showValue="0">
        <cfvo type="percent" val="0"/>
        <cfvo type="num" val="0"/>
        <cfvo type="num" val="1"/>
      </iconSet>
    </cfRule>
  </conditionalFormatting>
  <conditionalFormatting sqref="S821">
    <cfRule type="iconSet" priority="33">
      <iconSet iconSet="3Symbols2" showValue="0">
        <cfvo type="percent" val="0"/>
        <cfvo type="num" val="0"/>
        <cfvo type="num" val="1"/>
      </iconSet>
    </cfRule>
  </conditionalFormatting>
  <conditionalFormatting sqref="O395:O398">
    <cfRule type="iconSet" priority="118411">
      <iconSet iconSet="3Symbols2" showValue="0">
        <cfvo type="percent" val="0"/>
        <cfvo type="num" val="0"/>
        <cfvo type="num" val="1"/>
      </iconSet>
    </cfRule>
  </conditionalFormatting>
  <conditionalFormatting sqref="Q622:Q623">
    <cfRule type="iconSet" priority="121669">
      <iconSet iconSet="3Symbols2" showValue="0">
        <cfvo type="percent" val="0"/>
        <cfvo type="num" val="0"/>
        <cfvo type="num" val="1"/>
      </iconSet>
    </cfRule>
  </conditionalFormatting>
  <conditionalFormatting sqref="S622:S623">
    <cfRule type="iconSet" priority="121670">
      <iconSet iconSet="3Symbols2" showValue="0">
        <cfvo type="percent" val="0"/>
        <cfvo type="num" val="0"/>
        <cfvo type="num" val="1"/>
      </iconSet>
    </cfRule>
  </conditionalFormatting>
  <conditionalFormatting sqref="L630:L634 L616:L619 L626:L627">
    <cfRule type="iconSet" priority="124376">
      <iconSet iconSet="3Symbols2" showValue="0">
        <cfvo type="percent" val="0"/>
        <cfvo type="num" val="0"/>
        <cfvo type="num" val="1"/>
      </iconSet>
    </cfRule>
  </conditionalFormatting>
  <conditionalFormatting sqref="N630:N634 N616:N619 N626:N627">
    <cfRule type="iconSet" priority="124379">
      <iconSet iconSet="3Symbols2" showValue="0">
        <cfvo type="percent" val="0"/>
        <cfvo type="num" val="0"/>
        <cfvo type="num" val="1"/>
      </iconSet>
    </cfRule>
  </conditionalFormatting>
  <conditionalFormatting sqref="Q621 Q624 Q612:Q619 Q626:Q634">
    <cfRule type="iconSet" priority="124382">
      <iconSet iconSet="3Symbols2" showValue="0">
        <cfvo type="percent" val="0"/>
        <cfvo type="num" val="0"/>
        <cfvo type="num" val="1"/>
      </iconSet>
    </cfRule>
  </conditionalFormatting>
  <conditionalFormatting sqref="N629 N625 N620:N623">
    <cfRule type="iconSet" priority="124611">
      <iconSet iconSet="3Symbols2" showValue="0">
        <cfvo type="percent" val="0"/>
        <cfvo type="num" val="0"/>
        <cfvo type="num" val="1"/>
      </iconSet>
    </cfRule>
  </conditionalFormatting>
  <conditionalFormatting sqref="T612:T634">
    <cfRule type="iconSet" priority="124914">
      <iconSet iconSet="3Symbols2" showValue="0">
        <cfvo type="percent" val="0"/>
        <cfvo type="num" val="0"/>
        <cfvo type="num" val="1"/>
      </iconSet>
    </cfRule>
  </conditionalFormatting>
  <conditionalFormatting sqref="Q635 Q611 Q659">
    <cfRule type="iconSet" priority="125090">
      <iconSet iconSet="3Symbols2" showValue="0">
        <cfvo type="percent" val="0"/>
        <cfvo type="num" val="0"/>
        <cfvo type="num" val="1"/>
      </iconSet>
    </cfRule>
  </conditionalFormatting>
  <conditionalFormatting sqref="T635 T607:T611 T659">
    <cfRule type="iconSet" priority="125092">
      <iconSet iconSet="3Symbols2" showValue="0">
        <cfvo type="percent" val="0"/>
        <cfvo type="num" val="0"/>
        <cfvo type="num" val="1"/>
      </iconSet>
    </cfRule>
  </conditionalFormatting>
  <conditionalFormatting sqref="M630:M634 M622:M623 M616:M619 M626:M627">
    <cfRule type="iconSet" priority="125377">
      <iconSet iconSet="3Symbols2" showValue="0">
        <cfvo type="percent" val="0"/>
        <cfvo type="num" val="0"/>
        <cfvo type="num" val="1"/>
      </iconSet>
    </cfRule>
  </conditionalFormatting>
  <conditionalFormatting sqref="J648 L648">
    <cfRule type="iconSet" priority="32">
      <iconSet iconSet="3Symbols2" showValue="0">
        <cfvo type="percent" val="0"/>
        <cfvo type="num" val="0"/>
        <cfvo type="num" val="1"/>
      </iconSet>
    </cfRule>
  </conditionalFormatting>
  <conditionalFormatting sqref="J652 L652">
    <cfRule type="iconSet" priority="31">
      <iconSet iconSet="3Symbols2" showValue="0">
        <cfvo type="percent" val="0"/>
        <cfvo type="num" val="0"/>
        <cfvo type="num" val="1"/>
      </iconSet>
    </cfRule>
  </conditionalFormatting>
  <conditionalFormatting sqref="M648">
    <cfRule type="iconSet" priority="30">
      <iconSet iconSet="3Symbols2" showValue="0">
        <cfvo type="percent" val="0"/>
        <cfvo type="num" val="0"/>
        <cfvo type="num" val="1"/>
      </iconSet>
    </cfRule>
  </conditionalFormatting>
  <conditionalFormatting sqref="M652">
    <cfRule type="iconSet" priority="29">
      <iconSet iconSet="3Symbols2" showValue="0">
        <cfvo type="percent" val="0"/>
        <cfvo type="num" val="0"/>
        <cfvo type="num" val="1"/>
      </iconSet>
    </cfRule>
  </conditionalFormatting>
  <conditionalFormatting sqref="M636:N639">
    <cfRule type="iconSet" priority="28">
      <iconSet iconSet="3Symbols2" showValue="0">
        <cfvo type="percent" val="0"/>
        <cfvo type="num" val="0"/>
        <cfvo type="num" val="1"/>
      </iconSet>
    </cfRule>
  </conditionalFormatting>
  <conditionalFormatting sqref="Q644">
    <cfRule type="iconSet" priority="27">
      <iconSet iconSet="3Symbols2" showValue="0">
        <cfvo type="percent" val="0"/>
        <cfvo type="num" val="0"/>
        <cfvo type="num" val="1"/>
      </iconSet>
    </cfRule>
  </conditionalFormatting>
  <conditionalFormatting sqref="Q649">
    <cfRule type="iconSet" priority="26">
      <iconSet iconSet="3Symbols2" showValue="0">
        <cfvo type="percent" val="0"/>
        <cfvo type="num" val="0"/>
        <cfvo type="num" val="1"/>
      </iconSet>
    </cfRule>
  </conditionalFormatting>
  <conditionalFormatting sqref="N648">
    <cfRule type="iconSet" priority="25">
      <iconSet iconSet="3Symbols2" showValue="0">
        <cfvo type="percent" val="0"/>
        <cfvo type="num" val="0"/>
        <cfvo type="num" val="1"/>
      </iconSet>
    </cfRule>
  </conditionalFormatting>
  <conditionalFormatting sqref="N652">
    <cfRule type="iconSet" priority="24">
      <iconSet iconSet="3Symbols2" showValue="0">
        <cfvo type="percent" val="0"/>
        <cfvo type="num" val="0"/>
        <cfvo type="num" val="1"/>
      </iconSet>
    </cfRule>
  </conditionalFormatting>
  <conditionalFormatting sqref="Q646:Q647">
    <cfRule type="iconSet" priority="23">
      <iconSet iconSet="3Symbols2" showValue="0">
        <cfvo type="percent" val="0"/>
        <cfvo type="num" val="0"/>
        <cfvo type="num" val="1"/>
      </iconSet>
    </cfRule>
  </conditionalFormatting>
  <conditionalFormatting sqref="S646:S647">
    <cfRule type="iconSet" priority="22">
      <iconSet iconSet="3Symbols2" showValue="0">
        <cfvo type="percent" val="0"/>
        <cfvo type="num" val="0"/>
        <cfvo type="num" val="1"/>
      </iconSet>
    </cfRule>
  </conditionalFormatting>
  <conditionalFormatting sqref="L654:L658 L640:L643 L650:L651">
    <cfRule type="iconSet" priority="21">
      <iconSet iconSet="3Symbols2" showValue="0">
        <cfvo type="percent" val="0"/>
        <cfvo type="num" val="0"/>
        <cfvo type="num" val="1"/>
      </iconSet>
    </cfRule>
  </conditionalFormatting>
  <conditionalFormatting sqref="N654:N658 N640:N643 N650:N651">
    <cfRule type="iconSet" priority="20">
      <iconSet iconSet="3Symbols2" showValue="0">
        <cfvo type="percent" val="0"/>
        <cfvo type="num" val="0"/>
        <cfvo type="num" val="1"/>
      </iconSet>
    </cfRule>
  </conditionalFormatting>
  <conditionalFormatting sqref="Q645 Q648 Q636:Q643 Q650:Q658">
    <cfRule type="iconSet" priority="19">
      <iconSet iconSet="3Symbols2" showValue="0">
        <cfvo type="percent" val="0"/>
        <cfvo type="num" val="0"/>
        <cfvo type="num" val="1"/>
      </iconSet>
    </cfRule>
  </conditionalFormatting>
  <conditionalFormatting sqref="N653 N649 N644:N647">
    <cfRule type="iconSet" priority="18">
      <iconSet iconSet="3Symbols2" showValue="0">
        <cfvo type="percent" val="0"/>
        <cfvo type="num" val="0"/>
        <cfvo type="num" val="1"/>
      </iconSet>
    </cfRule>
  </conditionalFormatting>
  <conditionalFormatting sqref="T636:T658">
    <cfRule type="iconSet" priority="17">
      <iconSet iconSet="3Symbols2" showValue="0">
        <cfvo type="percent" val="0"/>
        <cfvo type="num" val="0"/>
        <cfvo type="num" val="1"/>
      </iconSet>
    </cfRule>
  </conditionalFormatting>
  <conditionalFormatting sqref="M654:M658 M646:M647 M640:M643 M650:M651">
    <cfRule type="iconSet" priority="16">
      <iconSet iconSet="3Symbols2" showValue="0">
        <cfvo type="percent" val="0"/>
        <cfvo type="num" val="0"/>
        <cfvo type="num" val="1"/>
      </iconSet>
    </cfRule>
  </conditionalFormatting>
  <conditionalFormatting sqref="T272:T276 T278:T319 T40:T65 T72:T164 T167:T267 T581:T582 T603:T606 T566:T574 T660:T785 T791:T941 T10:T27 T321:T394 T399:T555">
    <cfRule type="iconSet" priority="125677">
      <iconSet iconSet="3Symbols2" showValue="0">
        <cfvo type="percent" val="0"/>
        <cfvo type="num" val="0"/>
        <cfvo type="num" val="1"/>
      </iconSet>
    </cfRule>
  </conditionalFormatting>
  <conditionalFormatting sqref="U10:U663 U696:U700 U790:U941 U730:U734">
    <cfRule type="iconSet" priority="125887">
      <iconSet iconSet="3Symbols2" showValue="0">
        <cfvo type="percent" val="0"/>
        <cfvo type="num" val="0"/>
        <cfvo type="num" val="1"/>
      </iconSet>
    </cfRule>
  </conditionalFormatting>
  <conditionalFormatting sqref="U673:U674 U681:U682 U692:U693 U678:U679">
    <cfRule type="iconSet" priority="15">
      <iconSet iconSet="3Symbols2" showValue="0">
        <cfvo type="percent" val="0"/>
        <cfvo type="num" val="0"/>
        <cfvo type="num" val="1"/>
      </iconSet>
    </cfRule>
  </conditionalFormatting>
  <conditionalFormatting sqref="U694:U695 U683:U691 U680 U675:U677 U664:U672">
    <cfRule type="iconSet" priority="14">
      <iconSet iconSet="3Symbols2" showValue="0">
        <cfvo type="percent" val="0"/>
        <cfvo type="num" val="0"/>
        <cfvo type="num" val="1"/>
      </iconSet>
    </cfRule>
  </conditionalFormatting>
  <conditionalFormatting sqref="Q673:Q674 Q681:Q682 Q692:Q693 Q678:Q679">
    <cfRule type="iconSet" priority="13">
      <iconSet iconSet="3Symbols2" showValue="0">
        <cfvo type="percent" val="0"/>
        <cfvo type="num" val="0"/>
        <cfvo type="num" val="1"/>
      </iconSet>
    </cfRule>
  </conditionalFormatting>
  <conditionalFormatting sqref="Q694:Q695 Q683:Q691 Q680 Q675:Q677 Q664:Q672">
    <cfRule type="iconSet" priority="12">
      <iconSet iconSet="3Symbols2" showValue="0">
        <cfvo type="percent" val="0"/>
        <cfvo type="num" val="0"/>
        <cfvo type="num" val="1"/>
      </iconSet>
    </cfRule>
  </conditionalFormatting>
  <conditionalFormatting sqref="Q752">
    <cfRule type="iconSet" priority="11">
      <iconSet iconSet="3Symbols2" showValue="0">
        <cfvo type="percent" val="0"/>
        <cfvo type="num" val="0"/>
        <cfvo type="num" val="1"/>
      </iconSet>
    </cfRule>
  </conditionalFormatting>
  <conditionalFormatting sqref="Q753 Q745:Q746">
    <cfRule type="iconSet" priority="10">
      <iconSet iconSet="3Symbols2" showValue="0">
        <cfvo type="percent" val="0"/>
        <cfvo type="num" val="0"/>
        <cfvo type="num" val="1"/>
      </iconSet>
    </cfRule>
  </conditionalFormatting>
  <conditionalFormatting sqref="Q762:Q789 Q754:Q759 Q747:Q751 Q735:Q744">
    <cfRule type="iconSet" priority="9">
      <iconSet iconSet="3Symbols2" showValue="0">
        <cfvo type="percent" val="0"/>
        <cfvo type="num" val="0"/>
        <cfvo type="num" val="1"/>
      </iconSet>
    </cfRule>
  </conditionalFormatting>
  <conditionalFormatting sqref="U752">
    <cfRule type="iconSet" priority="8">
      <iconSet iconSet="3Symbols2" showValue="0">
        <cfvo type="percent" val="0"/>
        <cfvo type="num" val="0"/>
        <cfvo type="num" val="1"/>
      </iconSet>
    </cfRule>
  </conditionalFormatting>
  <conditionalFormatting sqref="U753 U745:U746">
    <cfRule type="iconSet" priority="7">
      <iconSet iconSet="3Symbols2" showValue="0">
        <cfvo type="percent" val="0"/>
        <cfvo type="num" val="0"/>
        <cfvo type="num" val="1"/>
      </iconSet>
    </cfRule>
  </conditionalFormatting>
  <conditionalFormatting sqref="U762:U789 U754:U759 U747:U751 U735:U744">
    <cfRule type="iconSet" priority="6">
      <iconSet iconSet="3Symbols2" showValue="0">
        <cfvo type="percent" val="0"/>
        <cfvo type="num" val="0"/>
        <cfvo type="num" val="1"/>
      </iconSet>
    </cfRule>
  </conditionalFormatting>
  <conditionalFormatting sqref="Q710:Q711 Q713:Q714 Q717:Q718">
    <cfRule type="iconSet" priority="5">
      <iconSet iconSet="3Symbols2" showValue="0">
        <cfvo type="percent" val="0"/>
        <cfvo type="num" val="0"/>
        <cfvo type="num" val="1"/>
      </iconSet>
    </cfRule>
  </conditionalFormatting>
  <conditionalFormatting sqref="Q719:Q729 Q715:Q716 Q712 Q701:Q709">
    <cfRule type="iconSet" priority="4">
      <iconSet iconSet="3Symbols2" showValue="0">
        <cfvo type="percent" val="0"/>
        <cfvo type="num" val="0"/>
        <cfvo type="num" val="1"/>
      </iconSet>
    </cfRule>
  </conditionalFormatting>
  <conditionalFormatting sqref="U710:U711 U713:U714 U717:U718">
    <cfRule type="iconSet" priority="3">
      <iconSet iconSet="3Symbols2" showValue="0">
        <cfvo type="percent" val="0"/>
        <cfvo type="num" val="0"/>
        <cfvo type="num" val="1"/>
      </iconSet>
    </cfRule>
  </conditionalFormatting>
  <conditionalFormatting sqref="U719:U729 U715:U716 U712 U701:U709">
    <cfRule type="iconSet" priority="2">
      <iconSet iconSet="3Symbols2" showValue="0">
        <cfvo type="percent" val="0"/>
        <cfvo type="num" val="0"/>
        <cfvo type="num" val="1"/>
      </iconSet>
    </cfRule>
  </conditionalFormatting>
  <conditionalFormatting sqref="T395:T398">
    <cfRule type="iconSet" priority="1">
      <iconSet iconSet="3Symbols2" showValue="0">
        <cfvo type="percent" val="0"/>
        <cfvo type="num" val="0"/>
        <cfvo type="num" val="1"/>
      </iconSet>
    </cfRule>
  </conditionalFormatting>
  <pageMargins left="0.7" right="0.7" top="0.75" bottom="0.75" header="0.3" footer="0.3"/>
  <pageSetup scale="51"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outlinePr summaryBelow="0" summaryRight="0"/>
  </sheetPr>
  <dimension ref="A2:XFD300"/>
  <sheetViews>
    <sheetView tabSelected="1" zoomScale="88" zoomScaleNormal="88" workbookViewId="0">
      <pane xSplit="6" ySplit="5" topLeftCell="G183" activePane="bottomRight" state="frozen"/>
      <selection pane="topRight" activeCell="G1" sqref="G1"/>
      <selection pane="bottomLeft" activeCell="A6" sqref="A6"/>
      <selection pane="bottomRight" activeCell="E64" sqref="E64"/>
    </sheetView>
  </sheetViews>
  <sheetFormatPr defaultColWidth="8.5703125" defaultRowHeight="12.75" outlineLevelRow="3" outlineLevelCol="1"/>
  <cols>
    <col min="1" max="1" width="0.7109375" style="16" customWidth="1"/>
    <col min="2" max="2" width="3.42578125" style="17" bestFit="1" customWidth="1"/>
    <col min="3" max="3" width="9" style="17" customWidth="1"/>
    <col min="4" max="4" width="24.7109375" style="20" bestFit="1" customWidth="1"/>
    <col min="5" max="5" width="73.28515625" style="16" bestFit="1" customWidth="1"/>
    <col min="6" max="6" width="0.5703125" style="16" customWidth="1"/>
    <col min="7" max="7" width="8.42578125" style="16" bestFit="1" customWidth="1"/>
    <col min="8" max="8" width="11.42578125" style="16" bestFit="1" customWidth="1"/>
    <col min="9" max="9" width="5.5703125" style="40" bestFit="1" customWidth="1"/>
    <col min="10" max="10" width="10" style="19" bestFit="1" customWidth="1"/>
    <col min="11" max="11" width="8" style="19" customWidth="1"/>
    <col min="12" max="12" width="10.42578125" style="19" bestFit="1" customWidth="1"/>
    <col min="13" max="16" width="10.42578125" style="19" customWidth="1" outlineLevel="1"/>
    <col min="17" max="17" width="10.42578125" style="19" customWidth="1"/>
    <col min="18" max="21" width="10.42578125" style="19" customWidth="1" outlineLevel="1"/>
    <col min="22" max="16384" width="8.5703125" style="16"/>
  </cols>
  <sheetData>
    <row r="2" spans="1:21" s="1" customFormat="1" ht="12.75" customHeight="1">
      <c r="A2" s="288" t="s">
        <v>256</v>
      </c>
      <c r="B2" s="151"/>
      <c r="C2" s="289"/>
      <c r="D2" s="717"/>
      <c r="E2" s="151"/>
      <c r="F2" s="292"/>
      <c r="G2" s="807" t="s">
        <v>257</v>
      </c>
      <c r="H2" s="807" t="s">
        <v>258</v>
      </c>
      <c r="I2" s="808" t="s">
        <v>259</v>
      </c>
      <c r="J2" s="808" t="s">
        <v>260</v>
      </c>
      <c r="K2" s="808"/>
      <c r="L2" s="806" t="s">
        <v>2450</v>
      </c>
      <c r="M2" s="19"/>
      <c r="N2" s="19"/>
      <c r="O2" s="295"/>
      <c r="P2" s="295"/>
      <c r="Q2" s="806" t="s">
        <v>1489</v>
      </c>
      <c r="R2" s="295"/>
      <c r="S2" s="295"/>
      <c r="T2" s="295"/>
      <c r="U2" s="295"/>
    </row>
    <row r="3" spans="1:21" s="1" customFormat="1" ht="3" customHeight="1">
      <c r="A3" s="288"/>
      <c r="B3" s="151"/>
      <c r="C3" s="289"/>
      <c r="D3" s="717"/>
      <c r="E3" s="151"/>
      <c r="F3" s="292"/>
      <c r="G3" s="807"/>
      <c r="H3" s="807"/>
      <c r="I3" s="808"/>
      <c r="J3" s="293"/>
      <c r="L3" s="806"/>
      <c r="M3" s="19"/>
      <c r="N3" s="19"/>
      <c r="O3" s="295"/>
      <c r="P3" s="295"/>
      <c r="Q3" s="806"/>
      <c r="R3" s="295"/>
      <c r="S3" s="295"/>
      <c r="T3" s="295"/>
      <c r="U3" s="295"/>
    </row>
    <row r="4" spans="1:21" s="1" customFormat="1" ht="18">
      <c r="A4" s="718" t="s">
        <v>2451</v>
      </c>
      <c r="B4" s="719"/>
      <c r="C4" s="720"/>
      <c r="D4" s="721"/>
      <c r="E4" s="719"/>
      <c r="F4" s="292"/>
      <c r="G4" s="807"/>
      <c r="H4" s="807"/>
      <c r="I4" s="808"/>
      <c r="J4" s="294" t="s">
        <v>264</v>
      </c>
      <c r="K4" s="722" t="s">
        <v>265</v>
      </c>
      <c r="L4" s="806"/>
      <c r="M4" s="295" t="s">
        <v>7</v>
      </c>
      <c r="N4" s="295" t="s">
        <v>8</v>
      </c>
      <c r="O4" s="295" t="s">
        <v>9</v>
      </c>
      <c r="P4" s="295" t="s">
        <v>10</v>
      </c>
      <c r="Q4" s="806"/>
      <c r="R4" s="295" t="s">
        <v>7</v>
      </c>
      <c r="S4" s="295" t="s">
        <v>8</v>
      </c>
      <c r="T4" s="295" t="s">
        <v>9</v>
      </c>
      <c r="U4" s="295" t="s">
        <v>10</v>
      </c>
    </row>
    <row r="5" spans="1:21" s="1" customFormat="1" ht="11.1" customHeight="1">
      <c r="A5" s="288"/>
      <c r="B5" s="151"/>
      <c r="C5" s="289"/>
      <c r="D5" s="717"/>
      <c r="E5" s="151"/>
      <c r="F5" s="292"/>
      <c r="G5" s="151"/>
      <c r="H5" s="152"/>
      <c r="I5" s="152"/>
      <c r="J5" s="290"/>
      <c r="K5" s="723"/>
      <c r="L5" s="293"/>
      <c r="M5" s="19"/>
      <c r="N5" s="19"/>
      <c r="O5" s="293"/>
      <c r="P5" s="293"/>
      <c r="R5" s="293"/>
      <c r="S5" s="293"/>
      <c r="T5" s="293"/>
      <c r="U5" s="293"/>
    </row>
    <row r="6" spans="1:21" s="1" customFormat="1" ht="20.85" customHeight="1">
      <c r="A6" s="288"/>
      <c r="B6" s="151"/>
      <c r="C6" s="289"/>
      <c r="D6" s="717"/>
      <c r="E6" s="151"/>
      <c r="F6" s="292"/>
      <c r="G6" s="151"/>
      <c r="H6" s="152"/>
      <c r="I6" s="152"/>
      <c r="J6" s="290"/>
      <c r="K6" s="723"/>
      <c r="L6" s="149"/>
      <c r="M6" s="19"/>
      <c r="N6" s="19"/>
      <c r="O6" s="149"/>
      <c r="P6" s="149"/>
      <c r="R6" s="293"/>
      <c r="S6" s="293"/>
      <c r="T6" s="293"/>
      <c r="U6" s="293"/>
    </row>
    <row r="7" spans="1:21" ht="3.6" customHeight="1">
      <c r="A7" s="304"/>
      <c r="B7" s="297"/>
      <c r="D7" s="317"/>
      <c r="E7" s="319"/>
      <c r="F7" s="307"/>
      <c r="G7" s="297"/>
      <c r="H7" s="314"/>
      <c r="I7" s="309"/>
      <c r="J7" s="724"/>
    </row>
    <row r="8" spans="1:21" s="18" customFormat="1" ht="15">
      <c r="A8" s="725" t="s">
        <v>594</v>
      </c>
      <c r="B8" s="297"/>
      <c r="C8" s="297"/>
      <c r="D8" s="317"/>
      <c r="E8" s="319"/>
      <c r="F8" s="46"/>
      <c r="G8" s="41" t="s">
        <v>257</v>
      </c>
      <c r="H8" s="41" t="s">
        <v>258</v>
      </c>
      <c r="I8" s="42" t="s">
        <v>259</v>
      </c>
      <c r="J8" s="726"/>
      <c r="K8" s="726"/>
      <c r="L8" s="149"/>
      <c r="M8" s="19"/>
      <c r="N8" s="19"/>
      <c r="O8" s="149"/>
      <c r="P8" s="149"/>
      <c r="Q8" s="726"/>
      <c r="R8" s="726"/>
      <c r="S8" s="726"/>
      <c r="T8" s="726"/>
      <c r="U8" s="726"/>
    </row>
    <row r="9" spans="1:21" outlineLevel="1">
      <c r="A9" s="18"/>
      <c r="B9" s="297" t="s">
        <v>19</v>
      </c>
      <c r="C9" s="297" t="s">
        <v>597</v>
      </c>
      <c r="D9" s="298"/>
      <c r="E9" s="306" t="s">
        <v>2452</v>
      </c>
      <c r="F9" s="307"/>
      <c r="G9" s="297" t="s">
        <v>597</v>
      </c>
      <c r="H9" s="308" t="str">
        <f>CONCATENATE(B9,"-",G9,"-",I9)</f>
        <v>LS-T2S-4</v>
      </c>
      <c r="I9" s="309">
        <v>4</v>
      </c>
      <c r="J9" s="19">
        <v>1</v>
      </c>
      <c r="L9" s="16"/>
      <c r="O9" s="16"/>
      <c r="P9" s="16"/>
    </row>
    <row r="10" spans="1:21" outlineLevel="1">
      <c r="A10" s="288" t="s">
        <v>2453</v>
      </c>
      <c r="B10" s="297"/>
      <c r="D10" s="317"/>
      <c r="E10" s="319"/>
      <c r="F10" s="307"/>
      <c r="G10" s="17"/>
      <c r="H10" s="314"/>
      <c r="I10" s="309"/>
      <c r="L10" s="149"/>
      <c r="O10" s="149"/>
      <c r="P10" s="149"/>
    </row>
    <row r="11" spans="1:21" outlineLevel="2">
      <c r="A11" s="18"/>
      <c r="B11" s="297" t="s">
        <v>19</v>
      </c>
      <c r="C11" s="297" t="s">
        <v>2454</v>
      </c>
      <c r="D11" s="298"/>
      <c r="E11" s="306" t="s">
        <v>2455</v>
      </c>
      <c r="F11" s="307"/>
      <c r="G11" s="297" t="s">
        <v>597</v>
      </c>
      <c r="H11" s="308" t="str">
        <f t="shared" ref="H11:H19" si="0">CONCATENATE(B11,"-",G11,"-",I11)</f>
        <v>LS-T2S-6</v>
      </c>
      <c r="I11" s="309">
        <v>6</v>
      </c>
      <c r="J11" s="19">
        <v>1</v>
      </c>
    </row>
    <row r="12" spans="1:21" outlineLevel="2">
      <c r="A12" s="18"/>
      <c r="B12" s="297" t="s">
        <v>19</v>
      </c>
      <c r="C12" s="297" t="s">
        <v>2454</v>
      </c>
      <c r="D12" s="298"/>
      <c r="E12" s="306" t="s">
        <v>2456</v>
      </c>
      <c r="F12" s="307"/>
      <c r="G12" s="297" t="s">
        <v>597</v>
      </c>
      <c r="H12" s="308" t="str">
        <f t="shared" si="0"/>
        <v>LS-T2S-6</v>
      </c>
      <c r="I12" s="309">
        <v>6</v>
      </c>
      <c r="J12" s="19">
        <v>1</v>
      </c>
    </row>
    <row r="13" spans="1:21" outlineLevel="2">
      <c r="A13" s="18"/>
      <c r="B13" s="297" t="s">
        <v>19</v>
      </c>
      <c r="C13" s="297" t="s">
        <v>2454</v>
      </c>
      <c r="D13" s="298"/>
      <c r="E13" s="306" t="s">
        <v>2457</v>
      </c>
      <c r="F13" s="307"/>
      <c r="G13" s="297" t="s">
        <v>597</v>
      </c>
      <c r="H13" s="308" t="str">
        <f t="shared" si="0"/>
        <v>LS-T2S-6</v>
      </c>
      <c r="I13" s="309">
        <v>6</v>
      </c>
      <c r="J13" s="19">
        <v>1</v>
      </c>
    </row>
    <row r="14" spans="1:21" outlineLevel="2">
      <c r="A14" s="18"/>
      <c r="B14" s="297" t="s">
        <v>19</v>
      </c>
      <c r="C14" s="297" t="s">
        <v>2454</v>
      </c>
      <c r="D14" s="298"/>
      <c r="E14" s="306" t="s">
        <v>2458</v>
      </c>
      <c r="F14" s="307"/>
      <c r="G14" s="297" t="s">
        <v>597</v>
      </c>
      <c r="H14" s="308" t="str">
        <f t="shared" si="0"/>
        <v>LS-T2S-6</v>
      </c>
      <c r="I14" s="309">
        <v>6</v>
      </c>
      <c r="J14" s="19">
        <v>1</v>
      </c>
    </row>
    <row r="15" spans="1:21" outlineLevel="2">
      <c r="A15" s="18"/>
      <c r="B15" s="297" t="s">
        <v>19</v>
      </c>
      <c r="C15" s="297" t="s">
        <v>2454</v>
      </c>
      <c r="D15" s="298"/>
      <c r="E15" s="306" t="s">
        <v>2459</v>
      </c>
      <c r="F15" s="307"/>
      <c r="G15" s="297" t="s">
        <v>597</v>
      </c>
      <c r="H15" s="308" t="str">
        <f t="shared" si="0"/>
        <v>LS-T2S-6</v>
      </c>
      <c r="I15" s="309">
        <v>6</v>
      </c>
      <c r="J15" s="19">
        <v>1</v>
      </c>
    </row>
    <row r="16" spans="1:21" outlineLevel="2">
      <c r="A16" s="18"/>
      <c r="B16" s="297" t="s">
        <v>19</v>
      </c>
      <c r="C16" s="297" t="s">
        <v>2454</v>
      </c>
      <c r="D16" s="298"/>
      <c r="E16" s="306" t="s">
        <v>2460</v>
      </c>
      <c r="F16" s="307"/>
      <c r="G16" s="297" t="s">
        <v>597</v>
      </c>
      <c r="H16" s="308" t="str">
        <f t="shared" si="0"/>
        <v>LS-T2S-6</v>
      </c>
      <c r="I16" s="309">
        <v>6</v>
      </c>
      <c r="J16" s="19">
        <v>1</v>
      </c>
    </row>
    <row r="17" spans="1:19" outlineLevel="2">
      <c r="A17" s="18"/>
      <c r="B17" s="297" t="s">
        <v>19</v>
      </c>
      <c r="C17" s="297" t="s">
        <v>2454</v>
      </c>
      <c r="D17" s="298"/>
      <c r="E17" s="306" t="s">
        <v>2461</v>
      </c>
      <c r="F17" s="307"/>
      <c r="G17" s="297" t="s">
        <v>597</v>
      </c>
      <c r="H17" s="308" t="str">
        <f t="shared" si="0"/>
        <v>LS-T2S-6</v>
      </c>
      <c r="I17" s="309">
        <v>6</v>
      </c>
      <c r="J17" s="19">
        <v>1</v>
      </c>
    </row>
    <row r="18" spans="1:19" outlineLevel="2">
      <c r="A18" s="18"/>
      <c r="B18" s="297" t="s">
        <v>19</v>
      </c>
      <c r="C18" s="297" t="s">
        <v>2454</v>
      </c>
      <c r="D18" s="298"/>
      <c r="E18" s="306" t="s">
        <v>2462</v>
      </c>
      <c r="F18" s="307"/>
      <c r="G18" s="297" t="s">
        <v>597</v>
      </c>
      <c r="H18" s="308" t="str">
        <f t="shared" si="0"/>
        <v>LS-T2S-6</v>
      </c>
      <c r="I18" s="309">
        <v>6</v>
      </c>
      <c r="J18" s="19">
        <v>1</v>
      </c>
    </row>
    <row r="19" spans="1:19" outlineLevel="2">
      <c r="A19" s="18"/>
      <c r="B19" s="297" t="s">
        <v>19</v>
      </c>
      <c r="C19" s="297" t="s">
        <v>2454</v>
      </c>
      <c r="D19" s="298"/>
      <c r="E19" s="306" t="s">
        <v>2463</v>
      </c>
      <c r="F19" s="307"/>
      <c r="G19" s="297" t="s">
        <v>597</v>
      </c>
      <c r="H19" s="308" t="str">
        <f t="shared" si="0"/>
        <v>LS-T2S-6</v>
      </c>
      <c r="I19" s="309">
        <v>6</v>
      </c>
      <c r="J19" s="19">
        <v>1</v>
      </c>
    </row>
    <row r="20" spans="1:19" s="18" customFormat="1" ht="16.5" customHeight="1" outlineLevel="2">
      <c r="A20" s="727" t="s">
        <v>71</v>
      </c>
      <c r="B20" s="297"/>
      <c r="C20" s="17"/>
      <c r="D20" s="727"/>
      <c r="E20" s="727"/>
      <c r="F20" s="307"/>
      <c r="G20" s="17"/>
      <c r="H20" s="314"/>
      <c r="I20" s="309"/>
      <c r="J20" s="19"/>
      <c r="K20" s="19"/>
      <c r="L20" s="19"/>
      <c r="M20" s="19"/>
      <c r="N20" s="19"/>
      <c r="O20" s="19"/>
      <c r="P20" s="19"/>
    </row>
    <row r="21" spans="1:19" s="18" customFormat="1" outlineLevel="2">
      <c r="B21" s="297"/>
      <c r="C21" s="297"/>
      <c r="D21" s="298"/>
      <c r="E21" s="306" t="s">
        <v>2464</v>
      </c>
      <c r="F21" s="307"/>
      <c r="G21" s="297" t="s">
        <v>597</v>
      </c>
      <c r="H21" s="308" t="str">
        <f t="shared" ref="H21:H26" si="1">CONCATENATE("LS-",G21,"-",I21)</f>
        <v>LS-T2S-9</v>
      </c>
      <c r="I21" s="309">
        <v>9</v>
      </c>
      <c r="J21" s="19"/>
      <c r="K21" s="19"/>
      <c r="L21" s="19">
        <v>1</v>
      </c>
      <c r="M21" s="19">
        <v>1</v>
      </c>
      <c r="N21" s="19"/>
      <c r="O21" s="19"/>
      <c r="P21" s="19"/>
      <c r="Q21" s="19">
        <v>1</v>
      </c>
      <c r="S21" s="19">
        <v>1</v>
      </c>
    </row>
    <row r="22" spans="1:19" s="18" customFormat="1" outlineLevel="2">
      <c r="B22" s="297"/>
      <c r="C22" s="297"/>
      <c r="D22" s="298"/>
      <c r="E22" s="306" t="s">
        <v>2465</v>
      </c>
      <c r="F22" s="307"/>
      <c r="G22" s="297" t="s">
        <v>597</v>
      </c>
      <c r="H22" s="308" t="str">
        <f t="shared" si="1"/>
        <v>LS-T2S-9</v>
      </c>
      <c r="I22" s="309">
        <v>9</v>
      </c>
      <c r="J22" s="19"/>
      <c r="K22" s="19"/>
      <c r="L22" s="19">
        <v>1</v>
      </c>
      <c r="M22" s="19">
        <v>1</v>
      </c>
      <c r="N22" s="19"/>
      <c r="O22" s="19"/>
      <c r="P22" s="19"/>
      <c r="Q22" s="19">
        <v>1</v>
      </c>
      <c r="S22" s="19">
        <v>1</v>
      </c>
    </row>
    <row r="23" spans="1:19" s="18" customFormat="1" outlineLevel="2">
      <c r="B23" s="297"/>
      <c r="C23" s="297"/>
      <c r="D23" s="298"/>
      <c r="E23" s="306" t="s">
        <v>2466</v>
      </c>
      <c r="F23" s="307"/>
      <c r="G23" s="297" t="s">
        <v>597</v>
      </c>
      <c r="H23" s="308" t="str">
        <f t="shared" si="1"/>
        <v>LS-T2S-9</v>
      </c>
      <c r="I23" s="309">
        <v>9</v>
      </c>
      <c r="J23" s="19"/>
      <c r="K23" s="19"/>
      <c r="L23" s="19">
        <v>1</v>
      </c>
      <c r="M23" s="19">
        <v>1</v>
      </c>
      <c r="N23" s="19"/>
      <c r="O23" s="19"/>
      <c r="P23" s="19"/>
      <c r="Q23" s="19">
        <v>1</v>
      </c>
      <c r="S23" s="19">
        <v>1</v>
      </c>
    </row>
    <row r="24" spans="1:19" s="18" customFormat="1" outlineLevel="2">
      <c r="B24" s="297"/>
      <c r="C24" s="297"/>
      <c r="D24" s="298"/>
      <c r="E24" s="306" t="s">
        <v>2467</v>
      </c>
      <c r="F24" s="307"/>
      <c r="G24" s="297" t="s">
        <v>597</v>
      </c>
      <c r="H24" s="308" t="str">
        <f t="shared" si="1"/>
        <v>LS-T2S-9</v>
      </c>
      <c r="I24" s="309">
        <v>9</v>
      </c>
      <c r="J24" s="19"/>
      <c r="K24" s="19"/>
      <c r="L24" s="19">
        <v>1</v>
      </c>
      <c r="M24" s="19">
        <v>1</v>
      </c>
      <c r="N24" s="19"/>
      <c r="O24" s="19"/>
      <c r="P24" s="19"/>
      <c r="Q24" s="19">
        <v>1</v>
      </c>
      <c r="S24" s="19">
        <v>1</v>
      </c>
    </row>
    <row r="25" spans="1:19" s="18" customFormat="1" outlineLevel="2">
      <c r="B25" s="297"/>
      <c r="C25" s="297"/>
      <c r="D25" s="298"/>
      <c r="E25" s="306" t="s">
        <v>2460</v>
      </c>
      <c r="F25" s="307"/>
      <c r="G25" s="297" t="s">
        <v>597</v>
      </c>
      <c r="H25" s="308" t="str">
        <f t="shared" si="1"/>
        <v>LS-T2S-9</v>
      </c>
      <c r="I25" s="309">
        <v>9</v>
      </c>
      <c r="J25" s="19"/>
      <c r="K25" s="19"/>
      <c r="L25" s="19">
        <v>1</v>
      </c>
      <c r="M25" s="19">
        <v>1</v>
      </c>
      <c r="N25" s="19"/>
      <c r="O25" s="19"/>
      <c r="P25" s="19"/>
      <c r="Q25" s="19">
        <v>1</v>
      </c>
      <c r="S25" s="19">
        <v>1</v>
      </c>
    </row>
    <row r="26" spans="1:19" s="18" customFormat="1" outlineLevel="2">
      <c r="B26" s="297"/>
      <c r="C26" s="297"/>
      <c r="D26" s="298"/>
      <c r="E26" s="306" t="s">
        <v>2468</v>
      </c>
      <c r="F26" s="307"/>
      <c r="G26" s="297" t="s">
        <v>597</v>
      </c>
      <c r="H26" s="308" t="str">
        <f t="shared" si="1"/>
        <v>LS-T2S-9</v>
      </c>
      <c r="I26" s="309">
        <v>9</v>
      </c>
      <c r="J26" s="19"/>
      <c r="K26" s="19"/>
      <c r="L26" s="19">
        <v>1</v>
      </c>
      <c r="M26" s="19">
        <v>1</v>
      </c>
      <c r="N26" s="19"/>
      <c r="O26" s="19"/>
      <c r="P26" s="19"/>
      <c r="Q26" s="19">
        <v>1</v>
      </c>
      <c r="S26" s="19">
        <v>1</v>
      </c>
    </row>
    <row r="27" spans="1:19" ht="3.6" customHeight="1" outlineLevel="1">
      <c r="A27" s="304"/>
      <c r="B27" s="297"/>
      <c r="D27" s="317"/>
      <c r="E27" s="319"/>
      <c r="F27" s="307"/>
      <c r="G27" s="297"/>
      <c r="H27" s="314"/>
      <c r="I27" s="309"/>
      <c r="J27" s="724"/>
    </row>
    <row r="28" spans="1:19" outlineLevel="1">
      <c r="A28" s="728" t="s">
        <v>2469</v>
      </c>
      <c r="B28" s="297"/>
      <c r="D28" s="317"/>
      <c r="E28" s="319"/>
      <c r="F28" s="307"/>
      <c r="G28" s="17"/>
      <c r="H28" s="314"/>
      <c r="I28" s="309"/>
    </row>
    <row r="29" spans="1:19" s="18" customFormat="1" outlineLevel="3">
      <c r="B29" s="297" t="s">
        <v>19</v>
      </c>
      <c r="C29" s="297" t="s">
        <v>2470</v>
      </c>
      <c r="D29" s="298"/>
      <c r="E29" s="306" t="s">
        <v>2455</v>
      </c>
      <c r="F29" s="307"/>
      <c r="G29" s="297" t="s">
        <v>715</v>
      </c>
      <c r="H29" s="308" t="str">
        <f>CONCATENATE("LS-",G29,"-",I29)</f>
        <v>LS-TXS-6</v>
      </c>
      <c r="I29" s="309">
        <v>6</v>
      </c>
      <c r="J29" s="19">
        <v>1</v>
      </c>
      <c r="K29" s="19"/>
      <c r="L29" s="19"/>
      <c r="M29" s="19"/>
      <c r="N29" s="19"/>
      <c r="O29" s="19"/>
      <c r="P29" s="19"/>
    </row>
    <row r="30" spans="1:19" s="18" customFormat="1" outlineLevel="3">
      <c r="B30" s="297" t="s">
        <v>19</v>
      </c>
      <c r="C30" s="297" t="s">
        <v>2470</v>
      </c>
      <c r="D30" s="298"/>
      <c r="E30" s="306" t="s">
        <v>2456</v>
      </c>
      <c r="F30" s="307"/>
      <c r="G30" s="297" t="s">
        <v>715</v>
      </c>
      <c r="H30" s="308" t="str">
        <f t="shared" ref="H30:H36" si="2">CONCATENATE("LS-",G30,"-",I30)</f>
        <v>LS-TXS-6</v>
      </c>
      <c r="I30" s="309">
        <v>6</v>
      </c>
      <c r="J30" s="19">
        <v>1</v>
      </c>
      <c r="K30" s="19"/>
      <c r="L30" s="19"/>
      <c r="M30" s="19"/>
      <c r="N30" s="19"/>
      <c r="O30" s="19"/>
      <c r="P30" s="19"/>
    </row>
    <row r="31" spans="1:19" s="18" customFormat="1" outlineLevel="3">
      <c r="B31" s="297" t="s">
        <v>19</v>
      </c>
      <c r="C31" s="297" t="s">
        <v>2470</v>
      </c>
      <c r="D31" s="298"/>
      <c r="E31" s="306" t="s">
        <v>2457</v>
      </c>
      <c r="F31" s="307"/>
      <c r="G31" s="297" t="s">
        <v>715</v>
      </c>
      <c r="H31" s="308" t="str">
        <f t="shared" si="2"/>
        <v>LS-TXS-6</v>
      </c>
      <c r="I31" s="309">
        <v>6</v>
      </c>
      <c r="J31" s="19">
        <v>1</v>
      </c>
      <c r="K31" s="19"/>
      <c r="L31" s="19"/>
      <c r="M31" s="19"/>
      <c r="N31" s="19"/>
      <c r="O31" s="19"/>
      <c r="P31" s="19"/>
    </row>
    <row r="32" spans="1:19" s="18" customFormat="1" outlineLevel="3">
      <c r="B32" s="297" t="s">
        <v>19</v>
      </c>
      <c r="C32" s="297" t="s">
        <v>2470</v>
      </c>
      <c r="D32" s="298"/>
      <c r="E32" s="306" t="s">
        <v>2458</v>
      </c>
      <c r="F32" s="307"/>
      <c r="G32" s="297" t="s">
        <v>715</v>
      </c>
      <c r="H32" s="308" t="str">
        <f t="shared" si="2"/>
        <v>LS-TXS-6</v>
      </c>
      <c r="I32" s="309">
        <v>6</v>
      </c>
      <c r="J32" s="19">
        <v>1</v>
      </c>
      <c r="K32" s="19"/>
      <c r="L32" s="19"/>
      <c r="M32" s="19"/>
      <c r="N32" s="19"/>
      <c r="O32" s="19"/>
      <c r="P32" s="19"/>
    </row>
    <row r="33" spans="1:19" s="18" customFormat="1" outlineLevel="3">
      <c r="B33" s="297" t="s">
        <v>19</v>
      </c>
      <c r="C33" s="297" t="s">
        <v>2470</v>
      </c>
      <c r="D33" s="298"/>
      <c r="E33" s="306" t="s">
        <v>2459</v>
      </c>
      <c r="F33" s="307"/>
      <c r="G33" s="297" t="s">
        <v>715</v>
      </c>
      <c r="H33" s="308" t="str">
        <f t="shared" si="2"/>
        <v>LS-TXS-6</v>
      </c>
      <c r="I33" s="309">
        <v>6</v>
      </c>
      <c r="J33" s="19">
        <v>1</v>
      </c>
      <c r="K33" s="19"/>
      <c r="L33" s="19"/>
      <c r="M33" s="19"/>
      <c r="N33" s="19"/>
      <c r="O33" s="19"/>
      <c r="P33" s="19"/>
    </row>
    <row r="34" spans="1:19" s="18" customFormat="1" outlineLevel="3">
      <c r="B34" s="297" t="s">
        <v>19</v>
      </c>
      <c r="C34" s="297" t="s">
        <v>2470</v>
      </c>
      <c r="D34" s="298"/>
      <c r="E34" s="306" t="s">
        <v>2460</v>
      </c>
      <c r="F34" s="307"/>
      <c r="G34" s="297" t="s">
        <v>715</v>
      </c>
      <c r="H34" s="308" t="str">
        <f t="shared" si="2"/>
        <v>LS-TXS-6</v>
      </c>
      <c r="I34" s="309">
        <v>6</v>
      </c>
      <c r="J34" s="19">
        <v>1</v>
      </c>
      <c r="K34" s="19"/>
      <c r="L34" s="19"/>
      <c r="M34" s="19"/>
      <c r="N34" s="19"/>
      <c r="O34" s="19"/>
      <c r="P34" s="19"/>
    </row>
    <row r="35" spans="1:19" s="18" customFormat="1" outlineLevel="3">
      <c r="B35" s="297" t="s">
        <v>19</v>
      </c>
      <c r="C35" s="297" t="s">
        <v>2470</v>
      </c>
      <c r="D35" s="298"/>
      <c r="E35" s="306" t="s">
        <v>2461</v>
      </c>
      <c r="F35" s="307"/>
      <c r="G35" s="297" t="s">
        <v>715</v>
      </c>
      <c r="H35" s="308" t="str">
        <f t="shared" si="2"/>
        <v>LS-TXS-6</v>
      </c>
      <c r="I35" s="309">
        <v>6</v>
      </c>
      <c r="J35" s="19">
        <v>1</v>
      </c>
      <c r="K35" s="19"/>
      <c r="L35" s="19"/>
      <c r="M35" s="19"/>
      <c r="N35" s="19"/>
      <c r="O35" s="19"/>
      <c r="P35" s="19"/>
    </row>
    <row r="36" spans="1:19" s="18" customFormat="1" outlineLevel="3">
      <c r="B36" s="297" t="s">
        <v>19</v>
      </c>
      <c r="C36" s="297" t="s">
        <v>2470</v>
      </c>
      <c r="D36" s="298"/>
      <c r="E36" s="306" t="s">
        <v>2462</v>
      </c>
      <c r="F36" s="307"/>
      <c r="G36" s="297" t="s">
        <v>715</v>
      </c>
      <c r="H36" s="308" t="str">
        <f t="shared" si="2"/>
        <v>LS-TXS-6</v>
      </c>
      <c r="I36" s="309">
        <v>6</v>
      </c>
      <c r="J36" s="19">
        <v>1</v>
      </c>
      <c r="K36" s="19"/>
      <c r="L36" s="19"/>
      <c r="M36" s="19"/>
      <c r="N36" s="19"/>
      <c r="O36" s="19"/>
      <c r="P36" s="19"/>
    </row>
    <row r="37" spans="1:19" s="18" customFormat="1" outlineLevel="3">
      <c r="B37" s="297" t="s">
        <v>19</v>
      </c>
      <c r="C37" s="297" t="s">
        <v>2470</v>
      </c>
      <c r="D37" s="298"/>
      <c r="E37" s="306" t="s">
        <v>2463</v>
      </c>
      <c r="F37" s="307"/>
      <c r="G37" s="297" t="s">
        <v>715</v>
      </c>
      <c r="H37" s="308" t="str">
        <f>CONCATENATE("LS-",G37,"-",I37)</f>
        <v>LS-TXS-6</v>
      </c>
      <c r="I37" s="309">
        <v>6</v>
      </c>
      <c r="J37" s="19">
        <v>1</v>
      </c>
      <c r="K37" s="19"/>
      <c r="L37" s="19"/>
      <c r="M37" s="19"/>
      <c r="N37" s="19"/>
      <c r="O37" s="19"/>
      <c r="P37" s="19"/>
    </row>
    <row r="38" spans="1:19" s="18" customFormat="1" outlineLevel="3">
      <c r="A38" s="727" t="s">
        <v>71</v>
      </c>
      <c r="B38" s="297"/>
      <c r="C38" s="17"/>
      <c r="D38" s="317"/>
      <c r="E38" s="727"/>
      <c r="F38" s="307"/>
      <c r="G38" s="17"/>
      <c r="H38" s="314"/>
      <c r="I38" s="309"/>
      <c r="J38" s="19"/>
      <c r="K38" s="19"/>
      <c r="L38" s="19"/>
      <c r="M38" s="19"/>
      <c r="N38" s="19"/>
      <c r="O38" s="19"/>
      <c r="P38" s="19"/>
    </row>
    <row r="39" spans="1:19" s="18" customFormat="1" outlineLevel="3">
      <c r="B39" s="297"/>
      <c r="C39" s="297"/>
      <c r="D39" s="298" t="s">
        <v>2471</v>
      </c>
      <c r="E39" s="306" t="s">
        <v>2464</v>
      </c>
      <c r="F39" s="307"/>
      <c r="G39" s="297" t="s">
        <v>715</v>
      </c>
      <c r="H39" s="308" t="str">
        <f t="shared" ref="H39:H44" si="3">CONCATENATE("LS-",G39,"-",I39)</f>
        <v>LS-TXS-9</v>
      </c>
      <c r="I39" s="309">
        <v>9</v>
      </c>
      <c r="J39" s="19"/>
      <c r="K39" s="19"/>
      <c r="L39" s="19">
        <v>1</v>
      </c>
      <c r="M39" s="19">
        <v>1</v>
      </c>
      <c r="N39" s="19"/>
      <c r="O39" s="19"/>
      <c r="P39" s="19"/>
      <c r="Q39" s="19">
        <v>1</v>
      </c>
      <c r="S39" s="19">
        <v>1</v>
      </c>
    </row>
    <row r="40" spans="1:19" s="18" customFormat="1" outlineLevel="3">
      <c r="B40" s="297"/>
      <c r="C40" s="297"/>
      <c r="D40" s="298"/>
      <c r="E40" s="306" t="s">
        <v>2465</v>
      </c>
      <c r="F40" s="307"/>
      <c r="G40" s="297" t="s">
        <v>715</v>
      </c>
      <c r="H40" s="308" t="str">
        <f t="shared" si="3"/>
        <v>LS-TXS-9</v>
      </c>
      <c r="I40" s="309">
        <v>9</v>
      </c>
      <c r="J40" s="19"/>
      <c r="K40" s="19"/>
      <c r="L40" s="19">
        <v>1</v>
      </c>
      <c r="M40" s="19">
        <v>1</v>
      </c>
      <c r="N40" s="19"/>
      <c r="O40" s="19"/>
      <c r="P40" s="19"/>
      <c r="Q40" s="19">
        <v>1</v>
      </c>
      <c r="S40" s="19">
        <v>1</v>
      </c>
    </row>
    <row r="41" spans="1:19" s="18" customFormat="1" outlineLevel="3">
      <c r="B41" s="297"/>
      <c r="C41" s="297"/>
      <c r="D41" s="298"/>
      <c r="E41" s="306" t="s">
        <v>2466</v>
      </c>
      <c r="F41" s="307"/>
      <c r="G41" s="297" t="s">
        <v>715</v>
      </c>
      <c r="H41" s="308" t="str">
        <f t="shared" si="3"/>
        <v>LS-TXS-9</v>
      </c>
      <c r="I41" s="309">
        <v>9</v>
      </c>
      <c r="J41" s="19"/>
      <c r="K41" s="19"/>
      <c r="L41" s="19">
        <v>1</v>
      </c>
      <c r="M41" s="19">
        <v>1</v>
      </c>
      <c r="N41" s="19"/>
      <c r="O41" s="19"/>
      <c r="P41" s="19"/>
      <c r="Q41" s="19">
        <v>1</v>
      </c>
      <c r="S41" s="19">
        <v>1</v>
      </c>
    </row>
    <row r="42" spans="1:19" s="18" customFormat="1" outlineLevel="3">
      <c r="B42" s="297"/>
      <c r="C42" s="297"/>
      <c r="D42" s="298"/>
      <c r="E42" s="306" t="s">
        <v>2467</v>
      </c>
      <c r="F42" s="307"/>
      <c r="G42" s="297" t="s">
        <v>715</v>
      </c>
      <c r="H42" s="308" t="str">
        <f t="shared" si="3"/>
        <v>LS-TXS-9</v>
      </c>
      <c r="I42" s="309">
        <v>9</v>
      </c>
      <c r="J42" s="19"/>
      <c r="K42" s="19"/>
      <c r="L42" s="19">
        <v>1</v>
      </c>
      <c r="M42" s="19">
        <v>1</v>
      </c>
      <c r="N42" s="19"/>
      <c r="O42" s="19"/>
      <c r="P42" s="19"/>
      <c r="Q42" s="19">
        <v>1</v>
      </c>
      <c r="S42" s="19">
        <v>1</v>
      </c>
    </row>
    <row r="43" spans="1:19" s="18" customFormat="1" outlineLevel="3">
      <c r="B43" s="297"/>
      <c r="C43" s="297"/>
      <c r="D43" s="298"/>
      <c r="E43" s="306" t="s">
        <v>2460</v>
      </c>
      <c r="F43" s="307"/>
      <c r="G43" s="297" t="s">
        <v>715</v>
      </c>
      <c r="H43" s="308" t="str">
        <f t="shared" si="3"/>
        <v>LS-TXS-9</v>
      </c>
      <c r="I43" s="309">
        <v>9</v>
      </c>
      <c r="J43" s="19"/>
      <c r="K43" s="19"/>
      <c r="L43" s="19">
        <v>1</v>
      </c>
      <c r="M43" s="19">
        <v>1</v>
      </c>
      <c r="N43" s="19"/>
      <c r="O43" s="19"/>
      <c r="P43" s="19"/>
      <c r="Q43" s="19">
        <v>1</v>
      </c>
      <c r="S43" s="19">
        <v>1</v>
      </c>
    </row>
    <row r="44" spans="1:19" s="18" customFormat="1" outlineLevel="3">
      <c r="B44" s="297"/>
      <c r="C44" s="297"/>
      <c r="D44" s="298"/>
      <c r="E44" s="306" t="s">
        <v>2468</v>
      </c>
      <c r="F44" s="307"/>
      <c r="G44" s="297" t="s">
        <v>715</v>
      </c>
      <c r="H44" s="308" t="str">
        <f t="shared" si="3"/>
        <v>LS-TXS-9</v>
      </c>
      <c r="I44" s="309">
        <v>9</v>
      </c>
      <c r="J44" s="19"/>
      <c r="K44" s="19"/>
      <c r="L44" s="19">
        <v>1</v>
      </c>
      <c r="M44" s="19">
        <v>1</v>
      </c>
      <c r="N44" s="19"/>
      <c r="O44" s="19"/>
      <c r="P44" s="19"/>
      <c r="Q44" s="19">
        <v>1</v>
      </c>
      <c r="S44" s="19">
        <v>1</v>
      </c>
    </row>
    <row r="45" spans="1:19" ht="3" customHeight="1">
      <c r="A45" s="304"/>
      <c r="B45" s="297"/>
      <c r="D45" s="317"/>
      <c r="E45" s="319"/>
      <c r="F45" s="307"/>
      <c r="G45" s="297"/>
      <c r="H45" s="314"/>
      <c r="I45" s="309"/>
      <c r="J45" s="724"/>
    </row>
    <row r="46" spans="1:19" s="18" customFormat="1" ht="15">
      <c r="A46" s="725" t="s">
        <v>2472</v>
      </c>
      <c r="B46" s="297"/>
      <c r="C46" s="297"/>
      <c r="D46" s="317"/>
      <c r="E46" s="319"/>
      <c r="F46" s="46"/>
      <c r="G46" s="41"/>
      <c r="H46" s="41"/>
      <c r="I46" s="42"/>
      <c r="J46" s="726"/>
      <c r="K46" s="726"/>
      <c r="L46" s="149"/>
      <c r="M46" s="19"/>
      <c r="N46" s="19"/>
      <c r="O46" s="19"/>
      <c r="P46" s="19"/>
    </row>
    <row r="47" spans="1:19" s="18" customFormat="1" outlineLevel="1">
      <c r="A47" s="317" t="s">
        <v>2473</v>
      </c>
      <c r="B47" s="297"/>
      <c r="C47" s="297"/>
      <c r="D47" s="317"/>
      <c r="E47" s="319"/>
      <c r="F47" s="46"/>
      <c r="G47" s="41"/>
      <c r="H47" s="41"/>
      <c r="I47" s="42"/>
      <c r="J47" s="726"/>
      <c r="K47" s="726"/>
      <c r="L47" s="149"/>
      <c r="M47" s="19"/>
      <c r="N47" s="19"/>
      <c r="O47" s="19"/>
      <c r="P47" s="19"/>
    </row>
    <row r="48" spans="1:19" s="18" customFormat="1" outlineLevel="2">
      <c r="B48" s="297" t="s">
        <v>19</v>
      </c>
      <c r="C48" s="297"/>
      <c r="D48" s="298" t="s">
        <v>2474</v>
      </c>
      <c r="E48" s="306" t="s">
        <v>2475</v>
      </c>
      <c r="F48" s="307"/>
      <c r="G48" s="297" t="s">
        <v>1141</v>
      </c>
      <c r="H48" s="308" t="str">
        <f t="shared" ref="H48:H68" si="4">CONCATENATE(B48,"-",G48,"-",I48)</f>
        <v>LS-SDV-1</v>
      </c>
      <c r="I48" s="309">
        <v>1</v>
      </c>
      <c r="J48" s="19">
        <v>1</v>
      </c>
      <c r="K48" s="726"/>
      <c r="L48" s="19"/>
      <c r="M48" s="19"/>
      <c r="N48" s="19"/>
      <c r="O48" s="19"/>
      <c r="P48" s="19"/>
    </row>
    <row r="49" spans="1:18" s="18" customFormat="1" outlineLevel="2">
      <c r="B49" s="297" t="s">
        <v>19</v>
      </c>
      <c r="C49" s="297"/>
      <c r="D49" s="298" t="s">
        <v>2476</v>
      </c>
      <c r="E49" s="306" t="s">
        <v>2477</v>
      </c>
      <c r="F49" s="307"/>
      <c r="G49" s="297" t="s">
        <v>1141</v>
      </c>
      <c r="H49" s="308" t="str">
        <f t="shared" si="4"/>
        <v>LS-SDV-4</v>
      </c>
      <c r="I49" s="309">
        <v>4</v>
      </c>
      <c r="J49" s="19">
        <v>1</v>
      </c>
      <c r="K49" s="726"/>
      <c r="L49" s="19"/>
      <c r="M49" s="19"/>
      <c r="N49" s="19"/>
      <c r="O49" s="19"/>
      <c r="P49" s="19"/>
      <c r="Q49" s="726"/>
      <c r="R49" s="726"/>
    </row>
    <row r="50" spans="1:18" s="18" customFormat="1" outlineLevel="2">
      <c r="B50" s="297" t="s">
        <v>19</v>
      </c>
      <c r="C50" s="297"/>
      <c r="D50" s="298" t="s">
        <v>2478</v>
      </c>
      <c r="E50" s="306" t="s">
        <v>2479</v>
      </c>
      <c r="F50" s="307"/>
      <c r="G50" s="297" t="s">
        <v>1141</v>
      </c>
      <c r="H50" s="308" t="str">
        <f t="shared" si="4"/>
        <v>LS-SDV-4</v>
      </c>
      <c r="I50" s="309">
        <v>4</v>
      </c>
      <c r="J50" s="19">
        <v>1</v>
      </c>
      <c r="K50" s="726"/>
      <c r="L50" s="19"/>
      <c r="M50" s="19"/>
      <c r="N50" s="19"/>
      <c r="O50" s="19"/>
      <c r="P50" s="19"/>
      <c r="Q50" s="726"/>
      <c r="R50" s="726"/>
    </row>
    <row r="51" spans="1:18" s="18" customFormat="1" outlineLevel="2">
      <c r="B51" s="297" t="s">
        <v>19</v>
      </c>
      <c r="C51" s="297"/>
      <c r="D51" s="298" t="s">
        <v>2480</v>
      </c>
      <c r="E51" s="306" t="s">
        <v>2481</v>
      </c>
      <c r="F51" s="307"/>
      <c r="G51" s="297" t="s">
        <v>1141</v>
      </c>
      <c r="H51" s="308" t="str">
        <f t="shared" si="4"/>
        <v>LS-SDV-4</v>
      </c>
      <c r="I51" s="309">
        <v>4</v>
      </c>
      <c r="J51" s="19">
        <v>1</v>
      </c>
      <c r="K51" s="726"/>
      <c r="L51" s="19"/>
      <c r="M51" s="19"/>
      <c r="N51" s="19"/>
      <c r="O51" s="19"/>
      <c r="P51" s="19"/>
      <c r="Q51" s="726"/>
      <c r="R51" s="726"/>
    </row>
    <row r="52" spans="1:18" s="18" customFormat="1" outlineLevel="2">
      <c r="B52" s="297" t="s">
        <v>19</v>
      </c>
      <c r="C52" s="297"/>
      <c r="D52" s="298" t="s">
        <v>2482</v>
      </c>
      <c r="E52" s="306" t="s">
        <v>2483</v>
      </c>
      <c r="F52" s="307"/>
      <c r="G52" s="297" t="s">
        <v>1141</v>
      </c>
      <c r="H52" s="308" t="str">
        <f t="shared" si="4"/>
        <v>LS-SDV-4</v>
      </c>
      <c r="I52" s="309">
        <v>4</v>
      </c>
      <c r="J52" s="19">
        <v>1</v>
      </c>
      <c r="K52" s="726"/>
      <c r="L52" s="19"/>
      <c r="M52" s="19"/>
      <c r="N52" s="19"/>
      <c r="O52" s="19"/>
      <c r="P52" s="19"/>
      <c r="Q52" s="726"/>
      <c r="R52" s="726"/>
    </row>
    <row r="53" spans="1:18" s="18" customFormat="1" outlineLevel="2">
      <c r="B53" s="297" t="s">
        <v>19</v>
      </c>
      <c r="C53" s="297"/>
      <c r="D53" s="298" t="s">
        <v>2484</v>
      </c>
      <c r="E53" s="306" t="s">
        <v>2485</v>
      </c>
      <c r="F53" s="307"/>
      <c r="G53" s="297" t="s">
        <v>1141</v>
      </c>
      <c r="H53" s="308" t="str">
        <f t="shared" si="4"/>
        <v>LS-SDV-4</v>
      </c>
      <c r="I53" s="309">
        <v>4</v>
      </c>
      <c r="J53" s="19">
        <v>1</v>
      </c>
      <c r="K53" s="726"/>
      <c r="L53" s="19"/>
      <c r="M53" s="19"/>
      <c r="N53" s="19"/>
      <c r="O53" s="19"/>
      <c r="P53" s="19"/>
      <c r="Q53" s="726"/>
      <c r="R53" s="726"/>
    </row>
    <row r="54" spans="1:18" s="18" customFormat="1" outlineLevel="2">
      <c r="B54" s="297" t="s">
        <v>19</v>
      </c>
      <c r="C54" s="297"/>
      <c r="D54" s="298" t="s">
        <v>2486</v>
      </c>
      <c r="E54" s="306" t="s">
        <v>2487</v>
      </c>
      <c r="F54" s="307"/>
      <c r="G54" s="297" t="s">
        <v>1141</v>
      </c>
      <c r="H54" s="308" t="str">
        <f t="shared" si="4"/>
        <v>LS-SDV-4</v>
      </c>
      <c r="I54" s="309">
        <v>4</v>
      </c>
      <c r="J54" s="19">
        <v>1</v>
      </c>
      <c r="K54" s="726"/>
      <c r="L54" s="19"/>
      <c r="M54" s="19"/>
      <c r="N54" s="19"/>
      <c r="O54" s="19"/>
      <c r="P54" s="19"/>
      <c r="Q54" s="726"/>
      <c r="R54" s="726"/>
    </row>
    <row r="55" spans="1:18" s="18" customFormat="1" outlineLevel="2">
      <c r="B55" s="297" t="s">
        <v>19</v>
      </c>
      <c r="C55" s="297"/>
      <c r="D55" s="298" t="s">
        <v>2488</v>
      </c>
      <c r="E55" s="306" t="s">
        <v>2489</v>
      </c>
      <c r="F55" s="307"/>
      <c r="G55" s="297" t="s">
        <v>1141</v>
      </c>
      <c r="H55" s="308" t="str">
        <f t="shared" si="4"/>
        <v>LS-SDV-4</v>
      </c>
      <c r="I55" s="309">
        <v>4</v>
      </c>
      <c r="J55" s="19">
        <v>1</v>
      </c>
      <c r="K55" s="726"/>
      <c r="L55" s="19"/>
      <c r="M55" s="19"/>
      <c r="N55" s="19"/>
      <c r="O55" s="19"/>
      <c r="P55" s="19"/>
      <c r="Q55" s="726"/>
      <c r="R55" s="726"/>
    </row>
    <row r="56" spans="1:18" s="18" customFormat="1" outlineLevel="1">
      <c r="A56" s="729" t="s">
        <v>2490</v>
      </c>
      <c r="B56" s="297"/>
      <c r="C56" s="297"/>
      <c r="D56" s="729"/>
      <c r="E56" s="730"/>
      <c r="F56" s="46"/>
      <c r="G56" s="17"/>
      <c r="H56" s="314"/>
      <c r="I56" s="731"/>
      <c r="J56" s="726"/>
      <c r="K56" s="726"/>
      <c r="L56" s="19"/>
      <c r="M56" s="19"/>
      <c r="N56" s="19"/>
      <c r="O56" s="19"/>
      <c r="P56" s="19"/>
      <c r="Q56" s="726"/>
      <c r="R56" s="726"/>
    </row>
    <row r="57" spans="1:18" s="18" customFormat="1" outlineLevel="2">
      <c r="B57" s="297" t="s">
        <v>19</v>
      </c>
      <c r="C57" s="297"/>
      <c r="D57" s="298" t="s">
        <v>2491</v>
      </c>
      <c r="E57" s="306" t="s">
        <v>2492</v>
      </c>
      <c r="F57" s="307"/>
      <c r="G57" s="297" t="s">
        <v>1141</v>
      </c>
      <c r="H57" s="308" t="str">
        <f t="shared" si="4"/>
        <v>LS-SDV-1</v>
      </c>
      <c r="I57" s="309">
        <v>1</v>
      </c>
      <c r="J57" s="726"/>
      <c r="K57" s="726"/>
      <c r="L57" s="19">
        <v>1</v>
      </c>
      <c r="M57" s="19">
        <v>1</v>
      </c>
      <c r="N57" s="19"/>
      <c r="O57" s="19"/>
      <c r="P57" s="19"/>
      <c r="Q57" s="19">
        <v>1</v>
      </c>
      <c r="R57" s="19">
        <v>1</v>
      </c>
    </row>
    <row r="58" spans="1:18" s="18" customFormat="1" outlineLevel="2">
      <c r="B58" s="297" t="s">
        <v>19</v>
      </c>
      <c r="C58" s="297"/>
      <c r="D58" s="298" t="s">
        <v>2493</v>
      </c>
      <c r="E58" s="306" t="s">
        <v>2494</v>
      </c>
      <c r="F58" s="307"/>
      <c r="G58" s="297" t="s">
        <v>1141</v>
      </c>
      <c r="H58" s="308" t="str">
        <f t="shared" si="4"/>
        <v>LS-SDV-1</v>
      </c>
      <c r="I58" s="309">
        <v>1</v>
      </c>
      <c r="J58" s="726"/>
      <c r="K58" s="726"/>
      <c r="L58" s="19">
        <v>1</v>
      </c>
      <c r="M58" s="19">
        <v>1</v>
      </c>
      <c r="N58" s="19"/>
      <c r="O58" s="19"/>
      <c r="P58" s="19"/>
      <c r="Q58" s="19">
        <v>1</v>
      </c>
      <c r="R58" s="19">
        <v>1</v>
      </c>
    </row>
    <row r="59" spans="1:18" s="18" customFormat="1" outlineLevel="2">
      <c r="B59" s="297" t="s">
        <v>19</v>
      </c>
      <c r="C59" s="297"/>
      <c r="D59" s="298" t="s">
        <v>2495</v>
      </c>
      <c r="E59" s="306" t="s">
        <v>2496</v>
      </c>
      <c r="F59" s="307"/>
      <c r="G59" s="297" t="s">
        <v>1141</v>
      </c>
      <c r="H59" s="308" t="str">
        <f t="shared" si="4"/>
        <v>LS-SDV-4</v>
      </c>
      <c r="I59" s="309">
        <v>4</v>
      </c>
      <c r="J59" s="726"/>
      <c r="K59" s="726"/>
      <c r="L59" s="19">
        <v>1</v>
      </c>
      <c r="M59" s="19">
        <v>1</v>
      </c>
      <c r="N59" s="19"/>
      <c r="O59" s="19"/>
      <c r="P59" s="19"/>
      <c r="Q59" s="19">
        <v>1</v>
      </c>
      <c r="R59" s="19">
        <v>1</v>
      </c>
    </row>
    <row r="60" spans="1:18" s="18" customFormat="1" outlineLevel="2">
      <c r="B60" s="297" t="s">
        <v>19</v>
      </c>
      <c r="C60" s="297"/>
      <c r="D60" s="298" t="s">
        <v>2497</v>
      </c>
      <c r="E60" s="306" t="s">
        <v>2498</v>
      </c>
      <c r="F60" s="307"/>
      <c r="G60" s="297" t="s">
        <v>1141</v>
      </c>
      <c r="H60" s="308" t="str">
        <f t="shared" si="4"/>
        <v>LS-SDV-4</v>
      </c>
      <c r="I60" s="309">
        <v>4</v>
      </c>
      <c r="J60" s="726"/>
      <c r="K60" s="726"/>
      <c r="L60" s="19">
        <v>1</v>
      </c>
      <c r="M60" s="19">
        <v>1</v>
      </c>
      <c r="N60" s="19"/>
      <c r="O60" s="19"/>
      <c r="P60" s="19"/>
      <c r="Q60" s="19">
        <v>1</v>
      </c>
      <c r="R60" s="19">
        <v>1</v>
      </c>
    </row>
    <row r="61" spans="1:18" s="18" customFormat="1" outlineLevel="2">
      <c r="B61" s="297" t="s">
        <v>19</v>
      </c>
      <c r="C61" s="297"/>
      <c r="D61" s="298" t="s">
        <v>2499</v>
      </c>
      <c r="E61" s="306" t="s">
        <v>2500</v>
      </c>
      <c r="F61" s="307"/>
      <c r="G61" s="297" t="s">
        <v>1141</v>
      </c>
      <c r="H61" s="308" t="str">
        <f t="shared" si="4"/>
        <v>LS-SDV-4</v>
      </c>
      <c r="I61" s="309">
        <v>4</v>
      </c>
      <c r="J61" s="726"/>
      <c r="K61" s="726"/>
      <c r="L61" s="19">
        <v>1</v>
      </c>
      <c r="M61" s="19">
        <v>1</v>
      </c>
      <c r="N61" s="19"/>
      <c r="O61" s="19"/>
      <c r="P61" s="19"/>
      <c r="Q61" s="19">
        <v>1</v>
      </c>
      <c r="R61" s="19">
        <v>1</v>
      </c>
    </row>
    <row r="62" spans="1:18" s="18" customFormat="1" outlineLevel="2">
      <c r="B62" s="297" t="s">
        <v>19</v>
      </c>
      <c r="C62" s="297"/>
      <c r="D62" s="298" t="s">
        <v>2501</v>
      </c>
      <c r="E62" s="306" t="s">
        <v>2502</v>
      </c>
      <c r="F62" s="307"/>
      <c r="G62" s="297" t="s">
        <v>1141</v>
      </c>
      <c r="H62" s="308" t="str">
        <f t="shared" si="4"/>
        <v>LS-SDV-4</v>
      </c>
      <c r="I62" s="309">
        <v>4</v>
      </c>
      <c r="J62" s="726"/>
      <c r="K62" s="726"/>
      <c r="L62" s="19">
        <v>1</v>
      </c>
      <c r="M62" s="19">
        <v>1</v>
      </c>
      <c r="N62" s="19"/>
      <c r="O62" s="19"/>
      <c r="P62" s="19"/>
      <c r="Q62" s="19">
        <v>1</v>
      </c>
      <c r="R62" s="19">
        <v>1</v>
      </c>
    </row>
    <row r="63" spans="1:18" s="18" customFormat="1" outlineLevel="2">
      <c r="B63" s="297" t="s">
        <v>19</v>
      </c>
      <c r="C63" s="297"/>
      <c r="D63" s="298" t="s">
        <v>2503</v>
      </c>
      <c r="E63" s="306" t="s">
        <v>2504</v>
      </c>
      <c r="F63" s="307"/>
      <c r="G63" s="297" t="s">
        <v>1141</v>
      </c>
      <c r="H63" s="308" t="str">
        <f t="shared" si="4"/>
        <v>LS-SDV-4</v>
      </c>
      <c r="I63" s="309">
        <v>4</v>
      </c>
      <c r="J63" s="726"/>
      <c r="K63" s="726"/>
      <c r="L63" s="19">
        <v>1</v>
      </c>
      <c r="M63" s="19">
        <v>1</v>
      </c>
      <c r="N63" s="19"/>
      <c r="O63" s="19"/>
      <c r="P63" s="19"/>
      <c r="Q63" s="19">
        <v>1</v>
      </c>
      <c r="R63" s="19">
        <v>1</v>
      </c>
    </row>
    <row r="64" spans="1:18" s="18" customFormat="1" outlineLevel="2">
      <c r="B64" s="297" t="s">
        <v>19</v>
      </c>
      <c r="C64" s="297"/>
      <c r="D64" s="298" t="s">
        <v>2505</v>
      </c>
      <c r="E64" s="306" t="s">
        <v>2506</v>
      </c>
      <c r="F64" s="307"/>
      <c r="G64" s="297" t="s">
        <v>1141</v>
      </c>
      <c r="H64" s="308" t="str">
        <f t="shared" si="4"/>
        <v>LS-SDV-4</v>
      </c>
      <c r="I64" s="309">
        <v>4</v>
      </c>
      <c r="J64" s="726"/>
      <c r="K64" s="726"/>
      <c r="L64" s="19">
        <v>1</v>
      </c>
      <c r="M64" s="19">
        <v>1</v>
      </c>
      <c r="N64" s="19"/>
      <c r="O64" s="19"/>
      <c r="P64" s="19"/>
      <c r="Q64" s="19">
        <v>1</v>
      </c>
      <c r="R64" s="19">
        <v>1</v>
      </c>
    </row>
    <row r="65" spans="1:19" s="18" customFormat="1" outlineLevel="2">
      <c r="B65" s="297" t="s">
        <v>19</v>
      </c>
      <c r="C65" s="297"/>
      <c r="D65" s="298" t="s">
        <v>2507</v>
      </c>
      <c r="E65" s="306" t="s">
        <v>2508</v>
      </c>
      <c r="F65" s="307"/>
      <c r="G65" s="297" t="s">
        <v>1141</v>
      </c>
      <c r="H65" s="308" t="str">
        <f t="shared" si="4"/>
        <v>LS-SDV-4</v>
      </c>
      <c r="I65" s="309">
        <v>4</v>
      </c>
      <c r="J65" s="726"/>
      <c r="K65" s="726"/>
      <c r="L65" s="19">
        <v>1</v>
      </c>
      <c r="M65" s="19">
        <v>1</v>
      </c>
      <c r="N65" s="19"/>
      <c r="O65" s="19"/>
      <c r="P65" s="19"/>
      <c r="Q65" s="19">
        <v>1</v>
      </c>
      <c r="R65" s="19">
        <v>1</v>
      </c>
      <c r="S65" s="19"/>
    </row>
    <row r="66" spans="1:19" s="18" customFormat="1" outlineLevel="2">
      <c r="B66" s="297" t="s">
        <v>19</v>
      </c>
      <c r="C66" s="297"/>
      <c r="D66" s="298" t="s">
        <v>2509</v>
      </c>
      <c r="E66" s="306" t="s">
        <v>2510</v>
      </c>
      <c r="F66" s="307"/>
      <c r="G66" s="297" t="s">
        <v>1141</v>
      </c>
      <c r="H66" s="308" t="str">
        <f t="shared" si="4"/>
        <v>LS-SDV-4</v>
      </c>
      <c r="I66" s="309">
        <v>4</v>
      </c>
      <c r="J66" s="726"/>
      <c r="K66" s="726"/>
      <c r="L66" s="19">
        <v>1</v>
      </c>
      <c r="M66" s="19">
        <v>1</v>
      </c>
      <c r="N66" s="19"/>
      <c r="O66" s="19"/>
      <c r="P66" s="19"/>
      <c r="Q66" s="19">
        <v>1</v>
      </c>
      <c r="R66" s="19">
        <v>1</v>
      </c>
      <c r="S66" s="19"/>
    </row>
    <row r="67" spans="1:19" s="18" customFormat="1" outlineLevel="2">
      <c r="B67" s="297" t="s">
        <v>19</v>
      </c>
      <c r="C67" s="297"/>
      <c r="D67" s="298" t="s">
        <v>2511</v>
      </c>
      <c r="E67" s="306" t="s">
        <v>2512</v>
      </c>
      <c r="F67" s="307"/>
      <c r="G67" s="297" t="s">
        <v>1141</v>
      </c>
      <c r="H67" s="308" t="str">
        <f t="shared" si="4"/>
        <v>LS-SDV-NA</v>
      </c>
      <c r="I67" s="309" t="s">
        <v>293</v>
      </c>
      <c r="J67" s="726"/>
      <c r="K67" s="726"/>
      <c r="L67" s="19"/>
      <c r="M67" s="19"/>
      <c r="N67" s="19"/>
      <c r="O67" s="19"/>
      <c r="P67" s="19"/>
      <c r="Q67" s="19"/>
      <c r="R67" s="19"/>
      <c r="S67" s="19"/>
    </row>
    <row r="68" spans="1:19" s="18" customFormat="1" outlineLevel="2">
      <c r="B68" s="297" t="s">
        <v>19</v>
      </c>
      <c r="C68" s="297"/>
      <c r="D68" s="298" t="s">
        <v>2513</v>
      </c>
      <c r="E68" s="306" t="s">
        <v>2514</v>
      </c>
      <c r="F68" s="307"/>
      <c r="G68" s="297" t="s">
        <v>1141</v>
      </c>
      <c r="H68" s="308" t="str">
        <f t="shared" si="4"/>
        <v>LS-SDV-4</v>
      </c>
      <c r="I68" s="309">
        <v>4</v>
      </c>
      <c r="J68" s="726"/>
      <c r="K68" s="726"/>
      <c r="L68" s="19">
        <v>1</v>
      </c>
      <c r="M68" s="19">
        <v>1</v>
      </c>
      <c r="N68" s="19"/>
      <c r="O68" s="19"/>
      <c r="P68" s="19"/>
      <c r="Q68" s="19">
        <v>1</v>
      </c>
      <c r="R68" s="19">
        <v>1</v>
      </c>
      <c r="S68" s="19"/>
    </row>
    <row r="69" spans="1:19" s="18" customFormat="1" outlineLevel="1">
      <c r="A69" s="730" t="s">
        <v>2515</v>
      </c>
      <c r="B69" s="297"/>
      <c r="C69" s="297"/>
      <c r="D69" s="730"/>
      <c r="E69" s="730"/>
      <c r="F69" s="732"/>
      <c r="G69" s="17"/>
      <c r="H69" s="314"/>
      <c r="I69" s="309"/>
      <c r="J69" s="726"/>
      <c r="K69" s="726"/>
      <c r="L69" s="19"/>
      <c r="M69" s="19"/>
      <c r="N69" s="19"/>
      <c r="O69" s="19"/>
      <c r="P69" s="19"/>
      <c r="Q69" s="726"/>
      <c r="R69" s="726"/>
      <c r="S69" s="726"/>
    </row>
    <row r="70" spans="1:19" s="18" customFormat="1" outlineLevel="2">
      <c r="B70" s="297" t="s">
        <v>19</v>
      </c>
      <c r="C70" s="297"/>
      <c r="D70" s="298" t="s">
        <v>2516</v>
      </c>
      <c r="E70" s="306" t="s">
        <v>2517</v>
      </c>
      <c r="F70" s="307"/>
      <c r="G70" s="297" t="s">
        <v>1141</v>
      </c>
      <c r="H70" s="308" t="str">
        <f t="shared" ref="H70:H80" si="5">CONCATENATE(B70,"-",G70,"-",I70)</f>
        <v>LS-SDV-1</v>
      </c>
      <c r="I70" s="309">
        <v>1</v>
      </c>
      <c r="J70" s="726"/>
      <c r="K70" s="726"/>
      <c r="L70" s="19">
        <v>1</v>
      </c>
      <c r="M70" s="19">
        <v>1</v>
      </c>
      <c r="N70" s="19"/>
      <c r="O70" s="19"/>
      <c r="P70" s="19"/>
      <c r="Q70" s="19">
        <v>1</v>
      </c>
      <c r="R70" s="19"/>
      <c r="S70" s="19">
        <v>1</v>
      </c>
    </row>
    <row r="71" spans="1:19" s="18" customFormat="1" outlineLevel="2">
      <c r="B71" s="297" t="s">
        <v>19</v>
      </c>
      <c r="C71" s="297"/>
      <c r="D71" s="298" t="s">
        <v>2518</v>
      </c>
      <c r="E71" s="306" t="s">
        <v>2519</v>
      </c>
      <c r="F71" s="307"/>
      <c r="G71" s="297" t="s">
        <v>1141</v>
      </c>
      <c r="H71" s="308" t="str">
        <f t="shared" si="5"/>
        <v>LS-SDV-1</v>
      </c>
      <c r="I71" s="309">
        <v>1</v>
      </c>
      <c r="J71" s="726"/>
      <c r="K71" s="726"/>
      <c r="L71" s="19">
        <v>1</v>
      </c>
      <c r="M71" s="19">
        <v>1</v>
      </c>
      <c r="N71" s="19"/>
      <c r="O71" s="19"/>
      <c r="P71" s="19"/>
      <c r="Q71" s="19">
        <v>1</v>
      </c>
      <c r="R71" s="19"/>
      <c r="S71" s="19">
        <v>1</v>
      </c>
    </row>
    <row r="72" spans="1:19" s="18" customFormat="1" outlineLevel="2">
      <c r="B72" s="297" t="s">
        <v>19</v>
      </c>
      <c r="C72" s="297"/>
      <c r="D72" s="298" t="s">
        <v>2520</v>
      </c>
      <c r="E72" s="306" t="s">
        <v>2521</v>
      </c>
      <c r="F72" s="307"/>
      <c r="G72" s="297" t="s">
        <v>1141</v>
      </c>
      <c r="H72" s="308" t="str">
        <f t="shared" si="5"/>
        <v>LS-SDV-4</v>
      </c>
      <c r="I72" s="309">
        <v>4</v>
      </c>
      <c r="J72" s="726"/>
      <c r="K72" s="726"/>
      <c r="L72" s="19">
        <v>1</v>
      </c>
      <c r="M72" s="19">
        <v>1</v>
      </c>
      <c r="N72" s="19"/>
      <c r="O72" s="19"/>
      <c r="P72" s="19"/>
      <c r="Q72" s="19">
        <v>1</v>
      </c>
      <c r="R72" s="19"/>
      <c r="S72" s="19">
        <v>1</v>
      </c>
    </row>
    <row r="73" spans="1:19" s="18" customFormat="1" outlineLevel="2">
      <c r="B73" s="297" t="s">
        <v>19</v>
      </c>
      <c r="C73" s="297"/>
      <c r="D73" s="298" t="s">
        <v>2522</v>
      </c>
      <c r="E73" s="306" t="s">
        <v>2523</v>
      </c>
      <c r="F73" s="307"/>
      <c r="G73" s="297" t="s">
        <v>1141</v>
      </c>
      <c r="H73" s="308" t="str">
        <f t="shared" si="5"/>
        <v>LS-SDV-4</v>
      </c>
      <c r="I73" s="309">
        <v>4</v>
      </c>
      <c r="J73" s="726"/>
      <c r="K73" s="726"/>
      <c r="L73" s="19">
        <v>1</v>
      </c>
      <c r="M73" s="19">
        <v>1</v>
      </c>
      <c r="N73" s="19"/>
      <c r="O73" s="19"/>
      <c r="P73" s="19"/>
      <c r="Q73" s="19">
        <v>1</v>
      </c>
      <c r="R73" s="19"/>
      <c r="S73" s="19">
        <v>1</v>
      </c>
    </row>
    <row r="74" spans="1:19" s="18" customFormat="1" outlineLevel="2">
      <c r="B74" s="297" t="s">
        <v>19</v>
      </c>
      <c r="C74" s="297"/>
      <c r="D74" s="298" t="s">
        <v>2524</v>
      </c>
      <c r="E74" s="306" t="s">
        <v>2525</v>
      </c>
      <c r="F74" s="307"/>
      <c r="G74" s="297" t="s">
        <v>1141</v>
      </c>
      <c r="H74" s="308" t="str">
        <f t="shared" si="5"/>
        <v>LS-SDV-4</v>
      </c>
      <c r="I74" s="309">
        <v>4</v>
      </c>
      <c r="J74" s="726"/>
      <c r="K74" s="726"/>
      <c r="L74" s="19">
        <v>1</v>
      </c>
      <c r="M74" s="19">
        <v>1</v>
      </c>
      <c r="N74" s="19"/>
      <c r="O74" s="19"/>
      <c r="P74" s="19"/>
      <c r="Q74" s="19">
        <v>1</v>
      </c>
      <c r="R74" s="19"/>
      <c r="S74" s="19">
        <v>1</v>
      </c>
    </row>
    <row r="75" spans="1:19" s="18" customFormat="1" outlineLevel="2">
      <c r="B75" s="297" t="s">
        <v>19</v>
      </c>
      <c r="C75" s="297"/>
      <c r="D75" s="298" t="s">
        <v>2526</v>
      </c>
      <c r="E75" s="306" t="s">
        <v>2527</v>
      </c>
      <c r="F75" s="307"/>
      <c r="G75" s="297" t="s">
        <v>1141</v>
      </c>
      <c r="H75" s="308" t="str">
        <f t="shared" si="5"/>
        <v>LS-SDV-4</v>
      </c>
      <c r="I75" s="309">
        <v>4</v>
      </c>
      <c r="J75" s="726"/>
      <c r="K75" s="726"/>
      <c r="L75" s="19">
        <v>1</v>
      </c>
      <c r="M75" s="19">
        <v>1</v>
      </c>
      <c r="N75" s="19"/>
      <c r="O75" s="19"/>
      <c r="P75" s="19"/>
      <c r="Q75" s="19">
        <v>1</v>
      </c>
      <c r="R75" s="19"/>
      <c r="S75" s="19">
        <v>1</v>
      </c>
    </row>
    <row r="76" spans="1:19" s="18" customFormat="1" outlineLevel="2">
      <c r="B76" s="297" t="s">
        <v>19</v>
      </c>
      <c r="C76" s="297"/>
      <c r="D76" s="298" t="s">
        <v>2528</v>
      </c>
      <c r="E76" s="306" t="s">
        <v>2529</v>
      </c>
      <c r="F76" s="307"/>
      <c r="G76" s="297" t="s">
        <v>1141</v>
      </c>
      <c r="H76" s="308" t="str">
        <f t="shared" si="5"/>
        <v>LS-SDV-4</v>
      </c>
      <c r="I76" s="309">
        <v>4</v>
      </c>
      <c r="J76" s="726"/>
      <c r="K76" s="726"/>
      <c r="L76" s="19">
        <v>1</v>
      </c>
      <c r="M76" s="19">
        <v>1</v>
      </c>
      <c r="N76" s="19"/>
      <c r="O76" s="19"/>
      <c r="P76" s="19"/>
      <c r="Q76" s="19">
        <v>1</v>
      </c>
      <c r="R76" s="19"/>
      <c r="S76" s="19">
        <v>1</v>
      </c>
    </row>
    <row r="77" spans="1:19" s="18" customFormat="1" outlineLevel="2">
      <c r="B77" s="297" t="s">
        <v>19</v>
      </c>
      <c r="C77" s="297"/>
      <c r="D77" s="298" t="s">
        <v>2530</v>
      </c>
      <c r="E77" s="306" t="s">
        <v>2531</v>
      </c>
      <c r="F77" s="307"/>
      <c r="G77" s="297" t="s">
        <v>1141</v>
      </c>
      <c r="H77" s="308" t="str">
        <f t="shared" si="5"/>
        <v>LS-SDV-4</v>
      </c>
      <c r="I77" s="309">
        <v>4</v>
      </c>
      <c r="J77" s="726"/>
      <c r="K77" s="726"/>
      <c r="L77" s="19">
        <v>1</v>
      </c>
      <c r="M77" s="19">
        <v>1</v>
      </c>
      <c r="N77" s="19"/>
      <c r="O77" s="19"/>
      <c r="P77" s="19"/>
      <c r="Q77" s="19">
        <v>1</v>
      </c>
      <c r="R77" s="19"/>
      <c r="S77" s="19">
        <v>1</v>
      </c>
    </row>
    <row r="78" spans="1:19" s="18" customFormat="1" outlineLevel="2">
      <c r="B78" s="297" t="s">
        <v>19</v>
      </c>
      <c r="C78" s="297"/>
      <c r="D78" s="298" t="s">
        <v>2532</v>
      </c>
      <c r="E78" s="306" t="s">
        <v>2533</v>
      </c>
      <c r="F78" s="307"/>
      <c r="G78" s="297" t="s">
        <v>1141</v>
      </c>
      <c r="H78" s="308" t="str">
        <f t="shared" si="5"/>
        <v>LS-SDV-4</v>
      </c>
      <c r="I78" s="309">
        <v>4</v>
      </c>
      <c r="J78" s="726"/>
      <c r="K78" s="726"/>
      <c r="L78" s="19">
        <v>1</v>
      </c>
      <c r="M78" s="19">
        <v>1</v>
      </c>
      <c r="N78" s="19"/>
      <c r="O78" s="19"/>
      <c r="P78" s="19"/>
      <c r="Q78" s="19">
        <v>1</v>
      </c>
      <c r="R78" s="19"/>
      <c r="S78" s="19">
        <v>1</v>
      </c>
    </row>
    <row r="79" spans="1:19" s="18" customFormat="1" outlineLevel="2">
      <c r="B79" s="297" t="s">
        <v>19</v>
      </c>
      <c r="C79" s="297"/>
      <c r="D79" s="298" t="s">
        <v>2534</v>
      </c>
      <c r="E79" s="306" t="s">
        <v>2535</v>
      </c>
      <c r="F79" s="307"/>
      <c r="G79" s="297" t="s">
        <v>1141</v>
      </c>
      <c r="H79" s="308" t="str">
        <f t="shared" si="5"/>
        <v>LS-SDV-4</v>
      </c>
      <c r="I79" s="309">
        <v>4</v>
      </c>
      <c r="J79" s="726"/>
      <c r="K79" s="726"/>
      <c r="L79" s="19">
        <v>1</v>
      </c>
      <c r="M79" s="19">
        <v>1</v>
      </c>
      <c r="N79" s="19"/>
      <c r="O79" s="19"/>
      <c r="P79" s="19"/>
      <c r="Q79" s="19">
        <v>1</v>
      </c>
      <c r="R79" s="19"/>
      <c r="S79" s="19">
        <v>1</v>
      </c>
    </row>
    <row r="80" spans="1:19" s="18" customFormat="1" outlineLevel="2">
      <c r="B80" s="297" t="s">
        <v>19</v>
      </c>
      <c r="C80" s="297"/>
      <c r="D80" s="298" t="s">
        <v>2536</v>
      </c>
      <c r="E80" s="306" t="s">
        <v>2537</v>
      </c>
      <c r="F80" s="307"/>
      <c r="G80" s="297" t="s">
        <v>1141</v>
      </c>
      <c r="H80" s="308" t="str">
        <f t="shared" si="5"/>
        <v>LS-SDV-NA</v>
      </c>
      <c r="I80" s="309" t="s">
        <v>293</v>
      </c>
      <c r="J80" s="726"/>
      <c r="K80" s="726"/>
      <c r="L80" s="19"/>
      <c r="M80" s="19"/>
      <c r="N80" s="19"/>
      <c r="O80" s="19"/>
      <c r="P80" s="19"/>
      <c r="Q80" s="19"/>
      <c r="R80" s="19"/>
      <c r="S80" s="19"/>
    </row>
    <row r="81" spans="1:16" s="18" customFormat="1" outlineLevel="1">
      <c r="A81" s="288" t="s">
        <v>2538</v>
      </c>
      <c r="B81" s="297"/>
      <c r="C81" s="297"/>
      <c r="D81" s="299"/>
      <c r="E81" s="319"/>
      <c r="F81" s="732"/>
      <c r="G81" s="17"/>
      <c r="H81" s="314"/>
      <c r="I81" s="309"/>
      <c r="J81" s="726"/>
      <c r="N81" s="19"/>
      <c r="O81" s="19"/>
      <c r="P81" s="19"/>
    </row>
    <row r="82" spans="1:16" s="18" customFormat="1" outlineLevel="2">
      <c r="B82" s="297" t="s">
        <v>19</v>
      </c>
      <c r="C82" s="297"/>
      <c r="D82" s="298"/>
      <c r="E82" s="306" t="s">
        <v>2539</v>
      </c>
      <c r="F82" s="307"/>
      <c r="G82" s="297" t="s">
        <v>1141</v>
      </c>
      <c r="H82" s="308" t="str">
        <f t="shared" ref="H82:H86" si="6">CONCATENATE(B82,"-",G82,"-",I82)</f>
        <v>LS-SDV-4</v>
      </c>
      <c r="I82" s="309">
        <v>4</v>
      </c>
      <c r="J82" s="726">
        <v>1</v>
      </c>
      <c r="N82" s="19"/>
      <c r="O82" s="19"/>
      <c r="P82" s="19"/>
    </row>
    <row r="83" spans="1:16" s="18" customFormat="1" outlineLevel="2">
      <c r="B83" s="297" t="s">
        <v>19</v>
      </c>
      <c r="C83" s="297"/>
      <c r="D83" s="298"/>
      <c r="E83" s="306" t="s">
        <v>2540</v>
      </c>
      <c r="F83" s="307"/>
      <c r="G83" s="297" t="s">
        <v>1141</v>
      </c>
      <c r="H83" s="308" t="str">
        <f t="shared" si="6"/>
        <v>LS-SDV-4</v>
      </c>
      <c r="I83" s="309">
        <v>4</v>
      </c>
      <c r="J83" s="726">
        <v>1</v>
      </c>
      <c r="N83" s="19"/>
      <c r="O83" s="19"/>
      <c r="P83" s="19"/>
    </row>
    <row r="84" spans="1:16" s="18" customFormat="1" outlineLevel="2">
      <c r="B84" s="297" t="s">
        <v>19</v>
      </c>
      <c r="C84" s="297"/>
      <c r="D84" s="298"/>
      <c r="E84" s="306" t="s">
        <v>2541</v>
      </c>
      <c r="F84" s="307"/>
      <c r="G84" s="297" t="s">
        <v>1141</v>
      </c>
      <c r="H84" s="308" t="str">
        <f t="shared" si="6"/>
        <v>LS-SDV-4</v>
      </c>
      <c r="I84" s="309">
        <v>4</v>
      </c>
      <c r="J84" s="726">
        <v>1</v>
      </c>
      <c r="N84" s="19"/>
      <c r="O84" s="19"/>
      <c r="P84" s="19"/>
    </row>
    <row r="85" spans="1:16" s="18" customFormat="1" outlineLevel="2">
      <c r="B85" s="297" t="s">
        <v>19</v>
      </c>
      <c r="C85" s="297"/>
      <c r="D85" s="298"/>
      <c r="E85" s="306" t="s">
        <v>2542</v>
      </c>
      <c r="F85" s="307"/>
      <c r="G85" s="297" t="s">
        <v>1141</v>
      </c>
      <c r="H85" s="308" t="str">
        <f t="shared" si="6"/>
        <v>LS-SDV-4</v>
      </c>
      <c r="I85" s="309">
        <v>4</v>
      </c>
      <c r="J85" s="726">
        <v>1</v>
      </c>
      <c r="N85" s="19"/>
      <c r="O85" s="19"/>
      <c r="P85" s="19"/>
    </row>
    <row r="86" spans="1:16" s="18" customFormat="1" outlineLevel="2">
      <c r="B86" s="297" t="s">
        <v>19</v>
      </c>
      <c r="C86" s="297"/>
      <c r="D86" s="298"/>
      <c r="E86" s="306" t="s">
        <v>2543</v>
      </c>
      <c r="F86" s="307"/>
      <c r="G86" s="297" t="s">
        <v>1141</v>
      </c>
      <c r="H86" s="308" t="str">
        <f t="shared" si="6"/>
        <v>LS-SDV-4</v>
      </c>
      <c r="I86" s="309">
        <v>4</v>
      </c>
      <c r="J86" s="726">
        <v>1</v>
      </c>
      <c r="N86" s="19"/>
      <c r="O86" s="19"/>
      <c r="P86" s="19"/>
    </row>
    <row r="87" spans="1:16" s="18" customFormat="1" outlineLevel="1">
      <c r="A87" s="288" t="s">
        <v>2544</v>
      </c>
      <c r="B87" s="297"/>
      <c r="C87" s="297"/>
      <c r="D87" s="299"/>
      <c r="E87" s="319"/>
      <c r="F87" s="732"/>
      <c r="G87" s="17"/>
      <c r="H87" s="314"/>
      <c r="I87" s="309"/>
      <c r="J87" s="726"/>
      <c r="N87" s="19"/>
      <c r="O87" s="19"/>
      <c r="P87" s="19"/>
    </row>
    <row r="88" spans="1:16" s="18" customFormat="1" outlineLevel="2">
      <c r="B88" s="297" t="s">
        <v>19</v>
      </c>
      <c r="C88" s="297" t="s">
        <v>2545</v>
      </c>
      <c r="D88" s="298"/>
      <c r="E88" s="306" t="s">
        <v>2546</v>
      </c>
      <c r="F88" s="307"/>
      <c r="G88" s="297" t="s">
        <v>1141</v>
      </c>
      <c r="H88" s="308" t="str">
        <f t="shared" ref="H88" si="7">CONCATENATE(B88,"-",G88,"-",I88)</f>
        <v>LS-SDV-4</v>
      </c>
      <c r="I88" s="309">
        <v>4</v>
      </c>
      <c r="J88" s="726">
        <v>1</v>
      </c>
      <c r="N88" s="19"/>
      <c r="O88" s="19"/>
      <c r="P88" s="19"/>
    </row>
    <row r="89" spans="1:16" s="18" customFormat="1" outlineLevel="2">
      <c r="B89" s="297" t="s">
        <v>19</v>
      </c>
      <c r="C89" s="297" t="s">
        <v>2545</v>
      </c>
      <c r="D89" s="298"/>
      <c r="E89" s="306" t="s">
        <v>2547</v>
      </c>
      <c r="F89" s="307"/>
      <c r="G89" s="297" t="s">
        <v>1141</v>
      </c>
      <c r="H89" s="308" t="str">
        <f t="shared" ref="H89:H92" si="8">CONCATENATE(B89,"-",G89,"-",I89)</f>
        <v>LS-SDV-4</v>
      </c>
      <c r="I89" s="309">
        <v>4</v>
      </c>
      <c r="J89" s="726">
        <v>1</v>
      </c>
      <c r="N89" s="19"/>
      <c r="O89" s="19"/>
      <c r="P89" s="19"/>
    </row>
    <row r="90" spans="1:16" s="18" customFormat="1" outlineLevel="2">
      <c r="B90" s="297" t="s">
        <v>19</v>
      </c>
      <c r="C90" s="297" t="s">
        <v>2545</v>
      </c>
      <c r="D90" s="298"/>
      <c r="E90" s="306" t="s">
        <v>2548</v>
      </c>
      <c r="F90" s="307"/>
      <c r="G90" s="297" t="s">
        <v>1141</v>
      </c>
      <c r="H90" s="308" t="str">
        <f t="shared" si="8"/>
        <v>LS-SDV-4</v>
      </c>
      <c r="I90" s="309">
        <v>4</v>
      </c>
      <c r="J90" s="726">
        <v>1</v>
      </c>
      <c r="N90" s="19"/>
      <c r="O90" s="19"/>
      <c r="P90" s="19"/>
    </row>
    <row r="91" spans="1:16" s="18" customFormat="1" outlineLevel="2">
      <c r="B91" s="297" t="s">
        <v>19</v>
      </c>
      <c r="C91" s="297" t="s">
        <v>2545</v>
      </c>
      <c r="D91" s="298"/>
      <c r="E91" s="306" t="s">
        <v>2549</v>
      </c>
      <c r="F91" s="307"/>
      <c r="G91" s="297" t="s">
        <v>1141</v>
      </c>
      <c r="H91" s="308" t="str">
        <f t="shared" si="8"/>
        <v>LS-SDV-4</v>
      </c>
      <c r="I91" s="309">
        <v>4</v>
      </c>
      <c r="J91" s="726">
        <v>1</v>
      </c>
      <c r="N91" s="19"/>
      <c r="O91" s="19"/>
      <c r="P91" s="19"/>
    </row>
    <row r="92" spans="1:16" s="18" customFormat="1" outlineLevel="2">
      <c r="B92" s="297" t="s">
        <v>19</v>
      </c>
      <c r="C92" s="297" t="s">
        <v>2545</v>
      </c>
      <c r="D92" s="298"/>
      <c r="E92" s="306" t="s">
        <v>2550</v>
      </c>
      <c r="F92" s="307"/>
      <c r="G92" s="297" t="s">
        <v>1141</v>
      </c>
      <c r="H92" s="308" t="str">
        <f t="shared" si="8"/>
        <v>LS-SDV-4</v>
      </c>
      <c r="I92" s="309">
        <v>4</v>
      </c>
      <c r="J92" s="726">
        <v>1</v>
      </c>
      <c r="N92" s="19"/>
      <c r="O92" s="19"/>
      <c r="P92" s="19"/>
    </row>
    <row r="93" spans="1:16" ht="3" customHeight="1">
      <c r="A93" s="304"/>
      <c r="B93" s="297"/>
      <c r="D93" s="317"/>
      <c r="E93" s="319"/>
      <c r="F93" s="318"/>
      <c r="G93" s="17"/>
      <c r="H93" s="314"/>
      <c r="I93" s="309"/>
      <c r="J93" s="724"/>
    </row>
    <row r="94" spans="1:16" s="18" customFormat="1" ht="15">
      <c r="A94" s="725" t="s">
        <v>2551</v>
      </c>
      <c r="B94" s="297"/>
      <c r="C94" s="297"/>
      <c r="D94" s="317"/>
      <c r="E94" s="319"/>
      <c r="F94" s="46"/>
      <c r="G94" s="41"/>
      <c r="H94" s="41"/>
      <c r="I94" s="42"/>
      <c r="J94" s="726"/>
      <c r="N94" s="19"/>
      <c r="O94" s="19"/>
      <c r="P94" s="19"/>
    </row>
    <row r="95" spans="1:16" s="18" customFormat="1" outlineLevel="1">
      <c r="B95" s="297"/>
      <c r="C95" s="297" t="s">
        <v>878</v>
      </c>
      <c r="D95" s="298"/>
      <c r="E95" s="306"/>
      <c r="F95" s="307"/>
      <c r="G95" s="297"/>
      <c r="H95" s="308"/>
      <c r="I95" s="309"/>
      <c r="J95" s="726"/>
      <c r="N95" s="19"/>
      <c r="O95" s="19"/>
      <c r="P95" s="19"/>
    </row>
    <row r="96" spans="1:16" s="18" customFormat="1" outlineLevel="2">
      <c r="B96" s="297" t="s">
        <v>19</v>
      </c>
      <c r="C96" s="297" t="s">
        <v>1750</v>
      </c>
      <c r="D96" s="298"/>
      <c r="E96" s="306" t="s">
        <v>2552</v>
      </c>
      <c r="F96" s="307"/>
      <c r="G96" s="297" t="s">
        <v>1731</v>
      </c>
      <c r="H96" s="308" t="str">
        <f t="shared" ref="H96:H98" si="9">CONCATENATE(B96,"-",G96,"-",I96)</f>
        <v>LS-V01-3</v>
      </c>
      <c r="I96" s="309">
        <v>3</v>
      </c>
      <c r="J96" s="19">
        <v>1</v>
      </c>
      <c r="N96" s="19"/>
      <c r="O96" s="19"/>
      <c r="P96" s="19"/>
    </row>
    <row r="97" spans="1:21" s="18" customFormat="1" outlineLevel="2">
      <c r="B97" s="297" t="s">
        <v>19</v>
      </c>
      <c r="C97" s="297" t="s">
        <v>1750</v>
      </c>
      <c r="D97" s="298"/>
      <c r="E97" s="306" t="s">
        <v>2553</v>
      </c>
      <c r="F97" s="307"/>
      <c r="G97" s="297" t="s">
        <v>1731</v>
      </c>
      <c r="H97" s="308" t="str">
        <f t="shared" si="9"/>
        <v>LS-V01-3</v>
      </c>
      <c r="I97" s="309">
        <v>3</v>
      </c>
      <c r="J97" s="19">
        <v>1</v>
      </c>
      <c r="K97" s="726"/>
      <c r="L97" s="19"/>
      <c r="M97" s="19"/>
      <c r="N97" s="19"/>
      <c r="O97" s="19"/>
      <c r="P97" s="19"/>
    </row>
    <row r="98" spans="1:21" s="18" customFormat="1" outlineLevel="2">
      <c r="B98" s="297" t="s">
        <v>19</v>
      </c>
      <c r="C98" s="297" t="s">
        <v>1750</v>
      </c>
      <c r="D98" s="298"/>
      <c r="E98" s="306" t="s">
        <v>2554</v>
      </c>
      <c r="F98" s="307"/>
      <c r="G98" s="297" t="s">
        <v>1731</v>
      </c>
      <c r="H98" s="308" t="str">
        <f t="shared" si="9"/>
        <v>LS-V01-3</v>
      </c>
      <c r="I98" s="309">
        <v>3</v>
      </c>
      <c r="J98" s="19">
        <v>1</v>
      </c>
      <c r="K98" s="726"/>
      <c r="L98" s="19"/>
      <c r="M98" s="19"/>
      <c r="N98" s="19"/>
      <c r="O98" s="19"/>
      <c r="P98" s="19"/>
    </row>
    <row r="99" spans="1:21" s="18" customFormat="1" outlineLevel="1">
      <c r="B99" s="297"/>
      <c r="C99" s="297" t="s">
        <v>935</v>
      </c>
      <c r="D99" s="298"/>
      <c r="E99" s="306"/>
      <c r="F99" s="307"/>
      <c r="G99" s="297"/>
      <c r="H99" s="308"/>
      <c r="I99" s="309"/>
      <c r="J99" s="726"/>
      <c r="K99" s="726"/>
      <c r="L99" s="726"/>
      <c r="M99" s="19"/>
      <c r="N99" s="19"/>
      <c r="O99" s="19"/>
      <c r="P99" s="19"/>
    </row>
    <row r="100" spans="1:21" s="18" customFormat="1" outlineLevel="2">
      <c r="B100" s="297" t="s">
        <v>19</v>
      </c>
      <c r="C100" s="297" t="s">
        <v>1750</v>
      </c>
      <c r="D100" s="298"/>
      <c r="E100" s="306" t="s">
        <v>2552</v>
      </c>
      <c r="F100" s="307"/>
      <c r="G100" s="297" t="s">
        <v>1746</v>
      </c>
      <c r="H100" s="308" t="str">
        <f t="shared" ref="H100:H102" si="10">CONCATENATE(B100,"-",G100,"-",I100)</f>
        <v>LS-V03-3</v>
      </c>
      <c r="I100" s="309">
        <v>3</v>
      </c>
      <c r="J100" s="726"/>
      <c r="K100" s="726"/>
      <c r="L100" s="19">
        <v>1</v>
      </c>
      <c r="M100" s="19">
        <v>1</v>
      </c>
      <c r="N100" s="19"/>
      <c r="O100" s="19"/>
      <c r="P100" s="19"/>
      <c r="Q100" s="19">
        <v>1</v>
      </c>
      <c r="U100" s="19">
        <v>1</v>
      </c>
    </row>
    <row r="101" spans="1:21" s="18" customFormat="1" outlineLevel="2">
      <c r="B101" s="297" t="s">
        <v>19</v>
      </c>
      <c r="C101" s="297" t="s">
        <v>1750</v>
      </c>
      <c r="D101" s="298"/>
      <c r="E101" s="306" t="s">
        <v>2553</v>
      </c>
      <c r="F101" s="307"/>
      <c r="G101" s="297" t="s">
        <v>1746</v>
      </c>
      <c r="H101" s="308" t="str">
        <f t="shared" si="10"/>
        <v>LS-V03-3</v>
      </c>
      <c r="I101" s="309">
        <v>3</v>
      </c>
      <c r="J101" s="726"/>
      <c r="K101" s="726"/>
      <c r="L101" s="19">
        <v>1</v>
      </c>
      <c r="M101" s="19">
        <v>1</v>
      </c>
      <c r="N101" s="19"/>
      <c r="O101" s="19"/>
      <c r="P101" s="19"/>
      <c r="Q101" s="19">
        <v>1</v>
      </c>
      <c r="U101" s="19">
        <v>1</v>
      </c>
    </row>
    <row r="102" spans="1:21" s="18" customFormat="1" outlineLevel="2">
      <c r="B102" s="297" t="s">
        <v>19</v>
      </c>
      <c r="C102" s="297" t="s">
        <v>1750</v>
      </c>
      <c r="D102" s="298"/>
      <c r="E102" s="306" t="s">
        <v>2554</v>
      </c>
      <c r="F102" s="307"/>
      <c r="G102" s="297" t="s">
        <v>1746</v>
      </c>
      <c r="H102" s="308" t="str">
        <f t="shared" si="10"/>
        <v>LS-V03-3</v>
      </c>
      <c r="I102" s="309">
        <v>3</v>
      </c>
      <c r="J102" s="726"/>
      <c r="K102" s="726"/>
      <c r="L102" s="19">
        <v>1</v>
      </c>
      <c r="M102" s="19">
        <v>1</v>
      </c>
      <c r="N102" s="19"/>
      <c r="O102" s="19"/>
      <c r="P102" s="19"/>
      <c r="Q102" s="19">
        <v>1</v>
      </c>
      <c r="U102" s="19">
        <v>1</v>
      </c>
    </row>
    <row r="103" spans="1:21" s="18" customFormat="1" ht="3" customHeight="1">
      <c r="A103" s="728"/>
      <c r="B103" s="297"/>
      <c r="C103" s="17"/>
      <c r="D103" s="317"/>
      <c r="E103" s="319"/>
      <c r="F103" s="307"/>
      <c r="G103" s="17"/>
      <c r="H103" s="314"/>
      <c r="I103" s="309"/>
      <c r="J103" s="19"/>
      <c r="K103" s="19"/>
      <c r="M103" s="19"/>
    </row>
    <row r="104" spans="1:21" ht="15">
      <c r="A104" s="725" t="s">
        <v>940</v>
      </c>
      <c r="B104" s="297"/>
      <c r="C104" s="297"/>
      <c r="D104" s="317"/>
      <c r="E104" s="319"/>
      <c r="F104" s="46"/>
      <c r="G104" s="41" t="s">
        <v>257</v>
      </c>
      <c r="H104" s="41" t="s">
        <v>258</v>
      </c>
      <c r="I104" s="42" t="s">
        <v>259</v>
      </c>
      <c r="J104" s="726"/>
      <c r="K104" s="726"/>
      <c r="L104" s="149"/>
    </row>
    <row r="105" spans="1:21" s="18" customFormat="1" outlineLevel="1">
      <c r="A105" s="317"/>
      <c r="B105" s="317" t="s">
        <v>2114</v>
      </c>
      <c r="C105" s="297"/>
      <c r="D105" s="317"/>
      <c r="E105" s="319"/>
      <c r="F105" s="46"/>
      <c r="G105" s="46"/>
      <c r="H105" s="46"/>
      <c r="I105" s="40"/>
      <c r="J105" s="726"/>
      <c r="K105" s="726"/>
      <c r="L105" s="726"/>
      <c r="M105" s="19"/>
    </row>
    <row r="106" spans="1:21" s="18" customFormat="1" outlineLevel="2">
      <c r="B106" s="297" t="s">
        <v>19</v>
      </c>
      <c r="C106" s="297" t="s">
        <v>878</v>
      </c>
      <c r="D106" s="298"/>
      <c r="E106" s="306" t="s">
        <v>2455</v>
      </c>
      <c r="F106" s="307"/>
      <c r="G106" s="297" t="s">
        <v>878</v>
      </c>
      <c r="H106" s="308" t="str">
        <f>CONCATENATE("LS-",G106,"-",I106)</f>
        <v>LS-V50-1</v>
      </c>
      <c r="I106" s="309">
        <v>1</v>
      </c>
      <c r="J106" s="19">
        <v>1</v>
      </c>
      <c r="K106" s="19"/>
      <c r="L106" s="19"/>
      <c r="M106" s="19"/>
    </row>
    <row r="107" spans="1:21" s="18" customFormat="1" outlineLevel="2">
      <c r="B107" s="297" t="s">
        <v>19</v>
      </c>
      <c r="C107" s="297" t="s">
        <v>878</v>
      </c>
      <c r="D107" s="298"/>
      <c r="E107" s="306" t="s">
        <v>2456</v>
      </c>
      <c r="F107" s="307"/>
      <c r="G107" s="297" t="s">
        <v>878</v>
      </c>
      <c r="H107" s="308" t="str">
        <f t="shared" ref="H107:H115" si="11">CONCATENATE("LS-",G107,"-",I107)</f>
        <v>LS-V50-1</v>
      </c>
      <c r="I107" s="309">
        <v>1</v>
      </c>
      <c r="J107" s="19">
        <v>1</v>
      </c>
      <c r="K107" s="19"/>
      <c r="L107" s="19"/>
      <c r="M107" s="19"/>
    </row>
    <row r="108" spans="1:21" s="18" customFormat="1" outlineLevel="2">
      <c r="B108" s="297" t="s">
        <v>19</v>
      </c>
      <c r="C108" s="297" t="s">
        <v>878</v>
      </c>
      <c r="D108" s="298"/>
      <c r="E108" s="306" t="s">
        <v>2457</v>
      </c>
      <c r="F108" s="307"/>
      <c r="G108" s="297" t="s">
        <v>878</v>
      </c>
      <c r="H108" s="308" t="str">
        <f t="shared" si="11"/>
        <v>LS-V50-1</v>
      </c>
      <c r="I108" s="309">
        <v>1</v>
      </c>
      <c r="J108" s="19">
        <v>1</v>
      </c>
      <c r="K108" s="19"/>
      <c r="L108" s="19"/>
      <c r="M108" s="19"/>
    </row>
    <row r="109" spans="1:21" s="18" customFormat="1" outlineLevel="2">
      <c r="B109" s="297" t="s">
        <v>19</v>
      </c>
      <c r="C109" s="297" t="s">
        <v>878</v>
      </c>
      <c r="D109" s="298"/>
      <c r="E109" s="306" t="s">
        <v>2458</v>
      </c>
      <c r="F109" s="307"/>
      <c r="G109" s="297" t="s">
        <v>878</v>
      </c>
      <c r="H109" s="308" t="str">
        <f t="shared" si="11"/>
        <v>LS-V50-1</v>
      </c>
      <c r="I109" s="309">
        <v>1</v>
      </c>
      <c r="J109" s="19">
        <v>1</v>
      </c>
      <c r="K109" s="19"/>
      <c r="L109" s="19"/>
      <c r="M109" s="19"/>
    </row>
    <row r="110" spans="1:21" s="18" customFormat="1" outlineLevel="2">
      <c r="B110" s="297" t="s">
        <v>19</v>
      </c>
      <c r="C110" s="297" t="s">
        <v>878</v>
      </c>
      <c r="D110" s="298"/>
      <c r="E110" s="306" t="s">
        <v>2459</v>
      </c>
      <c r="F110" s="307"/>
      <c r="G110" s="297" t="s">
        <v>878</v>
      </c>
      <c r="H110" s="308" t="str">
        <f t="shared" si="11"/>
        <v>LS-V50-1</v>
      </c>
      <c r="I110" s="309">
        <v>1</v>
      </c>
      <c r="J110" s="19">
        <v>1</v>
      </c>
      <c r="K110" s="19"/>
      <c r="L110" s="19"/>
      <c r="M110" s="19"/>
    </row>
    <row r="111" spans="1:21" s="18" customFormat="1" outlineLevel="2">
      <c r="B111" s="297" t="s">
        <v>19</v>
      </c>
      <c r="C111" s="297" t="s">
        <v>878</v>
      </c>
      <c r="D111" s="298"/>
      <c r="E111" s="306" t="s">
        <v>2460</v>
      </c>
      <c r="F111" s="307"/>
      <c r="G111" s="297" t="s">
        <v>878</v>
      </c>
      <c r="H111" s="308" t="str">
        <f t="shared" si="11"/>
        <v>LS-V50-1</v>
      </c>
      <c r="I111" s="309">
        <v>1</v>
      </c>
      <c r="J111" s="19">
        <v>1</v>
      </c>
      <c r="K111" s="19"/>
      <c r="L111" s="19"/>
      <c r="M111" s="19"/>
    </row>
    <row r="112" spans="1:21" s="18" customFormat="1" outlineLevel="2">
      <c r="B112" s="297" t="s">
        <v>19</v>
      </c>
      <c r="C112" s="297" t="s">
        <v>878</v>
      </c>
      <c r="D112" s="298"/>
      <c r="E112" s="306" t="s">
        <v>2461</v>
      </c>
      <c r="F112" s="307"/>
      <c r="G112" s="297" t="s">
        <v>878</v>
      </c>
      <c r="H112" s="308" t="str">
        <f t="shared" si="11"/>
        <v>LS-V50-1</v>
      </c>
      <c r="I112" s="309">
        <v>1</v>
      </c>
      <c r="J112" s="19">
        <v>1</v>
      </c>
      <c r="K112" s="19"/>
      <c r="L112" s="19"/>
      <c r="M112" s="19"/>
    </row>
    <row r="113" spans="1:10" s="18" customFormat="1" outlineLevel="2">
      <c r="B113" s="297" t="s">
        <v>19</v>
      </c>
      <c r="C113" s="297" t="s">
        <v>878</v>
      </c>
      <c r="D113" s="298"/>
      <c r="E113" s="306" t="s">
        <v>2462</v>
      </c>
      <c r="F113" s="307"/>
      <c r="G113" s="297" t="s">
        <v>878</v>
      </c>
      <c r="H113" s="308" t="str">
        <f t="shared" si="11"/>
        <v>LS-V50-1</v>
      </c>
      <c r="I113" s="309">
        <v>1</v>
      </c>
      <c r="J113" s="19">
        <v>1</v>
      </c>
    </row>
    <row r="114" spans="1:10" s="18" customFormat="1" outlineLevel="2">
      <c r="B114" s="297" t="s">
        <v>19</v>
      </c>
      <c r="C114" s="297" t="s">
        <v>878</v>
      </c>
      <c r="D114" s="298"/>
      <c r="E114" s="306" t="s">
        <v>2555</v>
      </c>
      <c r="F114" s="307"/>
      <c r="G114" s="297" t="s">
        <v>878</v>
      </c>
      <c r="H114" s="308" t="str">
        <f t="shared" si="11"/>
        <v>LS-V50-1</v>
      </c>
      <c r="I114" s="309">
        <v>1</v>
      </c>
      <c r="J114" s="19">
        <v>1</v>
      </c>
    </row>
    <row r="115" spans="1:10" s="18" customFormat="1" outlineLevel="2">
      <c r="B115" s="297" t="s">
        <v>19</v>
      </c>
      <c r="C115" s="297" t="s">
        <v>878</v>
      </c>
      <c r="D115" s="298"/>
      <c r="E115" s="306" t="s">
        <v>2463</v>
      </c>
      <c r="F115" s="307"/>
      <c r="G115" s="297" t="s">
        <v>878</v>
      </c>
      <c r="H115" s="308" t="str">
        <f t="shared" si="11"/>
        <v>LS-V50-1</v>
      </c>
      <c r="I115" s="309">
        <v>1</v>
      </c>
      <c r="J115" s="19">
        <v>1</v>
      </c>
    </row>
    <row r="116" spans="1:10" ht="3" customHeight="1" outlineLevel="1">
      <c r="A116" s="304"/>
      <c r="B116" s="297"/>
      <c r="D116" s="317"/>
      <c r="E116" s="319"/>
      <c r="F116" s="307"/>
      <c r="G116" s="297"/>
      <c r="H116" s="314"/>
      <c r="I116" s="309"/>
      <c r="J116" s="724"/>
    </row>
    <row r="117" spans="1:10" s="18" customFormat="1" outlineLevel="1">
      <c r="A117" s="317"/>
      <c r="B117" s="317" t="s">
        <v>2178</v>
      </c>
      <c r="C117" s="297"/>
      <c r="D117" s="317"/>
      <c r="E117" s="319"/>
      <c r="F117" s="46"/>
      <c r="G117" s="46"/>
      <c r="H117" s="46"/>
      <c r="I117" s="40"/>
      <c r="J117" s="726"/>
    </row>
    <row r="118" spans="1:10" s="18" customFormat="1" outlineLevel="2">
      <c r="B118" s="297" t="s">
        <v>19</v>
      </c>
      <c r="C118" s="297" t="s">
        <v>1000</v>
      </c>
      <c r="D118" s="298"/>
      <c r="E118" s="306" t="s">
        <v>2455</v>
      </c>
      <c r="F118" s="307"/>
      <c r="G118" s="297" t="s">
        <v>1000</v>
      </c>
      <c r="H118" s="308" t="str">
        <f t="shared" ref="H118:H125" si="12">CONCATENATE("LS-",G118,"-",I118)</f>
        <v>LS-L30-1</v>
      </c>
      <c r="I118" s="309">
        <v>1</v>
      </c>
      <c r="J118" s="19">
        <v>1</v>
      </c>
    </row>
    <row r="119" spans="1:10" s="18" customFormat="1" outlineLevel="2">
      <c r="B119" s="297" t="s">
        <v>19</v>
      </c>
      <c r="C119" s="297" t="s">
        <v>1000</v>
      </c>
      <c r="D119" s="298"/>
      <c r="E119" s="306" t="s">
        <v>2456</v>
      </c>
      <c r="F119" s="307"/>
      <c r="G119" s="297" t="s">
        <v>1000</v>
      </c>
      <c r="H119" s="308" t="str">
        <f t="shared" si="12"/>
        <v>LS-L30-1</v>
      </c>
      <c r="I119" s="309">
        <v>1</v>
      </c>
      <c r="J119" s="19">
        <v>1</v>
      </c>
    </row>
    <row r="120" spans="1:10" s="18" customFormat="1" outlineLevel="2">
      <c r="B120" s="297" t="s">
        <v>19</v>
      </c>
      <c r="C120" s="297" t="s">
        <v>1000</v>
      </c>
      <c r="D120" s="298"/>
      <c r="E120" s="306" t="s">
        <v>2457</v>
      </c>
      <c r="F120" s="307"/>
      <c r="G120" s="297" t="s">
        <v>1000</v>
      </c>
      <c r="H120" s="308" t="str">
        <f t="shared" si="12"/>
        <v>LS-L30-1</v>
      </c>
      <c r="I120" s="309">
        <v>1</v>
      </c>
      <c r="J120" s="19">
        <v>1</v>
      </c>
    </row>
    <row r="121" spans="1:10" s="18" customFormat="1" outlineLevel="2">
      <c r="B121" s="297" t="s">
        <v>19</v>
      </c>
      <c r="C121" s="297" t="s">
        <v>1000</v>
      </c>
      <c r="D121" s="298"/>
      <c r="E121" s="306" t="s">
        <v>2458</v>
      </c>
      <c r="F121" s="307"/>
      <c r="G121" s="297" t="s">
        <v>1000</v>
      </c>
      <c r="H121" s="308" t="str">
        <f t="shared" si="12"/>
        <v>LS-L30-1</v>
      </c>
      <c r="I121" s="309">
        <v>1</v>
      </c>
      <c r="J121" s="19">
        <v>1</v>
      </c>
    </row>
    <row r="122" spans="1:10" s="18" customFormat="1" outlineLevel="2">
      <c r="B122" s="297" t="s">
        <v>19</v>
      </c>
      <c r="C122" s="297" t="s">
        <v>1000</v>
      </c>
      <c r="D122" s="298"/>
      <c r="E122" s="306" t="s">
        <v>2459</v>
      </c>
      <c r="F122" s="307"/>
      <c r="G122" s="297" t="s">
        <v>1000</v>
      </c>
      <c r="H122" s="308" t="str">
        <f t="shared" si="12"/>
        <v>LS-L30-1</v>
      </c>
      <c r="I122" s="309">
        <v>1</v>
      </c>
      <c r="J122" s="19">
        <v>1</v>
      </c>
    </row>
    <row r="123" spans="1:10" s="18" customFormat="1" outlineLevel="2">
      <c r="B123" s="297" t="s">
        <v>19</v>
      </c>
      <c r="C123" s="297" t="s">
        <v>1000</v>
      </c>
      <c r="D123" s="298"/>
      <c r="E123" s="306" t="s">
        <v>2460</v>
      </c>
      <c r="F123" s="307"/>
      <c r="G123" s="297" t="s">
        <v>1000</v>
      </c>
      <c r="H123" s="308" t="str">
        <f t="shared" si="12"/>
        <v>LS-L30-1</v>
      </c>
      <c r="I123" s="309">
        <v>1</v>
      </c>
      <c r="J123" s="19">
        <v>1</v>
      </c>
    </row>
    <row r="124" spans="1:10" s="18" customFormat="1" outlineLevel="2">
      <c r="B124" s="297" t="s">
        <v>19</v>
      </c>
      <c r="C124" s="297" t="s">
        <v>1000</v>
      </c>
      <c r="D124" s="298"/>
      <c r="E124" s="306" t="s">
        <v>2461</v>
      </c>
      <c r="F124" s="307"/>
      <c r="G124" s="297" t="s">
        <v>1000</v>
      </c>
      <c r="H124" s="308" t="str">
        <f t="shared" si="12"/>
        <v>LS-L30-1</v>
      </c>
      <c r="I124" s="309">
        <v>1</v>
      </c>
      <c r="J124" s="19">
        <v>1</v>
      </c>
    </row>
    <row r="125" spans="1:10" s="18" customFormat="1" outlineLevel="2">
      <c r="B125" s="297" t="s">
        <v>19</v>
      </c>
      <c r="C125" s="297" t="s">
        <v>1000</v>
      </c>
      <c r="D125" s="298"/>
      <c r="E125" s="306" t="s">
        <v>2462</v>
      </c>
      <c r="F125" s="307"/>
      <c r="G125" s="297" t="s">
        <v>1000</v>
      </c>
      <c r="H125" s="308" t="str">
        <f t="shared" si="12"/>
        <v>LS-L30-1</v>
      </c>
      <c r="I125" s="309">
        <v>1</v>
      </c>
      <c r="J125" s="19">
        <v>1</v>
      </c>
    </row>
    <row r="126" spans="1:10" ht="3" customHeight="1" outlineLevel="1">
      <c r="A126" s="304"/>
      <c r="B126" s="297"/>
      <c r="D126" s="317"/>
      <c r="E126" s="319"/>
      <c r="F126" s="307"/>
      <c r="G126" s="297"/>
      <c r="H126" s="314"/>
      <c r="I126" s="309"/>
      <c r="J126" s="724"/>
    </row>
    <row r="127" spans="1:10" s="18" customFormat="1" outlineLevel="1">
      <c r="A127" s="317"/>
      <c r="B127" s="317" t="s">
        <v>2156</v>
      </c>
      <c r="C127" s="297"/>
      <c r="D127" s="317"/>
      <c r="E127" s="319"/>
      <c r="F127" s="46"/>
      <c r="G127" s="46"/>
      <c r="H127" s="46"/>
      <c r="I127" s="40"/>
      <c r="J127" s="726"/>
    </row>
    <row r="128" spans="1:10" s="18" customFormat="1" outlineLevel="2">
      <c r="B128" s="297" t="s">
        <v>19</v>
      </c>
      <c r="C128" s="297" t="s">
        <v>943</v>
      </c>
      <c r="D128" s="298"/>
      <c r="E128" s="306" t="s">
        <v>2455</v>
      </c>
      <c r="F128" s="307"/>
      <c r="G128" s="297" t="s">
        <v>943</v>
      </c>
      <c r="H128" s="308" t="str">
        <f t="shared" ref="H128:H135" si="13">CONCATENATE("LS-",G128,"-",I128)</f>
        <v>LS-C20-1</v>
      </c>
      <c r="I128" s="309">
        <v>1</v>
      </c>
      <c r="J128" s="19">
        <v>1</v>
      </c>
    </row>
    <row r="129" spans="2:10" s="18" customFormat="1" outlineLevel="2">
      <c r="B129" s="297" t="s">
        <v>19</v>
      </c>
      <c r="C129" s="297" t="s">
        <v>943</v>
      </c>
      <c r="D129" s="298"/>
      <c r="E129" s="306" t="s">
        <v>2456</v>
      </c>
      <c r="F129" s="307"/>
      <c r="G129" s="297" t="s">
        <v>943</v>
      </c>
      <c r="H129" s="308" t="str">
        <f t="shared" si="13"/>
        <v>LS-C20-1</v>
      </c>
      <c r="I129" s="309">
        <v>1</v>
      </c>
      <c r="J129" s="19">
        <v>1</v>
      </c>
    </row>
    <row r="130" spans="2:10" s="18" customFormat="1" outlineLevel="2">
      <c r="B130" s="297" t="s">
        <v>19</v>
      </c>
      <c r="C130" s="297" t="s">
        <v>943</v>
      </c>
      <c r="D130" s="298"/>
      <c r="E130" s="306" t="s">
        <v>2457</v>
      </c>
      <c r="F130" s="307"/>
      <c r="G130" s="297" t="s">
        <v>943</v>
      </c>
      <c r="H130" s="308" t="str">
        <f t="shared" si="13"/>
        <v>LS-C20-1</v>
      </c>
      <c r="I130" s="309">
        <v>1</v>
      </c>
      <c r="J130" s="19">
        <v>1</v>
      </c>
    </row>
    <row r="131" spans="2:10" s="18" customFormat="1" outlineLevel="2">
      <c r="B131" s="297" t="s">
        <v>19</v>
      </c>
      <c r="C131" s="297" t="s">
        <v>943</v>
      </c>
      <c r="D131" s="298"/>
      <c r="E131" s="306" t="s">
        <v>2458</v>
      </c>
      <c r="F131" s="307"/>
      <c r="G131" s="297" t="s">
        <v>943</v>
      </c>
      <c r="H131" s="308" t="str">
        <f t="shared" si="13"/>
        <v>LS-C20-1</v>
      </c>
      <c r="I131" s="309">
        <v>1</v>
      </c>
      <c r="J131" s="19">
        <v>1</v>
      </c>
    </row>
    <row r="132" spans="2:10" s="18" customFormat="1" outlineLevel="2">
      <c r="B132" s="297" t="s">
        <v>19</v>
      </c>
      <c r="C132" s="297" t="s">
        <v>943</v>
      </c>
      <c r="D132" s="298"/>
      <c r="E132" s="306" t="s">
        <v>2459</v>
      </c>
      <c r="F132" s="307"/>
      <c r="G132" s="297" t="s">
        <v>943</v>
      </c>
      <c r="H132" s="308" t="str">
        <f t="shared" si="13"/>
        <v>LS-C20-1</v>
      </c>
      <c r="I132" s="309">
        <v>1</v>
      </c>
      <c r="J132" s="19">
        <v>1</v>
      </c>
    </row>
    <row r="133" spans="2:10" s="18" customFormat="1" outlineLevel="2">
      <c r="B133" s="297" t="s">
        <v>19</v>
      </c>
      <c r="C133" s="297" t="s">
        <v>943</v>
      </c>
      <c r="D133" s="298"/>
      <c r="E133" s="306" t="s">
        <v>2460</v>
      </c>
      <c r="F133" s="307"/>
      <c r="G133" s="297" t="s">
        <v>943</v>
      </c>
      <c r="H133" s="308" t="str">
        <f t="shared" si="13"/>
        <v>LS-C20-1</v>
      </c>
      <c r="I133" s="309">
        <v>1</v>
      </c>
      <c r="J133" s="19">
        <v>1</v>
      </c>
    </row>
    <row r="134" spans="2:10" s="18" customFormat="1" outlineLevel="2">
      <c r="B134" s="297" t="s">
        <v>19</v>
      </c>
      <c r="C134" s="297" t="s">
        <v>943</v>
      </c>
      <c r="D134" s="298"/>
      <c r="E134" s="306" t="s">
        <v>2461</v>
      </c>
      <c r="F134" s="307"/>
      <c r="G134" s="297" t="s">
        <v>943</v>
      </c>
      <c r="H134" s="308" t="str">
        <f t="shared" si="13"/>
        <v>LS-C20-1</v>
      </c>
      <c r="I134" s="309">
        <v>1</v>
      </c>
      <c r="J134" s="19">
        <v>1</v>
      </c>
    </row>
    <row r="135" spans="2:10" s="18" customFormat="1" outlineLevel="2">
      <c r="B135" s="297" t="s">
        <v>19</v>
      </c>
      <c r="C135" s="297" t="s">
        <v>943</v>
      </c>
      <c r="D135" s="298"/>
      <c r="E135" s="306" t="s">
        <v>2462</v>
      </c>
      <c r="F135" s="307"/>
      <c r="G135" s="297" t="s">
        <v>943</v>
      </c>
      <c r="H135" s="308" t="str">
        <f t="shared" si="13"/>
        <v>LS-C20-1</v>
      </c>
      <c r="I135" s="309">
        <v>1</v>
      </c>
      <c r="J135" s="19">
        <v>1</v>
      </c>
    </row>
    <row r="136" spans="2:10" ht="3" customHeight="1" outlineLevel="1">
      <c r="B136" s="297"/>
      <c r="D136" s="317"/>
      <c r="E136" s="319"/>
      <c r="F136" s="307"/>
      <c r="G136" s="297"/>
      <c r="H136" s="314"/>
      <c r="I136" s="309"/>
      <c r="J136" s="724"/>
    </row>
    <row r="137" spans="2:10" s="18" customFormat="1" outlineLevel="1">
      <c r="B137" s="317" t="s">
        <v>2203</v>
      </c>
      <c r="C137" s="297"/>
      <c r="D137" s="317"/>
      <c r="E137" s="319"/>
      <c r="F137" s="46"/>
      <c r="G137" s="46"/>
      <c r="H137" s="46"/>
      <c r="I137" s="40"/>
      <c r="J137" s="726"/>
    </row>
    <row r="138" spans="2:10" s="18" customFormat="1" outlineLevel="2">
      <c r="B138" s="297" t="s">
        <v>19</v>
      </c>
      <c r="C138" s="297" t="s">
        <v>1013</v>
      </c>
      <c r="D138" s="298"/>
      <c r="E138" s="306" t="s">
        <v>2455</v>
      </c>
      <c r="F138" s="307"/>
      <c r="G138" s="297" t="s">
        <v>1013</v>
      </c>
      <c r="H138" s="308" t="str">
        <f t="shared" ref="H138:H144" si="14">CONCATENATE("LS-",G138,"-",I138)</f>
        <v>LS-L45-1</v>
      </c>
      <c r="I138" s="309">
        <v>1</v>
      </c>
      <c r="J138" s="19">
        <v>1</v>
      </c>
    </row>
    <row r="139" spans="2:10" s="18" customFormat="1" outlineLevel="2">
      <c r="B139" s="297" t="s">
        <v>19</v>
      </c>
      <c r="C139" s="297" t="s">
        <v>1013</v>
      </c>
      <c r="D139" s="298"/>
      <c r="E139" s="306" t="s">
        <v>2456</v>
      </c>
      <c r="F139" s="307"/>
      <c r="G139" s="297" t="s">
        <v>1013</v>
      </c>
      <c r="H139" s="308" t="str">
        <f t="shared" si="14"/>
        <v>LS-L45-1</v>
      </c>
      <c r="I139" s="309">
        <v>1</v>
      </c>
      <c r="J139" s="19">
        <v>1</v>
      </c>
    </row>
    <row r="140" spans="2:10" s="18" customFormat="1" outlineLevel="2">
      <c r="B140" s="297" t="s">
        <v>19</v>
      </c>
      <c r="C140" s="297" t="s">
        <v>1013</v>
      </c>
      <c r="D140" s="298"/>
      <c r="E140" s="306" t="s">
        <v>2457</v>
      </c>
      <c r="F140" s="307"/>
      <c r="G140" s="297" t="s">
        <v>1013</v>
      </c>
      <c r="H140" s="308" t="str">
        <f t="shared" si="14"/>
        <v>LS-L45-1</v>
      </c>
      <c r="I140" s="309">
        <v>1</v>
      </c>
      <c r="J140" s="19">
        <v>1</v>
      </c>
    </row>
    <row r="141" spans="2:10" s="18" customFormat="1" outlineLevel="2">
      <c r="B141" s="297" t="s">
        <v>19</v>
      </c>
      <c r="C141" s="297" t="s">
        <v>1013</v>
      </c>
      <c r="D141" s="298"/>
      <c r="E141" s="306" t="s">
        <v>2458</v>
      </c>
      <c r="F141" s="307"/>
      <c r="G141" s="297" t="s">
        <v>1013</v>
      </c>
      <c r="H141" s="308" t="str">
        <f t="shared" si="14"/>
        <v>LS-L45-1</v>
      </c>
      <c r="I141" s="309">
        <v>1</v>
      </c>
      <c r="J141" s="19">
        <v>1</v>
      </c>
    </row>
    <row r="142" spans="2:10" s="18" customFormat="1" outlineLevel="2">
      <c r="B142" s="297" t="s">
        <v>19</v>
      </c>
      <c r="C142" s="297" t="s">
        <v>1013</v>
      </c>
      <c r="D142" s="298"/>
      <c r="E142" s="306" t="s">
        <v>2459</v>
      </c>
      <c r="F142" s="307"/>
      <c r="G142" s="297" t="s">
        <v>1013</v>
      </c>
      <c r="H142" s="308" t="str">
        <f t="shared" si="14"/>
        <v>LS-L45-1</v>
      </c>
      <c r="I142" s="309">
        <v>1</v>
      </c>
      <c r="J142" s="19">
        <v>1</v>
      </c>
    </row>
    <row r="143" spans="2:10" s="18" customFormat="1" outlineLevel="2">
      <c r="B143" s="297" t="s">
        <v>19</v>
      </c>
      <c r="C143" s="297" t="s">
        <v>1013</v>
      </c>
      <c r="D143" s="298"/>
      <c r="E143" s="306" t="s">
        <v>2460</v>
      </c>
      <c r="F143" s="307"/>
      <c r="G143" s="297" t="s">
        <v>1013</v>
      </c>
      <c r="H143" s="308" t="str">
        <f t="shared" si="14"/>
        <v>LS-L45-1</v>
      </c>
      <c r="I143" s="309">
        <v>1</v>
      </c>
      <c r="J143" s="19">
        <v>1</v>
      </c>
    </row>
    <row r="144" spans="2:10" s="18" customFormat="1" outlineLevel="2">
      <c r="B144" s="297" t="s">
        <v>19</v>
      </c>
      <c r="C144" s="297" t="s">
        <v>1013</v>
      </c>
      <c r="D144" s="298"/>
      <c r="E144" s="306" t="s">
        <v>2461</v>
      </c>
      <c r="F144" s="307"/>
      <c r="G144" s="297" t="s">
        <v>1013</v>
      </c>
      <c r="H144" s="308" t="str">
        <f t="shared" si="14"/>
        <v>LS-L45-1</v>
      </c>
      <c r="I144" s="309">
        <v>1</v>
      </c>
      <c r="J144" s="19">
        <v>1</v>
      </c>
    </row>
    <row r="145" spans="2:21" s="18" customFormat="1" outlineLevel="2">
      <c r="B145" s="297" t="s">
        <v>19</v>
      </c>
      <c r="C145" s="297" t="s">
        <v>1013</v>
      </c>
      <c r="D145" s="298"/>
      <c r="E145" s="306" t="s">
        <v>2462</v>
      </c>
      <c r="F145" s="307"/>
      <c r="G145" s="297" t="s">
        <v>1013</v>
      </c>
      <c r="H145" s="308" t="str">
        <f>CONCATENATE("LS-",G145,"-",I145)</f>
        <v>LS-L45-1</v>
      </c>
      <c r="I145" s="309">
        <v>1</v>
      </c>
      <c r="J145" s="19">
        <v>1</v>
      </c>
      <c r="K145" s="19"/>
      <c r="M145" s="19"/>
    </row>
    <row r="146" spans="2:21" s="18" customFormat="1" ht="3" customHeight="1" outlineLevel="1">
      <c r="B146" s="297"/>
      <c r="C146" s="17"/>
      <c r="D146" s="317"/>
      <c r="E146" s="319"/>
      <c r="F146" s="307"/>
      <c r="G146" s="17"/>
      <c r="H146" s="314"/>
      <c r="I146" s="309"/>
      <c r="J146" s="19"/>
      <c r="K146" s="19"/>
      <c r="M146" s="19"/>
    </row>
    <row r="147" spans="2:21" s="18" customFormat="1" outlineLevel="1">
      <c r="B147" s="317" t="s">
        <v>2146</v>
      </c>
      <c r="C147" s="297"/>
      <c r="D147" s="317"/>
      <c r="E147" s="319"/>
      <c r="F147" s="46"/>
      <c r="G147" s="46"/>
      <c r="H147" s="46"/>
      <c r="I147" s="40"/>
      <c r="J147" s="19"/>
      <c r="K147" s="19"/>
      <c r="L147" s="19"/>
      <c r="M147" s="19"/>
    </row>
    <row r="148" spans="2:21" s="18" customFormat="1" outlineLevel="2">
      <c r="B148" s="297" t="s">
        <v>19</v>
      </c>
      <c r="C148" s="297" t="s">
        <v>935</v>
      </c>
      <c r="D148" s="298"/>
      <c r="E148" s="306" t="s">
        <v>2455</v>
      </c>
      <c r="F148" s="307"/>
      <c r="G148" s="297" t="s">
        <v>935</v>
      </c>
      <c r="H148" s="308" t="str">
        <f>CONCATENATE("LS-",G148,"-",I148)</f>
        <v>LS-V40-1</v>
      </c>
      <c r="I148" s="309">
        <v>1</v>
      </c>
      <c r="J148" s="19"/>
      <c r="K148" s="19"/>
      <c r="L148" s="19">
        <v>1</v>
      </c>
      <c r="M148" s="19">
        <v>1</v>
      </c>
      <c r="Q148" s="19">
        <v>1</v>
      </c>
      <c r="U148" s="19">
        <v>1</v>
      </c>
    </row>
    <row r="149" spans="2:21" s="18" customFormat="1" outlineLevel="2">
      <c r="B149" s="297" t="s">
        <v>19</v>
      </c>
      <c r="C149" s="297" t="s">
        <v>935</v>
      </c>
      <c r="D149" s="298"/>
      <c r="E149" s="306" t="s">
        <v>2456</v>
      </c>
      <c r="F149" s="307"/>
      <c r="G149" s="297" t="s">
        <v>935</v>
      </c>
      <c r="H149" s="308" t="str">
        <f t="shared" ref="H149:H157" si="15">CONCATENATE("LS-",G149,"-",I149)</f>
        <v>LS-V40-1</v>
      </c>
      <c r="I149" s="309">
        <v>1</v>
      </c>
      <c r="J149" s="19"/>
      <c r="K149" s="19"/>
      <c r="L149" s="19">
        <v>1</v>
      </c>
      <c r="M149" s="19">
        <v>1</v>
      </c>
      <c r="Q149" s="19">
        <v>1</v>
      </c>
      <c r="U149" s="19">
        <v>1</v>
      </c>
    </row>
    <row r="150" spans="2:21" s="18" customFormat="1" outlineLevel="2">
      <c r="B150" s="297" t="s">
        <v>19</v>
      </c>
      <c r="C150" s="297" t="s">
        <v>935</v>
      </c>
      <c r="D150" s="298"/>
      <c r="E150" s="306" t="s">
        <v>2457</v>
      </c>
      <c r="F150" s="307"/>
      <c r="G150" s="297" t="s">
        <v>935</v>
      </c>
      <c r="H150" s="308" t="str">
        <f t="shared" si="15"/>
        <v>LS-V40-1</v>
      </c>
      <c r="I150" s="309">
        <v>1</v>
      </c>
      <c r="J150" s="19"/>
      <c r="K150" s="19"/>
      <c r="L150" s="19">
        <v>1</v>
      </c>
      <c r="M150" s="19">
        <v>1</v>
      </c>
      <c r="Q150" s="19">
        <v>1</v>
      </c>
      <c r="U150" s="19">
        <v>1</v>
      </c>
    </row>
    <row r="151" spans="2:21" s="18" customFormat="1" outlineLevel="2">
      <c r="B151" s="297" t="s">
        <v>19</v>
      </c>
      <c r="C151" s="297" t="s">
        <v>935</v>
      </c>
      <c r="D151" s="298"/>
      <c r="E151" s="306" t="s">
        <v>2458</v>
      </c>
      <c r="F151" s="307"/>
      <c r="G151" s="297" t="s">
        <v>935</v>
      </c>
      <c r="H151" s="308" t="str">
        <f t="shared" si="15"/>
        <v>LS-V40-1</v>
      </c>
      <c r="I151" s="309">
        <v>1</v>
      </c>
      <c r="J151" s="19"/>
      <c r="K151" s="19"/>
      <c r="L151" s="19">
        <v>1</v>
      </c>
      <c r="M151" s="19">
        <v>1</v>
      </c>
      <c r="Q151" s="19">
        <v>1</v>
      </c>
      <c r="U151" s="19">
        <v>1</v>
      </c>
    </row>
    <row r="152" spans="2:21" s="18" customFormat="1" outlineLevel="2">
      <c r="B152" s="297" t="s">
        <v>19</v>
      </c>
      <c r="C152" s="297" t="s">
        <v>935</v>
      </c>
      <c r="D152" s="298"/>
      <c r="E152" s="306" t="s">
        <v>2459</v>
      </c>
      <c r="F152" s="307"/>
      <c r="G152" s="297" t="s">
        <v>935</v>
      </c>
      <c r="H152" s="308" t="str">
        <f t="shared" si="15"/>
        <v>LS-V40-1</v>
      </c>
      <c r="I152" s="309">
        <v>1</v>
      </c>
      <c r="J152" s="19"/>
      <c r="K152" s="19"/>
      <c r="L152" s="19">
        <v>1</v>
      </c>
      <c r="M152" s="19">
        <v>1</v>
      </c>
      <c r="Q152" s="19">
        <v>1</v>
      </c>
      <c r="U152" s="19">
        <v>1</v>
      </c>
    </row>
    <row r="153" spans="2:21" s="18" customFormat="1" outlineLevel="2">
      <c r="B153" s="297" t="s">
        <v>19</v>
      </c>
      <c r="C153" s="297" t="s">
        <v>935</v>
      </c>
      <c r="D153" s="298"/>
      <c r="E153" s="306" t="s">
        <v>2460</v>
      </c>
      <c r="F153" s="307"/>
      <c r="G153" s="297" t="s">
        <v>935</v>
      </c>
      <c r="H153" s="308" t="str">
        <f t="shared" si="15"/>
        <v>LS-V40-1</v>
      </c>
      <c r="I153" s="309">
        <v>1</v>
      </c>
      <c r="J153" s="19"/>
      <c r="K153" s="19"/>
      <c r="L153" s="19">
        <v>1</v>
      </c>
      <c r="M153" s="19">
        <v>1</v>
      </c>
      <c r="Q153" s="19">
        <v>1</v>
      </c>
      <c r="U153" s="19">
        <v>1</v>
      </c>
    </row>
    <row r="154" spans="2:21" s="18" customFormat="1" outlineLevel="2">
      <c r="B154" s="297" t="s">
        <v>19</v>
      </c>
      <c r="C154" s="297" t="s">
        <v>935</v>
      </c>
      <c r="D154" s="298"/>
      <c r="E154" s="306" t="s">
        <v>2461</v>
      </c>
      <c r="F154" s="307"/>
      <c r="G154" s="297" t="s">
        <v>935</v>
      </c>
      <c r="H154" s="308" t="str">
        <f t="shared" si="15"/>
        <v>LS-V40-1</v>
      </c>
      <c r="I154" s="309">
        <v>1</v>
      </c>
      <c r="J154" s="19"/>
      <c r="K154" s="19"/>
      <c r="L154" s="19">
        <v>1</v>
      </c>
      <c r="M154" s="19">
        <v>1</v>
      </c>
      <c r="Q154" s="19">
        <v>1</v>
      </c>
      <c r="U154" s="19">
        <v>1</v>
      </c>
    </row>
    <row r="155" spans="2:21" s="18" customFormat="1" outlineLevel="2">
      <c r="B155" s="297" t="s">
        <v>19</v>
      </c>
      <c r="C155" s="297" t="s">
        <v>935</v>
      </c>
      <c r="D155" s="298"/>
      <c r="E155" s="306" t="s">
        <v>2462</v>
      </c>
      <c r="F155" s="307"/>
      <c r="G155" s="297" t="s">
        <v>935</v>
      </c>
      <c r="H155" s="308" t="str">
        <f t="shared" si="15"/>
        <v>LS-V40-1</v>
      </c>
      <c r="I155" s="309">
        <v>1</v>
      </c>
      <c r="J155" s="19"/>
      <c r="K155" s="19"/>
      <c r="L155" s="19">
        <v>1</v>
      </c>
      <c r="M155" s="19">
        <v>1</v>
      </c>
      <c r="Q155" s="19">
        <v>1</v>
      </c>
      <c r="U155" s="19">
        <v>1</v>
      </c>
    </row>
    <row r="156" spans="2:21" s="18" customFormat="1" outlineLevel="2">
      <c r="B156" s="297" t="s">
        <v>19</v>
      </c>
      <c r="C156" s="297" t="s">
        <v>935</v>
      </c>
      <c r="D156" s="298"/>
      <c r="E156" s="306" t="s">
        <v>2555</v>
      </c>
      <c r="F156" s="307"/>
      <c r="G156" s="297" t="s">
        <v>935</v>
      </c>
      <c r="H156" s="308" t="str">
        <f t="shared" si="15"/>
        <v>LS-V40-1</v>
      </c>
      <c r="I156" s="309">
        <v>1</v>
      </c>
      <c r="J156" s="19"/>
      <c r="K156" s="19"/>
      <c r="L156" s="19">
        <v>1</v>
      </c>
      <c r="M156" s="19">
        <v>1</v>
      </c>
      <c r="Q156" s="19">
        <v>1</v>
      </c>
      <c r="U156" s="19">
        <v>1</v>
      </c>
    </row>
    <row r="157" spans="2:21" s="18" customFormat="1" outlineLevel="2">
      <c r="B157" s="297" t="s">
        <v>19</v>
      </c>
      <c r="C157" s="297" t="s">
        <v>935</v>
      </c>
      <c r="D157" s="298"/>
      <c r="E157" s="306" t="s">
        <v>2463</v>
      </c>
      <c r="F157" s="307"/>
      <c r="G157" s="297" t="s">
        <v>935</v>
      </c>
      <c r="H157" s="308" t="str">
        <f t="shared" si="15"/>
        <v>LS-V40-1</v>
      </c>
      <c r="I157" s="309">
        <v>1</v>
      </c>
      <c r="J157" s="19"/>
      <c r="K157" s="19"/>
      <c r="L157" s="19">
        <v>1</v>
      </c>
      <c r="M157" s="19">
        <v>1</v>
      </c>
      <c r="Q157" s="19">
        <v>1</v>
      </c>
      <c r="U157" s="19">
        <v>1</v>
      </c>
    </row>
    <row r="158" spans="2:21" ht="3" customHeight="1" outlineLevel="1">
      <c r="B158" s="297"/>
      <c r="C158" s="17" t="s">
        <v>935</v>
      </c>
      <c r="D158" s="317"/>
      <c r="E158" s="319"/>
      <c r="F158" s="307"/>
      <c r="G158" s="297"/>
      <c r="H158" s="314"/>
      <c r="I158" s="309"/>
      <c r="J158" s="724"/>
    </row>
    <row r="159" spans="2:21" s="18" customFormat="1" outlineLevel="1">
      <c r="B159" s="317" t="s">
        <v>2251</v>
      </c>
      <c r="C159" s="297"/>
      <c r="D159" s="317"/>
      <c r="E159" s="319"/>
      <c r="F159" s="46"/>
      <c r="G159" s="46"/>
      <c r="H159" s="46"/>
      <c r="I159" s="40"/>
      <c r="J159" s="19"/>
      <c r="K159" s="19"/>
      <c r="L159" s="19"/>
      <c r="M159" s="19"/>
    </row>
    <row r="160" spans="2:21" s="18" customFormat="1" outlineLevel="2">
      <c r="B160" s="297" t="s">
        <v>19</v>
      </c>
      <c r="C160" s="297" t="s">
        <v>935</v>
      </c>
      <c r="D160" s="298"/>
      <c r="E160" s="306" t="s">
        <v>2455</v>
      </c>
      <c r="F160" s="307"/>
      <c r="G160" s="297" t="s">
        <v>1131</v>
      </c>
      <c r="H160" s="308" t="str">
        <f>CONCATENATE("LS-",G160,"-",I160)</f>
        <v>LS-R11-1</v>
      </c>
      <c r="I160" s="309">
        <v>1</v>
      </c>
      <c r="J160" s="19"/>
      <c r="K160" s="19"/>
      <c r="L160" s="19">
        <v>1</v>
      </c>
      <c r="M160" s="19">
        <v>1</v>
      </c>
      <c r="Q160" s="19">
        <v>1</v>
      </c>
      <c r="U160" s="19">
        <v>1</v>
      </c>
    </row>
    <row r="161" spans="2:21" s="18" customFormat="1" outlineLevel="2">
      <c r="B161" s="297" t="s">
        <v>19</v>
      </c>
      <c r="C161" s="297" t="s">
        <v>935</v>
      </c>
      <c r="D161" s="298"/>
      <c r="E161" s="306" t="s">
        <v>2456</v>
      </c>
      <c r="F161" s="307"/>
      <c r="G161" s="297" t="s">
        <v>1131</v>
      </c>
      <c r="H161" s="308" t="str">
        <f t="shared" ref="H161:H169" si="16">CONCATENATE("LS-",G161,"-",I161)</f>
        <v>LS-R11-1</v>
      </c>
      <c r="I161" s="309">
        <v>1</v>
      </c>
      <c r="J161" s="19"/>
      <c r="K161" s="19"/>
      <c r="L161" s="19">
        <v>1</v>
      </c>
      <c r="M161" s="19">
        <v>1</v>
      </c>
      <c r="Q161" s="19">
        <v>1</v>
      </c>
      <c r="U161" s="19">
        <v>1</v>
      </c>
    </row>
    <row r="162" spans="2:21" s="18" customFormat="1" outlineLevel="2">
      <c r="B162" s="297" t="s">
        <v>19</v>
      </c>
      <c r="C162" s="297" t="s">
        <v>935</v>
      </c>
      <c r="D162" s="298"/>
      <c r="E162" s="306" t="s">
        <v>2457</v>
      </c>
      <c r="F162" s="307"/>
      <c r="G162" s="297" t="s">
        <v>1131</v>
      </c>
      <c r="H162" s="308" t="str">
        <f t="shared" si="16"/>
        <v>LS-R11-1</v>
      </c>
      <c r="I162" s="309">
        <v>1</v>
      </c>
      <c r="J162" s="19"/>
      <c r="K162" s="19"/>
      <c r="L162" s="19">
        <v>1</v>
      </c>
      <c r="M162" s="19">
        <v>1</v>
      </c>
      <c r="Q162" s="19">
        <v>1</v>
      </c>
      <c r="U162" s="19">
        <v>1</v>
      </c>
    </row>
    <row r="163" spans="2:21" s="18" customFormat="1" outlineLevel="2">
      <c r="B163" s="297" t="s">
        <v>19</v>
      </c>
      <c r="C163" s="297" t="s">
        <v>935</v>
      </c>
      <c r="D163" s="298"/>
      <c r="E163" s="306" t="s">
        <v>2458</v>
      </c>
      <c r="F163" s="307"/>
      <c r="G163" s="297" t="s">
        <v>1131</v>
      </c>
      <c r="H163" s="308" t="str">
        <f t="shared" si="16"/>
        <v>LS-R11-1</v>
      </c>
      <c r="I163" s="309">
        <v>1</v>
      </c>
      <c r="J163" s="19"/>
      <c r="K163" s="19"/>
      <c r="L163" s="19">
        <v>1</v>
      </c>
      <c r="M163" s="19">
        <v>1</v>
      </c>
      <c r="Q163" s="19">
        <v>1</v>
      </c>
      <c r="U163" s="19">
        <v>1</v>
      </c>
    </row>
    <row r="164" spans="2:21" s="18" customFormat="1" outlineLevel="2">
      <c r="B164" s="297" t="s">
        <v>19</v>
      </c>
      <c r="C164" s="297" t="s">
        <v>935</v>
      </c>
      <c r="D164" s="298"/>
      <c r="E164" s="306" t="s">
        <v>2459</v>
      </c>
      <c r="F164" s="307"/>
      <c r="G164" s="297" t="s">
        <v>1131</v>
      </c>
      <c r="H164" s="308" t="str">
        <f t="shared" si="16"/>
        <v>LS-R11-1</v>
      </c>
      <c r="I164" s="309">
        <v>1</v>
      </c>
      <c r="J164" s="19"/>
      <c r="K164" s="19"/>
      <c r="L164" s="19">
        <v>1</v>
      </c>
      <c r="M164" s="19">
        <v>1</v>
      </c>
      <c r="Q164" s="19">
        <v>1</v>
      </c>
      <c r="U164" s="19">
        <v>1</v>
      </c>
    </row>
    <row r="165" spans="2:21" s="18" customFormat="1" outlineLevel="2">
      <c r="B165" s="297" t="s">
        <v>19</v>
      </c>
      <c r="C165" s="297" t="s">
        <v>935</v>
      </c>
      <c r="D165" s="298"/>
      <c r="E165" s="306" t="s">
        <v>2460</v>
      </c>
      <c r="F165" s="307"/>
      <c r="G165" s="297" t="s">
        <v>1131</v>
      </c>
      <c r="H165" s="308" t="str">
        <f t="shared" si="16"/>
        <v>LS-R11-1</v>
      </c>
      <c r="I165" s="309">
        <v>1</v>
      </c>
      <c r="J165" s="19"/>
      <c r="K165" s="19"/>
      <c r="L165" s="19">
        <v>1</v>
      </c>
      <c r="M165" s="19">
        <v>1</v>
      </c>
      <c r="Q165" s="19">
        <v>1</v>
      </c>
      <c r="U165" s="19">
        <v>1</v>
      </c>
    </row>
    <row r="166" spans="2:21" s="18" customFormat="1" outlineLevel="2">
      <c r="B166" s="297" t="s">
        <v>19</v>
      </c>
      <c r="C166" s="297" t="s">
        <v>935</v>
      </c>
      <c r="D166" s="298"/>
      <c r="E166" s="306" t="s">
        <v>2461</v>
      </c>
      <c r="F166" s="307"/>
      <c r="G166" s="297" t="s">
        <v>1131</v>
      </c>
      <c r="H166" s="308" t="str">
        <f t="shared" si="16"/>
        <v>LS-R11-1</v>
      </c>
      <c r="I166" s="309">
        <v>1</v>
      </c>
      <c r="J166" s="19"/>
      <c r="K166" s="19"/>
      <c r="L166" s="19">
        <v>1</v>
      </c>
      <c r="M166" s="19">
        <v>1</v>
      </c>
      <c r="Q166" s="19">
        <v>1</v>
      </c>
      <c r="U166" s="19">
        <v>1</v>
      </c>
    </row>
    <row r="167" spans="2:21" s="18" customFormat="1" outlineLevel="2">
      <c r="B167" s="297" t="s">
        <v>19</v>
      </c>
      <c r="C167" s="297" t="s">
        <v>935</v>
      </c>
      <c r="D167" s="298"/>
      <c r="E167" s="306" t="s">
        <v>2462</v>
      </c>
      <c r="F167" s="307"/>
      <c r="G167" s="297" t="s">
        <v>1131</v>
      </c>
      <c r="H167" s="308" t="str">
        <f t="shared" si="16"/>
        <v>LS-R11-1</v>
      </c>
      <c r="I167" s="309">
        <v>1</v>
      </c>
      <c r="J167" s="19"/>
      <c r="K167" s="19"/>
      <c r="L167" s="19">
        <v>1</v>
      </c>
      <c r="M167" s="19">
        <v>1</v>
      </c>
      <c r="Q167" s="19">
        <v>1</v>
      </c>
      <c r="U167" s="19">
        <v>1</v>
      </c>
    </row>
    <row r="168" spans="2:21" s="18" customFormat="1" outlineLevel="2">
      <c r="B168" s="297" t="s">
        <v>19</v>
      </c>
      <c r="C168" s="297" t="s">
        <v>935</v>
      </c>
      <c r="D168" s="298"/>
      <c r="E168" s="306" t="s">
        <v>2555</v>
      </c>
      <c r="F168" s="307"/>
      <c r="G168" s="297" t="s">
        <v>1131</v>
      </c>
      <c r="H168" s="308" t="str">
        <f t="shared" si="16"/>
        <v>LS-R11-1</v>
      </c>
      <c r="I168" s="309">
        <v>1</v>
      </c>
      <c r="J168" s="19"/>
      <c r="K168" s="19"/>
      <c r="L168" s="19">
        <v>1</v>
      </c>
      <c r="M168" s="19">
        <v>1</v>
      </c>
      <c r="Q168" s="19">
        <v>1</v>
      </c>
      <c r="U168" s="19">
        <v>1</v>
      </c>
    </row>
    <row r="169" spans="2:21" s="18" customFormat="1" outlineLevel="2">
      <c r="B169" s="297" t="s">
        <v>19</v>
      </c>
      <c r="C169" s="297" t="s">
        <v>935</v>
      </c>
      <c r="D169" s="298"/>
      <c r="E169" s="306" t="s">
        <v>2463</v>
      </c>
      <c r="F169" s="307"/>
      <c r="G169" s="297" t="s">
        <v>1131</v>
      </c>
      <c r="H169" s="308" t="str">
        <f t="shared" si="16"/>
        <v>LS-R11-1</v>
      </c>
      <c r="I169" s="309">
        <v>1</v>
      </c>
      <c r="J169" s="19"/>
      <c r="K169" s="19"/>
      <c r="L169" s="19">
        <v>1</v>
      </c>
      <c r="M169" s="19">
        <v>1</v>
      </c>
      <c r="Q169" s="19">
        <v>1</v>
      </c>
      <c r="U169" s="19">
        <v>1</v>
      </c>
    </row>
    <row r="170" spans="2:21" ht="3" customHeight="1" outlineLevel="1">
      <c r="B170" s="297"/>
      <c r="C170" s="17" t="s">
        <v>935</v>
      </c>
      <c r="D170" s="317"/>
      <c r="E170" s="319"/>
      <c r="F170" s="307"/>
      <c r="G170" s="297"/>
      <c r="H170" s="314"/>
      <c r="I170" s="309"/>
      <c r="J170" s="724"/>
    </row>
    <row r="171" spans="2:21" s="18" customFormat="1" outlineLevel="1">
      <c r="B171" s="317" t="s">
        <v>2265</v>
      </c>
      <c r="C171" s="297"/>
      <c r="D171" s="317"/>
      <c r="E171" s="319"/>
      <c r="F171" s="46"/>
      <c r="G171" s="46"/>
      <c r="H171" s="46"/>
      <c r="I171" s="40"/>
      <c r="J171" s="19"/>
      <c r="K171" s="19"/>
      <c r="L171" s="19"/>
      <c r="M171" s="19"/>
    </row>
    <row r="172" spans="2:21" s="18" customFormat="1" outlineLevel="2">
      <c r="B172" s="297" t="s">
        <v>19</v>
      </c>
      <c r="C172" s="297" t="s">
        <v>935</v>
      </c>
      <c r="D172" s="298"/>
      <c r="E172" s="306" t="s">
        <v>2455</v>
      </c>
      <c r="F172" s="307"/>
      <c r="G172" s="297" t="s">
        <v>1133</v>
      </c>
      <c r="H172" s="308" t="str">
        <f>CONCATENATE("LS-",G172,"-",I172)</f>
        <v>LS-R22-1</v>
      </c>
      <c r="I172" s="309">
        <v>1</v>
      </c>
      <c r="J172" s="19"/>
      <c r="K172" s="19"/>
      <c r="L172" s="19">
        <v>1</v>
      </c>
      <c r="M172" s="19">
        <v>1</v>
      </c>
      <c r="Q172" s="19">
        <v>1</v>
      </c>
      <c r="U172" s="19">
        <v>1</v>
      </c>
    </row>
    <row r="173" spans="2:21" s="18" customFormat="1" outlineLevel="2">
      <c r="B173" s="297" t="s">
        <v>19</v>
      </c>
      <c r="C173" s="297" t="s">
        <v>935</v>
      </c>
      <c r="D173" s="298"/>
      <c r="E173" s="306" t="s">
        <v>2456</v>
      </c>
      <c r="F173" s="307"/>
      <c r="G173" s="297" t="s">
        <v>1133</v>
      </c>
      <c r="H173" s="308" t="str">
        <f t="shared" ref="H173:H181" si="17">CONCATENATE("LS-",G173,"-",I173)</f>
        <v>LS-R22-1</v>
      </c>
      <c r="I173" s="309">
        <v>1</v>
      </c>
      <c r="J173" s="19"/>
      <c r="K173" s="19"/>
      <c r="L173" s="19">
        <v>1</v>
      </c>
      <c r="M173" s="19">
        <v>1</v>
      </c>
      <c r="Q173" s="19">
        <v>1</v>
      </c>
      <c r="U173" s="19">
        <v>1</v>
      </c>
    </row>
    <row r="174" spans="2:21" s="18" customFormat="1" outlineLevel="2">
      <c r="B174" s="297" t="s">
        <v>19</v>
      </c>
      <c r="C174" s="297" t="s">
        <v>935</v>
      </c>
      <c r="D174" s="298"/>
      <c r="E174" s="306" t="s">
        <v>2457</v>
      </c>
      <c r="F174" s="307"/>
      <c r="G174" s="297" t="s">
        <v>1133</v>
      </c>
      <c r="H174" s="308" t="str">
        <f t="shared" si="17"/>
        <v>LS-R22-1</v>
      </c>
      <c r="I174" s="309">
        <v>1</v>
      </c>
      <c r="J174" s="19"/>
      <c r="K174" s="19"/>
      <c r="L174" s="19">
        <v>1</v>
      </c>
      <c r="M174" s="19">
        <v>1</v>
      </c>
      <c r="Q174" s="19">
        <v>1</v>
      </c>
      <c r="U174" s="19">
        <v>1</v>
      </c>
    </row>
    <row r="175" spans="2:21" s="18" customFormat="1" outlineLevel="2">
      <c r="B175" s="297" t="s">
        <v>19</v>
      </c>
      <c r="C175" s="297" t="s">
        <v>935</v>
      </c>
      <c r="D175" s="298"/>
      <c r="E175" s="306" t="s">
        <v>2458</v>
      </c>
      <c r="F175" s="307"/>
      <c r="G175" s="297" t="s">
        <v>1133</v>
      </c>
      <c r="H175" s="308" t="str">
        <f t="shared" si="17"/>
        <v>LS-R22-1</v>
      </c>
      <c r="I175" s="309">
        <v>1</v>
      </c>
      <c r="J175" s="19"/>
      <c r="K175" s="19"/>
      <c r="L175" s="19">
        <v>1</v>
      </c>
      <c r="M175" s="19">
        <v>1</v>
      </c>
      <c r="Q175" s="19">
        <v>1</v>
      </c>
      <c r="U175" s="19">
        <v>1</v>
      </c>
    </row>
    <row r="176" spans="2:21" s="18" customFormat="1" outlineLevel="2">
      <c r="B176" s="297" t="s">
        <v>19</v>
      </c>
      <c r="C176" s="297" t="s">
        <v>935</v>
      </c>
      <c r="D176" s="298"/>
      <c r="E176" s="306" t="s">
        <v>2459</v>
      </c>
      <c r="F176" s="307"/>
      <c r="G176" s="297" t="s">
        <v>1133</v>
      </c>
      <c r="H176" s="308" t="str">
        <f t="shared" si="17"/>
        <v>LS-R22-1</v>
      </c>
      <c r="I176" s="309">
        <v>1</v>
      </c>
      <c r="J176" s="19"/>
      <c r="K176" s="19"/>
      <c r="L176" s="19">
        <v>1</v>
      </c>
      <c r="M176" s="19">
        <v>1</v>
      </c>
      <c r="Q176" s="19">
        <v>1</v>
      </c>
      <c r="U176" s="19">
        <v>1</v>
      </c>
    </row>
    <row r="177" spans="2:21" s="18" customFormat="1" outlineLevel="2">
      <c r="B177" s="297" t="s">
        <v>19</v>
      </c>
      <c r="C177" s="297" t="s">
        <v>935</v>
      </c>
      <c r="D177" s="298"/>
      <c r="E177" s="306" t="s">
        <v>2460</v>
      </c>
      <c r="F177" s="307"/>
      <c r="G177" s="297" t="s">
        <v>1133</v>
      </c>
      <c r="H177" s="308" t="str">
        <f t="shared" si="17"/>
        <v>LS-R22-1</v>
      </c>
      <c r="I177" s="309">
        <v>1</v>
      </c>
      <c r="J177" s="19"/>
      <c r="K177" s="19"/>
      <c r="L177" s="19">
        <v>1</v>
      </c>
      <c r="M177" s="19">
        <v>1</v>
      </c>
      <c r="Q177" s="19">
        <v>1</v>
      </c>
      <c r="U177" s="19">
        <v>1</v>
      </c>
    </row>
    <row r="178" spans="2:21" s="18" customFormat="1" outlineLevel="2">
      <c r="B178" s="297" t="s">
        <v>19</v>
      </c>
      <c r="C178" s="297" t="s">
        <v>935</v>
      </c>
      <c r="D178" s="298"/>
      <c r="E178" s="306" t="s">
        <v>2461</v>
      </c>
      <c r="F178" s="307"/>
      <c r="G178" s="297" t="s">
        <v>1133</v>
      </c>
      <c r="H178" s="308" t="str">
        <f t="shared" si="17"/>
        <v>LS-R22-1</v>
      </c>
      <c r="I178" s="309">
        <v>1</v>
      </c>
      <c r="J178" s="19"/>
      <c r="K178" s="19"/>
      <c r="L178" s="19">
        <v>1</v>
      </c>
      <c r="M178" s="19">
        <v>1</v>
      </c>
      <c r="Q178" s="19">
        <v>1</v>
      </c>
      <c r="U178" s="19">
        <v>1</v>
      </c>
    </row>
    <row r="179" spans="2:21" s="18" customFormat="1" outlineLevel="2">
      <c r="B179" s="297" t="s">
        <v>19</v>
      </c>
      <c r="C179" s="297" t="s">
        <v>935</v>
      </c>
      <c r="D179" s="298"/>
      <c r="E179" s="306" t="s">
        <v>2462</v>
      </c>
      <c r="F179" s="307"/>
      <c r="G179" s="297" t="s">
        <v>1133</v>
      </c>
      <c r="H179" s="308" t="str">
        <f t="shared" si="17"/>
        <v>LS-R22-1</v>
      </c>
      <c r="I179" s="309">
        <v>1</v>
      </c>
      <c r="J179" s="19"/>
      <c r="K179" s="19"/>
      <c r="L179" s="19">
        <v>1</v>
      </c>
      <c r="M179" s="19">
        <v>1</v>
      </c>
      <c r="Q179" s="19">
        <v>1</v>
      </c>
      <c r="U179" s="19">
        <v>1</v>
      </c>
    </row>
    <row r="180" spans="2:21" s="18" customFormat="1" outlineLevel="2">
      <c r="B180" s="297" t="s">
        <v>19</v>
      </c>
      <c r="C180" s="297" t="s">
        <v>935</v>
      </c>
      <c r="D180" s="298"/>
      <c r="E180" s="306" t="s">
        <v>2555</v>
      </c>
      <c r="F180" s="307"/>
      <c r="G180" s="297" t="s">
        <v>1133</v>
      </c>
      <c r="H180" s="308" t="str">
        <f t="shared" si="17"/>
        <v>LS-R22-1</v>
      </c>
      <c r="I180" s="309">
        <v>1</v>
      </c>
      <c r="J180" s="19"/>
      <c r="K180" s="19"/>
      <c r="L180" s="19">
        <v>1</v>
      </c>
      <c r="M180" s="19">
        <v>1</v>
      </c>
      <c r="Q180" s="19">
        <v>1</v>
      </c>
      <c r="U180" s="19">
        <v>1</v>
      </c>
    </row>
    <row r="181" spans="2:21" s="18" customFormat="1" outlineLevel="2">
      <c r="B181" s="297" t="s">
        <v>19</v>
      </c>
      <c r="C181" s="297" t="s">
        <v>935</v>
      </c>
      <c r="D181" s="298"/>
      <c r="E181" s="306" t="s">
        <v>2463</v>
      </c>
      <c r="F181" s="307"/>
      <c r="G181" s="297" t="s">
        <v>1133</v>
      </c>
      <c r="H181" s="308" t="str">
        <f t="shared" si="17"/>
        <v>LS-R22-1</v>
      </c>
      <c r="I181" s="309">
        <v>1</v>
      </c>
      <c r="J181" s="19"/>
      <c r="K181" s="19"/>
      <c r="L181" s="19">
        <v>1</v>
      </c>
      <c r="M181" s="19">
        <v>1</v>
      </c>
      <c r="Q181" s="19">
        <v>1</v>
      </c>
      <c r="U181" s="19">
        <v>1</v>
      </c>
    </row>
    <row r="182" spans="2:21" ht="3" customHeight="1" outlineLevel="1">
      <c r="B182" s="297"/>
      <c r="C182" s="17" t="s">
        <v>935</v>
      </c>
      <c r="D182" s="317"/>
      <c r="E182" s="319"/>
      <c r="F182" s="307"/>
      <c r="G182" s="297"/>
      <c r="H182" s="314"/>
      <c r="I182" s="309"/>
    </row>
    <row r="183" spans="2:21" s="18" customFormat="1" outlineLevel="1">
      <c r="B183" s="317" t="s">
        <v>2556</v>
      </c>
      <c r="C183" s="297"/>
      <c r="D183" s="317"/>
      <c r="E183" s="319"/>
      <c r="F183" s="46"/>
      <c r="G183" s="46"/>
      <c r="H183" s="46"/>
      <c r="I183" s="40"/>
      <c r="J183" s="19"/>
      <c r="K183" s="726"/>
      <c r="L183" s="726"/>
      <c r="M183" s="19"/>
    </row>
    <row r="184" spans="2:21" s="18" customFormat="1" outlineLevel="2">
      <c r="B184" s="297" t="s">
        <v>19</v>
      </c>
      <c r="C184" s="297" t="s">
        <v>1137</v>
      </c>
      <c r="D184" s="298"/>
      <c r="E184" s="306" t="s">
        <v>2557</v>
      </c>
      <c r="F184" s="307"/>
      <c r="G184" s="297" t="s">
        <v>1137</v>
      </c>
      <c r="H184" s="308" t="str">
        <f t="shared" ref="H184:H193" si="18">CONCATENATE("LS-",G184,"-",I184)</f>
        <v>LS-L30P-1</v>
      </c>
      <c r="I184" s="309">
        <v>1</v>
      </c>
      <c r="J184" s="19"/>
      <c r="K184" s="19"/>
      <c r="L184" s="19">
        <v>1</v>
      </c>
      <c r="M184" s="19">
        <v>1</v>
      </c>
      <c r="Q184" s="19">
        <v>1</v>
      </c>
      <c r="U184" s="19">
        <v>1</v>
      </c>
    </row>
    <row r="185" spans="2:21" s="18" customFormat="1" outlineLevel="2">
      <c r="B185" s="297" t="s">
        <v>19</v>
      </c>
      <c r="C185" s="297" t="s">
        <v>1137</v>
      </c>
      <c r="D185" s="298"/>
      <c r="E185" s="306" t="s">
        <v>2558</v>
      </c>
      <c r="F185" s="307"/>
      <c r="G185" s="297" t="s">
        <v>1137</v>
      </c>
      <c r="H185" s="308" t="str">
        <f t="shared" si="18"/>
        <v>LS-L30P-1</v>
      </c>
      <c r="I185" s="309">
        <v>1</v>
      </c>
      <c r="J185" s="19"/>
      <c r="K185" s="19"/>
      <c r="L185" s="19">
        <v>1</v>
      </c>
      <c r="M185" s="19">
        <v>1</v>
      </c>
      <c r="Q185" s="19">
        <v>1</v>
      </c>
      <c r="U185" s="19">
        <v>1</v>
      </c>
    </row>
    <row r="186" spans="2:21" s="18" customFormat="1" outlineLevel="2">
      <c r="B186" s="297" t="s">
        <v>19</v>
      </c>
      <c r="C186" s="297" t="s">
        <v>1137</v>
      </c>
      <c r="D186" s="298"/>
      <c r="E186" s="306" t="s">
        <v>2559</v>
      </c>
      <c r="F186" s="307"/>
      <c r="G186" s="297" t="s">
        <v>1137</v>
      </c>
      <c r="H186" s="308" t="str">
        <f t="shared" si="18"/>
        <v>LS-L30P-1</v>
      </c>
      <c r="I186" s="309">
        <v>1</v>
      </c>
      <c r="J186" s="19"/>
      <c r="K186" s="19"/>
      <c r="L186" s="19">
        <v>1</v>
      </c>
      <c r="M186" s="19">
        <v>1</v>
      </c>
      <c r="Q186" s="19">
        <v>1</v>
      </c>
      <c r="U186" s="19">
        <v>1</v>
      </c>
    </row>
    <row r="187" spans="2:21" s="18" customFormat="1" outlineLevel="2">
      <c r="B187" s="297" t="s">
        <v>19</v>
      </c>
      <c r="C187" s="297" t="s">
        <v>1137</v>
      </c>
      <c r="D187" s="298"/>
      <c r="E187" s="306" t="s">
        <v>2560</v>
      </c>
      <c r="F187" s="307"/>
      <c r="G187" s="297" t="s">
        <v>1137</v>
      </c>
      <c r="H187" s="308" t="str">
        <f t="shared" si="18"/>
        <v>LS-L30P-1</v>
      </c>
      <c r="I187" s="309">
        <v>1</v>
      </c>
      <c r="J187" s="19"/>
      <c r="K187" s="19"/>
      <c r="L187" s="19">
        <v>1</v>
      </c>
      <c r="M187" s="19">
        <v>1</v>
      </c>
      <c r="Q187" s="19">
        <v>1</v>
      </c>
      <c r="U187" s="19">
        <v>1</v>
      </c>
    </row>
    <row r="188" spans="2:21" s="18" customFormat="1" outlineLevel="2">
      <c r="B188" s="297" t="s">
        <v>19</v>
      </c>
      <c r="C188" s="297" t="s">
        <v>1137</v>
      </c>
      <c r="D188" s="298"/>
      <c r="E188" s="306" t="s">
        <v>2561</v>
      </c>
      <c r="F188" s="307"/>
      <c r="G188" s="297" t="s">
        <v>1137</v>
      </c>
      <c r="H188" s="308" t="str">
        <f t="shared" si="18"/>
        <v>LS-L30P-1</v>
      </c>
      <c r="I188" s="309">
        <v>1</v>
      </c>
      <c r="J188" s="19"/>
      <c r="K188" s="19"/>
      <c r="L188" s="19">
        <v>1</v>
      </c>
      <c r="M188" s="19">
        <v>1</v>
      </c>
      <c r="Q188" s="19">
        <v>1</v>
      </c>
      <c r="U188" s="19">
        <v>1</v>
      </c>
    </row>
    <row r="189" spans="2:21" s="18" customFormat="1" outlineLevel="2">
      <c r="B189" s="297" t="s">
        <v>19</v>
      </c>
      <c r="C189" s="297" t="s">
        <v>1137</v>
      </c>
      <c r="D189" s="298"/>
      <c r="E189" s="306" t="s">
        <v>2562</v>
      </c>
      <c r="F189" s="307"/>
      <c r="G189" s="297" t="s">
        <v>1137</v>
      </c>
      <c r="H189" s="308" t="str">
        <f t="shared" si="18"/>
        <v>LS-L30P-1</v>
      </c>
      <c r="I189" s="309">
        <v>1</v>
      </c>
      <c r="J189" s="19"/>
      <c r="K189" s="19"/>
      <c r="L189" s="19">
        <v>1</v>
      </c>
      <c r="M189" s="19">
        <v>1</v>
      </c>
      <c r="Q189" s="19">
        <v>1</v>
      </c>
      <c r="U189" s="19">
        <v>1</v>
      </c>
    </row>
    <row r="190" spans="2:21" s="18" customFormat="1" outlineLevel="2">
      <c r="B190" s="297" t="s">
        <v>19</v>
      </c>
      <c r="C190" s="297" t="s">
        <v>1137</v>
      </c>
      <c r="D190" s="298"/>
      <c r="E190" s="306" t="s">
        <v>2563</v>
      </c>
      <c r="F190" s="307"/>
      <c r="G190" s="297" t="s">
        <v>1137</v>
      </c>
      <c r="H190" s="308" t="str">
        <f t="shared" si="18"/>
        <v>LS-L30P-1</v>
      </c>
      <c r="I190" s="309">
        <v>1</v>
      </c>
      <c r="J190" s="19"/>
      <c r="K190" s="19"/>
      <c r="L190" s="19">
        <v>1</v>
      </c>
      <c r="M190" s="19">
        <v>1</v>
      </c>
      <c r="Q190" s="19">
        <v>1</v>
      </c>
      <c r="U190" s="19">
        <v>1</v>
      </c>
    </row>
    <row r="191" spans="2:21" s="18" customFormat="1" outlineLevel="2">
      <c r="B191" s="297" t="s">
        <v>19</v>
      </c>
      <c r="C191" s="297" t="s">
        <v>1137</v>
      </c>
      <c r="D191" s="298"/>
      <c r="E191" s="306" t="s">
        <v>2564</v>
      </c>
      <c r="F191" s="307"/>
      <c r="G191" s="297" t="s">
        <v>1137</v>
      </c>
      <c r="H191" s="308" t="str">
        <f t="shared" ref="H191:H192" si="19">CONCATENATE("LS-",G191,"-",I191)</f>
        <v>LS-L30P-1</v>
      </c>
      <c r="I191" s="309">
        <v>1</v>
      </c>
      <c r="J191" s="19"/>
      <c r="K191" s="19"/>
      <c r="L191" s="19">
        <v>1</v>
      </c>
      <c r="M191" s="19">
        <v>1</v>
      </c>
      <c r="Q191" s="19">
        <v>1</v>
      </c>
      <c r="U191" s="19">
        <v>1</v>
      </c>
    </row>
    <row r="192" spans="2:21" s="18" customFormat="1" outlineLevel="2">
      <c r="B192" s="297" t="s">
        <v>19</v>
      </c>
      <c r="C192" s="297" t="s">
        <v>1137</v>
      </c>
      <c r="D192" s="298"/>
      <c r="E192" s="306" t="s">
        <v>2565</v>
      </c>
      <c r="F192" s="307"/>
      <c r="G192" s="297" t="s">
        <v>1137</v>
      </c>
      <c r="H192" s="308" t="str">
        <f t="shared" si="19"/>
        <v>LS-L30P-1</v>
      </c>
      <c r="I192" s="309">
        <v>1</v>
      </c>
      <c r="J192" s="19"/>
      <c r="K192" s="19"/>
      <c r="L192" s="19">
        <v>1</v>
      </c>
      <c r="M192" s="19">
        <v>1</v>
      </c>
      <c r="Q192" s="19">
        <v>1</v>
      </c>
      <c r="U192" s="19">
        <v>1</v>
      </c>
    </row>
    <row r="193" spans="2:21" s="18" customFormat="1" outlineLevel="2">
      <c r="B193" s="297" t="s">
        <v>19</v>
      </c>
      <c r="C193" s="297" t="s">
        <v>1137</v>
      </c>
      <c r="D193" s="298"/>
      <c r="E193" s="306" t="s">
        <v>2566</v>
      </c>
      <c r="F193" s="307"/>
      <c r="G193" s="297" t="s">
        <v>1137</v>
      </c>
      <c r="H193" s="308" t="str">
        <f t="shared" si="18"/>
        <v>LS-L30P-1</v>
      </c>
      <c r="I193" s="309">
        <v>1</v>
      </c>
      <c r="J193" s="19"/>
      <c r="K193" s="19"/>
      <c r="L193" s="19">
        <v>1</v>
      </c>
      <c r="M193" s="19">
        <v>1</v>
      </c>
      <c r="Q193" s="19">
        <v>1</v>
      </c>
      <c r="U193" s="19">
        <v>1</v>
      </c>
    </row>
    <row r="194" spans="2:21" ht="3" customHeight="1" outlineLevel="1">
      <c r="B194" s="297"/>
      <c r="D194" s="317"/>
      <c r="E194" s="319"/>
      <c r="F194" s="307"/>
      <c r="G194" s="297"/>
      <c r="H194" s="314"/>
      <c r="I194" s="309"/>
      <c r="L194" s="724"/>
    </row>
    <row r="195" spans="2:21" s="18" customFormat="1" outlineLevel="1">
      <c r="B195" s="317" t="s">
        <v>2567</v>
      </c>
      <c r="C195" s="297"/>
      <c r="D195" s="317"/>
      <c r="E195" s="319"/>
      <c r="F195" s="46"/>
      <c r="G195" s="46"/>
      <c r="H195" s="46"/>
      <c r="I195" s="40"/>
      <c r="J195" s="19"/>
      <c r="K195" s="726"/>
      <c r="L195" s="726"/>
      <c r="M195" s="19"/>
    </row>
    <row r="196" spans="2:21" s="18" customFormat="1" outlineLevel="2">
      <c r="B196" s="297" t="s">
        <v>19</v>
      </c>
      <c r="C196" s="297" t="s">
        <v>1135</v>
      </c>
      <c r="D196" s="298"/>
      <c r="E196" s="306" t="s">
        <v>2568</v>
      </c>
      <c r="F196" s="307"/>
      <c r="G196" s="297" t="s">
        <v>1135</v>
      </c>
      <c r="H196" s="308" t="str">
        <f t="shared" ref="H196:H200" si="20">CONCATENATE("LS-",G196,"-",I196)</f>
        <v>LS-C20P-1</v>
      </c>
      <c r="I196" s="309">
        <v>1</v>
      </c>
      <c r="J196" s="19"/>
      <c r="K196" s="19"/>
      <c r="L196" s="19">
        <v>1</v>
      </c>
      <c r="M196" s="19">
        <v>1</v>
      </c>
      <c r="Q196" s="19">
        <v>1</v>
      </c>
      <c r="S196" s="19">
        <v>1</v>
      </c>
    </row>
    <row r="197" spans="2:21" s="18" customFormat="1" outlineLevel="2">
      <c r="B197" s="297" t="s">
        <v>19</v>
      </c>
      <c r="C197" s="297" t="s">
        <v>1135</v>
      </c>
      <c r="D197" s="298"/>
      <c r="E197" s="306" t="s">
        <v>2569</v>
      </c>
      <c r="F197" s="307"/>
      <c r="G197" s="297" t="s">
        <v>1135</v>
      </c>
      <c r="H197" s="308" t="str">
        <f t="shared" si="20"/>
        <v>LS-C20P-1</v>
      </c>
      <c r="I197" s="309">
        <v>1</v>
      </c>
      <c r="J197" s="19"/>
      <c r="K197" s="19"/>
      <c r="L197" s="19">
        <v>1</v>
      </c>
      <c r="M197" s="19">
        <v>1</v>
      </c>
      <c r="Q197" s="19">
        <v>1</v>
      </c>
      <c r="S197" s="19">
        <v>1</v>
      </c>
    </row>
    <row r="198" spans="2:21" s="18" customFormat="1" outlineLevel="2">
      <c r="B198" s="297" t="s">
        <v>19</v>
      </c>
      <c r="C198" s="297" t="s">
        <v>1135</v>
      </c>
      <c r="D198" s="298"/>
      <c r="E198" s="306" t="s">
        <v>2489</v>
      </c>
      <c r="F198" s="307"/>
      <c r="G198" s="297" t="s">
        <v>1135</v>
      </c>
      <c r="H198" s="308" t="str">
        <f t="shared" si="20"/>
        <v>LS-C20P-1</v>
      </c>
      <c r="I198" s="309">
        <v>1</v>
      </c>
      <c r="J198" s="19"/>
      <c r="K198" s="19"/>
      <c r="L198" s="19">
        <v>1</v>
      </c>
      <c r="M198" s="19">
        <v>1</v>
      </c>
      <c r="Q198" s="19">
        <v>1</v>
      </c>
      <c r="S198" s="19">
        <v>1</v>
      </c>
    </row>
    <row r="199" spans="2:21" s="18" customFormat="1" outlineLevel="2">
      <c r="B199" s="297" t="s">
        <v>19</v>
      </c>
      <c r="C199" s="297" t="s">
        <v>1135</v>
      </c>
      <c r="D199" s="298"/>
      <c r="E199" s="306" t="s">
        <v>2570</v>
      </c>
      <c r="F199" s="307"/>
      <c r="G199" s="297" t="s">
        <v>1135</v>
      </c>
      <c r="H199" s="308" t="str">
        <f t="shared" si="20"/>
        <v>LS-C20P-1</v>
      </c>
      <c r="I199" s="309">
        <v>1</v>
      </c>
      <c r="J199" s="19"/>
      <c r="K199" s="19"/>
      <c r="L199" s="19">
        <v>1</v>
      </c>
      <c r="M199" s="19">
        <v>1</v>
      </c>
      <c r="Q199" s="19">
        <v>1</v>
      </c>
      <c r="S199" s="19">
        <v>1</v>
      </c>
    </row>
    <row r="200" spans="2:21" s="18" customFormat="1" outlineLevel="2">
      <c r="B200" s="297" t="s">
        <v>19</v>
      </c>
      <c r="C200" s="297" t="s">
        <v>1135</v>
      </c>
      <c r="D200" s="298"/>
      <c r="E200" s="306" t="s">
        <v>2571</v>
      </c>
      <c r="F200" s="307"/>
      <c r="G200" s="297" t="s">
        <v>1135</v>
      </c>
      <c r="H200" s="308" t="str">
        <f t="shared" si="20"/>
        <v>LS-C20P-1</v>
      </c>
      <c r="I200" s="309">
        <v>1</v>
      </c>
      <c r="J200" s="19"/>
      <c r="K200" s="19"/>
      <c r="L200" s="19">
        <v>1</v>
      </c>
      <c r="M200" s="19">
        <v>1</v>
      </c>
      <c r="Q200" s="19">
        <v>1</v>
      </c>
      <c r="S200" s="19">
        <v>1</v>
      </c>
    </row>
    <row r="201" spans="2:21" ht="3" customHeight="1" outlineLevel="1">
      <c r="B201" s="297"/>
      <c r="D201" s="317"/>
      <c r="E201" s="319"/>
      <c r="F201" s="307"/>
      <c r="G201" s="297"/>
      <c r="H201" s="314"/>
      <c r="I201" s="309"/>
      <c r="L201" s="724"/>
    </row>
    <row r="202" spans="2:21" s="18" customFormat="1" outlineLevel="1">
      <c r="B202" s="317" t="s">
        <v>2572</v>
      </c>
      <c r="C202" s="297"/>
      <c r="D202" s="317"/>
      <c r="E202" s="319"/>
      <c r="F202" s="46"/>
      <c r="G202" s="46"/>
      <c r="H202" s="46"/>
      <c r="I202" s="40"/>
      <c r="J202" s="19"/>
      <c r="K202" s="726"/>
      <c r="L202" s="726"/>
      <c r="M202" s="19"/>
    </row>
    <row r="203" spans="2:21" s="18" customFormat="1" outlineLevel="2">
      <c r="B203" s="297" t="s">
        <v>19</v>
      </c>
      <c r="C203" s="297" t="s">
        <v>1139</v>
      </c>
      <c r="D203" s="298"/>
      <c r="E203" s="306" t="s">
        <v>2573</v>
      </c>
      <c r="F203" s="307"/>
      <c r="G203" s="297" t="s">
        <v>1139</v>
      </c>
      <c r="H203" s="308" t="str">
        <f t="shared" ref="H203:H209" si="21">CONCATENATE("LS-",G203,"-",I203)</f>
        <v>LS-L45P-1</v>
      </c>
      <c r="I203" s="309">
        <v>1</v>
      </c>
      <c r="J203" s="19"/>
      <c r="K203" s="19"/>
      <c r="L203" s="19">
        <v>1</v>
      </c>
      <c r="M203" s="19">
        <v>1</v>
      </c>
      <c r="Q203" s="19">
        <v>1</v>
      </c>
      <c r="U203" s="19">
        <v>1</v>
      </c>
    </row>
    <row r="204" spans="2:21" s="18" customFormat="1" outlineLevel="2">
      <c r="B204" s="297" t="s">
        <v>19</v>
      </c>
      <c r="C204" s="297" t="s">
        <v>1139</v>
      </c>
      <c r="D204" s="298"/>
      <c r="E204" s="306" t="s">
        <v>2574</v>
      </c>
      <c r="F204" s="307"/>
      <c r="G204" s="297" t="s">
        <v>1139</v>
      </c>
      <c r="H204" s="308" t="str">
        <f t="shared" si="21"/>
        <v>LS-L45P-1</v>
      </c>
      <c r="I204" s="309">
        <v>1</v>
      </c>
      <c r="J204" s="19"/>
      <c r="K204" s="19"/>
      <c r="L204" s="19">
        <v>1</v>
      </c>
      <c r="M204" s="19">
        <v>1</v>
      </c>
      <c r="Q204" s="19">
        <v>1</v>
      </c>
      <c r="U204" s="19">
        <v>1</v>
      </c>
    </row>
    <row r="205" spans="2:21" s="18" customFormat="1" outlineLevel="2">
      <c r="B205" s="297" t="s">
        <v>19</v>
      </c>
      <c r="C205" s="297" t="s">
        <v>1139</v>
      </c>
      <c r="D205" s="298"/>
      <c r="E205" s="306" t="s">
        <v>2575</v>
      </c>
      <c r="F205" s="307"/>
      <c r="G205" s="297" t="s">
        <v>1139</v>
      </c>
      <c r="H205" s="308" t="str">
        <f t="shared" si="21"/>
        <v>LS-L45P-1</v>
      </c>
      <c r="I205" s="309">
        <v>1</v>
      </c>
      <c r="J205" s="19"/>
      <c r="K205" s="19"/>
      <c r="L205" s="19">
        <v>1</v>
      </c>
      <c r="M205" s="19">
        <v>1</v>
      </c>
      <c r="Q205" s="19">
        <v>1</v>
      </c>
      <c r="U205" s="19">
        <v>1</v>
      </c>
    </row>
    <row r="206" spans="2:21" s="18" customFormat="1" outlineLevel="2">
      <c r="B206" s="297" t="s">
        <v>19</v>
      </c>
      <c r="C206" s="297" t="s">
        <v>1139</v>
      </c>
      <c r="D206" s="298"/>
      <c r="E206" s="306" t="s">
        <v>2576</v>
      </c>
      <c r="F206" s="307"/>
      <c r="G206" s="297" t="s">
        <v>1139</v>
      </c>
      <c r="H206" s="308" t="str">
        <f t="shared" si="21"/>
        <v>LS-L45P-1</v>
      </c>
      <c r="I206" s="309">
        <v>1</v>
      </c>
      <c r="J206" s="19"/>
      <c r="K206" s="19"/>
      <c r="L206" s="19">
        <v>1</v>
      </c>
      <c r="M206" s="19">
        <v>1</v>
      </c>
      <c r="Q206" s="19">
        <v>1</v>
      </c>
      <c r="U206" s="19">
        <v>1</v>
      </c>
    </row>
    <row r="207" spans="2:21" s="18" customFormat="1" outlineLevel="2">
      <c r="B207" s="297" t="s">
        <v>19</v>
      </c>
      <c r="C207" s="297" t="s">
        <v>1139</v>
      </c>
      <c r="D207" s="298"/>
      <c r="E207" s="306" t="s">
        <v>2577</v>
      </c>
      <c r="F207" s="307"/>
      <c r="G207" s="297" t="s">
        <v>1139</v>
      </c>
      <c r="H207" s="308" t="str">
        <f t="shared" si="21"/>
        <v>LS-L45P-1</v>
      </c>
      <c r="I207" s="309">
        <v>1</v>
      </c>
      <c r="J207" s="19"/>
      <c r="K207" s="19"/>
      <c r="L207" s="19">
        <v>1</v>
      </c>
      <c r="M207" s="19">
        <v>1</v>
      </c>
      <c r="Q207" s="19">
        <v>1</v>
      </c>
      <c r="U207" s="19">
        <v>1</v>
      </c>
    </row>
    <row r="208" spans="2:21" s="18" customFormat="1" outlineLevel="2">
      <c r="B208" s="297" t="s">
        <v>19</v>
      </c>
      <c r="C208" s="297" t="s">
        <v>1139</v>
      </c>
      <c r="D208" s="298"/>
      <c r="E208" s="306" t="s">
        <v>2578</v>
      </c>
      <c r="F208" s="307"/>
      <c r="G208" s="297" t="s">
        <v>1139</v>
      </c>
      <c r="H208" s="308" t="str">
        <f t="shared" si="21"/>
        <v>LS-L45P-1</v>
      </c>
      <c r="I208" s="309">
        <v>1</v>
      </c>
      <c r="J208" s="19"/>
      <c r="K208" s="19"/>
      <c r="L208" s="19">
        <v>1</v>
      </c>
      <c r="M208" s="19">
        <v>1</v>
      </c>
      <c r="Q208" s="19">
        <v>1</v>
      </c>
      <c r="U208" s="19">
        <v>1</v>
      </c>
    </row>
    <row r="209" spans="2:21" s="18" customFormat="1" outlineLevel="2">
      <c r="B209" s="297" t="s">
        <v>19</v>
      </c>
      <c r="C209" s="297" t="s">
        <v>1139</v>
      </c>
      <c r="D209" s="298"/>
      <c r="E209" s="306" t="s">
        <v>2579</v>
      </c>
      <c r="F209" s="307"/>
      <c r="G209" s="297" t="s">
        <v>1139</v>
      </c>
      <c r="H209" s="308" t="str">
        <f t="shared" si="21"/>
        <v>LS-L45P-1</v>
      </c>
      <c r="I209" s="309">
        <v>1</v>
      </c>
      <c r="J209" s="19"/>
      <c r="K209" s="19"/>
      <c r="L209" s="19">
        <v>1</v>
      </c>
      <c r="M209" s="19">
        <v>1</v>
      </c>
      <c r="Q209" s="19">
        <v>1</v>
      </c>
      <c r="U209" s="19">
        <v>1</v>
      </c>
    </row>
    <row r="210" spans="2:21" s="18" customFormat="1" outlineLevel="2">
      <c r="B210" s="297" t="s">
        <v>19</v>
      </c>
      <c r="C210" s="297" t="s">
        <v>1139</v>
      </c>
      <c r="D210" s="298"/>
      <c r="E210" s="306" t="s">
        <v>2580</v>
      </c>
      <c r="F210" s="307"/>
      <c r="G210" s="297" t="s">
        <v>1139</v>
      </c>
      <c r="H210" s="308" t="str">
        <f>CONCATENATE("LS-",G210,"-",I210)</f>
        <v>LS-L45P-1</v>
      </c>
      <c r="I210" s="309">
        <v>1</v>
      </c>
      <c r="J210" s="19"/>
      <c r="K210" s="19"/>
      <c r="L210" s="19">
        <v>1</v>
      </c>
      <c r="M210" s="19">
        <v>1</v>
      </c>
      <c r="Q210" s="19">
        <v>1</v>
      </c>
      <c r="U210" s="19">
        <v>1</v>
      </c>
    </row>
    <row r="211" spans="2:21" s="18" customFormat="1" outlineLevel="2">
      <c r="B211" s="297" t="s">
        <v>19</v>
      </c>
      <c r="C211" s="297" t="s">
        <v>1139</v>
      </c>
      <c r="D211" s="298"/>
      <c r="E211" s="306" t="s">
        <v>2581</v>
      </c>
      <c r="F211" s="307"/>
      <c r="G211" s="297" t="s">
        <v>1139</v>
      </c>
      <c r="H211" s="308" t="str">
        <f t="shared" ref="H211:H217" si="22">CONCATENATE("LS-",G211,"-",I211)</f>
        <v>LS-L45P-1</v>
      </c>
      <c r="I211" s="309">
        <v>1</v>
      </c>
      <c r="J211" s="19"/>
      <c r="K211" s="19"/>
      <c r="L211" s="19">
        <v>1</v>
      </c>
      <c r="M211" s="19">
        <v>1</v>
      </c>
      <c r="Q211" s="19">
        <v>1</v>
      </c>
      <c r="U211" s="19">
        <v>1</v>
      </c>
    </row>
    <row r="212" spans="2:21" s="18" customFormat="1" outlineLevel="2">
      <c r="B212" s="297" t="s">
        <v>19</v>
      </c>
      <c r="C212" s="297" t="s">
        <v>1139</v>
      </c>
      <c r="D212" s="298"/>
      <c r="E212" s="306" t="s">
        <v>2582</v>
      </c>
      <c r="F212" s="307"/>
      <c r="G212" s="297" t="s">
        <v>1139</v>
      </c>
      <c r="H212" s="308" t="str">
        <f t="shared" si="22"/>
        <v>LS-L45P-1</v>
      </c>
      <c r="I212" s="309">
        <v>1</v>
      </c>
      <c r="J212" s="19"/>
      <c r="K212" s="19"/>
      <c r="L212" s="19">
        <v>1</v>
      </c>
      <c r="M212" s="19">
        <v>1</v>
      </c>
      <c r="Q212" s="19">
        <v>1</v>
      </c>
      <c r="U212" s="19">
        <v>1</v>
      </c>
    </row>
    <row r="213" spans="2:21" s="18" customFormat="1" outlineLevel="2">
      <c r="B213" s="297" t="s">
        <v>19</v>
      </c>
      <c r="C213" s="297" t="s">
        <v>1139</v>
      </c>
      <c r="D213" s="298"/>
      <c r="E213" s="306" t="s">
        <v>2583</v>
      </c>
      <c r="F213" s="307"/>
      <c r="G213" s="297" t="s">
        <v>1139</v>
      </c>
      <c r="H213" s="308" t="str">
        <f t="shared" si="22"/>
        <v>LS-L45P-1</v>
      </c>
      <c r="I213" s="309">
        <v>1</v>
      </c>
      <c r="J213" s="19"/>
      <c r="K213" s="19"/>
      <c r="L213" s="19">
        <v>1</v>
      </c>
      <c r="M213" s="19">
        <v>1</v>
      </c>
      <c r="Q213" s="19">
        <v>1</v>
      </c>
      <c r="U213" s="19">
        <v>1</v>
      </c>
    </row>
    <row r="214" spans="2:21" s="18" customFormat="1" outlineLevel="2">
      <c r="B214" s="297" t="s">
        <v>19</v>
      </c>
      <c r="C214" s="297" t="s">
        <v>1139</v>
      </c>
      <c r="D214" s="298"/>
      <c r="E214" s="306" t="s">
        <v>2584</v>
      </c>
      <c r="F214" s="307"/>
      <c r="G214" s="297" t="s">
        <v>1139</v>
      </c>
      <c r="H214" s="308" t="str">
        <f t="shared" si="22"/>
        <v>LS-L45P-1</v>
      </c>
      <c r="I214" s="309">
        <v>1</v>
      </c>
      <c r="J214" s="19"/>
      <c r="K214" s="19"/>
      <c r="L214" s="19">
        <v>1</v>
      </c>
      <c r="M214" s="19">
        <v>1</v>
      </c>
      <c r="Q214" s="19">
        <v>1</v>
      </c>
      <c r="U214" s="19">
        <v>1</v>
      </c>
    </row>
    <row r="215" spans="2:21" s="18" customFormat="1" outlineLevel="2">
      <c r="B215" s="297" t="s">
        <v>19</v>
      </c>
      <c r="C215" s="297" t="s">
        <v>1139</v>
      </c>
      <c r="D215" s="298"/>
      <c r="E215" s="306" t="s">
        <v>2585</v>
      </c>
      <c r="F215" s="307"/>
      <c r="G215" s="297" t="s">
        <v>1139</v>
      </c>
      <c r="H215" s="308" t="str">
        <f t="shared" si="22"/>
        <v>LS-L45P-1</v>
      </c>
      <c r="I215" s="309">
        <v>1</v>
      </c>
      <c r="J215" s="19"/>
      <c r="K215" s="19"/>
      <c r="L215" s="19">
        <v>1</v>
      </c>
      <c r="M215" s="19">
        <v>1</v>
      </c>
      <c r="Q215" s="19">
        <v>1</v>
      </c>
      <c r="U215" s="19">
        <v>1</v>
      </c>
    </row>
    <row r="216" spans="2:21" s="18" customFormat="1" outlineLevel="2">
      <c r="B216" s="297" t="s">
        <v>19</v>
      </c>
      <c r="C216" s="297" t="s">
        <v>1139</v>
      </c>
      <c r="D216" s="298"/>
      <c r="E216" s="306" t="s">
        <v>2586</v>
      </c>
      <c r="F216" s="307"/>
      <c r="G216" s="297" t="s">
        <v>1139</v>
      </c>
      <c r="H216" s="308" t="str">
        <f t="shared" si="22"/>
        <v>LS-L45P-1</v>
      </c>
      <c r="I216" s="309">
        <v>1</v>
      </c>
      <c r="J216" s="19"/>
      <c r="K216" s="19"/>
      <c r="L216" s="19">
        <v>1</v>
      </c>
      <c r="M216" s="19">
        <v>1</v>
      </c>
      <c r="Q216" s="19">
        <v>1</v>
      </c>
      <c r="U216" s="19">
        <v>1</v>
      </c>
    </row>
    <row r="217" spans="2:21" s="18" customFormat="1" outlineLevel="2">
      <c r="B217" s="297" t="s">
        <v>19</v>
      </c>
      <c r="C217" s="297" t="s">
        <v>1139</v>
      </c>
      <c r="D217" s="298"/>
      <c r="E217" s="306" t="s">
        <v>2587</v>
      </c>
      <c r="F217" s="307"/>
      <c r="G217" s="297" t="s">
        <v>1139</v>
      </c>
      <c r="H217" s="308" t="str">
        <f t="shared" si="22"/>
        <v>LS-L45P-1</v>
      </c>
      <c r="I217" s="309">
        <v>1</v>
      </c>
      <c r="J217" s="19"/>
      <c r="K217" s="19"/>
      <c r="L217" s="19">
        <v>1</v>
      </c>
      <c r="M217" s="19">
        <v>1</v>
      </c>
      <c r="Q217" s="19">
        <v>1</v>
      </c>
      <c r="U217" s="19">
        <v>1</v>
      </c>
    </row>
    <row r="218" spans="2:21" s="18" customFormat="1" outlineLevel="2">
      <c r="B218" s="297" t="s">
        <v>19</v>
      </c>
      <c r="C218" s="297" t="s">
        <v>1139</v>
      </c>
      <c r="D218" s="298"/>
      <c r="E218" s="306" t="s">
        <v>2588</v>
      </c>
      <c r="F218" s="307"/>
      <c r="G218" s="297" t="s">
        <v>1139</v>
      </c>
      <c r="H218" s="308" t="str">
        <f>CONCATENATE("LS-",G218,"-",I218)</f>
        <v>LS-L45P-1</v>
      </c>
      <c r="I218" s="309">
        <v>1</v>
      </c>
      <c r="J218" s="19"/>
      <c r="K218" s="19"/>
      <c r="L218" s="19">
        <v>1</v>
      </c>
      <c r="M218" s="19">
        <v>1</v>
      </c>
      <c r="Q218" s="19">
        <v>1</v>
      </c>
      <c r="U218" s="19">
        <v>1</v>
      </c>
    </row>
    <row r="219" spans="2:21" s="18" customFormat="1" outlineLevel="2">
      <c r="B219" s="297" t="s">
        <v>19</v>
      </c>
      <c r="C219" s="297" t="s">
        <v>1139</v>
      </c>
      <c r="D219" s="298"/>
      <c r="E219" s="306" t="s">
        <v>2589</v>
      </c>
      <c r="F219" s="307"/>
      <c r="G219" s="297" t="s">
        <v>1139</v>
      </c>
      <c r="H219" s="308" t="str">
        <f t="shared" ref="H219:H225" si="23">CONCATENATE("LS-",G219,"-",I219)</f>
        <v>LS-L45P-1</v>
      </c>
      <c r="I219" s="309">
        <v>1</v>
      </c>
      <c r="J219" s="19"/>
      <c r="K219" s="19"/>
      <c r="L219" s="19">
        <v>1</v>
      </c>
      <c r="M219" s="19">
        <v>1</v>
      </c>
      <c r="Q219" s="19">
        <v>1</v>
      </c>
      <c r="U219" s="19">
        <v>1</v>
      </c>
    </row>
    <row r="220" spans="2:21" s="18" customFormat="1" outlineLevel="2">
      <c r="B220" s="297" t="s">
        <v>19</v>
      </c>
      <c r="C220" s="297" t="s">
        <v>1139</v>
      </c>
      <c r="D220" s="298"/>
      <c r="E220" s="306" t="s">
        <v>2590</v>
      </c>
      <c r="F220" s="307"/>
      <c r="G220" s="297" t="s">
        <v>1139</v>
      </c>
      <c r="H220" s="308" t="str">
        <f t="shared" si="23"/>
        <v>LS-L45P-1</v>
      </c>
      <c r="I220" s="309">
        <v>1</v>
      </c>
      <c r="J220" s="19"/>
      <c r="K220" s="19"/>
      <c r="L220" s="19">
        <v>1</v>
      </c>
      <c r="M220" s="19">
        <v>1</v>
      </c>
      <c r="Q220" s="19">
        <v>1</v>
      </c>
      <c r="U220" s="19">
        <v>1</v>
      </c>
    </row>
    <row r="221" spans="2:21" s="18" customFormat="1" outlineLevel="2">
      <c r="B221" s="297" t="s">
        <v>19</v>
      </c>
      <c r="C221" s="297" t="s">
        <v>1139</v>
      </c>
      <c r="D221" s="298"/>
      <c r="E221" s="306" t="s">
        <v>2591</v>
      </c>
      <c r="F221" s="307"/>
      <c r="G221" s="297" t="s">
        <v>1139</v>
      </c>
      <c r="H221" s="308" t="str">
        <f t="shared" si="23"/>
        <v>LS-L45P-1</v>
      </c>
      <c r="I221" s="309">
        <v>1</v>
      </c>
      <c r="J221" s="19"/>
      <c r="K221" s="19"/>
      <c r="L221" s="19">
        <v>1</v>
      </c>
      <c r="M221" s="19">
        <v>1</v>
      </c>
      <c r="Q221" s="19">
        <v>1</v>
      </c>
      <c r="U221" s="19">
        <v>1</v>
      </c>
    </row>
    <row r="222" spans="2:21" s="18" customFormat="1" outlineLevel="2">
      <c r="B222" s="297" t="s">
        <v>19</v>
      </c>
      <c r="C222" s="297" t="s">
        <v>1139</v>
      </c>
      <c r="D222" s="298"/>
      <c r="E222" s="306" t="s">
        <v>2592</v>
      </c>
      <c r="F222" s="307"/>
      <c r="G222" s="297" t="s">
        <v>1139</v>
      </c>
      <c r="H222" s="308" t="str">
        <f t="shared" si="23"/>
        <v>LS-L45P-1</v>
      </c>
      <c r="I222" s="309">
        <v>1</v>
      </c>
      <c r="J222" s="19"/>
      <c r="K222" s="19"/>
      <c r="L222" s="19">
        <v>1</v>
      </c>
      <c r="M222" s="19">
        <v>1</v>
      </c>
      <c r="Q222" s="19">
        <v>1</v>
      </c>
      <c r="U222" s="19">
        <v>1</v>
      </c>
    </row>
    <row r="223" spans="2:21" s="18" customFormat="1" outlineLevel="2">
      <c r="B223" s="297" t="s">
        <v>19</v>
      </c>
      <c r="C223" s="297" t="s">
        <v>1139</v>
      </c>
      <c r="D223" s="298"/>
      <c r="E223" s="306" t="s">
        <v>2593</v>
      </c>
      <c r="F223" s="307"/>
      <c r="G223" s="297" t="s">
        <v>1139</v>
      </c>
      <c r="H223" s="308" t="str">
        <f t="shared" si="23"/>
        <v>LS-L45P-1</v>
      </c>
      <c r="I223" s="309">
        <v>1</v>
      </c>
      <c r="J223" s="19"/>
      <c r="K223" s="19"/>
      <c r="L223" s="19">
        <v>1</v>
      </c>
      <c r="M223" s="19">
        <v>1</v>
      </c>
      <c r="Q223" s="19">
        <v>1</v>
      </c>
      <c r="U223" s="19">
        <v>1</v>
      </c>
    </row>
    <row r="224" spans="2:21" s="18" customFormat="1" outlineLevel="2">
      <c r="B224" s="297" t="s">
        <v>19</v>
      </c>
      <c r="C224" s="297" t="s">
        <v>1139</v>
      </c>
      <c r="D224" s="298"/>
      <c r="E224" s="306" t="s">
        <v>2594</v>
      </c>
      <c r="F224" s="307"/>
      <c r="G224" s="297" t="s">
        <v>1139</v>
      </c>
      <c r="H224" s="308" t="str">
        <f t="shared" si="23"/>
        <v>LS-L45P-1</v>
      </c>
      <c r="I224" s="309">
        <v>1</v>
      </c>
      <c r="J224" s="19"/>
      <c r="K224" s="19"/>
      <c r="L224" s="19">
        <v>1</v>
      </c>
      <c r="M224" s="19">
        <v>1</v>
      </c>
      <c r="Q224" s="19">
        <v>1</v>
      </c>
      <c r="U224" s="19">
        <v>1</v>
      </c>
    </row>
    <row r="225" spans="1:21" s="18" customFormat="1" outlineLevel="2">
      <c r="B225" s="297" t="s">
        <v>19</v>
      </c>
      <c r="C225" s="297" t="s">
        <v>1139</v>
      </c>
      <c r="D225" s="298"/>
      <c r="E225" s="306" t="s">
        <v>2595</v>
      </c>
      <c r="F225" s="307"/>
      <c r="G225" s="297" t="s">
        <v>1139</v>
      </c>
      <c r="H225" s="308" t="str">
        <f t="shared" si="23"/>
        <v>LS-L45P-1</v>
      </c>
      <c r="I225" s="309">
        <v>1</v>
      </c>
      <c r="J225" s="19"/>
      <c r="K225" s="19"/>
      <c r="L225" s="19">
        <v>1</v>
      </c>
      <c r="M225" s="19">
        <v>1</v>
      </c>
      <c r="Q225" s="19">
        <v>1</v>
      </c>
      <c r="U225" s="19">
        <v>1</v>
      </c>
    </row>
    <row r="226" spans="1:21" s="18" customFormat="1" outlineLevel="2">
      <c r="B226" s="297" t="s">
        <v>19</v>
      </c>
      <c r="C226" s="297" t="s">
        <v>1139</v>
      </c>
      <c r="D226" s="298"/>
      <c r="E226" s="306" t="s">
        <v>2596</v>
      </c>
      <c r="F226" s="307"/>
      <c r="G226" s="297" t="s">
        <v>1139</v>
      </c>
      <c r="H226" s="308" t="str">
        <f t="shared" ref="H226" si="24">CONCATENATE("LS-",G226,"-",I226)</f>
        <v>LS-L45P-1</v>
      </c>
      <c r="I226" s="309">
        <v>1</v>
      </c>
      <c r="J226" s="19"/>
      <c r="K226" s="19"/>
      <c r="L226" s="19">
        <v>1</v>
      </c>
      <c r="M226" s="19">
        <v>1</v>
      </c>
      <c r="Q226" s="19">
        <v>1</v>
      </c>
      <c r="U226" s="19">
        <v>1</v>
      </c>
    </row>
    <row r="227" spans="1:21" s="18" customFormat="1" outlineLevel="2">
      <c r="B227" s="297" t="s">
        <v>19</v>
      </c>
      <c r="C227" s="297" t="s">
        <v>1139</v>
      </c>
      <c r="D227" s="298"/>
      <c r="E227" s="306" t="s">
        <v>2597</v>
      </c>
      <c r="F227" s="307"/>
      <c r="G227" s="297" t="s">
        <v>1139</v>
      </c>
      <c r="H227" s="308" t="str">
        <f>CONCATENATE("LS-",G227,"-",I227)</f>
        <v>LS-L45P-1</v>
      </c>
      <c r="I227" s="309">
        <v>1</v>
      </c>
      <c r="J227" s="19"/>
      <c r="K227" s="19"/>
      <c r="L227" s="19">
        <v>1</v>
      </c>
      <c r="M227" s="19">
        <v>1</v>
      </c>
      <c r="Q227" s="19">
        <v>1</v>
      </c>
      <c r="U227" s="19">
        <v>1</v>
      </c>
    </row>
    <row r="228" spans="1:21" s="18" customFormat="1" ht="3" customHeight="1">
      <c r="A228" s="728"/>
      <c r="B228" s="297"/>
      <c r="C228" s="17"/>
      <c r="D228" s="317"/>
      <c r="E228" s="319"/>
      <c r="F228" s="307"/>
      <c r="G228" s="17"/>
      <c r="H228" s="314"/>
      <c r="I228" s="309"/>
      <c r="J228" s="19"/>
      <c r="K228" s="19"/>
      <c r="M228" s="19"/>
    </row>
    <row r="229" spans="1:21" s="18" customFormat="1" ht="14.25" customHeight="1">
      <c r="A229" s="725" t="s">
        <v>29</v>
      </c>
      <c r="B229" s="297"/>
      <c r="C229" s="297"/>
      <c r="D229" s="317"/>
      <c r="E229" s="319"/>
      <c r="F229" s="46"/>
      <c r="G229" s="41" t="s">
        <v>257</v>
      </c>
      <c r="H229" s="41" t="s">
        <v>258</v>
      </c>
      <c r="I229" s="42" t="s">
        <v>259</v>
      </c>
      <c r="J229" s="726"/>
      <c r="K229" s="726"/>
      <c r="L229" s="149"/>
      <c r="M229" s="19"/>
    </row>
    <row r="230" spans="1:21" s="18" customFormat="1" ht="14.25" customHeight="1" outlineLevel="1">
      <c r="B230" s="297" t="s">
        <v>19</v>
      </c>
      <c r="C230" s="297" t="s">
        <v>1313</v>
      </c>
      <c r="D230" s="298" t="s">
        <v>2598</v>
      </c>
      <c r="E230" s="306" t="s">
        <v>2599</v>
      </c>
      <c r="F230" s="307"/>
      <c r="G230" s="297" t="s">
        <v>1353</v>
      </c>
      <c r="H230" s="308" t="str">
        <f>CONCATENATE(B231,"-",G231,"-",I231)</f>
        <v>LS-AMN-3</v>
      </c>
      <c r="I230" s="309">
        <v>3</v>
      </c>
      <c r="J230" s="19">
        <v>1</v>
      </c>
      <c r="K230" s="19"/>
      <c r="L230" s="19"/>
      <c r="M230" s="19"/>
    </row>
    <row r="231" spans="1:21" s="18" customFormat="1" ht="14.25" customHeight="1" outlineLevel="1">
      <c r="B231" s="297" t="s">
        <v>19</v>
      </c>
      <c r="C231" s="297" t="s">
        <v>1313</v>
      </c>
      <c r="D231" s="298" t="s">
        <v>2600</v>
      </c>
      <c r="E231" s="306" t="s">
        <v>2601</v>
      </c>
      <c r="F231" s="307"/>
      <c r="G231" s="297" t="s">
        <v>1353</v>
      </c>
      <c r="H231" s="308" t="str">
        <f t="shared" ref="H231:H235" si="25">CONCATENATE(B231,"-",G231,"-",I231)</f>
        <v>LS-AMN-3</v>
      </c>
      <c r="I231" s="309">
        <v>3</v>
      </c>
      <c r="J231" s="19">
        <v>1</v>
      </c>
      <c r="K231" s="19"/>
      <c r="L231" s="19"/>
      <c r="M231" s="19"/>
    </row>
    <row r="232" spans="1:21" s="18" customFormat="1" ht="14.25" customHeight="1" outlineLevel="1">
      <c r="B232" s="297" t="s">
        <v>19</v>
      </c>
      <c r="C232" s="297" t="s">
        <v>1313</v>
      </c>
      <c r="D232" s="298" t="s">
        <v>2602</v>
      </c>
      <c r="E232" s="306" t="s">
        <v>2603</v>
      </c>
      <c r="F232" s="307"/>
      <c r="G232" s="297" t="s">
        <v>1353</v>
      </c>
      <c r="H232" s="308" t="str">
        <f t="shared" si="25"/>
        <v>LS-AMN-3</v>
      </c>
      <c r="I232" s="309">
        <v>3</v>
      </c>
      <c r="J232" s="19">
        <v>1</v>
      </c>
      <c r="K232" s="19"/>
      <c r="L232" s="19"/>
      <c r="M232" s="19"/>
    </row>
    <row r="233" spans="1:21" s="18" customFormat="1" ht="14.25" customHeight="1" outlineLevel="1">
      <c r="B233" s="297" t="s">
        <v>19</v>
      </c>
      <c r="C233" s="297" t="s">
        <v>1313</v>
      </c>
      <c r="D233" s="298" t="s">
        <v>2604</v>
      </c>
      <c r="E233" s="306" t="s">
        <v>2605</v>
      </c>
      <c r="F233" s="307"/>
      <c r="G233" s="297" t="s">
        <v>1353</v>
      </c>
      <c r="H233" s="308" t="str">
        <f t="shared" si="25"/>
        <v>LS-AMN-3</v>
      </c>
      <c r="I233" s="309">
        <v>3</v>
      </c>
      <c r="J233" s="19">
        <v>1</v>
      </c>
      <c r="K233" s="19"/>
      <c r="L233" s="19"/>
      <c r="M233" s="19"/>
    </row>
    <row r="234" spans="1:21" s="18" customFormat="1" ht="14.25" customHeight="1" outlineLevel="1">
      <c r="B234" s="297" t="s">
        <v>19</v>
      </c>
      <c r="C234" s="297" t="s">
        <v>1313</v>
      </c>
      <c r="D234" s="298" t="s">
        <v>2606</v>
      </c>
      <c r="E234" s="306" t="s">
        <v>2483</v>
      </c>
      <c r="F234" s="307"/>
      <c r="G234" s="297" t="s">
        <v>1353</v>
      </c>
      <c r="H234" s="308" t="str">
        <f t="shared" si="25"/>
        <v>LS-AMN-3</v>
      </c>
      <c r="I234" s="309">
        <v>3</v>
      </c>
      <c r="J234" s="19">
        <v>1</v>
      </c>
      <c r="K234" s="19"/>
      <c r="L234" s="19"/>
      <c r="M234" s="19"/>
    </row>
    <row r="235" spans="1:21" s="18" customFormat="1" ht="14.25" customHeight="1" outlineLevel="1">
      <c r="B235" s="297" t="s">
        <v>19</v>
      </c>
      <c r="C235" s="297" t="s">
        <v>1313</v>
      </c>
      <c r="D235" s="298" t="s">
        <v>2607</v>
      </c>
      <c r="E235" s="306" t="s">
        <v>2608</v>
      </c>
      <c r="F235" s="307"/>
      <c r="G235" s="297" t="s">
        <v>1353</v>
      </c>
      <c r="H235" s="308" t="str">
        <f t="shared" si="25"/>
        <v>LS-AMN-3</v>
      </c>
      <c r="I235" s="309">
        <v>3</v>
      </c>
      <c r="J235" s="19">
        <v>1</v>
      </c>
      <c r="K235" s="19"/>
      <c r="L235" s="19"/>
      <c r="M235" s="19"/>
    </row>
    <row r="236" spans="1:21" s="18" customFormat="1" ht="14.25" customHeight="1" outlineLevel="1">
      <c r="B236" s="297" t="s">
        <v>19</v>
      </c>
      <c r="C236" s="297" t="s">
        <v>1313</v>
      </c>
      <c r="D236" s="298" t="s">
        <v>2609</v>
      </c>
      <c r="E236" s="306" t="s">
        <v>2489</v>
      </c>
      <c r="F236" s="307"/>
      <c r="G236" s="297" t="s">
        <v>1353</v>
      </c>
      <c r="H236" s="308" t="str">
        <f>CONCATENATE(B232,"-",G236,"-",I236)</f>
        <v>LS-AMN-3</v>
      </c>
      <c r="I236" s="309">
        <v>3</v>
      </c>
      <c r="J236" s="19">
        <v>1</v>
      </c>
      <c r="K236" s="19"/>
      <c r="L236" s="19"/>
      <c r="M236" s="19"/>
    </row>
    <row r="237" spans="1:21" s="18" customFormat="1" ht="14.25" customHeight="1" outlineLevel="1">
      <c r="B237" s="297" t="s">
        <v>19</v>
      </c>
      <c r="C237" s="297" t="s">
        <v>1313</v>
      </c>
      <c r="D237" s="298" t="s">
        <v>2610</v>
      </c>
      <c r="E237" s="306" t="s">
        <v>2611</v>
      </c>
      <c r="F237" s="307"/>
      <c r="G237" s="297" t="s">
        <v>1353</v>
      </c>
      <c r="H237" s="308" t="str">
        <f>CONCATENATE(B233,"-",G237,"-",I237)</f>
        <v>LS-AMN-3</v>
      </c>
      <c r="I237" s="309">
        <v>3</v>
      </c>
      <c r="J237" s="19">
        <v>1</v>
      </c>
      <c r="K237" s="19"/>
      <c r="L237" s="19"/>
      <c r="M237" s="19"/>
    </row>
    <row r="238" spans="1:21" s="18" customFormat="1" ht="14.25" customHeight="1" outlineLevel="1">
      <c r="B238" s="297" t="s">
        <v>19</v>
      </c>
      <c r="C238" s="297" t="s">
        <v>1313</v>
      </c>
      <c r="D238" s="298" t="s">
        <v>2612</v>
      </c>
      <c r="E238" s="306" t="s">
        <v>2611</v>
      </c>
      <c r="F238" s="307"/>
      <c r="G238" s="297" t="s">
        <v>1353</v>
      </c>
      <c r="H238" s="308" t="str">
        <f>CONCATENATE(B239,"-",G239,"-",I239)</f>
        <v>LS-AMN-3</v>
      </c>
      <c r="I238" s="309">
        <v>3</v>
      </c>
      <c r="J238" s="19">
        <v>1</v>
      </c>
      <c r="K238" s="19"/>
      <c r="L238" s="19"/>
      <c r="M238" s="19"/>
    </row>
    <row r="239" spans="1:21" s="18" customFormat="1" ht="14.25" customHeight="1" outlineLevel="1">
      <c r="B239" s="297" t="s">
        <v>19</v>
      </c>
      <c r="C239" s="297" t="s">
        <v>1313</v>
      </c>
      <c r="D239" s="298" t="s">
        <v>2613</v>
      </c>
      <c r="E239" s="306" t="s">
        <v>2614</v>
      </c>
      <c r="F239" s="307"/>
      <c r="G239" s="297" t="s">
        <v>1353</v>
      </c>
      <c r="H239" s="308" t="str">
        <f t="shared" ref="H239:H243" si="26">CONCATENATE(B239,"-",G239,"-",I239)</f>
        <v>LS-AMN-3</v>
      </c>
      <c r="I239" s="309">
        <v>3</v>
      </c>
      <c r="J239" s="19">
        <v>1</v>
      </c>
      <c r="K239" s="19"/>
      <c r="L239" s="19"/>
      <c r="M239" s="19"/>
    </row>
    <row r="240" spans="1:21" s="18" customFormat="1" ht="14.25" customHeight="1" outlineLevel="1">
      <c r="B240" s="297" t="s">
        <v>19</v>
      </c>
      <c r="C240" s="297" t="s">
        <v>1313</v>
      </c>
      <c r="D240" s="298" t="s">
        <v>2615</v>
      </c>
      <c r="E240" s="306" t="s">
        <v>2616</v>
      </c>
      <c r="F240" s="307"/>
      <c r="G240" s="297" t="s">
        <v>1353</v>
      </c>
      <c r="H240" s="308" t="str">
        <f t="shared" si="26"/>
        <v>LS-AMN-3</v>
      </c>
      <c r="I240" s="309">
        <v>3</v>
      </c>
      <c r="J240" s="19">
        <v>1</v>
      </c>
      <c r="K240" s="19"/>
      <c r="L240" s="19"/>
      <c r="M240" s="19"/>
    </row>
    <row r="241" spans="1:19" s="18" customFormat="1" ht="14.25" customHeight="1" outlineLevel="1">
      <c r="B241" s="297" t="s">
        <v>19</v>
      </c>
      <c r="C241" s="297" t="s">
        <v>1313</v>
      </c>
      <c r="D241" s="298" t="s">
        <v>2617</v>
      </c>
      <c r="E241" s="306" t="s">
        <v>2618</v>
      </c>
      <c r="F241" s="307"/>
      <c r="G241" s="297" t="s">
        <v>1353</v>
      </c>
      <c r="H241" s="308" t="str">
        <f t="shared" si="26"/>
        <v>LS-AMN-3</v>
      </c>
      <c r="I241" s="309">
        <v>3</v>
      </c>
      <c r="J241" s="19">
        <v>1</v>
      </c>
      <c r="K241" s="19"/>
      <c r="L241" s="19"/>
      <c r="M241" s="19"/>
    </row>
    <row r="242" spans="1:19" s="18" customFormat="1" ht="14.25" customHeight="1" outlineLevel="1">
      <c r="B242" s="297" t="s">
        <v>19</v>
      </c>
      <c r="C242" s="297" t="s">
        <v>1313</v>
      </c>
      <c r="D242" s="298" t="s">
        <v>2619</v>
      </c>
      <c r="E242" s="306" t="s">
        <v>2620</v>
      </c>
      <c r="F242" s="307"/>
      <c r="G242" s="297" t="s">
        <v>1353</v>
      </c>
      <c r="H242" s="308" t="str">
        <f t="shared" si="26"/>
        <v>LS-AMN-3</v>
      </c>
      <c r="I242" s="309">
        <v>3</v>
      </c>
      <c r="J242" s="19">
        <v>1</v>
      </c>
      <c r="K242" s="19"/>
      <c r="L242" s="19"/>
      <c r="M242" s="19"/>
    </row>
    <row r="243" spans="1:19" s="18" customFormat="1" ht="14.25" customHeight="1" outlineLevel="1">
      <c r="B243" s="297" t="s">
        <v>19</v>
      </c>
      <c r="C243" s="297" t="s">
        <v>1313</v>
      </c>
      <c r="D243" s="298" t="s">
        <v>2621</v>
      </c>
      <c r="E243" s="306" t="s">
        <v>2622</v>
      </c>
      <c r="F243" s="307"/>
      <c r="G243" s="297" t="s">
        <v>1353</v>
      </c>
      <c r="H243" s="308" t="str">
        <f t="shared" si="26"/>
        <v>LS-AMN-3</v>
      </c>
      <c r="I243" s="309">
        <v>3</v>
      </c>
      <c r="J243" s="19">
        <v>1</v>
      </c>
      <c r="K243" s="19"/>
      <c r="L243" s="19"/>
      <c r="M243" s="19"/>
    </row>
    <row r="244" spans="1:19" s="18" customFormat="1" ht="14.25" customHeight="1" outlineLevel="1">
      <c r="B244" s="297" t="s">
        <v>19</v>
      </c>
      <c r="C244" s="297" t="s">
        <v>1313</v>
      </c>
      <c r="D244" s="298" t="s">
        <v>2623</v>
      </c>
      <c r="E244" s="306" t="s">
        <v>2624</v>
      </c>
      <c r="F244" s="307"/>
      <c r="G244" s="297" t="s">
        <v>1353</v>
      </c>
      <c r="H244" s="308" t="str">
        <f>CONCATENATE(B240,"-",G244,"-",I244)</f>
        <v>LS-AMN-3</v>
      </c>
      <c r="I244" s="309">
        <v>3</v>
      </c>
      <c r="J244" s="19">
        <v>1</v>
      </c>
      <c r="K244" s="19"/>
      <c r="L244" s="19"/>
      <c r="M244" s="19"/>
    </row>
    <row r="245" spans="1:19" s="18" customFormat="1" ht="14.25" customHeight="1" outlineLevel="1">
      <c r="B245" s="297" t="s">
        <v>19</v>
      </c>
      <c r="C245" s="297" t="s">
        <v>1313</v>
      </c>
      <c r="D245" s="298" t="s">
        <v>2623</v>
      </c>
      <c r="E245" s="306" t="s">
        <v>213</v>
      </c>
      <c r="F245" s="307"/>
      <c r="G245" s="297" t="s">
        <v>1353</v>
      </c>
      <c r="H245" s="308" t="str">
        <f>CONCATENATE(B241,"-",G245,"-",I245)</f>
        <v>LS-AMN-2</v>
      </c>
      <c r="I245" s="309">
        <v>2</v>
      </c>
      <c r="J245" s="19">
        <v>1</v>
      </c>
      <c r="K245" s="19"/>
      <c r="L245" s="19"/>
      <c r="M245" s="19"/>
    </row>
    <row r="246" spans="1:19" s="18" customFormat="1" ht="3" customHeight="1">
      <c r="A246" s="728"/>
      <c r="B246" s="297"/>
      <c r="C246" s="17"/>
      <c r="D246" s="317"/>
      <c r="E246" s="319"/>
      <c r="F246" s="307"/>
      <c r="G246" s="17"/>
      <c r="H246" s="314"/>
      <c r="I246" s="309"/>
      <c r="J246" s="19"/>
      <c r="K246" s="19"/>
      <c r="M246" s="19"/>
    </row>
    <row r="247" spans="1:19" s="18" customFormat="1" ht="14.25" customHeight="1">
      <c r="A247" s="730" t="s">
        <v>217</v>
      </c>
      <c r="B247" s="297"/>
      <c r="C247" s="297"/>
      <c r="D247" s="20"/>
      <c r="E247" s="730"/>
      <c r="F247" s="307"/>
      <c r="G247" s="17"/>
      <c r="H247" s="314"/>
      <c r="I247" s="309"/>
      <c r="J247" s="724"/>
      <c r="K247" s="19"/>
      <c r="L247" s="19"/>
      <c r="M247" s="19"/>
    </row>
    <row r="248" spans="1:19" s="18" customFormat="1" ht="14.25" customHeight="1" outlineLevel="1">
      <c r="A248" s="730"/>
      <c r="B248" s="729" t="s">
        <v>2625</v>
      </c>
      <c r="C248" s="297"/>
      <c r="D248" s="20"/>
      <c r="E248" s="730"/>
      <c r="F248" s="307"/>
      <c r="G248" s="17"/>
      <c r="H248" s="314"/>
      <c r="I248" s="309"/>
      <c r="J248" s="724"/>
      <c r="K248" s="19"/>
      <c r="L248" s="19"/>
      <c r="M248" s="19"/>
    </row>
    <row r="249" spans="1:19" s="18" customFormat="1" ht="14.25" customHeight="1" outlineLevel="1">
      <c r="B249" s="297" t="s">
        <v>19</v>
      </c>
      <c r="C249" s="297" t="s">
        <v>1313</v>
      </c>
      <c r="D249" s="298" t="s">
        <v>2626</v>
      </c>
      <c r="E249" s="306" t="s">
        <v>2627</v>
      </c>
      <c r="F249" s="307"/>
      <c r="G249" s="297" t="s">
        <v>1353</v>
      </c>
      <c r="H249" s="308" t="str">
        <f t="shared" ref="H249:H252" si="27">CONCATENATE(B249,"-",G249,"-",I249)</f>
        <v>LS-AMN-4</v>
      </c>
      <c r="I249" s="309">
        <v>4</v>
      </c>
      <c r="J249" s="19"/>
      <c r="K249" s="19"/>
      <c r="L249" s="19">
        <v>1</v>
      </c>
      <c r="M249" s="19">
        <v>1</v>
      </c>
      <c r="Q249" s="19">
        <v>1</v>
      </c>
      <c r="S249" s="19">
        <v>1</v>
      </c>
    </row>
    <row r="250" spans="1:19" s="18" customFormat="1" ht="14.25" customHeight="1" outlineLevel="1">
      <c r="B250" s="297" t="s">
        <v>19</v>
      </c>
      <c r="C250" s="297" t="s">
        <v>1313</v>
      </c>
      <c r="D250" s="298" t="s">
        <v>2628</v>
      </c>
      <c r="E250" s="306" t="s">
        <v>2456</v>
      </c>
      <c r="F250" s="307"/>
      <c r="G250" s="297" t="s">
        <v>1353</v>
      </c>
      <c r="H250" s="308" t="str">
        <f t="shared" si="27"/>
        <v>LS-AMN-4</v>
      </c>
      <c r="I250" s="309">
        <v>4</v>
      </c>
      <c r="J250" s="19"/>
      <c r="K250" s="19"/>
      <c r="L250" s="19">
        <v>1</v>
      </c>
      <c r="M250" s="19">
        <v>1</v>
      </c>
      <c r="Q250" s="19">
        <v>1</v>
      </c>
      <c r="S250" s="19">
        <v>1</v>
      </c>
    </row>
    <row r="251" spans="1:19" s="18" customFormat="1" ht="14.25" customHeight="1" outlineLevel="1">
      <c r="B251" s="297" t="s">
        <v>19</v>
      </c>
      <c r="C251" s="297" t="s">
        <v>1313</v>
      </c>
      <c r="D251" s="298" t="s">
        <v>2629</v>
      </c>
      <c r="E251" s="306" t="s">
        <v>2630</v>
      </c>
      <c r="F251" s="307"/>
      <c r="G251" s="297" t="s">
        <v>1353</v>
      </c>
      <c r="H251" s="308" t="str">
        <f t="shared" si="27"/>
        <v>LS-AMN-4</v>
      </c>
      <c r="I251" s="309">
        <v>4</v>
      </c>
      <c r="J251" s="19"/>
      <c r="K251" s="19"/>
      <c r="L251" s="19">
        <v>1</v>
      </c>
      <c r="M251" s="19">
        <v>1</v>
      </c>
      <c r="Q251" s="19">
        <v>1</v>
      </c>
      <c r="S251" s="19">
        <v>1</v>
      </c>
    </row>
    <row r="252" spans="1:19" s="18" customFormat="1" ht="14.25" customHeight="1" outlineLevel="1">
      <c r="B252" s="297" t="s">
        <v>19</v>
      </c>
      <c r="C252" s="297" t="s">
        <v>1313</v>
      </c>
      <c r="D252" s="298" t="s">
        <v>2631</v>
      </c>
      <c r="E252" s="306" t="s">
        <v>2632</v>
      </c>
      <c r="F252" s="307"/>
      <c r="G252" s="297" t="s">
        <v>1353</v>
      </c>
      <c r="H252" s="308" t="str">
        <f t="shared" si="27"/>
        <v>LS-AMN-4</v>
      </c>
      <c r="I252" s="309">
        <v>4</v>
      </c>
      <c r="J252" s="19"/>
      <c r="K252" s="19"/>
      <c r="L252" s="19">
        <v>1</v>
      </c>
      <c r="M252" s="19">
        <v>1</v>
      </c>
      <c r="Q252" s="19">
        <v>1</v>
      </c>
      <c r="S252" s="19">
        <v>1</v>
      </c>
    </row>
    <row r="253" spans="1:19" s="18" customFormat="1" ht="14.25" customHeight="1" outlineLevel="1">
      <c r="B253" s="297" t="s">
        <v>19</v>
      </c>
      <c r="C253" s="297" t="s">
        <v>1313</v>
      </c>
      <c r="D253" s="298" t="s">
        <v>2633</v>
      </c>
      <c r="E253" s="306" t="s">
        <v>2634</v>
      </c>
      <c r="F253" s="307"/>
      <c r="G253" s="297" t="s">
        <v>1353</v>
      </c>
      <c r="H253" s="308" t="str">
        <f>CONCATENATE(B249,"-",G253,"-",I253)</f>
        <v>LS-AMN-4</v>
      </c>
      <c r="I253" s="309">
        <v>4</v>
      </c>
      <c r="J253" s="19"/>
      <c r="K253" s="19"/>
      <c r="L253" s="19">
        <v>1</v>
      </c>
      <c r="M253" s="19">
        <v>1</v>
      </c>
      <c r="Q253" s="19">
        <v>1</v>
      </c>
      <c r="S253" s="19">
        <v>1</v>
      </c>
    </row>
    <row r="254" spans="1:19" s="18" customFormat="1" ht="14.25" customHeight="1" outlineLevel="1">
      <c r="B254" s="297" t="s">
        <v>19</v>
      </c>
      <c r="C254" s="297" t="s">
        <v>1313</v>
      </c>
      <c r="D254" s="298" t="s">
        <v>2635</v>
      </c>
      <c r="E254" s="306" t="s">
        <v>2460</v>
      </c>
      <c r="F254" s="307"/>
      <c r="G254" s="297" t="s">
        <v>1353</v>
      </c>
      <c r="H254" s="308" t="str">
        <f>CONCATENATE(B250,"-",G254,"-",I254)</f>
        <v>LS-AMN-4</v>
      </c>
      <c r="I254" s="309">
        <v>4</v>
      </c>
      <c r="J254" s="19"/>
      <c r="K254" s="19"/>
      <c r="L254" s="19">
        <v>1</v>
      </c>
      <c r="M254" s="19">
        <v>1</v>
      </c>
      <c r="Q254" s="19">
        <v>1</v>
      </c>
      <c r="S254" s="19">
        <v>1</v>
      </c>
    </row>
    <row r="255" spans="1:19" s="18" customFormat="1" ht="14.25" customHeight="1" outlineLevel="1">
      <c r="B255" s="297" t="s">
        <v>19</v>
      </c>
      <c r="C255" s="297" t="s">
        <v>1313</v>
      </c>
      <c r="D255" s="298" t="s">
        <v>2636</v>
      </c>
      <c r="E255" s="306" t="s">
        <v>2637</v>
      </c>
      <c r="F255" s="307"/>
      <c r="G255" s="297" t="s">
        <v>1353</v>
      </c>
      <c r="H255" s="308" t="str">
        <f>CONCATENATE(B256,"-",G256,"-",I256)</f>
        <v>LS-AMN-4</v>
      </c>
      <c r="I255" s="309">
        <v>4</v>
      </c>
      <c r="J255" s="19"/>
      <c r="K255" s="19"/>
      <c r="L255" s="19">
        <v>1</v>
      </c>
      <c r="M255" s="19">
        <v>1</v>
      </c>
      <c r="Q255" s="19">
        <v>1</v>
      </c>
      <c r="S255" s="19">
        <v>1</v>
      </c>
    </row>
    <row r="256" spans="1:19" s="18" customFormat="1" ht="14.25" customHeight="1" outlineLevel="1">
      <c r="B256" s="297" t="s">
        <v>19</v>
      </c>
      <c r="C256" s="297" t="s">
        <v>1313</v>
      </c>
      <c r="D256" s="298" t="s">
        <v>2638</v>
      </c>
      <c r="E256" s="306" t="s">
        <v>2639</v>
      </c>
      <c r="F256" s="307"/>
      <c r="G256" s="297" t="s">
        <v>1353</v>
      </c>
      <c r="H256" s="308" t="str">
        <f t="shared" ref="H256:H260" si="28">CONCATENATE(B256,"-",G256,"-",I256)</f>
        <v>LS-AMN-4</v>
      </c>
      <c r="I256" s="309">
        <v>4</v>
      </c>
      <c r="J256" s="19"/>
      <c r="K256" s="19"/>
      <c r="L256" s="19">
        <v>1</v>
      </c>
      <c r="M256" s="19">
        <v>1</v>
      </c>
      <c r="Q256" s="19">
        <v>1</v>
      </c>
      <c r="S256" s="19">
        <v>1</v>
      </c>
    </row>
    <row r="257" spans="1:21" s="18" customFormat="1" ht="14.25" customHeight="1" outlineLevel="1">
      <c r="B257" s="297" t="s">
        <v>19</v>
      </c>
      <c r="C257" s="297" t="s">
        <v>1313</v>
      </c>
      <c r="D257" s="298" t="s">
        <v>2640</v>
      </c>
      <c r="E257" s="306" t="s">
        <v>2641</v>
      </c>
      <c r="F257" s="307"/>
      <c r="G257" s="297" t="s">
        <v>1353</v>
      </c>
      <c r="H257" s="308" t="str">
        <f t="shared" si="28"/>
        <v>LS-AMN-4</v>
      </c>
      <c r="I257" s="309">
        <v>4</v>
      </c>
      <c r="J257" s="19"/>
      <c r="K257" s="19"/>
      <c r="L257" s="19">
        <v>1</v>
      </c>
      <c r="M257" s="19">
        <v>1</v>
      </c>
      <c r="Q257" s="19">
        <v>1</v>
      </c>
      <c r="S257" s="19">
        <v>1</v>
      </c>
    </row>
    <row r="258" spans="1:21" s="18" customFormat="1" ht="14.25" customHeight="1" outlineLevel="1">
      <c r="B258" s="297" t="s">
        <v>19</v>
      </c>
      <c r="C258" s="297" t="s">
        <v>1313</v>
      </c>
      <c r="D258" s="298" t="s">
        <v>2642</v>
      </c>
      <c r="E258" s="306" t="s">
        <v>2465</v>
      </c>
      <c r="F258" s="307"/>
      <c r="G258" s="297" t="s">
        <v>1353</v>
      </c>
      <c r="H258" s="308" t="str">
        <f t="shared" si="28"/>
        <v>LS-AMN-4</v>
      </c>
      <c r="I258" s="309">
        <v>4</v>
      </c>
      <c r="J258" s="19"/>
      <c r="K258" s="19"/>
      <c r="L258" s="19">
        <v>1</v>
      </c>
      <c r="M258" s="19">
        <v>1</v>
      </c>
      <c r="Q258" s="19">
        <v>1</v>
      </c>
      <c r="S258" s="19">
        <v>1</v>
      </c>
    </row>
    <row r="259" spans="1:21" s="18" customFormat="1" ht="14.25" customHeight="1" outlineLevel="1">
      <c r="B259" s="297" t="s">
        <v>19</v>
      </c>
      <c r="C259" s="297" t="s">
        <v>1313</v>
      </c>
      <c r="D259" s="298" t="s">
        <v>2643</v>
      </c>
      <c r="E259" s="306" t="s">
        <v>2644</v>
      </c>
      <c r="F259" s="307"/>
      <c r="G259" s="297" t="s">
        <v>1353</v>
      </c>
      <c r="H259" s="308" t="str">
        <f t="shared" si="28"/>
        <v>LS-AMN-4</v>
      </c>
      <c r="I259" s="309">
        <v>4</v>
      </c>
      <c r="J259" s="19"/>
      <c r="K259" s="19"/>
      <c r="L259" s="19">
        <v>1</v>
      </c>
      <c r="M259" s="19">
        <v>1</v>
      </c>
      <c r="Q259" s="19">
        <v>1</v>
      </c>
      <c r="S259" s="19">
        <v>1</v>
      </c>
    </row>
    <row r="260" spans="1:21" s="18" customFormat="1" ht="14.25" customHeight="1" outlineLevel="1">
      <c r="B260" s="297" t="s">
        <v>19</v>
      </c>
      <c r="C260" s="297" t="s">
        <v>1313</v>
      </c>
      <c r="D260" s="298" t="s">
        <v>2645</v>
      </c>
      <c r="E260" s="306" t="s">
        <v>2646</v>
      </c>
      <c r="F260" s="307"/>
      <c r="G260" s="297" t="s">
        <v>1353</v>
      </c>
      <c r="H260" s="308" t="str">
        <f t="shared" si="28"/>
        <v>LS-AMN-4</v>
      </c>
      <c r="I260" s="309">
        <v>4</v>
      </c>
      <c r="J260" s="19"/>
      <c r="K260" s="19"/>
      <c r="L260" s="19">
        <v>1</v>
      </c>
      <c r="M260" s="19">
        <v>1</v>
      </c>
      <c r="Q260" s="19">
        <v>1</v>
      </c>
      <c r="S260" s="19">
        <v>1</v>
      </c>
    </row>
    <row r="261" spans="1:21" s="18" customFormat="1" ht="14.25" customHeight="1" outlineLevel="1">
      <c r="B261" s="297" t="s">
        <v>19</v>
      </c>
      <c r="C261" s="297" t="s">
        <v>1313</v>
      </c>
      <c r="D261" s="298" t="s">
        <v>2647</v>
      </c>
      <c r="E261" s="306" t="s">
        <v>2648</v>
      </c>
      <c r="F261" s="307"/>
      <c r="G261" s="297" t="s">
        <v>1353</v>
      </c>
      <c r="H261" s="308" t="str">
        <f>CONCATENATE(B257,"-",G261,"-",I261)</f>
        <v>LS-AMN-4</v>
      </c>
      <c r="I261" s="309">
        <v>4</v>
      </c>
      <c r="J261" s="19"/>
      <c r="K261" s="19"/>
      <c r="L261" s="19">
        <v>1</v>
      </c>
      <c r="M261" s="19">
        <v>1</v>
      </c>
      <c r="Q261" s="19">
        <v>1</v>
      </c>
      <c r="S261" s="19">
        <v>1</v>
      </c>
    </row>
    <row r="262" spans="1:21" s="18" customFormat="1" ht="14.25" customHeight="1" outlineLevel="1">
      <c r="B262" s="297" t="s">
        <v>19</v>
      </c>
      <c r="C262" s="297" t="s">
        <v>1313</v>
      </c>
      <c r="D262" s="298" t="s">
        <v>2649</v>
      </c>
      <c r="E262" s="306" t="s">
        <v>2650</v>
      </c>
      <c r="F262" s="307"/>
      <c r="G262" s="297" t="s">
        <v>1353</v>
      </c>
      <c r="H262" s="308" t="str">
        <f>CONCATENATE(B263,"-",G263,"-",I263)</f>
        <v>LS-AMN-4</v>
      </c>
      <c r="I262" s="309">
        <v>4</v>
      </c>
      <c r="J262" s="19"/>
      <c r="K262" s="19"/>
      <c r="L262" s="19">
        <v>1</v>
      </c>
      <c r="M262" s="19">
        <v>1</v>
      </c>
      <c r="Q262" s="19">
        <v>1</v>
      </c>
      <c r="S262" s="19">
        <v>1</v>
      </c>
    </row>
    <row r="263" spans="1:21" s="18" customFormat="1" ht="14.25" customHeight="1" outlineLevel="1">
      <c r="B263" s="297" t="s">
        <v>19</v>
      </c>
      <c r="C263" s="297" t="s">
        <v>1313</v>
      </c>
      <c r="D263" s="298" t="s">
        <v>2651</v>
      </c>
      <c r="E263" s="306" t="s">
        <v>2652</v>
      </c>
      <c r="F263" s="307"/>
      <c r="G263" s="297" t="s">
        <v>1353</v>
      </c>
      <c r="H263" s="308" t="str">
        <f t="shared" ref="H263:H286" si="29">CONCATENATE(B263,"-",G263,"-",I263)</f>
        <v>LS-AMN-4</v>
      </c>
      <c r="I263" s="309">
        <v>4</v>
      </c>
      <c r="J263" s="19"/>
      <c r="K263" s="19"/>
      <c r="L263" s="19">
        <v>1</v>
      </c>
      <c r="M263" s="19">
        <v>1</v>
      </c>
      <c r="Q263" s="19">
        <v>1</v>
      </c>
      <c r="S263" s="19">
        <v>1</v>
      </c>
    </row>
    <row r="264" spans="1:21" s="18" customFormat="1" ht="14.25" customHeight="1" outlineLevel="1">
      <c r="B264" s="297" t="s">
        <v>19</v>
      </c>
      <c r="C264" s="297" t="s">
        <v>1313</v>
      </c>
      <c r="D264" s="298" t="s">
        <v>2653</v>
      </c>
      <c r="E264" s="306" t="s">
        <v>2654</v>
      </c>
      <c r="F264" s="307"/>
      <c r="G264" s="297" t="s">
        <v>1353</v>
      </c>
      <c r="H264" s="308" t="str">
        <f t="shared" si="29"/>
        <v>LS-AMN-4</v>
      </c>
      <c r="I264" s="309">
        <v>4</v>
      </c>
      <c r="J264" s="19"/>
      <c r="K264" s="19"/>
      <c r="L264" s="19">
        <v>1</v>
      </c>
      <c r="M264" s="19">
        <v>1</v>
      </c>
      <c r="Q264" s="19">
        <v>1</v>
      </c>
      <c r="S264" s="19">
        <v>1</v>
      </c>
    </row>
    <row r="265" spans="1:21" s="18" customFormat="1" ht="14.25" customHeight="1" outlineLevel="1">
      <c r="B265" s="297" t="s">
        <v>19</v>
      </c>
      <c r="C265" s="297" t="s">
        <v>1313</v>
      </c>
      <c r="D265" s="298" t="s">
        <v>2655</v>
      </c>
      <c r="E265" s="306" t="s">
        <v>2656</v>
      </c>
      <c r="F265" s="307"/>
      <c r="G265" s="297" t="s">
        <v>1353</v>
      </c>
      <c r="H265" s="308" t="str">
        <f t="shared" si="29"/>
        <v>LS-AMN-4</v>
      </c>
      <c r="I265" s="309">
        <v>4</v>
      </c>
      <c r="J265" s="19"/>
      <c r="K265" s="19"/>
      <c r="L265" s="19">
        <v>1</v>
      </c>
      <c r="M265" s="19">
        <v>1</v>
      </c>
      <c r="Q265" s="19">
        <v>1</v>
      </c>
      <c r="S265" s="19">
        <v>1</v>
      </c>
    </row>
    <row r="266" spans="1:21" s="18" customFormat="1" ht="14.25" customHeight="1" outlineLevel="1">
      <c r="A266" s="730"/>
      <c r="B266" s="729" t="s">
        <v>2657</v>
      </c>
      <c r="C266" s="297"/>
      <c r="D266" s="20"/>
      <c r="E266" s="730"/>
      <c r="F266" s="307"/>
      <c r="G266" s="17"/>
      <c r="H266" s="314"/>
      <c r="I266" s="309"/>
      <c r="J266" s="724"/>
      <c r="K266" s="19"/>
      <c r="L266" s="19"/>
      <c r="M266" s="19"/>
    </row>
    <row r="267" spans="1:21" s="18" customFormat="1" ht="14.25" customHeight="1" outlineLevel="1">
      <c r="B267" s="297" t="s">
        <v>19</v>
      </c>
      <c r="C267" s="297" t="s">
        <v>1313</v>
      </c>
      <c r="D267" s="298" t="s">
        <v>2626</v>
      </c>
      <c r="E267" s="306" t="s">
        <v>2627</v>
      </c>
      <c r="F267" s="307"/>
      <c r="G267" s="297" t="s">
        <v>1353</v>
      </c>
      <c r="H267" s="308" t="str">
        <f t="shared" ref="H267:H270" si="30">CONCATENATE(B267,"-",G267,"-",I267)</f>
        <v>LS-AMN-4</v>
      </c>
      <c r="I267" s="309">
        <v>4</v>
      </c>
      <c r="J267" s="19"/>
      <c r="K267" s="19"/>
      <c r="L267" s="19">
        <v>1</v>
      </c>
      <c r="M267" s="19">
        <v>1</v>
      </c>
      <c r="Q267" s="19">
        <v>1</v>
      </c>
      <c r="U267" s="19">
        <v>1</v>
      </c>
    </row>
    <row r="268" spans="1:21" s="18" customFormat="1" ht="14.25" customHeight="1" outlineLevel="1">
      <c r="B268" s="297" t="s">
        <v>19</v>
      </c>
      <c r="C268" s="297" t="s">
        <v>1313</v>
      </c>
      <c r="D268" s="298" t="s">
        <v>2628</v>
      </c>
      <c r="E268" s="306" t="s">
        <v>2456</v>
      </c>
      <c r="F268" s="307"/>
      <c r="G268" s="297" t="s">
        <v>1353</v>
      </c>
      <c r="H268" s="308" t="str">
        <f t="shared" si="30"/>
        <v>LS-AMN-4</v>
      </c>
      <c r="I268" s="309">
        <v>4</v>
      </c>
      <c r="J268" s="19"/>
      <c r="K268" s="19"/>
      <c r="L268" s="19">
        <v>1</v>
      </c>
      <c r="M268" s="19">
        <v>1</v>
      </c>
      <c r="Q268" s="19">
        <v>1</v>
      </c>
      <c r="U268" s="19">
        <v>1</v>
      </c>
    </row>
    <row r="269" spans="1:21" s="18" customFormat="1" ht="14.25" customHeight="1" outlineLevel="1">
      <c r="B269" s="297" t="s">
        <v>19</v>
      </c>
      <c r="C269" s="297" t="s">
        <v>1313</v>
      </c>
      <c r="D269" s="298" t="s">
        <v>2629</v>
      </c>
      <c r="E269" s="306" t="s">
        <v>2630</v>
      </c>
      <c r="F269" s="307"/>
      <c r="G269" s="297" t="s">
        <v>1353</v>
      </c>
      <c r="H269" s="308" t="str">
        <f t="shared" si="30"/>
        <v>LS-AMN-4</v>
      </c>
      <c r="I269" s="309">
        <v>4</v>
      </c>
      <c r="J269" s="19"/>
      <c r="K269" s="19"/>
      <c r="L269" s="19">
        <v>1</v>
      </c>
      <c r="M269" s="19">
        <v>1</v>
      </c>
      <c r="Q269" s="19">
        <v>1</v>
      </c>
      <c r="U269" s="19">
        <v>1</v>
      </c>
    </row>
    <row r="270" spans="1:21" s="18" customFormat="1" ht="14.25" customHeight="1" outlineLevel="1">
      <c r="B270" s="297" t="s">
        <v>19</v>
      </c>
      <c r="C270" s="297" t="s">
        <v>1313</v>
      </c>
      <c r="D270" s="298" t="s">
        <v>2631</v>
      </c>
      <c r="E270" s="306" t="s">
        <v>2632</v>
      </c>
      <c r="F270" s="307"/>
      <c r="G270" s="297" t="s">
        <v>1353</v>
      </c>
      <c r="H270" s="308" t="str">
        <f t="shared" si="30"/>
        <v>LS-AMN-4</v>
      </c>
      <c r="I270" s="309">
        <v>4</v>
      </c>
      <c r="J270" s="19"/>
      <c r="K270" s="19"/>
      <c r="L270" s="19">
        <v>1</v>
      </c>
      <c r="M270" s="19">
        <v>1</v>
      </c>
      <c r="Q270" s="19">
        <v>1</v>
      </c>
      <c r="U270" s="19">
        <v>1</v>
      </c>
    </row>
    <row r="271" spans="1:21" s="18" customFormat="1" ht="14.25" customHeight="1" outlineLevel="1">
      <c r="B271" s="297" t="s">
        <v>19</v>
      </c>
      <c r="C271" s="297" t="s">
        <v>1313</v>
      </c>
      <c r="D271" s="298" t="s">
        <v>2633</v>
      </c>
      <c r="E271" s="306" t="s">
        <v>2634</v>
      </c>
      <c r="F271" s="307"/>
      <c r="G271" s="297" t="s">
        <v>1353</v>
      </c>
      <c r="H271" s="308" t="str">
        <f>CONCATENATE(B267,"-",G271,"-",I271)</f>
        <v>LS-AMN-4</v>
      </c>
      <c r="I271" s="309">
        <v>4</v>
      </c>
      <c r="J271" s="19"/>
      <c r="K271" s="19"/>
      <c r="L271" s="19">
        <v>1</v>
      </c>
      <c r="M271" s="19">
        <v>1</v>
      </c>
      <c r="Q271" s="19">
        <v>1</v>
      </c>
      <c r="U271" s="19">
        <v>1</v>
      </c>
    </row>
    <row r="272" spans="1:21" s="18" customFormat="1" ht="14.25" customHeight="1" outlineLevel="1">
      <c r="B272" s="297" t="s">
        <v>19</v>
      </c>
      <c r="C272" s="297" t="s">
        <v>1313</v>
      </c>
      <c r="D272" s="298" t="s">
        <v>2635</v>
      </c>
      <c r="E272" s="306" t="s">
        <v>2460</v>
      </c>
      <c r="F272" s="307"/>
      <c r="G272" s="297" t="s">
        <v>1353</v>
      </c>
      <c r="H272" s="308" t="str">
        <f>CONCATENATE(B268,"-",G272,"-",I272)</f>
        <v>LS-AMN-4</v>
      </c>
      <c r="I272" s="309">
        <v>4</v>
      </c>
      <c r="J272" s="19"/>
      <c r="K272" s="19"/>
      <c r="L272" s="19">
        <v>1</v>
      </c>
      <c r="M272" s="19">
        <v>1</v>
      </c>
      <c r="Q272" s="19">
        <v>1</v>
      </c>
      <c r="U272" s="19">
        <v>1</v>
      </c>
    </row>
    <row r="273" spans="1:21" s="18" customFormat="1" ht="14.25" customHeight="1" outlineLevel="1">
      <c r="B273" s="297" t="s">
        <v>19</v>
      </c>
      <c r="C273" s="297" t="s">
        <v>1313</v>
      </c>
      <c r="D273" s="298" t="s">
        <v>2636</v>
      </c>
      <c r="E273" s="306" t="s">
        <v>2637</v>
      </c>
      <c r="F273" s="307"/>
      <c r="G273" s="297" t="s">
        <v>1353</v>
      </c>
      <c r="H273" s="308" t="str">
        <f>CONCATENATE(B274,"-",G274,"-",I274)</f>
        <v>LS-AMN-4</v>
      </c>
      <c r="I273" s="309">
        <v>4</v>
      </c>
      <c r="J273" s="19"/>
      <c r="K273" s="19"/>
      <c r="L273" s="19">
        <v>1</v>
      </c>
      <c r="M273" s="19">
        <v>1</v>
      </c>
      <c r="Q273" s="19">
        <v>1</v>
      </c>
      <c r="U273" s="19">
        <v>1</v>
      </c>
    </row>
    <row r="274" spans="1:21" s="18" customFormat="1" ht="14.25" customHeight="1" outlineLevel="1">
      <c r="B274" s="297" t="s">
        <v>19</v>
      </c>
      <c r="C274" s="297" t="s">
        <v>1313</v>
      </c>
      <c r="D274" s="298" t="s">
        <v>2638</v>
      </c>
      <c r="E274" s="306" t="s">
        <v>2639</v>
      </c>
      <c r="F274" s="307"/>
      <c r="G274" s="297" t="s">
        <v>1353</v>
      </c>
      <c r="H274" s="308" t="str">
        <f t="shared" ref="H274:H278" si="31">CONCATENATE(B274,"-",G274,"-",I274)</f>
        <v>LS-AMN-4</v>
      </c>
      <c r="I274" s="309">
        <v>4</v>
      </c>
      <c r="J274" s="19"/>
      <c r="K274" s="19"/>
      <c r="L274" s="19">
        <v>1</v>
      </c>
      <c r="M274" s="19">
        <v>1</v>
      </c>
      <c r="Q274" s="19">
        <v>1</v>
      </c>
      <c r="U274" s="19">
        <v>1</v>
      </c>
    </row>
    <row r="275" spans="1:21" s="18" customFormat="1" ht="14.25" customHeight="1" outlineLevel="1">
      <c r="B275" s="297" t="s">
        <v>19</v>
      </c>
      <c r="C275" s="297" t="s">
        <v>1313</v>
      </c>
      <c r="D275" s="298" t="s">
        <v>2640</v>
      </c>
      <c r="E275" s="306" t="s">
        <v>2641</v>
      </c>
      <c r="F275" s="307"/>
      <c r="G275" s="297" t="s">
        <v>1353</v>
      </c>
      <c r="H275" s="308" t="str">
        <f t="shared" si="31"/>
        <v>LS-AMN-4</v>
      </c>
      <c r="I275" s="309">
        <v>4</v>
      </c>
      <c r="J275" s="19"/>
      <c r="K275" s="19"/>
      <c r="L275" s="19">
        <v>1</v>
      </c>
      <c r="M275" s="19">
        <v>1</v>
      </c>
      <c r="Q275" s="19">
        <v>1</v>
      </c>
      <c r="U275" s="19">
        <v>1</v>
      </c>
    </row>
    <row r="276" spans="1:21" s="18" customFormat="1" ht="14.25" customHeight="1" outlineLevel="1">
      <c r="B276" s="297" t="s">
        <v>19</v>
      </c>
      <c r="C276" s="297" t="s">
        <v>1313</v>
      </c>
      <c r="D276" s="298" t="s">
        <v>2642</v>
      </c>
      <c r="E276" s="306" t="s">
        <v>2465</v>
      </c>
      <c r="F276" s="307"/>
      <c r="G276" s="297" t="s">
        <v>1353</v>
      </c>
      <c r="H276" s="308" t="str">
        <f t="shared" si="31"/>
        <v>LS-AMN-4</v>
      </c>
      <c r="I276" s="309">
        <v>4</v>
      </c>
      <c r="J276" s="19"/>
      <c r="K276" s="19"/>
      <c r="L276" s="19">
        <v>1</v>
      </c>
      <c r="M276" s="19">
        <v>1</v>
      </c>
      <c r="Q276" s="19">
        <v>1</v>
      </c>
      <c r="U276" s="19">
        <v>1</v>
      </c>
    </row>
    <row r="277" spans="1:21" s="18" customFormat="1" ht="14.25" customHeight="1" outlineLevel="1">
      <c r="B277" s="297" t="s">
        <v>19</v>
      </c>
      <c r="C277" s="297" t="s">
        <v>1313</v>
      </c>
      <c r="D277" s="298" t="s">
        <v>2643</v>
      </c>
      <c r="E277" s="306" t="s">
        <v>2644</v>
      </c>
      <c r="F277" s="307"/>
      <c r="G277" s="297" t="s">
        <v>1353</v>
      </c>
      <c r="H277" s="308" t="str">
        <f t="shared" si="31"/>
        <v>LS-AMN-4</v>
      </c>
      <c r="I277" s="309">
        <v>4</v>
      </c>
      <c r="J277" s="19"/>
      <c r="K277" s="19"/>
      <c r="L277" s="19">
        <v>1</v>
      </c>
      <c r="M277" s="19">
        <v>1</v>
      </c>
      <c r="Q277" s="19">
        <v>1</v>
      </c>
      <c r="U277" s="19">
        <v>1</v>
      </c>
    </row>
    <row r="278" spans="1:21" s="18" customFormat="1" ht="14.25" customHeight="1" outlineLevel="1">
      <c r="B278" s="297" t="s">
        <v>19</v>
      </c>
      <c r="C278" s="297" t="s">
        <v>1313</v>
      </c>
      <c r="D278" s="298" t="s">
        <v>2645</v>
      </c>
      <c r="E278" s="306" t="s">
        <v>2646</v>
      </c>
      <c r="F278" s="307"/>
      <c r="G278" s="297" t="s">
        <v>1353</v>
      </c>
      <c r="H278" s="308" t="str">
        <f t="shared" si="31"/>
        <v>LS-AMN-4</v>
      </c>
      <c r="I278" s="309">
        <v>4</v>
      </c>
      <c r="J278" s="19"/>
      <c r="K278" s="19"/>
      <c r="L278" s="19">
        <v>1</v>
      </c>
      <c r="M278" s="19">
        <v>1</v>
      </c>
      <c r="Q278" s="19">
        <v>1</v>
      </c>
      <c r="U278" s="19">
        <v>1</v>
      </c>
    </row>
    <row r="279" spans="1:21" s="18" customFormat="1" ht="14.25" customHeight="1" outlineLevel="1">
      <c r="B279" s="297" t="s">
        <v>19</v>
      </c>
      <c r="C279" s="297" t="s">
        <v>1313</v>
      </c>
      <c r="D279" s="298" t="s">
        <v>2647</v>
      </c>
      <c r="E279" s="306" t="s">
        <v>2648</v>
      </c>
      <c r="F279" s="307"/>
      <c r="G279" s="297" t="s">
        <v>1353</v>
      </c>
      <c r="H279" s="308" t="str">
        <f>CONCATENATE(B275,"-",G279,"-",I279)</f>
        <v>LS-AMN-4</v>
      </c>
      <c r="I279" s="309">
        <v>4</v>
      </c>
      <c r="J279" s="19"/>
      <c r="K279" s="19"/>
      <c r="L279" s="19">
        <v>1</v>
      </c>
      <c r="M279" s="19">
        <v>1</v>
      </c>
      <c r="Q279" s="19">
        <v>1</v>
      </c>
      <c r="U279" s="19">
        <v>1</v>
      </c>
    </row>
    <row r="280" spans="1:21" s="18" customFormat="1" ht="14.25" customHeight="1" outlineLevel="1">
      <c r="B280" s="297" t="s">
        <v>19</v>
      </c>
      <c r="C280" s="297" t="s">
        <v>1313</v>
      </c>
      <c r="D280" s="298" t="s">
        <v>2649</v>
      </c>
      <c r="E280" s="306" t="s">
        <v>2650</v>
      </c>
      <c r="F280" s="307"/>
      <c r="G280" s="297" t="s">
        <v>1353</v>
      </c>
      <c r="H280" s="308" t="str">
        <f>CONCATENATE(B281,"-",G281,"-",I281)</f>
        <v>LS-AMN-4</v>
      </c>
      <c r="I280" s="309">
        <v>4</v>
      </c>
      <c r="J280" s="19"/>
      <c r="K280" s="19"/>
      <c r="L280" s="19">
        <v>1</v>
      </c>
      <c r="M280" s="19">
        <v>1</v>
      </c>
      <c r="Q280" s="19">
        <v>1</v>
      </c>
      <c r="U280" s="19">
        <v>1</v>
      </c>
    </row>
    <row r="281" spans="1:21" s="18" customFormat="1" ht="14.25" customHeight="1" outlineLevel="1">
      <c r="B281" s="297" t="s">
        <v>19</v>
      </c>
      <c r="C281" s="297" t="s">
        <v>1313</v>
      </c>
      <c r="D281" s="298" t="s">
        <v>2651</v>
      </c>
      <c r="E281" s="306" t="s">
        <v>2652</v>
      </c>
      <c r="F281" s="307"/>
      <c r="G281" s="297" t="s">
        <v>1353</v>
      </c>
      <c r="H281" s="308" t="str">
        <f t="shared" ref="H281:H283" si="32">CONCATENATE(B281,"-",G281,"-",I281)</f>
        <v>LS-AMN-4</v>
      </c>
      <c r="I281" s="309">
        <v>4</v>
      </c>
      <c r="J281" s="19"/>
      <c r="K281" s="19"/>
      <c r="L281" s="19">
        <v>1</v>
      </c>
      <c r="M281" s="19">
        <v>1</v>
      </c>
      <c r="Q281" s="19">
        <v>1</v>
      </c>
      <c r="U281" s="19">
        <v>1</v>
      </c>
    </row>
    <row r="282" spans="1:21" s="18" customFormat="1" ht="14.25" customHeight="1" outlineLevel="1">
      <c r="B282" s="297" t="s">
        <v>19</v>
      </c>
      <c r="C282" s="297" t="s">
        <v>1313</v>
      </c>
      <c r="D282" s="298" t="s">
        <v>2653</v>
      </c>
      <c r="E282" s="306" t="s">
        <v>2654</v>
      </c>
      <c r="F282" s="307"/>
      <c r="G282" s="297" t="s">
        <v>1353</v>
      </c>
      <c r="H282" s="308" t="str">
        <f t="shared" si="32"/>
        <v>LS-AMN-4</v>
      </c>
      <c r="I282" s="309">
        <v>4</v>
      </c>
      <c r="J282" s="19"/>
      <c r="K282" s="19"/>
      <c r="L282" s="19">
        <v>1</v>
      </c>
      <c r="M282" s="19">
        <v>1</v>
      </c>
      <c r="Q282" s="19">
        <v>1</v>
      </c>
      <c r="U282" s="19">
        <v>1</v>
      </c>
    </row>
    <row r="283" spans="1:21" s="18" customFormat="1" ht="14.25" customHeight="1" outlineLevel="1">
      <c r="B283" s="297" t="s">
        <v>19</v>
      </c>
      <c r="C283" s="297" t="s">
        <v>1313</v>
      </c>
      <c r="D283" s="298" t="s">
        <v>2655</v>
      </c>
      <c r="E283" s="306" t="s">
        <v>2656</v>
      </c>
      <c r="F283" s="307"/>
      <c r="G283" s="297" t="s">
        <v>1353</v>
      </c>
      <c r="H283" s="308" t="str">
        <f t="shared" si="32"/>
        <v>LS-AMN-4</v>
      </c>
      <c r="I283" s="309">
        <v>4</v>
      </c>
      <c r="J283" s="19"/>
      <c r="K283" s="19"/>
      <c r="L283" s="19">
        <v>1</v>
      </c>
      <c r="M283" s="19">
        <v>1</v>
      </c>
      <c r="Q283" s="19">
        <v>1</v>
      </c>
      <c r="U283" s="19">
        <v>1</v>
      </c>
    </row>
    <row r="284" spans="1:21" s="18" customFormat="1" ht="3" customHeight="1">
      <c r="A284" s="728"/>
      <c r="B284" s="297"/>
      <c r="C284" s="17"/>
      <c r="D284" s="317"/>
      <c r="E284" s="319"/>
      <c r="F284" s="307"/>
      <c r="G284" s="17"/>
      <c r="H284" s="314"/>
      <c r="I284" s="309"/>
      <c r="J284" s="19"/>
      <c r="K284" s="19"/>
      <c r="M284" s="19"/>
    </row>
    <row r="285" spans="1:21" s="18" customFormat="1" ht="14.25" customHeight="1">
      <c r="A285" s="733" t="s">
        <v>2658</v>
      </c>
      <c r="B285" s="297"/>
      <c r="C285" s="297"/>
      <c r="D285" s="733"/>
      <c r="E285" s="319"/>
      <c r="F285" s="307"/>
      <c r="G285" s="17"/>
      <c r="H285" s="314"/>
      <c r="I285" s="309"/>
      <c r="J285" s="19"/>
      <c r="K285" s="19"/>
      <c r="L285" s="19"/>
      <c r="M285" s="19"/>
    </row>
    <row r="286" spans="1:21" s="18" customFormat="1" ht="14.25" customHeight="1" outlineLevel="1">
      <c r="B286" s="297" t="s">
        <v>19</v>
      </c>
      <c r="C286" s="297" t="s">
        <v>1313</v>
      </c>
      <c r="D286" s="298"/>
      <c r="E286" s="306" t="s">
        <v>2659</v>
      </c>
      <c r="F286" s="307"/>
      <c r="G286" s="297" t="s">
        <v>1353</v>
      </c>
      <c r="H286" s="308" t="str">
        <f t="shared" si="29"/>
        <v>LS-AMN-4</v>
      </c>
      <c r="I286" s="309">
        <v>4</v>
      </c>
      <c r="J286" s="19"/>
      <c r="K286" s="19"/>
      <c r="L286" s="19">
        <v>1</v>
      </c>
      <c r="M286" s="19">
        <v>1</v>
      </c>
    </row>
    <row r="287" spans="1:21" s="18" customFormat="1" ht="14.25" customHeight="1" outlineLevel="1">
      <c r="B287" s="297" t="s">
        <v>19</v>
      </c>
      <c r="C287" s="297" t="s">
        <v>1313</v>
      </c>
      <c r="D287" s="298"/>
      <c r="E287" s="306" t="s">
        <v>2660</v>
      </c>
      <c r="F287" s="307"/>
      <c r="G287" s="297" t="s">
        <v>1353</v>
      </c>
      <c r="H287" s="308" t="str">
        <f>CONCATENATE(B264,"-",G287,"-",I287)</f>
        <v>LS-AMN-4</v>
      </c>
      <c r="I287" s="309">
        <v>4</v>
      </c>
      <c r="J287" s="19"/>
      <c r="K287" s="19"/>
      <c r="L287" s="19">
        <v>1</v>
      </c>
      <c r="M287" s="19">
        <v>1</v>
      </c>
    </row>
    <row r="288" spans="1:21" s="18" customFormat="1" ht="14.25" customHeight="1" outlineLevel="1">
      <c r="B288" s="297" t="s">
        <v>19</v>
      </c>
      <c r="C288" s="297" t="s">
        <v>1313</v>
      </c>
      <c r="D288" s="298"/>
      <c r="E288" s="306" t="s">
        <v>2661</v>
      </c>
      <c r="F288" s="307"/>
      <c r="G288" s="297" t="s">
        <v>1353</v>
      </c>
      <c r="H288" s="308" t="str">
        <f>CONCATENATE(B265,"-",G288,"-",I288)</f>
        <v>LS-AMN-4</v>
      </c>
      <c r="I288" s="309">
        <v>4</v>
      </c>
      <c r="J288" s="19"/>
      <c r="K288" s="19"/>
      <c r="L288" s="19">
        <v>1</v>
      </c>
      <c r="M288" s="19">
        <v>1</v>
      </c>
    </row>
    <row r="289" spans="1:16384" s="18" customFormat="1" ht="14.25" customHeight="1" outlineLevel="1">
      <c r="B289" s="297" t="s">
        <v>19</v>
      </c>
      <c r="C289" s="297" t="s">
        <v>1313</v>
      </c>
      <c r="D289" s="298"/>
      <c r="E289" s="306" t="s">
        <v>2662</v>
      </c>
      <c r="F289" s="307"/>
      <c r="G289" s="297" t="s">
        <v>1353</v>
      </c>
      <c r="H289" s="308" t="str">
        <f>CONCATENATE(B290,"-",G290,"-",I290)</f>
        <v>LS-AMN-4</v>
      </c>
      <c r="I289" s="309">
        <v>4</v>
      </c>
      <c r="J289" s="19"/>
      <c r="K289" s="19"/>
      <c r="L289" s="19">
        <v>1</v>
      </c>
      <c r="M289" s="19">
        <v>1</v>
      </c>
    </row>
    <row r="290" spans="1:16384" s="18" customFormat="1" ht="14.25" customHeight="1" outlineLevel="1">
      <c r="B290" s="297" t="s">
        <v>19</v>
      </c>
      <c r="C290" s="297" t="s">
        <v>1313</v>
      </c>
      <c r="D290" s="298"/>
      <c r="E290" s="306" t="s">
        <v>2483</v>
      </c>
      <c r="F290" s="307"/>
      <c r="G290" s="297" t="s">
        <v>1353</v>
      </c>
      <c r="H290" s="308" t="str">
        <f t="shared" ref="H290:H294" si="33">CONCATENATE(B290,"-",G290,"-",I290)</f>
        <v>LS-AMN-4</v>
      </c>
      <c r="I290" s="309">
        <v>4</v>
      </c>
      <c r="J290" s="19"/>
      <c r="K290" s="19"/>
      <c r="L290" s="19">
        <v>1</v>
      </c>
      <c r="M290" s="19">
        <v>1</v>
      </c>
    </row>
    <row r="291" spans="1:16384" s="18" customFormat="1" ht="14.25" customHeight="1" outlineLevel="1">
      <c r="B291" s="297" t="s">
        <v>19</v>
      </c>
      <c r="C291" s="297" t="s">
        <v>1313</v>
      </c>
      <c r="D291" s="298"/>
      <c r="E291" s="306" t="s">
        <v>2663</v>
      </c>
      <c r="F291" s="307"/>
      <c r="G291" s="297" t="s">
        <v>1353</v>
      </c>
      <c r="H291" s="308" t="str">
        <f t="shared" si="33"/>
        <v>LS-AMN-4</v>
      </c>
      <c r="I291" s="309">
        <v>4</v>
      </c>
      <c r="J291" s="19"/>
      <c r="K291" s="19"/>
      <c r="L291" s="19">
        <v>1</v>
      </c>
      <c r="M291" s="19">
        <v>1</v>
      </c>
    </row>
    <row r="292" spans="1:16384" s="18" customFormat="1" ht="14.25" customHeight="1" outlineLevel="1">
      <c r="B292" s="297" t="s">
        <v>19</v>
      </c>
      <c r="C292" s="297" t="s">
        <v>1313</v>
      </c>
      <c r="D292" s="298"/>
      <c r="E292" s="306" t="s">
        <v>2664</v>
      </c>
      <c r="F292" s="307"/>
      <c r="G292" s="297" t="s">
        <v>1353</v>
      </c>
      <c r="H292" s="308" t="str">
        <f t="shared" si="33"/>
        <v>LS-AMN-4</v>
      </c>
      <c r="I292" s="309">
        <v>4</v>
      </c>
      <c r="J292" s="19"/>
      <c r="K292" s="19"/>
      <c r="L292" s="19">
        <v>1</v>
      </c>
      <c r="M292" s="19">
        <v>1</v>
      </c>
    </row>
    <row r="293" spans="1:16384" s="18" customFormat="1" ht="14.25" customHeight="1" outlineLevel="1">
      <c r="B293" s="297" t="s">
        <v>19</v>
      </c>
      <c r="C293" s="297" t="s">
        <v>1313</v>
      </c>
      <c r="D293" s="298"/>
      <c r="E293" s="306" t="s">
        <v>2489</v>
      </c>
      <c r="F293" s="307"/>
      <c r="G293" s="297" t="s">
        <v>1353</v>
      </c>
      <c r="H293" s="308" t="str">
        <f t="shared" si="33"/>
        <v>LS-AMN-4</v>
      </c>
      <c r="I293" s="309">
        <v>4</v>
      </c>
      <c r="J293" s="19"/>
      <c r="K293" s="19"/>
      <c r="L293" s="19">
        <v>1</v>
      </c>
      <c r="M293" s="19">
        <v>1</v>
      </c>
    </row>
    <row r="294" spans="1:16384" s="18" customFormat="1" ht="14.25" customHeight="1" outlineLevel="1">
      <c r="B294" s="297" t="s">
        <v>19</v>
      </c>
      <c r="C294" s="297" t="s">
        <v>1313</v>
      </c>
      <c r="D294" s="298"/>
      <c r="E294" s="306" t="s">
        <v>2665</v>
      </c>
      <c r="F294" s="307"/>
      <c r="G294" s="297" t="s">
        <v>1353</v>
      </c>
      <c r="H294" s="308" t="str">
        <f t="shared" si="33"/>
        <v>LS-AMN-4</v>
      </c>
      <c r="I294" s="309">
        <v>4</v>
      </c>
      <c r="J294" s="19"/>
      <c r="K294" s="19"/>
      <c r="L294" s="19">
        <v>1</v>
      </c>
      <c r="M294" s="19">
        <v>1</v>
      </c>
    </row>
    <row r="295" spans="1:16384" s="18" customFormat="1" ht="14.25" customHeight="1" outlineLevel="1">
      <c r="B295" s="297" t="s">
        <v>19</v>
      </c>
      <c r="C295" s="297" t="s">
        <v>1313</v>
      </c>
      <c r="D295" s="298"/>
      <c r="E295" s="306" t="s">
        <v>2666</v>
      </c>
      <c r="F295" s="307"/>
      <c r="G295" s="297" t="s">
        <v>1353</v>
      </c>
      <c r="H295" s="308" t="str">
        <f>CONCATENATE(B291,"-",G295,"-",I295)</f>
        <v>LS-AMN-4</v>
      </c>
      <c r="I295" s="309">
        <v>4</v>
      </c>
      <c r="J295" s="19"/>
      <c r="K295" s="19"/>
      <c r="L295" s="19">
        <v>1</v>
      </c>
      <c r="M295" s="19">
        <v>1</v>
      </c>
      <c r="N295" s="19"/>
      <c r="O295" s="19"/>
      <c r="P295" s="19"/>
      <c r="Q295" s="19"/>
      <c r="R295" s="19"/>
      <c r="S295" s="19"/>
      <c r="T295" s="19"/>
      <c r="U295" s="19"/>
      <c r="W295" s="734"/>
      <c r="X295" s="735"/>
      <c r="Y295" s="735"/>
    </row>
    <row r="296" spans="1:16384" ht="3" customHeight="1">
      <c r="B296" s="16"/>
      <c r="C296" s="16"/>
      <c r="D296" s="16"/>
    </row>
    <row r="297" spans="1:16384">
      <c r="B297" s="16"/>
      <c r="C297" s="16"/>
      <c r="D297" s="16"/>
    </row>
    <row r="300" spans="1:16384" ht="1.35" customHeight="1">
      <c r="A300" s="16" t="s">
        <v>1487</v>
      </c>
      <c r="B300" s="16" t="s">
        <v>1487</v>
      </c>
      <c r="C300" s="16" t="s">
        <v>1487</v>
      </c>
      <c r="D300" s="16" t="s">
        <v>1487</v>
      </c>
      <c r="E300" s="16" t="s">
        <v>1487</v>
      </c>
      <c r="F300" s="16" t="s">
        <v>1487</v>
      </c>
      <c r="G300" s="16" t="s">
        <v>1487</v>
      </c>
      <c r="H300" s="16" t="s">
        <v>1487</v>
      </c>
      <c r="I300" s="16" t="s">
        <v>1487</v>
      </c>
      <c r="J300" s="16" t="s">
        <v>1487</v>
      </c>
      <c r="K300" s="16" t="s">
        <v>1487</v>
      </c>
      <c r="L300" s="16" t="s">
        <v>1487</v>
      </c>
      <c r="M300" s="19" t="s">
        <v>1487</v>
      </c>
      <c r="N300" s="19" t="s">
        <v>1487</v>
      </c>
      <c r="O300" s="16" t="s">
        <v>1487</v>
      </c>
      <c r="P300" s="16" t="s">
        <v>1487</v>
      </c>
      <c r="Q300" s="16" t="s">
        <v>1487</v>
      </c>
      <c r="R300" s="16" t="s">
        <v>1487</v>
      </c>
      <c r="S300" s="16" t="s">
        <v>1487</v>
      </c>
      <c r="T300" s="16" t="s">
        <v>1487</v>
      </c>
      <c r="U300" s="16" t="s">
        <v>1487</v>
      </c>
      <c r="V300" s="16" t="s">
        <v>1487</v>
      </c>
      <c r="Z300" s="16" t="s">
        <v>1487</v>
      </c>
      <c r="AA300" s="16" t="s">
        <v>1487</v>
      </c>
      <c r="AB300" s="16" t="s">
        <v>1487</v>
      </c>
      <c r="AC300" s="16" t="s">
        <v>1487</v>
      </c>
      <c r="AD300" s="16" t="s">
        <v>1487</v>
      </c>
      <c r="AE300" s="16" t="s">
        <v>1487</v>
      </c>
      <c r="AF300" s="16" t="s">
        <v>1487</v>
      </c>
      <c r="AG300" s="16" t="s">
        <v>1487</v>
      </c>
      <c r="AH300" s="16" t="s">
        <v>1487</v>
      </c>
      <c r="AI300" s="16" t="s">
        <v>1487</v>
      </c>
      <c r="AJ300" s="16" t="s">
        <v>1487</v>
      </c>
      <c r="AK300" s="16" t="s">
        <v>1487</v>
      </c>
      <c r="AL300" s="16" t="s">
        <v>1487</v>
      </c>
      <c r="AM300" s="16" t="s">
        <v>1487</v>
      </c>
      <c r="AN300" s="16" t="s">
        <v>1487</v>
      </c>
      <c r="AO300" s="16" t="s">
        <v>1487</v>
      </c>
      <c r="AP300" s="16" t="s">
        <v>1487</v>
      </c>
      <c r="AQ300" s="16" t="s">
        <v>1487</v>
      </c>
      <c r="AR300" s="16" t="s">
        <v>1487</v>
      </c>
      <c r="AS300" s="16" t="s">
        <v>1487</v>
      </c>
      <c r="AT300" s="16" t="s">
        <v>1487</v>
      </c>
      <c r="AU300" s="16" t="s">
        <v>1487</v>
      </c>
      <c r="AV300" s="16" t="s">
        <v>1487</v>
      </c>
      <c r="AW300" s="16" t="s">
        <v>1487</v>
      </c>
      <c r="AX300" s="16" t="s">
        <v>1487</v>
      </c>
      <c r="AY300" s="16" t="s">
        <v>1487</v>
      </c>
      <c r="AZ300" s="16" t="s">
        <v>1487</v>
      </c>
      <c r="BA300" s="16" t="s">
        <v>1487</v>
      </c>
      <c r="BB300" s="16" t="s">
        <v>1487</v>
      </c>
      <c r="BC300" s="16" t="s">
        <v>1487</v>
      </c>
      <c r="BD300" s="16" t="s">
        <v>1487</v>
      </c>
      <c r="BE300" s="16" t="s">
        <v>1487</v>
      </c>
      <c r="BF300" s="16" t="s">
        <v>1487</v>
      </c>
      <c r="BG300" s="16" t="s">
        <v>1487</v>
      </c>
      <c r="BH300" s="16" t="s">
        <v>1487</v>
      </c>
      <c r="BI300" s="16" t="s">
        <v>1487</v>
      </c>
      <c r="BJ300" s="16" t="s">
        <v>1487</v>
      </c>
      <c r="BK300" s="16" t="s">
        <v>1487</v>
      </c>
      <c r="BL300" s="16" t="s">
        <v>1487</v>
      </c>
      <c r="BM300" s="16" t="s">
        <v>1487</v>
      </c>
      <c r="BN300" s="16" t="s">
        <v>1487</v>
      </c>
      <c r="BO300" s="16" t="s">
        <v>1487</v>
      </c>
      <c r="BP300" s="16" t="s">
        <v>1487</v>
      </c>
      <c r="BQ300" s="16" t="s">
        <v>1487</v>
      </c>
      <c r="BR300" s="16" t="s">
        <v>1487</v>
      </c>
      <c r="BS300" s="16" t="s">
        <v>1487</v>
      </c>
      <c r="BT300" s="16" t="s">
        <v>1487</v>
      </c>
      <c r="BU300" s="16" t="s">
        <v>1487</v>
      </c>
      <c r="BV300" s="16" t="s">
        <v>1487</v>
      </c>
      <c r="BW300" s="16" t="s">
        <v>1487</v>
      </c>
      <c r="BX300" s="16" t="s">
        <v>1487</v>
      </c>
      <c r="BY300" s="16" t="s">
        <v>1487</v>
      </c>
      <c r="BZ300" s="16" t="s">
        <v>1487</v>
      </c>
      <c r="CA300" s="16" t="s">
        <v>1487</v>
      </c>
      <c r="CB300" s="16" t="s">
        <v>1487</v>
      </c>
      <c r="CC300" s="16" t="s">
        <v>1487</v>
      </c>
      <c r="CD300" s="16" t="s">
        <v>1487</v>
      </c>
      <c r="CE300" s="16" t="s">
        <v>1487</v>
      </c>
      <c r="CF300" s="16" t="s">
        <v>1487</v>
      </c>
      <c r="CG300" s="16" t="s">
        <v>1487</v>
      </c>
      <c r="CH300" s="16" t="s">
        <v>1487</v>
      </c>
      <c r="CI300" s="16" t="s">
        <v>1487</v>
      </c>
      <c r="CJ300" s="16" t="s">
        <v>1487</v>
      </c>
      <c r="CK300" s="16" t="s">
        <v>1487</v>
      </c>
      <c r="CL300" s="16" t="s">
        <v>1487</v>
      </c>
      <c r="CM300" s="16" t="s">
        <v>1487</v>
      </c>
      <c r="CN300" s="16" t="s">
        <v>1487</v>
      </c>
      <c r="CO300" s="16" t="s">
        <v>1487</v>
      </c>
      <c r="CP300" s="16" t="s">
        <v>1487</v>
      </c>
      <c r="CQ300" s="16" t="s">
        <v>1487</v>
      </c>
      <c r="CR300" s="16" t="s">
        <v>1487</v>
      </c>
      <c r="CS300" s="16" t="s">
        <v>1487</v>
      </c>
      <c r="CT300" s="16" t="s">
        <v>1487</v>
      </c>
      <c r="CU300" s="16" t="s">
        <v>1487</v>
      </c>
      <c r="CV300" s="16" t="s">
        <v>1487</v>
      </c>
      <c r="CW300" s="16" t="s">
        <v>1487</v>
      </c>
      <c r="CX300" s="16" t="s">
        <v>1487</v>
      </c>
      <c r="CY300" s="16" t="s">
        <v>1487</v>
      </c>
      <c r="CZ300" s="16" t="s">
        <v>1487</v>
      </c>
      <c r="DA300" s="16" t="s">
        <v>1487</v>
      </c>
      <c r="DB300" s="16" t="s">
        <v>1487</v>
      </c>
      <c r="DC300" s="16" t="s">
        <v>1487</v>
      </c>
      <c r="DD300" s="16" t="s">
        <v>1487</v>
      </c>
      <c r="DE300" s="16" t="s">
        <v>1487</v>
      </c>
      <c r="DF300" s="16" t="s">
        <v>1487</v>
      </c>
      <c r="DG300" s="16" t="s">
        <v>1487</v>
      </c>
      <c r="DH300" s="16" t="s">
        <v>1487</v>
      </c>
      <c r="DI300" s="16" t="s">
        <v>1487</v>
      </c>
      <c r="DJ300" s="16" t="s">
        <v>1487</v>
      </c>
      <c r="DK300" s="16" t="s">
        <v>1487</v>
      </c>
      <c r="DL300" s="16" t="s">
        <v>1487</v>
      </c>
      <c r="DM300" s="16" t="s">
        <v>1487</v>
      </c>
      <c r="DN300" s="16" t="s">
        <v>1487</v>
      </c>
      <c r="DO300" s="16" t="s">
        <v>1487</v>
      </c>
      <c r="DP300" s="16" t="s">
        <v>1487</v>
      </c>
      <c r="DQ300" s="16" t="s">
        <v>1487</v>
      </c>
      <c r="DR300" s="16" t="s">
        <v>1487</v>
      </c>
      <c r="DS300" s="16" t="s">
        <v>1487</v>
      </c>
      <c r="DT300" s="16" t="s">
        <v>1487</v>
      </c>
      <c r="DU300" s="16" t="s">
        <v>1487</v>
      </c>
      <c r="DV300" s="16" t="s">
        <v>1487</v>
      </c>
      <c r="DW300" s="16" t="s">
        <v>1487</v>
      </c>
      <c r="DX300" s="16" t="s">
        <v>1487</v>
      </c>
      <c r="DY300" s="16" t="s">
        <v>1487</v>
      </c>
      <c r="DZ300" s="16" t="s">
        <v>1487</v>
      </c>
      <c r="EA300" s="16" t="s">
        <v>1487</v>
      </c>
      <c r="EB300" s="16" t="s">
        <v>1487</v>
      </c>
      <c r="EC300" s="16" t="s">
        <v>1487</v>
      </c>
      <c r="ED300" s="16" t="s">
        <v>1487</v>
      </c>
      <c r="EE300" s="16" t="s">
        <v>1487</v>
      </c>
      <c r="EF300" s="16" t="s">
        <v>1487</v>
      </c>
      <c r="EG300" s="16" t="s">
        <v>1487</v>
      </c>
      <c r="EH300" s="16" t="s">
        <v>1487</v>
      </c>
      <c r="EI300" s="16" t="s">
        <v>1487</v>
      </c>
      <c r="EJ300" s="16" t="s">
        <v>1487</v>
      </c>
      <c r="EK300" s="16" t="s">
        <v>1487</v>
      </c>
      <c r="EL300" s="16" t="s">
        <v>1487</v>
      </c>
      <c r="EM300" s="16" t="s">
        <v>1487</v>
      </c>
      <c r="EN300" s="16" t="s">
        <v>1487</v>
      </c>
      <c r="EO300" s="16" t="s">
        <v>1487</v>
      </c>
      <c r="EP300" s="16" t="s">
        <v>1487</v>
      </c>
      <c r="EQ300" s="16" t="s">
        <v>1487</v>
      </c>
      <c r="ER300" s="16" t="s">
        <v>1487</v>
      </c>
      <c r="ES300" s="16" t="s">
        <v>1487</v>
      </c>
      <c r="ET300" s="16" t="s">
        <v>1487</v>
      </c>
      <c r="EU300" s="16" t="s">
        <v>1487</v>
      </c>
      <c r="EV300" s="16" t="s">
        <v>1487</v>
      </c>
      <c r="EW300" s="16" t="s">
        <v>1487</v>
      </c>
      <c r="EX300" s="16" t="s">
        <v>1487</v>
      </c>
      <c r="EY300" s="16" t="s">
        <v>1487</v>
      </c>
      <c r="EZ300" s="16" t="s">
        <v>1487</v>
      </c>
      <c r="FA300" s="16" t="s">
        <v>1487</v>
      </c>
      <c r="FB300" s="16" t="s">
        <v>1487</v>
      </c>
      <c r="FC300" s="16" t="s">
        <v>1487</v>
      </c>
      <c r="FD300" s="16" t="s">
        <v>1487</v>
      </c>
      <c r="FE300" s="16" t="s">
        <v>1487</v>
      </c>
      <c r="FF300" s="16" t="s">
        <v>1487</v>
      </c>
      <c r="FG300" s="16" t="s">
        <v>1487</v>
      </c>
      <c r="FH300" s="16" t="s">
        <v>1487</v>
      </c>
      <c r="FI300" s="16" t="s">
        <v>1487</v>
      </c>
      <c r="FJ300" s="16" t="s">
        <v>1487</v>
      </c>
      <c r="FK300" s="16" t="s">
        <v>1487</v>
      </c>
      <c r="FL300" s="16" t="s">
        <v>1487</v>
      </c>
      <c r="FM300" s="16" t="s">
        <v>1487</v>
      </c>
      <c r="FN300" s="16" t="s">
        <v>1487</v>
      </c>
      <c r="FO300" s="16" t="s">
        <v>1487</v>
      </c>
      <c r="FP300" s="16" t="s">
        <v>1487</v>
      </c>
      <c r="FQ300" s="16" t="s">
        <v>1487</v>
      </c>
      <c r="FR300" s="16" t="s">
        <v>1487</v>
      </c>
      <c r="FS300" s="16" t="s">
        <v>1487</v>
      </c>
      <c r="FT300" s="16" t="s">
        <v>1487</v>
      </c>
      <c r="FU300" s="16" t="s">
        <v>1487</v>
      </c>
      <c r="FV300" s="16" t="s">
        <v>1487</v>
      </c>
      <c r="FW300" s="16" t="s">
        <v>1487</v>
      </c>
      <c r="FX300" s="16" t="s">
        <v>1487</v>
      </c>
      <c r="FY300" s="16" t="s">
        <v>1487</v>
      </c>
      <c r="FZ300" s="16" t="s">
        <v>1487</v>
      </c>
      <c r="GA300" s="16" t="s">
        <v>1487</v>
      </c>
      <c r="GB300" s="16" t="s">
        <v>1487</v>
      </c>
      <c r="GC300" s="16" t="s">
        <v>1487</v>
      </c>
      <c r="GD300" s="16" t="s">
        <v>1487</v>
      </c>
      <c r="GE300" s="16" t="s">
        <v>1487</v>
      </c>
      <c r="GF300" s="16" t="s">
        <v>1487</v>
      </c>
      <c r="GG300" s="16" t="s">
        <v>1487</v>
      </c>
      <c r="GH300" s="16" t="s">
        <v>1487</v>
      </c>
      <c r="GI300" s="16" t="s">
        <v>1487</v>
      </c>
      <c r="GJ300" s="16" t="s">
        <v>1487</v>
      </c>
      <c r="GK300" s="16" t="s">
        <v>1487</v>
      </c>
      <c r="GL300" s="16" t="s">
        <v>1487</v>
      </c>
      <c r="GM300" s="16" t="s">
        <v>1487</v>
      </c>
      <c r="GN300" s="16" t="s">
        <v>1487</v>
      </c>
      <c r="GO300" s="16" t="s">
        <v>1487</v>
      </c>
      <c r="GP300" s="16" t="s">
        <v>1487</v>
      </c>
      <c r="GQ300" s="16" t="s">
        <v>1487</v>
      </c>
      <c r="GR300" s="16" t="s">
        <v>1487</v>
      </c>
      <c r="GS300" s="16" t="s">
        <v>1487</v>
      </c>
      <c r="GT300" s="16" t="s">
        <v>1487</v>
      </c>
      <c r="GU300" s="16" t="s">
        <v>1487</v>
      </c>
      <c r="GV300" s="16" t="s">
        <v>1487</v>
      </c>
      <c r="GW300" s="16" t="s">
        <v>1487</v>
      </c>
      <c r="GX300" s="16" t="s">
        <v>1487</v>
      </c>
      <c r="GY300" s="16" t="s">
        <v>1487</v>
      </c>
      <c r="GZ300" s="16" t="s">
        <v>1487</v>
      </c>
      <c r="HA300" s="16" t="s">
        <v>1487</v>
      </c>
      <c r="HB300" s="16" t="s">
        <v>1487</v>
      </c>
      <c r="HC300" s="16" t="s">
        <v>1487</v>
      </c>
      <c r="HD300" s="16" t="s">
        <v>1487</v>
      </c>
      <c r="HE300" s="16" t="s">
        <v>1487</v>
      </c>
      <c r="HF300" s="16" t="s">
        <v>1487</v>
      </c>
      <c r="HG300" s="16" t="s">
        <v>1487</v>
      </c>
      <c r="HH300" s="16" t="s">
        <v>1487</v>
      </c>
      <c r="HI300" s="16" t="s">
        <v>1487</v>
      </c>
      <c r="HJ300" s="16" t="s">
        <v>1487</v>
      </c>
      <c r="HK300" s="16" t="s">
        <v>1487</v>
      </c>
      <c r="HL300" s="16" t="s">
        <v>1487</v>
      </c>
      <c r="HM300" s="16" t="s">
        <v>1487</v>
      </c>
      <c r="HN300" s="16" t="s">
        <v>1487</v>
      </c>
      <c r="HO300" s="16" t="s">
        <v>1487</v>
      </c>
      <c r="HP300" s="16" t="s">
        <v>1487</v>
      </c>
      <c r="HQ300" s="16" t="s">
        <v>1487</v>
      </c>
      <c r="HR300" s="16" t="s">
        <v>1487</v>
      </c>
      <c r="HS300" s="16" t="s">
        <v>1487</v>
      </c>
      <c r="HT300" s="16" t="s">
        <v>1487</v>
      </c>
      <c r="HU300" s="16" t="s">
        <v>1487</v>
      </c>
      <c r="HV300" s="16" t="s">
        <v>1487</v>
      </c>
      <c r="HW300" s="16" t="s">
        <v>1487</v>
      </c>
      <c r="HX300" s="16" t="s">
        <v>1487</v>
      </c>
      <c r="HY300" s="16" t="s">
        <v>1487</v>
      </c>
      <c r="HZ300" s="16" t="s">
        <v>1487</v>
      </c>
      <c r="IA300" s="16" t="s">
        <v>1487</v>
      </c>
      <c r="IB300" s="16" t="s">
        <v>1487</v>
      </c>
      <c r="IC300" s="16" t="s">
        <v>1487</v>
      </c>
      <c r="ID300" s="16" t="s">
        <v>1487</v>
      </c>
      <c r="IE300" s="16" t="s">
        <v>1487</v>
      </c>
      <c r="IF300" s="16" t="s">
        <v>1487</v>
      </c>
      <c r="IG300" s="16" t="s">
        <v>1487</v>
      </c>
      <c r="IH300" s="16" t="s">
        <v>1487</v>
      </c>
      <c r="II300" s="16" t="s">
        <v>1487</v>
      </c>
      <c r="IJ300" s="16" t="s">
        <v>1487</v>
      </c>
      <c r="IK300" s="16" t="s">
        <v>1487</v>
      </c>
      <c r="IL300" s="16" t="s">
        <v>1487</v>
      </c>
      <c r="IM300" s="16" t="s">
        <v>1487</v>
      </c>
      <c r="IN300" s="16" t="s">
        <v>1487</v>
      </c>
      <c r="IO300" s="16" t="s">
        <v>1487</v>
      </c>
      <c r="IP300" s="16" t="s">
        <v>1487</v>
      </c>
      <c r="IQ300" s="16" t="s">
        <v>1487</v>
      </c>
      <c r="IR300" s="16" t="s">
        <v>1487</v>
      </c>
      <c r="IS300" s="16" t="s">
        <v>1487</v>
      </c>
      <c r="IT300" s="16" t="s">
        <v>1487</v>
      </c>
      <c r="IU300" s="16" t="s">
        <v>1487</v>
      </c>
      <c r="IV300" s="16" t="s">
        <v>1487</v>
      </c>
      <c r="IW300" s="16" t="s">
        <v>1487</v>
      </c>
      <c r="IX300" s="16" t="s">
        <v>1487</v>
      </c>
      <c r="IY300" s="16" t="s">
        <v>1487</v>
      </c>
      <c r="IZ300" s="16" t="s">
        <v>1487</v>
      </c>
      <c r="JA300" s="16" t="s">
        <v>1487</v>
      </c>
      <c r="JB300" s="16" t="s">
        <v>1487</v>
      </c>
      <c r="JC300" s="16" t="s">
        <v>1487</v>
      </c>
      <c r="JD300" s="16" t="s">
        <v>1487</v>
      </c>
      <c r="JE300" s="16" t="s">
        <v>1487</v>
      </c>
      <c r="JF300" s="16" t="s">
        <v>1487</v>
      </c>
      <c r="JG300" s="16" t="s">
        <v>1487</v>
      </c>
      <c r="JH300" s="16" t="s">
        <v>1487</v>
      </c>
      <c r="JI300" s="16" t="s">
        <v>1487</v>
      </c>
      <c r="JJ300" s="16" t="s">
        <v>1487</v>
      </c>
      <c r="JK300" s="16" t="s">
        <v>1487</v>
      </c>
      <c r="JL300" s="16" t="s">
        <v>1487</v>
      </c>
      <c r="JM300" s="16" t="s">
        <v>1487</v>
      </c>
      <c r="JN300" s="16" t="s">
        <v>1487</v>
      </c>
      <c r="JO300" s="16" t="s">
        <v>1487</v>
      </c>
      <c r="JP300" s="16" t="s">
        <v>1487</v>
      </c>
      <c r="JQ300" s="16" t="s">
        <v>1487</v>
      </c>
      <c r="JR300" s="16" t="s">
        <v>1487</v>
      </c>
      <c r="JS300" s="16" t="s">
        <v>1487</v>
      </c>
      <c r="JT300" s="16" t="s">
        <v>1487</v>
      </c>
      <c r="JU300" s="16" t="s">
        <v>1487</v>
      </c>
      <c r="JV300" s="16" t="s">
        <v>1487</v>
      </c>
      <c r="JW300" s="16" t="s">
        <v>1487</v>
      </c>
      <c r="JX300" s="16" t="s">
        <v>1487</v>
      </c>
      <c r="JY300" s="16" t="s">
        <v>1487</v>
      </c>
      <c r="JZ300" s="16" t="s">
        <v>1487</v>
      </c>
      <c r="KA300" s="16" t="s">
        <v>1487</v>
      </c>
      <c r="KB300" s="16" t="s">
        <v>1487</v>
      </c>
      <c r="KC300" s="16" t="s">
        <v>1487</v>
      </c>
      <c r="KD300" s="16" t="s">
        <v>1487</v>
      </c>
      <c r="KE300" s="16" t="s">
        <v>1487</v>
      </c>
      <c r="KF300" s="16" t="s">
        <v>1487</v>
      </c>
      <c r="KG300" s="16" t="s">
        <v>1487</v>
      </c>
      <c r="KH300" s="16" t="s">
        <v>1487</v>
      </c>
      <c r="KI300" s="16" t="s">
        <v>1487</v>
      </c>
      <c r="KJ300" s="16" t="s">
        <v>1487</v>
      </c>
      <c r="KK300" s="16" t="s">
        <v>1487</v>
      </c>
      <c r="KL300" s="16" t="s">
        <v>1487</v>
      </c>
      <c r="KM300" s="16" t="s">
        <v>1487</v>
      </c>
      <c r="KN300" s="16" t="s">
        <v>1487</v>
      </c>
      <c r="KO300" s="16" t="s">
        <v>1487</v>
      </c>
      <c r="KP300" s="16" t="s">
        <v>1487</v>
      </c>
      <c r="KQ300" s="16" t="s">
        <v>1487</v>
      </c>
      <c r="KR300" s="16" t="s">
        <v>1487</v>
      </c>
      <c r="KS300" s="16" t="s">
        <v>1487</v>
      </c>
      <c r="KT300" s="16" t="s">
        <v>1487</v>
      </c>
      <c r="KU300" s="16" t="s">
        <v>1487</v>
      </c>
      <c r="KV300" s="16" t="s">
        <v>1487</v>
      </c>
      <c r="KW300" s="16" t="s">
        <v>1487</v>
      </c>
      <c r="KX300" s="16" t="s">
        <v>1487</v>
      </c>
      <c r="KY300" s="16" t="s">
        <v>1487</v>
      </c>
      <c r="KZ300" s="16" t="s">
        <v>1487</v>
      </c>
      <c r="LA300" s="16" t="s">
        <v>1487</v>
      </c>
      <c r="LB300" s="16" t="s">
        <v>1487</v>
      </c>
      <c r="LC300" s="16" t="s">
        <v>1487</v>
      </c>
      <c r="LD300" s="16" t="s">
        <v>1487</v>
      </c>
      <c r="LE300" s="16" t="s">
        <v>1487</v>
      </c>
      <c r="LF300" s="16" t="s">
        <v>1487</v>
      </c>
      <c r="LG300" s="16" t="s">
        <v>1487</v>
      </c>
      <c r="LH300" s="16" t="s">
        <v>1487</v>
      </c>
      <c r="LI300" s="16" t="s">
        <v>1487</v>
      </c>
      <c r="LJ300" s="16" t="s">
        <v>1487</v>
      </c>
      <c r="LK300" s="16" t="s">
        <v>1487</v>
      </c>
      <c r="LL300" s="16" t="s">
        <v>1487</v>
      </c>
      <c r="LM300" s="16" t="s">
        <v>1487</v>
      </c>
      <c r="LN300" s="16" t="s">
        <v>1487</v>
      </c>
      <c r="LO300" s="16" t="s">
        <v>1487</v>
      </c>
      <c r="LP300" s="16" t="s">
        <v>1487</v>
      </c>
      <c r="LQ300" s="16" t="s">
        <v>1487</v>
      </c>
      <c r="LR300" s="16" t="s">
        <v>1487</v>
      </c>
      <c r="LS300" s="16" t="s">
        <v>1487</v>
      </c>
      <c r="LT300" s="16" t="s">
        <v>1487</v>
      </c>
      <c r="LU300" s="16" t="s">
        <v>1487</v>
      </c>
      <c r="LV300" s="16" t="s">
        <v>1487</v>
      </c>
      <c r="LW300" s="16" t="s">
        <v>1487</v>
      </c>
      <c r="LX300" s="16" t="s">
        <v>1487</v>
      </c>
      <c r="LY300" s="16" t="s">
        <v>1487</v>
      </c>
      <c r="LZ300" s="16" t="s">
        <v>1487</v>
      </c>
      <c r="MA300" s="16" t="s">
        <v>1487</v>
      </c>
      <c r="MB300" s="16" t="s">
        <v>1487</v>
      </c>
      <c r="MC300" s="16" t="s">
        <v>1487</v>
      </c>
      <c r="MD300" s="16" t="s">
        <v>1487</v>
      </c>
      <c r="ME300" s="16" t="s">
        <v>1487</v>
      </c>
      <c r="MF300" s="16" t="s">
        <v>1487</v>
      </c>
      <c r="MG300" s="16" t="s">
        <v>1487</v>
      </c>
      <c r="MH300" s="16" t="s">
        <v>1487</v>
      </c>
      <c r="MI300" s="16" t="s">
        <v>1487</v>
      </c>
      <c r="MJ300" s="16" t="s">
        <v>1487</v>
      </c>
      <c r="MK300" s="16" t="s">
        <v>1487</v>
      </c>
      <c r="ML300" s="16" t="s">
        <v>1487</v>
      </c>
      <c r="MM300" s="16" t="s">
        <v>1487</v>
      </c>
      <c r="MN300" s="16" t="s">
        <v>1487</v>
      </c>
      <c r="MO300" s="16" t="s">
        <v>1487</v>
      </c>
      <c r="MP300" s="16" t="s">
        <v>1487</v>
      </c>
      <c r="MQ300" s="16" t="s">
        <v>1487</v>
      </c>
      <c r="MR300" s="16" t="s">
        <v>1487</v>
      </c>
      <c r="MS300" s="16" t="s">
        <v>1487</v>
      </c>
      <c r="MT300" s="16" t="s">
        <v>1487</v>
      </c>
      <c r="MU300" s="16" t="s">
        <v>1487</v>
      </c>
      <c r="MV300" s="16" t="s">
        <v>1487</v>
      </c>
      <c r="MW300" s="16" t="s">
        <v>1487</v>
      </c>
      <c r="MX300" s="16" t="s">
        <v>1487</v>
      </c>
      <c r="MY300" s="16" t="s">
        <v>1487</v>
      </c>
      <c r="MZ300" s="16" t="s">
        <v>1487</v>
      </c>
      <c r="NA300" s="16" t="s">
        <v>1487</v>
      </c>
      <c r="NB300" s="16" t="s">
        <v>1487</v>
      </c>
      <c r="NC300" s="16" t="s">
        <v>1487</v>
      </c>
      <c r="ND300" s="16" t="s">
        <v>1487</v>
      </c>
      <c r="NE300" s="16" t="s">
        <v>1487</v>
      </c>
      <c r="NF300" s="16" t="s">
        <v>1487</v>
      </c>
      <c r="NG300" s="16" t="s">
        <v>1487</v>
      </c>
      <c r="NH300" s="16" t="s">
        <v>1487</v>
      </c>
      <c r="NI300" s="16" t="s">
        <v>1487</v>
      </c>
      <c r="NJ300" s="16" t="s">
        <v>1487</v>
      </c>
      <c r="NK300" s="16" t="s">
        <v>1487</v>
      </c>
      <c r="NL300" s="16" t="s">
        <v>1487</v>
      </c>
      <c r="NM300" s="16" t="s">
        <v>1487</v>
      </c>
      <c r="NN300" s="16" t="s">
        <v>1487</v>
      </c>
      <c r="NO300" s="16" t="s">
        <v>1487</v>
      </c>
      <c r="NP300" s="16" t="s">
        <v>1487</v>
      </c>
      <c r="NQ300" s="16" t="s">
        <v>1487</v>
      </c>
      <c r="NR300" s="16" t="s">
        <v>1487</v>
      </c>
      <c r="NS300" s="16" t="s">
        <v>1487</v>
      </c>
      <c r="NT300" s="16" t="s">
        <v>1487</v>
      </c>
      <c r="NU300" s="16" t="s">
        <v>1487</v>
      </c>
      <c r="NV300" s="16" t="s">
        <v>1487</v>
      </c>
      <c r="NW300" s="16" t="s">
        <v>1487</v>
      </c>
      <c r="NX300" s="16" t="s">
        <v>1487</v>
      </c>
      <c r="NY300" s="16" t="s">
        <v>1487</v>
      </c>
      <c r="NZ300" s="16" t="s">
        <v>1487</v>
      </c>
      <c r="OA300" s="16" t="s">
        <v>1487</v>
      </c>
      <c r="OB300" s="16" t="s">
        <v>1487</v>
      </c>
      <c r="OC300" s="16" t="s">
        <v>1487</v>
      </c>
      <c r="OD300" s="16" t="s">
        <v>1487</v>
      </c>
      <c r="OE300" s="16" t="s">
        <v>1487</v>
      </c>
      <c r="OF300" s="16" t="s">
        <v>1487</v>
      </c>
      <c r="OG300" s="16" t="s">
        <v>1487</v>
      </c>
      <c r="OH300" s="16" t="s">
        <v>1487</v>
      </c>
      <c r="OI300" s="16" t="s">
        <v>1487</v>
      </c>
      <c r="OJ300" s="16" t="s">
        <v>1487</v>
      </c>
      <c r="OK300" s="16" t="s">
        <v>1487</v>
      </c>
      <c r="OL300" s="16" t="s">
        <v>1487</v>
      </c>
      <c r="OM300" s="16" t="s">
        <v>1487</v>
      </c>
      <c r="ON300" s="16" t="s">
        <v>1487</v>
      </c>
      <c r="OO300" s="16" t="s">
        <v>1487</v>
      </c>
      <c r="OP300" s="16" t="s">
        <v>1487</v>
      </c>
      <c r="OQ300" s="16" t="s">
        <v>1487</v>
      </c>
      <c r="OR300" s="16" t="s">
        <v>1487</v>
      </c>
      <c r="OS300" s="16" t="s">
        <v>1487</v>
      </c>
      <c r="OT300" s="16" t="s">
        <v>1487</v>
      </c>
      <c r="OU300" s="16" t="s">
        <v>1487</v>
      </c>
      <c r="OV300" s="16" t="s">
        <v>1487</v>
      </c>
      <c r="OW300" s="16" t="s">
        <v>1487</v>
      </c>
      <c r="OX300" s="16" t="s">
        <v>1487</v>
      </c>
      <c r="OY300" s="16" t="s">
        <v>1487</v>
      </c>
      <c r="OZ300" s="16" t="s">
        <v>1487</v>
      </c>
      <c r="PA300" s="16" t="s">
        <v>1487</v>
      </c>
      <c r="PB300" s="16" t="s">
        <v>1487</v>
      </c>
      <c r="PC300" s="16" t="s">
        <v>1487</v>
      </c>
      <c r="PD300" s="16" t="s">
        <v>1487</v>
      </c>
      <c r="PE300" s="16" t="s">
        <v>1487</v>
      </c>
      <c r="PF300" s="16" t="s">
        <v>1487</v>
      </c>
      <c r="PG300" s="16" t="s">
        <v>1487</v>
      </c>
      <c r="PH300" s="16" t="s">
        <v>1487</v>
      </c>
      <c r="PI300" s="16" t="s">
        <v>1487</v>
      </c>
      <c r="PJ300" s="16" t="s">
        <v>1487</v>
      </c>
      <c r="PK300" s="16" t="s">
        <v>1487</v>
      </c>
      <c r="PL300" s="16" t="s">
        <v>1487</v>
      </c>
      <c r="PM300" s="16" t="s">
        <v>1487</v>
      </c>
      <c r="PN300" s="16" t="s">
        <v>1487</v>
      </c>
      <c r="PO300" s="16" t="s">
        <v>1487</v>
      </c>
      <c r="PP300" s="16" t="s">
        <v>1487</v>
      </c>
      <c r="PQ300" s="16" t="s">
        <v>1487</v>
      </c>
      <c r="PR300" s="16" t="s">
        <v>1487</v>
      </c>
      <c r="PS300" s="16" t="s">
        <v>1487</v>
      </c>
      <c r="PT300" s="16" t="s">
        <v>1487</v>
      </c>
      <c r="PU300" s="16" t="s">
        <v>1487</v>
      </c>
      <c r="PV300" s="16" t="s">
        <v>1487</v>
      </c>
      <c r="PW300" s="16" t="s">
        <v>1487</v>
      </c>
      <c r="PX300" s="16" t="s">
        <v>1487</v>
      </c>
      <c r="PY300" s="16" t="s">
        <v>1487</v>
      </c>
      <c r="PZ300" s="16" t="s">
        <v>1487</v>
      </c>
      <c r="QA300" s="16" t="s">
        <v>1487</v>
      </c>
      <c r="QB300" s="16" t="s">
        <v>1487</v>
      </c>
      <c r="QC300" s="16" t="s">
        <v>1487</v>
      </c>
      <c r="QD300" s="16" t="s">
        <v>1487</v>
      </c>
      <c r="QE300" s="16" t="s">
        <v>1487</v>
      </c>
      <c r="QF300" s="16" t="s">
        <v>1487</v>
      </c>
      <c r="QG300" s="16" t="s">
        <v>1487</v>
      </c>
      <c r="QH300" s="16" t="s">
        <v>1487</v>
      </c>
      <c r="QI300" s="16" t="s">
        <v>1487</v>
      </c>
      <c r="QJ300" s="16" t="s">
        <v>1487</v>
      </c>
      <c r="QK300" s="16" t="s">
        <v>1487</v>
      </c>
      <c r="QL300" s="16" t="s">
        <v>1487</v>
      </c>
      <c r="QM300" s="16" t="s">
        <v>1487</v>
      </c>
      <c r="QN300" s="16" t="s">
        <v>1487</v>
      </c>
      <c r="QO300" s="16" t="s">
        <v>1487</v>
      </c>
      <c r="QP300" s="16" t="s">
        <v>1487</v>
      </c>
      <c r="QQ300" s="16" t="s">
        <v>1487</v>
      </c>
      <c r="QR300" s="16" t="s">
        <v>1487</v>
      </c>
      <c r="QS300" s="16" t="s">
        <v>1487</v>
      </c>
      <c r="QT300" s="16" t="s">
        <v>1487</v>
      </c>
      <c r="QU300" s="16" t="s">
        <v>1487</v>
      </c>
      <c r="QV300" s="16" t="s">
        <v>1487</v>
      </c>
      <c r="QW300" s="16" t="s">
        <v>1487</v>
      </c>
      <c r="QX300" s="16" t="s">
        <v>1487</v>
      </c>
      <c r="QY300" s="16" t="s">
        <v>1487</v>
      </c>
      <c r="QZ300" s="16" t="s">
        <v>1487</v>
      </c>
      <c r="RA300" s="16" t="s">
        <v>1487</v>
      </c>
      <c r="RB300" s="16" t="s">
        <v>1487</v>
      </c>
      <c r="RC300" s="16" t="s">
        <v>1487</v>
      </c>
      <c r="RD300" s="16" t="s">
        <v>1487</v>
      </c>
      <c r="RE300" s="16" t="s">
        <v>1487</v>
      </c>
      <c r="RF300" s="16" t="s">
        <v>1487</v>
      </c>
      <c r="RG300" s="16" t="s">
        <v>1487</v>
      </c>
      <c r="RH300" s="16" t="s">
        <v>1487</v>
      </c>
      <c r="RI300" s="16" t="s">
        <v>1487</v>
      </c>
      <c r="RJ300" s="16" t="s">
        <v>1487</v>
      </c>
      <c r="RK300" s="16" t="s">
        <v>1487</v>
      </c>
      <c r="RL300" s="16" t="s">
        <v>1487</v>
      </c>
      <c r="RM300" s="16" t="s">
        <v>1487</v>
      </c>
      <c r="RN300" s="16" t="s">
        <v>1487</v>
      </c>
      <c r="RO300" s="16" t="s">
        <v>1487</v>
      </c>
      <c r="RP300" s="16" t="s">
        <v>1487</v>
      </c>
      <c r="RQ300" s="16" t="s">
        <v>1487</v>
      </c>
      <c r="RR300" s="16" t="s">
        <v>1487</v>
      </c>
      <c r="RS300" s="16" t="s">
        <v>1487</v>
      </c>
      <c r="RT300" s="16" t="s">
        <v>1487</v>
      </c>
      <c r="RU300" s="16" t="s">
        <v>1487</v>
      </c>
      <c r="RV300" s="16" t="s">
        <v>1487</v>
      </c>
      <c r="RW300" s="16" t="s">
        <v>1487</v>
      </c>
      <c r="RX300" s="16" t="s">
        <v>1487</v>
      </c>
      <c r="RY300" s="16" t="s">
        <v>1487</v>
      </c>
      <c r="RZ300" s="16" t="s">
        <v>1487</v>
      </c>
      <c r="SA300" s="16" t="s">
        <v>1487</v>
      </c>
      <c r="SB300" s="16" t="s">
        <v>1487</v>
      </c>
      <c r="SC300" s="16" t="s">
        <v>1487</v>
      </c>
      <c r="SD300" s="16" t="s">
        <v>1487</v>
      </c>
      <c r="SE300" s="16" t="s">
        <v>1487</v>
      </c>
      <c r="SF300" s="16" t="s">
        <v>1487</v>
      </c>
      <c r="SG300" s="16" t="s">
        <v>1487</v>
      </c>
      <c r="SH300" s="16" t="s">
        <v>1487</v>
      </c>
      <c r="SI300" s="16" t="s">
        <v>1487</v>
      </c>
      <c r="SJ300" s="16" t="s">
        <v>1487</v>
      </c>
      <c r="SK300" s="16" t="s">
        <v>1487</v>
      </c>
      <c r="SL300" s="16" t="s">
        <v>1487</v>
      </c>
      <c r="SM300" s="16" t="s">
        <v>1487</v>
      </c>
      <c r="SN300" s="16" t="s">
        <v>1487</v>
      </c>
      <c r="SO300" s="16" t="s">
        <v>1487</v>
      </c>
      <c r="SP300" s="16" t="s">
        <v>1487</v>
      </c>
      <c r="SQ300" s="16" t="s">
        <v>1487</v>
      </c>
      <c r="SR300" s="16" t="s">
        <v>1487</v>
      </c>
      <c r="SS300" s="16" t="s">
        <v>1487</v>
      </c>
      <c r="ST300" s="16" t="s">
        <v>1487</v>
      </c>
      <c r="SU300" s="16" t="s">
        <v>1487</v>
      </c>
      <c r="SV300" s="16" t="s">
        <v>1487</v>
      </c>
      <c r="SW300" s="16" t="s">
        <v>1487</v>
      </c>
      <c r="SX300" s="16" t="s">
        <v>1487</v>
      </c>
      <c r="SY300" s="16" t="s">
        <v>1487</v>
      </c>
      <c r="SZ300" s="16" t="s">
        <v>1487</v>
      </c>
      <c r="TA300" s="16" t="s">
        <v>1487</v>
      </c>
      <c r="TB300" s="16" t="s">
        <v>1487</v>
      </c>
      <c r="TC300" s="16" t="s">
        <v>1487</v>
      </c>
      <c r="TD300" s="16" t="s">
        <v>1487</v>
      </c>
      <c r="TE300" s="16" t="s">
        <v>1487</v>
      </c>
      <c r="TF300" s="16" t="s">
        <v>1487</v>
      </c>
      <c r="TG300" s="16" t="s">
        <v>1487</v>
      </c>
      <c r="TH300" s="16" t="s">
        <v>1487</v>
      </c>
      <c r="TI300" s="16" t="s">
        <v>1487</v>
      </c>
      <c r="TJ300" s="16" t="s">
        <v>1487</v>
      </c>
      <c r="TK300" s="16" t="s">
        <v>1487</v>
      </c>
      <c r="TL300" s="16" t="s">
        <v>1487</v>
      </c>
      <c r="TM300" s="16" t="s">
        <v>1487</v>
      </c>
      <c r="TN300" s="16" t="s">
        <v>1487</v>
      </c>
      <c r="TO300" s="16" t="s">
        <v>1487</v>
      </c>
      <c r="TP300" s="16" t="s">
        <v>1487</v>
      </c>
      <c r="TQ300" s="16" t="s">
        <v>1487</v>
      </c>
      <c r="TR300" s="16" t="s">
        <v>1487</v>
      </c>
      <c r="TS300" s="16" t="s">
        <v>1487</v>
      </c>
      <c r="TT300" s="16" t="s">
        <v>1487</v>
      </c>
      <c r="TU300" s="16" t="s">
        <v>1487</v>
      </c>
      <c r="TV300" s="16" t="s">
        <v>1487</v>
      </c>
      <c r="TW300" s="16" t="s">
        <v>1487</v>
      </c>
      <c r="TX300" s="16" t="s">
        <v>1487</v>
      </c>
      <c r="TY300" s="16" t="s">
        <v>1487</v>
      </c>
      <c r="TZ300" s="16" t="s">
        <v>1487</v>
      </c>
      <c r="UA300" s="16" t="s">
        <v>1487</v>
      </c>
      <c r="UB300" s="16" t="s">
        <v>1487</v>
      </c>
      <c r="UC300" s="16" t="s">
        <v>1487</v>
      </c>
      <c r="UD300" s="16" t="s">
        <v>1487</v>
      </c>
      <c r="UE300" s="16" t="s">
        <v>1487</v>
      </c>
      <c r="UF300" s="16" t="s">
        <v>1487</v>
      </c>
      <c r="UG300" s="16" t="s">
        <v>1487</v>
      </c>
      <c r="UH300" s="16" t="s">
        <v>1487</v>
      </c>
      <c r="UI300" s="16" t="s">
        <v>1487</v>
      </c>
      <c r="UJ300" s="16" t="s">
        <v>1487</v>
      </c>
      <c r="UK300" s="16" t="s">
        <v>1487</v>
      </c>
      <c r="UL300" s="16" t="s">
        <v>1487</v>
      </c>
      <c r="UM300" s="16" t="s">
        <v>1487</v>
      </c>
      <c r="UN300" s="16" t="s">
        <v>1487</v>
      </c>
      <c r="UO300" s="16" t="s">
        <v>1487</v>
      </c>
      <c r="UP300" s="16" t="s">
        <v>1487</v>
      </c>
      <c r="UQ300" s="16" t="s">
        <v>1487</v>
      </c>
      <c r="UR300" s="16" t="s">
        <v>1487</v>
      </c>
      <c r="US300" s="16" t="s">
        <v>1487</v>
      </c>
      <c r="UT300" s="16" t="s">
        <v>1487</v>
      </c>
      <c r="UU300" s="16" t="s">
        <v>1487</v>
      </c>
      <c r="UV300" s="16" t="s">
        <v>1487</v>
      </c>
      <c r="UW300" s="16" t="s">
        <v>1487</v>
      </c>
      <c r="UX300" s="16" t="s">
        <v>1487</v>
      </c>
      <c r="UY300" s="16" t="s">
        <v>1487</v>
      </c>
      <c r="UZ300" s="16" t="s">
        <v>1487</v>
      </c>
      <c r="VA300" s="16" t="s">
        <v>1487</v>
      </c>
      <c r="VB300" s="16" t="s">
        <v>1487</v>
      </c>
      <c r="VC300" s="16" t="s">
        <v>1487</v>
      </c>
      <c r="VD300" s="16" t="s">
        <v>1487</v>
      </c>
      <c r="VE300" s="16" t="s">
        <v>1487</v>
      </c>
      <c r="VF300" s="16" t="s">
        <v>1487</v>
      </c>
      <c r="VG300" s="16" t="s">
        <v>1487</v>
      </c>
      <c r="VH300" s="16" t="s">
        <v>1487</v>
      </c>
      <c r="VI300" s="16" t="s">
        <v>1487</v>
      </c>
      <c r="VJ300" s="16" t="s">
        <v>1487</v>
      </c>
      <c r="VK300" s="16" t="s">
        <v>1487</v>
      </c>
      <c r="VL300" s="16" t="s">
        <v>1487</v>
      </c>
      <c r="VM300" s="16" t="s">
        <v>1487</v>
      </c>
      <c r="VN300" s="16" t="s">
        <v>1487</v>
      </c>
      <c r="VO300" s="16" t="s">
        <v>1487</v>
      </c>
      <c r="VP300" s="16" t="s">
        <v>1487</v>
      </c>
      <c r="VQ300" s="16" t="s">
        <v>1487</v>
      </c>
      <c r="VR300" s="16" t="s">
        <v>1487</v>
      </c>
      <c r="VS300" s="16" t="s">
        <v>1487</v>
      </c>
      <c r="VT300" s="16" t="s">
        <v>1487</v>
      </c>
      <c r="VU300" s="16" t="s">
        <v>1487</v>
      </c>
      <c r="VV300" s="16" t="s">
        <v>1487</v>
      </c>
      <c r="VW300" s="16" t="s">
        <v>1487</v>
      </c>
      <c r="VX300" s="16" t="s">
        <v>1487</v>
      </c>
      <c r="VY300" s="16" t="s">
        <v>1487</v>
      </c>
      <c r="VZ300" s="16" t="s">
        <v>1487</v>
      </c>
      <c r="WA300" s="16" t="s">
        <v>1487</v>
      </c>
      <c r="WB300" s="16" t="s">
        <v>1487</v>
      </c>
      <c r="WC300" s="16" t="s">
        <v>1487</v>
      </c>
      <c r="WD300" s="16" t="s">
        <v>1487</v>
      </c>
      <c r="WE300" s="16" t="s">
        <v>1487</v>
      </c>
      <c r="WF300" s="16" t="s">
        <v>1487</v>
      </c>
      <c r="WG300" s="16" t="s">
        <v>1487</v>
      </c>
      <c r="WH300" s="16" t="s">
        <v>1487</v>
      </c>
      <c r="WI300" s="16" t="s">
        <v>1487</v>
      </c>
      <c r="WJ300" s="16" t="s">
        <v>1487</v>
      </c>
      <c r="WK300" s="16" t="s">
        <v>1487</v>
      </c>
      <c r="WL300" s="16" t="s">
        <v>1487</v>
      </c>
      <c r="WM300" s="16" t="s">
        <v>1487</v>
      </c>
      <c r="WN300" s="16" t="s">
        <v>1487</v>
      </c>
      <c r="WO300" s="16" t="s">
        <v>1487</v>
      </c>
      <c r="WP300" s="16" t="s">
        <v>1487</v>
      </c>
      <c r="WQ300" s="16" t="s">
        <v>1487</v>
      </c>
      <c r="WR300" s="16" t="s">
        <v>1487</v>
      </c>
      <c r="WS300" s="16" t="s">
        <v>1487</v>
      </c>
      <c r="WT300" s="16" t="s">
        <v>1487</v>
      </c>
      <c r="WU300" s="16" t="s">
        <v>1487</v>
      </c>
      <c r="WV300" s="16" t="s">
        <v>1487</v>
      </c>
      <c r="WW300" s="16" t="s">
        <v>1487</v>
      </c>
      <c r="WX300" s="16" t="s">
        <v>1487</v>
      </c>
      <c r="WY300" s="16" t="s">
        <v>1487</v>
      </c>
      <c r="WZ300" s="16" t="s">
        <v>1487</v>
      </c>
      <c r="XA300" s="16" t="s">
        <v>1487</v>
      </c>
      <c r="XB300" s="16" t="s">
        <v>1487</v>
      </c>
      <c r="XC300" s="16" t="s">
        <v>1487</v>
      </c>
      <c r="XD300" s="16" t="s">
        <v>1487</v>
      </c>
      <c r="XE300" s="16" t="s">
        <v>1487</v>
      </c>
      <c r="XF300" s="16" t="s">
        <v>1487</v>
      </c>
      <c r="XG300" s="16" t="s">
        <v>1487</v>
      </c>
      <c r="XH300" s="16" t="s">
        <v>1487</v>
      </c>
      <c r="XI300" s="16" t="s">
        <v>1487</v>
      </c>
      <c r="XJ300" s="16" t="s">
        <v>1487</v>
      </c>
      <c r="XK300" s="16" t="s">
        <v>1487</v>
      </c>
      <c r="XL300" s="16" t="s">
        <v>1487</v>
      </c>
      <c r="XM300" s="16" t="s">
        <v>1487</v>
      </c>
      <c r="XN300" s="16" t="s">
        <v>1487</v>
      </c>
      <c r="XO300" s="16" t="s">
        <v>1487</v>
      </c>
      <c r="XP300" s="16" t="s">
        <v>1487</v>
      </c>
      <c r="XQ300" s="16" t="s">
        <v>1487</v>
      </c>
      <c r="XR300" s="16" t="s">
        <v>1487</v>
      </c>
      <c r="XS300" s="16" t="s">
        <v>1487</v>
      </c>
      <c r="XT300" s="16" t="s">
        <v>1487</v>
      </c>
      <c r="XU300" s="16" t="s">
        <v>1487</v>
      </c>
      <c r="XV300" s="16" t="s">
        <v>1487</v>
      </c>
      <c r="XW300" s="16" t="s">
        <v>1487</v>
      </c>
      <c r="XX300" s="16" t="s">
        <v>1487</v>
      </c>
      <c r="XY300" s="16" t="s">
        <v>1487</v>
      </c>
      <c r="XZ300" s="16" t="s">
        <v>1487</v>
      </c>
      <c r="YA300" s="16" t="s">
        <v>1487</v>
      </c>
      <c r="YB300" s="16" t="s">
        <v>1487</v>
      </c>
      <c r="YC300" s="16" t="s">
        <v>1487</v>
      </c>
      <c r="YD300" s="16" t="s">
        <v>1487</v>
      </c>
      <c r="YE300" s="16" t="s">
        <v>1487</v>
      </c>
      <c r="YF300" s="16" t="s">
        <v>1487</v>
      </c>
      <c r="YG300" s="16" t="s">
        <v>1487</v>
      </c>
      <c r="YH300" s="16" t="s">
        <v>1487</v>
      </c>
      <c r="YI300" s="16" t="s">
        <v>1487</v>
      </c>
      <c r="YJ300" s="16" t="s">
        <v>1487</v>
      </c>
      <c r="YK300" s="16" t="s">
        <v>1487</v>
      </c>
      <c r="YL300" s="16" t="s">
        <v>1487</v>
      </c>
      <c r="YM300" s="16" t="s">
        <v>1487</v>
      </c>
      <c r="YN300" s="16" t="s">
        <v>1487</v>
      </c>
      <c r="YO300" s="16" t="s">
        <v>1487</v>
      </c>
      <c r="YP300" s="16" t="s">
        <v>1487</v>
      </c>
      <c r="YQ300" s="16" t="s">
        <v>1487</v>
      </c>
      <c r="YR300" s="16" t="s">
        <v>1487</v>
      </c>
      <c r="YS300" s="16" t="s">
        <v>1487</v>
      </c>
      <c r="YT300" s="16" t="s">
        <v>1487</v>
      </c>
      <c r="YU300" s="16" t="s">
        <v>1487</v>
      </c>
      <c r="YV300" s="16" t="s">
        <v>1487</v>
      </c>
      <c r="YW300" s="16" t="s">
        <v>1487</v>
      </c>
      <c r="YX300" s="16" t="s">
        <v>1487</v>
      </c>
      <c r="YY300" s="16" t="s">
        <v>1487</v>
      </c>
      <c r="YZ300" s="16" t="s">
        <v>1487</v>
      </c>
      <c r="ZA300" s="16" t="s">
        <v>1487</v>
      </c>
      <c r="ZB300" s="16" t="s">
        <v>1487</v>
      </c>
      <c r="ZC300" s="16" t="s">
        <v>1487</v>
      </c>
      <c r="ZD300" s="16" t="s">
        <v>1487</v>
      </c>
      <c r="ZE300" s="16" t="s">
        <v>1487</v>
      </c>
      <c r="ZF300" s="16" t="s">
        <v>1487</v>
      </c>
      <c r="ZG300" s="16" t="s">
        <v>1487</v>
      </c>
      <c r="ZH300" s="16" t="s">
        <v>1487</v>
      </c>
      <c r="ZI300" s="16" t="s">
        <v>1487</v>
      </c>
      <c r="ZJ300" s="16" t="s">
        <v>1487</v>
      </c>
      <c r="ZK300" s="16" t="s">
        <v>1487</v>
      </c>
      <c r="ZL300" s="16" t="s">
        <v>1487</v>
      </c>
      <c r="ZM300" s="16" t="s">
        <v>1487</v>
      </c>
      <c r="ZN300" s="16" t="s">
        <v>1487</v>
      </c>
      <c r="ZO300" s="16" t="s">
        <v>1487</v>
      </c>
      <c r="ZP300" s="16" t="s">
        <v>1487</v>
      </c>
      <c r="ZQ300" s="16" t="s">
        <v>1487</v>
      </c>
      <c r="ZR300" s="16" t="s">
        <v>1487</v>
      </c>
      <c r="ZS300" s="16" t="s">
        <v>1487</v>
      </c>
      <c r="ZT300" s="16" t="s">
        <v>1487</v>
      </c>
      <c r="ZU300" s="16" t="s">
        <v>1487</v>
      </c>
      <c r="ZV300" s="16" t="s">
        <v>1487</v>
      </c>
      <c r="ZW300" s="16" t="s">
        <v>1487</v>
      </c>
      <c r="ZX300" s="16" t="s">
        <v>1487</v>
      </c>
      <c r="ZY300" s="16" t="s">
        <v>1487</v>
      </c>
      <c r="ZZ300" s="16" t="s">
        <v>1487</v>
      </c>
      <c r="AAA300" s="16" t="s">
        <v>1487</v>
      </c>
      <c r="AAB300" s="16" t="s">
        <v>1487</v>
      </c>
      <c r="AAC300" s="16" t="s">
        <v>1487</v>
      </c>
      <c r="AAD300" s="16" t="s">
        <v>1487</v>
      </c>
      <c r="AAE300" s="16" t="s">
        <v>1487</v>
      </c>
      <c r="AAF300" s="16" t="s">
        <v>1487</v>
      </c>
      <c r="AAG300" s="16" t="s">
        <v>1487</v>
      </c>
      <c r="AAH300" s="16" t="s">
        <v>1487</v>
      </c>
      <c r="AAI300" s="16" t="s">
        <v>1487</v>
      </c>
      <c r="AAJ300" s="16" t="s">
        <v>1487</v>
      </c>
      <c r="AAK300" s="16" t="s">
        <v>1487</v>
      </c>
      <c r="AAL300" s="16" t="s">
        <v>1487</v>
      </c>
      <c r="AAM300" s="16" t="s">
        <v>1487</v>
      </c>
      <c r="AAN300" s="16" t="s">
        <v>1487</v>
      </c>
      <c r="AAO300" s="16" t="s">
        <v>1487</v>
      </c>
      <c r="AAP300" s="16" t="s">
        <v>1487</v>
      </c>
      <c r="AAQ300" s="16" t="s">
        <v>1487</v>
      </c>
      <c r="AAR300" s="16" t="s">
        <v>1487</v>
      </c>
      <c r="AAS300" s="16" t="s">
        <v>1487</v>
      </c>
      <c r="AAT300" s="16" t="s">
        <v>1487</v>
      </c>
      <c r="AAU300" s="16" t="s">
        <v>1487</v>
      </c>
      <c r="AAV300" s="16" t="s">
        <v>1487</v>
      </c>
      <c r="AAW300" s="16" t="s">
        <v>1487</v>
      </c>
      <c r="AAX300" s="16" t="s">
        <v>1487</v>
      </c>
      <c r="AAY300" s="16" t="s">
        <v>1487</v>
      </c>
      <c r="AAZ300" s="16" t="s">
        <v>1487</v>
      </c>
      <c r="ABA300" s="16" t="s">
        <v>1487</v>
      </c>
      <c r="ABB300" s="16" t="s">
        <v>1487</v>
      </c>
      <c r="ABC300" s="16" t="s">
        <v>1487</v>
      </c>
      <c r="ABD300" s="16" t="s">
        <v>1487</v>
      </c>
      <c r="ABE300" s="16" t="s">
        <v>1487</v>
      </c>
      <c r="ABF300" s="16" t="s">
        <v>1487</v>
      </c>
      <c r="ABG300" s="16" t="s">
        <v>1487</v>
      </c>
      <c r="ABH300" s="16" t="s">
        <v>1487</v>
      </c>
      <c r="ABI300" s="16" t="s">
        <v>1487</v>
      </c>
      <c r="ABJ300" s="16" t="s">
        <v>1487</v>
      </c>
      <c r="ABK300" s="16" t="s">
        <v>1487</v>
      </c>
      <c r="ABL300" s="16" t="s">
        <v>1487</v>
      </c>
      <c r="ABM300" s="16" t="s">
        <v>1487</v>
      </c>
      <c r="ABN300" s="16" t="s">
        <v>1487</v>
      </c>
      <c r="ABO300" s="16" t="s">
        <v>1487</v>
      </c>
      <c r="ABP300" s="16" t="s">
        <v>1487</v>
      </c>
      <c r="ABQ300" s="16" t="s">
        <v>1487</v>
      </c>
      <c r="ABR300" s="16" t="s">
        <v>1487</v>
      </c>
      <c r="ABS300" s="16" t="s">
        <v>1487</v>
      </c>
      <c r="ABT300" s="16" t="s">
        <v>1487</v>
      </c>
      <c r="ABU300" s="16" t="s">
        <v>1487</v>
      </c>
      <c r="ABV300" s="16" t="s">
        <v>1487</v>
      </c>
      <c r="ABW300" s="16" t="s">
        <v>1487</v>
      </c>
      <c r="ABX300" s="16" t="s">
        <v>1487</v>
      </c>
      <c r="ABY300" s="16" t="s">
        <v>1487</v>
      </c>
      <c r="ABZ300" s="16" t="s">
        <v>1487</v>
      </c>
      <c r="ACA300" s="16" t="s">
        <v>1487</v>
      </c>
      <c r="ACB300" s="16" t="s">
        <v>1487</v>
      </c>
      <c r="ACC300" s="16" t="s">
        <v>1487</v>
      </c>
      <c r="ACD300" s="16" t="s">
        <v>1487</v>
      </c>
      <c r="ACE300" s="16" t="s">
        <v>1487</v>
      </c>
      <c r="ACF300" s="16" t="s">
        <v>1487</v>
      </c>
      <c r="ACG300" s="16" t="s">
        <v>1487</v>
      </c>
      <c r="ACH300" s="16" t="s">
        <v>1487</v>
      </c>
      <c r="ACI300" s="16" t="s">
        <v>1487</v>
      </c>
      <c r="ACJ300" s="16" t="s">
        <v>1487</v>
      </c>
      <c r="ACK300" s="16" t="s">
        <v>1487</v>
      </c>
      <c r="ACL300" s="16" t="s">
        <v>1487</v>
      </c>
      <c r="ACM300" s="16" t="s">
        <v>1487</v>
      </c>
      <c r="ACN300" s="16" t="s">
        <v>1487</v>
      </c>
      <c r="ACO300" s="16" t="s">
        <v>1487</v>
      </c>
      <c r="ACP300" s="16" t="s">
        <v>1487</v>
      </c>
      <c r="ACQ300" s="16" t="s">
        <v>1487</v>
      </c>
      <c r="ACR300" s="16" t="s">
        <v>1487</v>
      </c>
      <c r="ACS300" s="16" t="s">
        <v>1487</v>
      </c>
      <c r="ACT300" s="16" t="s">
        <v>1487</v>
      </c>
      <c r="ACU300" s="16" t="s">
        <v>1487</v>
      </c>
      <c r="ACV300" s="16" t="s">
        <v>1487</v>
      </c>
      <c r="ACW300" s="16" t="s">
        <v>1487</v>
      </c>
      <c r="ACX300" s="16" t="s">
        <v>1487</v>
      </c>
      <c r="ACY300" s="16" t="s">
        <v>1487</v>
      </c>
      <c r="ACZ300" s="16" t="s">
        <v>1487</v>
      </c>
      <c r="ADA300" s="16" t="s">
        <v>1487</v>
      </c>
      <c r="ADB300" s="16" t="s">
        <v>1487</v>
      </c>
      <c r="ADC300" s="16" t="s">
        <v>1487</v>
      </c>
      <c r="ADD300" s="16" t="s">
        <v>1487</v>
      </c>
      <c r="ADE300" s="16" t="s">
        <v>1487</v>
      </c>
      <c r="ADF300" s="16" t="s">
        <v>1487</v>
      </c>
      <c r="ADG300" s="16" t="s">
        <v>1487</v>
      </c>
      <c r="ADH300" s="16" t="s">
        <v>1487</v>
      </c>
      <c r="ADI300" s="16" t="s">
        <v>1487</v>
      </c>
      <c r="ADJ300" s="16" t="s">
        <v>1487</v>
      </c>
      <c r="ADK300" s="16" t="s">
        <v>1487</v>
      </c>
      <c r="ADL300" s="16" t="s">
        <v>1487</v>
      </c>
      <c r="ADM300" s="16" t="s">
        <v>1487</v>
      </c>
      <c r="ADN300" s="16" t="s">
        <v>1487</v>
      </c>
      <c r="ADO300" s="16" t="s">
        <v>1487</v>
      </c>
      <c r="ADP300" s="16" t="s">
        <v>1487</v>
      </c>
      <c r="ADQ300" s="16" t="s">
        <v>1487</v>
      </c>
      <c r="ADR300" s="16" t="s">
        <v>1487</v>
      </c>
      <c r="ADS300" s="16" t="s">
        <v>1487</v>
      </c>
      <c r="ADT300" s="16" t="s">
        <v>1487</v>
      </c>
      <c r="ADU300" s="16" t="s">
        <v>1487</v>
      </c>
      <c r="ADV300" s="16" t="s">
        <v>1487</v>
      </c>
      <c r="ADW300" s="16" t="s">
        <v>1487</v>
      </c>
      <c r="ADX300" s="16" t="s">
        <v>1487</v>
      </c>
      <c r="ADY300" s="16" t="s">
        <v>1487</v>
      </c>
      <c r="ADZ300" s="16" t="s">
        <v>1487</v>
      </c>
      <c r="AEA300" s="16" t="s">
        <v>1487</v>
      </c>
      <c r="AEB300" s="16" t="s">
        <v>1487</v>
      </c>
      <c r="AEC300" s="16" t="s">
        <v>1487</v>
      </c>
      <c r="AED300" s="16" t="s">
        <v>1487</v>
      </c>
      <c r="AEE300" s="16" t="s">
        <v>1487</v>
      </c>
      <c r="AEF300" s="16" t="s">
        <v>1487</v>
      </c>
      <c r="AEG300" s="16" t="s">
        <v>1487</v>
      </c>
      <c r="AEH300" s="16" t="s">
        <v>1487</v>
      </c>
      <c r="AEI300" s="16" t="s">
        <v>1487</v>
      </c>
      <c r="AEJ300" s="16" t="s">
        <v>1487</v>
      </c>
      <c r="AEK300" s="16" t="s">
        <v>1487</v>
      </c>
      <c r="AEL300" s="16" t="s">
        <v>1487</v>
      </c>
      <c r="AEM300" s="16" t="s">
        <v>1487</v>
      </c>
      <c r="AEN300" s="16" t="s">
        <v>1487</v>
      </c>
      <c r="AEO300" s="16" t="s">
        <v>1487</v>
      </c>
      <c r="AEP300" s="16" t="s">
        <v>1487</v>
      </c>
      <c r="AEQ300" s="16" t="s">
        <v>1487</v>
      </c>
      <c r="AER300" s="16" t="s">
        <v>1487</v>
      </c>
      <c r="AES300" s="16" t="s">
        <v>1487</v>
      </c>
      <c r="AET300" s="16" t="s">
        <v>1487</v>
      </c>
      <c r="AEU300" s="16" t="s">
        <v>1487</v>
      </c>
      <c r="AEV300" s="16" t="s">
        <v>1487</v>
      </c>
      <c r="AEW300" s="16" t="s">
        <v>1487</v>
      </c>
      <c r="AEX300" s="16" t="s">
        <v>1487</v>
      </c>
      <c r="AEY300" s="16" t="s">
        <v>1487</v>
      </c>
      <c r="AEZ300" s="16" t="s">
        <v>1487</v>
      </c>
      <c r="AFA300" s="16" t="s">
        <v>1487</v>
      </c>
      <c r="AFB300" s="16" t="s">
        <v>1487</v>
      </c>
      <c r="AFC300" s="16" t="s">
        <v>1487</v>
      </c>
      <c r="AFD300" s="16" t="s">
        <v>1487</v>
      </c>
      <c r="AFE300" s="16" t="s">
        <v>1487</v>
      </c>
      <c r="AFF300" s="16" t="s">
        <v>1487</v>
      </c>
      <c r="AFG300" s="16" t="s">
        <v>1487</v>
      </c>
      <c r="AFH300" s="16" t="s">
        <v>1487</v>
      </c>
      <c r="AFI300" s="16" t="s">
        <v>1487</v>
      </c>
      <c r="AFJ300" s="16" t="s">
        <v>1487</v>
      </c>
      <c r="AFK300" s="16" t="s">
        <v>1487</v>
      </c>
      <c r="AFL300" s="16" t="s">
        <v>1487</v>
      </c>
      <c r="AFM300" s="16" t="s">
        <v>1487</v>
      </c>
      <c r="AFN300" s="16" t="s">
        <v>1487</v>
      </c>
      <c r="AFO300" s="16" t="s">
        <v>1487</v>
      </c>
      <c r="AFP300" s="16" t="s">
        <v>1487</v>
      </c>
      <c r="AFQ300" s="16" t="s">
        <v>1487</v>
      </c>
      <c r="AFR300" s="16" t="s">
        <v>1487</v>
      </c>
      <c r="AFS300" s="16" t="s">
        <v>1487</v>
      </c>
      <c r="AFT300" s="16" t="s">
        <v>1487</v>
      </c>
      <c r="AFU300" s="16" t="s">
        <v>1487</v>
      </c>
      <c r="AFV300" s="16" t="s">
        <v>1487</v>
      </c>
      <c r="AFW300" s="16" t="s">
        <v>1487</v>
      </c>
      <c r="AFX300" s="16" t="s">
        <v>1487</v>
      </c>
      <c r="AFY300" s="16" t="s">
        <v>1487</v>
      </c>
      <c r="AFZ300" s="16" t="s">
        <v>1487</v>
      </c>
      <c r="AGA300" s="16" t="s">
        <v>1487</v>
      </c>
      <c r="AGB300" s="16" t="s">
        <v>1487</v>
      </c>
      <c r="AGC300" s="16" t="s">
        <v>1487</v>
      </c>
      <c r="AGD300" s="16" t="s">
        <v>1487</v>
      </c>
      <c r="AGE300" s="16" t="s">
        <v>1487</v>
      </c>
      <c r="AGF300" s="16" t="s">
        <v>1487</v>
      </c>
      <c r="AGG300" s="16" t="s">
        <v>1487</v>
      </c>
      <c r="AGH300" s="16" t="s">
        <v>1487</v>
      </c>
      <c r="AGI300" s="16" t="s">
        <v>1487</v>
      </c>
      <c r="AGJ300" s="16" t="s">
        <v>1487</v>
      </c>
      <c r="AGK300" s="16" t="s">
        <v>1487</v>
      </c>
      <c r="AGL300" s="16" t="s">
        <v>1487</v>
      </c>
      <c r="AGM300" s="16" t="s">
        <v>1487</v>
      </c>
      <c r="AGN300" s="16" t="s">
        <v>1487</v>
      </c>
      <c r="AGO300" s="16" t="s">
        <v>1487</v>
      </c>
      <c r="AGP300" s="16" t="s">
        <v>1487</v>
      </c>
      <c r="AGQ300" s="16" t="s">
        <v>1487</v>
      </c>
      <c r="AGR300" s="16" t="s">
        <v>1487</v>
      </c>
      <c r="AGS300" s="16" t="s">
        <v>1487</v>
      </c>
      <c r="AGT300" s="16" t="s">
        <v>1487</v>
      </c>
      <c r="AGU300" s="16" t="s">
        <v>1487</v>
      </c>
      <c r="AGV300" s="16" t="s">
        <v>1487</v>
      </c>
      <c r="AGW300" s="16" t="s">
        <v>1487</v>
      </c>
      <c r="AGX300" s="16" t="s">
        <v>1487</v>
      </c>
      <c r="AGY300" s="16" t="s">
        <v>1487</v>
      </c>
      <c r="AGZ300" s="16" t="s">
        <v>1487</v>
      </c>
      <c r="AHA300" s="16" t="s">
        <v>1487</v>
      </c>
      <c r="AHB300" s="16" t="s">
        <v>1487</v>
      </c>
      <c r="AHC300" s="16" t="s">
        <v>1487</v>
      </c>
      <c r="AHD300" s="16" t="s">
        <v>1487</v>
      </c>
      <c r="AHE300" s="16" t="s">
        <v>1487</v>
      </c>
      <c r="AHF300" s="16" t="s">
        <v>1487</v>
      </c>
      <c r="AHG300" s="16" t="s">
        <v>1487</v>
      </c>
      <c r="AHH300" s="16" t="s">
        <v>1487</v>
      </c>
      <c r="AHI300" s="16" t="s">
        <v>1487</v>
      </c>
      <c r="AHJ300" s="16" t="s">
        <v>1487</v>
      </c>
      <c r="AHK300" s="16" t="s">
        <v>1487</v>
      </c>
      <c r="AHL300" s="16" t="s">
        <v>1487</v>
      </c>
      <c r="AHM300" s="16" t="s">
        <v>1487</v>
      </c>
      <c r="AHN300" s="16" t="s">
        <v>1487</v>
      </c>
      <c r="AHO300" s="16" t="s">
        <v>1487</v>
      </c>
      <c r="AHP300" s="16" t="s">
        <v>1487</v>
      </c>
      <c r="AHQ300" s="16" t="s">
        <v>1487</v>
      </c>
      <c r="AHR300" s="16" t="s">
        <v>1487</v>
      </c>
      <c r="AHS300" s="16" t="s">
        <v>1487</v>
      </c>
      <c r="AHT300" s="16" t="s">
        <v>1487</v>
      </c>
      <c r="AHU300" s="16" t="s">
        <v>1487</v>
      </c>
      <c r="AHV300" s="16" t="s">
        <v>1487</v>
      </c>
      <c r="AHW300" s="16" t="s">
        <v>1487</v>
      </c>
      <c r="AHX300" s="16" t="s">
        <v>1487</v>
      </c>
      <c r="AHY300" s="16" t="s">
        <v>1487</v>
      </c>
      <c r="AHZ300" s="16" t="s">
        <v>1487</v>
      </c>
      <c r="AIA300" s="16" t="s">
        <v>1487</v>
      </c>
      <c r="AIB300" s="16" t="s">
        <v>1487</v>
      </c>
      <c r="AIC300" s="16" t="s">
        <v>1487</v>
      </c>
      <c r="AID300" s="16" t="s">
        <v>1487</v>
      </c>
      <c r="AIE300" s="16" t="s">
        <v>1487</v>
      </c>
      <c r="AIF300" s="16" t="s">
        <v>1487</v>
      </c>
      <c r="AIG300" s="16" t="s">
        <v>1487</v>
      </c>
      <c r="AIH300" s="16" t="s">
        <v>1487</v>
      </c>
      <c r="AII300" s="16" t="s">
        <v>1487</v>
      </c>
      <c r="AIJ300" s="16" t="s">
        <v>1487</v>
      </c>
      <c r="AIK300" s="16" t="s">
        <v>1487</v>
      </c>
      <c r="AIL300" s="16" t="s">
        <v>1487</v>
      </c>
      <c r="AIM300" s="16" t="s">
        <v>1487</v>
      </c>
      <c r="AIN300" s="16" t="s">
        <v>1487</v>
      </c>
      <c r="AIO300" s="16" t="s">
        <v>1487</v>
      </c>
      <c r="AIP300" s="16" t="s">
        <v>1487</v>
      </c>
      <c r="AIQ300" s="16" t="s">
        <v>1487</v>
      </c>
      <c r="AIR300" s="16" t="s">
        <v>1487</v>
      </c>
      <c r="AIS300" s="16" t="s">
        <v>1487</v>
      </c>
      <c r="AIT300" s="16" t="s">
        <v>1487</v>
      </c>
      <c r="AIU300" s="16" t="s">
        <v>1487</v>
      </c>
      <c r="AIV300" s="16" t="s">
        <v>1487</v>
      </c>
      <c r="AIW300" s="16" t="s">
        <v>1487</v>
      </c>
      <c r="AIX300" s="16" t="s">
        <v>1487</v>
      </c>
      <c r="AIY300" s="16" t="s">
        <v>1487</v>
      </c>
      <c r="AIZ300" s="16" t="s">
        <v>1487</v>
      </c>
      <c r="AJA300" s="16" t="s">
        <v>1487</v>
      </c>
      <c r="AJB300" s="16" t="s">
        <v>1487</v>
      </c>
      <c r="AJC300" s="16" t="s">
        <v>1487</v>
      </c>
      <c r="AJD300" s="16" t="s">
        <v>1487</v>
      </c>
      <c r="AJE300" s="16" t="s">
        <v>1487</v>
      </c>
      <c r="AJF300" s="16" t="s">
        <v>1487</v>
      </c>
      <c r="AJG300" s="16" t="s">
        <v>1487</v>
      </c>
      <c r="AJH300" s="16" t="s">
        <v>1487</v>
      </c>
      <c r="AJI300" s="16" t="s">
        <v>1487</v>
      </c>
      <c r="AJJ300" s="16" t="s">
        <v>1487</v>
      </c>
      <c r="AJK300" s="16" t="s">
        <v>1487</v>
      </c>
      <c r="AJL300" s="16" t="s">
        <v>1487</v>
      </c>
      <c r="AJM300" s="16" t="s">
        <v>1487</v>
      </c>
      <c r="AJN300" s="16" t="s">
        <v>1487</v>
      </c>
      <c r="AJO300" s="16" t="s">
        <v>1487</v>
      </c>
      <c r="AJP300" s="16" t="s">
        <v>1487</v>
      </c>
      <c r="AJQ300" s="16" t="s">
        <v>1487</v>
      </c>
      <c r="AJR300" s="16" t="s">
        <v>1487</v>
      </c>
      <c r="AJS300" s="16" t="s">
        <v>1487</v>
      </c>
      <c r="AJT300" s="16" t="s">
        <v>1487</v>
      </c>
      <c r="AJU300" s="16" t="s">
        <v>1487</v>
      </c>
      <c r="AJV300" s="16" t="s">
        <v>1487</v>
      </c>
      <c r="AJW300" s="16" t="s">
        <v>1487</v>
      </c>
      <c r="AJX300" s="16" t="s">
        <v>1487</v>
      </c>
      <c r="AJY300" s="16" t="s">
        <v>1487</v>
      </c>
      <c r="AJZ300" s="16" t="s">
        <v>1487</v>
      </c>
      <c r="AKA300" s="16" t="s">
        <v>1487</v>
      </c>
      <c r="AKB300" s="16" t="s">
        <v>1487</v>
      </c>
      <c r="AKC300" s="16" t="s">
        <v>1487</v>
      </c>
      <c r="AKD300" s="16" t="s">
        <v>1487</v>
      </c>
      <c r="AKE300" s="16" t="s">
        <v>1487</v>
      </c>
      <c r="AKF300" s="16" t="s">
        <v>1487</v>
      </c>
      <c r="AKG300" s="16" t="s">
        <v>1487</v>
      </c>
      <c r="AKH300" s="16" t="s">
        <v>1487</v>
      </c>
      <c r="AKI300" s="16" t="s">
        <v>1487</v>
      </c>
      <c r="AKJ300" s="16" t="s">
        <v>1487</v>
      </c>
      <c r="AKK300" s="16" t="s">
        <v>1487</v>
      </c>
      <c r="AKL300" s="16" t="s">
        <v>1487</v>
      </c>
      <c r="AKM300" s="16" t="s">
        <v>1487</v>
      </c>
      <c r="AKN300" s="16" t="s">
        <v>1487</v>
      </c>
      <c r="AKO300" s="16" t="s">
        <v>1487</v>
      </c>
      <c r="AKP300" s="16" t="s">
        <v>1487</v>
      </c>
      <c r="AKQ300" s="16" t="s">
        <v>1487</v>
      </c>
      <c r="AKR300" s="16" t="s">
        <v>1487</v>
      </c>
      <c r="AKS300" s="16" t="s">
        <v>1487</v>
      </c>
      <c r="AKT300" s="16" t="s">
        <v>1487</v>
      </c>
      <c r="AKU300" s="16" t="s">
        <v>1487</v>
      </c>
      <c r="AKV300" s="16" t="s">
        <v>1487</v>
      </c>
      <c r="AKW300" s="16" t="s">
        <v>1487</v>
      </c>
      <c r="AKX300" s="16" t="s">
        <v>1487</v>
      </c>
      <c r="AKY300" s="16" t="s">
        <v>1487</v>
      </c>
      <c r="AKZ300" s="16" t="s">
        <v>1487</v>
      </c>
      <c r="ALA300" s="16" t="s">
        <v>1487</v>
      </c>
      <c r="ALB300" s="16" t="s">
        <v>1487</v>
      </c>
      <c r="ALC300" s="16" t="s">
        <v>1487</v>
      </c>
      <c r="ALD300" s="16" t="s">
        <v>1487</v>
      </c>
      <c r="ALE300" s="16" t="s">
        <v>1487</v>
      </c>
      <c r="ALF300" s="16" t="s">
        <v>1487</v>
      </c>
      <c r="ALG300" s="16" t="s">
        <v>1487</v>
      </c>
      <c r="ALH300" s="16" t="s">
        <v>1487</v>
      </c>
      <c r="ALI300" s="16" t="s">
        <v>1487</v>
      </c>
      <c r="ALJ300" s="16" t="s">
        <v>1487</v>
      </c>
      <c r="ALK300" s="16" t="s">
        <v>1487</v>
      </c>
      <c r="ALL300" s="16" t="s">
        <v>1487</v>
      </c>
      <c r="ALM300" s="16" t="s">
        <v>1487</v>
      </c>
      <c r="ALN300" s="16" t="s">
        <v>1487</v>
      </c>
      <c r="ALO300" s="16" t="s">
        <v>1487</v>
      </c>
      <c r="ALP300" s="16" t="s">
        <v>1487</v>
      </c>
      <c r="ALQ300" s="16" t="s">
        <v>1487</v>
      </c>
      <c r="ALR300" s="16" t="s">
        <v>1487</v>
      </c>
      <c r="ALS300" s="16" t="s">
        <v>1487</v>
      </c>
      <c r="ALT300" s="16" t="s">
        <v>1487</v>
      </c>
      <c r="ALU300" s="16" t="s">
        <v>1487</v>
      </c>
      <c r="ALV300" s="16" t="s">
        <v>1487</v>
      </c>
      <c r="ALW300" s="16" t="s">
        <v>1487</v>
      </c>
      <c r="ALX300" s="16" t="s">
        <v>1487</v>
      </c>
      <c r="ALY300" s="16" t="s">
        <v>1487</v>
      </c>
      <c r="ALZ300" s="16" t="s">
        <v>1487</v>
      </c>
      <c r="AMA300" s="16" t="s">
        <v>1487</v>
      </c>
      <c r="AMB300" s="16" t="s">
        <v>1487</v>
      </c>
      <c r="AMC300" s="16" t="s">
        <v>1487</v>
      </c>
      <c r="AMD300" s="16" t="s">
        <v>1487</v>
      </c>
      <c r="AME300" s="16" t="s">
        <v>1487</v>
      </c>
      <c r="AMF300" s="16" t="s">
        <v>1487</v>
      </c>
      <c r="AMG300" s="16" t="s">
        <v>1487</v>
      </c>
      <c r="AMH300" s="16" t="s">
        <v>1487</v>
      </c>
      <c r="AMI300" s="16" t="s">
        <v>1487</v>
      </c>
      <c r="AMJ300" s="16" t="s">
        <v>1487</v>
      </c>
      <c r="AMK300" s="16" t="s">
        <v>1487</v>
      </c>
      <c r="AML300" s="16" t="s">
        <v>1487</v>
      </c>
      <c r="AMM300" s="16" t="s">
        <v>1487</v>
      </c>
      <c r="AMN300" s="16" t="s">
        <v>1487</v>
      </c>
      <c r="AMO300" s="16" t="s">
        <v>1487</v>
      </c>
      <c r="AMP300" s="16" t="s">
        <v>1487</v>
      </c>
      <c r="AMQ300" s="16" t="s">
        <v>1487</v>
      </c>
      <c r="AMR300" s="16" t="s">
        <v>1487</v>
      </c>
      <c r="AMS300" s="16" t="s">
        <v>1487</v>
      </c>
      <c r="AMT300" s="16" t="s">
        <v>1487</v>
      </c>
      <c r="AMU300" s="16" t="s">
        <v>1487</v>
      </c>
      <c r="AMV300" s="16" t="s">
        <v>1487</v>
      </c>
      <c r="AMW300" s="16" t="s">
        <v>1487</v>
      </c>
      <c r="AMX300" s="16" t="s">
        <v>1487</v>
      </c>
      <c r="AMY300" s="16" t="s">
        <v>1487</v>
      </c>
      <c r="AMZ300" s="16" t="s">
        <v>1487</v>
      </c>
      <c r="ANA300" s="16" t="s">
        <v>1487</v>
      </c>
      <c r="ANB300" s="16" t="s">
        <v>1487</v>
      </c>
      <c r="ANC300" s="16" t="s">
        <v>1487</v>
      </c>
      <c r="AND300" s="16" t="s">
        <v>1487</v>
      </c>
      <c r="ANE300" s="16" t="s">
        <v>1487</v>
      </c>
      <c r="ANF300" s="16" t="s">
        <v>1487</v>
      </c>
      <c r="ANG300" s="16" t="s">
        <v>1487</v>
      </c>
      <c r="ANH300" s="16" t="s">
        <v>1487</v>
      </c>
      <c r="ANI300" s="16" t="s">
        <v>1487</v>
      </c>
      <c r="ANJ300" s="16" t="s">
        <v>1487</v>
      </c>
      <c r="ANK300" s="16" t="s">
        <v>1487</v>
      </c>
      <c r="ANL300" s="16" t="s">
        <v>1487</v>
      </c>
      <c r="ANM300" s="16" t="s">
        <v>1487</v>
      </c>
      <c r="ANN300" s="16" t="s">
        <v>1487</v>
      </c>
      <c r="ANO300" s="16" t="s">
        <v>1487</v>
      </c>
      <c r="ANP300" s="16" t="s">
        <v>1487</v>
      </c>
      <c r="ANQ300" s="16" t="s">
        <v>1487</v>
      </c>
      <c r="ANR300" s="16" t="s">
        <v>1487</v>
      </c>
      <c r="ANS300" s="16" t="s">
        <v>1487</v>
      </c>
      <c r="ANT300" s="16" t="s">
        <v>1487</v>
      </c>
      <c r="ANU300" s="16" t="s">
        <v>1487</v>
      </c>
      <c r="ANV300" s="16" t="s">
        <v>1487</v>
      </c>
      <c r="ANW300" s="16" t="s">
        <v>1487</v>
      </c>
      <c r="ANX300" s="16" t="s">
        <v>1487</v>
      </c>
      <c r="ANY300" s="16" t="s">
        <v>1487</v>
      </c>
      <c r="ANZ300" s="16" t="s">
        <v>1487</v>
      </c>
      <c r="AOA300" s="16" t="s">
        <v>1487</v>
      </c>
      <c r="AOB300" s="16" t="s">
        <v>1487</v>
      </c>
      <c r="AOC300" s="16" t="s">
        <v>1487</v>
      </c>
      <c r="AOD300" s="16" t="s">
        <v>1487</v>
      </c>
      <c r="AOE300" s="16" t="s">
        <v>1487</v>
      </c>
      <c r="AOF300" s="16" t="s">
        <v>1487</v>
      </c>
      <c r="AOG300" s="16" t="s">
        <v>1487</v>
      </c>
      <c r="AOH300" s="16" t="s">
        <v>1487</v>
      </c>
      <c r="AOI300" s="16" t="s">
        <v>1487</v>
      </c>
      <c r="AOJ300" s="16" t="s">
        <v>1487</v>
      </c>
      <c r="AOK300" s="16" t="s">
        <v>1487</v>
      </c>
      <c r="AOL300" s="16" t="s">
        <v>1487</v>
      </c>
      <c r="AOM300" s="16" t="s">
        <v>1487</v>
      </c>
      <c r="AON300" s="16" t="s">
        <v>1487</v>
      </c>
      <c r="AOO300" s="16" t="s">
        <v>1487</v>
      </c>
      <c r="AOP300" s="16" t="s">
        <v>1487</v>
      </c>
      <c r="AOQ300" s="16" t="s">
        <v>1487</v>
      </c>
      <c r="AOR300" s="16" t="s">
        <v>1487</v>
      </c>
      <c r="AOS300" s="16" t="s">
        <v>1487</v>
      </c>
      <c r="AOT300" s="16" t="s">
        <v>1487</v>
      </c>
      <c r="AOU300" s="16" t="s">
        <v>1487</v>
      </c>
      <c r="AOV300" s="16" t="s">
        <v>1487</v>
      </c>
      <c r="AOW300" s="16" t="s">
        <v>1487</v>
      </c>
      <c r="AOX300" s="16" t="s">
        <v>1487</v>
      </c>
      <c r="AOY300" s="16" t="s">
        <v>1487</v>
      </c>
      <c r="AOZ300" s="16" t="s">
        <v>1487</v>
      </c>
      <c r="APA300" s="16" t="s">
        <v>1487</v>
      </c>
      <c r="APB300" s="16" t="s">
        <v>1487</v>
      </c>
      <c r="APC300" s="16" t="s">
        <v>1487</v>
      </c>
      <c r="APD300" s="16" t="s">
        <v>1487</v>
      </c>
      <c r="APE300" s="16" t="s">
        <v>1487</v>
      </c>
      <c r="APF300" s="16" t="s">
        <v>1487</v>
      </c>
      <c r="APG300" s="16" t="s">
        <v>1487</v>
      </c>
      <c r="APH300" s="16" t="s">
        <v>1487</v>
      </c>
      <c r="API300" s="16" t="s">
        <v>1487</v>
      </c>
      <c r="APJ300" s="16" t="s">
        <v>1487</v>
      </c>
      <c r="APK300" s="16" t="s">
        <v>1487</v>
      </c>
      <c r="APL300" s="16" t="s">
        <v>1487</v>
      </c>
      <c r="APM300" s="16" t="s">
        <v>1487</v>
      </c>
      <c r="APN300" s="16" t="s">
        <v>1487</v>
      </c>
      <c r="APO300" s="16" t="s">
        <v>1487</v>
      </c>
      <c r="APP300" s="16" t="s">
        <v>1487</v>
      </c>
      <c r="APQ300" s="16" t="s">
        <v>1487</v>
      </c>
      <c r="APR300" s="16" t="s">
        <v>1487</v>
      </c>
      <c r="APS300" s="16" t="s">
        <v>1487</v>
      </c>
      <c r="APT300" s="16" t="s">
        <v>1487</v>
      </c>
      <c r="APU300" s="16" t="s">
        <v>1487</v>
      </c>
      <c r="APV300" s="16" t="s">
        <v>1487</v>
      </c>
      <c r="APW300" s="16" t="s">
        <v>1487</v>
      </c>
      <c r="APX300" s="16" t="s">
        <v>1487</v>
      </c>
      <c r="APY300" s="16" t="s">
        <v>1487</v>
      </c>
      <c r="APZ300" s="16" t="s">
        <v>1487</v>
      </c>
      <c r="AQA300" s="16" t="s">
        <v>1487</v>
      </c>
      <c r="AQB300" s="16" t="s">
        <v>1487</v>
      </c>
      <c r="AQC300" s="16" t="s">
        <v>1487</v>
      </c>
      <c r="AQD300" s="16" t="s">
        <v>1487</v>
      </c>
      <c r="AQE300" s="16" t="s">
        <v>1487</v>
      </c>
      <c r="AQF300" s="16" t="s">
        <v>1487</v>
      </c>
      <c r="AQG300" s="16" t="s">
        <v>1487</v>
      </c>
      <c r="AQH300" s="16" t="s">
        <v>1487</v>
      </c>
      <c r="AQI300" s="16" t="s">
        <v>1487</v>
      </c>
      <c r="AQJ300" s="16" t="s">
        <v>1487</v>
      </c>
      <c r="AQK300" s="16" t="s">
        <v>1487</v>
      </c>
      <c r="AQL300" s="16" t="s">
        <v>1487</v>
      </c>
      <c r="AQM300" s="16" t="s">
        <v>1487</v>
      </c>
      <c r="AQN300" s="16" t="s">
        <v>1487</v>
      </c>
      <c r="AQO300" s="16" t="s">
        <v>1487</v>
      </c>
      <c r="AQP300" s="16" t="s">
        <v>1487</v>
      </c>
      <c r="AQQ300" s="16" t="s">
        <v>1487</v>
      </c>
      <c r="AQR300" s="16" t="s">
        <v>1487</v>
      </c>
      <c r="AQS300" s="16" t="s">
        <v>1487</v>
      </c>
      <c r="AQT300" s="16" t="s">
        <v>1487</v>
      </c>
      <c r="AQU300" s="16" t="s">
        <v>1487</v>
      </c>
      <c r="AQV300" s="16" t="s">
        <v>1487</v>
      </c>
      <c r="AQW300" s="16" t="s">
        <v>1487</v>
      </c>
      <c r="AQX300" s="16" t="s">
        <v>1487</v>
      </c>
      <c r="AQY300" s="16" t="s">
        <v>1487</v>
      </c>
      <c r="AQZ300" s="16" t="s">
        <v>1487</v>
      </c>
      <c r="ARA300" s="16" t="s">
        <v>1487</v>
      </c>
      <c r="ARB300" s="16" t="s">
        <v>1487</v>
      </c>
      <c r="ARC300" s="16" t="s">
        <v>1487</v>
      </c>
      <c r="ARD300" s="16" t="s">
        <v>1487</v>
      </c>
      <c r="ARE300" s="16" t="s">
        <v>1487</v>
      </c>
      <c r="ARF300" s="16" t="s">
        <v>1487</v>
      </c>
      <c r="ARG300" s="16" t="s">
        <v>1487</v>
      </c>
      <c r="ARH300" s="16" t="s">
        <v>1487</v>
      </c>
      <c r="ARI300" s="16" t="s">
        <v>1487</v>
      </c>
      <c r="ARJ300" s="16" t="s">
        <v>1487</v>
      </c>
      <c r="ARK300" s="16" t="s">
        <v>1487</v>
      </c>
      <c r="ARL300" s="16" t="s">
        <v>1487</v>
      </c>
      <c r="ARM300" s="16" t="s">
        <v>1487</v>
      </c>
      <c r="ARN300" s="16" t="s">
        <v>1487</v>
      </c>
      <c r="ARO300" s="16" t="s">
        <v>1487</v>
      </c>
      <c r="ARP300" s="16" t="s">
        <v>1487</v>
      </c>
      <c r="ARQ300" s="16" t="s">
        <v>1487</v>
      </c>
      <c r="ARR300" s="16" t="s">
        <v>1487</v>
      </c>
      <c r="ARS300" s="16" t="s">
        <v>1487</v>
      </c>
      <c r="ART300" s="16" t="s">
        <v>1487</v>
      </c>
      <c r="ARU300" s="16" t="s">
        <v>1487</v>
      </c>
      <c r="ARV300" s="16" t="s">
        <v>1487</v>
      </c>
      <c r="ARW300" s="16" t="s">
        <v>1487</v>
      </c>
      <c r="ARX300" s="16" t="s">
        <v>1487</v>
      </c>
      <c r="ARY300" s="16" t="s">
        <v>1487</v>
      </c>
      <c r="ARZ300" s="16" t="s">
        <v>1487</v>
      </c>
      <c r="ASA300" s="16" t="s">
        <v>1487</v>
      </c>
      <c r="ASB300" s="16" t="s">
        <v>1487</v>
      </c>
      <c r="ASC300" s="16" t="s">
        <v>1487</v>
      </c>
      <c r="ASD300" s="16" t="s">
        <v>1487</v>
      </c>
      <c r="ASE300" s="16" t="s">
        <v>1487</v>
      </c>
      <c r="ASF300" s="16" t="s">
        <v>1487</v>
      </c>
      <c r="ASG300" s="16" t="s">
        <v>1487</v>
      </c>
      <c r="ASH300" s="16" t="s">
        <v>1487</v>
      </c>
      <c r="ASI300" s="16" t="s">
        <v>1487</v>
      </c>
      <c r="ASJ300" s="16" t="s">
        <v>1487</v>
      </c>
      <c r="ASK300" s="16" t="s">
        <v>1487</v>
      </c>
      <c r="ASL300" s="16" t="s">
        <v>1487</v>
      </c>
      <c r="ASM300" s="16" t="s">
        <v>1487</v>
      </c>
      <c r="ASN300" s="16" t="s">
        <v>1487</v>
      </c>
      <c r="ASO300" s="16" t="s">
        <v>1487</v>
      </c>
      <c r="ASP300" s="16" t="s">
        <v>1487</v>
      </c>
      <c r="ASQ300" s="16" t="s">
        <v>1487</v>
      </c>
      <c r="ASR300" s="16" t="s">
        <v>1487</v>
      </c>
      <c r="ASS300" s="16" t="s">
        <v>1487</v>
      </c>
      <c r="AST300" s="16" t="s">
        <v>1487</v>
      </c>
      <c r="ASU300" s="16" t="s">
        <v>1487</v>
      </c>
      <c r="ASV300" s="16" t="s">
        <v>1487</v>
      </c>
      <c r="ASW300" s="16" t="s">
        <v>1487</v>
      </c>
      <c r="ASX300" s="16" t="s">
        <v>1487</v>
      </c>
      <c r="ASY300" s="16" t="s">
        <v>1487</v>
      </c>
      <c r="ASZ300" s="16" t="s">
        <v>1487</v>
      </c>
      <c r="ATA300" s="16" t="s">
        <v>1487</v>
      </c>
      <c r="ATB300" s="16" t="s">
        <v>1487</v>
      </c>
      <c r="ATC300" s="16" t="s">
        <v>1487</v>
      </c>
      <c r="ATD300" s="16" t="s">
        <v>1487</v>
      </c>
      <c r="ATE300" s="16" t="s">
        <v>1487</v>
      </c>
      <c r="ATF300" s="16" t="s">
        <v>1487</v>
      </c>
      <c r="ATG300" s="16" t="s">
        <v>1487</v>
      </c>
      <c r="ATH300" s="16" t="s">
        <v>1487</v>
      </c>
      <c r="ATI300" s="16" t="s">
        <v>1487</v>
      </c>
      <c r="ATJ300" s="16" t="s">
        <v>1487</v>
      </c>
      <c r="ATK300" s="16" t="s">
        <v>1487</v>
      </c>
      <c r="ATL300" s="16" t="s">
        <v>1487</v>
      </c>
      <c r="ATM300" s="16" t="s">
        <v>1487</v>
      </c>
      <c r="ATN300" s="16" t="s">
        <v>1487</v>
      </c>
      <c r="ATO300" s="16" t="s">
        <v>1487</v>
      </c>
      <c r="ATP300" s="16" t="s">
        <v>1487</v>
      </c>
      <c r="ATQ300" s="16" t="s">
        <v>1487</v>
      </c>
      <c r="ATR300" s="16" t="s">
        <v>1487</v>
      </c>
      <c r="ATS300" s="16" t="s">
        <v>1487</v>
      </c>
      <c r="ATT300" s="16" t="s">
        <v>1487</v>
      </c>
      <c r="ATU300" s="16" t="s">
        <v>1487</v>
      </c>
      <c r="ATV300" s="16" t="s">
        <v>1487</v>
      </c>
      <c r="ATW300" s="16" t="s">
        <v>1487</v>
      </c>
      <c r="ATX300" s="16" t="s">
        <v>1487</v>
      </c>
      <c r="ATY300" s="16" t="s">
        <v>1487</v>
      </c>
      <c r="ATZ300" s="16" t="s">
        <v>1487</v>
      </c>
      <c r="AUA300" s="16" t="s">
        <v>1487</v>
      </c>
      <c r="AUB300" s="16" t="s">
        <v>1487</v>
      </c>
      <c r="AUC300" s="16" t="s">
        <v>1487</v>
      </c>
      <c r="AUD300" s="16" t="s">
        <v>1487</v>
      </c>
      <c r="AUE300" s="16" t="s">
        <v>1487</v>
      </c>
      <c r="AUF300" s="16" t="s">
        <v>1487</v>
      </c>
      <c r="AUG300" s="16" t="s">
        <v>1487</v>
      </c>
      <c r="AUH300" s="16" t="s">
        <v>1487</v>
      </c>
      <c r="AUI300" s="16" t="s">
        <v>1487</v>
      </c>
      <c r="AUJ300" s="16" t="s">
        <v>1487</v>
      </c>
      <c r="AUK300" s="16" t="s">
        <v>1487</v>
      </c>
      <c r="AUL300" s="16" t="s">
        <v>1487</v>
      </c>
      <c r="AUM300" s="16" t="s">
        <v>1487</v>
      </c>
      <c r="AUN300" s="16" t="s">
        <v>1487</v>
      </c>
      <c r="AUO300" s="16" t="s">
        <v>1487</v>
      </c>
      <c r="AUP300" s="16" t="s">
        <v>1487</v>
      </c>
      <c r="AUQ300" s="16" t="s">
        <v>1487</v>
      </c>
      <c r="AUR300" s="16" t="s">
        <v>1487</v>
      </c>
      <c r="AUS300" s="16" t="s">
        <v>1487</v>
      </c>
      <c r="AUT300" s="16" t="s">
        <v>1487</v>
      </c>
      <c r="AUU300" s="16" t="s">
        <v>1487</v>
      </c>
      <c r="AUV300" s="16" t="s">
        <v>1487</v>
      </c>
      <c r="AUW300" s="16" t="s">
        <v>1487</v>
      </c>
      <c r="AUX300" s="16" t="s">
        <v>1487</v>
      </c>
      <c r="AUY300" s="16" t="s">
        <v>1487</v>
      </c>
      <c r="AUZ300" s="16" t="s">
        <v>1487</v>
      </c>
      <c r="AVA300" s="16" t="s">
        <v>1487</v>
      </c>
      <c r="AVB300" s="16" t="s">
        <v>1487</v>
      </c>
      <c r="AVC300" s="16" t="s">
        <v>1487</v>
      </c>
      <c r="AVD300" s="16" t="s">
        <v>1487</v>
      </c>
      <c r="AVE300" s="16" t="s">
        <v>1487</v>
      </c>
      <c r="AVF300" s="16" t="s">
        <v>1487</v>
      </c>
      <c r="AVG300" s="16" t="s">
        <v>1487</v>
      </c>
      <c r="AVH300" s="16" t="s">
        <v>1487</v>
      </c>
      <c r="AVI300" s="16" t="s">
        <v>1487</v>
      </c>
      <c r="AVJ300" s="16" t="s">
        <v>1487</v>
      </c>
      <c r="AVK300" s="16" t="s">
        <v>1487</v>
      </c>
      <c r="AVL300" s="16" t="s">
        <v>1487</v>
      </c>
      <c r="AVM300" s="16" t="s">
        <v>1487</v>
      </c>
      <c r="AVN300" s="16" t="s">
        <v>1487</v>
      </c>
      <c r="AVO300" s="16" t="s">
        <v>1487</v>
      </c>
      <c r="AVP300" s="16" t="s">
        <v>1487</v>
      </c>
      <c r="AVQ300" s="16" t="s">
        <v>1487</v>
      </c>
      <c r="AVR300" s="16" t="s">
        <v>1487</v>
      </c>
      <c r="AVS300" s="16" t="s">
        <v>1487</v>
      </c>
      <c r="AVT300" s="16" t="s">
        <v>1487</v>
      </c>
      <c r="AVU300" s="16" t="s">
        <v>1487</v>
      </c>
      <c r="AVV300" s="16" t="s">
        <v>1487</v>
      </c>
      <c r="AVW300" s="16" t="s">
        <v>1487</v>
      </c>
      <c r="AVX300" s="16" t="s">
        <v>1487</v>
      </c>
      <c r="AVY300" s="16" t="s">
        <v>1487</v>
      </c>
      <c r="AVZ300" s="16" t="s">
        <v>1487</v>
      </c>
      <c r="AWA300" s="16" t="s">
        <v>1487</v>
      </c>
      <c r="AWB300" s="16" t="s">
        <v>1487</v>
      </c>
      <c r="AWC300" s="16" t="s">
        <v>1487</v>
      </c>
      <c r="AWD300" s="16" t="s">
        <v>1487</v>
      </c>
      <c r="AWE300" s="16" t="s">
        <v>1487</v>
      </c>
      <c r="AWF300" s="16" t="s">
        <v>1487</v>
      </c>
      <c r="AWG300" s="16" t="s">
        <v>1487</v>
      </c>
      <c r="AWH300" s="16" t="s">
        <v>1487</v>
      </c>
      <c r="AWI300" s="16" t="s">
        <v>1487</v>
      </c>
      <c r="AWJ300" s="16" t="s">
        <v>1487</v>
      </c>
      <c r="AWK300" s="16" t="s">
        <v>1487</v>
      </c>
      <c r="AWL300" s="16" t="s">
        <v>1487</v>
      </c>
      <c r="AWM300" s="16" t="s">
        <v>1487</v>
      </c>
      <c r="AWN300" s="16" t="s">
        <v>1487</v>
      </c>
      <c r="AWO300" s="16" t="s">
        <v>1487</v>
      </c>
      <c r="AWP300" s="16" t="s">
        <v>1487</v>
      </c>
      <c r="AWQ300" s="16" t="s">
        <v>1487</v>
      </c>
      <c r="AWR300" s="16" t="s">
        <v>1487</v>
      </c>
      <c r="AWS300" s="16" t="s">
        <v>1487</v>
      </c>
      <c r="AWT300" s="16" t="s">
        <v>1487</v>
      </c>
      <c r="AWU300" s="16" t="s">
        <v>1487</v>
      </c>
      <c r="AWV300" s="16" t="s">
        <v>1487</v>
      </c>
      <c r="AWW300" s="16" t="s">
        <v>1487</v>
      </c>
      <c r="AWX300" s="16" t="s">
        <v>1487</v>
      </c>
      <c r="AWY300" s="16" t="s">
        <v>1487</v>
      </c>
      <c r="AWZ300" s="16" t="s">
        <v>1487</v>
      </c>
      <c r="AXA300" s="16" t="s">
        <v>1487</v>
      </c>
      <c r="AXB300" s="16" t="s">
        <v>1487</v>
      </c>
      <c r="AXC300" s="16" t="s">
        <v>1487</v>
      </c>
      <c r="AXD300" s="16" t="s">
        <v>1487</v>
      </c>
      <c r="AXE300" s="16" t="s">
        <v>1487</v>
      </c>
      <c r="AXF300" s="16" t="s">
        <v>1487</v>
      </c>
      <c r="AXG300" s="16" t="s">
        <v>1487</v>
      </c>
      <c r="AXH300" s="16" t="s">
        <v>1487</v>
      </c>
      <c r="AXI300" s="16" t="s">
        <v>1487</v>
      </c>
      <c r="AXJ300" s="16" t="s">
        <v>1487</v>
      </c>
      <c r="AXK300" s="16" t="s">
        <v>1487</v>
      </c>
      <c r="AXL300" s="16" t="s">
        <v>1487</v>
      </c>
      <c r="AXM300" s="16" t="s">
        <v>1487</v>
      </c>
      <c r="AXN300" s="16" t="s">
        <v>1487</v>
      </c>
      <c r="AXO300" s="16" t="s">
        <v>1487</v>
      </c>
      <c r="AXP300" s="16" t="s">
        <v>1487</v>
      </c>
      <c r="AXQ300" s="16" t="s">
        <v>1487</v>
      </c>
      <c r="AXR300" s="16" t="s">
        <v>1487</v>
      </c>
      <c r="AXS300" s="16" t="s">
        <v>1487</v>
      </c>
      <c r="AXT300" s="16" t="s">
        <v>1487</v>
      </c>
      <c r="AXU300" s="16" t="s">
        <v>1487</v>
      </c>
      <c r="AXV300" s="16" t="s">
        <v>1487</v>
      </c>
      <c r="AXW300" s="16" t="s">
        <v>1487</v>
      </c>
      <c r="AXX300" s="16" t="s">
        <v>1487</v>
      </c>
      <c r="AXY300" s="16" t="s">
        <v>1487</v>
      </c>
      <c r="AXZ300" s="16" t="s">
        <v>1487</v>
      </c>
      <c r="AYA300" s="16" t="s">
        <v>1487</v>
      </c>
      <c r="AYB300" s="16" t="s">
        <v>1487</v>
      </c>
      <c r="AYC300" s="16" t="s">
        <v>1487</v>
      </c>
      <c r="AYD300" s="16" t="s">
        <v>1487</v>
      </c>
      <c r="AYE300" s="16" t="s">
        <v>1487</v>
      </c>
      <c r="AYF300" s="16" t="s">
        <v>1487</v>
      </c>
      <c r="AYG300" s="16" t="s">
        <v>1487</v>
      </c>
      <c r="AYH300" s="16" t="s">
        <v>1487</v>
      </c>
      <c r="AYI300" s="16" t="s">
        <v>1487</v>
      </c>
      <c r="AYJ300" s="16" t="s">
        <v>1487</v>
      </c>
      <c r="AYK300" s="16" t="s">
        <v>1487</v>
      </c>
      <c r="AYL300" s="16" t="s">
        <v>1487</v>
      </c>
      <c r="AYM300" s="16" t="s">
        <v>1487</v>
      </c>
      <c r="AYN300" s="16" t="s">
        <v>1487</v>
      </c>
      <c r="AYO300" s="16" t="s">
        <v>1487</v>
      </c>
      <c r="AYP300" s="16" t="s">
        <v>1487</v>
      </c>
      <c r="AYQ300" s="16" t="s">
        <v>1487</v>
      </c>
      <c r="AYR300" s="16" t="s">
        <v>1487</v>
      </c>
      <c r="AYS300" s="16" t="s">
        <v>1487</v>
      </c>
      <c r="AYT300" s="16" t="s">
        <v>1487</v>
      </c>
      <c r="AYU300" s="16" t="s">
        <v>1487</v>
      </c>
      <c r="AYV300" s="16" t="s">
        <v>1487</v>
      </c>
      <c r="AYW300" s="16" t="s">
        <v>1487</v>
      </c>
      <c r="AYX300" s="16" t="s">
        <v>1487</v>
      </c>
      <c r="AYY300" s="16" t="s">
        <v>1487</v>
      </c>
      <c r="AYZ300" s="16" t="s">
        <v>1487</v>
      </c>
      <c r="AZA300" s="16" t="s">
        <v>1487</v>
      </c>
      <c r="AZB300" s="16" t="s">
        <v>1487</v>
      </c>
      <c r="AZC300" s="16" t="s">
        <v>1487</v>
      </c>
      <c r="AZD300" s="16" t="s">
        <v>1487</v>
      </c>
      <c r="AZE300" s="16" t="s">
        <v>1487</v>
      </c>
      <c r="AZF300" s="16" t="s">
        <v>1487</v>
      </c>
      <c r="AZG300" s="16" t="s">
        <v>1487</v>
      </c>
      <c r="AZH300" s="16" t="s">
        <v>1487</v>
      </c>
      <c r="AZI300" s="16" t="s">
        <v>1487</v>
      </c>
      <c r="AZJ300" s="16" t="s">
        <v>1487</v>
      </c>
      <c r="AZK300" s="16" t="s">
        <v>1487</v>
      </c>
      <c r="AZL300" s="16" t="s">
        <v>1487</v>
      </c>
      <c r="AZM300" s="16" t="s">
        <v>1487</v>
      </c>
      <c r="AZN300" s="16" t="s">
        <v>1487</v>
      </c>
      <c r="AZO300" s="16" t="s">
        <v>1487</v>
      </c>
      <c r="AZP300" s="16" t="s">
        <v>1487</v>
      </c>
      <c r="AZQ300" s="16" t="s">
        <v>1487</v>
      </c>
      <c r="AZR300" s="16" t="s">
        <v>1487</v>
      </c>
      <c r="AZS300" s="16" t="s">
        <v>1487</v>
      </c>
      <c r="AZT300" s="16" t="s">
        <v>1487</v>
      </c>
      <c r="AZU300" s="16" t="s">
        <v>1487</v>
      </c>
      <c r="AZV300" s="16" t="s">
        <v>1487</v>
      </c>
      <c r="AZW300" s="16" t="s">
        <v>1487</v>
      </c>
      <c r="AZX300" s="16" t="s">
        <v>1487</v>
      </c>
      <c r="AZY300" s="16" t="s">
        <v>1487</v>
      </c>
      <c r="AZZ300" s="16" t="s">
        <v>1487</v>
      </c>
      <c r="BAA300" s="16" t="s">
        <v>1487</v>
      </c>
      <c r="BAB300" s="16" t="s">
        <v>1487</v>
      </c>
      <c r="BAC300" s="16" t="s">
        <v>1487</v>
      </c>
      <c r="BAD300" s="16" t="s">
        <v>1487</v>
      </c>
      <c r="BAE300" s="16" t="s">
        <v>1487</v>
      </c>
      <c r="BAF300" s="16" t="s">
        <v>1487</v>
      </c>
      <c r="BAG300" s="16" t="s">
        <v>1487</v>
      </c>
      <c r="BAH300" s="16" t="s">
        <v>1487</v>
      </c>
      <c r="BAI300" s="16" t="s">
        <v>1487</v>
      </c>
      <c r="BAJ300" s="16" t="s">
        <v>1487</v>
      </c>
      <c r="BAK300" s="16" t="s">
        <v>1487</v>
      </c>
      <c r="BAL300" s="16" t="s">
        <v>1487</v>
      </c>
      <c r="BAM300" s="16" t="s">
        <v>1487</v>
      </c>
      <c r="BAN300" s="16" t="s">
        <v>1487</v>
      </c>
      <c r="BAO300" s="16" t="s">
        <v>1487</v>
      </c>
      <c r="BAP300" s="16" t="s">
        <v>1487</v>
      </c>
      <c r="BAQ300" s="16" t="s">
        <v>1487</v>
      </c>
      <c r="BAR300" s="16" t="s">
        <v>1487</v>
      </c>
      <c r="BAS300" s="16" t="s">
        <v>1487</v>
      </c>
      <c r="BAT300" s="16" t="s">
        <v>1487</v>
      </c>
      <c r="BAU300" s="16" t="s">
        <v>1487</v>
      </c>
      <c r="BAV300" s="16" t="s">
        <v>1487</v>
      </c>
      <c r="BAW300" s="16" t="s">
        <v>1487</v>
      </c>
      <c r="BAX300" s="16" t="s">
        <v>1487</v>
      </c>
      <c r="BAY300" s="16" t="s">
        <v>1487</v>
      </c>
      <c r="BAZ300" s="16" t="s">
        <v>1487</v>
      </c>
      <c r="BBA300" s="16" t="s">
        <v>1487</v>
      </c>
      <c r="BBB300" s="16" t="s">
        <v>1487</v>
      </c>
      <c r="BBC300" s="16" t="s">
        <v>1487</v>
      </c>
      <c r="BBD300" s="16" t="s">
        <v>1487</v>
      </c>
      <c r="BBE300" s="16" t="s">
        <v>1487</v>
      </c>
      <c r="BBF300" s="16" t="s">
        <v>1487</v>
      </c>
      <c r="BBG300" s="16" t="s">
        <v>1487</v>
      </c>
      <c r="BBH300" s="16" t="s">
        <v>1487</v>
      </c>
      <c r="BBI300" s="16" t="s">
        <v>1487</v>
      </c>
      <c r="BBJ300" s="16" t="s">
        <v>1487</v>
      </c>
      <c r="BBK300" s="16" t="s">
        <v>1487</v>
      </c>
      <c r="BBL300" s="16" t="s">
        <v>1487</v>
      </c>
      <c r="BBM300" s="16" t="s">
        <v>1487</v>
      </c>
      <c r="BBN300" s="16" t="s">
        <v>1487</v>
      </c>
      <c r="BBO300" s="16" t="s">
        <v>1487</v>
      </c>
      <c r="BBP300" s="16" t="s">
        <v>1487</v>
      </c>
      <c r="BBQ300" s="16" t="s">
        <v>1487</v>
      </c>
      <c r="BBR300" s="16" t="s">
        <v>1487</v>
      </c>
      <c r="BBS300" s="16" t="s">
        <v>1487</v>
      </c>
      <c r="BBT300" s="16" t="s">
        <v>1487</v>
      </c>
      <c r="BBU300" s="16" t="s">
        <v>1487</v>
      </c>
      <c r="BBV300" s="16" t="s">
        <v>1487</v>
      </c>
      <c r="BBW300" s="16" t="s">
        <v>1487</v>
      </c>
      <c r="BBX300" s="16" t="s">
        <v>1487</v>
      </c>
      <c r="BBY300" s="16" t="s">
        <v>1487</v>
      </c>
      <c r="BBZ300" s="16" t="s">
        <v>1487</v>
      </c>
      <c r="BCA300" s="16" t="s">
        <v>1487</v>
      </c>
      <c r="BCB300" s="16" t="s">
        <v>1487</v>
      </c>
      <c r="BCC300" s="16" t="s">
        <v>1487</v>
      </c>
      <c r="BCD300" s="16" t="s">
        <v>1487</v>
      </c>
      <c r="BCE300" s="16" t="s">
        <v>1487</v>
      </c>
      <c r="BCF300" s="16" t="s">
        <v>1487</v>
      </c>
      <c r="BCG300" s="16" t="s">
        <v>1487</v>
      </c>
      <c r="BCH300" s="16" t="s">
        <v>1487</v>
      </c>
      <c r="BCI300" s="16" t="s">
        <v>1487</v>
      </c>
      <c r="BCJ300" s="16" t="s">
        <v>1487</v>
      </c>
      <c r="BCK300" s="16" t="s">
        <v>1487</v>
      </c>
      <c r="BCL300" s="16" t="s">
        <v>1487</v>
      </c>
      <c r="BCM300" s="16" t="s">
        <v>1487</v>
      </c>
      <c r="BCN300" s="16" t="s">
        <v>1487</v>
      </c>
      <c r="BCO300" s="16" t="s">
        <v>1487</v>
      </c>
      <c r="BCP300" s="16" t="s">
        <v>1487</v>
      </c>
      <c r="BCQ300" s="16" t="s">
        <v>1487</v>
      </c>
      <c r="BCR300" s="16" t="s">
        <v>1487</v>
      </c>
      <c r="BCS300" s="16" t="s">
        <v>1487</v>
      </c>
      <c r="BCT300" s="16" t="s">
        <v>1487</v>
      </c>
      <c r="BCU300" s="16" t="s">
        <v>1487</v>
      </c>
      <c r="BCV300" s="16" t="s">
        <v>1487</v>
      </c>
      <c r="BCW300" s="16" t="s">
        <v>1487</v>
      </c>
      <c r="BCX300" s="16" t="s">
        <v>1487</v>
      </c>
      <c r="BCY300" s="16" t="s">
        <v>1487</v>
      </c>
      <c r="BCZ300" s="16" t="s">
        <v>1487</v>
      </c>
      <c r="BDA300" s="16" t="s">
        <v>1487</v>
      </c>
      <c r="BDB300" s="16" t="s">
        <v>1487</v>
      </c>
      <c r="BDC300" s="16" t="s">
        <v>1487</v>
      </c>
      <c r="BDD300" s="16" t="s">
        <v>1487</v>
      </c>
      <c r="BDE300" s="16" t="s">
        <v>1487</v>
      </c>
      <c r="BDF300" s="16" t="s">
        <v>1487</v>
      </c>
      <c r="BDG300" s="16" t="s">
        <v>1487</v>
      </c>
      <c r="BDH300" s="16" t="s">
        <v>1487</v>
      </c>
      <c r="BDI300" s="16" t="s">
        <v>1487</v>
      </c>
      <c r="BDJ300" s="16" t="s">
        <v>1487</v>
      </c>
      <c r="BDK300" s="16" t="s">
        <v>1487</v>
      </c>
      <c r="BDL300" s="16" t="s">
        <v>1487</v>
      </c>
      <c r="BDM300" s="16" t="s">
        <v>1487</v>
      </c>
      <c r="BDN300" s="16" t="s">
        <v>1487</v>
      </c>
      <c r="BDO300" s="16" t="s">
        <v>1487</v>
      </c>
      <c r="BDP300" s="16" t="s">
        <v>1487</v>
      </c>
      <c r="BDQ300" s="16" t="s">
        <v>1487</v>
      </c>
      <c r="BDR300" s="16" t="s">
        <v>1487</v>
      </c>
      <c r="BDS300" s="16" t="s">
        <v>1487</v>
      </c>
      <c r="BDT300" s="16" t="s">
        <v>1487</v>
      </c>
      <c r="BDU300" s="16" t="s">
        <v>1487</v>
      </c>
      <c r="BDV300" s="16" t="s">
        <v>1487</v>
      </c>
      <c r="BDW300" s="16" t="s">
        <v>1487</v>
      </c>
      <c r="BDX300" s="16" t="s">
        <v>1487</v>
      </c>
      <c r="BDY300" s="16" t="s">
        <v>1487</v>
      </c>
      <c r="BDZ300" s="16" t="s">
        <v>1487</v>
      </c>
      <c r="BEA300" s="16" t="s">
        <v>1487</v>
      </c>
      <c r="BEB300" s="16" t="s">
        <v>1487</v>
      </c>
      <c r="BEC300" s="16" t="s">
        <v>1487</v>
      </c>
      <c r="BED300" s="16" t="s">
        <v>1487</v>
      </c>
      <c r="BEE300" s="16" t="s">
        <v>1487</v>
      </c>
      <c r="BEF300" s="16" t="s">
        <v>1487</v>
      </c>
      <c r="BEG300" s="16" t="s">
        <v>1487</v>
      </c>
      <c r="BEH300" s="16" t="s">
        <v>1487</v>
      </c>
      <c r="BEI300" s="16" t="s">
        <v>1487</v>
      </c>
      <c r="BEJ300" s="16" t="s">
        <v>1487</v>
      </c>
      <c r="BEK300" s="16" t="s">
        <v>1487</v>
      </c>
      <c r="BEL300" s="16" t="s">
        <v>1487</v>
      </c>
      <c r="BEM300" s="16" t="s">
        <v>1487</v>
      </c>
      <c r="BEN300" s="16" t="s">
        <v>1487</v>
      </c>
      <c r="BEO300" s="16" t="s">
        <v>1487</v>
      </c>
      <c r="BEP300" s="16" t="s">
        <v>1487</v>
      </c>
      <c r="BEQ300" s="16" t="s">
        <v>1487</v>
      </c>
      <c r="BER300" s="16" t="s">
        <v>1487</v>
      </c>
      <c r="BES300" s="16" t="s">
        <v>1487</v>
      </c>
      <c r="BET300" s="16" t="s">
        <v>1487</v>
      </c>
      <c r="BEU300" s="16" t="s">
        <v>1487</v>
      </c>
      <c r="BEV300" s="16" t="s">
        <v>1487</v>
      </c>
      <c r="BEW300" s="16" t="s">
        <v>1487</v>
      </c>
      <c r="BEX300" s="16" t="s">
        <v>1487</v>
      </c>
      <c r="BEY300" s="16" t="s">
        <v>1487</v>
      </c>
      <c r="BEZ300" s="16" t="s">
        <v>1487</v>
      </c>
      <c r="BFA300" s="16" t="s">
        <v>1487</v>
      </c>
      <c r="BFB300" s="16" t="s">
        <v>1487</v>
      </c>
      <c r="BFC300" s="16" t="s">
        <v>1487</v>
      </c>
      <c r="BFD300" s="16" t="s">
        <v>1487</v>
      </c>
      <c r="BFE300" s="16" t="s">
        <v>1487</v>
      </c>
      <c r="BFF300" s="16" t="s">
        <v>1487</v>
      </c>
      <c r="BFG300" s="16" t="s">
        <v>1487</v>
      </c>
      <c r="BFH300" s="16" t="s">
        <v>1487</v>
      </c>
      <c r="BFI300" s="16" t="s">
        <v>1487</v>
      </c>
      <c r="BFJ300" s="16" t="s">
        <v>1487</v>
      </c>
      <c r="BFK300" s="16" t="s">
        <v>1487</v>
      </c>
      <c r="BFL300" s="16" t="s">
        <v>1487</v>
      </c>
      <c r="BFM300" s="16" t="s">
        <v>1487</v>
      </c>
      <c r="BFN300" s="16" t="s">
        <v>1487</v>
      </c>
      <c r="BFO300" s="16" t="s">
        <v>1487</v>
      </c>
      <c r="BFP300" s="16" t="s">
        <v>1487</v>
      </c>
      <c r="BFQ300" s="16" t="s">
        <v>1487</v>
      </c>
      <c r="BFR300" s="16" t="s">
        <v>1487</v>
      </c>
      <c r="BFS300" s="16" t="s">
        <v>1487</v>
      </c>
      <c r="BFT300" s="16" t="s">
        <v>1487</v>
      </c>
      <c r="BFU300" s="16" t="s">
        <v>1487</v>
      </c>
      <c r="BFV300" s="16" t="s">
        <v>1487</v>
      </c>
      <c r="BFW300" s="16" t="s">
        <v>1487</v>
      </c>
      <c r="BFX300" s="16" t="s">
        <v>1487</v>
      </c>
      <c r="BFY300" s="16" t="s">
        <v>1487</v>
      </c>
      <c r="BFZ300" s="16" t="s">
        <v>1487</v>
      </c>
      <c r="BGA300" s="16" t="s">
        <v>1487</v>
      </c>
      <c r="BGB300" s="16" t="s">
        <v>1487</v>
      </c>
      <c r="BGC300" s="16" t="s">
        <v>1487</v>
      </c>
      <c r="BGD300" s="16" t="s">
        <v>1487</v>
      </c>
      <c r="BGE300" s="16" t="s">
        <v>1487</v>
      </c>
      <c r="BGF300" s="16" t="s">
        <v>1487</v>
      </c>
      <c r="BGG300" s="16" t="s">
        <v>1487</v>
      </c>
      <c r="BGH300" s="16" t="s">
        <v>1487</v>
      </c>
      <c r="BGI300" s="16" t="s">
        <v>1487</v>
      </c>
      <c r="BGJ300" s="16" t="s">
        <v>1487</v>
      </c>
      <c r="BGK300" s="16" t="s">
        <v>1487</v>
      </c>
      <c r="BGL300" s="16" t="s">
        <v>1487</v>
      </c>
      <c r="BGM300" s="16" t="s">
        <v>1487</v>
      </c>
      <c r="BGN300" s="16" t="s">
        <v>1487</v>
      </c>
      <c r="BGO300" s="16" t="s">
        <v>1487</v>
      </c>
      <c r="BGP300" s="16" t="s">
        <v>1487</v>
      </c>
      <c r="BGQ300" s="16" t="s">
        <v>1487</v>
      </c>
      <c r="BGR300" s="16" t="s">
        <v>1487</v>
      </c>
      <c r="BGS300" s="16" t="s">
        <v>1487</v>
      </c>
      <c r="BGT300" s="16" t="s">
        <v>1487</v>
      </c>
      <c r="BGU300" s="16" t="s">
        <v>1487</v>
      </c>
      <c r="BGV300" s="16" t="s">
        <v>1487</v>
      </c>
      <c r="BGW300" s="16" t="s">
        <v>1487</v>
      </c>
      <c r="BGX300" s="16" t="s">
        <v>1487</v>
      </c>
      <c r="BGY300" s="16" t="s">
        <v>1487</v>
      </c>
      <c r="BGZ300" s="16" t="s">
        <v>1487</v>
      </c>
      <c r="BHA300" s="16" t="s">
        <v>1487</v>
      </c>
      <c r="BHB300" s="16" t="s">
        <v>1487</v>
      </c>
      <c r="BHC300" s="16" t="s">
        <v>1487</v>
      </c>
      <c r="BHD300" s="16" t="s">
        <v>1487</v>
      </c>
      <c r="BHE300" s="16" t="s">
        <v>1487</v>
      </c>
      <c r="BHF300" s="16" t="s">
        <v>1487</v>
      </c>
      <c r="BHG300" s="16" t="s">
        <v>1487</v>
      </c>
      <c r="BHH300" s="16" t="s">
        <v>1487</v>
      </c>
      <c r="BHI300" s="16" t="s">
        <v>1487</v>
      </c>
      <c r="BHJ300" s="16" t="s">
        <v>1487</v>
      </c>
      <c r="BHK300" s="16" t="s">
        <v>1487</v>
      </c>
      <c r="BHL300" s="16" t="s">
        <v>1487</v>
      </c>
      <c r="BHM300" s="16" t="s">
        <v>1487</v>
      </c>
      <c r="BHN300" s="16" t="s">
        <v>1487</v>
      </c>
      <c r="BHO300" s="16" t="s">
        <v>1487</v>
      </c>
      <c r="BHP300" s="16" t="s">
        <v>1487</v>
      </c>
      <c r="BHQ300" s="16" t="s">
        <v>1487</v>
      </c>
      <c r="BHR300" s="16" t="s">
        <v>1487</v>
      </c>
      <c r="BHS300" s="16" t="s">
        <v>1487</v>
      </c>
      <c r="BHT300" s="16" t="s">
        <v>1487</v>
      </c>
      <c r="BHU300" s="16" t="s">
        <v>1487</v>
      </c>
      <c r="BHV300" s="16" t="s">
        <v>1487</v>
      </c>
      <c r="BHW300" s="16" t="s">
        <v>1487</v>
      </c>
      <c r="BHX300" s="16" t="s">
        <v>1487</v>
      </c>
      <c r="BHY300" s="16" t="s">
        <v>1487</v>
      </c>
      <c r="BHZ300" s="16" t="s">
        <v>1487</v>
      </c>
      <c r="BIA300" s="16" t="s">
        <v>1487</v>
      </c>
      <c r="BIB300" s="16" t="s">
        <v>1487</v>
      </c>
      <c r="BIC300" s="16" t="s">
        <v>1487</v>
      </c>
      <c r="BID300" s="16" t="s">
        <v>1487</v>
      </c>
      <c r="BIE300" s="16" t="s">
        <v>1487</v>
      </c>
      <c r="BIF300" s="16" t="s">
        <v>1487</v>
      </c>
      <c r="BIG300" s="16" t="s">
        <v>1487</v>
      </c>
      <c r="BIH300" s="16" t="s">
        <v>1487</v>
      </c>
      <c r="BII300" s="16" t="s">
        <v>1487</v>
      </c>
      <c r="BIJ300" s="16" t="s">
        <v>1487</v>
      </c>
      <c r="BIK300" s="16" t="s">
        <v>1487</v>
      </c>
      <c r="BIL300" s="16" t="s">
        <v>1487</v>
      </c>
      <c r="BIM300" s="16" t="s">
        <v>1487</v>
      </c>
      <c r="BIN300" s="16" t="s">
        <v>1487</v>
      </c>
      <c r="BIO300" s="16" t="s">
        <v>1487</v>
      </c>
      <c r="BIP300" s="16" t="s">
        <v>1487</v>
      </c>
      <c r="BIQ300" s="16" t="s">
        <v>1487</v>
      </c>
      <c r="BIR300" s="16" t="s">
        <v>1487</v>
      </c>
      <c r="BIS300" s="16" t="s">
        <v>1487</v>
      </c>
      <c r="BIT300" s="16" t="s">
        <v>1487</v>
      </c>
      <c r="BIU300" s="16" t="s">
        <v>1487</v>
      </c>
      <c r="BIV300" s="16" t="s">
        <v>1487</v>
      </c>
      <c r="BIW300" s="16" t="s">
        <v>1487</v>
      </c>
      <c r="BIX300" s="16" t="s">
        <v>1487</v>
      </c>
      <c r="BIY300" s="16" t="s">
        <v>1487</v>
      </c>
      <c r="BIZ300" s="16" t="s">
        <v>1487</v>
      </c>
      <c r="BJA300" s="16" t="s">
        <v>1487</v>
      </c>
      <c r="BJB300" s="16" t="s">
        <v>1487</v>
      </c>
      <c r="BJC300" s="16" t="s">
        <v>1487</v>
      </c>
      <c r="BJD300" s="16" t="s">
        <v>1487</v>
      </c>
      <c r="BJE300" s="16" t="s">
        <v>1487</v>
      </c>
      <c r="BJF300" s="16" t="s">
        <v>1487</v>
      </c>
      <c r="BJG300" s="16" t="s">
        <v>1487</v>
      </c>
      <c r="BJH300" s="16" t="s">
        <v>1487</v>
      </c>
      <c r="BJI300" s="16" t="s">
        <v>1487</v>
      </c>
      <c r="BJJ300" s="16" t="s">
        <v>1487</v>
      </c>
      <c r="BJK300" s="16" t="s">
        <v>1487</v>
      </c>
      <c r="BJL300" s="16" t="s">
        <v>1487</v>
      </c>
      <c r="BJM300" s="16" t="s">
        <v>1487</v>
      </c>
      <c r="BJN300" s="16" t="s">
        <v>1487</v>
      </c>
      <c r="BJO300" s="16" t="s">
        <v>1487</v>
      </c>
      <c r="BJP300" s="16" t="s">
        <v>1487</v>
      </c>
      <c r="BJQ300" s="16" t="s">
        <v>1487</v>
      </c>
      <c r="BJR300" s="16" t="s">
        <v>1487</v>
      </c>
      <c r="BJS300" s="16" t="s">
        <v>1487</v>
      </c>
      <c r="BJT300" s="16" t="s">
        <v>1487</v>
      </c>
      <c r="BJU300" s="16" t="s">
        <v>1487</v>
      </c>
      <c r="BJV300" s="16" t="s">
        <v>1487</v>
      </c>
      <c r="BJW300" s="16" t="s">
        <v>1487</v>
      </c>
      <c r="BJX300" s="16" t="s">
        <v>1487</v>
      </c>
      <c r="BJY300" s="16" t="s">
        <v>1487</v>
      </c>
      <c r="BJZ300" s="16" t="s">
        <v>1487</v>
      </c>
      <c r="BKA300" s="16" t="s">
        <v>1487</v>
      </c>
      <c r="BKB300" s="16" t="s">
        <v>1487</v>
      </c>
      <c r="BKC300" s="16" t="s">
        <v>1487</v>
      </c>
      <c r="BKD300" s="16" t="s">
        <v>1487</v>
      </c>
      <c r="BKE300" s="16" t="s">
        <v>1487</v>
      </c>
      <c r="BKF300" s="16" t="s">
        <v>1487</v>
      </c>
      <c r="BKG300" s="16" t="s">
        <v>1487</v>
      </c>
      <c r="BKH300" s="16" t="s">
        <v>1487</v>
      </c>
      <c r="BKI300" s="16" t="s">
        <v>1487</v>
      </c>
      <c r="BKJ300" s="16" t="s">
        <v>1487</v>
      </c>
      <c r="BKK300" s="16" t="s">
        <v>1487</v>
      </c>
      <c r="BKL300" s="16" t="s">
        <v>1487</v>
      </c>
      <c r="BKM300" s="16" t="s">
        <v>1487</v>
      </c>
      <c r="BKN300" s="16" t="s">
        <v>1487</v>
      </c>
      <c r="BKO300" s="16" t="s">
        <v>1487</v>
      </c>
      <c r="BKP300" s="16" t="s">
        <v>1487</v>
      </c>
      <c r="BKQ300" s="16" t="s">
        <v>1487</v>
      </c>
      <c r="BKR300" s="16" t="s">
        <v>1487</v>
      </c>
      <c r="BKS300" s="16" t="s">
        <v>1487</v>
      </c>
      <c r="BKT300" s="16" t="s">
        <v>1487</v>
      </c>
      <c r="BKU300" s="16" t="s">
        <v>1487</v>
      </c>
      <c r="BKV300" s="16" t="s">
        <v>1487</v>
      </c>
      <c r="BKW300" s="16" t="s">
        <v>1487</v>
      </c>
      <c r="BKX300" s="16" t="s">
        <v>1487</v>
      </c>
      <c r="BKY300" s="16" t="s">
        <v>1487</v>
      </c>
      <c r="BKZ300" s="16" t="s">
        <v>1487</v>
      </c>
      <c r="BLA300" s="16" t="s">
        <v>1487</v>
      </c>
      <c r="BLB300" s="16" t="s">
        <v>1487</v>
      </c>
      <c r="BLC300" s="16" t="s">
        <v>1487</v>
      </c>
      <c r="BLD300" s="16" t="s">
        <v>1487</v>
      </c>
      <c r="BLE300" s="16" t="s">
        <v>1487</v>
      </c>
      <c r="BLF300" s="16" t="s">
        <v>1487</v>
      </c>
      <c r="BLG300" s="16" t="s">
        <v>1487</v>
      </c>
      <c r="BLH300" s="16" t="s">
        <v>1487</v>
      </c>
      <c r="BLI300" s="16" t="s">
        <v>1487</v>
      </c>
      <c r="BLJ300" s="16" t="s">
        <v>1487</v>
      </c>
      <c r="BLK300" s="16" t="s">
        <v>1487</v>
      </c>
      <c r="BLL300" s="16" t="s">
        <v>1487</v>
      </c>
      <c r="BLM300" s="16" t="s">
        <v>1487</v>
      </c>
      <c r="BLN300" s="16" t="s">
        <v>1487</v>
      </c>
      <c r="BLO300" s="16" t="s">
        <v>1487</v>
      </c>
      <c r="BLP300" s="16" t="s">
        <v>1487</v>
      </c>
      <c r="BLQ300" s="16" t="s">
        <v>1487</v>
      </c>
      <c r="BLR300" s="16" t="s">
        <v>1487</v>
      </c>
      <c r="BLS300" s="16" t="s">
        <v>1487</v>
      </c>
      <c r="BLT300" s="16" t="s">
        <v>1487</v>
      </c>
      <c r="BLU300" s="16" t="s">
        <v>1487</v>
      </c>
      <c r="BLV300" s="16" t="s">
        <v>1487</v>
      </c>
      <c r="BLW300" s="16" t="s">
        <v>1487</v>
      </c>
      <c r="BLX300" s="16" t="s">
        <v>1487</v>
      </c>
      <c r="BLY300" s="16" t="s">
        <v>1487</v>
      </c>
      <c r="BLZ300" s="16" t="s">
        <v>1487</v>
      </c>
      <c r="BMA300" s="16" t="s">
        <v>1487</v>
      </c>
      <c r="BMB300" s="16" t="s">
        <v>1487</v>
      </c>
      <c r="BMC300" s="16" t="s">
        <v>1487</v>
      </c>
      <c r="BMD300" s="16" t="s">
        <v>1487</v>
      </c>
      <c r="BME300" s="16" t="s">
        <v>1487</v>
      </c>
      <c r="BMF300" s="16" t="s">
        <v>1487</v>
      </c>
      <c r="BMG300" s="16" t="s">
        <v>1487</v>
      </c>
      <c r="BMH300" s="16" t="s">
        <v>1487</v>
      </c>
      <c r="BMI300" s="16" t="s">
        <v>1487</v>
      </c>
      <c r="BMJ300" s="16" t="s">
        <v>1487</v>
      </c>
      <c r="BMK300" s="16" t="s">
        <v>1487</v>
      </c>
      <c r="BML300" s="16" t="s">
        <v>1487</v>
      </c>
      <c r="BMM300" s="16" t="s">
        <v>1487</v>
      </c>
      <c r="BMN300" s="16" t="s">
        <v>1487</v>
      </c>
      <c r="BMO300" s="16" t="s">
        <v>1487</v>
      </c>
      <c r="BMP300" s="16" t="s">
        <v>1487</v>
      </c>
      <c r="BMQ300" s="16" t="s">
        <v>1487</v>
      </c>
      <c r="BMR300" s="16" t="s">
        <v>1487</v>
      </c>
      <c r="BMS300" s="16" t="s">
        <v>1487</v>
      </c>
      <c r="BMT300" s="16" t="s">
        <v>1487</v>
      </c>
      <c r="BMU300" s="16" t="s">
        <v>1487</v>
      </c>
      <c r="BMV300" s="16" t="s">
        <v>1487</v>
      </c>
      <c r="BMW300" s="16" t="s">
        <v>1487</v>
      </c>
      <c r="BMX300" s="16" t="s">
        <v>1487</v>
      </c>
      <c r="BMY300" s="16" t="s">
        <v>1487</v>
      </c>
      <c r="BMZ300" s="16" t="s">
        <v>1487</v>
      </c>
      <c r="BNA300" s="16" t="s">
        <v>1487</v>
      </c>
      <c r="BNB300" s="16" t="s">
        <v>1487</v>
      </c>
      <c r="BNC300" s="16" t="s">
        <v>1487</v>
      </c>
      <c r="BND300" s="16" t="s">
        <v>1487</v>
      </c>
      <c r="BNE300" s="16" t="s">
        <v>1487</v>
      </c>
      <c r="BNF300" s="16" t="s">
        <v>1487</v>
      </c>
      <c r="BNG300" s="16" t="s">
        <v>1487</v>
      </c>
      <c r="BNH300" s="16" t="s">
        <v>1487</v>
      </c>
      <c r="BNI300" s="16" t="s">
        <v>1487</v>
      </c>
      <c r="BNJ300" s="16" t="s">
        <v>1487</v>
      </c>
      <c r="BNK300" s="16" t="s">
        <v>1487</v>
      </c>
      <c r="BNL300" s="16" t="s">
        <v>1487</v>
      </c>
      <c r="BNM300" s="16" t="s">
        <v>1487</v>
      </c>
      <c r="BNN300" s="16" t="s">
        <v>1487</v>
      </c>
      <c r="BNO300" s="16" t="s">
        <v>1487</v>
      </c>
      <c r="BNP300" s="16" t="s">
        <v>1487</v>
      </c>
      <c r="BNQ300" s="16" t="s">
        <v>1487</v>
      </c>
      <c r="BNR300" s="16" t="s">
        <v>1487</v>
      </c>
      <c r="BNS300" s="16" t="s">
        <v>1487</v>
      </c>
      <c r="BNT300" s="16" t="s">
        <v>1487</v>
      </c>
      <c r="BNU300" s="16" t="s">
        <v>1487</v>
      </c>
      <c r="BNV300" s="16" t="s">
        <v>1487</v>
      </c>
      <c r="BNW300" s="16" t="s">
        <v>1487</v>
      </c>
      <c r="BNX300" s="16" t="s">
        <v>1487</v>
      </c>
      <c r="BNY300" s="16" t="s">
        <v>1487</v>
      </c>
      <c r="BNZ300" s="16" t="s">
        <v>1487</v>
      </c>
      <c r="BOA300" s="16" t="s">
        <v>1487</v>
      </c>
      <c r="BOB300" s="16" t="s">
        <v>1487</v>
      </c>
      <c r="BOC300" s="16" t="s">
        <v>1487</v>
      </c>
      <c r="BOD300" s="16" t="s">
        <v>1487</v>
      </c>
      <c r="BOE300" s="16" t="s">
        <v>1487</v>
      </c>
      <c r="BOF300" s="16" t="s">
        <v>1487</v>
      </c>
      <c r="BOG300" s="16" t="s">
        <v>1487</v>
      </c>
      <c r="BOH300" s="16" t="s">
        <v>1487</v>
      </c>
      <c r="BOI300" s="16" t="s">
        <v>1487</v>
      </c>
      <c r="BOJ300" s="16" t="s">
        <v>1487</v>
      </c>
      <c r="BOK300" s="16" t="s">
        <v>1487</v>
      </c>
      <c r="BOL300" s="16" t="s">
        <v>1487</v>
      </c>
      <c r="BOM300" s="16" t="s">
        <v>1487</v>
      </c>
      <c r="BON300" s="16" t="s">
        <v>1487</v>
      </c>
      <c r="BOO300" s="16" t="s">
        <v>1487</v>
      </c>
      <c r="BOP300" s="16" t="s">
        <v>1487</v>
      </c>
      <c r="BOQ300" s="16" t="s">
        <v>1487</v>
      </c>
      <c r="BOR300" s="16" t="s">
        <v>1487</v>
      </c>
      <c r="BOS300" s="16" t="s">
        <v>1487</v>
      </c>
      <c r="BOT300" s="16" t="s">
        <v>1487</v>
      </c>
      <c r="BOU300" s="16" t="s">
        <v>1487</v>
      </c>
      <c r="BOV300" s="16" t="s">
        <v>1487</v>
      </c>
      <c r="BOW300" s="16" t="s">
        <v>1487</v>
      </c>
      <c r="BOX300" s="16" t="s">
        <v>1487</v>
      </c>
      <c r="BOY300" s="16" t="s">
        <v>1487</v>
      </c>
      <c r="BOZ300" s="16" t="s">
        <v>1487</v>
      </c>
      <c r="BPA300" s="16" t="s">
        <v>1487</v>
      </c>
      <c r="BPB300" s="16" t="s">
        <v>1487</v>
      </c>
      <c r="BPC300" s="16" t="s">
        <v>1487</v>
      </c>
      <c r="BPD300" s="16" t="s">
        <v>1487</v>
      </c>
      <c r="BPE300" s="16" t="s">
        <v>1487</v>
      </c>
      <c r="BPF300" s="16" t="s">
        <v>1487</v>
      </c>
      <c r="BPG300" s="16" t="s">
        <v>1487</v>
      </c>
      <c r="BPH300" s="16" t="s">
        <v>1487</v>
      </c>
      <c r="BPI300" s="16" t="s">
        <v>1487</v>
      </c>
      <c r="BPJ300" s="16" t="s">
        <v>1487</v>
      </c>
      <c r="BPK300" s="16" t="s">
        <v>1487</v>
      </c>
      <c r="BPL300" s="16" t="s">
        <v>1487</v>
      </c>
      <c r="BPM300" s="16" t="s">
        <v>1487</v>
      </c>
      <c r="BPN300" s="16" t="s">
        <v>1487</v>
      </c>
      <c r="BPO300" s="16" t="s">
        <v>1487</v>
      </c>
      <c r="BPP300" s="16" t="s">
        <v>1487</v>
      </c>
      <c r="BPQ300" s="16" t="s">
        <v>1487</v>
      </c>
      <c r="BPR300" s="16" t="s">
        <v>1487</v>
      </c>
      <c r="BPS300" s="16" t="s">
        <v>1487</v>
      </c>
      <c r="BPT300" s="16" t="s">
        <v>1487</v>
      </c>
      <c r="BPU300" s="16" t="s">
        <v>1487</v>
      </c>
      <c r="BPV300" s="16" t="s">
        <v>1487</v>
      </c>
      <c r="BPW300" s="16" t="s">
        <v>1487</v>
      </c>
      <c r="BPX300" s="16" t="s">
        <v>1487</v>
      </c>
      <c r="BPY300" s="16" t="s">
        <v>1487</v>
      </c>
      <c r="BPZ300" s="16" t="s">
        <v>1487</v>
      </c>
      <c r="BQA300" s="16" t="s">
        <v>1487</v>
      </c>
      <c r="BQB300" s="16" t="s">
        <v>1487</v>
      </c>
      <c r="BQC300" s="16" t="s">
        <v>1487</v>
      </c>
      <c r="BQD300" s="16" t="s">
        <v>1487</v>
      </c>
      <c r="BQE300" s="16" t="s">
        <v>1487</v>
      </c>
      <c r="BQF300" s="16" t="s">
        <v>1487</v>
      </c>
      <c r="BQG300" s="16" t="s">
        <v>1487</v>
      </c>
      <c r="BQH300" s="16" t="s">
        <v>1487</v>
      </c>
      <c r="BQI300" s="16" t="s">
        <v>1487</v>
      </c>
      <c r="BQJ300" s="16" t="s">
        <v>1487</v>
      </c>
      <c r="BQK300" s="16" t="s">
        <v>1487</v>
      </c>
      <c r="BQL300" s="16" t="s">
        <v>1487</v>
      </c>
      <c r="BQM300" s="16" t="s">
        <v>1487</v>
      </c>
      <c r="BQN300" s="16" t="s">
        <v>1487</v>
      </c>
      <c r="BQO300" s="16" t="s">
        <v>1487</v>
      </c>
      <c r="BQP300" s="16" t="s">
        <v>1487</v>
      </c>
      <c r="BQQ300" s="16" t="s">
        <v>1487</v>
      </c>
      <c r="BQR300" s="16" t="s">
        <v>1487</v>
      </c>
      <c r="BQS300" s="16" t="s">
        <v>1487</v>
      </c>
      <c r="BQT300" s="16" t="s">
        <v>1487</v>
      </c>
      <c r="BQU300" s="16" t="s">
        <v>1487</v>
      </c>
      <c r="BQV300" s="16" t="s">
        <v>1487</v>
      </c>
      <c r="BQW300" s="16" t="s">
        <v>1487</v>
      </c>
      <c r="BQX300" s="16" t="s">
        <v>1487</v>
      </c>
      <c r="BQY300" s="16" t="s">
        <v>1487</v>
      </c>
      <c r="BQZ300" s="16" t="s">
        <v>1487</v>
      </c>
      <c r="BRA300" s="16" t="s">
        <v>1487</v>
      </c>
      <c r="BRB300" s="16" t="s">
        <v>1487</v>
      </c>
      <c r="BRC300" s="16" t="s">
        <v>1487</v>
      </c>
      <c r="BRD300" s="16" t="s">
        <v>1487</v>
      </c>
      <c r="BRE300" s="16" t="s">
        <v>1487</v>
      </c>
      <c r="BRF300" s="16" t="s">
        <v>1487</v>
      </c>
      <c r="BRG300" s="16" t="s">
        <v>1487</v>
      </c>
      <c r="BRH300" s="16" t="s">
        <v>1487</v>
      </c>
      <c r="BRI300" s="16" t="s">
        <v>1487</v>
      </c>
      <c r="BRJ300" s="16" t="s">
        <v>1487</v>
      </c>
      <c r="BRK300" s="16" t="s">
        <v>1487</v>
      </c>
      <c r="BRL300" s="16" t="s">
        <v>1487</v>
      </c>
      <c r="BRM300" s="16" t="s">
        <v>1487</v>
      </c>
      <c r="BRN300" s="16" t="s">
        <v>1487</v>
      </c>
      <c r="BRO300" s="16" t="s">
        <v>1487</v>
      </c>
      <c r="BRP300" s="16" t="s">
        <v>1487</v>
      </c>
      <c r="BRQ300" s="16" t="s">
        <v>1487</v>
      </c>
      <c r="BRR300" s="16" t="s">
        <v>1487</v>
      </c>
      <c r="BRS300" s="16" t="s">
        <v>1487</v>
      </c>
      <c r="BRT300" s="16" t="s">
        <v>1487</v>
      </c>
      <c r="BRU300" s="16" t="s">
        <v>1487</v>
      </c>
      <c r="BRV300" s="16" t="s">
        <v>1487</v>
      </c>
      <c r="BRW300" s="16" t="s">
        <v>1487</v>
      </c>
      <c r="BRX300" s="16" t="s">
        <v>1487</v>
      </c>
      <c r="BRY300" s="16" t="s">
        <v>1487</v>
      </c>
      <c r="BRZ300" s="16" t="s">
        <v>1487</v>
      </c>
      <c r="BSA300" s="16" t="s">
        <v>1487</v>
      </c>
      <c r="BSB300" s="16" t="s">
        <v>1487</v>
      </c>
      <c r="BSC300" s="16" t="s">
        <v>1487</v>
      </c>
      <c r="BSD300" s="16" t="s">
        <v>1487</v>
      </c>
      <c r="BSE300" s="16" t="s">
        <v>1487</v>
      </c>
      <c r="BSF300" s="16" t="s">
        <v>1487</v>
      </c>
      <c r="BSG300" s="16" t="s">
        <v>1487</v>
      </c>
      <c r="BSH300" s="16" t="s">
        <v>1487</v>
      </c>
      <c r="BSI300" s="16" t="s">
        <v>1487</v>
      </c>
      <c r="BSJ300" s="16" t="s">
        <v>1487</v>
      </c>
      <c r="BSK300" s="16" t="s">
        <v>1487</v>
      </c>
      <c r="BSL300" s="16" t="s">
        <v>1487</v>
      </c>
      <c r="BSM300" s="16" t="s">
        <v>1487</v>
      </c>
      <c r="BSN300" s="16" t="s">
        <v>1487</v>
      </c>
      <c r="BSO300" s="16" t="s">
        <v>1487</v>
      </c>
      <c r="BSP300" s="16" t="s">
        <v>1487</v>
      </c>
      <c r="BSQ300" s="16" t="s">
        <v>1487</v>
      </c>
      <c r="BSR300" s="16" t="s">
        <v>1487</v>
      </c>
      <c r="BSS300" s="16" t="s">
        <v>1487</v>
      </c>
      <c r="BST300" s="16" t="s">
        <v>1487</v>
      </c>
      <c r="BSU300" s="16" t="s">
        <v>1487</v>
      </c>
      <c r="BSV300" s="16" t="s">
        <v>1487</v>
      </c>
      <c r="BSW300" s="16" t="s">
        <v>1487</v>
      </c>
      <c r="BSX300" s="16" t="s">
        <v>1487</v>
      </c>
      <c r="BSY300" s="16" t="s">
        <v>1487</v>
      </c>
      <c r="BSZ300" s="16" t="s">
        <v>1487</v>
      </c>
      <c r="BTA300" s="16" t="s">
        <v>1487</v>
      </c>
      <c r="BTB300" s="16" t="s">
        <v>1487</v>
      </c>
      <c r="BTC300" s="16" t="s">
        <v>1487</v>
      </c>
      <c r="BTD300" s="16" t="s">
        <v>1487</v>
      </c>
      <c r="BTE300" s="16" t="s">
        <v>1487</v>
      </c>
      <c r="BTF300" s="16" t="s">
        <v>1487</v>
      </c>
      <c r="BTG300" s="16" t="s">
        <v>1487</v>
      </c>
      <c r="BTH300" s="16" t="s">
        <v>1487</v>
      </c>
      <c r="BTI300" s="16" t="s">
        <v>1487</v>
      </c>
      <c r="BTJ300" s="16" t="s">
        <v>1487</v>
      </c>
      <c r="BTK300" s="16" t="s">
        <v>1487</v>
      </c>
      <c r="BTL300" s="16" t="s">
        <v>1487</v>
      </c>
      <c r="BTM300" s="16" t="s">
        <v>1487</v>
      </c>
      <c r="BTN300" s="16" t="s">
        <v>1487</v>
      </c>
      <c r="BTO300" s="16" t="s">
        <v>1487</v>
      </c>
      <c r="BTP300" s="16" t="s">
        <v>1487</v>
      </c>
      <c r="BTQ300" s="16" t="s">
        <v>1487</v>
      </c>
      <c r="BTR300" s="16" t="s">
        <v>1487</v>
      </c>
      <c r="BTS300" s="16" t="s">
        <v>1487</v>
      </c>
      <c r="BTT300" s="16" t="s">
        <v>1487</v>
      </c>
      <c r="BTU300" s="16" t="s">
        <v>1487</v>
      </c>
      <c r="BTV300" s="16" t="s">
        <v>1487</v>
      </c>
      <c r="BTW300" s="16" t="s">
        <v>1487</v>
      </c>
      <c r="BTX300" s="16" t="s">
        <v>1487</v>
      </c>
      <c r="BTY300" s="16" t="s">
        <v>1487</v>
      </c>
      <c r="BTZ300" s="16" t="s">
        <v>1487</v>
      </c>
      <c r="BUA300" s="16" t="s">
        <v>1487</v>
      </c>
      <c r="BUB300" s="16" t="s">
        <v>1487</v>
      </c>
      <c r="BUC300" s="16" t="s">
        <v>1487</v>
      </c>
      <c r="BUD300" s="16" t="s">
        <v>1487</v>
      </c>
      <c r="BUE300" s="16" t="s">
        <v>1487</v>
      </c>
      <c r="BUF300" s="16" t="s">
        <v>1487</v>
      </c>
      <c r="BUG300" s="16" t="s">
        <v>1487</v>
      </c>
      <c r="BUH300" s="16" t="s">
        <v>1487</v>
      </c>
      <c r="BUI300" s="16" t="s">
        <v>1487</v>
      </c>
      <c r="BUJ300" s="16" t="s">
        <v>1487</v>
      </c>
      <c r="BUK300" s="16" t="s">
        <v>1487</v>
      </c>
      <c r="BUL300" s="16" t="s">
        <v>1487</v>
      </c>
      <c r="BUM300" s="16" t="s">
        <v>1487</v>
      </c>
      <c r="BUN300" s="16" t="s">
        <v>1487</v>
      </c>
      <c r="BUO300" s="16" t="s">
        <v>1487</v>
      </c>
      <c r="BUP300" s="16" t="s">
        <v>1487</v>
      </c>
      <c r="BUQ300" s="16" t="s">
        <v>1487</v>
      </c>
      <c r="BUR300" s="16" t="s">
        <v>1487</v>
      </c>
      <c r="BUS300" s="16" t="s">
        <v>1487</v>
      </c>
      <c r="BUT300" s="16" t="s">
        <v>1487</v>
      </c>
      <c r="BUU300" s="16" t="s">
        <v>1487</v>
      </c>
      <c r="BUV300" s="16" t="s">
        <v>1487</v>
      </c>
      <c r="BUW300" s="16" t="s">
        <v>1487</v>
      </c>
      <c r="BUX300" s="16" t="s">
        <v>1487</v>
      </c>
      <c r="BUY300" s="16" t="s">
        <v>1487</v>
      </c>
      <c r="BUZ300" s="16" t="s">
        <v>1487</v>
      </c>
      <c r="BVA300" s="16" t="s">
        <v>1487</v>
      </c>
      <c r="BVB300" s="16" t="s">
        <v>1487</v>
      </c>
      <c r="BVC300" s="16" t="s">
        <v>1487</v>
      </c>
      <c r="BVD300" s="16" t="s">
        <v>1487</v>
      </c>
      <c r="BVE300" s="16" t="s">
        <v>1487</v>
      </c>
      <c r="BVF300" s="16" t="s">
        <v>1487</v>
      </c>
      <c r="BVG300" s="16" t="s">
        <v>1487</v>
      </c>
      <c r="BVH300" s="16" t="s">
        <v>1487</v>
      </c>
      <c r="BVI300" s="16" t="s">
        <v>1487</v>
      </c>
      <c r="BVJ300" s="16" t="s">
        <v>1487</v>
      </c>
      <c r="BVK300" s="16" t="s">
        <v>1487</v>
      </c>
      <c r="BVL300" s="16" t="s">
        <v>1487</v>
      </c>
      <c r="BVM300" s="16" t="s">
        <v>1487</v>
      </c>
      <c r="BVN300" s="16" t="s">
        <v>1487</v>
      </c>
      <c r="BVO300" s="16" t="s">
        <v>1487</v>
      </c>
      <c r="BVP300" s="16" t="s">
        <v>1487</v>
      </c>
      <c r="BVQ300" s="16" t="s">
        <v>1487</v>
      </c>
      <c r="BVR300" s="16" t="s">
        <v>1487</v>
      </c>
      <c r="BVS300" s="16" t="s">
        <v>1487</v>
      </c>
      <c r="BVT300" s="16" t="s">
        <v>1487</v>
      </c>
      <c r="BVU300" s="16" t="s">
        <v>1487</v>
      </c>
      <c r="BVV300" s="16" t="s">
        <v>1487</v>
      </c>
      <c r="BVW300" s="16" t="s">
        <v>1487</v>
      </c>
      <c r="BVX300" s="16" t="s">
        <v>1487</v>
      </c>
      <c r="BVY300" s="16" t="s">
        <v>1487</v>
      </c>
      <c r="BVZ300" s="16" t="s">
        <v>1487</v>
      </c>
      <c r="BWA300" s="16" t="s">
        <v>1487</v>
      </c>
      <c r="BWB300" s="16" t="s">
        <v>1487</v>
      </c>
      <c r="BWC300" s="16" t="s">
        <v>1487</v>
      </c>
      <c r="BWD300" s="16" t="s">
        <v>1487</v>
      </c>
      <c r="BWE300" s="16" t="s">
        <v>1487</v>
      </c>
      <c r="BWF300" s="16" t="s">
        <v>1487</v>
      </c>
      <c r="BWG300" s="16" t="s">
        <v>1487</v>
      </c>
      <c r="BWH300" s="16" t="s">
        <v>1487</v>
      </c>
      <c r="BWI300" s="16" t="s">
        <v>1487</v>
      </c>
      <c r="BWJ300" s="16" t="s">
        <v>1487</v>
      </c>
      <c r="BWK300" s="16" t="s">
        <v>1487</v>
      </c>
      <c r="BWL300" s="16" t="s">
        <v>1487</v>
      </c>
      <c r="BWM300" s="16" t="s">
        <v>1487</v>
      </c>
      <c r="BWN300" s="16" t="s">
        <v>1487</v>
      </c>
      <c r="BWO300" s="16" t="s">
        <v>1487</v>
      </c>
      <c r="BWP300" s="16" t="s">
        <v>1487</v>
      </c>
      <c r="BWQ300" s="16" t="s">
        <v>1487</v>
      </c>
      <c r="BWR300" s="16" t="s">
        <v>1487</v>
      </c>
      <c r="BWS300" s="16" t="s">
        <v>1487</v>
      </c>
      <c r="BWT300" s="16" t="s">
        <v>1487</v>
      </c>
      <c r="BWU300" s="16" t="s">
        <v>1487</v>
      </c>
      <c r="BWV300" s="16" t="s">
        <v>1487</v>
      </c>
      <c r="BWW300" s="16" t="s">
        <v>1487</v>
      </c>
      <c r="BWX300" s="16" t="s">
        <v>1487</v>
      </c>
      <c r="BWY300" s="16" t="s">
        <v>1487</v>
      </c>
      <c r="BWZ300" s="16" t="s">
        <v>1487</v>
      </c>
      <c r="BXA300" s="16" t="s">
        <v>1487</v>
      </c>
      <c r="BXB300" s="16" t="s">
        <v>1487</v>
      </c>
      <c r="BXC300" s="16" t="s">
        <v>1487</v>
      </c>
      <c r="BXD300" s="16" t="s">
        <v>1487</v>
      </c>
      <c r="BXE300" s="16" t="s">
        <v>1487</v>
      </c>
      <c r="BXF300" s="16" t="s">
        <v>1487</v>
      </c>
      <c r="BXG300" s="16" t="s">
        <v>1487</v>
      </c>
      <c r="BXH300" s="16" t="s">
        <v>1487</v>
      </c>
      <c r="BXI300" s="16" t="s">
        <v>1487</v>
      </c>
      <c r="BXJ300" s="16" t="s">
        <v>1487</v>
      </c>
      <c r="BXK300" s="16" t="s">
        <v>1487</v>
      </c>
      <c r="BXL300" s="16" t="s">
        <v>1487</v>
      </c>
      <c r="BXM300" s="16" t="s">
        <v>1487</v>
      </c>
      <c r="BXN300" s="16" t="s">
        <v>1487</v>
      </c>
      <c r="BXO300" s="16" t="s">
        <v>1487</v>
      </c>
      <c r="BXP300" s="16" t="s">
        <v>1487</v>
      </c>
      <c r="BXQ300" s="16" t="s">
        <v>1487</v>
      </c>
      <c r="BXR300" s="16" t="s">
        <v>1487</v>
      </c>
      <c r="BXS300" s="16" t="s">
        <v>1487</v>
      </c>
      <c r="BXT300" s="16" t="s">
        <v>1487</v>
      </c>
      <c r="BXU300" s="16" t="s">
        <v>1487</v>
      </c>
      <c r="BXV300" s="16" t="s">
        <v>1487</v>
      </c>
      <c r="BXW300" s="16" t="s">
        <v>1487</v>
      </c>
      <c r="BXX300" s="16" t="s">
        <v>1487</v>
      </c>
      <c r="BXY300" s="16" t="s">
        <v>1487</v>
      </c>
      <c r="BXZ300" s="16" t="s">
        <v>1487</v>
      </c>
      <c r="BYA300" s="16" t="s">
        <v>1487</v>
      </c>
      <c r="BYB300" s="16" t="s">
        <v>1487</v>
      </c>
      <c r="BYC300" s="16" t="s">
        <v>1487</v>
      </c>
      <c r="BYD300" s="16" t="s">
        <v>1487</v>
      </c>
      <c r="BYE300" s="16" t="s">
        <v>1487</v>
      </c>
      <c r="BYF300" s="16" t="s">
        <v>1487</v>
      </c>
      <c r="BYG300" s="16" t="s">
        <v>1487</v>
      </c>
      <c r="BYH300" s="16" t="s">
        <v>1487</v>
      </c>
      <c r="BYI300" s="16" t="s">
        <v>1487</v>
      </c>
      <c r="BYJ300" s="16" t="s">
        <v>1487</v>
      </c>
      <c r="BYK300" s="16" t="s">
        <v>1487</v>
      </c>
      <c r="BYL300" s="16" t="s">
        <v>1487</v>
      </c>
      <c r="BYM300" s="16" t="s">
        <v>1487</v>
      </c>
      <c r="BYN300" s="16" t="s">
        <v>1487</v>
      </c>
      <c r="BYO300" s="16" t="s">
        <v>1487</v>
      </c>
      <c r="BYP300" s="16" t="s">
        <v>1487</v>
      </c>
      <c r="BYQ300" s="16" t="s">
        <v>1487</v>
      </c>
      <c r="BYR300" s="16" t="s">
        <v>1487</v>
      </c>
      <c r="BYS300" s="16" t="s">
        <v>1487</v>
      </c>
      <c r="BYT300" s="16" t="s">
        <v>1487</v>
      </c>
      <c r="BYU300" s="16" t="s">
        <v>1487</v>
      </c>
      <c r="BYV300" s="16" t="s">
        <v>1487</v>
      </c>
      <c r="BYW300" s="16" t="s">
        <v>1487</v>
      </c>
      <c r="BYX300" s="16" t="s">
        <v>1487</v>
      </c>
      <c r="BYY300" s="16" t="s">
        <v>1487</v>
      </c>
      <c r="BYZ300" s="16" t="s">
        <v>1487</v>
      </c>
      <c r="BZA300" s="16" t="s">
        <v>1487</v>
      </c>
      <c r="BZB300" s="16" t="s">
        <v>1487</v>
      </c>
      <c r="BZC300" s="16" t="s">
        <v>1487</v>
      </c>
      <c r="BZD300" s="16" t="s">
        <v>1487</v>
      </c>
      <c r="BZE300" s="16" t="s">
        <v>1487</v>
      </c>
      <c r="BZF300" s="16" t="s">
        <v>1487</v>
      </c>
      <c r="BZG300" s="16" t="s">
        <v>1487</v>
      </c>
      <c r="BZH300" s="16" t="s">
        <v>1487</v>
      </c>
      <c r="BZI300" s="16" t="s">
        <v>1487</v>
      </c>
      <c r="BZJ300" s="16" t="s">
        <v>1487</v>
      </c>
      <c r="BZK300" s="16" t="s">
        <v>1487</v>
      </c>
      <c r="BZL300" s="16" t="s">
        <v>1487</v>
      </c>
      <c r="BZM300" s="16" t="s">
        <v>1487</v>
      </c>
      <c r="BZN300" s="16" t="s">
        <v>1487</v>
      </c>
      <c r="BZO300" s="16" t="s">
        <v>1487</v>
      </c>
      <c r="BZP300" s="16" t="s">
        <v>1487</v>
      </c>
      <c r="BZQ300" s="16" t="s">
        <v>1487</v>
      </c>
      <c r="BZR300" s="16" t="s">
        <v>1487</v>
      </c>
      <c r="BZS300" s="16" t="s">
        <v>1487</v>
      </c>
      <c r="BZT300" s="16" t="s">
        <v>1487</v>
      </c>
      <c r="BZU300" s="16" t="s">
        <v>1487</v>
      </c>
      <c r="BZV300" s="16" t="s">
        <v>1487</v>
      </c>
      <c r="BZW300" s="16" t="s">
        <v>1487</v>
      </c>
      <c r="BZX300" s="16" t="s">
        <v>1487</v>
      </c>
      <c r="BZY300" s="16" t="s">
        <v>1487</v>
      </c>
      <c r="BZZ300" s="16" t="s">
        <v>1487</v>
      </c>
      <c r="CAA300" s="16" t="s">
        <v>1487</v>
      </c>
      <c r="CAB300" s="16" t="s">
        <v>1487</v>
      </c>
      <c r="CAC300" s="16" t="s">
        <v>1487</v>
      </c>
      <c r="CAD300" s="16" t="s">
        <v>1487</v>
      </c>
      <c r="CAE300" s="16" t="s">
        <v>1487</v>
      </c>
      <c r="CAF300" s="16" t="s">
        <v>1487</v>
      </c>
      <c r="CAG300" s="16" t="s">
        <v>1487</v>
      </c>
      <c r="CAH300" s="16" t="s">
        <v>1487</v>
      </c>
      <c r="CAI300" s="16" t="s">
        <v>1487</v>
      </c>
      <c r="CAJ300" s="16" t="s">
        <v>1487</v>
      </c>
      <c r="CAK300" s="16" t="s">
        <v>1487</v>
      </c>
      <c r="CAL300" s="16" t="s">
        <v>1487</v>
      </c>
      <c r="CAM300" s="16" t="s">
        <v>1487</v>
      </c>
      <c r="CAN300" s="16" t="s">
        <v>1487</v>
      </c>
      <c r="CAO300" s="16" t="s">
        <v>1487</v>
      </c>
      <c r="CAP300" s="16" t="s">
        <v>1487</v>
      </c>
      <c r="CAQ300" s="16" t="s">
        <v>1487</v>
      </c>
      <c r="CAR300" s="16" t="s">
        <v>1487</v>
      </c>
      <c r="CAS300" s="16" t="s">
        <v>1487</v>
      </c>
      <c r="CAT300" s="16" t="s">
        <v>1487</v>
      </c>
      <c r="CAU300" s="16" t="s">
        <v>1487</v>
      </c>
      <c r="CAV300" s="16" t="s">
        <v>1487</v>
      </c>
      <c r="CAW300" s="16" t="s">
        <v>1487</v>
      </c>
      <c r="CAX300" s="16" t="s">
        <v>1487</v>
      </c>
      <c r="CAY300" s="16" t="s">
        <v>1487</v>
      </c>
      <c r="CAZ300" s="16" t="s">
        <v>1487</v>
      </c>
      <c r="CBA300" s="16" t="s">
        <v>1487</v>
      </c>
      <c r="CBB300" s="16" t="s">
        <v>1487</v>
      </c>
      <c r="CBC300" s="16" t="s">
        <v>1487</v>
      </c>
      <c r="CBD300" s="16" t="s">
        <v>1487</v>
      </c>
      <c r="CBE300" s="16" t="s">
        <v>1487</v>
      </c>
      <c r="CBF300" s="16" t="s">
        <v>1487</v>
      </c>
      <c r="CBG300" s="16" t="s">
        <v>1487</v>
      </c>
      <c r="CBH300" s="16" t="s">
        <v>1487</v>
      </c>
      <c r="CBI300" s="16" t="s">
        <v>1487</v>
      </c>
      <c r="CBJ300" s="16" t="s">
        <v>1487</v>
      </c>
      <c r="CBK300" s="16" t="s">
        <v>1487</v>
      </c>
      <c r="CBL300" s="16" t="s">
        <v>1487</v>
      </c>
      <c r="CBM300" s="16" t="s">
        <v>1487</v>
      </c>
      <c r="CBN300" s="16" t="s">
        <v>1487</v>
      </c>
      <c r="CBO300" s="16" t="s">
        <v>1487</v>
      </c>
      <c r="CBP300" s="16" t="s">
        <v>1487</v>
      </c>
      <c r="CBQ300" s="16" t="s">
        <v>1487</v>
      </c>
      <c r="CBR300" s="16" t="s">
        <v>1487</v>
      </c>
      <c r="CBS300" s="16" t="s">
        <v>1487</v>
      </c>
      <c r="CBT300" s="16" t="s">
        <v>1487</v>
      </c>
      <c r="CBU300" s="16" t="s">
        <v>1487</v>
      </c>
      <c r="CBV300" s="16" t="s">
        <v>1487</v>
      </c>
      <c r="CBW300" s="16" t="s">
        <v>1487</v>
      </c>
      <c r="CBX300" s="16" t="s">
        <v>1487</v>
      </c>
      <c r="CBY300" s="16" t="s">
        <v>1487</v>
      </c>
      <c r="CBZ300" s="16" t="s">
        <v>1487</v>
      </c>
      <c r="CCA300" s="16" t="s">
        <v>1487</v>
      </c>
      <c r="CCB300" s="16" t="s">
        <v>1487</v>
      </c>
      <c r="CCC300" s="16" t="s">
        <v>1487</v>
      </c>
      <c r="CCD300" s="16" t="s">
        <v>1487</v>
      </c>
      <c r="CCE300" s="16" t="s">
        <v>1487</v>
      </c>
      <c r="CCF300" s="16" t="s">
        <v>1487</v>
      </c>
      <c r="CCG300" s="16" t="s">
        <v>1487</v>
      </c>
      <c r="CCH300" s="16" t="s">
        <v>1487</v>
      </c>
      <c r="CCI300" s="16" t="s">
        <v>1487</v>
      </c>
      <c r="CCJ300" s="16" t="s">
        <v>1487</v>
      </c>
      <c r="CCK300" s="16" t="s">
        <v>1487</v>
      </c>
      <c r="CCL300" s="16" t="s">
        <v>1487</v>
      </c>
      <c r="CCM300" s="16" t="s">
        <v>1487</v>
      </c>
      <c r="CCN300" s="16" t="s">
        <v>1487</v>
      </c>
      <c r="CCO300" s="16" t="s">
        <v>1487</v>
      </c>
      <c r="CCP300" s="16" t="s">
        <v>1487</v>
      </c>
      <c r="CCQ300" s="16" t="s">
        <v>1487</v>
      </c>
      <c r="CCR300" s="16" t="s">
        <v>1487</v>
      </c>
      <c r="CCS300" s="16" t="s">
        <v>1487</v>
      </c>
      <c r="CCT300" s="16" t="s">
        <v>1487</v>
      </c>
      <c r="CCU300" s="16" t="s">
        <v>1487</v>
      </c>
      <c r="CCV300" s="16" t="s">
        <v>1487</v>
      </c>
      <c r="CCW300" s="16" t="s">
        <v>1487</v>
      </c>
      <c r="CCX300" s="16" t="s">
        <v>1487</v>
      </c>
      <c r="CCY300" s="16" t="s">
        <v>1487</v>
      </c>
      <c r="CCZ300" s="16" t="s">
        <v>1487</v>
      </c>
      <c r="CDA300" s="16" t="s">
        <v>1487</v>
      </c>
      <c r="CDB300" s="16" t="s">
        <v>1487</v>
      </c>
      <c r="CDC300" s="16" t="s">
        <v>1487</v>
      </c>
      <c r="CDD300" s="16" t="s">
        <v>1487</v>
      </c>
      <c r="CDE300" s="16" t="s">
        <v>1487</v>
      </c>
      <c r="CDF300" s="16" t="s">
        <v>1487</v>
      </c>
      <c r="CDG300" s="16" t="s">
        <v>1487</v>
      </c>
      <c r="CDH300" s="16" t="s">
        <v>1487</v>
      </c>
      <c r="CDI300" s="16" t="s">
        <v>1487</v>
      </c>
      <c r="CDJ300" s="16" t="s">
        <v>1487</v>
      </c>
      <c r="CDK300" s="16" t="s">
        <v>1487</v>
      </c>
      <c r="CDL300" s="16" t="s">
        <v>1487</v>
      </c>
      <c r="CDM300" s="16" t="s">
        <v>1487</v>
      </c>
      <c r="CDN300" s="16" t="s">
        <v>1487</v>
      </c>
      <c r="CDO300" s="16" t="s">
        <v>1487</v>
      </c>
      <c r="CDP300" s="16" t="s">
        <v>1487</v>
      </c>
      <c r="CDQ300" s="16" t="s">
        <v>1487</v>
      </c>
      <c r="CDR300" s="16" t="s">
        <v>1487</v>
      </c>
      <c r="CDS300" s="16" t="s">
        <v>1487</v>
      </c>
      <c r="CDT300" s="16" t="s">
        <v>1487</v>
      </c>
      <c r="CDU300" s="16" t="s">
        <v>1487</v>
      </c>
      <c r="CDV300" s="16" t="s">
        <v>1487</v>
      </c>
      <c r="CDW300" s="16" t="s">
        <v>1487</v>
      </c>
      <c r="CDX300" s="16" t="s">
        <v>1487</v>
      </c>
      <c r="CDY300" s="16" t="s">
        <v>1487</v>
      </c>
      <c r="CDZ300" s="16" t="s">
        <v>1487</v>
      </c>
      <c r="CEA300" s="16" t="s">
        <v>1487</v>
      </c>
      <c r="CEB300" s="16" t="s">
        <v>1487</v>
      </c>
      <c r="CEC300" s="16" t="s">
        <v>1487</v>
      </c>
      <c r="CED300" s="16" t="s">
        <v>1487</v>
      </c>
      <c r="CEE300" s="16" t="s">
        <v>1487</v>
      </c>
      <c r="CEF300" s="16" t="s">
        <v>1487</v>
      </c>
      <c r="CEG300" s="16" t="s">
        <v>1487</v>
      </c>
      <c r="CEH300" s="16" t="s">
        <v>1487</v>
      </c>
      <c r="CEI300" s="16" t="s">
        <v>1487</v>
      </c>
      <c r="CEJ300" s="16" t="s">
        <v>1487</v>
      </c>
      <c r="CEK300" s="16" t="s">
        <v>1487</v>
      </c>
      <c r="CEL300" s="16" t="s">
        <v>1487</v>
      </c>
      <c r="CEM300" s="16" t="s">
        <v>1487</v>
      </c>
      <c r="CEN300" s="16" t="s">
        <v>1487</v>
      </c>
      <c r="CEO300" s="16" t="s">
        <v>1487</v>
      </c>
      <c r="CEP300" s="16" t="s">
        <v>1487</v>
      </c>
      <c r="CEQ300" s="16" t="s">
        <v>1487</v>
      </c>
      <c r="CER300" s="16" t="s">
        <v>1487</v>
      </c>
      <c r="CES300" s="16" t="s">
        <v>1487</v>
      </c>
      <c r="CET300" s="16" t="s">
        <v>1487</v>
      </c>
      <c r="CEU300" s="16" t="s">
        <v>1487</v>
      </c>
      <c r="CEV300" s="16" t="s">
        <v>1487</v>
      </c>
      <c r="CEW300" s="16" t="s">
        <v>1487</v>
      </c>
      <c r="CEX300" s="16" t="s">
        <v>1487</v>
      </c>
      <c r="CEY300" s="16" t="s">
        <v>1487</v>
      </c>
      <c r="CEZ300" s="16" t="s">
        <v>1487</v>
      </c>
      <c r="CFA300" s="16" t="s">
        <v>1487</v>
      </c>
      <c r="CFB300" s="16" t="s">
        <v>1487</v>
      </c>
      <c r="CFC300" s="16" t="s">
        <v>1487</v>
      </c>
      <c r="CFD300" s="16" t="s">
        <v>1487</v>
      </c>
      <c r="CFE300" s="16" t="s">
        <v>1487</v>
      </c>
      <c r="CFF300" s="16" t="s">
        <v>1487</v>
      </c>
      <c r="CFG300" s="16" t="s">
        <v>1487</v>
      </c>
      <c r="CFH300" s="16" t="s">
        <v>1487</v>
      </c>
      <c r="CFI300" s="16" t="s">
        <v>1487</v>
      </c>
      <c r="CFJ300" s="16" t="s">
        <v>1487</v>
      </c>
      <c r="CFK300" s="16" t="s">
        <v>1487</v>
      </c>
      <c r="CFL300" s="16" t="s">
        <v>1487</v>
      </c>
      <c r="CFM300" s="16" t="s">
        <v>1487</v>
      </c>
      <c r="CFN300" s="16" t="s">
        <v>1487</v>
      </c>
      <c r="CFO300" s="16" t="s">
        <v>1487</v>
      </c>
      <c r="CFP300" s="16" t="s">
        <v>1487</v>
      </c>
      <c r="CFQ300" s="16" t="s">
        <v>1487</v>
      </c>
      <c r="CFR300" s="16" t="s">
        <v>1487</v>
      </c>
      <c r="CFS300" s="16" t="s">
        <v>1487</v>
      </c>
      <c r="CFT300" s="16" t="s">
        <v>1487</v>
      </c>
      <c r="CFU300" s="16" t="s">
        <v>1487</v>
      </c>
      <c r="CFV300" s="16" t="s">
        <v>1487</v>
      </c>
      <c r="CFW300" s="16" t="s">
        <v>1487</v>
      </c>
      <c r="CFX300" s="16" t="s">
        <v>1487</v>
      </c>
      <c r="CFY300" s="16" t="s">
        <v>1487</v>
      </c>
      <c r="CFZ300" s="16" t="s">
        <v>1487</v>
      </c>
      <c r="CGA300" s="16" t="s">
        <v>1487</v>
      </c>
      <c r="CGB300" s="16" t="s">
        <v>1487</v>
      </c>
      <c r="CGC300" s="16" t="s">
        <v>1487</v>
      </c>
      <c r="CGD300" s="16" t="s">
        <v>1487</v>
      </c>
      <c r="CGE300" s="16" t="s">
        <v>1487</v>
      </c>
      <c r="CGF300" s="16" t="s">
        <v>1487</v>
      </c>
      <c r="CGG300" s="16" t="s">
        <v>1487</v>
      </c>
      <c r="CGH300" s="16" t="s">
        <v>1487</v>
      </c>
      <c r="CGI300" s="16" t="s">
        <v>1487</v>
      </c>
      <c r="CGJ300" s="16" t="s">
        <v>1487</v>
      </c>
      <c r="CGK300" s="16" t="s">
        <v>1487</v>
      </c>
      <c r="CGL300" s="16" t="s">
        <v>1487</v>
      </c>
      <c r="CGM300" s="16" t="s">
        <v>1487</v>
      </c>
      <c r="CGN300" s="16" t="s">
        <v>1487</v>
      </c>
      <c r="CGO300" s="16" t="s">
        <v>1487</v>
      </c>
      <c r="CGP300" s="16" t="s">
        <v>1487</v>
      </c>
      <c r="CGQ300" s="16" t="s">
        <v>1487</v>
      </c>
      <c r="CGR300" s="16" t="s">
        <v>1487</v>
      </c>
      <c r="CGS300" s="16" t="s">
        <v>1487</v>
      </c>
      <c r="CGT300" s="16" t="s">
        <v>1487</v>
      </c>
      <c r="CGU300" s="16" t="s">
        <v>1487</v>
      </c>
      <c r="CGV300" s="16" t="s">
        <v>1487</v>
      </c>
      <c r="CGW300" s="16" t="s">
        <v>1487</v>
      </c>
      <c r="CGX300" s="16" t="s">
        <v>1487</v>
      </c>
      <c r="CGY300" s="16" t="s">
        <v>1487</v>
      </c>
      <c r="CGZ300" s="16" t="s">
        <v>1487</v>
      </c>
      <c r="CHA300" s="16" t="s">
        <v>1487</v>
      </c>
      <c r="CHB300" s="16" t="s">
        <v>1487</v>
      </c>
      <c r="CHC300" s="16" t="s">
        <v>1487</v>
      </c>
      <c r="CHD300" s="16" t="s">
        <v>1487</v>
      </c>
      <c r="CHE300" s="16" t="s">
        <v>1487</v>
      </c>
      <c r="CHF300" s="16" t="s">
        <v>1487</v>
      </c>
      <c r="CHG300" s="16" t="s">
        <v>1487</v>
      </c>
      <c r="CHH300" s="16" t="s">
        <v>1487</v>
      </c>
      <c r="CHI300" s="16" t="s">
        <v>1487</v>
      </c>
      <c r="CHJ300" s="16" t="s">
        <v>1487</v>
      </c>
      <c r="CHK300" s="16" t="s">
        <v>1487</v>
      </c>
      <c r="CHL300" s="16" t="s">
        <v>1487</v>
      </c>
      <c r="CHM300" s="16" t="s">
        <v>1487</v>
      </c>
      <c r="CHN300" s="16" t="s">
        <v>1487</v>
      </c>
      <c r="CHO300" s="16" t="s">
        <v>1487</v>
      </c>
      <c r="CHP300" s="16" t="s">
        <v>1487</v>
      </c>
      <c r="CHQ300" s="16" t="s">
        <v>1487</v>
      </c>
      <c r="CHR300" s="16" t="s">
        <v>1487</v>
      </c>
      <c r="CHS300" s="16" t="s">
        <v>1487</v>
      </c>
      <c r="CHT300" s="16" t="s">
        <v>1487</v>
      </c>
      <c r="CHU300" s="16" t="s">
        <v>1487</v>
      </c>
      <c r="CHV300" s="16" t="s">
        <v>1487</v>
      </c>
      <c r="CHW300" s="16" t="s">
        <v>1487</v>
      </c>
      <c r="CHX300" s="16" t="s">
        <v>1487</v>
      </c>
      <c r="CHY300" s="16" t="s">
        <v>1487</v>
      </c>
      <c r="CHZ300" s="16" t="s">
        <v>1487</v>
      </c>
      <c r="CIA300" s="16" t="s">
        <v>1487</v>
      </c>
      <c r="CIB300" s="16" t="s">
        <v>1487</v>
      </c>
      <c r="CIC300" s="16" t="s">
        <v>1487</v>
      </c>
      <c r="CID300" s="16" t="s">
        <v>1487</v>
      </c>
      <c r="CIE300" s="16" t="s">
        <v>1487</v>
      </c>
      <c r="CIF300" s="16" t="s">
        <v>1487</v>
      </c>
      <c r="CIG300" s="16" t="s">
        <v>1487</v>
      </c>
      <c r="CIH300" s="16" t="s">
        <v>1487</v>
      </c>
      <c r="CII300" s="16" t="s">
        <v>1487</v>
      </c>
      <c r="CIJ300" s="16" t="s">
        <v>1487</v>
      </c>
      <c r="CIK300" s="16" t="s">
        <v>1487</v>
      </c>
      <c r="CIL300" s="16" t="s">
        <v>1487</v>
      </c>
      <c r="CIM300" s="16" t="s">
        <v>1487</v>
      </c>
      <c r="CIN300" s="16" t="s">
        <v>1487</v>
      </c>
      <c r="CIO300" s="16" t="s">
        <v>1487</v>
      </c>
      <c r="CIP300" s="16" t="s">
        <v>1487</v>
      </c>
      <c r="CIQ300" s="16" t="s">
        <v>1487</v>
      </c>
      <c r="CIR300" s="16" t="s">
        <v>1487</v>
      </c>
      <c r="CIS300" s="16" t="s">
        <v>1487</v>
      </c>
      <c r="CIT300" s="16" t="s">
        <v>1487</v>
      </c>
      <c r="CIU300" s="16" t="s">
        <v>1487</v>
      </c>
      <c r="CIV300" s="16" t="s">
        <v>1487</v>
      </c>
      <c r="CIW300" s="16" t="s">
        <v>1487</v>
      </c>
      <c r="CIX300" s="16" t="s">
        <v>1487</v>
      </c>
      <c r="CIY300" s="16" t="s">
        <v>1487</v>
      </c>
      <c r="CIZ300" s="16" t="s">
        <v>1487</v>
      </c>
      <c r="CJA300" s="16" t="s">
        <v>1487</v>
      </c>
      <c r="CJB300" s="16" t="s">
        <v>1487</v>
      </c>
      <c r="CJC300" s="16" t="s">
        <v>1487</v>
      </c>
      <c r="CJD300" s="16" t="s">
        <v>1487</v>
      </c>
      <c r="CJE300" s="16" t="s">
        <v>1487</v>
      </c>
      <c r="CJF300" s="16" t="s">
        <v>1487</v>
      </c>
      <c r="CJG300" s="16" t="s">
        <v>1487</v>
      </c>
      <c r="CJH300" s="16" t="s">
        <v>1487</v>
      </c>
      <c r="CJI300" s="16" t="s">
        <v>1487</v>
      </c>
      <c r="CJJ300" s="16" t="s">
        <v>1487</v>
      </c>
      <c r="CJK300" s="16" t="s">
        <v>1487</v>
      </c>
      <c r="CJL300" s="16" t="s">
        <v>1487</v>
      </c>
      <c r="CJM300" s="16" t="s">
        <v>1487</v>
      </c>
      <c r="CJN300" s="16" t="s">
        <v>1487</v>
      </c>
      <c r="CJO300" s="16" t="s">
        <v>1487</v>
      </c>
      <c r="CJP300" s="16" t="s">
        <v>1487</v>
      </c>
      <c r="CJQ300" s="16" t="s">
        <v>1487</v>
      </c>
      <c r="CJR300" s="16" t="s">
        <v>1487</v>
      </c>
      <c r="CJS300" s="16" t="s">
        <v>1487</v>
      </c>
      <c r="CJT300" s="16" t="s">
        <v>1487</v>
      </c>
      <c r="CJU300" s="16" t="s">
        <v>1487</v>
      </c>
      <c r="CJV300" s="16" t="s">
        <v>1487</v>
      </c>
      <c r="CJW300" s="16" t="s">
        <v>1487</v>
      </c>
      <c r="CJX300" s="16" t="s">
        <v>1487</v>
      </c>
      <c r="CJY300" s="16" t="s">
        <v>1487</v>
      </c>
      <c r="CJZ300" s="16" t="s">
        <v>1487</v>
      </c>
      <c r="CKA300" s="16" t="s">
        <v>1487</v>
      </c>
      <c r="CKB300" s="16" t="s">
        <v>1487</v>
      </c>
      <c r="CKC300" s="16" t="s">
        <v>1487</v>
      </c>
      <c r="CKD300" s="16" t="s">
        <v>1487</v>
      </c>
      <c r="CKE300" s="16" t="s">
        <v>1487</v>
      </c>
      <c r="CKF300" s="16" t="s">
        <v>1487</v>
      </c>
      <c r="CKG300" s="16" t="s">
        <v>1487</v>
      </c>
      <c r="CKH300" s="16" t="s">
        <v>1487</v>
      </c>
      <c r="CKI300" s="16" t="s">
        <v>1487</v>
      </c>
      <c r="CKJ300" s="16" t="s">
        <v>1487</v>
      </c>
      <c r="CKK300" s="16" t="s">
        <v>1487</v>
      </c>
      <c r="CKL300" s="16" t="s">
        <v>1487</v>
      </c>
      <c r="CKM300" s="16" t="s">
        <v>1487</v>
      </c>
      <c r="CKN300" s="16" t="s">
        <v>1487</v>
      </c>
      <c r="CKO300" s="16" t="s">
        <v>1487</v>
      </c>
      <c r="CKP300" s="16" t="s">
        <v>1487</v>
      </c>
      <c r="CKQ300" s="16" t="s">
        <v>1487</v>
      </c>
      <c r="CKR300" s="16" t="s">
        <v>1487</v>
      </c>
      <c r="CKS300" s="16" t="s">
        <v>1487</v>
      </c>
      <c r="CKT300" s="16" t="s">
        <v>1487</v>
      </c>
      <c r="CKU300" s="16" t="s">
        <v>1487</v>
      </c>
      <c r="CKV300" s="16" t="s">
        <v>1487</v>
      </c>
      <c r="CKW300" s="16" t="s">
        <v>1487</v>
      </c>
      <c r="CKX300" s="16" t="s">
        <v>1487</v>
      </c>
      <c r="CKY300" s="16" t="s">
        <v>1487</v>
      </c>
      <c r="CKZ300" s="16" t="s">
        <v>1487</v>
      </c>
      <c r="CLA300" s="16" t="s">
        <v>1487</v>
      </c>
      <c r="CLB300" s="16" t="s">
        <v>1487</v>
      </c>
      <c r="CLC300" s="16" t="s">
        <v>1487</v>
      </c>
      <c r="CLD300" s="16" t="s">
        <v>1487</v>
      </c>
      <c r="CLE300" s="16" t="s">
        <v>1487</v>
      </c>
      <c r="CLF300" s="16" t="s">
        <v>1487</v>
      </c>
      <c r="CLG300" s="16" t="s">
        <v>1487</v>
      </c>
      <c r="CLH300" s="16" t="s">
        <v>1487</v>
      </c>
      <c r="CLI300" s="16" t="s">
        <v>1487</v>
      </c>
      <c r="CLJ300" s="16" t="s">
        <v>1487</v>
      </c>
      <c r="CLK300" s="16" t="s">
        <v>1487</v>
      </c>
      <c r="CLL300" s="16" t="s">
        <v>1487</v>
      </c>
      <c r="CLM300" s="16" t="s">
        <v>1487</v>
      </c>
      <c r="CLN300" s="16" t="s">
        <v>1487</v>
      </c>
      <c r="CLO300" s="16" t="s">
        <v>1487</v>
      </c>
      <c r="CLP300" s="16" t="s">
        <v>1487</v>
      </c>
      <c r="CLQ300" s="16" t="s">
        <v>1487</v>
      </c>
      <c r="CLR300" s="16" t="s">
        <v>1487</v>
      </c>
      <c r="CLS300" s="16" t="s">
        <v>1487</v>
      </c>
      <c r="CLT300" s="16" t="s">
        <v>1487</v>
      </c>
      <c r="CLU300" s="16" t="s">
        <v>1487</v>
      </c>
      <c r="CLV300" s="16" t="s">
        <v>1487</v>
      </c>
      <c r="CLW300" s="16" t="s">
        <v>1487</v>
      </c>
      <c r="CLX300" s="16" t="s">
        <v>1487</v>
      </c>
      <c r="CLY300" s="16" t="s">
        <v>1487</v>
      </c>
      <c r="CLZ300" s="16" t="s">
        <v>1487</v>
      </c>
      <c r="CMA300" s="16" t="s">
        <v>1487</v>
      </c>
      <c r="CMB300" s="16" t="s">
        <v>1487</v>
      </c>
      <c r="CMC300" s="16" t="s">
        <v>1487</v>
      </c>
      <c r="CMD300" s="16" t="s">
        <v>1487</v>
      </c>
      <c r="CME300" s="16" t="s">
        <v>1487</v>
      </c>
      <c r="CMF300" s="16" t="s">
        <v>1487</v>
      </c>
      <c r="CMG300" s="16" t="s">
        <v>1487</v>
      </c>
      <c r="CMH300" s="16" t="s">
        <v>1487</v>
      </c>
      <c r="CMI300" s="16" t="s">
        <v>1487</v>
      </c>
      <c r="CMJ300" s="16" t="s">
        <v>1487</v>
      </c>
      <c r="CMK300" s="16" t="s">
        <v>1487</v>
      </c>
      <c r="CML300" s="16" t="s">
        <v>1487</v>
      </c>
      <c r="CMM300" s="16" t="s">
        <v>1487</v>
      </c>
      <c r="CMN300" s="16" t="s">
        <v>1487</v>
      </c>
      <c r="CMO300" s="16" t="s">
        <v>1487</v>
      </c>
      <c r="CMP300" s="16" t="s">
        <v>1487</v>
      </c>
      <c r="CMQ300" s="16" t="s">
        <v>1487</v>
      </c>
      <c r="CMR300" s="16" t="s">
        <v>1487</v>
      </c>
      <c r="CMS300" s="16" t="s">
        <v>1487</v>
      </c>
      <c r="CMT300" s="16" t="s">
        <v>1487</v>
      </c>
      <c r="CMU300" s="16" t="s">
        <v>1487</v>
      </c>
      <c r="CMV300" s="16" t="s">
        <v>1487</v>
      </c>
      <c r="CMW300" s="16" t="s">
        <v>1487</v>
      </c>
      <c r="CMX300" s="16" t="s">
        <v>1487</v>
      </c>
      <c r="CMY300" s="16" t="s">
        <v>1487</v>
      </c>
      <c r="CMZ300" s="16" t="s">
        <v>1487</v>
      </c>
      <c r="CNA300" s="16" t="s">
        <v>1487</v>
      </c>
      <c r="CNB300" s="16" t="s">
        <v>1487</v>
      </c>
      <c r="CNC300" s="16" t="s">
        <v>1487</v>
      </c>
      <c r="CND300" s="16" t="s">
        <v>1487</v>
      </c>
      <c r="CNE300" s="16" t="s">
        <v>1487</v>
      </c>
      <c r="CNF300" s="16" t="s">
        <v>1487</v>
      </c>
      <c r="CNG300" s="16" t="s">
        <v>1487</v>
      </c>
      <c r="CNH300" s="16" t="s">
        <v>1487</v>
      </c>
      <c r="CNI300" s="16" t="s">
        <v>1487</v>
      </c>
      <c r="CNJ300" s="16" t="s">
        <v>1487</v>
      </c>
      <c r="CNK300" s="16" t="s">
        <v>1487</v>
      </c>
      <c r="CNL300" s="16" t="s">
        <v>1487</v>
      </c>
      <c r="CNM300" s="16" t="s">
        <v>1487</v>
      </c>
      <c r="CNN300" s="16" t="s">
        <v>1487</v>
      </c>
      <c r="CNO300" s="16" t="s">
        <v>1487</v>
      </c>
      <c r="CNP300" s="16" t="s">
        <v>1487</v>
      </c>
      <c r="CNQ300" s="16" t="s">
        <v>1487</v>
      </c>
      <c r="CNR300" s="16" t="s">
        <v>1487</v>
      </c>
      <c r="CNS300" s="16" t="s">
        <v>1487</v>
      </c>
      <c r="CNT300" s="16" t="s">
        <v>1487</v>
      </c>
      <c r="CNU300" s="16" t="s">
        <v>1487</v>
      </c>
      <c r="CNV300" s="16" t="s">
        <v>1487</v>
      </c>
      <c r="CNW300" s="16" t="s">
        <v>1487</v>
      </c>
      <c r="CNX300" s="16" t="s">
        <v>1487</v>
      </c>
      <c r="CNY300" s="16" t="s">
        <v>1487</v>
      </c>
      <c r="CNZ300" s="16" t="s">
        <v>1487</v>
      </c>
      <c r="COA300" s="16" t="s">
        <v>1487</v>
      </c>
      <c r="COB300" s="16" t="s">
        <v>1487</v>
      </c>
      <c r="COC300" s="16" t="s">
        <v>1487</v>
      </c>
      <c r="COD300" s="16" t="s">
        <v>1487</v>
      </c>
      <c r="COE300" s="16" t="s">
        <v>1487</v>
      </c>
      <c r="COF300" s="16" t="s">
        <v>1487</v>
      </c>
      <c r="COG300" s="16" t="s">
        <v>1487</v>
      </c>
      <c r="COH300" s="16" t="s">
        <v>1487</v>
      </c>
      <c r="COI300" s="16" t="s">
        <v>1487</v>
      </c>
      <c r="COJ300" s="16" t="s">
        <v>1487</v>
      </c>
      <c r="COK300" s="16" t="s">
        <v>1487</v>
      </c>
      <c r="COL300" s="16" t="s">
        <v>1487</v>
      </c>
      <c r="COM300" s="16" t="s">
        <v>1487</v>
      </c>
      <c r="CON300" s="16" t="s">
        <v>1487</v>
      </c>
      <c r="COO300" s="16" t="s">
        <v>1487</v>
      </c>
      <c r="COP300" s="16" t="s">
        <v>1487</v>
      </c>
      <c r="COQ300" s="16" t="s">
        <v>1487</v>
      </c>
      <c r="COR300" s="16" t="s">
        <v>1487</v>
      </c>
      <c r="COS300" s="16" t="s">
        <v>1487</v>
      </c>
      <c r="COT300" s="16" t="s">
        <v>1487</v>
      </c>
      <c r="COU300" s="16" t="s">
        <v>1487</v>
      </c>
      <c r="COV300" s="16" t="s">
        <v>1487</v>
      </c>
      <c r="COW300" s="16" t="s">
        <v>1487</v>
      </c>
      <c r="COX300" s="16" t="s">
        <v>1487</v>
      </c>
      <c r="COY300" s="16" t="s">
        <v>1487</v>
      </c>
      <c r="COZ300" s="16" t="s">
        <v>1487</v>
      </c>
      <c r="CPA300" s="16" t="s">
        <v>1487</v>
      </c>
      <c r="CPB300" s="16" t="s">
        <v>1487</v>
      </c>
      <c r="CPC300" s="16" t="s">
        <v>1487</v>
      </c>
      <c r="CPD300" s="16" t="s">
        <v>1487</v>
      </c>
      <c r="CPE300" s="16" t="s">
        <v>1487</v>
      </c>
      <c r="CPF300" s="16" t="s">
        <v>1487</v>
      </c>
      <c r="CPG300" s="16" t="s">
        <v>1487</v>
      </c>
      <c r="CPH300" s="16" t="s">
        <v>1487</v>
      </c>
      <c r="CPI300" s="16" t="s">
        <v>1487</v>
      </c>
      <c r="CPJ300" s="16" t="s">
        <v>1487</v>
      </c>
      <c r="CPK300" s="16" t="s">
        <v>1487</v>
      </c>
      <c r="CPL300" s="16" t="s">
        <v>1487</v>
      </c>
      <c r="CPM300" s="16" t="s">
        <v>1487</v>
      </c>
      <c r="CPN300" s="16" t="s">
        <v>1487</v>
      </c>
      <c r="CPO300" s="16" t="s">
        <v>1487</v>
      </c>
      <c r="CPP300" s="16" t="s">
        <v>1487</v>
      </c>
      <c r="CPQ300" s="16" t="s">
        <v>1487</v>
      </c>
      <c r="CPR300" s="16" t="s">
        <v>1487</v>
      </c>
      <c r="CPS300" s="16" t="s">
        <v>1487</v>
      </c>
      <c r="CPT300" s="16" t="s">
        <v>1487</v>
      </c>
      <c r="CPU300" s="16" t="s">
        <v>1487</v>
      </c>
      <c r="CPV300" s="16" t="s">
        <v>1487</v>
      </c>
      <c r="CPW300" s="16" t="s">
        <v>1487</v>
      </c>
      <c r="CPX300" s="16" t="s">
        <v>1487</v>
      </c>
      <c r="CPY300" s="16" t="s">
        <v>1487</v>
      </c>
      <c r="CPZ300" s="16" t="s">
        <v>1487</v>
      </c>
      <c r="CQA300" s="16" t="s">
        <v>1487</v>
      </c>
      <c r="CQB300" s="16" t="s">
        <v>1487</v>
      </c>
      <c r="CQC300" s="16" t="s">
        <v>1487</v>
      </c>
      <c r="CQD300" s="16" t="s">
        <v>1487</v>
      </c>
      <c r="CQE300" s="16" t="s">
        <v>1487</v>
      </c>
      <c r="CQF300" s="16" t="s">
        <v>1487</v>
      </c>
      <c r="CQG300" s="16" t="s">
        <v>1487</v>
      </c>
      <c r="CQH300" s="16" t="s">
        <v>1487</v>
      </c>
      <c r="CQI300" s="16" t="s">
        <v>1487</v>
      </c>
      <c r="CQJ300" s="16" t="s">
        <v>1487</v>
      </c>
      <c r="CQK300" s="16" t="s">
        <v>1487</v>
      </c>
      <c r="CQL300" s="16" t="s">
        <v>1487</v>
      </c>
      <c r="CQM300" s="16" t="s">
        <v>1487</v>
      </c>
      <c r="CQN300" s="16" t="s">
        <v>1487</v>
      </c>
      <c r="CQO300" s="16" t="s">
        <v>1487</v>
      </c>
      <c r="CQP300" s="16" t="s">
        <v>1487</v>
      </c>
      <c r="CQQ300" s="16" t="s">
        <v>1487</v>
      </c>
      <c r="CQR300" s="16" t="s">
        <v>1487</v>
      </c>
      <c r="CQS300" s="16" t="s">
        <v>1487</v>
      </c>
      <c r="CQT300" s="16" t="s">
        <v>1487</v>
      </c>
      <c r="CQU300" s="16" t="s">
        <v>1487</v>
      </c>
      <c r="CQV300" s="16" t="s">
        <v>1487</v>
      </c>
      <c r="CQW300" s="16" t="s">
        <v>1487</v>
      </c>
      <c r="CQX300" s="16" t="s">
        <v>1487</v>
      </c>
      <c r="CQY300" s="16" t="s">
        <v>1487</v>
      </c>
      <c r="CQZ300" s="16" t="s">
        <v>1487</v>
      </c>
      <c r="CRA300" s="16" t="s">
        <v>1487</v>
      </c>
      <c r="CRB300" s="16" t="s">
        <v>1487</v>
      </c>
      <c r="CRC300" s="16" t="s">
        <v>1487</v>
      </c>
      <c r="CRD300" s="16" t="s">
        <v>1487</v>
      </c>
      <c r="CRE300" s="16" t="s">
        <v>1487</v>
      </c>
      <c r="CRF300" s="16" t="s">
        <v>1487</v>
      </c>
      <c r="CRG300" s="16" t="s">
        <v>1487</v>
      </c>
      <c r="CRH300" s="16" t="s">
        <v>1487</v>
      </c>
      <c r="CRI300" s="16" t="s">
        <v>1487</v>
      </c>
      <c r="CRJ300" s="16" t="s">
        <v>1487</v>
      </c>
      <c r="CRK300" s="16" t="s">
        <v>1487</v>
      </c>
      <c r="CRL300" s="16" t="s">
        <v>1487</v>
      </c>
      <c r="CRM300" s="16" t="s">
        <v>1487</v>
      </c>
      <c r="CRN300" s="16" t="s">
        <v>1487</v>
      </c>
      <c r="CRO300" s="16" t="s">
        <v>1487</v>
      </c>
      <c r="CRP300" s="16" t="s">
        <v>1487</v>
      </c>
      <c r="CRQ300" s="16" t="s">
        <v>1487</v>
      </c>
      <c r="CRR300" s="16" t="s">
        <v>1487</v>
      </c>
      <c r="CRS300" s="16" t="s">
        <v>1487</v>
      </c>
      <c r="CRT300" s="16" t="s">
        <v>1487</v>
      </c>
      <c r="CRU300" s="16" t="s">
        <v>1487</v>
      </c>
      <c r="CRV300" s="16" t="s">
        <v>1487</v>
      </c>
      <c r="CRW300" s="16" t="s">
        <v>1487</v>
      </c>
      <c r="CRX300" s="16" t="s">
        <v>1487</v>
      </c>
      <c r="CRY300" s="16" t="s">
        <v>1487</v>
      </c>
      <c r="CRZ300" s="16" t="s">
        <v>1487</v>
      </c>
      <c r="CSA300" s="16" t="s">
        <v>1487</v>
      </c>
      <c r="CSB300" s="16" t="s">
        <v>1487</v>
      </c>
      <c r="CSC300" s="16" t="s">
        <v>1487</v>
      </c>
      <c r="CSD300" s="16" t="s">
        <v>1487</v>
      </c>
      <c r="CSE300" s="16" t="s">
        <v>1487</v>
      </c>
      <c r="CSF300" s="16" t="s">
        <v>1487</v>
      </c>
      <c r="CSG300" s="16" t="s">
        <v>1487</v>
      </c>
      <c r="CSH300" s="16" t="s">
        <v>1487</v>
      </c>
      <c r="CSI300" s="16" t="s">
        <v>1487</v>
      </c>
      <c r="CSJ300" s="16" t="s">
        <v>1487</v>
      </c>
      <c r="CSK300" s="16" t="s">
        <v>1487</v>
      </c>
      <c r="CSL300" s="16" t="s">
        <v>1487</v>
      </c>
      <c r="CSM300" s="16" t="s">
        <v>1487</v>
      </c>
      <c r="CSN300" s="16" t="s">
        <v>1487</v>
      </c>
      <c r="CSO300" s="16" t="s">
        <v>1487</v>
      </c>
      <c r="CSP300" s="16" t="s">
        <v>1487</v>
      </c>
      <c r="CSQ300" s="16" t="s">
        <v>1487</v>
      </c>
      <c r="CSR300" s="16" t="s">
        <v>1487</v>
      </c>
      <c r="CSS300" s="16" t="s">
        <v>1487</v>
      </c>
      <c r="CST300" s="16" t="s">
        <v>1487</v>
      </c>
      <c r="CSU300" s="16" t="s">
        <v>1487</v>
      </c>
      <c r="CSV300" s="16" t="s">
        <v>1487</v>
      </c>
      <c r="CSW300" s="16" t="s">
        <v>1487</v>
      </c>
      <c r="CSX300" s="16" t="s">
        <v>1487</v>
      </c>
      <c r="CSY300" s="16" t="s">
        <v>1487</v>
      </c>
      <c r="CSZ300" s="16" t="s">
        <v>1487</v>
      </c>
      <c r="CTA300" s="16" t="s">
        <v>1487</v>
      </c>
      <c r="CTB300" s="16" t="s">
        <v>1487</v>
      </c>
      <c r="CTC300" s="16" t="s">
        <v>1487</v>
      </c>
      <c r="CTD300" s="16" t="s">
        <v>1487</v>
      </c>
      <c r="CTE300" s="16" t="s">
        <v>1487</v>
      </c>
      <c r="CTF300" s="16" t="s">
        <v>1487</v>
      </c>
      <c r="CTG300" s="16" t="s">
        <v>1487</v>
      </c>
      <c r="CTH300" s="16" t="s">
        <v>1487</v>
      </c>
      <c r="CTI300" s="16" t="s">
        <v>1487</v>
      </c>
      <c r="CTJ300" s="16" t="s">
        <v>1487</v>
      </c>
      <c r="CTK300" s="16" t="s">
        <v>1487</v>
      </c>
      <c r="CTL300" s="16" t="s">
        <v>1487</v>
      </c>
      <c r="CTM300" s="16" t="s">
        <v>1487</v>
      </c>
      <c r="CTN300" s="16" t="s">
        <v>1487</v>
      </c>
      <c r="CTO300" s="16" t="s">
        <v>1487</v>
      </c>
      <c r="CTP300" s="16" t="s">
        <v>1487</v>
      </c>
      <c r="CTQ300" s="16" t="s">
        <v>1487</v>
      </c>
      <c r="CTR300" s="16" t="s">
        <v>1487</v>
      </c>
      <c r="CTS300" s="16" t="s">
        <v>1487</v>
      </c>
      <c r="CTT300" s="16" t="s">
        <v>1487</v>
      </c>
      <c r="CTU300" s="16" t="s">
        <v>1487</v>
      </c>
      <c r="CTV300" s="16" t="s">
        <v>1487</v>
      </c>
      <c r="CTW300" s="16" t="s">
        <v>1487</v>
      </c>
      <c r="CTX300" s="16" t="s">
        <v>1487</v>
      </c>
      <c r="CTY300" s="16" t="s">
        <v>1487</v>
      </c>
      <c r="CTZ300" s="16" t="s">
        <v>1487</v>
      </c>
      <c r="CUA300" s="16" t="s">
        <v>1487</v>
      </c>
      <c r="CUB300" s="16" t="s">
        <v>1487</v>
      </c>
      <c r="CUC300" s="16" t="s">
        <v>1487</v>
      </c>
      <c r="CUD300" s="16" t="s">
        <v>1487</v>
      </c>
      <c r="CUE300" s="16" t="s">
        <v>1487</v>
      </c>
      <c r="CUF300" s="16" t="s">
        <v>1487</v>
      </c>
      <c r="CUG300" s="16" t="s">
        <v>1487</v>
      </c>
      <c r="CUH300" s="16" t="s">
        <v>1487</v>
      </c>
      <c r="CUI300" s="16" t="s">
        <v>1487</v>
      </c>
      <c r="CUJ300" s="16" t="s">
        <v>1487</v>
      </c>
      <c r="CUK300" s="16" t="s">
        <v>1487</v>
      </c>
      <c r="CUL300" s="16" t="s">
        <v>1487</v>
      </c>
      <c r="CUM300" s="16" t="s">
        <v>1487</v>
      </c>
      <c r="CUN300" s="16" t="s">
        <v>1487</v>
      </c>
      <c r="CUO300" s="16" t="s">
        <v>1487</v>
      </c>
      <c r="CUP300" s="16" t="s">
        <v>1487</v>
      </c>
      <c r="CUQ300" s="16" t="s">
        <v>1487</v>
      </c>
      <c r="CUR300" s="16" t="s">
        <v>1487</v>
      </c>
      <c r="CUS300" s="16" t="s">
        <v>1487</v>
      </c>
      <c r="CUT300" s="16" t="s">
        <v>1487</v>
      </c>
      <c r="CUU300" s="16" t="s">
        <v>1487</v>
      </c>
      <c r="CUV300" s="16" t="s">
        <v>1487</v>
      </c>
      <c r="CUW300" s="16" t="s">
        <v>1487</v>
      </c>
      <c r="CUX300" s="16" t="s">
        <v>1487</v>
      </c>
      <c r="CUY300" s="16" t="s">
        <v>1487</v>
      </c>
      <c r="CUZ300" s="16" t="s">
        <v>1487</v>
      </c>
      <c r="CVA300" s="16" t="s">
        <v>1487</v>
      </c>
      <c r="CVB300" s="16" t="s">
        <v>1487</v>
      </c>
      <c r="CVC300" s="16" t="s">
        <v>1487</v>
      </c>
      <c r="CVD300" s="16" t="s">
        <v>1487</v>
      </c>
      <c r="CVE300" s="16" t="s">
        <v>1487</v>
      </c>
      <c r="CVF300" s="16" t="s">
        <v>1487</v>
      </c>
      <c r="CVG300" s="16" t="s">
        <v>1487</v>
      </c>
      <c r="CVH300" s="16" t="s">
        <v>1487</v>
      </c>
      <c r="CVI300" s="16" t="s">
        <v>1487</v>
      </c>
      <c r="CVJ300" s="16" t="s">
        <v>1487</v>
      </c>
      <c r="CVK300" s="16" t="s">
        <v>1487</v>
      </c>
      <c r="CVL300" s="16" t="s">
        <v>1487</v>
      </c>
      <c r="CVM300" s="16" t="s">
        <v>1487</v>
      </c>
      <c r="CVN300" s="16" t="s">
        <v>1487</v>
      </c>
      <c r="CVO300" s="16" t="s">
        <v>1487</v>
      </c>
      <c r="CVP300" s="16" t="s">
        <v>1487</v>
      </c>
      <c r="CVQ300" s="16" t="s">
        <v>1487</v>
      </c>
      <c r="CVR300" s="16" t="s">
        <v>1487</v>
      </c>
      <c r="CVS300" s="16" t="s">
        <v>1487</v>
      </c>
      <c r="CVT300" s="16" t="s">
        <v>1487</v>
      </c>
      <c r="CVU300" s="16" t="s">
        <v>1487</v>
      </c>
      <c r="CVV300" s="16" t="s">
        <v>1487</v>
      </c>
      <c r="CVW300" s="16" t="s">
        <v>1487</v>
      </c>
      <c r="CVX300" s="16" t="s">
        <v>1487</v>
      </c>
      <c r="CVY300" s="16" t="s">
        <v>1487</v>
      </c>
      <c r="CVZ300" s="16" t="s">
        <v>1487</v>
      </c>
      <c r="CWA300" s="16" t="s">
        <v>1487</v>
      </c>
      <c r="CWB300" s="16" t="s">
        <v>1487</v>
      </c>
      <c r="CWC300" s="16" t="s">
        <v>1487</v>
      </c>
      <c r="CWD300" s="16" t="s">
        <v>1487</v>
      </c>
      <c r="CWE300" s="16" t="s">
        <v>1487</v>
      </c>
      <c r="CWF300" s="16" t="s">
        <v>1487</v>
      </c>
      <c r="CWG300" s="16" t="s">
        <v>1487</v>
      </c>
      <c r="CWH300" s="16" t="s">
        <v>1487</v>
      </c>
      <c r="CWI300" s="16" t="s">
        <v>1487</v>
      </c>
      <c r="CWJ300" s="16" t="s">
        <v>1487</v>
      </c>
      <c r="CWK300" s="16" t="s">
        <v>1487</v>
      </c>
      <c r="CWL300" s="16" t="s">
        <v>1487</v>
      </c>
      <c r="CWM300" s="16" t="s">
        <v>1487</v>
      </c>
      <c r="CWN300" s="16" t="s">
        <v>1487</v>
      </c>
      <c r="CWO300" s="16" t="s">
        <v>1487</v>
      </c>
      <c r="CWP300" s="16" t="s">
        <v>1487</v>
      </c>
      <c r="CWQ300" s="16" t="s">
        <v>1487</v>
      </c>
      <c r="CWR300" s="16" t="s">
        <v>1487</v>
      </c>
      <c r="CWS300" s="16" t="s">
        <v>1487</v>
      </c>
      <c r="CWT300" s="16" t="s">
        <v>1487</v>
      </c>
      <c r="CWU300" s="16" t="s">
        <v>1487</v>
      </c>
      <c r="CWV300" s="16" t="s">
        <v>1487</v>
      </c>
      <c r="CWW300" s="16" t="s">
        <v>1487</v>
      </c>
      <c r="CWX300" s="16" t="s">
        <v>1487</v>
      </c>
      <c r="CWY300" s="16" t="s">
        <v>1487</v>
      </c>
      <c r="CWZ300" s="16" t="s">
        <v>1487</v>
      </c>
      <c r="CXA300" s="16" t="s">
        <v>1487</v>
      </c>
      <c r="CXB300" s="16" t="s">
        <v>1487</v>
      </c>
      <c r="CXC300" s="16" t="s">
        <v>1487</v>
      </c>
      <c r="CXD300" s="16" t="s">
        <v>1487</v>
      </c>
      <c r="CXE300" s="16" t="s">
        <v>1487</v>
      </c>
      <c r="CXF300" s="16" t="s">
        <v>1487</v>
      </c>
      <c r="CXG300" s="16" t="s">
        <v>1487</v>
      </c>
      <c r="CXH300" s="16" t="s">
        <v>1487</v>
      </c>
      <c r="CXI300" s="16" t="s">
        <v>1487</v>
      </c>
      <c r="CXJ300" s="16" t="s">
        <v>1487</v>
      </c>
      <c r="CXK300" s="16" t="s">
        <v>1487</v>
      </c>
      <c r="CXL300" s="16" t="s">
        <v>1487</v>
      </c>
      <c r="CXM300" s="16" t="s">
        <v>1487</v>
      </c>
      <c r="CXN300" s="16" t="s">
        <v>1487</v>
      </c>
      <c r="CXO300" s="16" t="s">
        <v>1487</v>
      </c>
      <c r="CXP300" s="16" t="s">
        <v>1487</v>
      </c>
      <c r="CXQ300" s="16" t="s">
        <v>1487</v>
      </c>
      <c r="CXR300" s="16" t="s">
        <v>1487</v>
      </c>
      <c r="CXS300" s="16" t="s">
        <v>1487</v>
      </c>
      <c r="CXT300" s="16" t="s">
        <v>1487</v>
      </c>
      <c r="CXU300" s="16" t="s">
        <v>1487</v>
      </c>
      <c r="CXV300" s="16" t="s">
        <v>1487</v>
      </c>
      <c r="CXW300" s="16" t="s">
        <v>1487</v>
      </c>
      <c r="CXX300" s="16" t="s">
        <v>1487</v>
      </c>
      <c r="CXY300" s="16" t="s">
        <v>1487</v>
      </c>
      <c r="CXZ300" s="16" t="s">
        <v>1487</v>
      </c>
      <c r="CYA300" s="16" t="s">
        <v>1487</v>
      </c>
      <c r="CYB300" s="16" t="s">
        <v>1487</v>
      </c>
      <c r="CYC300" s="16" t="s">
        <v>1487</v>
      </c>
      <c r="CYD300" s="16" t="s">
        <v>1487</v>
      </c>
      <c r="CYE300" s="16" t="s">
        <v>1487</v>
      </c>
      <c r="CYF300" s="16" t="s">
        <v>1487</v>
      </c>
      <c r="CYG300" s="16" t="s">
        <v>1487</v>
      </c>
      <c r="CYH300" s="16" t="s">
        <v>1487</v>
      </c>
      <c r="CYI300" s="16" t="s">
        <v>1487</v>
      </c>
      <c r="CYJ300" s="16" t="s">
        <v>1487</v>
      </c>
      <c r="CYK300" s="16" t="s">
        <v>1487</v>
      </c>
      <c r="CYL300" s="16" t="s">
        <v>1487</v>
      </c>
      <c r="CYM300" s="16" t="s">
        <v>1487</v>
      </c>
      <c r="CYN300" s="16" t="s">
        <v>1487</v>
      </c>
      <c r="CYO300" s="16" t="s">
        <v>1487</v>
      </c>
      <c r="CYP300" s="16" t="s">
        <v>1487</v>
      </c>
      <c r="CYQ300" s="16" t="s">
        <v>1487</v>
      </c>
      <c r="CYR300" s="16" t="s">
        <v>1487</v>
      </c>
      <c r="CYS300" s="16" t="s">
        <v>1487</v>
      </c>
      <c r="CYT300" s="16" t="s">
        <v>1487</v>
      </c>
      <c r="CYU300" s="16" t="s">
        <v>1487</v>
      </c>
      <c r="CYV300" s="16" t="s">
        <v>1487</v>
      </c>
      <c r="CYW300" s="16" t="s">
        <v>1487</v>
      </c>
      <c r="CYX300" s="16" t="s">
        <v>1487</v>
      </c>
      <c r="CYY300" s="16" t="s">
        <v>1487</v>
      </c>
      <c r="CYZ300" s="16" t="s">
        <v>1487</v>
      </c>
      <c r="CZA300" s="16" t="s">
        <v>1487</v>
      </c>
      <c r="CZB300" s="16" t="s">
        <v>1487</v>
      </c>
      <c r="CZC300" s="16" t="s">
        <v>1487</v>
      </c>
      <c r="CZD300" s="16" t="s">
        <v>1487</v>
      </c>
      <c r="CZE300" s="16" t="s">
        <v>1487</v>
      </c>
      <c r="CZF300" s="16" t="s">
        <v>1487</v>
      </c>
      <c r="CZG300" s="16" t="s">
        <v>1487</v>
      </c>
      <c r="CZH300" s="16" t="s">
        <v>1487</v>
      </c>
      <c r="CZI300" s="16" t="s">
        <v>1487</v>
      </c>
      <c r="CZJ300" s="16" t="s">
        <v>1487</v>
      </c>
      <c r="CZK300" s="16" t="s">
        <v>1487</v>
      </c>
      <c r="CZL300" s="16" t="s">
        <v>1487</v>
      </c>
      <c r="CZM300" s="16" t="s">
        <v>1487</v>
      </c>
      <c r="CZN300" s="16" t="s">
        <v>1487</v>
      </c>
      <c r="CZO300" s="16" t="s">
        <v>1487</v>
      </c>
      <c r="CZP300" s="16" t="s">
        <v>1487</v>
      </c>
      <c r="CZQ300" s="16" t="s">
        <v>1487</v>
      </c>
      <c r="CZR300" s="16" t="s">
        <v>1487</v>
      </c>
      <c r="CZS300" s="16" t="s">
        <v>1487</v>
      </c>
      <c r="CZT300" s="16" t="s">
        <v>1487</v>
      </c>
      <c r="CZU300" s="16" t="s">
        <v>1487</v>
      </c>
      <c r="CZV300" s="16" t="s">
        <v>1487</v>
      </c>
      <c r="CZW300" s="16" t="s">
        <v>1487</v>
      </c>
      <c r="CZX300" s="16" t="s">
        <v>1487</v>
      </c>
      <c r="CZY300" s="16" t="s">
        <v>1487</v>
      </c>
      <c r="CZZ300" s="16" t="s">
        <v>1487</v>
      </c>
      <c r="DAA300" s="16" t="s">
        <v>1487</v>
      </c>
      <c r="DAB300" s="16" t="s">
        <v>1487</v>
      </c>
      <c r="DAC300" s="16" t="s">
        <v>1487</v>
      </c>
      <c r="DAD300" s="16" t="s">
        <v>1487</v>
      </c>
      <c r="DAE300" s="16" t="s">
        <v>1487</v>
      </c>
      <c r="DAF300" s="16" t="s">
        <v>1487</v>
      </c>
      <c r="DAG300" s="16" t="s">
        <v>1487</v>
      </c>
      <c r="DAH300" s="16" t="s">
        <v>1487</v>
      </c>
      <c r="DAI300" s="16" t="s">
        <v>1487</v>
      </c>
      <c r="DAJ300" s="16" t="s">
        <v>1487</v>
      </c>
      <c r="DAK300" s="16" t="s">
        <v>1487</v>
      </c>
      <c r="DAL300" s="16" t="s">
        <v>1487</v>
      </c>
      <c r="DAM300" s="16" t="s">
        <v>1487</v>
      </c>
      <c r="DAN300" s="16" t="s">
        <v>1487</v>
      </c>
      <c r="DAO300" s="16" t="s">
        <v>1487</v>
      </c>
      <c r="DAP300" s="16" t="s">
        <v>1487</v>
      </c>
      <c r="DAQ300" s="16" t="s">
        <v>1487</v>
      </c>
      <c r="DAR300" s="16" t="s">
        <v>1487</v>
      </c>
      <c r="DAS300" s="16" t="s">
        <v>1487</v>
      </c>
      <c r="DAT300" s="16" t="s">
        <v>1487</v>
      </c>
      <c r="DAU300" s="16" t="s">
        <v>1487</v>
      </c>
      <c r="DAV300" s="16" t="s">
        <v>1487</v>
      </c>
      <c r="DAW300" s="16" t="s">
        <v>1487</v>
      </c>
      <c r="DAX300" s="16" t="s">
        <v>1487</v>
      </c>
      <c r="DAY300" s="16" t="s">
        <v>1487</v>
      </c>
      <c r="DAZ300" s="16" t="s">
        <v>1487</v>
      </c>
      <c r="DBA300" s="16" t="s">
        <v>1487</v>
      </c>
      <c r="DBB300" s="16" t="s">
        <v>1487</v>
      </c>
      <c r="DBC300" s="16" t="s">
        <v>1487</v>
      </c>
      <c r="DBD300" s="16" t="s">
        <v>1487</v>
      </c>
      <c r="DBE300" s="16" t="s">
        <v>1487</v>
      </c>
      <c r="DBF300" s="16" t="s">
        <v>1487</v>
      </c>
      <c r="DBG300" s="16" t="s">
        <v>1487</v>
      </c>
      <c r="DBH300" s="16" t="s">
        <v>1487</v>
      </c>
      <c r="DBI300" s="16" t="s">
        <v>1487</v>
      </c>
      <c r="DBJ300" s="16" t="s">
        <v>1487</v>
      </c>
      <c r="DBK300" s="16" t="s">
        <v>1487</v>
      </c>
      <c r="DBL300" s="16" t="s">
        <v>1487</v>
      </c>
      <c r="DBM300" s="16" t="s">
        <v>1487</v>
      </c>
      <c r="DBN300" s="16" t="s">
        <v>1487</v>
      </c>
      <c r="DBO300" s="16" t="s">
        <v>1487</v>
      </c>
      <c r="DBP300" s="16" t="s">
        <v>1487</v>
      </c>
      <c r="DBQ300" s="16" t="s">
        <v>1487</v>
      </c>
      <c r="DBR300" s="16" t="s">
        <v>1487</v>
      </c>
      <c r="DBS300" s="16" t="s">
        <v>1487</v>
      </c>
      <c r="DBT300" s="16" t="s">
        <v>1487</v>
      </c>
      <c r="DBU300" s="16" t="s">
        <v>1487</v>
      </c>
      <c r="DBV300" s="16" t="s">
        <v>1487</v>
      </c>
      <c r="DBW300" s="16" t="s">
        <v>1487</v>
      </c>
      <c r="DBX300" s="16" t="s">
        <v>1487</v>
      </c>
      <c r="DBY300" s="16" t="s">
        <v>1487</v>
      </c>
      <c r="DBZ300" s="16" t="s">
        <v>1487</v>
      </c>
      <c r="DCA300" s="16" t="s">
        <v>1487</v>
      </c>
      <c r="DCB300" s="16" t="s">
        <v>1487</v>
      </c>
      <c r="DCC300" s="16" t="s">
        <v>1487</v>
      </c>
      <c r="DCD300" s="16" t="s">
        <v>1487</v>
      </c>
      <c r="DCE300" s="16" t="s">
        <v>1487</v>
      </c>
      <c r="DCF300" s="16" t="s">
        <v>1487</v>
      </c>
      <c r="DCG300" s="16" t="s">
        <v>1487</v>
      </c>
      <c r="DCH300" s="16" t="s">
        <v>1487</v>
      </c>
      <c r="DCI300" s="16" t="s">
        <v>1487</v>
      </c>
      <c r="DCJ300" s="16" t="s">
        <v>1487</v>
      </c>
      <c r="DCK300" s="16" t="s">
        <v>1487</v>
      </c>
      <c r="DCL300" s="16" t="s">
        <v>1487</v>
      </c>
      <c r="DCM300" s="16" t="s">
        <v>1487</v>
      </c>
      <c r="DCN300" s="16" t="s">
        <v>1487</v>
      </c>
      <c r="DCO300" s="16" t="s">
        <v>1487</v>
      </c>
      <c r="DCP300" s="16" t="s">
        <v>1487</v>
      </c>
      <c r="DCQ300" s="16" t="s">
        <v>1487</v>
      </c>
      <c r="DCR300" s="16" t="s">
        <v>1487</v>
      </c>
      <c r="DCS300" s="16" t="s">
        <v>1487</v>
      </c>
      <c r="DCT300" s="16" t="s">
        <v>1487</v>
      </c>
      <c r="DCU300" s="16" t="s">
        <v>1487</v>
      </c>
      <c r="DCV300" s="16" t="s">
        <v>1487</v>
      </c>
      <c r="DCW300" s="16" t="s">
        <v>1487</v>
      </c>
      <c r="DCX300" s="16" t="s">
        <v>1487</v>
      </c>
      <c r="DCY300" s="16" t="s">
        <v>1487</v>
      </c>
      <c r="DCZ300" s="16" t="s">
        <v>1487</v>
      </c>
      <c r="DDA300" s="16" t="s">
        <v>1487</v>
      </c>
      <c r="DDB300" s="16" t="s">
        <v>1487</v>
      </c>
      <c r="DDC300" s="16" t="s">
        <v>1487</v>
      </c>
      <c r="DDD300" s="16" t="s">
        <v>1487</v>
      </c>
      <c r="DDE300" s="16" t="s">
        <v>1487</v>
      </c>
      <c r="DDF300" s="16" t="s">
        <v>1487</v>
      </c>
      <c r="DDG300" s="16" t="s">
        <v>1487</v>
      </c>
      <c r="DDH300" s="16" t="s">
        <v>1487</v>
      </c>
      <c r="DDI300" s="16" t="s">
        <v>1487</v>
      </c>
      <c r="DDJ300" s="16" t="s">
        <v>1487</v>
      </c>
      <c r="DDK300" s="16" t="s">
        <v>1487</v>
      </c>
      <c r="DDL300" s="16" t="s">
        <v>1487</v>
      </c>
      <c r="DDM300" s="16" t="s">
        <v>1487</v>
      </c>
      <c r="DDN300" s="16" t="s">
        <v>1487</v>
      </c>
      <c r="DDO300" s="16" t="s">
        <v>1487</v>
      </c>
      <c r="DDP300" s="16" t="s">
        <v>1487</v>
      </c>
      <c r="DDQ300" s="16" t="s">
        <v>1487</v>
      </c>
      <c r="DDR300" s="16" t="s">
        <v>1487</v>
      </c>
      <c r="DDS300" s="16" t="s">
        <v>1487</v>
      </c>
      <c r="DDT300" s="16" t="s">
        <v>1487</v>
      </c>
      <c r="DDU300" s="16" t="s">
        <v>1487</v>
      </c>
      <c r="DDV300" s="16" t="s">
        <v>1487</v>
      </c>
      <c r="DDW300" s="16" t="s">
        <v>1487</v>
      </c>
      <c r="DDX300" s="16" t="s">
        <v>1487</v>
      </c>
      <c r="DDY300" s="16" t="s">
        <v>1487</v>
      </c>
      <c r="DDZ300" s="16" t="s">
        <v>1487</v>
      </c>
      <c r="DEA300" s="16" t="s">
        <v>1487</v>
      </c>
      <c r="DEB300" s="16" t="s">
        <v>1487</v>
      </c>
      <c r="DEC300" s="16" t="s">
        <v>1487</v>
      </c>
      <c r="DED300" s="16" t="s">
        <v>1487</v>
      </c>
      <c r="DEE300" s="16" t="s">
        <v>1487</v>
      </c>
      <c r="DEF300" s="16" t="s">
        <v>1487</v>
      </c>
      <c r="DEG300" s="16" t="s">
        <v>1487</v>
      </c>
      <c r="DEH300" s="16" t="s">
        <v>1487</v>
      </c>
      <c r="DEI300" s="16" t="s">
        <v>1487</v>
      </c>
      <c r="DEJ300" s="16" t="s">
        <v>1487</v>
      </c>
      <c r="DEK300" s="16" t="s">
        <v>1487</v>
      </c>
      <c r="DEL300" s="16" t="s">
        <v>1487</v>
      </c>
      <c r="DEM300" s="16" t="s">
        <v>1487</v>
      </c>
      <c r="DEN300" s="16" t="s">
        <v>1487</v>
      </c>
      <c r="DEO300" s="16" t="s">
        <v>1487</v>
      </c>
      <c r="DEP300" s="16" t="s">
        <v>1487</v>
      </c>
      <c r="DEQ300" s="16" t="s">
        <v>1487</v>
      </c>
      <c r="DER300" s="16" t="s">
        <v>1487</v>
      </c>
      <c r="DES300" s="16" t="s">
        <v>1487</v>
      </c>
      <c r="DET300" s="16" t="s">
        <v>1487</v>
      </c>
      <c r="DEU300" s="16" t="s">
        <v>1487</v>
      </c>
      <c r="DEV300" s="16" t="s">
        <v>1487</v>
      </c>
      <c r="DEW300" s="16" t="s">
        <v>1487</v>
      </c>
      <c r="DEX300" s="16" t="s">
        <v>1487</v>
      </c>
      <c r="DEY300" s="16" t="s">
        <v>1487</v>
      </c>
      <c r="DEZ300" s="16" t="s">
        <v>1487</v>
      </c>
      <c r="DFA300" s="16" t="s">
        <v>1487</v>
      </c>
      <c r="DFB300" s="16" t="s">
        <v>1487</v>
      </c>
      <c r="DFC300" s="16" t="s">
        <v>1487</v>
      </c>
      <c r="DFD300" s="16" t="s">
        <v>1487</v>
      </c>
      <c r="DFE300" s="16" t="s">
        <v>1487</v>
      </c>
      <c r="DFF300" s="16" t="s">
        <v>1487</v>
      </c>
      <c r="DFG300" s="16" t="s">
        <v>1487</v>
      </c>
      <c r="DFH300" s="16" t="s">
        <v>1487</v>
      </c>
      <c r="DFI300" s="16" t="s">
        <v>1487</v>
      </c>
      <c r="DFJ300" s="16" t="s">
        <v>1487</v>
      </c>
      <c r="DFK300" s="16" t="s">
        <v>1487</v>
      </c>
      <c r="DFL300" s="16" t="s">
        <v>1487</v>
      </c>
      <c r="DFM300" s="16" t="s">
        <v>1487</v>
      </c>
      <c r="DFN300" s="16" t="s">
        <v>1487</v>
      </c>
      <c r="DFO300" s="16" t="s">
        <v>1487</v>
      </c>
      <c r="DFP300" s="16" t="s">
        <v>1487</v>
      </c>
      <c r="DFQ300" s="16" t="s">
        <v>1487</v>
      </c>
      <c r="DFR300" s="16" t="s">
        <v>1487</v>
      </c>
      <c r="DFS300" s="16" t="s">
        <v>1487</v>
      </c>
      <c r="DFT300" s="16" t="s">
        <v>1487</v>
      </c>
      <c r="DFU300" s="16" t="s">
        <v>1487</v>
      </c>
      <c r="DFV300" s="16" t="s">
        <v>1487</v>
      </c>
      <c r="DFW300" s="16" t="s">
        <v>1487</v>
      </c>
      <c r="DFX300" s="16" t="s">
        <v>1487</v>
      </c>
      <c r="DFY300" s="16" t="s">
        <v>1487</v>
      </c>
      <c r="DFZ300" s="16" t="s">
        <v>1487</v>
      </c>
      <c r="DGA300" s="16" t="s">
        <v>1487</v>
      </c>
      <c r="DGB300" s="16" t="s">
        <v>1487</v>
      </c>
      <c r="DGC300" s="16" t="s">
        <v>1487</v>
      </c>
      <c r="DGD300" s="16" t="s">
        <v>1487</v>
      </c>
      <c r="DGE300" s="16" t="s">
        <v>1487</v>
      </c>
      <c r="DGF300" s="16" t="s">
        <v>1487</v>
      </c>
      <c r="DGG300" s="16" t="s">
        <v>1487</v>
      </c>
      <c r="DGH300" s="16" t="s">
        <v>1487</v>
      </c>
      <c r="DGI300" s="16" t="s">
        <v>1487</v>
      </c>
      <c r="DGJ300" s="16" t="s">
        <v>1487</v>
      </c>
      <c r="DGK300" s="16" t="s">
        <v>1487</v>
      </c>
      <c r="DGL300" s="16" t="s">
        <v>1487</v>
      </c>
      <c r="DGM300" s="16" t="s">
        <v>1487</v>
      </c>
      <c r="DGN300" s="16" t="s">
        <v>1487</v>
      </c>
      <c r="DGO300" s="16" t="s">
        <v>1487</v>
      </c>
      <c r="DGP300" s="16" t="s">
        <v>1487</v>
      </c>
      <c r="DGQ300" s="16" t="s">
        <v>1487</v>
      </c>
      <c r="DGR300" s="16" t="s">
        <v>1487</v>
      </c>
      <c r="DGS300" s="16" t="s">
        <v>1487</v>
      </c>
      <c r="DGT300" s="16" t="s">
        <v>1487</v>
      </c>
      <c r="DGU300" s="16" t="s">
        <v>1487</v>
      </c>
      <c r="DGV300" s="16" t="s">
        <v>1487</v>
      </c>
      <c r="DGW300" s="16" t="s">
        <v>1487</v>
      </c>
      <c r="DGX300" s="16" t="s">
        <v>1487</v>
      </c>
      <c r="DGY300" s="16" t="s">
        <v>1487</v>
      </c>
      <c r="DGZ300" s="16" t="s">
        <v>1487</v>
      </c>
      <c r="DHA300" s="16" t="s">
        <v>1487</v>
      </c>
      <c r="DHB300" s="16" t="s">
        <v>1487</v>
      </c>
      <c r="DHC300" s="16" t="s">
        <v>1487</v>
      </c>
      <c r="DHD300" s="16" t="s">
        <v>1487</v>
      </c>
      <c r="DHE300" s="16" t="s">
        <v>1487</v>
      </c>
      <c r="DHF300" s="16" t="s">
        <v>1487</v>
      </c>
      <c r="DHG300" s="16" t="s">
        <v>1487</v>
      </c>
      <c r="DHH300" s="16" t="s">
        <v>1487</v>
      </c>
      <c r="DHI300" s="16" t="s">
        <v>1487</v>
      </c>
      <c r="DHJ300" s="16" t="s">
        <v>1487</v>
      </c>
      <c r="DHK300" s="16" t="s">
        <v>1487</v>
      </c>
      <c r="DHL300" s="16" t="s">
        <v>1487</v>
      </c>
      <c r="DHM300" s="16" t="s">
        <v>1487</v>
      </c>
      <c r="DHN300" s="16" t="s">
        <v>1487</v>
      </c>
      <c r="DHO300" s="16" t="s">
        <v>1487</v>
      </c>
      <c r="DHP300" s="16" t="s">
        <v>1487</v>
      </c>
      <c r="DHQ300" s="16" t="s">
        <v>1487</v>
      </c>
      <c r="DHR300" s="16" t="s">
        <v>1487</v>
      </c>
      <c r="DHS300" s="16" t="s">
        <v>1487</v>
      </c>
      <c r="DHT300" s="16" t="s">
        <v>1487</v>
      </c>
      <c r="DHU300" s="16" t="s">
        <v>1487</v>
      </c>
      <c r="DHV300" s="16" t="s">
        <v>1487</v>
      </c>
      <c r="DHW300" s="16" t="s">
        <v>1487</v>
      </c>
      <c r="DHX300" s="16" t="s">
        <v>1487</v>
      </c>
      <c r="DHY300" s="16" t="s">
        <v>1487</v>
      </c>
      <c r="DHZ300" s="16" t="s">
        <v>1487</v>
      </c>
      <c r="DIA300" s="16" t="s">
        <v>1487</v>
      </c>
      <c r="DIB300" s="16" t="s">
        <v>1487</v>
      </c>
      <c r="DIC300" s="16" t="s">
        <v>1487</v>
      </c>
      <c r="DID300" s="16" t="s">
        <v>1487</v>
      </c>
      <c r="DIE300" s="16" t="s">
        <v>1487</v>
      </c>
      <c r="DIF300" s="16" t="s">
        <v>1487</v>
      </c>
      <c r="DIG300" s="16" t="s">
        <v>1487</v>
      </c>
      <c r="DIH300" s="16" t="s">
        <v>1487</v>
      </c>
      <c r="DII300" s="16" t="s">
        <v>1487</v>
      </c>
      <c r="DIJ300" s="16" t="s">
        <v>1487</v>
      </c>
      <c r="DIK300" s="16" t="s">
        <v>1487</v>
      </c>
      <c r="DIL300" s="16" t="s">
        <v>1487</v>
      </c>
      <c r="DIM300" s="16" t="s">
        <v>1487</v>
      </c>
      <c r="DIN300" s="16" t="s">
        <v>1487</v>
      </c>
      <c r="DIO300" s="16" t="s">
        <v>1487</v>
      </c>
      <c r="DIP300" s="16" t="s">
        <v>1487</v>
      </c>
      <c r="DIQ300" s="16" t="s">
        <v>1487</v>
      </c>
      <c r="DIR300" s="16" t="s">
        <v>1487</v>
      </c>
      <c r="DIS300" s="16" t="s">
        <v>1487</v>
      </c>
      <c r="DIT300" s="16" t="s">
        <v>1487</v>
      </c>
      <c r="DIU300" s="16" t="s">
        <v>1487</v>
      </c>
      <c r="DIV300" s="16" t="s">
        <v>1487</v>
      </c>
      <c r="DIW300" s="16" t="s">
        <v>1487</v>
      </c>
      <c r="DIX300" s="16" t="s">
        <v>1487</v>
      </c>
      <c r="DIY300" s="16" t="s">
        <v>1487</v>
      </c>
      <c r="DIZ300" s="16" t="s">
        <v>1487</v>
      </c>
      <c r="DJA300" s="16" t="s">
        <v>1487</v>
      </c>
      <c r="DJB300" s="16" t="s">
        <v>1487</v>
      </c>
      <c r="DJC300" s="16" t="s">
        <v>1487</v>
      </c>
      <c r="DJD300" s="16" t="s">
        <v>1487</v>
      </c>
      <c r="DJE300" s="16" t="s">
        <v>1487</v>
      </c>
      <c r="DJF300" s="16" t="s">
        <v>1487</v>
      </c>
      <c r="DJG300" s="16" t="s">
        <v>1487</v>
      </c>
      <c r="DJH300" s="16" t="s">
        <v>1487</v>
      </c>
      <c r="DJI300" s="16" t="s">
        <v>1487</v>
      </c>
      <c r="DJJ300" s="16" t="s">
        <v>1487</v>
      </c>
      <c r="DJK300" s="16" t="s">
        <v>1487</v>
      </c>
      <c r="DJL300" s="16" t="s">
        <v>1487</v>
      </c>
      <c r="DJM300" s="16" t="s">
        <v>1487</v>
      </c>
      <c r="DJN300" s="16" t="s">
        <v>1487</v>
      </c>
      <c r="DJO300" s="16" t="s">
        <v>1487</v>
      </c>
      <c r="DJP300" s="16" t="s">
        <v>1487</v>
      </c>
      <c r="DJQ300" s="16" t="s">
        <v>1487</v>
      </c>
      <c r="DJR300" s="16" t="s">
        <v>1487</v>
      </c>
      <c r="DJS300" s="16" t="s">
        <v>1487</v>
      </c>
      <c r="DJT300" s="16" t="s">
        <v>1487</v>
      </c>
      <c r="DJU300" s="16" t="s">
        <v>1487</v>
      </c>
      <c r="DJV300" s="16" t="s">
        <v>1487</v>
      </c>
      <c r="DJW300" s="16" t="s">
        <v>1487</v>
      </c>
      <c r="DJX300" s="16" t="s">
        <v>1487</v>
      </c>
      <c r="DJY300" s="16" t="s">
        <v>1487</v>
      </c>
      <c r="DJZ300" s="16" t="s">
        <v>1487</v>
      </c>
      <c r="DKA300" s="16" t="s">
        <v>1487</v>
      </c>
      <c r="DKB300" s="16" t="s">
        <v>1487</v>
      </c>
      <c r="DKC300" s="16" t="s">
        <v>1487</v>
      </c>
      <c r="DKD300" s="16" t="s">
        <v>1487</v>
      </c>
      <c r="DKE300" s="16" t="s">
        <v>1487</v>
      </c>
      <c r="DKF300" s="16" t="s">
        <v>1487</v>
      </c>
      <c r="DKG300" s="16" t="s">
        <v>1487</v>
      </c>
      <c r="DKH300" s="16" t="s">
        <v>1487</v>
      </c>
      <c r="DKI300" s="16" t="s">
        <v>1487</v>
      </c>
      <c r="DKJ300" s="16" t="s">
        <v>1487</v>
      </c>
      <c r="DKK300" s="16" t="s">
        <v>1487</v>
      </c>
      <c r="DKL300" s="16" t="s">
        <v>1487</v>
      </c>
      <c r="DKM300" s="16" t="s">
        <v>1487</v>
      </c>
      <c r="DKN300" s="16" t="s">
        <v>1487</v>
      </c>
      <c r="DKO300" s="16" t="s">
        <v>1487</v>
      </c>
      <c r="DKP300" s="16" t="s">
        <v>1487</v>
      </c>
      <c r="DKQ300" s="16" t="s">
        <v>1487</v>
      </c>
      <c r="DKR300" s="16" t="s">
        <v>1487</v>
      </c>
      <c r="DKS300" s="16" t="s">
        <v>1487</v>
      </c>
      <c r="DKT300" s="16" t="s">
        <v>1487</v>
      </c>
      <c r="DKU300" s="16" t="s">
        <v>1487</v>
      </c>
      <c r="DKV300" s="16" t="s">
        <v>1487</v>
      </c>
      <c r="DKW300" s="16" t="s">
        <v>1487</v>
      </c>
      <c r="DKX300" s="16" t="s">
        <v>1487</v>
      </c>
      <c r="DKY300" s="16" t="s">
        <v>1487</v>
      </c>
      <c r="DKZ300" s="16" t="s">
        <v>1487</v>
      </c>
      <c r="DLA300" s="16" t="s">
        <v>1487</v>
      </c>
      <c r="DLB300" s="16" t="s">
        <v>1487</v>
      </c>
      <c r="DLC300" s="16" t="s">
        <v>1487</v>
      </c>
      <c r="DLD300" s="16" t="s">
        <v>1487</v>
      </c>
      <c r="DLE300" s="16" t="s">
        <v>1487</v>
      </c>
      <c r="DLF300" s="16" t="s">
        <v>1487</v>
      </c>
      <c r="DLG300" s="16" t="s">
        <v>1487</v>
      </c>
      <c r="DLH300" s="16" t="s">
        <v>1487</v>
      </c>
      <c r="DLI300" s="16" t="s">
        <v>1487</v>
      </c>
      <c r="DLJ300" s="16" t="s">
        <v>1487</v>
      </c>
      <c r="DLK300" s="16" t="s">
        <v>1487</v>
      </c>
      <c r="DLL300" s="16" t="s">
        <v>1487</v>
      </c>
      <c r="DLM300" s="16" t="s">
        <v>1487</v>
      </c>
      <c r="DLN300" s="16" t="s">
        <v>1487</v>
      </c>
      <c r="DLO300" s="16" t="s">
        <v>1487</v>
      </c>
      <c r="DLP300" s="16" t="s">
        <v>1487</v>
      </c>
      <c r="DLQ300" s="16" t="s">
        <v>1487</v>
      </c>
      <c r="DLR300" s="16" t="s">
        <v>1487</v>
      </c>
      <c r="DLS300" s="16" t="s">
        <v>1487</v>
      </c>
      <c r="DLT300" s="16" t="s">
        <v>1487</v>
      </c>
      <c r="DLU300" s="16" t="s">
        <v>1487</v>
      </c>
      <c r="DLV300" s="16" t="s">
        <v>1487</v>
      </c>
      <c r="DLW300" s="16" t="s">
        <v>1487</v>
      </c>
      <c r="DLX300" s="16" t="s">
        <v>1487</v>
      </c>
      <c r="DLY300" s="16" t="s">
        <v>1487</v>
      </c>
      <c r="DLZ300" s="16" t="s">
        <v>1487</v>
      </c>
      <c r="DMA300" s="16" t="s">
        <v>1487</v>
      </c>
      <c r="DMB300" s="16" t="s">
        <v>1487</v>
      </c>
      <c r="DMC300" s="16" t="s">
        <v>1487</v>
      </c>
      <c r="DMD300" s="16" t="s">
        <v>1487</v>
      </c>
      <c r="DME300" s="16" t="s">
        <v>1487</v>
      </c>
      <c r="DMF300" s="16" t="s">
        <v>1487</v>
      </c>
      <c r="DMG300" s="16" t="s">
        <v>1487</v>
      </c>
      <c r="DMH300" s="16" t="s">
        <v>1487</v>
      </c>
      <c r="DMI300" s="16" t="s">
        <v>1487</v>
      </c>
      <c r="DMJ300" s="16" t="s">
        <v>1487</v>
      </c>
      <c r="DMK300" s="16" t="s">
        <v>1487</v>
      </c>
      <c r="DML300" s="16" t="s">
        <v>1487</v>
      </c>
      <c r="DMM300" s="16" t="s">
        <v>1487</v>
      </c>
      <c r="DMN300" s="16" t="s">
        <v>1487</v>
      </c>
      <c r="DMO300" s="16" t="s">
        <v>1487</v>
      </c>
      <c r="DMP300" s="16" t="s">
        <v>1487</v>
      </c>
      <c r="DMQ300" s="16" t="s">
        <v>1487</v>
      </c>
      <c r="DMR300" s="16" t="s">
        <v>1487</v>
      </c>
      <c r="DMS300" s="16" t="s">
        <v>1487</v>
      </c>
      <c r="DMT300" s="16" t="s">
        <v>1487</v>
      </c>
      <c r="DMU300" s="16" t="s">
        <v>1487</v>
      </c>
      <c r="DMV300" s="16" t="s">
        <v>1487</v>
      </c>
      <c r="DMW300" s="16" t="s">
        <v>1487</v>
      </c>
      <c r="DMX300" s="16" t="s">
        <v>1487</v>
      </c>
      <c r="DMY300" s="16" t="s">
        <v>1487</v>
      </c>
      <c r="DMZ300" s="16" t="s">
        <v>1487</v>
      </c>
      <c r="DNA300" s="16" t="s">
        <v>1487</v>
      </c>
      <c r="DNB300" s="16" t="s">
        <v>1487</v>
      </c>
      <c r="DNC300" s="16" t="s">
        <v>1487</v>
      </c>
      <c r="DND300" s="16" t="s">
        <v>1487</v>
      </c>
      <c r="DNE300" s="16" t="s">
        <v>1487</v>
      </c>
      <c r="DNF300" s="16" t="s">
        <v>1487</v>
      </c>
      <c r="DNG300" s="16" t="s">
        <v>1487</v>
      </c>
      <c r="DNH300" s="16" t="s">
        <v>1487</v>
      </c>
      <c r="DNI300" s="16" t="s">
        <v>1487</v>
      </c>
      <c r="DNJ300" s="16" t="s">
        <v>1487</v>
      </c>
      <c r="DNK300" s="16" t="s">
        <v>1487</v>
      </c>
      <c r="DNL300" s="16" t="s">
        <v>1487</v>
      </c>
      <c r="DNM300" s="16" t="s">
        <v>1487</v>
      </c>
      <c r="DNN300" s="16" t="s">
        <v>1487</v>
      </c>
      <c r="DNO300" s="16" t="s">
        <v>1487</v>
      </c>
      <c r="DNP300" s="16" t="s">
        <v>1487</v>
      </c>
      <c r="DNQ300" s="16" t="s">
        <v>1487</v>
      </c>
      <c r="DNR300" s="16" t="s">
        <v>1487</v>
      </c>
      <c r="DNS300" s="16" t="s">
        <v>1487</v>
      </c>
      <c r="DNT300" s="16" t="s">
        <v>1487</v>
      </c>
      <c r="DNU300" s="16" t="s">
        <v>1487</v>
      </c>
      <c r="DNV300" s="16" t="s">
        <v>1487</v>
      </c>
      <c r="DNW300" s="16" t="s">
        <v>1487</v>
      </c>
      <c r="DNX300" s="16" t="s">
        <v>1487</v>
      </c>
      <c r="DNY300" s="16" t="s">
        <v>1487</v>
      </c>
      <c r="DNZ300" s="16" t="s">
        <v>1487</v>
      </c>
      <c r="DOA300" s="16" t="s">
        <v>1487</v>
      </c>
      <c r="DOB300" s="16" t="s">
        <v>1487</v>
      </c>
      <c r="DOC300" s="16" t="s">
        <v>1487</v>
      </c>
      <c r="DOD300" s="16" t="s">
        <v>1487</v>
      </c>
      <c r="DOE300" s="16" t="s">
        <v>1487</v>
      </c>
      <c r="DOF300" s="16" t="s">
        <v>1487</v>
      </c>
      <c r="DOG300" s="16" t="s">
        <v>1487</v>
      </c>
      <c r="DOH300" s="16" t="s">
        <v>1487</v>
      </c>
      <c r="DOI300" s="16" t="s">
        <v>1487</v>
      </c>
      <c r="DOJ300" s="16" t="s">
        <v>1487</v>
      </c>
      <c r="DOK300" s="16" t="s">
        <v>1487</v>
      </c>
      <c r="DOL300" s="16" t="s">
        <v>1487</v>
      </c>
      <c r="DOM300" s="16" t="s">
        <v>1487</v>
      </c>
      <c r="DON300" s="16" t="s">
        <v>1487</v>
      </c>
      <c r="DOO300" s="16" t="s">
        <v>1487</v>
      </c>
      <c r="DOP300" s="16" t="s">
        <v>1487</v>
      </c>
      <c r="DOQ300" s="16" t="s">
        <v>1487</v>
      </c>
      <c r="DOR300" s="16" t="s">
        <v>1487</v>
      </c>
      <c r="DOS300" s="16" t="s">
        <v>1487</v>
      </c>
      <c r="DOT300" s="16" t="s">
        <v>1487</v>
      </c>
      <c r="DOU300" s="16" t="s">
        <v>1487</v>
      </c>
      <c r="DOV300" s="16" t="s">
        <v>1487</v>
      </c>
      <c r="DOW300" s="16" t="s">
        <v>1487</v>
      </c>
      <c r="DOX300" s="16" t="s">
        <v>1487</v>
      </c>
      <c r="DOY300" s="16" t="s">
        <v>1487</v>
      </c>
      <c r="DOZ300" s="16" t="s">
        <v>1487</v>
      </c>
      <c r="DPA300" s="16" t="s">
        <v>1487</v>
      </c>
      <c r="DPB300" s="16" t="s">
        <v>1487</v>
      </c>
      <c r="DPC300" s="16" t="s">
        <v>1487</v>
      </c>
      <c r="DPD300" s="16" t="s">
        <v>1487</v>
      </c>
      <c r="DPE300" s="16" t="s">
        <v>1487</v>
      </c>
      <c r="DPF300" s="16" t="s">
        <v>1487</v>
      </c>
      <c r="DPG300" s="16" t="s">
        <v>1487</v>
      </c>
      <c r="DPH300" s="16" t="s">
        <v>1487</v>
      </c>
      <c r="DPI300" s="16" t="s">
        <v>1487</v>
      </c>
      <c r="DPJ300" s="16" t="s">
        <v>1487</v>
      </c>
      <c r="DPK300" s="16" t="s">
        <v>1487</v>
      </c>
      <c r="DPL300" s="16" t="s">
        <v>1487</v>
      </c>
      <c r="DPM300" s="16" t="s">
        <v>1487</v>
      </c>
      <c r="DPN300" s="16" t="s">
        <v>1487</v>
      </c>
      <c r="DPO300" s="16" t="s">
        <v>1487</v>
      </c>
      <c r="DPP300" s="16" t="s">
        <v>1487</v>
      </c>
      <c r="DPQ300" s="16" t="s">
        <v>1487</v>
      </c>
      <c r="DPR300" s="16" t="s">
        <v>1487</v>
      </c>
      <c r="DPS300" s="16" t="s">
        <v>1487</v>
      </c>
      <c r="DPT300" s="16" t="s">
        <v>1487</v>
      </c>
      <c r="DPU300" s="16" t="s">
        <v>1487</v>
      </c>
      <c r="DPV300" s="16" t="s">
        <v>1487</v>
      </c>
      <c r="DPW300" s="16" t="s">
        <v>1487</v>
      </c>
      <c r="DPX300" s="16" t="s">
        <v>1487</v>
      </c>
      <c r="DPY300" s="16" t="s">
        <v>1487</v>
      </c>
      <c r="DPZ300" s="16" t="s">
        <v>1487</v>
      </c>
      <c r="DQA300" s="16" t="s">
        <v>1487</v>
      </c>
      <c r="DQB300" s="16" t="s">
        <v>1487</v>
      </c>
      <c r="DQC300" s="16" t="s">
        <v>1487</v>
      </c>
      <c r="DQD300" s="16" t="s">
        <v>1487</v>
      </c>
      <c r="DQE300" s="16" t="s">
        <v>1487</v>
      </c>
      <c r="DQF300" s="16" t="s">
        <v>1487</v>
      </c>
      <c r="DQG300" s="16" t="s">
        <v>1487</v>
      </c>
      <c r="DQH300" s="16" t="s">
        <v>1487</v>
      </c>
      <c r="DQI300" s="16" t="s">
        <v>1487</v>
      </c>
      <c r="DQJ300" s="16" t="s">
        <v>1487</v>
      </c>
      <c r="DQK300" s="16" t="s">
        <v>1487</v>
      </c>
      <c r="DQL300" s="16" t="s">
        <v>1487</v>
      </c>
      <c r="DQM300" s="16" t="s">
        <v>1487</v>
      </c>
      <c r="DQN300" s="16" t="s">
        <v>1487</v>
      </c>
      <c r="DQO300" s="16" t="s">
        <v>1487</v>
      </c>
      <c r="DQP300" s="16" t="s">
        <v>1487</v>
      </c>
      <c r="DQQ300" s="16" t="s">
        <v>1487</v>
      </c>
      <c r="DQR300" s="16" t="s">
        <v>1487</v>
      </c>
      <c r="DQS300" s="16" t="s">
        <v>1487</v>
      </c>
      <c r="DQT300" s="16" t="s">
        <v>1487</v>
      </c>
      <c r="DQU300" s="16" t="s">
        <v>1487</v>
      </c>
      <c r="DQV300" s="16" t="s">
        <v>1487</v>
      </c>
      <c r="DQW300" s="16" t="s">
        <v>1487</v>
      </c>
      <c r="DQX300" s="16" t="s">
        <v>1487</v>
      </c>
      <c r="DQY300" s="16" t="s">
        <v>1487</v>
      </c>
      <c r="DQZ300" s="16" t="s">
        <v>1487</v>
      </c>
      <c r="DRA300" s="16" t="s">
        <v>1487</v>
      </c>
      <c r="DRB300" s="16" t="s">
        <v>1487</v>
      </c>
      <c r="DRC300" s="16" t="s">
        <v>1487</v>
      </c>
      <c r="DRD300" s="16" t="s">
        <v>1487</v>
      </c>
      <c r="DRE300" s="16" t="s">
        <v>1487</v>
      </c>
      <c r="DRF300" s="16" t="s">
        <v>1487</v>
      </c>
      <c r="DRG300" s="16" t="s">
        <v>1487</v>
      </c>
      <c r="DRH300" s="16" t="s">
        <v>1487</v>
      </c>
      <c r="DRI300" s="16" t="s">
        <v>1487</v>
      </c>
      <c r="DRJ300" s="16" t="s">
        <v>1487</v>
      </c>
      <c r="DRK300" s="16" t="s">
        <v>1487</v>
      </c>
      <c r="DRL300" s="16" t="s">
        <v>1487</v>
      </c>
      <c r="DRM300" s="16" t="s">
        <v>1487</v>
      </c>
      <c r="DRN300" s="16" t="s">
        <v>1487</v>
      </c>
      <c r="DRO300" s="16" t="s">
        <v>1487</v>
      </c>
      <c r="DRP300" s="16" t="s">
        <v>1487</v>
      </c>
      <c r="DRQ300" s="16" t="s">
        <v>1487</v>
      </c>
      <c r="DRR300" s="16" t="s">
        <v>1487</v>
      </c>
      <c r="DRS300" s="16" t="s">
        <v>1487</v>
      </c>
      <c r="DRT300" s="16" t="s">
        <v>1487</v>
      </c>
      <c r="DRU300" s="16" t="s">
        <v>1487</v>
      </c>
      <c r="DRV300" s="16" t="s">
        <v>1487</v>
      </c>
      <c r="DRW300" s="16" t="s">
        <v>1487</v>
      </c>
      <c r="DRX300" s="16" t="s">
        <v>1487</v>
      </c>
      <c r="DRY300" s="16" t="s">
        <v>1487</v>
      </c>
      <c r="DRZ300" s="16" t="s">
        <v>1487</v>
      </c>
      <c r="DSA300" s="16" t="s">
        <v>1487</v>
      </c>
      <c r="DSB300" s="16" t="s">
        <v>1487</v>
      </c>
      <c r="DSC300" s="16" t="s">
        <v>1487</v>
      </c>
      <c r="DSD300" s="16" t="s">
        <v>1487</v>
      </c>
      <c r="DSE300" s="16" t="s">
        <v>1487</v>
      </c>
      <c r="DSF300" s="16" t="s">
        <v>1487</v>
      </c>
      <c r="DSG300" s="16" t="s">
        <v>1487</v>
      </c>
      <c r="DSH300" s="16" t="s">
        <v>1487</v>
      </c>
      <c r="DSI300" s="16" t="s">
        <v>1487</v>
      </c>
      <c r="DSJ300" s="16" t="s">
        <v>1487</v>
      </c>
      <c r="DSK300" s="16" t="s">
        <v>1487</v>
      </c>
      <c r="DSL300" s="16" t="s">
        <v>1487</v>
      </c>
      <c r="DSM300" s="16" t="s">
        <v>1487</v>
      </c>
      <c r="DSN300" s="16" t="s">
        <v>1487</v>
      </c>
      <c r="DSO300" s="16" t="s">
        <v>1487</v>
      </c>
      <c r="DSP300" s="16" t="s">
        <v>1487</v>
      </c>
      <c r="DSQ300" s="16" t="s">
        <v>1487</v>
      </c>
      <c r="DSR300" s="16" t="s">
        <v>1487</v>
      </c>
      <c r="DSS300" s="16" t="s">
        <v>1487</v>
      </c>
      <c r="DST300" s="16" t="s">
        <v>1487</v>
      </c>
      <c r="DSU300" s="16" t="s">
        <v>1487</v>
      </c>
      <c r="DSV300" s="16" t="s">
        <v>1487</v>
      </c>
      <c r="DSW300" s="16" t="s">
        <v>1487</v>
      </c>
      <c r="DSX300" s="16" t="s">
        <v>1487</v>
      </c>
      <c r="DSY300" s="16" t="s">
        <v>1487</v>
      </c>
      <c r="DSZ300" s="16" t="s">
        <v>1487</v>
      </c>
      <c r="DTA300" s="16" t="s">
        <v>1487</v>
      </c>
      <c r="DTB300" s="16" t="s">
        <v>1487</v>
      </c>
      <c r="DTC300" s="16" t="s">
        <v>1487</v>
      </c>
      <c r="DTD300" s="16" t="s">
        <v>1487</v>
      </c>
      <c r="DTE300" s="16" t="s">
        <v>1487</v>
      </c>
      <c r="DTF300" s="16" t="s">
        <v>1487</v>
      </c>
      <c r="DTG300" s="16" t="s">
        <v>1487</v>
      </c>
      <c r="DTH300" s="16" t="s">
        <v>1487</v>
      </c>
      <c r="DTI300" s="16" t="s">
        <v>1487</v>
      </c>
      <c r="DTJ300" s="16" t="s">
        <v>1487</v>
      </c>
      <c r="DTK300" s="16" t="s">
        <v>1487</v>
      </c>
      <c r="DTL300" s="16" t="s">
        <v>1487</v>
      </c>
      <c r="DTM300" s="16" t="s">
        <v>1487</v>
      </c>
      <c r="DTN300" s="16" t="s">
        <v>1487</v>
      </c>
      <c r="DTO300" s="16" t="s">
        <v>1487</v>
      </c>
      <c r="DTP300" s="16" t="s">
        <v>1487</v>
      </c>
      <c r="DTQ300" s="16" t="s">
        <v>1487</v>
      </c>
      <c r="DTR300" s="16" t="s">
        <v>1487</v>
      </c>
      <c r="DTS300" s="16" t="s">
        <v>1487</v>
      </c>
      <c r="DTT300" s="16" t="s">
        <v>1487</v>
      </c>
      <c r="DTU300" s="16" t="s">
        <v>1487</v>
      </c>
      <c r="DTV300" s="16" t="s">
        <v>1487</v>
      </c>
      <c r="DTW300" s="16" t="s">
        <v>1487</v>
      </c>
      <c r="DTX300" s="16" t="s">
        <v>1487</v>
      </c>
      <c r="DTY300" s="16" t="s">
        <v>1487</v>
      </c>
      <c r="DTZ300" s="16" t="s">
        <v>1487</v>
      </c>
      <c r="DUA300" s="16" t="s">
        <v>1487</v>
      </c>
      <c r="DUB300" s="16" t="s">
        <v>1487</v>
      </c>
      <c r="DUC300" s="16" t="s">
        <v>1487</v>
      </c>
      <c r="DUD300" s="16" t="s">
        <v>1487</v>
      </c>
      <c r="DUE300" s="16" t="s">
        <v>1487</v>
      </c>
      <c r="DUF300" s="16" t="s">
        <v>1487</v>
      </c>
      <c r="DUG300" s="16" t="s">
        <v>1487</v>
      </c>
      <c r="DUH300" s="16" t="s">
        <v>1487</v>
      </c>
      <c r="DUI300" s="16" t="s">
        <v>1487</v>
      </c>
      <c r="DUJ300" s="16" t="s">
        <v>1487</v>
      </c>
      <c r="DUK300" s="16" t="s">
        <v>1487</v>
      </c>
      <c r="DUL300" s="16" t="s">
        <v>1487</v>
      </c>
      <c r="DUM300" s="16" t="s">
        <v>1487</v>
      </c>
      <c r="DUN300" s="16" t="s">
        <v>1487</v>
      </c>
      <c r="DUO300" s="16" t="s">
        <v>1487</v>
      </c>
      <c r="DUP300" s="16" t="s">
        <v>1487</v>
      </c>
      <c r="DUQ300" s="16" t="s">
        <v>1487</v>
      </c>
      <c r="DUR300" s="16" t="s">
        <v>1487</v>
      </c>
      <c r="DUS300" s="16" t="s">
        <v>1487</v>
      </c>
      <c r="DUT300" s="16" t="s">
        <v>1487</v>
      </c>
      <c r="DUU300" s="16" t="s">
        <v>1487</v>
      </c>
      <c r="DUV300" s="16" t="s">
        <v>1487</v>
      </c>
      <c r="DUW300" s="16" t="s">
        <v>1487</v>
      </c>
      <c r="DUX300" s="16" t="s">
        <v>1487</v>
      </c>
      <c r="DUY300" s="16" t="s">
        <v>1487</v>
      </c>
      <c r="DUZ300" s="16" t="s">
        <v>1487</v>
      </c>
      <c r="DVA300" s="16" t="s">
        <v>1487</v>
      </c>
      <c r="DVB300" s="16" t="s">
        <v>1487</v>
      </c>
      <c r="DVC300" s="16" t="s">
        <v>1487</v>
      </c>
      <c r="DVD300" s="16" t="s">
        <v>1487</v>
      </c>
      <c r="DVE300" s="16" t="s">
        <v>1487</v>
      </c>
      <c r="DVF300" s="16" t="s">
        <v>1487</v>
      </c>
      <c r="DVG300" s="16" t="s">
        <v>1487</v>
      </c>
      <c r="DVH300" s="16" t="s">
        <v>1487</v>
      </c>
      <c r="DVI300" s="16" t="s">
        <v>1487</v>
      </c>
      <c r="DVJ300" s="16" t="s">
        <v>1487</v>
      </c>
      <c r="DVK300" s="16" t="s">
        <v>1487</v>
      </c>
      <c r="DVL300" s="16" t="s">
        <v>1487</v>
      </c>
      <c r="DVM300" s="16" t="s">
        <v>1487</v>
      </c>
      <c r="DVN300" s="16" t="s">
        <v>1487</v>
      </c>
      <c r="DVO300" s="16" t="s">
        <v>1487</v>
      </c>
      <c r="DVP300" s="16" t="s">
        <v>1487</v>
      </c>
      <c r="DVQ300" s="16" t="s">
        <v>1487</v>
      </c>
      <c r="DVR300" s="16" t="s">
        <v>1487</v>
      </c>
      <c r="DVS300" s="16" t="s">
        <v>1487</v>
      </c>
      <c r="DVT300" s="16" t="s">
        <v>1487</v>
      </c>
      <c r="DVU300" s="16" t="s">
        <v>1487</v>
      </c>
      <c r="DVV300" s="16" t="s">
        <v>1487</v>
      </c>
      <c r="DVW300" s="16" t="s">
        <v>1487</v>
      </c>
      <c r="DVX300" s="16" t="s">
        <v>1487</v>
      </c>
      <c r="DVY300" s="16" t="s">
        <v>1487</v>
      </c>
      <c r="DVZ300" s="16" t="s">
        <v>1487</v>
      </c>
      <c r="DWA300" s="16" t="s">
        <v>1487</v>
      </c>
      <c r="DWB300" s="16" t="s">
        <v>1487</v>
      </c>
      <c r="DWC300" s="16" t="s">
        <v>1487</v>
      </c>
      <c r="DWD300" s="16" t="s">
        <v>1487</v>
      </c>
      <c r="DWE300" s="16" t="s">
        <v>1487</v>
      </c>
      <c r="DWF300" s="16" t="s">
        <v>1487</v>
      </c>
      <c r="DWG300" s="16" t="s">
        <v>1487</v>
      </c>
      <c r="DWH300" s="16" t="s">
        <v>1487</v>
      </c>
      <c r="DWI300" s="16" t="s">
        <v>1487</v>
      </c>
      <c r="DWJ300" s="16" t="s">
        <v>1487</v>
      </c>
      <c r="DWK300" s="16" t="s">
        <v>1487</v>
      </c>
      <c r="DWL300" s="16" t="s">
        <v>1487</v>
      </c>
      <c r="DWM300" s="16" t="s">
        <v>1487</v>
      </c>
      <c r="DWN300" s="16" t="s">
        <v>1487</v>
      </c>
      <c r="DWO300" s="16" t="s">
        <v>1487</v>
      </c>
      <c r="DWP300" s="16" t="s">
        <v>1487</v>
      </c>
      <c r="DWQ300" s="16" t="s">
        <v>1487</v>
      </c>
      <c r="DWR300" s="16" t="s">
        <v>1487</v>
      </c>
      <c r="DWS300" s="16" t="s">
        <v>1487</v>
      </c>
      <c r="DWT300" s="16" t="s">
        <v>1487</v>
      </c>
      <c r="DWU300" s="16" t="s">
        <v>1487</v>
      </c>
      <c r="DWV300" s="16" t="s">
        <v>1487</v>
      </c>
      <c r="DWW300" s="16" t="s">
        <v>1487</v>
      </c>
      <c r="DWX300" s="16" t="s">
        <v>1487</v>
      </c>
      <c r="DWY300" s="16" t="s">
        <v>1487</v>
      </c>
      <c r="DWZ300" s="16" t="s">
        <v>1487</v>
      </c>
      <c r="DXA300" s="16" t="s">
        <v>1487</v>
      </c>
      <c r="DXB300" s="16" t="s">
        <v>1487</v>
      </c>
      <c r="DXC300" s="16" t="s">
        <v>1487</v>
      </c>
      <c r="DXD300" s="16" t="s">
        <v>1487</v>
      </c>
      <c r="DXE300" s="16" t="s">
        <v>1487</v>
      </c>
      <c r="DXF300" s="16" t="s">
        <v>1487</v>
      </c>
      <c r="DXG300" s="16" t="s">
        <v>1487</v>
      </c>
      <c r="DXH300" s="16" t="s">
        <v>1487</v>
      </c>
      <c r="DXI300" s="16" t="s">
        <v>1487</v>
      </c>
      <c r="DXJ300" s="16" t="s">
        <v>1487</v>
      </c>
      <c r="DXK300" s="16" t="s">
        <v>1487</v>
      </c>
      <c r="DXL300" s="16" t="s">
        <v>1487</v>
      </c>
      <c r="DXM300" s="16" t="s">
        <v>1487</v>
      </c>
      <c r="DXN300" s="16" t="s">
        <v>1487</v>
      </c>
      <c r="DXO300" s="16" t="s">
        <v>1487</v>
      </c>
      <c r="DXP300" s="16" t="s">
        <v>1487</v>
      </c>
      <c r="DXQ300" s="16" t="s">
        <v>1487</v>
      </c>
      <c r="DXR300" s="16" t="s">
        <v>1487</v>
      </c>
      <c r="DXS300" s="16" t="s">
        <v>1487</v>
      </c>
      <c r="DXT300" s="16" t="s">
        <v>1487</v>
      </c>
      <c r="DXU300" s="16" t="s">
        <v>1487</v>
      </c>
      <c r="DXV300" s="16" t="s">
        <v>1487</v>
      </c>
      <c r="DXW300" s="16" t="s">
        <v>1487</v>
      </c>
      <c r="DXX300" s="16" t="s">
        <v>1487</v>
      </c>
      <c r="DXY300" s="16" t="s">
        <v>1487</v>
      </c>
      <c r="DXZ300" s="16" t="s">
        <v>1487</v>
      </c>
      <c r="DYA300" s="16" t="s">
        <v>1487</v>
      </c>
      <c r="DYB300" s="16" t="s">
        <v>1487</v>
      </c>
      <c r="DYC300" s="16" t="s">
        <v>1487</v>
      </c>
      <c r="DYD300" s="16" t="s">
        <v>1487</v>
      </c>
      <c r="DYE300" s="16" t="s">
        <v>1487</v>
      </c>
      <c r="DYF300" s="16" t="s">
        <v>1487</v>
      </c>
      <c r="DYG300" s="16" t="s">
        <v>1487</v>
      </c>
      <c r="DYH300" s="16" t="s">
        <v>1487</v>
      </c>
      <c r="DYI300" s="16" t="s">
        <v>1487</v>
      </c>
      <c r="DYJ300" s="16" t="s">
        <v>1487</v>
      </c>
      <c r="DYK300" s="16" t="s">
        <v>1487</v>
      </c>
      <c r="DYL300" s="16" t="s">
        <v>1487</v>
      </c>
      <c r="DYM300" s="16" t="s">
        <v>1487</v>
      </c>
      <c r="DYN300" s="16" t="s">
        <v>1487</v>
      </c>
      <c r="DYO300" s="16" t="s">
        <v>1487</v>
      </c>
      <c r="DYP300" s="16" t="s">
        <v>1487</v>
      </c>
      <c r="DYQ300" s="16" t="s">
        <v>1487</v>
      </c>
      <c r="DYR300" s="16" t="s">
        <v>1487</v>
      </c>
      <c r="DYS300" s="16" t="s">
        <v>1487</v>
      </c>
      <c r="DYT300" s="16" t="s">
        <v>1487</v>
      </c>
      <c r="DYU300" s="16" t="s">
        <v>1487</v>
      </c>
      <c r="DYV300" s="16" t="s">
        <v>1487</v>
      </c>
      <c r="DYW300" s="16" t="s">
        <v>1487</v>
      </c>
      <c r="DYX300" s="16" t="s">
        <v>1487</v>
      </c>
      <c r="DYY300" s="16" t="s">
        <v>1487</v>
      </c>
      <c r="DYZ300" s="16" t="s">
        <v>1487</v>
      </c>
      <c r="DZA300" s="16" t="s">
        <v>1487</v>
      </c>
      <c r="DZB300" s="16" t="s">
        <v>1487</v>
      </c>
      <c r="DZC300" s="16" t="s">
        <v>1487</v>
      </c>
      <c r="DZD300" s="16" t="s">
        <v>1487</v>
      </c>
      <c r="DZE300" s="16" t="s">
        <v>1487</v>
      </c>
      <c r="DZF300" s="16" t="s">
        <v>1487</v>
      </c>
      <c r="DZG300" s="16" t="s">
        <v>1487</v>
      </c>
      <c r="DZH300" s="16" t="s">
        <v>1487</v>
      </c>
      <c r="DZI300" s="16" t="s">
        <v>1487</v>
      </c>
      <c r="DZJ300" s="16" t="s">
        <v>1487</v>
      </c>
      <c r="DZK300" s="16" t="s">
        <v>1487</v>
      </c>
      <c r="DZL300" s="16" t="s">
        <v>1487</v>
      </c>
      <c r="DZM300" s="16" t="s">
        <v>1487</v>
      </c>
      <c r="DZN300" s="16" t="s">
        <v>1487</v>
      </c>
      <c r="DZO300" s="16" t="s">
        <v>1487</v>
      </c>
      <c r="DZP300" s="16" t="s">
        <v>1487</v>
      </c>
      <c r="DZQ300" s="16" t="s">
        <v>1487</v>
      </c>
      <c r="DZR300" s="16" t="s">
        <v>1487</v>
      </c>
      <c r="DZS300" s="16" t="s">
        <v>1487</v>
      </c>
      <c r="DZT300" s="16" t="s">
        <v>1487</v>
      </c>
      <c r="DZU300" s="16" t="s">
        <v>1487</v>
      </c>
      <c r="DZV300" s="16" t="s">
        <v>1487</v>
      </c>
      <c r="DZW300" s="16" t="s">
        <v>1487</v>
      </c>
      <c r="DZX300" s="16" t="s">
        <v>1487</v>
      </c>
      <c r="DZY300" s="16" t="s">
        <v>1487</v>
      </c>
      <c r="DZZ300" s="16" t="s">
        <v>1487</v>
      </c>
      <c r="EAA300" s="16" t="s">
        <v>1487</v>
      </c>
      <c r="EAB300" s="16" t="s">
        <v>1487</v>
      </c>
      <c r="EAC300" s="16" t="s">
        <v>1487</v>
      </c>
      <c r="EAD300" s="16" t="s">
        <v>1487</v>
      </c>
      <c r="EAE300" s="16" t="s">
        <v>1487</v>
      </c>
      <c r="EAF300" s="16" t="s">
        <v>1487</v>
      </c>
      <c r="EAG300" s="16" t="s">
        <v>1487</v>
      </c>
      <c r="EAH300" s="16" t="s">
        <v>1487</v>
      </c>
      <c r="EAI300" s="16" t="s">
        <v>1487</v>
      </c>
      <c r="EAJ300" s="16" t="s">
        <v>1487</v>
      </c>
      <c r="EAK300" s="16" t="s">
        <v>1487</v>
      </c>
      <c r="EAL300" s="16" t="s">
        <v>1487</v>
      </c>
      <c r="EAM300" s="16" t="s">
        <v>1487</v>
      </c>
      <c r="EAN300" s="16" t="s">
        <v>1487</v>
      </c>
      <c r="EAO300" s="16" t="s">
        <v>1487</v>
      </c>
      <c r="EAP300" s="16" t="s">
        <v>1487</v>
      </c>
      <c r="EAQ300" s="16" t="s">
        <v>1487</v>
      </c>
      <c r="EAR300" s="16" t="s">
        <v>1487</v>
      </c>
      <c r="EAS300" s="16" t="s">
        <v>1487</v>
      </c>
      <c r="EAT300" s="16" t="s">
        <v>1487</v>
      </c>
      <c r="EAU300" s="16" t="s">
        <v>1487</v>
      </c>
      <c r="EAV300" s="16" t="s">
        <v>1487</v>
      </c>
      <c r="EAW300" s="16" t="s">
        <v>1487</v>
      </c>
      <c r="EAX300" s="16" t="s">
        <v>1487</v>
      </c>
      <c r="EAY300" s="16" t="s">
        <v>1487</v>
      </c>
      <c r="EAZ300" s="16" t="s">
        <v>1487</v>
      </c>
      <c r="EBA300" s="16" t="s">
        <v>1487</v>
      </c>
      <c r="EBB300" s="16" t="s">
        <v>1487</v>
      </c>
      <c r="EBC300" s="16" t="s">
        <v>1487</v>
      </c>
      <c r="EBD300" s="16" t="s">
        <v>1487</v>
      </c>
      <c r="EBE300" s="16" t="s">
        <v>1487</v>
      </c>
      <c r="EBF300" s="16" t="s">
        <v>1487</v>
      </c>
      <c r="EBG300" s="16" t="s">
        <v>1487</v>
      </c>
      <c r="EBH300" s="16" t="s">
        <v>1487</v>
      </c>
      <c r="EBI300" s="16" t="s">
        <v>1487</v>
      </c>
      <c r="EBJ300" s="16" t="s">
        <v>1487</v>
      </c>
      <c r="EBK300" s="16" t="s">
        <v>1487</v>
      </c>
      <c r="EBL300" s="16" t="s">
        <v>1487</v>
      </c>
      <c r="EBM300" s="16" t="s">
        <v>1487</v>
      </c>
      <c r="EBN300" s="16" t="s">
        <v>1487</v>
      </c>
      <c r="EBO300" s="16" t="s">
        <v>1487</v>
      </c>
      <c r="EBP300" s="16" t="s">
        <v>1487</v>
      </c>
      <c r="EBQ300" s="16" t="s">
        <v>1487</v>
      </c>
      <c r="EBR300" s="16" t="s">
        <v>1487</v>
      </c>
      <c r="EBS300" s="16" t="s">
        <v>1487</v>
      </c>
      <c r="EBT300" s="16" t="s">
        <v>1487</v>
      </c>
      <c r="EBU300" s="16" t="s">
        <v>1487</v>
      </c>
      <c r="EBV300" s="16" t="s">
        <v>1487</v>
      </c>
      <c r="EBW300" s="16" t="s">
        <v>1487</v>
      </c>
      <c r="EBX300" s="16" t="s">
        <v>1487</v>
      </c>
      <c r="EBY300" s="16" t="s">
        <v>1487</v>
      </c>
      <c r="EBZ300" s="16" t="s">
        <v>1487</v>
      </c>
      <c r="ECA300" s="16" t="s">
        <v>1487</v>
      </c>
      <c r="ECB300" s="16" t="s">
        <v>1487</v>
      </c>
      <c r="ECC300" s="16" t="s">
        <v>1487</v>
      </c>
      <c r="ECD300" s="16" t="s">
        <v>1487</v>
      </c>
      <c r="ECE300" s="16" t="s">
        <v>1487</v>
      </c>
      <c r="ECF300" s="16" t="s">
        <v>1487</v>
      </c>
      <c r="ECG300" s="16" t="s">
        <v>1487</v>
      </c>
      <c r="ECH300" s="16" t="s">
        <v>1487</v>
      </c>
      <c r="ECI300" s="16" t="s">
        <v>1487</v>
      </c>
      <c r="ECJ300" s="16" t="s">
        <v>1487</v>
      </c>
      <c r="ECK300" s="16" t="s">
        <v>1487</v>
      </c>
      <c r="ECL300" s="16" t="s">
        <v>1487</v>
      </c>
      <c r="ECM300" s="16" t="s">
        <v>1487</v>
      </c>
      <c r="ECN300" s="16" t="s">
        <v>1487</v>
      </c>
      <c r="ECO300" s="16" t="s">
        <v>1487</v>
      </c>
      <c r="ECP300" s="16" t="s">
        <v>1487</v>
      </c>
      <c r="ECQ300" s="16" t="s">
        <v>1487</v>
      </c>
      <c r="ECR300" s="16" t="s">
        <v>1487</v>
      </c>
      <c r="ECS300" s="16" t="s">
        <v>1487</v>
      </c>
      <c r="ECT300" s="16" t="s">
        <v>1487</v>
      </c>
      <c r="ECU300" s="16" t="s">
        <v>1487</v>
      </c>
      <c r="ECV300" s="16" t="s">
        <v>1487</v>
      </c>
      <c r="ECW300" s="16" t="s">
        <v>1487</v>
      </c>
      <c r="ECX300" s="16" t="s">
        <v>1487</v>
      </c>
      <c r="ECY300" s="16" t="s">
        <v>1487</v>
      </c>
      <c r="ECZ300" s="16" t="s">
        <v>1487</v>
      </c>
      <c r="EDA300" s="16" t="s">
        <v>1487</v>
      </c>
      <c r="EDB300" s="16" t="s">
        <v>1487</v>
      </c>
      <c r="EDC300" s="16" t="s">
        <v>1487</v>
      </c>
      <c r="EDD300" s="16" t="s">
        <v>1487</v>
      </c>
      <c r="EDE300" s="16" t="s">
        <v>1487</v>
      </c>
      <c r="EDF300" s="16" t="s">
        <v>1487</v>
      </c>
      <c r="EDG300" s="16" t="s">
        <v>1487</v>
      </c>
      <c r="EDH300" s="16" t="s">
        <v>1487</v>
      </c>
      <c r="EDI300" s="16" t="s">
        <v>1487</v>
      </c>
      <c r="EDJ300" s="16" t="s">
        <v>1487</v>
      </c>
      <c r="EDK300" s="16" t="s">
        <v>1487</v>
      </c>
      <c r="EDL300" s="16" t="s">
        <v>1487</v>
      </c>
      <c r="EDM300" s="16" t="s">
        <v>1487</v>
      </c>
      <c r="EDN300" s="16" t="s">
        <v>1487</v>
      </c>
      <c r="EDO300" s="16" t="s">
        <v>1487</v>
      </c>
      <c r="EDP300" s="16" t="s">
        <v>1487</v>
      </c>
      <c r="EDQ300" s="16" t="s">
        <v>1487</v>
      </c>
      <c r="EDR300" s="16" t="s">
        <v>1487</v>
      </c>
      <c r="EDS300" s="16" t="s">
        <v>1487</v>
      </c>
      <c r="EDT300" s="16" t="s">
        <v>1487</v>
      </c>
      <c r="EDU300" s="16" t="s">
        <v>1487</v>
      </c>
      <c r="EDV300" s="16" t="s">
        <v>1487</v>
      </c>
      <c r="EDW300" s="16" t="s">
        <v>1487</v>
      </c>
      <c r="EDX300" s="16" t="s">
        <v>1487</v>
      </c>
      <c r="EDY300" s="16" t="s">
        <v>1487</v>
      </c>
      <c r="EDZ300" s="16" t="s">
        <v>1487</v>
      </c>
      <c r="EEA300" s="16" t="s">
        <v>1487</v>
      </c>
      <c r="EEB300" s="16" t="s">
        <v>1487</v>
      </c>
      <c r="EEC300" s="16" t="s">
        <v>1487</v>
      </c>
      <c r="EED300" s="16" t="s">
        <v>1487</v>
      </c>
      <c r="EEE300" s="16" t="s">
        <v>1487</v>
      </c>
      <c r="EEF300" s="16" t="s">
        <v>1487</v>
      </c>
      <c r="EEG300" s="16" t="s">
        <v>1487</v>
      </c>
      <c r="EEH300" s="16" t="s">
        <v>1487</v>
      </c>
      <c r="EEI300" s="16" t="s">
        <v>1487</v>
      </c>
      <c r="EEJ300" s="16" t="s">
        <v>1487</v>
      </c>
      <c r="EEK300" s="16" t="s">
        <v>1487</v>
      </c>
      <c r="EEL300" s="16" t="s">
        <v>1487</v>
      </c>
      <c r="EEM300" s="16" t="s">
        <v>1487</v>
      </c>
      <c r="EEN300" s="16" t="s">
        <v>1487</v>
      </c>
      <c r="EEO300" s="16" t="s">
        <v>1487</v>
      </c>
      <c r="EEP300" s="16" t="s">
        <v>1487</v>
      </c>
      <c r="EEQ300" s="16" t="s">
        <v>1487</v>
      </c>
      <c r="EER300" s="16" t="s">
        <v>1487</v>
      </c>
      <c r="EES300" s="16" t="s">
        <v>1487</v>
      </c>
      <c r="EET300" s="16" t="s">
        <v>1487</v>
      </c>
      <c r="EEU300" s="16" t="s">
        <v>1487</v>
      </c>
      <c r="EEV300" s="16" t="s">
        <v>1487</v>
      </c>
      <c r="EEW300" s="16" t="s">
        <v>1487</v>
      </c>
      <c r="EEX300" s="16" t="s">
        <v>1487</v>
      </c>
      <c r="EEY300" s="16" t="s">
        <v>1487</v>
      </c>
      <c r="EEZ300" s="16" t="s">
        <v>1487</v>
      </c>
      <c r="EFA300" s="16" t="s">
        <v>1487</v>
      </c>
      <c r="EFB300" s="16" t="s">
        <v>1487</v>
      </c>
      <c r="EFC300" s="16" t="s">
        <v>1487</v>
      </c>
      <c r="EFD300" s="16" t="s">
        <v>1487</v>
      </c>
      <c r="EFE300" s="16" t="s">
        <v>1487</v>
      </c>
      <c r="EFF300" s="16" t="s">
        <v>1487</v>
      </c>
      <c r="EFG300" s="16" t="s">
        <v>1487</v>
      </c>
      <c r="EFH300" s="16" t="s">
        <v>1487</v>
      </c>
      <c r="EFI300" s="16" t="s">
        <v>1487</v>
      </c>
      <c r="EFJ300" s="16" t="s">
        <v>1487</v>
      </c>
      <c r="EFK300" s="16" t="s">
        <v>1487</v>
      </c>
      <c r="EFL300" s="16" t="s">
        <v>1487</v>
      </c>
      <c r="EFM300" s="16" t="s">
        <v>1487</v>
      </c>
      <c r="EFN300" s="16" t="s">
        <v>1487</v>
      </c>
      <c r="EFO300" s="16" t="s">
        <v>1487</v>
      </c>
      <c r="EFP300" s="16" t="s">
        <v>1487</v>
      </c>
      <c r="EFQ300" s="16" t="s">
        <v>1487</v>
      </c>
      <c r="EFR300" s="16" t="s">
        <v>1487</v>
      </c>
      <c r="EFS300" s="16" t="s">
        <v>1487</v>
      </c>
      <c r="EFT300" s="16" t="s">
        <v>1487</v>
      </c>
      <c r="EFU300" s="16" t="s">
        <v>1487</v>
      </c>
      <c r="EFV300" s="16" t="s">
        <v>1487</v>
      </c>
      <c r="EFW300" s="16" t="s">
        <v>1487</v>
      </c>
      <c r="EFX300" s="16" t="s">
        <v>1487</v>
      </c>
      <c r="EFY300" s="16" t="s">
        <v>1487</v>
      </c>
      <c r="EFZ300" s="16" t="s">
        <v>1487</v>
      </c>
      <c r="EGA300" s="16" t="s">
        <v>1487</v>
      </c>
      <c r="EGB300" s="16" t="s">
        <v>1487</v>
      </c>
      <c r="EGC300" s="16" t="s">
        <v>1487</v>
      </c>
      <c r="EGD300" s="16" t="s">
        <v>1487</v>
      </c>
      <c r="EGE300" s="16" t="s">
        <v>1487</v>
      </c>
      <c r="EGF300" s="16" t="s">
        <v>1487</v>
      </c>
      <c r="EGG300" s="16" t="s">
        <v>1487</v>
      </c>
      <c r="EGH300" s="16" t="s">
        <v>1487</v>
      </c>
      <c r="EGI300" s="16" t="s">
        <v>1487</v>
      </c>
      <c r="EGJ300" s="16" t="s">
        <v>1487</v>
      </c>
      <c r="EGK300" s="16" t="s">
        <v>1487</v>
      </c>
      <c r="EGL300" s="16" t="s">
        <v>1487</v>
      </c>
      <c r="EGM300" s="16" t="s">
        <v>1487</v>
      </c>
      <c r="EGN300" s="16" t="s">
        <v>1487</v>
      </c>
      <c r="EGO300" s="16" t="s">
        <v>1487</v>
      </c>
      <c r="EGP300" s="16" t="s">
        <v>1487</v>
      </c>
      <c r="EGQ300" s="16" t="s">
        <v>1487</v>
      </c>
      <c r="EGR300" s="16" t="s">
        <v>1487</v>
      </c>
      <c r="EGS300" s="16" t="s">
        <v>1487</v>
      </c>
      <c r="EGT300" s="16" t="s">
        <v>1487</v>
      </c>
      <c r="EGU300" s="16" t="s">
        <v>1487</v>
      </c>
      <c r="EGV300" s="16" t="s">
        <v>1487</v>
      </c>
      <c r="EGW300" s="16" t="s">
        <v>1487</v>
      </c>
      <c r="EGX300" s="16" t="s">
        <v>1487</v>
      </c>
      <c r="EGY300" s="16" t="s">
        <v>1487</v>
      </c>
      <c r="EGZ300" s="16" t="s">
        <v>1487</v>
      </c>
      <c r="EHA300" s="16" t="s">
        <v>1487</v>
      </c>
      <c r="EHB300" s="16" t="s">
        <v>1487</v>
      </c>
      <c r="EHC300" s="16" t="s">
        <v>1487</v>
      </c>
      <c r="EHD300" s="16" t="s">
        <v>1487</v>
      </c>
      <c r="EHE300" s="16" t="s">
        <v>1487</v>
      </c>
      <c r="EHF300" s="16" t="s">
        <v>1487</v>
      </c>
      <c r="EHG300" s="16" t="s">
        <v>1487</v>
      </c>
      <c r="EHH300" s="16" t="s">
        <v>1487</v>
      </c>
      <c r="EHI300" s="16" t="s">
        <v>1487</v>
      </c>
      <c r="EHJ300" s="16" t="s">
        <v>1487</v>
      </c>
      <c r="EHK300" s="16" t="s">
        <v>1487</v>
      </c>
      <c r="EHL300" s="16" t="s">
        <v>1487</v>
      </c>
      <c r="EHM300" s="16" t="s">
        <v>1487</v>
      </c>
      <c r="EHN300" s="16" t="s">
        <v>1487</v>
      </c>
      <c r="EHO300" s="16" t="s">
        <v>1487</v>
      </c>
      <c r="EHP300" s="16" t="s">
        <v>1487</v>
      </c>
      <c r="EHQ300" s="16" t="s">
        <v>1487</v>
      </c>
      <c r="EHR300" s="16" t="s">
        <v>1487</v>
      </c>
      <c r="EHS300" s="16" t="s">
        <v>1487</v>
      </c>
      <c r="EHT300" s="16" t="s">
        <v>1487</v>
      </c>
      <c r="EHU300" s="16" t="s">
        <v>1487</v>
      </c>
      <c r="EHV300" s="16" t="s">
        <v>1487</v>
      </c>
      <c r="EHW300" s="16" t="s">
        <v>1487</v>
      </c>
      <c r="EHX300" s="16" t="s">
        <v>1487</v>
      </c>
      <c r="EHY300" s="16" t="s">
        <v>1487</v>
      </c>
      <c r="EHZ300" s="16" t="s">
        <v>1487</v>
      </c>
      <c r="EIA300" s="16" t="s">
        <v>1487</v>
      </c>
      <c r="EIB300" s="16" t="s">
        <v>1487</v>
      </c>
      <c r="EIC300" s="16" t="s">
        <v>1487</v>
      </c>
      <c r="EID300" s="16" t="s">
        <v>1487</v>
      </c>
      <c r="EIE300" s="16" t="s">
        <v>1487</v>
      </c>
      <c r="EIF300" s="16" t="s">
        <v>1487</v>
      </c>
      <c r="EIG300" s="16" t="s">
        <v>1487</v>
      </c>
      <c r="EIH300" s="16" t="s">
        <v>1487</v>
      </c>
      <c r="EII300" s="16" t="s">
        <v>1487</v>
      </c>
      <c r="EIJ300" s="16" t="s">
        <v>1487</v>
      </c>
      <c r="EIK300" s="16" t="s">
        <v>1487</v>
      </c>
      <c r="EIL300" s="16" t="s">
        <v>1487</v>
      </c>
      <c r="EIM300" s="16" t="s">
        <v>1487</v>
      </c>
      <c r="EIN300" s="16" t="s">
        <v>1487</v>
      </c>
      <c r="EIO300" s="16" t="s">
        <v>1487</v>
      </c>
      <c r="EIP300" s="16" t="s">
        <v>1487</v>
      </c>
      <c r="EIQ300" s="16" t="s">
        <v>1487</v>
      </c>
      <c r="EIR300" s="16" t="s">
        <v>1487</v>
      </c>
      <c r="EIS300" s="16" t="s">
        <v>1487</v>
      </c>
      <c r="EIT300" s="16" t="s">
        <v>1487</v>
      </c>
      <c r="EIU300" s="16" t="s">
        <v>1487</v>
      </c>
      <c r="EIV300" s="16" t="s">
        <v>1487</v>
      </c>
      <c r="EIW300" s="16" t="s">
        <v>1487</v>
      </c>
      <c r="EIX300" s="16" t="s">
        <v>1487</v>
      </c>
      <c r="EIY300" s="16" t="s">
        <v>1487</v>
      </c>
      <c r="EIZ300" s="16" t="s">
        <v>1487</v>
      </c>
      <c r="EJA300" s="16" t="s">
        <v>1487</v>
      </c>
      <c r="EJB300" s="16" t="s">
        <v>1487</v>
      </c>
      <c r="EJC300" s="16" t="s">
        <v>1487</v>
      </c>
      <c r="EJD300" s="16" t="s">
        <v>1487</v>
      </c>
      <c r="EJE300" s="16" t="s">
        <v>1487</v>
      </c>
      <c r="EJF300" s="16" t="s">
        <v>1487</v>
      </c>
      <c r="EJG300" s="16" t="s">
        <v>1487</v>
      </c>
      <c r="EJH300" s="16" t="s">
        <v>1487</v>
      </c>
      <c r="EJI300" s="16" t="s">
        <v>1487</v>
      </c>
      <c r="EJJ300" s="16" t="s">
        <v>1487</v>
      </c>
      <c r="EJK300" s="16" t="s">
        <v>1487</v>
      </c>
      <c r="EJL300" s="16" t="s">
        <v>1487</v>
      </c>
      <c r="EJM300" s="16" t="s">
        <v>1487</v>
      </c>
      <c r="EJN300" s="16" t="s">
        <v>1487</v>
      </c>
      <c r="EJO300" s="16" t="s">
        <v>1487</v>
      </c>
      <c r="EJP300" s="16" t="s">
        <v>1487</v>
      </c>
      <c r="EJQ300" s="16" t="s">
        <v>1487</v>
      </c>
      <c r="EJR300" s="16" t="s">
        <v>1487</v>
      </c>
      <c r="EJS300" s="16" t="s">
        <v>1487</v>
      </c>
      <c r="EJT300" s="16" t="s">
        <v>1487</v>
      </c>
      <c r="EJU300" s="16" t="s">
        <v>1487</v>
      </c>
      <c r="EJV300" s="16" t="s">
        <v>1487</v>
      </c>
      <c r="EJW300" s="16" t="s">
        <v>1487</v>
      </c>
      <c r="EJX300" s="16" t="s">
        <v>1487</v>
      </c>
      <c r="EJY300" s="16" t="s">
        <v>1487</v>
      </c>
      <c r="EJZ300" s="16" t="s">
        <v>1487</v>
      </c>
      <c r="EKA300" s="16" t="s">
        <v>1487</v>
      </c>
      <c r="EKB300" s="16" t="s">
        <v>1487</v>
      </c>
      <c r="EKC300" s="16" t="s">
        <v>1487</v>
      </c>
      <c r="EKD300" s="16" t="s">
        <v>1487</v>
      </c>
      <c r="EKE300" s="16" t="s">
        <v>1487</v>
      </c>
      <c r="EKF300" s="16" t="s">
        <v>1487</v>
      </c>
      <c r="EKG300" s="16" t="s">
        <v>1487</v>
      </c>
      <c r="EKH300" s="16" t="s">
        <v>1487</v>
      </c>
      <c r="EKI300" s="16" t="s">
        <v>1487</v>
      </c>
      <c r="EKJ300" s="16" t="s">
        <v>1487</v>
      </c>
      <c r="EKK300" s="16" t="s">
        <v>1487</v>
      </c>
      <c r="EKL300" s="16" t="s">
        <v>1487</v>
      </c>
      <c r="EKM300" s="16" t="s">
        <v>1487</v>
      </c>
      <c r="EKN300" s="16" t="s">
        <v>1487</v>
      </c>
      <c r="EKO300" s="16" t="s">
        <v>1487</v>
      </c>
      <c r="EKP300" s="16" t="s">
        <v>1487</v>
      </c>
      <c r="EKQ300" s="16" t="s">
        <v>1487</v>
      </c>
      <c r="EKR300" s="16" t="s">
        <v>1487</v>
      </c>
      <c r="EKS300" s="16" t="s">
        <v>1487</v>
      </c>
      <c r="EKT300" s="16" t="s">
        <v>1487</v>
      </c>
      <c r="EKU300" s="16" t="s">
        <v>1487</v>
      </c>
      <c r="EKV300" s="16" t="s">
        <v>1487</v>
      </c>
      <c r="EKW300" s="16" t="s">
        <v>1487</v>
      </c>
      <c r="EKX300" s="16" t="s">
        <v>1487</v>
      </c>
      <c r="EKY300" s="16" t="s">
        <v>1487</v>
      </c>
      <c r="EKZ300" s="16" t="s">
        <v>1487</v>
      </c>
      <c r="ELA300" s="16" t="s">
        <v>1487</v>
      </c>
      <c r="ELB300" s="16" t="s">
        <v>1487</v>
      </c>
      <c r="ELC300" s="16" t="s">
        <v>1487</v>
      </c>
      <c r="ELD300" s="16" t="s">
        <v>1487</v>
      </c>
      <c r="ELE300" s="16" t="s">
        <v>1487</v>
      </c>
      <c r="ELF300" s="16" t="s">
        <v>1487</v>
      </c>
      <c r="ELG300" s="16" t="s">
        <v>1487</v>
      </c>
      <c r="ELH300" s="16" t="s">
        <v>1487</v>
      </c>
      <c r="ELI300" s="16" t="s">
        <v>1487</v>
      </c>
      <c r="ELJ300" s="16" t="s">
        <v>1487</v>
      </c>
      <c r="ELK300" s="16" t="s">
        <v>1487</v>
      </c>
      <c r="ELL300" s="16" t="s">
        <v>1487</v>
      </c>
      <c r="ELM300" s="16" t="s">
        <v>1487</v>
      </c>
      <c r="ELN300" s="16" t="s">
        <v>1487</v>
      </c>
      <c r="ELO300" s="16" t="s">
        <v>1487</v>
      </c>
      <c r="ELP300" s="16" t="s">
        <v>1487</v>
      </c>
      <c r="ELQ300" s="16" t="s">
        <v>1487</v>
      </c>
      <c r="ELR300" s="16" t="s">
        <v>1487</v>
      </c>
      <c r="ELS300" s="16" t="s">
        <v>1487</v>
      </c>
      <c r="ELT300" s="16" t="s">
        <v>1487</v>
      </c>
      <c r="ELU300" s="16" t="s">
        <v>1487</v>
      </c>
      <c r="ELV300" s="16" t="s">
        <v>1487</v>
      </c>
      <c r="ELW300" s="16" t="s">
        <v>1487</v>
      </c>
      <c r="ELX300" s="16" t="s">
        <v>1487</v>
      </c>
      <c r="ELY300" s="16" t="s">
        <v>1487</v>
      </c>
      <c r="ELZ300" s="16" t="s">
        <v>1487</v>
      </c>
      <c r="EMA300" s="16" t="s">
        <v>1487</v>
      </c>
      <c r="EMB300" s="16" t="s">
        <v>1487</v>
      </c>
      <c r="EMC300" s="16" t="s">
        <v>1487</v>
      </c>
      <c r="EMD300" s="16" t="s">
        <v>1487</v>
      </c>
      <c r="EME300" s="16" t="s">
        <v>1487</v>
      </c>
      <c r="EMF300" s="16" t="s">
        <v>1487</v>
      </c>
      <c r="EMG300" s="16" t="s">
        <v>1487</v>
      </c>
      <c r="EMH300" s="16" t="s">
        <v>1487</v>
      </c>
      <c r="EMI300" s="16" t="s">
        <v>1487</v>
      </c>
      <c r="EMJ300" s="16" t="s">
        <v>1487</v>
      </c>
      <c r="EMK300" s="16" t="s">
        <v>1487</v>
      </c>
      <c r="EML300" s="16" t="s">
        <v>1487</v>
      </c>
      <c r="EMM300" s="16" t="s">
        <v>1487</v>
      </c>
      <c r="EMN300" s="16" t="s">
        <v>1487</v>
      </c>
      <c r="EMO300" s="16" t="s">
        <v>1487</v>
      </c>
      <c r="EMP300" s="16" t="s">
        <v>1487</v>
      </c>
      <c r="EMQ300" s="16" t="s">
        <v>1487</v>
      </c>
      <c r="EMR300" s="16" t="s">
        <v>1487</v>
      </c>
      <c r="EMS300" s="16" t="s">
        <v>1487</v>
      </c>
      <c r="EMT300" s="16" t="s">
        <v>1487</v>
      </c>
      <c r="EMU300" s="16" t="s">
        <v>1487</v>
      </c>
      <c r="EMV300" s="16" t="s">
        <v>1487</v>
      </c>
      <c r="EMW300" s="16" t="s">
        <v>1487</v>
      </c>
      <c r="EMX300" s="16" t="s">
        <v>1487</v>
      </c>
      <c r="EMY300" s="16" t="s">
        <v>1487</v>
      </c>
      <c r="EMZ300" s="16" t="s">
        <v>1487</v>
      </c>
      <c r="ENA300" s="16" t="s">
        <v>1487</v>
      </c>
      <c r="ENB300" s="16" t="s">
        <v>1487</v>
      </c>
      <c r="ENC300" s="16" t="s">
        <v>1487</v>
      </c>
      <c r="END300" s="16" t="s">
        <v>1487</v>
      </c>
      <c r="ENE300" s="16" t="s">
        <v>1487</v>
      </c>
      <c r="ENF300" s="16" t="s">
        <v>1487</v>
      </c>
      <c r="ENG300" s="16" t="s">
        <v>1487</v>
      </c>
      <c r="ENH300" s="16" t="s">
        <v>1487</v>
      </c>
      <c r="ENI300" s="16" t="s">
        <v>1487</v>
      </c>
      <c r="ENJ300" s="16" t="s">
        <v>1487</v>
      </c>
      <c r="ENK300" s="16" t="s">
        <v>1487</v>
      </c>
      <c r="ENL300" s="16" t="s">
        <v>1487</v>
      </c>
      <c r="ENM300" s="16" t="s">
        <v>1487</v>
      </c>
      <c r="ENN300" s="16" t="s">
        <v>1487</v>
      </c>
      <c r="ENO300" s="16" t="s">
        <v>1487</v>
      </c>
      <c r="ENP300" s="16" t="s">
        <v>1487</v>
      </c>
      <c r="ENQ300" s="16" t="s">
        <v>1487</v>
      </c>
      <c r="ENR300" s="16" t="s">
        <v>1487</v>
      </c>
      <c r="ENS300" s="16" t="s">
        <v>1487</v>
      </c>
      <c r="ENT300" s="16" t="s">
        <v>1487</v>
      </c>
      <c r="ENU300" s="16" t="s">
        <v>1487</v>
      </c>
      <c r="ENV300" s="16" t="s">
        <v>1487</v>
      </c>
      <c r="ENW300" s="16" t="s">
        <v>1487</v>
      </c>
      <c r="ENX300" s="16" t="s">
        <v>1487</v>
      </c>
      <c r="ENY300" s="16" t="s">
        <v>1487</v>
      </c>
      <c r="ENZ300" s="16" t="s">
        <v>1487</v>
      </c>
      <c r="EOA300" s="16" t="s">
        <v>1487</v>
      </c>
      <c r="EOB300" s="16" t="s">
        <v>1487</v>
      </c>
      <c r="EOC300" s="16" t="s">
        <v>1487</v>
      </c>
      <c r="EOD300" s="16" t="s">
        <v>1487</v>
      </c>
      <c r="EOE300" s="16" t="s">
        <v>1487</v>
      </c>
      <c r="EOF300" s="16" t="s">
        <v>1487</v>
      </c>
      <c r="EOG300" s="16" t="s">
        <v>1487</v>
      </c>
      <c r="EOH300" s="16" t="s">
        <v>1487</v>
      </c>
      <c r="EOI300" s="16" t="s">
        <v>1487</v>
      </c>
      <c r="EOJ300" s="16" t="s">
        <v>1487</v>
      </c>
      <c r="EOK300" s="16" t="s">
        <v>1487</v>
      </c>
      <c r="EOL300" s="16" t="s">
        <v>1487</v>
      </c>
      <c r="EOM300" s="16" t="s">
        <v>1487</v>
      </c>
      <c r="EON300" s="16" t="s">
        <v>1487</v>
      </c>
      <c r="EOO300" s="16" t="s">
        <v>1487</v>
      </c>
      <c r="EOP300" s="16" t="s">
        <v>1487</v>
      </c>
      <c r="EOQ300" s="16" t="s">
        <v>1487</v>
      </c>
      <c r="EOR300" s="16" t="s">
        <v>1487</v>
      </c>
      <c r="EOS300" s="16" t="s">
        <v>1487</v>
      </c>
      <c r="EOT300" s="16" t="s">
        <v>1487</v>
      </c>
      <c r="EOU300" s="16" t="s">
        <v>1487</v>
      </c>
      <c r="EOV300" s="16" t="s">
        <v>1487</v>
      </c>
      <c r="EOW300" s="16" t="s">
        <v>1487</v>
      </c>
      <c r="EOX300" s="16" t="s">
        <v>1487</v>
      </c>
      <c r="EOY300" s="16" t="s">
        <v>1487</v>
      </c>
      <c r="EOZ300" s="16" t="s">
        <v>1487</v>
      </c>
      <c r="EPA300" s="16" t="s">
        <v>1487</v>
      </c>
      <c r="EPB300" s="16" t="s">
        <v>1487</v>
      </c>
      <c r="EPC300" s="16" t="s">
        <v>1487</v>
      </c>
      <c r="EPD300" s="16" t="s">
        <v>1487</v>
      </c>
      <c r="EPE300" s="16" t="s">
        <v>1487</v>
      </c>
      <c r="EPF300" s="16" t="s">
        <v>1487</v>
      </c>
      <c r="EPG300" s="16" t="s">
        <v>1487</v>
      </c>
      <c r="EPH300" s="16" t="s">
        <v>1487</v>
      </c>
      <c r="EPI300" s="16" t="s">
        <v>1487</v>
      </c>
      <c r="EPJ300" s="16" t="s">
        <v>1487</v>
      </c>
      <c r="EPK300" s="16" t="s">
        <v>1487</v>
      </c>
      <c r="EPL300" s="16" t="s">
        <v>1487</v>
      </c>
      <c r="EPM300" s="16" t="s">
        <v>1487</v>
      </c>
      <c r="EPN300" s="16" t="s">
        <v>1487</v>
      </c>
      <c r="EPO300" s="16" t="s">
        <v>1487</v>
      </c>
      <c r="EPP300" s="16" t="s">
        <v>1487</v>
      </c>
      <c r="EPQ300" s="16" t="s">
        <v>1487</v>
      </c>
      <c r="EPR300" s="16" t="s">
        <v>1487</v>
      </c>
      <c r="EPS300" s="16" t="s">
        <v>1487</v>
      </c>
      <c r="EPT300" s="16" t="s">
        <v>1487</v>
      </c>
      <c r="EPU300" s="16" t="s">
        <v>1487</v>
      </c>
      <c r="EPV300" s="16" t="s">
        <v>1487</v>
      </c>
      <c r="EPW300" s="16" t="s">
        <v>1487</v>
      </c>
      <c r="EPX300" s="16" t="s">
        <v>1487</v>
      </c>
      <c r="EPY300" s="16" t="s">
        <v>1487</v>
      </c>
      <c r="EPZ300" s="16" t="s">
        <v>1487</v>
      </c>
      <c r="EQA300" s="16" t="s">
        <v>1487</v>
      </c>
      <c r="EQB300" s="16" t="s">
        <v>1487</v>
      </c>
      <c r="EQC300" s="16" t="s">
        <v>1487</v>
      </c>
      <c r="EQD300" s="16" t="s">
        <v>1487</v>
      </c>
      <c r="EQE300" s="16" t="s">
        <v>1487</v>
      </c>
      <c r="EQF300" s="16" t="s">
        <v>1487</v>
      </c>
      <c r="EQG300" s="16" t="s">
        <v>1487</v>
      </c>
      <c r="EQH300" s="16" t="s">
        <v>1487</v>
      </c>
      <c r="EQI300" s="16" t="s">
        <v>1487</v>
      </c>
      <c r="EQJ300" s="16" t="s">
        <v>1487</v>
      </c>
      <c r="EQK300" s="16" t="s">
        <v>1487</v>
      </c>
      <c r="EQL300" s="16" t="s">
        <v>1487</v>
      </c>
      <c r="EQM300" s="16" t="s">
        <v>1487</v>
      </c>
      <c r="EQN300" s="16" t="s">
        <v>1487</v>
      </c>
      <c r="EQO300" s="16" t="s">
        <v>1487</v>
      </c>
      <c r="EQP300" s="16" t="s">
        <v>1487</v>
      </c>
      <c r="EQQ300" s="16" t="s">
        <v>1487</v>
      </c>
      <c r="EQR300" s="16" t="s">
        <v>1487</v>
      </c>
      <c r="EQS300" s="16" t="s">
        <v>1487</v>
      </c>
      <c r="EQT300" s="16" t="s">
        <v>1487</v>
      </c>
      <c r="EQU300" s="16" t="s">
        <v>1487</v>
      </c>
      <c r="EQV300" s="16" t="s">
        <v>1487</v>
      </c>
      <c r="EQW300" s="16" t="s">
        <v>1487</v>
      </c>
      <c r="EQX300" s="16" t="s">
        <v>1487</v>
      </c>
      <c r="EQY300" s="16" t="s">
        <v>1487</v>
      </c>
      <c r="EQZ300" s="16" t="s">
        <v>1487</v>
      </c>
      <c r="ERA300" s="16" t="s">
        <v>1487</v>
      </c>
      <c r="ERB300" s="16" t="s">
        <v>1487</v>
      </c>
      <c r="ERC300" s="16" t="s">
        <v>1487</v>
      </c>
      <c r="ERD300" s="16" t="s">
        <v>1487</v>
      </c>
      <c r="ERE300" s="16" t="s">
        <v>1487</v>
      </c>
      <c r="ERF300" s="16" t="s">
        <v>1487</v>
      </c>
      <c r="ERG300" s="16" t="s">
        <v>1487</v>
      </c>
      <c r="ERH300" s="16" t="s">
        <v>1487</v>
      </c>
      <c r="ERI300" s="16" t="s">
        <v>1487</v>
      </c>
      <c r="ERJ300" s="16" t="s">
        <v>1487</v>
      </c>
      <c r="ERK300" s="16" t="s">
        <v>1487</v>
      </c>
      <c r="ERL300" s="16" t="s">
        <v>1487</v>
      </c>
      <c r="ERM300" s="16" t="s">
        <v>1487</v>
      </c>
      <c r="ERN300" s="16" t="s">
        <v>1487</v>
      </c>
      <c r="ERO300" s="16" t="s">
        <v>1487</v>
      </c>
      <c r="ERP300" s="16" t="s">
        <v>1487</v>
      </c>
      <c r="ERQ300" s="16" t="s">
        <v>1487</v>
      </c>
      <c r="ERR300" s="16" t="s">
        <v>1487</v>
      </c>
      <c r="ERS300" s="16" t="s">
        <v>1487</v>
      </c>
      <c r="ERT300" s="16" t="s">
        <v>1487</v>
      </c>
      <c r="ERU300" s="16" t="s">
        <v>1487</v>
      </c>
      <c r="ERV300" s="16" t="s">
        <v>1487</v>
      </c>
      <c r="ERW300" s="16" t="s">
        <v>1487</v>
      </c>
      <c r="ERX300" s="16" t="s">
        <v>1487</v>
      </c>
      <c r="ERY300" s="16" t="s">
        <v>1487</v>
      </c>
      <c r="ERZ300" s="16" t="s">
        <v>1487</v>
      </c>
      <c r="ESA300" s="16" t="s">
        <v>1487</v>
      </c>
      <c r="ESB300" s="16" t="s">
        <v>1487</v>
      </c>
      <c r="ESC300" s="16" t="s">
        <v>1487</v>
      </c>
      <c r="ESD300" s="16" t="s">
        <v>1487</v>
      </c>
      <c r="ESE300" s="16" t="s">
        <v>1487</v>
      </c>
      <c r="ESF300" s="16" t="s">
        <v>1487</v>
      </c>
      <c r="ESG300" s="16" t="s">
        <v>1487</v>
      </c>
      <c r="ESH300" s="16" t="s">
        <v>1487</v>
      </c>
      <c r="ESI300" s="16" t="s">
        <v>1487</v>
      </c>
      <c r="ESJ300" s="16" t="s">
        <v>1487</v>
      </c>
      <c r="ESK300" s="16" t="s">
        <v>1487</v>
      </c>
      <c r="ESL300" s="16" t="s">
        <v>1487</v>
      </c>
      <c r="ESM300" s="16" t="s">
        <v>1487</v>
      </c>
      <c r="ESN300" s="16" t="s">
        <v>1487</v>
      </c>
      <c r="ESO300" s="16" t="s">
        <v>1487</v>
      </c>
      <c r="ESP300" s="16" t="s">
        <v>1487</v>
      </c>
      <c r="ESQ300" s="16" t="s">
        <v>1487</v>
      </c>
      <c r="ESR300" s="16" t="s">
        <v>1487</v>
      </c>
      <c r="ESS300" s="16" t="s">
        <v>1487</v>
      </c>
      <c r="EST300" s="16" t="s">
        <v>1487</v>
      </c>
      <c r="ESU300" s="16" t="s">
        <v>1487</v>
      </c>
      <c r="ESV300" s="16" t="s">
        <v>1487</v>
      </c>
      <c r="ESW300" s="16" t="s">
        <v>1487</v>
      </c>
      <c r="ESX300" s="16" t="s">
        <v>1487</v>
      </c>
      <c r="ESY300" s="16" t="s">
        <v>1487</v>
      </c>
      <c r="ESZ300" s="16" t="s">
        <v>1487</v>
      </c>
      <c r="ETA300" s="16" t="s">
        <v>1487</v>
      </c>
      <c r="ETB300" s="16" t="s">
        <v>1487</v>
      </c>
      <c r="ETC300" s="16" t="s">
        <v>1487</v>
      </c>
      <c r="ETD300" s="16" t="s">
        <v>1487</v>
      </c>
      <c r="ETE300" s="16" t="s">
        <v>1487</v>
      </c>
      <c r="ETF300" s="16" t="s">
        <v>1487</v>
      </c>
      <c r="ETG300" s="16" t="s">
        <v>1487</v>
      </c>
      <c r="ETH300" s="16" t="s">
        <v>1487</v>
      </c>
      <c r="ETI300" s="16" t="s">
        <v>1487</v>
      </c>
      <c r="ETJ300" s="16" t="s">
        <v>1487</v>
      </c>
      <c r="ETK300" s="16" t="s">
        <v>1487</v>
      </c>
      <c r="ETL300" s="16" t="s">
        <v>1487</v>
      </c>
      <c r="ETM300" s="16" t="s">
        <v>1487</v>
      </c>
      <c r="ETN300" s="16" t="s">
        <v>1487</v>
      </c>
      <c r="ETO300" s="16" t="s">
        <v>1487</v>
      </c>
      <c r="ETP300" s="16" t="s">
        <v>1487</v>
      </c>
      <c r="ETQ300" s="16" t="s">
        <v>1487</v>
      </c>
      <c r="ETR300" s="16" t="s">
        <v>1487</v>
      </c>
      <c r="ETS300" s="16" t="s">
        <v>1487</v>
      </c>
      <c r="ETT300" s="16" t="s">
        <v>1487</v>
      </c>
      <c r="ETU300" s="16" t="s">
        <v>1487</v>
      </c>
      <c r="ETV300" s="16" t="s">
        <v>1487</v>
      </c>
      <c r="ETW300" s="16" t="s">
        <v>1487</v>
      </c>
      <c r="ETX300" s="16" t="s">
        <v>1487</v>
      </c>
      <c r="ETY300" s="16" t="s">
        <v>1487</v>
      </c>
      <c r="ETZ300" s="16" t="s">
        <v>1487</v>
      </c>
      <c r="EUA300" s="16" t="s">
        <v>1487</v>
      </c>
      <c r="EUB300" s="16" t="s">
        <v>1487</v>
      </c>
      <c r="EUC300" s="16" t="s">
        <v>1487</v>
      </c>
      <c r="EUD300" s="16" t="s">
        <v>1487</v>
      </c>
      <c r="EUE300" s="16" t="s">
        <v>1487</v>
      </c>
      <c r="EUF300" s="16" t="s">
        <v>1487</v>
      </c>
      <c r="EUG300" s="16" t="s">
        <v>1487</v>
      </c>
      <c r="EUH300" s="16" t="s">
        <v>1487</v>
      </c>
      <c r="EUI300" s="16" t="s">
        <v>1487</v>
      </c>
      <c r="EUJ300" s="16" t="s">
        <v>1487</v>
      </c>
      <c r="EUK300" s="16" t="s">
        <v>1487</v>
      </c>
      <c r="EUL300" s="16" t="s">
        <v>1487</v>
      </c>
      <c r="EUM300" s="16" t="s">
        <v>1487</v>
      </c>
      <c r="EUN300" s="16" t="s">
        <v>1487</v>
      </c>
      <c r="EUO300" s="16" t="s">
        <v>1487</v>
      </c>
      <c r="EUP300" s="16" t="s">
        <v>1487</v>
      </c>
      <c r="EUQ300" s="16" t="s">
        <v>1487</v>
      </c>
      <c r="EUR300" s="16" t="s">
        <v>1487</v>
      </c>
      <c r="EUS300" s="16" t="s">
        <v>1487</v>
      </c>
      <c r="EUT300" s="16" t="s">
        <v>1487</v>
      </c>
      <c r="EUU300" s="16" t="s">
        <v>1487</v>
      </c>
      <c r="EUV300" s="16" t="s">
        <v>1487</v>
      </c>
      <c r="EUW300" s="16" t="s">
        <v>1487</v>
      </c>
      <c r="EUX300" s="16" t="s">
        <v>1487</v>
      </c>
      <c r="EUY300" s="16" t="s">
        <v>1487</v>
      </c>
      <c r="EUZ300" s="16" t="s">
        <v>1487</v>
      </c>
      <c r="EVA300" s="16" t="s">
        <v>1487</v>
      </c>
      <c r="EVB300" s="16" t="s">
        <v>1487</v>
      </c>
      <c r="EVC300" s="16" t="s">
        <v>1487</v>
      </c>
      <c r="EVD300" s="16" t="s">
        <v>1487</v>
      </c>
      <c r="EVE300" s="16" t="s">
        <v>1487</v>
      </c>
      <c r="EVF300" s="16" t="s">
        <v>1487</v>
      </c>
      <c r="EVG300" s="16" t="s">
        <v>1487</v>
      </c>
      <c r="EVH300" s="16" t="s">
        <v>1487</v>
      </c>
      <c r="EVI300" s="16" t="s">
        <v>1487</v>
      </c>
      <c r="EVJ300" s="16" t="s">
        <v>1487</v>
      </c>
      <c r="EVK300" s="16" t="s">
        <v>1487</v>
      </c>
      <c r="EVL300" s="16" t="s">
        <v>1487</v>
      </c>
      <c r="EVM300" s="16" t="s">
        <v>1487</v>
      </c>
      <c r="EVN300" s="16" t="s">
        <v>1487</v>
      </c>
      <c r="EVO300" s="16" t="s">
        <v>1487</v>
      </c>
      <c r="EVP300" s="16" t="s">
        <v>1487</v>
      </c>
      <c r="EVQ300" s="16" t="s">
        <v>1487</v>
      </c>
      <c r="EVR300" s="16" t="s">
        <v>1487</v>
      </c>
      <c r="EVS300" s="16" t="s">
        <v>1487</v>
      </c>
      <c r="EVT300" s="16" t="s">
        <v>1487</v>
      </c>
      <c r="EVU300" s="16" t="s">
        <v>1487</v>
      </c>
      <c r="EVV300" s="16" t="s">
        <v>1487</v>
      </c>
      <c r="EVW300" s="16" t="s">
        <v>1487</v>
      </c>
      <c r="EVX300" s="16" t="s">
        <v>1487</v>
      </c>
      <c r="EVY300" s="16" t="s">
        <v>1487</v>
      </c>
      <c r="EVZ300" s="16" t="s">
        <v>1487</v>
      </c>
      <c r="EWA300" s="16" t="s">
        <v>1487</v>
      </c>
      <c r="EWB300" s="16" t="s">
        <v>1487</v>
      </c>
      <c r="EWC300" s="16" t="s">
        <v>1487</v>
      </c>
      <c r="EWD300" s="16" t="s">
        <v>1487</v>
      </c>
      <c r="EWE300" s="16" t="s">
        <v>1487</v>
      </c>
      <c r="EWF300" s="16" t="s">
        <v>1487</v>
      </c>
      <c r="EWG300" s="16" t="s">
        <v>1487</v>
      </c>
      <c r="EWH300" s="16" t="s">
        <v>1487</v>
      </c>
      <c r="EWI300" s="16" t="s">
        <v>1487</v>
      </c>
      <c r="EWJ300" s="16" t="s">
        <v>1487</v>
      </c>
      <c r="EWK300" s="16" t="s">
        <v>1487</v>
      </c>
      <c r="EWL300" s="16" t="s">
        <v>1487</v>
      </c>
      <c r="EWM300" s="16" t="s">
        <v>1487</v>
      </c>
      <c r="EWN300" s="16" t="s">
        <v>1487</v>
      </c>
      <c r="EWO300" s="16" t="s">
        <v>1487</v>
      </c>
      <c r="EWP300" s="16" t="s">
        <v>1487</v>
      </c>
      <c r="EWQ300" s="16" t="s">
        <v>1487</v>
      </c>
      <c r="EWR300" s="16" t="s">
        <v>1487</v>
      </c>
      <c r="EWS300" s="16" t="s">
        <v>1487</v>
      </c>
      <c r="EWT300" s="16" t="s">
        <v>1487</v>
      </c>
      <c r="EWU300" s="16" t="s">
        <v>1487</v>
      </c>
      <c r="EWV300" s="16" t="s">
        <v>1487</v>
      </c>
      <c r="EWW300" s="16" t="s">
        <v>1487</v>
      </c>
      <c r="EWX300" s="16" t="s">
        <v>1487</v>
      </c>
      <c r="EWY300" s="16" t="s">
        <v>1487</v>
      </c>
      <c r="EWZ300" s="16" t="s">
        <v>1487</v>
      </c>
      <c r="EXA300" s="16" t="s">
        <v>1487</v>
      </c>
      <c r="EXB300" s="16" t="s">
        <v>1487</v>
      </c>
      <c r="EXC300" s="16" t="s">
        <v>1487</v>
      </c>
      <c r="EXD300" s="16" t="s">
        <v>1487</v>
      </c>
      <c r="EXE300" s="16" t="s">
        <v>1487</v>
      </c>
      <c r="EXF300" s="16" t="s">
        <v>1487</v>
      </c>
      <c r="EXG300" s="16" t="s">
        <v>1487</v>
      </c>
      <c r="EXH300" s="16" t="s">
        <v>1487</v>
      </c>
      <c r="EXI300" s="16" t="s">
        <v>1487</v>
      </c>
      <c r="EXJ300" s="16" t="s">
        <v>1487</v>
      </c>
      <c r="EXK300" s="16" t="s">
        <v>1487</v>
      </c>
      <c r="EXL300" s="16" t="s">
        <v>1487</v>
      </c>
      <c r="EXM300" s="16" t="s">
        <v>1487</v>
      </c>
      <c r="EXN300" s="16" t="s">
        <v>1487</v>
      </c>
      <c r="EXO300" s="16" t="s">
        <v>1487</v>
      </c>
      <c r="EXP300" s="16" t="s">
        <v>1487</v>
      </c>
      <c r="EXQ300" s="16" t="s">
        <v>1487</v>
      </c>
      <c r="EXR300" s="16" t="s">
        <v>1487</v>
      </c>
      <c r="EXS300" s="16" t="s">
        <v>1487</v>
      </c>
      <c r="EXT300" s="16" t="s">
        <v>1487</v>
      </c>
      <c r="EXU300" s="16" t="s">
        <v>1487</v>
      </c>
      <c r="EXV300" s="16" t="s">
        <v>1487</v>
      </c>
      <c r="EXW300" s="16" t="s">
        <v>1487</v>
      </c>
      <c r="EXX300" s="16" t="s">
        <v>1487</v>
      </c>
      <c r="EXY300" s="16" t="s">
        <v>1487</v>
      </c>
      <c r="EXZ300" s="16" t="s">
        <v>1487</v>
      </c>
      <c r="EYA300" s="16" t="s">
        <v>1487</v>
      </c>
      <c r="EYB300" s="16" t="s">
        <v>1487</v>
      </c>
      <c r="EYC300" s="16" t="s">
        <v>1487</v>
      </c>
      <c r="EYD300" s="16" t="s">
        <v>1487</v>
      </c>
      <c r="EYE300" s="16" t="s">
        <v>1487</v>
      </c>
      <c r="EYF300" s="16" t="s">
        <v>1487</v>
      </c>
      <c r="EYG300" s="16" t="s">
        <v>1487</v>
      </c>
      <c r="EYH300" s="16" t="s">
        <v>1487</v>
      </c>
      <c r="EYI300" s="16" t="s">
        <v>1487</v>
      </c>
      <c r="EYJ300" s="16" t="s">
        <v>1487</v>
      </c>
      <c r="EYK300" s="16" t="s">
        <v>1487</v>
      </c>
      <c r="EYL300" s="16" t="s">
        <v>1487</v>
      </c>
      <c r="EYM300" s="16" t="s">
        <v>1487</v>
      </c>
      <c r="EYN300" s="16" t="s">
        <v>1487</v>
      </c>
      <c r="EYO300" s="16" t="s">
        <v>1487</v>
      </c>
      <c r="EYP300" s="16" t="s">
        <v>1487</v>
      </c>
      <c r="EYQ300" s="16" t="s">
        <v>1487</v>
      </c>
      <c r="EYR300" s="16" t="s">
        <v>1487</v>
      </c>
      <c r="EYS300" s="16" t="s">
        <v>1487</v>
      </c>
      <c r="EYT300" s="16" t="s">
        <v>1487</v>
      </c>
      <c r="EYU300" s="16" t="s">
        <v>1487</v>
      </c>
      <c r="EYV300" s="16" t="s">
        <v>1487</v>
      </c>
      <c r="EYW300" s="16" t="s">
        <v>1487</v>
      </c>
      <c r="EYX300" s="16" t="s">
        <v>1487</v>
      </c>
      <c r="EYY300" s="16" t="s">
        <v>1487</v>
      </c>
      <c r="EYZ300" s="16" t="s">
        <v>1487</v>
      </c>
      <c r="EZA300" s="16" t="s">
        <v>1487</v>
      </c>
      <c r="EZB300" s="16" t="s">
        <v>1487</v>
      </c>
      <c r="EZC300" s="16" t="s">
        <v>1487</v>
      </c>
      <c r="EZD300" s="16" t="s">
        <v>1487</v>
      </c>
      <c r="EZE300" s="16" t="s">
        <v>1487</v>
      </c>
      <c r="EZF300" s="16" t="s">
        <v>1487</v>
      </c>
      <c r="EZG300" s="16" t="s">
        <v>1487</v>
      </c>
      <c r="EZH300" s="16" t="s">
        <v>1487</v>
      </c>
      <c r="EZI300" s="16" t="s">
        <v>1487</v>
      </c>
      <c r="EZJ300" s="16" t="s">
        <v>1487</v>
      </c>
      <c r="EZK300" s="16" t="s">
        <v>1487</v>
      </c>
      <c r="EZL300" s="16" t="s">
        <v>1487</v>
      </c>
      <c r="EZM300" s="16" t="s">
        <v>1487</v>
      </c>
      <c r="EZN300" s="16" t="s">
        <v>1487</v>
      </c>
      <c r="EZO300" s="16" t="s">
        <v>1487</v>
      </c>
      <c r="EZP300" s="16" t="s">
        <v>1487</v>
      </c>
      <c r="EZQ300" s="16" t="s">
        <v>1487</v>
      </c>
      <c r="EZR300" s="16" t="s">
        <v>1487</v>
      </c>
      <c r="EZS300" s="16" t="s">
        <v>1487</v>
      </c>
      <c r="EZT300" s="16" t="s">
        <v>1487</v>
      </c>
      <c r="EZU300" s="16" t="s">
        <v>1487</v>
      </c>
      <c r="EZV300" s="16" t="s">
        <v>1487</v>
      </c>
      <c r="EZW300" s="16" t="s">
        <v>1487</v>
      </c>
      <c r="EZX300" s="16" t="s">
        <v>1487</v>
      </c>
      <c r="EZY300" s="16" t="s">
        <v>1487</v>
      </c>
      <c r="EZZ300" s="16" t="s">
        <v>1487</v>
      </c>
      <c r="FAA300" s="16" t="s">
        <v>1487</v>
      </c>
      <c r="FAB300" s="16" t="s">
        <v>1487</v>
      </c>
      <c r="FAC300" s="16" t="s">
        <v>1487</v>
      </c>
      <c r="FAD300" s="16" t="s">
        <v>1487</v>
      </c>
      <c r="FAE300" s="16" t="s">
        <v>1487</v>
      </c>
      <c r="FAF300" s="16" t="s">
        <v>1487</v>
      </c>
      <c r="FAG300" s="16" t="s">
        <v>1487</v>
      </c>
      <c r="FAH300" s="16" t="s">
        <v>1487</v>
      </c>
      <c r="FAI300" s="16" t="s">
        <v>1487</v>
      </c>
      <c r="FAJ300" s="16" t="s">
        <v>1487</v>
      </c>
      <c r="FAK300" s="16" t="s">
        <v>1487</v>
      </c>
      <c r="FAL300" s="16" t="s">
        <v>1487</v>
      </c>
      <c r="FAM300" s="16" t="s">
        <v>1487</v>
      </c>
      <c r="FAN300" s="16" t="s">
        <v>1487</v>
      </c>
      <c r="FAO300" s="16" t="s">
        <v>1487</v>
      </c>
      <c r="FAP300" s="16" t="s">
        <v>1487</v>
      </c>
      <c r="FAQ300" s="16" t="s">
        <v>1487</v>
      </c>
      <c r="FAR300" s="16" t="s">
        <v>1487</v>
      </c>
      <c r="FAS300" s="16" t="s">
        <v>1487</v>
      </c>
      <c r="FAT300" s="16" t="s">
        <v>1487</v>
      </c>
      <c r="FAU300" s="16" t="s">
        <v>1487</v>
      </c>
      <c r="FAV300" s="16" t="s">
        <v>1487</v>
      </c>
      <c r="FAW300" s="16" t="s">
        <v>1487</v>
      </c>
      <c r="FAX300" s="16" t="s">
        <v>1487</v>
      </c>
      <c r="FAY300" s="16" t="s">
        <v>1487</v>
      </c>
      <c r="FAZ300" s="16" t="s">
        <v>1487</v>
      </c>
      <c r="FBA300" s="16" t="s">
        <v>1487</v>
      </c>
      <c r="FBB300" s="16" t="s">
        <v>1487</v>
      </c>
      <c r="FBC300" s="16" t="s">
        <v>1487</v>
      </c>
      <c r="FBD300" s="16" t="s">
        <v>1487</v>
      </c>
      <c r="FBE300" s="16" t="s">
        <v>1487</v>
      </c>
      <c r="FBF300" s="16" t="s">
        <v>1487</v>
      </c>
      <c r="FBG300" s="16" t="s">
        <v>1487</v>
      </c>
      <c r="FBH300" s="16" t="s">
        <v>1487</v>
      </c>
      <c r="FBI300" s="16" t="s">
        <v>1487</v>
      </c>
      <c r="FBJ300" s="16" t="s">
        <v>1487</v>
      </c>
      <c r="FBK300" s="16" t="s">
        <v>1487</v>
      </c>
      <c r="FBL300" s="16" t="s">
        <v>1487</v>
      </c>
      <c r="FBM300" s="16" t="s">
        <v>1487</v>
      </c>
      <c r="FBN300" s="16" t="s">
        <v>1487</v>
      </c>
      <c r="FBO300" s="16" t="s">
        <v>1487</v>
      </c>
      <c r="FBP300" s="16" t="s">
        <v>1487</v>
      </c>
      <c r="FBQ300" s="16" t="s">
        <v>1487</v>
      </c>
      <c r="FBR300" s="16" t="s">
        <v>1487</v>
      </c>
      <c r="FBS300" s="16" t="s">
        <v>1487</v>
      </c>
      <c r="FBT300" s="16" t="s">
        <v>1487</v>
      </c>
      <c r="FBU300" s="16" t="s">
        <v>1487</v>
      </c>
      <c r="FBV300" s="16" t="s">
        <v>1487</v>
      </c>
      <c r="FBW300" s="16" t="s">
        <v>1487</v>
      </c>
      <c r="FBX300" s="16" t="s">
        <v>1487</v>
      </c>
      <c r="FBY300" s="16" t="s">
        <v>1487</v>
      </c>
      <c r="FBZ300" s="16" t="s">
        <v>1487</v>
      </c>
      <c r="FCA300" s="16" t="s">
        <v>1487</v>
      </c>
      <c r="FCB300" s="16" t="s">
        <v>1487</v>
      </c>
      <c r="FCC300" s="16" t="s">
        <v>1487</v>
      </c>
      <c r="FCD300" s="16" t="s">
        <v>1487</v>
      </c>
      <c r="FCE300" s="16" t="s">
        <v>1487</v>
      </c>
      <c r="FCF300" s="16" t="s">
        <v>1487</v>
      </c>
      <c r="FCG300" s="16" t="s">
        <v>1487</v>
      </c>
      <c r="FCH300" s="16" t="s">
        <v>1487</v>
      </c>
      <c r="FCI300" s="16" t="s">
        <v>1487</v>
      </c>
      <c r="FCJ300" s="16" t="s">
        <v>1487</v>
      </c>
      <c r="FCK300" s="16" t="s">
        <v>1487</v>
      </c>
      <c r="FCL300" s="16" t="s">
        <v>1487</v>
      </c>
      <c r="FCM300" s="16" t="s">
        <v>1487</v>
      </c>
      <c r="FCN300" s="16" t="s">
        <v>1487</v>
      </c>
      <c r="FCO300" s="16" t="s">
        <v>1487</v>
      </c>
      <c r="FCP300" s="16" t="s">
        <v>1487</v>
      </c>
      <c r="FCQ300" s="16" t="s">
        <v>1487</v>
      </c>
      <c r="FCR300" s="16" t="s">
        <v>1487</v>
      </c>
      <c r="FCS300" s="16" t="s">
        <v>1487</v>
      </c>
      <c r="FCT300" s="16" t="s">
        <v>1487</v>
      </c>
      <c r="FCU300" s="16" t="s">
        <v>1487</v>
      </c>
      <c r="FCV300" s="16" t="s">
        <v>1487</v>
      </c>
      <c r="FCW300" s="16" t="s">
        <v>1487</v>
      </c>
      <c r="FCX300" s="16" t="s">
        <v>1487</v>
      </c>
      <c r="FCY300" s="16" t="s">
        <v>1487</v>
      </c>
      <c r="FCZ300" s="16" t="s">
        <v>1487</v>
      </c>
      <c r="FDA300" s="16" t="s">
        <v>1487</v>
      </c>
      <c r="FDB300" s="16" t="s">
        <v>1487</v>
      </c>
      <c r="FDC300" s="16" t="s">
        <v>1487</v>
      </c>
      <c r="FDD300" s="16" t="s">
        <v>1487</v>
      </c>
      <c r="FDE300" s="16" t="s">
        <v>1487</v>
      </c>
      <c r="FDF300" s="16" t="s">
        <v>1487</v>
      </c>
      <c r="FDG300" s="16" t="s">
        <v>1487</v>
      </c>
      <c r="FDH300" s="16" t="s">
        <v>1487</v>
      </c>
      <c r="FDI300" s="16" t="s">
        <v>1487</v>
      </c>
      <c r="FDJ300" s="16" t="s">
        <v>1487</v>
      </c>
      <c r="FDK300" s="16" t="s">
        <v>1487</v>
      </c>
      <c r="FDL300" s="16" t="s">
        <v>1487</v>
      </c>
      <c r="FDM300" s="16" t="s">
        <v>1487</v>
      </c>
      <c r="FDN300" s="16" t="s">
        <v>1487</v>
      </c>
      <c r="FDO300" s="16" t="s">
        <v>1487</v>
      </c>
      <c r="FDP300" s="16" t="s">
        <v>1487</v>
      </c>
      <c r="FDQ300" s="16" t="s">
        <v>1487</v>
      </c>
      <c r="FDR300" s="16" t="s">
        <v>1487</v>
      </c>
      <c r="FDS300" s="16" t="s">
        <v>1487</v>
      </c>
      <c r="FDT300" s="16" t="s">
        <v>1487</v>
      </c>
      <c r="FDU300" s="16" t="s">
        <v>1487</v>
      </c>
      <c r="FDV300" s="16" t="s">
        <v>1487</v>
      </c>
      <c r="FDW300" s="16" t="s">
        <v>1487</v>
      </c>
      <c r="FDX300" s="16" t="s">
        <v>1487</v>
      </c>
      <c r="FDY300" s="16" t="s">
        <v>1487</v>
      </c>
      <c r="FDZ300" s="16" t="s">
        <v>1487</v>
      </c>
      <c r="FEA300" s="16" t="s">
        <v>1487</v>
      </c>
      <c r="FEB300" s="16" t="s">
        <v>1487</v>
      </c>
      <c r="FEC300" s="16" t="s">
        <v>1487</v>
      </c>
      <c r="FED300" s="16" t="s">
        <v>1487</v>
      </c>
      <c r="FEE300" s="16" t="s">
        <v>1487</v>
      </c>
      <c r="FEF300" s="16" t="s">
        <v>1487</v>
      </c>
      <c r="FEG300" s="16" t="s">
        <v>1487</v>
      </c>
      <c r="FEH300" s="16" t="s">
        <v>1487</v>
      </c>
      <c r="FEI300" s="16" t="s">
        <v>1487</v>
      </c>
      <c r="FEJ300" s="16" t="s">
        <v>1487</v>
      </c>
      <c r="FEK300" s="16" t="s">
        <v>1487</v>
      </c>
      <c r="FEL300" s="16" t="s">
        <v>1487</v>
      </c>
      <c r="FEM300" s="16" t="s">
        <v>1487</v>
      </c>
      <c r="FEN300" s="16" t="s">
        <v>1487</v>
      </c>
      <c r="FEO300" s="16" t="s">
        <v>1487</v>
      </c>
      <c r="FEP300" s="16" t="s">
        <v>1487</v>
      </c>
      <c r="FEQ300" s="16" t="s">
        <v>1487</v>
      </c>
      <c r="FER300" s="16" t="s">
        <v>1487</v>
      </c>
      <c r="FES300" s="16" t="s">
        <v>1487</v>
      </c>
      <c r="FET300" s="16" t="s">
        <v>1487</v>
      </c>
      <c r="FEU300" s="16" t="s">
        <v>1487</v>
      </c>
      <c r="FEV300" s="16" t="s">
        <v>1487</v>
      </c>
      <c r="FEW300" s="16" t="s">
        <v>1487</v>
      </c>
      <c r="FEX300" s="16" t="s">
        <v>1487</v>
      </c>
      <c r="FEY300" s="16" t="s">
        <v>1487</v>
      </c>
      <c r="FEZ300" s="16" t="s">
        <v>1487</v>
      </c>
      <c r="FFA300" s="16" t="s">
        <v>1487</v>
      </c>
      <c r="FFB300" s="16" t="s">
        <v>1487</v>
      </c>
      <c r="FFC300" s="16" t="s">
        <v>1487</v>
      </c>
      <c r="FFD300" s="16" t="s">
        <v>1487</v>
      </c>
      <c r="FFE300" s="16" t="s">
        <v>1487</v>
      </c>
      <c r="FFF300" s="16" t="s">
        <v>1487</v>
      </c>
      <c r="FFG300" s="16" t="s">
        <v>1487</v>
      </c>
      <c r="FFH300" s="16" t="s">
        <v>1487</v>
      </c>
      <c r="FFI300" s="16" t="s">
        <v>1487</v>
      </c>
      <c r="FFJ300" s="16" t="s">
        <v>1487</v>
      </c>
      <c r="FFK300" s="16" t="s">
        <v>1487</v>
      </c>
      <c r="FFL300" s="16" t="s">
        <v>1487</v>
      </c>
      <c r="FFM300" s="16" t="s">
        <v>1487</v>
      </c>
      <c r="FFN300" s="16" t="s">
        <v>1487</v>
      </c>
      <c r="FFO300" s="16" t="s">
        <v>1487</v>
      </c>
      <c r="FFP300" s="16" t="s">
        <v>1487</v>
      </c>
      <c r="FFQ300" s="16" t="s">
        <v>1487</v>
      </c>
      <c r="FFR300" s="16" t="s">
        <v>1487</v>
      </c>
      <c r="FFS300" s="16" t="s">
        <v>1487</v>
      </c>
      <c r="FFT300" s="16" t="s">
        <v>1487</v>
      </c>
      <c r="FFU300" s="16" t="s">
        <v>1487</v>
      </c>
      <c r="FFV300" s="16" t="s">
        <v>1487</v>
      </c>
      <c r="FFW300" s="16" t="s">
        <v>1487</v>
      </c>
      <c r="FFX300" s="16" t="s">
        <v>1487</v>
      </c>
      <c r="FFY300" s="16" t="s">
        <v>1487</v>
      </c>
      <c r="FFZ300" s="16" t="s">
        <v>1487</v>
      </c>
      <c r="FGA300" s="16" t="s">
        <v>1487</v>
      </c>
      <c r="FGB300" s="16" t="s">
        <v>1487</v>
      </c>
      <c r="FGC300" s="16" t="s">
        <v>1487</v>
      </c>
      <c r="FGD300" s="16" t="s">
        <v>1487</v>
      </c>
      <c r="FGE300" s="16" t="s">
        <v>1487</v>
      </c>
      <c r="FGF300" s="16" t="s">
        <v>1487</v>
      </c>
      <c r="FGG300" s="16" t="s">
        <v>1487</v>
      </c>
      <c r="FGH300" s="16" t="s">
        <v>1487</v>
      </c>
      <c r="FGI300" s="16" t="s">
        <v>1487</v>
      </c>
      <c r="FGJ300" s="16" t="s">
        <v>1487</v>
      </c>
      <c r="FGK300" s="16" t="s">
        <v>1487</v>
      </c>
      <c r="FGL300" s="16" t="s">
        <v>1487</v>
      </c>
      <c r="FGM300" s="16" t="s">
        <v>1487</v>
      </c>
      <c r="FGN300" s="16" t="s">
        <v>1487</v>
      </c>
      <c r="FGO300" s="16" t="s">
        <v>1487</v>
      </c>
      <c r="FGP300" s="16" t="s">
        <v>1487</v>
      </c>
      <c r="FGQ300" s="16" t="s">
        <v>1487</v>
      </c>
      <c r="FGR300" s="16" t="s">
        <v>1487</v>
      </c>
      <c r="FGS300" s="16" t="s">
        <v>1487</v>
      </c>
      <c r="FGT300" s="16" t="s">
        <v>1487</v>
      </c>
      <c r="FGU300" s="16" t="s">
        <v>1487</v>
      </c>
      <c r="FGV300" s="16" t="s">
        <v>1487</v>
      </c>
      <c r="FGW300" s="16" t="s">
        <v>1487</v>
      </c>
      <c r="FGX300" s="16" t="s">
        <v>1487</v>
      </c>
      <c r="FGY300" s="16" t="s">
        <v>1487</v>
      </c>
      <c r="FGZ300" s="16" t="s">
        <v>1487</v>
      </c>
      <c r="FHA300" s="16" t="s">
        <v>1487</v>
      </c>
      <c r="FHB300" s="16" t="s">
        <v>1487</v>
      </c>
      <c r="FHC300" s="16" t="s">
        <v>1487</v>
      </c>
      <c r="FHD300" s="16" t="s">
        <v>1487</v>
      </c>
      <c r="FHE300" s="16" t="s">
        <v>1487</v>
      </c>
      <c r="FHF300" s="16" t="s">
        <v>1487</v>
      </c>
      <c r="FHG300" s="16" t="s">
        <v>1487</v>
      </c>
      <c r="FHH300" s="16" t="s">
        <v>1487</v>
      </c>
      <c r="FHI300" s="16" t="s">
        <v>1487</v>
      </c>
      <c r="FHJ300" s="16" t="s">
        <v>1487</v>
      </c>
      <c r="FHK300" s="16" t="s">
        <v>1487</v>
      </c>
      <c r="FHL300" s="16" t="s">
        <v>1487</v>
      </c>
      <c r="FHM300" s="16" t="s">
        <v>1487</v>
      </c>
      <c r="FHN300" s="16" t="s">
        <v>1487</v>
      </c>
      <c r="FHO300" s="16" t="s">
        <v>1487</v>
      </c>
      <c r="FHP300" s="16" t="s">
        <v>1487</v>
      </c>
      <c r="FHQ300" s="16" t="s">
        <v>1487</v>
      </c>
      <c r="FHR300" s="16" t="s">
        <v>1487</v>
      </c>
      <c r="FHS300" s="16" t="s">
        <v>1487</v>
      </c>
      <c r="FHT300" s="16" t="s">
        <v>1487</v>
      </c>
      <c r="FHU300" s="16" t="s">
        <v>1487</v>
      </c>
      <c r="FHV300" s="16" t="s">
        <v>1487</v>
      </c>
      <c r="FHW300" s="16" t="s">
        <v>1487</v>
      </c>
      <c r="FHX300" s="16" t="s">
        <v>1487</v>
      </c>
      <c r="FHY300" s="16" t="s">
        <v>1487</v>
      </c>
      <c r="FHZ300" s="16" t="s">
        <v>1487</v>
      </c>
      <c r="FIA300" s="16" t="s">
        <v>1487</v>
      </c>
      <c r="FIB300" s="16" t="s">
        <v>1487</v>
      </c>
      <c r="FIC300" s="16" t="s">
        <v>1487</v>
      </c>
      <c r="FID300" s="16" t="s">
        <v>1487</v>
      </c>
      <c r="FIE300" s="16" t="s">
        <v>1487</v>
      </c>
      <c r="FIF300" s="16" t="s">
        <v>1487</v>
      </c>
      <c r="FIG300" s="16" t="s">
        <v>1487</v>
      </c>
      <c r="FIH300" s="16" t="s">
        <v>1487</v>
      </c>
      <c r="FII300" s="16" t="s">
        <v>1487</v>
      </c>
      <c r="FIJ300" s="16" t="s">
        <v>1487</v>
      </c>
      <c r="FIK300" s="16" t="s">
        <v>1487</v>
      </c>
      <c r="FIL300" s="16" t="s">
        <v>1487</v>
      </c>
      <c r="FIM300" s="16" t="s">
        <v>1487</v>
      </c>
      <c r="FIN300" s="16" t="s">
        <v>1487</v>
      </c>
      <c r="FIO300" s="16" t="s">
        <v>1487</v>
      </c>
      <c r="FIP300" s="16" t="s">
        <v>1487</v>
      </c>
      <c r="FIQ300" s="16" t="s">
        <v>1487</v>
      </c>
      <c r="FIR300" s="16" t="s">
        <v>1487</v>
      </c>
      <c r="FIS300" s="16" t="s">
        <v>1487</v>
      </c>
      <c r="FIT300" s="16" t="s">
        <v>1487</v>
      </c>
      <c r="FIU300" s="16" t="s">
        <v>1487</v>
      </c>
      <c r="FIV300" s="16" t="s">
        <v>1487</v>
      </c>
      <c r="FIW300" s="16" t="s">
        <v>1487</v>
      </c>
      <c r="FIX300" s="16" t="s">
        <v>1487</v>
      </c>
      <c r="FIY300" s="16" t="s">
        <v>1487</v>
      </c>
      <c r="FIZ300" s="16" t="s">
        <v>1487</v>
      </c>
      <c r="FJA300" s="16" t="s">
        <v>1487</v>
      </c>
      <c r="FJB300" s="16" t="s">
        <v>1487</v>
      </c>
      <c r="FJC300" s="16" t="s">
        <v>1487</v>
      </c>
      <c r="FJD300" s="16" t="s">
        <v>1487</v>
      </c>
      <c r="FJE300" s="16" t="s">
        <v>1487</v>
      </c>
      <c r="FJF300" s="16" t="s">
        <v>1487</v>
      </c>
      <c r="FJG300" s="16" t="s">
        <v>1487</v>
      </c>
      <c r="FJH300" s="16" t="s">
        <v>1487</v>
      </c>
      <c r="FJI300" s="16" t="s">
        <v>1487</v>
      </c>
      <c r="FJJ300" s="16" t="s">
        <v>1487</v>
      </c>
      <c r="FJK300" s="16" t="s">
        <v>1487</v>
      </c>
      <c r="FJL300" s="16" t="s">
        <v>1487</v>
      </c>
      <c r="FJM300" s="16" t="s">
        <v>1487</v>
      </c>
      <c r="FJN300" s="16" t="s">
        <v>1487</v>
      </c>
      <c r="FJO300" s="16" t="s">
        <v>1487</v>
      </c>
      <c r="FJP300" s="16" t="s">
        <v>1487</v>
      </c>
      <c r="FJQ300" s="16" t="s">
        <v>1487</v>
      </c>
      <c r="FJR300" s="16" t="s">
        <v>1487</v>
      </c>
      <c r="FJS300" s="16" t="s">
        <v>1487</v>
      </c>
      <c r="FJT300" s="16" t="s">
        <v>1487</v>
      </c>
      <c r="FJU300" s="16" t="s">
        <v>1487</v>
      </c>
      <c r="FJV300" s="16" t="s">
        <v>1487</v>
      </c>
      <c r="FJW300" s="16" t="s">
        <v>1487</v>
      </c>
      <c r="FJX300" s="16" t="s">
        <v>1487</v>
      </c>
      <c r="FJY300" s="16" t="s">
        <v>1487</v>
      </c>
      <c r="FJZ300" s="16" t="s">
        <v>1487</v>
      </c>
      <c r="FKA300" s="16" t="s">
        <v>1487</v>
      </c>
      <c r="FKB300" s="16" t="s">
        <v>1487</v>
      </c>
      <c r="FKC300" s="16" t="s">
        <v>1487</v>
      </c>
      <c r="FKD300" s="16" t="s">
        <v>1487</v>
      </c>
      <c r="FKE300" s="16" t="s">
        <v>1487</v>
      </c>
      <c r="FKF300" s="16" t="s">
        <v>1487</v>
      </c>
      <c r="FKG300" s="16" t="s">
        <v>1487</v>
      </c>
      <c r="FKH300" s="16" t="s">
        <v>1487</v>
      </c>
      <c r="FKI300" s="16" t="s">
        <v>1487</v>
      </c>
      <c r="FKJ300" s="16" t="s">
        <v>1487</v>
      </c>
      <c r="FKK300" s="16" t="s">
        <v>1487</v>
      </c>
      <c r="FKL300" s="16" t="s">
        <v>1487</v>
      </c>
      <c r="FKM300" s="16" t="s">
        <v>1487</v>
      </c>
      <c r="FKN300" s="16" t="s">
        <v>1487</v>
      </c>
      <c r="FKO300" s="16" t="s">
        <v>1487</v>
      </c>
      <c r="FKP300" s="16" t="s">
        <v>1487</v>
      </c>
      <c r="FKQ300" s="16" t="s">
        <v>1487</v>
      </c>
      <c r="FKR300" s="16" t="s">
        <v>1487</v>
      </c>
      <c r="FKS300" s="16" t="s">
        <v>1487</v>
      </c>
      <c r="FKT300" s="16" t="s">
        <v>1487</v>
      </c>
      <c r="FKU300" s="16" t="s">
        <v>1487</v>
      </c>
      <c r="FKV300" s="16" t="s">
        <v>1487</v>
      </c>
      <c r="FKW300" s="16" t="s">
        <v>1487</v>
      </c>
      <c r="FKX300" s="16" t="s">
        <v>1487</v>
      </c>
      <c r="FKY300" s="16" t="s">
        <v>1487</v>
      </c>
      <c r="FKZ300" s="16" t="s">
        <v>1487</v>
      </c>
      <c r="FLA300" s="16" t="s">
        <v>1487</v>
      </c>
      <c r="FLB300" s="16" t="s">
        <v>1487</v>
      </c>
      <c r="FLC300" s="16" t="s">
        <v>1487</v>
      </c>
      <c r="FLD300" s="16" t="s">
        <v>1487</v>
      </c>
      <c r="FLE300" s="16" t="s">
        <v>1487</v>
      </c>
      <c r="FLF300" s="16" t="s">
        <v>1487</v>
      </c>
      <c r="FLG300" s="16" t="s">
        <v>1487</v>
      </c>
      <c r="FLH300" s="16" t="s">
        <v>1487</v>
      </c>
      <c r="FLI300" s="16" t="s">
        <v>1487</v>
      </c>
      <c r="FLJ300" s="16" t="s">
        <v>1487</v>
      </c>
      <c r="FLK300" s="16" t="s">
        <v>1487</v>
      </c>
      <c r="FLL300" s="16" t="s">
        <v>1487</v>
      </c>
      <c r="FLM300" s="16" t="s">
        <v>1487</v>
      </c>
      <c r="FLN300" s="16" t="s">
        <v>1487</v>
      </c>
      <c r="FLO300" s="16" t="s">
        <v>1487</v>
      </c>
      <c r="FLP300" s="16" t="s">
        <v>1487</v>
      </c>
      <c r="FLQ300" s="16" t="s">
        <v>1487</v>
      </c>
      <c r="FLR300" s="16" t="s">
        <v>1487</v>
      </c>
      <c r="FLS300" s="16" t="s">
        <v>1487</v>
      </c>
      <c r="FLT300" s="16" t="s">
        <v>1487</v>
      </c>
      <c r="FLU300" s="16" t="s">
        <v>1487</v>
      </c>
      <c r="FLV300" s="16" t="s">
        <v>1487</v>
      </c>
      <c r="FLW300" s="16" t="s">
        <v>1487</v>
      </c>
      <c r="FLX300" s="16" t="s">
        <v>1487</v>
      </c>
      <c r="FLY300" s="16" t="s">
        <v>1487</v>
      </c>
      <c r="FLZ300" s="16" t="s">
        <v>1487</v>
      </c>
      <c r="FMA300" s="16" t="s">
        <v>1487</v>
      </c>
      <c r="FMB300" s="16" t="s">
        <v>1487</v>
      </c>
      <c r="FMC300" s="16" t="s">
        <v>1487</v>
      </c>
      <c r="FMD300" s="16" t="s">
        <v>1487</v>
      </c>
      <c r="FME300" s="16" t="s">
        <v>1487</v>
      </c>
      <c r="FMF300" s="16" t="s">
        <v>1487</v>
      </c>
      <c r="FMG300" s="16" t="s">
        <v>1487</v>
      </c>
      <c r="FMH300" s="16" t="s">
        <v>1487</v>
      </c>
      <c r="FMI300" s="16" t="s">
        <v>1487</v>
      </c>
      <c r="FMJ300" s="16" t="s">
        <v>1487</v>
      </c>
      <c r="FMK300" s="16" t="s">
        <v>1487</v>
      </c>
      <c r="FML300" s="16" t="s">
        <v>1487</v>
      </c>
      <c r="FMM300" s="16" t="s">
        <v>1487</v>
      </c>
      <c r="FMN300" s="16" t="s">
        <v>1487</v>
      </c>
      <c r="FMO300" s="16" t="s">
        <v>1487</v>
      </c>
      <c r="FMP300" s="16" t="s">
        <v>1487</v>
      </c>
      <c r="FMQ300" s="16" t="s">
        <v>1487</v>
      </c>
      <c r="FMR300" s="16" t="s">
        <v>1487</v>
      </c>
      <c r="FMS300" s="16" t="s">
        <v>1487</v>
      </c>
      <c r="FMT300" s="16" t="s">
        <v>1487</v>
      </c>
      <c r="FMU300" s="16" t="s">
        <v>1487</v>
      </c>
      <c r="FMV300" s="16" t="s">
        <v>1487</v>
      </c>
      <c r="FMW300" s="16" t="s">
        <v>1487</v>
      </c>
      <c r="FMX300" s="16" t="s">
        <v>1487</v>
      </c>
      <c r="FMY300" s="16" t="s">
        <v>1487</v>
      </c>
      <c r="FMZ300" s="16" t="s">
        <v>1487</v>
      </c>
      <c r="FNA300" s="16" t="s">
        <v>1487</v>
      </c>
      <c r="FNB300" s="16" t="s">
        <v>1487</v>
      </c>
      <c r="FNC300" s="16" t="s">
        <v>1487</v>
      </c>
      <c r="FND300" s="16" t="s">
        <v>1487</v>
      </c>
      <c r="FNE300" s="16" t="s">
        <v>1487</v>
      </c>
      <c r="FNF300" s="16" t="s">
        <v>1487</v>
      </c>
      <c r="FNG300" s="16" t="s">
        <v>1487</v>
      </c>
      <c r="FNH300" s="16" t="s">
        <v>1487</v>
      </c>
      <c r="FNI300" s="16" t="s">
        <v>1487</v>
      </c>
      <c r="FNJ300" s="16" t="s">
        <v>1487</v>
      </c>
      <c r="FNK300" s="16" t="s">
        <v>1487</v>
      </c>
      <c r="FNL300" s="16" t="s">
        <v>1487</v>
      </c>
      <c r="FNM300" s="16" t="s">
        <v>1487</v>
      </c>
      <c r="FNN300" s="16" t="s">
        <v>1487</v>
      </c>
      <c r="FNO300" s="16" t="s">
        <v>1487</v>
      </c>
      <c r="FNP300" s="16" t="s">
        <v>1487</v>
      </c>
      <c r="FNQ300" s="16" t="s">
        <v>1487</v>
      </c>
      <c r="FNR300" s="16" t="s">
        <v>1487</v>
      </c>
      <c r="FNS300" s="16" t="s">
        <v>1487</v>
      </c>
      <c r="FNT300" s="16" t="s">
        <v>1487</v>
      </c>
      <c r="FNU300" s="16" t="s">
        <v>1487</v>
      </c>
      <c r="FNV300" s="16" t="s">
        <v>1487</v>
      </c>
      <c r="FNW300" s="16" t="s">
        <v>1487</v>
      </c>
      <c r="FNX300" s="16" t="s">
        <v>1487</v>
      </c>
      <c r="FNY300" s="16" t="s">
        <v>1487</v>
      </c>
      <c r="FNZ300" s="16" t="s">
        <v>1487</v>
      </c>
      <c r="FOA300" s="16" t="s">
        <v>1487</v>
      </c>
      <c r="FOB300" s="16" t="s">
        <v>1487</v>
      </c>
      <c r="FOC300" s="16" t="s">
        <v>1487</v>
      </c>
      <c r="FOD300" s="16" t="s">
        <v>1487</v>
      </c>
      <c r="FOE300" s="16" t="s">
        <v>1487</v>
      </c>
      <c r="FOF300" s="16" t="s">
        <v>1487</v>
      </c>
      <c r="FOG300" s="16" t="s">
        <v>1487</v>
      </c>
      <c r="FOH300" s="16" t="s">
        <v>1487</v>
      </c>
      <c r="FOI300" s="16" t="s">
        <v>1487</v>
      </c>
      <c r="FOJ300" s="16" t="s">
        <v>1487</v>
      </c>
      <c r="FOK300" s="16" t="s">
        <v>1487</v>
      </c>
      <c r="FOL300" s="16" t="s">
        <v>1487</v>
      </c>
      <c r="FOM300" s="16" t="s">
        <v>1487</v>
      </c>
      <c r="FON300" s="16" t="s">
        <v>1487</v>
      </c>
      <c r="FOO300" s="16" t="s">
        <v>1487</v>
      </c>
      <c r="FOP300" s="16" t="s">
        <v>1487</v>
      </c>
      <c r="FOQ300" s="16" t="s">
        <v>1487</v>
      </c>
      <c r="FOR300" s="16" t="s">
        <v>1487</v>
      </c>
      <c r="FOS300" s="16" t="s">
        <v>1487</v>
      </c>
      <c r="FOT300" s="16" t="s">
        <v>1487</v>
      </c>
      <c r="FOU300" s="16" t="s">
        <v>1487</v>
      </c>
      <c r="FOV300" s="16" t="s">
        <v>1487</v>
      </c>
      <c r="FOW300" s="16" t="s">
        <v>1487</v>
      </c>
      <c r="FOX300" s="16" t="s">
        <v>1487</v>
      </c>
      <c r="FOY300" s="16" t="s">
        <v>1487</v>
      </c>
      <c r="FOZ300" s="16" t="s">
        <v>1487</v>
      </c>
      <c r="FPA300" s="16" t="s">
        <v>1487</v>
      </c>
      <c r="FPB300" s="16" t="s">
        <v>1487</v>
      </c>
      <c r="FPC300" s="16" t="s">
        <v>1487</v>
      </c>
      <c r="FPD300" s="16" t="s">
        <v>1487</v>
      </c>
      <c r="FPE300" s="16" t="s">
        <v>1487</v>
      </c>
      <c r="FPF300" s="16" t="s">
        <v>1487</v>
      </c>
      <c r="FPG300" s="16" t="s">
        <v>1487</v>
      </c>
      <c r="FPH300" s="16" t="s">
        <v>1487</v>
      </c>
      <c r="FPI300" s="16" t="s">
        <v>1487</v>
      </c>
      <c r="FPJ300" s="16" t="s">
        <v>1487</v>
      </c>
      <c r="FPK300" s="16" t="s">
        <v>1487</v>
      </c>
      <c r="FPL300" s="16" t="s">
        <v>1487</v>
      </c>
      <c r="FPM300" s="16" t="s">
        <v>1487</v>
      </c>
      <c r="FPN300" s="16" t="s">
        <v>1487</v>
      </c>
      <c r="FPO300" s="16" t="s">
        <v>1487</v>
      </c>
      <c r="FPP300" s="16" t="s">
        <v>1487</v>
      </c>
      <c r="FPQ300" s="16" t="s">
        <v>1487</v>
      </c>
      <c r="FPR300" s="16" t="s">
        <v>1487</v>
      </c>
      <c r="FPS300" s="16" t="s">
        <v>1487</v>
      </c>
      <c r="FPT300" s="16" t="s">
        <v>1487</v>
      </c>
      <c r="FPU300" s="16" t="s">
        <v>1487</v>
      </c>
      <c r="FPV300" s="16" t="s">
        <v>1487</v>
      </c>
      <c r="FPW300" s="16" t="s">
        <v>1487</v>
      </c>
      <c r="FPX300" s="16" t="s">
        <v>1487</v>
      </c>
      <c r="FPY300" s="16" t="s">
        <v>1487</v>
      </c>
      <c r="FPZ300" s="16" t="s">
        <v>1487</v>
      </c>
      <c r="FQA300" s="16" t="s">
        <v>1487</v>
      </c>
      <c r="FQB300" s="16" t="s">
        <v>1487</v>
      </c>
      <c r="FQC300" s="16" t="s">
        <v>1487</v>
      </c>
      <c r="FQD300" s="16" t="s">
        <v>1487</v>
      </c>
      <c r="FQE300" s="16" t="s">
        <v>1487</v>
      </c>
      <c r="FQF300" s="16" t="s">
        <v>1487</v>
      </c>
      <c r="FQG300" s="16" t="s">
        <v>1487</v>
      </c>
      <c r="FQH300" s="16" t="s">
        <v>1487</v>
      </c>
      <c r="FQI300" s="16" t="s">
        <v>1487</v>
      </c>
      <c r="FQJ300" s="16" t="s">
        <v>1487</v>
      </c>
      <c r="FQK300" s="16" t="s">
        <v>1487</v>
      </c>
      <c r="FQL300" s="16" t="s">
        <v>1487</v>
      </c>
      <c r="FQM300" s="16" t="s">
        <v>1487</v>
      </c>
      <c r="FQN300" s="16" t="s">
        <v>1487</v>
      </c>
      <c r="FQO300" s="16" t="s">
        <v>1487</v>
      </c>
      <c r="FQP300" s="16" t="s">
        <v>1487</v>
      </c>
      <c r="FQQ300" s="16" t="s">
        <v>1487</v>
      </c>
      <c r="FQR300" s="16" t="s">
        <v>1487</v>
      </c>
      <c r="FQS300" s="16" t="s">
        <v>1487</v>
      </c>
      <c r="FQT300" s="16" t="s">
        <v>1487</v>
      </c>
      <c r="FQU300" s="16" t="s">
        <v>1487</v>
      </c>
      <c r="FQV300" s="16" t="s">
        <v>1487</v>
      </c>
      <c r="FQW300" s="16" t="s">
        <v>1487</v>
      </c>
      <c r="FQX300" s="16" t="s">
        <v>1487</v>
      </c>
      <c r="FQY300" s="16" t="s">
        <v>1487</v>
      </c>
      <c r="FQZ300" s="16" t="s">
        <v>1487</v>
      </c>
      <c r="FRA300" s="16" t="s">
        <v>1487</v>
      </c>
      <c r="FRB300" s="16" t="s">
        <v>1487</v>
      </c>
      <c r="FRC300" s="16" t="s">
        <v>1487</v>
      </c>
      <c r="FRD300" s="16" t="s">
        <v>1487</v>
      </c>
      <c r="FRE300" s="16" t="s">
        <v>1487</v>
      </c>
      <c r="FRF300" s="16" t="s">
        <v>1487</v>
      </c>
      <c r="FRG300" s="16" t="s">
        <v>1487</v>
      </c>
      <c r="FRH300" s="16" t="s">
        <v>1487</v>
      </c>
      <c r="FRI300" s="16" t="s">
        <v>1487</v>
      </c>
      <c r="FRJ300" s="16" t="s">
        <v>1487</v>
      </c>
      <c r="FRK300" s="16" t="s">
        <v>1487</v>
      </c>
      <c r="FRL300" s="16" t="s">
        <v>1487</v>
      </c>
      <c r="FRM300" s="16" t="s">
        <v>1487</v>
      </c>
      <c r="FRN300" s="16" t="s">
        <v>1487</v>
      </c>
      <c r="FRO300" s="16" t="s">
        <v>1487</v>
      </c>
      <c r="FRP300" s="16" t="s">
        <v>1487</v>
      </c>
      <c r="FRQ300" s="16" t="s">
        <v>1487</v>
      </c>
      <c r="FRR300" s="16" t="s">
        <v>1487</v>
      </c>
      <c r="FRS300" s="16" t="s">
        <v>1487</v>
      </c>
      <c r="FRT300" s="16" t="s">
        <v>1487</v>
      </c>
      <c r="FRU300" s="16" t="s">
        <v>1487</v>
      </c>
      <c r="FRV300" s="16" t="s">
        <v>1487</v>
      </c>
      <c r="FRW300" s="16" t="s">
        <v>1487</v>
      </c>
      <c r="FRX300" s="16" t="s">
        <v>1487</v>
      </c>
      <c r="FRY300" s="16" t="s">
        <v>1487</v>
      </c>
      <c r="FRZ300" s="16" t="s">
        <v>1487</v>
      </c>
      <c r="FSA300" s="16" t="s">
        <v>1487</v>
      </c>
      <c r="FSB300" s="16" t="s">
        <v>1487</v>
      </c>
      <c r="FSC300" s="16" t="s">
        <v>1487</v>
      </c>
      <c r="FSD300" s="16" t="s">
        <v>1487</v>
      </c>
      <c r="FSE300" s="16" t="s">
        <v>1487</v>
      </c>
      <c r="FSF300" s="16" t="s">
        <v>1487</v>
      </c>
      <c r="FSG300" s="16" t="s">
        <v>1487</v>
      </c>
      <c r="FSH300" s="16" t="s">
        <v>1487</v>
      </c>
      <c r="FSI300" s="16" t="s">
        <v>1487</v>
      </c>
      <c r="FSJ300" s="16" t="s">
        <v>1487</v>
      </c>
      <c r="FSK300" s="16" t="s">
        <v>1487</v>
      </c>
      <c r="FSL300" s="16" t="s">
        <v>1487</v>
      </c>
      <c r="FSM300" s="16" t="s">
        <v>1487</v>
      </c>
      <c r="FSN300" s="16" t="s">
        <v>1487</v>
      </c>
      <c r="FSO300" s="16" t="s">
        <v>1487</v>
      </c>
      <c r="FSP300" s="16" t="s">
        <v>1487</v>
      </c>
      <c r="FSQ300" s="16" t="s">
        <v>1487</v>
      </c>
      <c r="FSR300" s="16" t="s">
        <v>1487</v>
      </c>
      <c r="FSS300" s="16" t="s">
        <v>1487</v>
      </c>
      <c r="FST300" s="16" t="s">
        <v>1487</v>
      </c>
      <c r="FSU300" s="16" t="s">
        <v>1487</v>
      </c>
      <c r="FSV300" s="16" t="s">
        <v>1487</v>
      </c>
      <c r="FSW300" s="16" t="s">
        <v>1487</v>
      </c>
      <c r="FSX300" s="16" t="s">
        <v>1487</v>
      </c>
      <c r="FSY300" s="16" t="s">
        <v>1487</v>
      </c>
      <c r="FSZ300" s="16" t="s">
        <v>1487</v>
      </c>
      <c r="FTA300" s="16" t="s">
        <v>1487</v>
      </c>
      <c r="FTB300" s="16" t="s">
        <v>1487</v>
      </c>
      <c r="FTC300" s="16" t="s">
        <v>1487</v>
      </c>
      <c r="FTD300" s="16" t="s">
        <v>1487</v>
      </c>
      <c r="FTE300" s="16" t="s">
        <v>1487</v>
      </c>
      <c r="FTF300" s="16" t="s">
        <v>1487</v>
      </c>
      <c r="FTG300" s="16" t="s">
        <v>1487</v>
      </c>
      <c r="FTH300" s="16" t="s">
        <v>1487</v>
      </c>
      <c r="FTI300" s="16" t="s">
        <v>1487</v>
      </c>
      <c r="FTJ300" s="16" t="s">
        <v>1487</v>
      </c>
      <c r="FTK300" s="16" t="s">
        <v>1487</v>
      </c>
      <c r="FTL300" s="16" t="s">
        <v>1487</v>
      </c>
      <c r="FTM300" s="16" t="s">
        <v>1487</v>
      </c>
      <c r="FTN300" s="16" t="s">
        <v>1487</v>
      </c>
      <c r="FTO300" s="16" t="s">
        <v>1487</v>
      </c>
      <c r="FTP300" s="16" t="s">
        <v>1487</v>
      </c>
      <c r="FTQ300" s="16" t="s">
        <v>1487</v>
      </c>
      <c r="FTR300" s="16" t="s">
        <v>1487</v>
      </c>
      <c r="FTS300" s="16" t="s">
        <v>1487</v>
      </c>
      <c r="FTT300" s="16" t="s">
        <v>1487</v>
      </c>
      <c r="FTU300" s="16" t="s">
        <v>1487</v>
      </c>
      <c r="FTV300" s="16" t="s">
        <v>1487</v>
      </c>
      <c r="FTW300" s="16" t="s">
        <v>1487</v>
      </c>
      <c r="FTX300" s="16" t="s">
        <v>1487</v>
      </c>
      <c r="FTY300" s="16" t="s">
        <v>1487</v>
      </c>
      <c r="FTZ300" s="16" t="s">
        <v>1487</v>
      </c>
      <c r="FUA300" s="16" t="s">
        <v>1487</v>
      </c>
      <c r="FUB300" s="16" t="s">
        <v>1487</v>
      </c>
      <c r="FUC300" s="16" t="s">
        <v>1487</v>
      </c>
      <c r="FUD300" s="16" t="s">
        <v>1487</v>
      </c>
      <c r="FUE300" s="16" t="s">
        <v>1487</v>
      </c>
      <c r="FUF300" s="16" t="s">
        <v>1487</v>
      </c>
      <c r="FUG300" s="16" t="s">
        <v>1487</v>
      </c>
      <c r="FUH300" s="16" t="s">
        <v>1487</v>
      </c>
      <c r="FUI300" s="16" t="s">
        <v>1487</v>
      </c>
      <c r="FUJ300" s="16" t="s">
        <v>1487</v>
      </c>
      <c r="FUK300" s="16" t="s">
        <v>1487</v>
      </c>
      <c r="FUL300" s="16" t="s">
        <v>1487</v>
      </c>
      <c r="FUM300" s="16" t="s">
        <v>1487</v>
      </c>
      <c r="FUN300" s="16" t="s">
        <v>1487</v>
      </c>
      <c r="FUO300" s="16" t="s">
        <v>1487</v>
      </c>
      <c r="FUP300" s="16" t="s">
        <v>1487</v>
      </c>
      <c r="FUQ300" s="16" t="s">
        <v>1487</v>
      </c>
      <c r="FUR300" s="16" t="s">
        <v>1487</v>
      </c>
      <c r="FUS300" s="16" t="s">
        <v>1487</v>
      </c>
      <c r="FUT300" s="16" t="s">
        <v>1487</v>
      </c>
      <c r="FUU300" s="16" t="s">
        <v>1487</v>
      </c>
      <c r="FUV300" s="16" t="s">
        <v>1487</v>
      </c>
      <c r="FUW300" s="16" t="s">
        <v>1487</v>
      </c>
      <c r="FUX300" s="16" t="s">
        <v>1487</v>
      </c>
      <c r="FUY300" s="16" t="s">
        <v>1487</v>
      </c>
      <c r="FUZ300" s="16" t="s">
        <v>1487</v>
      </c>
      <c r="FVA300" s="16" t="s">
        <v>1487</v>
      </c>
      <c r="FVB300" s="16" t="s">
        <v>1487</v>
      </c>
      <c r="FVC300" s="16" t="s">
        <v>1487</v>
      </c>
      <c r="FVD300" s="16" t="s">
        <v>1487</v>
      </c>
      <c r="FVE300" s="16" t="s">
        <v>1487</v>
      </c>
      <c r="FVF300" s="16" t="s">
        <v>1487</v>
      </c>
      <c r="FVG300" s="16" t="s">
        <v>1487</v>
      </c>
      <c r="FVH300" s="16" t="s">
        <v>1487</v>
      </c>
      <c r="FVI300" s="16" t="s">
        <v>1487</v>
      </c>
      <c r="FVJ300" s="16" t="s">
        <v>1487</v>
      </c>
      <c r="FVK300" s="16" t="s">
        <v>1487</v>
      </c>
      <c r="FVL300" s="16" t="s">
        <v>1487</v>
      </c>
      <c r="FVM300" s="16" t="s">
        <v>1487</v>
      </c>
      <c r="FVN300" s="16" t="s">
        <v>1487</v>
      </c>
      <c r="FVO300" s="16" t="s">
        <v>1487</v>
      </c>
      <c r="FVP300" s="16" t="s">
        <v>1487</v>
      </c>
      <c r="FVQ300" s="16" t="s">
        <v>1487</v>
      </c>
      <c r="FVR300" s="16" t="s">
        <v>1487</v>
      </c>
      <c r="FVS300" s="16" t="s">
        <v>1487</v>
      </c>
      <c r="FVT300" s="16" t="s">
        <v>1487</v>
      </c>
      <c r="FVU300" s="16" t="s">
        <v>1487</v>
      </c>
      <c r="FVV300" s="16" t="s">
        <v>1487</v>
      </c>
      <c r="FVW300" s="16" t="s">
        <v>1487</v>
      </c>
      <c r="FVX300" s="16" t="s">
        <v>1487</v>
      </c>
      <c r="FVY300" s="16" t="s">
        <v>1487</v>
      </c>
      <c r="FVZ300" s="16" t="s">
        <v>1487</v>
      </c>
      <c r="FWA300" s="16" t="s">
        <v>1487</v>
      </c>
      <c r="FWB300" s="16" t="s">
        <v>1487</v>
      </c>
      <c r="FWC300" s="16" t="s">
        <v>1487</v>
      </c>
      <c r="FWD300" s="16" t="s">
        <v>1487</v>
      </c>
      <c r="FWE300" s="16" t="s">
        <v>1487</v>
      </c>
      <c r="FWF300" s="16" t="s">
        <v>1487</v>
      </c>
      <c r="FWG300" s="16" t="s">
        <v>1487</v>
      </c>
      <c r="FWH300" s="16" t="s">
        <v>1487</v>
      </c>
      <c r="FWI300" s="16" t="s">
        <v>1487</v>
      </c>
      <c r="FWJ300" s="16" t="s">
        <v>1487</v>
      </c>
      <c r="FWK300" s="16" t="s">
        <v>1487</v>
      </c>
      <c r="FWL300" s="16" t="s">
        <v>1487</v>
      </c>
      <c r="FWM300" s="16" t="s">
        <v>1487</v>
      </c>
      <c r="FWN300" s="16" t="s">
        <v>1487</v>
      </c>
      <c r="FWO300" s="16" t="s">
        <v>1487</v>
      </c>
      <c r="FWP300" s="16" t="s">
        <v>1487</v>
      </c>
      <c r="FWQ300" s="16" t="s">
        <v>1487</v>
      </c>
      <c r="FWR300" s="16" t="s">
        <v>1487</v>
      </c>
      <c r="FWS300" s="16" t="s">
        <v>1487</v>
      </c>
      <c r="FWT300" s="16" t="s">
        <v>1487</v>
      </c>
      <c r="FWU300" s="16" t="s">
        <v>1487</v>
      </c>
      <c r="FWV300" s="16" t="s">
        <v>1487</v>
      </c>
      <c r="FWW300" s="16" t="s">
        <v>1487</v>
      </c>
      <c r="FWX300" s="16" t="s">
        <v>1487</v>
      </c>
      <c r="FWY300" s="16" t="s">
        <v>1487</v>
      </c>
      <c r="FWZ300" s="16" t="s">
        <v>1487</v>
      </c>
      <c r="FXA300" s="16" t="s">
        <v>1487</v>
      </c>
      <c r="FXB300" s="16" t="s">
        <v>1487</v>
      </c>
      <c r="FXC300" s="16" t="s">
        <v>1487</v>
      </c>
      <c r="FXD300" s="16" t="s">
        <v>1487</v>
      </c>
      <c r="FXE300" s="16" t="s">
        <v>1487</v>
      </c>
      <c r="FXF300" s="16" t="s">
        <v>1487</v>
      </c>
      <c r="FXG300" s="16" t="s">
        <v>1487</v>
      </c>
      <c r="FXH300" s="16" t="s">
        <v>1487</v>
      </c>
      <c r="FXI300" s="16" t="s">
        <v>1487</v>
      </c>
      <c r="FXJ300" s="16" t="s">
        <v>1487</v>
      </c>
      <c r="FXK300" s="16" t="s">
        <v>1487</v>
      </c>
      <c r="FXL300" s="16" t="s">
        <v>1487</v>
      </c>
      <c r="FXM300" s="16" t="s">
        <v>1487</v>
      </c>
      <c r="FXN300" s="16" t="s">
        <v>1487</v>
      </c>
      <c r="FXO300" s="16" t="s">
        <v>1487</v>
      </c>
      <c r="FXP300" s="16" t="s">
        <v>1487</v>
      </c>
      <c r="FXQ300" s="16" t="s">
        <v>1487</v>
      </c>
      <c r="FXR300" s="16" t="s">
        <v>1487</v>
      </c>
      <c r="FXS300" s="16" t="s">
        <v>1487</v>
      </c>
      <c r="FXT300" s="16" t="s">
        <v>1487</v>
      </c>
      <c r="FXU300" s="16" t="s">
        <v>1487</v>
      </c>
      <c r="FXV300" s="16" t="s">
        <v>1487</v>
      </c>
      <c r="FXW300" s="16" t="s">
        <v>1487</v>
      </c>
      <c r="FXX300" s="16" t="s">
        <v>1487</v>
      </c>
      <c r="FXY300" s="16" t="s">
        <v>1487</v>
      </c>
      <c r="FXZ300" s="16" t="s">
        <v>1487</v>
      </c>
      <c r="FYA300" s="16" t="s">
        <v>1487</v>
      </c>
      <c r="FYB300" s="16" t="s">
        <v>1487</v>
      </c>
      <c r="FYC300" s="16" t="s">
        <v>1487</v>
      </c>
      <c r="FYD300" s="16" t="s">
        <v>1487</v>
      </c>
      <c r="FYE300" s="16" t="s">
        <v>1487</v>
      </c>
      <c r="FYF300" s="16" t="s">
        <v>1487</v>
      </c>
      <c r="FYG300" s="16" t="s">
        <v>1487</v>
      </c>
      <c r="FYH300" s="16" t="s">
        <v>1487</v>
      </c>
      <c r="FYI300" s="16" t="s">
        <v>1487</v>
      </c>
      <c r="FYJ300" s="16" t="s">
        <v>1487</v>
      </c>
      <c r="FYK300" s="16" t="s">
        <v>1487</v>
      </c>
      <c r="FYL300" s="16" t="s">
        <v>1487</v>
      </c>
      <c r="FYM300" s="16" t="s">
        <v>1487</v>
      </c>
      <c r="FYN300" s="16" t="s">
        <v>1487</v>
      </c>
      <c r="FYO300" s="16" t="s">
        <v>1487</v>
      </c>
      <c r="FYP300" s="16" t="s">
        <v>1487</v>
      </c>
      <c r="FYQ300" s="16" t="s">
        <v>1487</v>
      </c>
      <c r="FYR300" s="16" t="s">
        <v>1487</v>
      </c>
      <c r="FYS300" s="16" t="s">
        <v>1487</v>
      </c>
      <c r="FYT300" s="16" t="s">
        <v>1487</v>
      </c>
      <c r="FYU300" s="16" t="s">
        <v>1487</v>
      </c>
      <c r="FYV300" s="16" t="s">
        <v>1487</v>
      </c>
      <c r="FYW300" s="16" t="s">
        <v>1487</v>
      </c>
      <c r="FYX300" s="16" t="s">
        <v>1487</v>
      </c>
      <c r="FYY300" s="16" t="s">
        <v>1487</v>
      </c>
      <c r="FYZ300" s="16" t="s">
        <v>1487</v>
      </c>
      <c r="FZA300" s="16" t="s">
        <v>1487</v>
      </c>
      <c r="FZB300" s="16" t="s">
        <v>1487</v>
      </c>
      <c r="FZC300" s="16" t="s">
        <v>1487</v>
      </c>
      <c r="FZD300" s="16" t="s">
        <v>1487</v>
      </c>
      <c r="FZE300" s="16" t="s">
        <v>1487</v>
      </c>
      <c r="FZF300" s="16" t="s">
        <v>1487</v>
      </c>
      <c r="FZG300" s="16" t="s">
        <v>1487</v>
      </c>
      <c r="FZH300" s="16" t="s">
        <v>1487</v>
      </c>
      <c r="FZI300" s="16" t="s">
        <v>1487</v>
      </c>
      <c r="FZJ300" s="16" t="s">
        <v>1487</v>
      </c>
      <c r="FZK300" s="16" t="s">
        <v>1487</v>
      </c>
      <c r="FZL300" s="16" t="s">
        <v>1487</v>
      </c>
      <c r="FZM300" s="16" t="s">
        <v>1487</v>
      </c>
      <c r="FZN300" s="16" t="s">
        <v>1487</v>
      </c>
      <c r="FZO300" s="16" t="s">
        <v>1487</v>
      </c>
      <c r="FZP300" s="16" t="s">
        <v>1487</v>
      </c>
      <c r="FZQ300" s="16" t="s">
        <v>1487</v>
      </c>
      <c r="FZR300" s="16" t="s">
        <v>1487</v>
      </c>
      <c r="FZS300" s="16" t="s">
        <v>1487</v>
      </c>
      <c r="FZT300" s="16" t="s">
        <v>1487</v>
      </c>
      <c r="FZU300" s="16" t="s">
        <v>1487</v>
      </c>
      <c r="FZV300" s="16" t="s">
        <v>1487</v>
      </c>
      <c r="FZW300" s="16" t="s">
        <v>1487</v>
      </c>
      <c r="FZX300" s="16" t="s">
        <v>1487</v>
      </c>
      <c r="FZY300" s="16" t="s">
        <v>1487</v>
      </c>
      <c r="FZZ300" s="16" t="s">
        <v>1487</v>
      </c>
      <c r="GAA300" s="16" t="s">
        <v>1487</v>
      </c>
      <c r="GAB300" s="16" t="s">
        <v>1487</v>
      </c>
      <c r="GAC300" s="16" t="s">
        <v>1487</v>
      </c>
      <c r="GAD300" s="16" t="s">
        <v>1487</v>
      </c>
      <c r="GAE300" s="16" t="s">
        <v>1487</v>
      </c>
      <c r="GAF300" s="16" t="s">
        <v>1487</v>
      </c>
      <c r="GAG300" s="16" t="s">
        <v>1487</v>
      </c>
      <c r="GAH300" s="16" t="s">
        <v>1487</v>
      </c>
      <c r="GAI300" s="16" t="s">
        <v>1487</v>
      </c>
      <c r="GAJ300" s="16" t="s">
        <v>1487</v>
      </c>
      <c r="GAK300" s="16" t="s">
        <v>1487</v>
      </c>
      <c r="GAL300" s="16" t="s">
        <v>1487</v>
      </c>
      <c r="GAM300" s="16" t="s">
        <v>1487</v>
      </c>
      <c r="GAN300" s="16" t="s">
        <v>1487</v>
      </c>
      <c r="GAO300" s="16" t="s">
        <v>1487</v>
      </c>
      <c r="GAP300" s="16" t="s">
        <v>1487</v>
      </c>
      <c r="GAQ300" s="16" t="s">
        <v>1487</v>
      </c>
      <c r="GAR300" s="16" t="s">
        <v>1487</v>
      </c>
      <c r="GAS300" s="16" t="s">
        <v>1487</v>
      </c>
      <c r="GAT300" s="16" t="s">
        <v>1487</v>
      </c>
      <c r="GAU300" s="16" t="s">
        <v>1487</v>
      </c>
      <c r="GAV300" s="16" t="s">
        <v>1487</v>
      </c>
      <c r="GAW300" s="16" t="s">
        <v>1487</v>
      </c>
      <c r="GAX300" s="16" t="s">
        <v>1487</v>
      </c>
      <c r="GAY300" s="16" t="s">
        <v>1487</v>
      </c>
      <c r="GAZ300" s="16" t="s">
        <v>1487</v>
      </c>
      <c r="GBA300" s="16" t="s">
        <v>1487</v>
      </c>
      <c r="GBB300" s="16" t="s">
        <v>1487</v>
      </c>
      <c r="GBC300" s="16" t="s">
        <v>1487</v>
      </c>
      <c r="GBD300" s="16" t="s">
        <v>1487</v>
      </c>
      <c r="GBE300" s="16" t="s">
        <v>1487</v>
      </c>
      <c r="GBF300" s="16" t="s">
        <v>1487</v>
      </c>
      <c r="GBG300" s="16" t="s">
        <v>1487</v>
      </c>
      <c r="GBH300" s="16" t="s">
        <v>1487</v>
      </c>
      <c r="GBI300" s="16" t="s">
        <v>1487</v>
      </c>
      <c r="GBJ300" s="16" t="s">
        <v>1487</v>
      </c>
      <c r="GBK300" s="16" t="s">
        <v>1487</v>
      </c>
      <c r="GBL300" s="16" t="s">
        <v>1487</v>
      </c>
      <c r="GBM300" s="16" t="s">
        <v>1487</v>
      </c>
      <c r="GBN300" s="16" t="s">
        <v>1487</v>
      </c>
      <c r="GBO300" s="16" t="s">
        <v>1487</v>
      </c>
      <c r="GBP300" s="16" t="s">
        <v>1487</v>
      </c>
      <c r="GBQ300" s="16" t="s">
        <v>1487</v>
      </c>
      <c r="GBR300" s="16" t="s">
        <v>1487</v>
      </c>
      <c r="GBS300" s="16" t="s">
        <v>1487</v>
      </c>
      <c r="GBT300" s="16" t="s">
        <v>1487</v>
      </c>
      <c r="GBU300" s="16" t="s">
        <v>1487</v>
      </c>
      <c r="GBV300" s="16" t="s">
        <v>1487</v>
      </c>
      <c r="GBW300" s="16" t="s">
        <v>1487</v>
      </c>
      <c r="GBX300" s="16" t="s">
        <v>1487</v>
      </c>
      <c r="GBY300" s="16" t="s">
        <v>1487</v>
      </c>
      <c r="GBZ300" s="16" t="s">
        <v>1487</v>
      </c>
      <c r="GCA300" s="16" t="s">
        <v>1487</v>
      </c>
      <c r="GCB300" s="16" t="s">
        <v>1487</v>
      </c>
      <c r="GCC300" s="16" t="s">
        <v>1487</v>
      </c>
      <c r="GCD300" s="16" t="s">
        <v>1487</v>
      </c>
      <c r="GCE300" s="16" t="s">
        <v>1487</v>
      </c>
      <c r="GCF300" s="16" t="s">
        <v>1487</v>
      </c>
      <c r="GCG300" s="16" t="s">
        <v>1487</v>
      </c>
      <c r="GCH300" s="16" t="s">
        <v>1487</v>
      </c>
      <c r="GCI300" s="16" t="s">
        <v>1487</v>
      </c>
      <c r="GCJ300" s="16" t="s">
        <v>1487</v>
      </c>
      <c r="GCK300" s="16" t="s">
        <v>1487</v>
      </c>
      <c r="GCL300" s="16" t="s">
        <v>1487</v>
      </c>
      <c r="GCM300" s="16" t="s">
        <v>1487</v>
      </c>
      <c r="GCN300" s="16" t="s">
        <v>1487</v>
      </c>
      <c r="GCO300" s="16" t="s">
        <v>1487</v>
      </c>
      <c r="GCP300" s="16" t="s">
        <v>1487</v>
      </c>
      <c r="GCQ300" s="16" t="s">
        <v>1487</v>
      </c>
      <c r="GCR300" s="16" t="s">
        <v>1487</v>
      </c>
      <c r="GCS300" s="16" t="s">
        <v>1487</v>
      </c>
      <c r="GCT300" s="16" t="s">
        <v>1487</v>
      </c>
      <c r="GCU300" s="16" t="s">
        <v>1487</v>
      </c>
      <c r="GCV300" s="16" t="s">
        <v>1487</v>
      </c>
      <c r="GCW300" s="16" t="s">
        <v>1487</v>
      </c>
      <c r="GCX300" s="16" t="s">
        <v>1487</v>
      </c>
      <c r="GCY300" s="16" t="s">
        <v>1487</v>
      </c>
      <c r="GCZ300" s="16" t="s">
        <v>1487</v>
      </c>
      <c r="GDA300" s="16" t="s">
        <v>1487</v>
      </c>
      <c r="GDB300" s="16" t="s">
        <v>1487</v>
      </c>
      <c r="GDC300" s="16" t="s">
        <v>1487</v>
      </c>
      <c r="GDD300" s="16" t="s">
        <v>1487</v>
      </c>
      <c r="GDE300" s="16" t="s">
        <v>1487</v>
      </c>
      <c r="GDF300" s="16" t="s">
        <v>1487</v>
      </c>
      <c r="GDG300" s="16" t="s">
        <v>1487</v>
      </c>
      <c r="GDH300" s="16" t="s">
        <v>1487</v>
      </c>
      <c r="GDI300" s="16" t="s">
        <v>1487</v>
      </c>
      <c r="GDJ300" s="16" t="s">
        <v>1487</v>
      </c>
      <c r="GDK300" s="16" t="s">
        <v>1487</v>
      </c>
      <c r="GDL300" s="16" t="s">
        <v>1487</v>
      </c>
      <c r="GDM300" s="16" t="s">
        <v>1487</v>
      </c>
      <c r="GDN300" s="16" t="s">
        <v>1487</v>
      </c>
      <c r="GDO300" s="16" t="s">
        <v>1487</v>
      </c>
      <c r="GDP300" s="16" t="s">
        <v>1487</v>
      </c>
      <c r="GDQ300" s="16" t="s">
        <v>1487</v>
      </c>
      <c r="GDR300" s="16" t="s">
        <v>1487</v>
      </c>
      <c r="GDS300" s="16" t="s">
        <v>1487</v>
      </c>
      <c r="GDT300" s="16" t="s">
        <v>1487</v>
      </c>
      <c r="GDU300" s="16" t="s">
        <v>1487</v>
      </c>
      <c r="GDV300" s="16" t="s">
        <v>1487</v>
      </c>
      <c r="GDW300" s="16" t="s">
        <v>1487</v>
      </c>
      <c r="GDX300" s="16" t="s">
        <v>1487</v>
      </c>
      <c r="GDY300" s="16" t="s">
        <v>1487</v>
      </c>
      <c r="GDZ300" s="16" t="s">
        <v>1487</v>
      </c>
      <c r="GEA300" s="16" t="s">
        <v>1487</v>
      </c>
      <c r="GEB300" s="16" t="s">
        <v>1487</v>
      </c>
      <c r="GEC300" s="16" t="s">
        <v>1487</v>
      </c>
      <c r="GED300" s="16" t="s">
        <v>1487</v>
      </c>
      <c r="GEE300" s="16" t="s">
        <v>1487</v>
      </c>
      <c r="GEF300" s="16" t="s">
        <v>1487</v>
      </c>
      <c r="GEG300" s="16" t="s">
        <v>1487</v>
      </c>
      <c r="GEH300" s="16" t="s">
        <v>1487</v>
      </c>
      <c r="GEI300" s="16" t="s">
        <v>1487</v>
      </c>
      <c r="GEJ300" s="16" t="s">
        <v>1487</v>
      </c>
      <c r="GEK300" s="16" t="s">
        <v>1487</v>
      </c>
      <c r="GEL300" s="16" t="s">
        <v>1487</v>
      </c>
      <c r="GEM300" s="16" t="s">
        <v>1487</v>
      </c>
      <c r="GEN300" s="16" t="s">
        <v>1487</v>
      </c>
      <c r="GEO300" s="16" t="s">
        <v>1487</v>
      </c>
      <c r="GEP300" s="16" t="s">
        <v>1487</v>
      </c>
      <c r="GEQ300" s="16" t="s">
        <v>1487</v>
      </c>
      <c r="GER300" s="16" t="s">
        <v>1487</v>
      </c>
      <c r="GES300" s="16" t="s">
        <v>1487</v>
      </c>
      <c r="GET300" s="16" t="s">
        <v>1487</v>
      </c>
      <c r="GEU300" s="16" t="s">
        <v>1487</v>
      </c>
      <c r="GEV300" s="16" t="s">
        <v>1487</v>
      </c>
      <c r="GEW300" s="16" t="s">
        <v>1487</v>
      </c>
      <c r="GEX300" s="16" t="s">
        <v>1487</v>
      </c>
      <c r="GEY300" s="16" t="s">
        <v>1487</v>
      </c>
      <c r="GEZ300" s="16" t="s">
        <v>1487</v>
      </c>
      <c r="GFA300" s="16" t="s">
        <v>1487</v>
      </c>
      <c r="GFB300" s="16" t="s">
        <v>1487</v>
      </c>
      <c r="GFC300" s="16" t="s">
        <v>1487</v>
      </c>
      <c r="GFD300" s="16" t="s">
        <v>1487</v>
      </c>
      <c r="GFE300" s="16" t="s">
        <v>1487</v>
      </c>
      <c r="GFF300" s="16" t="s">
        <v>1487</v>
      </c>
      <c r="GFG300" s="16" t="s">
        <v>1487</v>
      </c>
      <c r="GFH300" s="16" t="s">
        <v>1487</v>
      </c>
      <c r="GFI300" s="16" t="s">
        <v>1487</v>
      </c>
      <c r="GFJ300" s="16" t="s">
        <v>1487</v>
      </c>
      <c r="GFK300" s="16" t="s">
        <v>1487</v>
      </c>
      <c r="GFL300" s="16" t="s">
        <v>1487</v>
      </c>
      <c r="GFM300" s="16" t="s">
        <v>1487</v>
      </c>
      <c r="GFN300" s="16" t="s">
        <v>1487</v>
      </c>
      <c r="GFO300" s="16" t="s">
        <v>1487</v>
      </c>
      <c r="GFP300" s="16" t="s">
        <v>1487</v>
      </c>
      <c r="GFQ300" s="16" t="s">
        <v>1487</v>
      </c>
      <c r="GFR300" s="16" t="s">
        <v>1487</v>
      </c>
      <c r="GFS300" s="16" t="s">
        <v>1487</v>
      </c>
      <c r="GFT300" s="16" t="s">
        <v>1487</v>
      </c>
      <c r="GFU300" s="16" t="s">
        <v>1487</v>
      </c>
      <c r="GFV300" s="16" t="s">
        <v>1487</v>
      </c>
      <c r="GFW300" s="16" t="s">
        <v>1487</v>
      </c>
      <c r="GFX300" s="16" t="s">
        <v>1487</v>
      </c>
      <c r="GFY300" s="16" t="s">
        <v>1487</v>
      </c>
      <c r="GFZ300" s="16" t="s">
        <v>1487</v>
      </c>
      <c r="GGA300" s="16" t="s">
        <v>1487</v>
      </c>
      <c r="GGB300" s="16" t="s">
        <v>1487</v>
      </c>
      <c r="GGC300" s="16" t="s">
        <v>1487</v>
      </c>
      <c r="GGD300" s="16" t="s">
        <v>1487</v>
      </c>
      <c r="GGE300" s="16" t="s">
        <v>1487</v>
      </c>
      <c r="GGF300" s="16" t="s">
        <v>1487</v>
      </c>
      <c r="GGG300" s="16" t="s">
        <v>1487</v>
      </c>
      <c r="GGH300" s="16" t="s">
        <v>1487</v>
      </c>
      <c r="GGI300" s="16" t="s">
        <v>1487</v>
      </c>
      <c r="GGJ300" s="16" t="s">
        <v>1487</v>
      </c>
      <c r="GGK300" s="16" t="s">
        <v>1487</v>
      </c>
      <c r="GGL300" s="16" t="s">
        <v>1487</v>
      </c>
      <c r="GGM300" s="16" t="s">
        <v>1487</v>
      </c>
      <c r="GGN300" s="16" t="s">
        <v>1487</v>
      </c>
      <c r="GGO300" s="16" t="s">
        <v>1487</v>
      </c>
      <c r="GGP300" s="16" t="s">
        <v>1487</v>
      </c>
      <c r="GGQ300" s="16" t="s">
        <v>1487</v>
      </c>
      <c r="GGR300" s="16" t="s">
        <v>1487</v>
      </c>
      <c r="GGS300" s="16" t="s">
        <v>1487</v>
      </c>
      <c r="GGT300" s="16" t="s">
        <v>1487</v>
      </c>
      <c r="GGU300" s="16" t="s">
        <v>1487</v>
      </c>
      <c r="GGV300" s="16" t="s">
        <v>1487</v>
      </c>
      <c r="GGW300" s="16" t="s">
        <v>1487</v>
      </c>
      <c r="GGX300" s="16" t="s">
        <v>1487</v>
      </c>
      <c r="GGY300" s="16" t="s">
        <v>1487</v>
      </c>
      <c r="GGZ300" s="16" t="s">
        <v>1487</v>
      </c>
      <c r="GHA300" s="16" t="s">
        <v>1487</v>
      </c>
      <c r="GHB300" s="16" t="s">
        <v>1487</v>
      </c>
      <c r="GHC300" s="16" t="s">
        <v>1487</v>
      </c>
      <c r="GHD300" s="16" t="s">
        <v>1487</v>
      </c>
      <c r="GHE300" s="16" t="s">
        <v>1487</v>
      </c>
      <c r="GHF300" s="16" t="s">
        <v>1487</v>
      </c>
      <c r="GHG300" s="16" t="s">
        <v>1487</v>
      </c>
      <c r="GHH300" s="16" t="s">
        <v>1487</v>
      </c>
      <c r="GHI300" s="16" t="s">
        <v>1487</v>
      </c>
      <c r="GHJ300" s="16" t="s">
        <v>1487</v>
      </c>
      <c r="GHK300" s="16" t="s">
        <v>1487</v>
      </c>
      <c r="GHL300" s="16" t="s">
        <v>1487</v>
      </c>
      <c r="GHM300" s="16" t="s">
        <v>1487</v>
      </c>
      <c r="GHN300" s="16" t="s">
        <v>1487</v>
      </c>
      <c r="GHO300" s="16" t="s">
        <v>1487</v>
      </c>
      <c r="GHP300" s="16" t="s">
        <v>1487</v>
      </c>
      <c r="GHQ300" s="16" t="s">
        <v>1487</v>
      </c>
      <c r="GHR300" s="16" t="s">
        <v>1487</v>
      </c>
      <c r="GHS300" s="16" t="s">
        <v>1487</v>
      </c>
      <c r="GHT300" s="16" t="s">
        <v>1487</v>
      </c>
      <c r="GHU300" s="16" t="s">
        <v>1487</v>
      </c>
      <c r="GHV300" s="16" t="s">
        <v>1487</v>
      </c>
      <c r="GHW300" s="16" t="s">
        <v>1487</v>
      </c>
      <c r="GHX300" s="16" t="s">
        <v>1487</v>
      </c>
      <c r="GHY300" s="16" t="s">
        <v>1487</v>
      </c>
      <c r="GHZ300" s="16" t="s">
        <v>1487</v>
      </c>
      <c r="GIA300" s="16" t="s">
        <v>1487</v>
      </c>
      <c r="GIB300" s="16" t="s">
        <v>1487</v>
      </c>
      <c r="GIC300" s="16" t="s">
        <v>1487</v>
      </c>
      <c r="GID300" s="16" t="s">
        <v>1487</v>
      </c>
      <c r="GIE300" s="16" t="s">
        <v>1487</v>
      </c>
      <c r="GIF300" s="16" t="s">
        <v>1487</v>
      </c>
      <c r="GIG300" s="16" t="s">
        <v>1487</v>
      </c>
      <c r="GIH300" s="16" t="s">
        <v>1487</v>
      </c>
      <c r="GII300" s="16" t="s">
        <v>1487</v>
      </c>
      <c r="GIJ300" s="16" t="s">
        <v>1487</v>
      </c>
      <c r="GIK300" s="16" t="s">
        <v>1487</v>
      </c>
      <c r="GIL300" s="16" t="s">
        <v>1487</v>
      </c>
      <c r="GIM300" s="16" t="s">
        <v>1487</v>
      </c>
      <c r="GIN300" s="16" t="s">
        <v>1487</v>
      </c>
      <c r="GIO300" s="16" t="s">
        <v>1487</v>
      </c>
      <c r="GIP300" s="16" t="s">
        <v>1487</v>
      </c>
      <c r="GIQ300" s="16" t="s">
        <v>1487</v>
      </c>
      <c r="GIR300" s="16" t="s">
        <v>1487</v>
      </c>
      <c r="GIS300" s="16" t="s">
        <v>1487</v>
      </c>
      <c r="GIT300" s="16" t="s">
        <v>1487</v>
      </c>
      <c r="GIU300" s="16" t="s">
        <v>1487</v>
      </c>
      <c r="GIV300" s="16" t="s">
        <v>1487</v>
      </c>
      <c r="GIW300" s="16" t="s">
        <v>1487</v>
      </c>
      <c r="GIX300" s="16" t="s">
        <v>1487</v>
      </c>
      <c r="GIY300" s="16" t="s">
        <v>1487</v>
      </c>
      <c r="GIZ300" s="16" t="s">
        <v>1487</v>
      </c>
      <c r="GJA300" s="16" t="s">
        <v>1487</v>
      </c>
      <c r="GJB300" s="16" t="s">
        <v>1487</v>
      </c>
      <c r="GJC300" s="16" t="s">
        <v>1487</v>
      </c>
      <c r="GJD300" s="16" t="s">
        <v>1487</v>
      </c>
      <c r="GJE300" s="16" t="s">
        <v>1487</v>
      </c>
      <c r="GJF300" s="16" t="s">
        <v>1487</v>
      </c>
      <c r="GJG300" s="16" t="s">
        <v>1487</v>
      </c>
      <c r="GJH300" s="16" t="s">
        <v>1487</v>
      </c>
      <c r="GJI300" s="16" t="s">
        <v>1487</v>
      </c>
      <c r="GJJ300" s="16" t="s">
        <v>1487</v>
      </c>
      <c r="GJK300" s="16" t="s">
        <v>1487</v>
      </c>
      <c r="GJL300" s="16" t="s">
        <v>1487</v>
      </c>
      <c r="GJM300" s="16" t="s">
        <v>1487</v>
      </c>
      <c r="GJN300" s="16" t="s">
        <v>1487</v>
      </c>
      <c r="GJO300" s="16" t="s">
        <v>1487</v>
      </c>
      <c r="GJP300" s="16" t="s">
        <v>1487</v>
      </c>
      <c r="GJQ300" s="16" t="s">
        <v>1487</v>
      </c>
      <c r="GJR300" s="16" t="s">
        <v>1487</v>
      </c>
      <c r="GJS300" s="16" t="s">
        <v>1487</v>
      </c>
      <c r="GJT300" s="16" t="s">
        <v>1487</v>
      </c>
      <c r="GJU300" s="16" t="s">
        <v>1487</v>
      </c>
      <c r="GJV300" s="16" t="s">
        <v>1487</v>
      </c>
      <c r="GJW300" s="16" t="s">
        <v>1487</v>
      </c>
      <c r="GJX300" s="16" t="s">
        <v>1487</v>
      </c>
      <c r="GJY300" s="16" t="s">
        <v>1487</v>
      </c>
      <c r="GJZ300" s="16" t="s">
        <v>1487</v>
      </c>
      <c r="GKA300" s="16" t="s">
        <v>1487</v>
      </c>
      <c r="GKB300" s="16" t="s">
        <v>1487</v>
      </c>
      <c r="GKC300" s="16" t="s">
        <v>1487</v>
      </c>
      <c r="GKD300" s="16" t="s">
        <v>1487</v>
      </c>
      <c r="GKE300" s="16" t="s">
        <v>1487</v>
      </c>
      <c r="GKF300" s="16" t="s">
        <v>1487</v>
      </c>
      <c r="GKG300" s="16" t="s">
        <v>1487</v>
      </c>
      <c r="GKH300" s="16" t="s">
        <v>1487</v>
      </c>
      <c r="GKI300" s="16" t="s">
        <v>1487</v>
      </c>
      <c r="GKJ300" s="16" t="s">
        <v>1487</v>
      </c>
      <c r="GKK300" s="16" t="s">
        <v>1487</v>
      </c>
      <c r="GKL300" s="16" t="s">
        <v>1487</v>
      </c>
      <c r="GKM300" s="16" t="s">
        <v>1487</v>
      </c>
      <c r="GKN300" s="16" t="s">
        <v>1487</v>
      </c>
      <c r="GKO300" s="16" t="s">
        <v>1487</v>
      </c>
      <c r="GKP300" s="16" t="s">
        <v>1487</v>
      </c>
      <c r="GKQ300" s="16" t="s">
        <v>1487</v>
      </c>
      <c r="GKR300" s="16" t="s">
        <v>1487</v>
      </c>
      <c r="GKS300" s="16" t="s">
        <v>1487</v>
      </c>
      <c r="GKT300" s="16" t="s">
        <v>1487</v>
      </c>
      <c r="GKU300" s="16" t="s">
        <v>1487</v>
      </c>
      <c r="GKV300" s="16" t="s">
        <v>1487</v>
      </c>
      <c r="GKW300" s="16" t="s">
        <v>1487</v>
      </c>
      <c r="GKX300" s="16" t="s">
        <v>1487</v>
      </c>
      <c r="GKY300" s="16" t="s">
        <v>1487</v>
      </c>
      <c r="GKZ300" s="16" t="s">
        <v>1487</v>
      </c>
      <c r="GLA300" s="16" t="s">
        <v>1487</v>
      </c>
      <c r="GLB300" s="16" t="s">
        <v>1487</v>
      </c>
      <c r="GLC300" s="16" t="s">
        <v>1487</v>
      </c>
      <c r="GLD300" s="16" t="s">
        <v>1487</v>
      </c>
      <c r="GLE300" s="16" t="s">
        <v>1487</v>
      </c>
      <c r="GLF300" s="16" t="s">
        <v>1487</v>
      </c>
      <c r="GLG300" s="16" t="s">
        <v>1487</v>
      </c>
      <c r="GLH300" s="16" t="s">
        <v>1487</v>
      </c>
      <c r="GLI300" s="16" t="s">
        <v>1487</v>
      </c>
      <c r="GLJ300" s="16" t="s">
        <v>1487</v>
      </c>
      <c r="GLK300" s="16" t="s">
        <v>1487</v>
      </c>
      <c r="GLL300" s="16" t="s">
        <v>1487</v>
      </c>
      <c r="GLM300" s="16" t="s">
        <v>1487</v>
      </c>
      <c r="GLN300" s="16" t="s">
        <v>1487</v>
      </c>
      <c r="GLO300" s="16" t="s">
        <v>1487</v>
      </c>
      <c r="GLP300" s="16" t="s">
        <v>1487</v>
      </c>
      <c r="GLQ300" s="16" t="s">
        <v>1487</v>
      </c>
      <c r="GLR300" s="16" t="s">
        <v>1487</v>
      </c>
      <c r="GLS300" s="16" t="s">
        <v>1487</v>
      </c>
      <c r="GLT300" s="16" t="s">
        <v>1487</v>
      </c>
      <c r="GLU300" s="16" t="s">
        <v>1487</v>
      </c>
      <c r="GLV300" s="16" t="s">
        <v>1487</v>
      </c>
      <c r="GLW300" s="16" t="s">
        <v>1487</v>
      </c>
      <c r="GLX300" s="16" t="s">
        <v>1487</v>
      </c>
      <c r="GLY300" s="16" t="s">
        <v>1487</v>
      </c>
      <c r="GLZ300" s="16" t="s">
        <v>1487</v>
      </c>
      <c r="GMA300" s="16" t="s">
        <v>1487</v>
      </c>
      <c r="GMB300" s="16" t="s">
        <v>1487</v>
      </c>
      <c r="GMC300" s="16" t="s">
        <v>1487</v>
      </c>
      <c r="GMD300" s="16" t="s">
        <v>1487</v>
      </c>
      <c r="GME300" s="16" t="s">
        <v>1487</v>
      </c>
      <c r="GMF300" s="16" t="s">
        <v>1487</v>
      </c>
      <c r="GMG300" s="16" t="s">
        <v>1487</v>
      </c>
      <c r="GMH300" s="16" t="s">
        <v>1487</v>
      </c>
      <c r="GMI300" s="16" t="s">
        <v>1487</v>
      </c>
      <c r="GMJ300" s="16" t="s">
        <v>1487</v>
      </c>
      <c r="GMK300" s="16" t="s">
        <v>1487</v>
      </c>
      <c r="GML300" s="16" t="s">
        <v>1487</v>
      </c>
      <c r="GMM300" s="16" t="s">
        <v>1487</v>
      </c>
      <c r="GMN300" s="16" t="s">
        <v>1487</v>
      </c>
      <c r="GMO300" s="16" t="s">
        <v>1487</v>
      </c>
      <c r="GMP300" s="16" t="s">
        <v>1487</v>
      </c>
      <c r="GMQ300" s="16" t="s">
        <v>1487</v>
      </c>
      <c r="GMR300" s="16" t="s">
        <v>1487</v>
      </c>
      <c r="GMS300" s="16" t="s">
        <v>1487</v>
      </c>
      <c r="GMT300" s="16" t="s">
        <v>1487</v>
      </c>
      <c r="GMU300" s="16" t="s">
        <v>1487</v>
      </c>
      <c r="GMV300" s="16" t="s">
        <v>1487</v>
      </c>
      <c r="GMW300" s="16" t="s">
        <v>1487</v>
      </c>
      <c r="GMX300" s="16" t="s">
        <v>1487</v>
      </c>
      <c r="GMY300" s="16" t="s">
        <v>1487</v>
      </c>
      <c r="GMZ300" s="16" t="s">
        <v>1487</v>
      </c>
      <c r="GNA300" s="16" t="s">
        <v>1487</v>
      </c>
      <c r="GNB300" s="16" t="s">
        <v>1487</v>
      </c>
      <c r="GNC300" s="16" t="s">
        <v>1487</v>
      </c>
      <c r="GND300" s="16" t="s">
        <v>1487</v>
      </c>
      <c r="GNE300" s="16" t="s">
        <v>1487</v>
      </c>
      <c r="GNF300" s="16" t="s">
        <v>1487</v>
      </c>
      <c r="GNG300" s="16" t="s">
        <v>1487</v>
      </c>
      <c r="GNH300" s="16" t="s">
        <v>1487</v>
      </c>
      <c r="GNI300" s="16" t="s">
        <v>1487</v>
      </c>
      <c r="GNJ300" s="16" t="s">
        <v>1487</v>
      </c>
      <c r="GNK300" s="16" t="s">
        <v>1487</v>
      </c>
      <c r="GNL300" s="16" t="s">
        <v>1487</v>
      </c>
      <c r="GNM300" s="16" t="s">
        <v>1487</v>
      </c>
      <c r="GNN300" s="16" t="s">
        <v>1487</v>
      </c>
      <c r="GNO300" s="16" t="s">
        <v>1487</v>
      </c>
      <c r="GNP300" s="16" t="s">
        <v>1487</v>
      </c>
      <c r="GNQ300" s="16" t="s">
        <v>1487</v>
      </c>
      <c r="GNR300" s="16" t="s">
        <v>1487</v>
      </c>
      <c r="GNS300" s="16" t="s">
        <v>1487</v>
      </c>
      <c r="GNT300" s="16" t="s">
        <v>1487</v>
      </c>
      <c r="GNU300" s="16" t="s">
        <v>1487</v>
      </c>
      <c r="GNV300" s="16" t="s">
        <v>1487</v>
      </c>
      <c r="GNW300" s="16" t="s">
        <v>1487</v>
      </c>
      <c r="GNX300" s="16" t="s">
        <v>1487</v>
      </c>
      <c r="GNY300" s="16" t="s">
        <v>1487</v>
      </c>
      <c r="GNZ300" s="16" t="s">
        <v>1487</v>
      </c>
      <c r="GOA300" s="16" t="s">
        <v>1487</v>
      </c>
      <c r="GOB300" s="16" t="s">
        <v>1487</v>
      </c>
      <c r="GOC300" s="16" t="s">
        <v>1487</v>
      </c>
      <c r="GOD300" s="16" t="s">
        <v>1487</v>
      </c>
      <c r="GOE300" s="16" t="s">
        <v>1487</v>
      </c>
      <c r="GOF300" s="16" t="s">
        <v>1487</v>
      </c>
      <c r="GOG300" s="16" t="s">
        <v>1487</v>
      </c>
      <c r="GOH300" s="16" t="s">
        <v>1487</v>
      </c>
      <c r="GOI300" s="16" t="s">
        <v>1487</v>
      </c>
      <c r="GOJ300" s="16" t="s">
        <v>1487</v>
      </c>
      <c r="GOK300" s="16" t="s">
        <v>1487</v>
      </c>
      <c r="GOL300" s="16" t="s">
        <v>1487</v>
      </c>
      <c r="GOM300" s="16" t="s">
        <v>1487</v>
      </c>
      <c r="GON300" s="16" t="s">
        <v>1487</v>
      </c>
      <c r="GOO300" s="16" t="s">
        <v>1487</v>
      </c>
      <c r="GOP300" s="16" t="s">
        <v>1487</v>
      </c>
      <c r="GOQ300" s="16" t="s">
        <v>1487</v>
      </c>
      <c r="GOR300" s="16" t="s">
        <v>1487</v>
      </c>
      <c r="GOS300" s="16" t="s">
        <v>1487</v>
      </c>
      <c r="GOT300" s="16" t="s">
        <v>1487</v>
      </c>
      <c r="GOU300" s="16" t="s">
        <v>1487</v>
      </c>
      <c r="GOV300" s="16" t="s">
        <v>1487</v>
      </c>
      <c r="GOW300" s="16" t="s">
        <v>1487</v>
      </c>
      <c r="GOX300" s="16" t="s">
        <v>1487</v>
      </c>
      <c r="GOY300" s="16" t="s">
        <v>1487</v>
      </c>
      <c r="GOZ300" s="16" t="s">
        <v>1487</v>
      </c>
      <c r="GPA300" s="16" t="s">
        <v>1487</v>
      </c>
      <c r="GPB300" s="16" t="s">
        <v>1487</v>
      </c>
      <c r="GPC300" s="16" t="s">
        <v>1487</v>
      </c>
      <c r="GPD300" s="16" t="s">
        <v>1487</v>
      </c>
      <c r="GPE300" s="16" t="s">
        <v>1487</v>
      </c>
      <c r="GPF300" s="16" t="s">
        <v>1487</v>
      </c>
      <c r="GPG300" s="16" t="s">
        <v>1487</v>
      </c>
      <c r="GPH300" s="16" t="s">
        <v>1487</v>
      </c>
      <c r="GPI300" s="16" t="s">
        <v>1487</v>
      </c>
      <c r="GPJ300" s="16" t="s">
        <v>1487</v>
      </c>
      <c r="GPK300" s="16" t="s">
        <v>1487</v>
      </c>
      <c r="GPL300" s="16" t="s">
        <v>1487</v>
      </c>
      <c r="GPM300" s="16" t="s">
        <v>1487</v>
      </c>
      <c r="GPN300" s="16" t="s">
        <v>1487</v>
      </c>
      <c r="GPO300" s="16" t="s">
        <v>1487</v>
      </c>
      <c r="GPP300" s="16" t="s">
        <v>1487</v>
      </c>
      <c r="GPQ300" s="16" t="s">
        <v>1487</v>
      </c>
      <c r="GPR300" s="16" t="s">
        <v>1487</v>
      </c>
      <c r="GPS300" s="16" t="s">
        <v>1487</v>
      </c>
      <c r="GPT300" s="16" t="s">
        <v>1487</v>
      </c>
      <c r="GPU300" s="16" t="s">
        <v>1487</v>
      </c>
      <c r="GPV300" s="16" t="s">
        <v>1487</v>
      </c>
      <c r="GPW300" s="16" t="s">
        <v>1487</v>
      </c>
      <c r="GPX300" s="16" t="s">
        <v>1487</v>
      </c>
      <c r="GPY300" s="16" t="s">
        <v>1487</v>
      </c>
      <c r="GPZ300" s="16" t="s">
        <v>1487</v>
      </c>
      <c r="GQA300" s="16" t="s">
        <v>1487</v>
      </c>
      <c r="GQB300" s="16" t="s">
        <v>1487</v>
      </c>
      <c r="GQC300" s="16" t="s">
        <v>1487</v>
      </c>
      <c r="GQD300" s="16" t="s">
        <v>1487</v>
      </c>
      <c r="GQE300" s="16" t="s">
        <v>1487</v>
      </c>
      <c r="GQF300" s="16" t="s">
        <v>1487</v>
      </c>
      <c r="GQG300" s="16" t="s">
        <v>1487</v>
      </c>
      <c r="GQH300" s="16" t="s">
        <v>1487</v>
      </c>
      <c r="GQI300" s="16" t="s">
        <v>1487</v>
      </c>
      <c r="GQJ300" s="16" t="s">
        <v>1487</v>
      </c>
      <c r="GQK300" s="16" t="s">
        <v>1487</v>
      </c>
      <c r="GQL300" s="16" t="s">
        <v>1487</v>
      </c>
      <c r="GQM300" s="16" t="s">
        <v>1487</v>
      </c>
      <c r="GQN300" s="16" t="s">
        <v>1487</v>
      </c>
      <c r="GQO300" s="16" t="s">
        <v>1487</v>
      </c>
      <c r="GQP300" s="16" t="s">
        <v>1487</v>
      </c>
      <c r="GQQ300" s="16" t="s">
        <v>1487</v>
      </c>
      <c r="GQR300" s="16" t="s">
        <v>1487</v>
      </c>
      <c r="GQS300" s="16" t="s">
        <v>1487</v>
      </c>
      <c r="GQT300" s="16" t="s">
        <v>1487</v>
      </c>
      <c r="GQU300" s="16" t="s">
        <v>1487</v>
      </c>
      <c r="GQV300" s="16" t="s">
        <v>1487</v>
      </c>
      <c r="GQW300" s="16" t="s">
        <v>1487</v>
      </c>
      <c r="GQX300" s="16" t="s">
        <v>1487</v>
      </c>
      <c r="GQY300" s="16" t="s">
        <v>1487</v>
      </c>
      <c r="GQZ300" s="16" t="s">
        <v>1487</v>
      </c>
      <c r="GRA300" s="16" t="s">
        <v>1487</v>
      </c>
      <c r="GRB300" s="16" t="s">
        <v>1487</v>
      </c>
      <c r="GRC300" s="16" t="s">
        <v>1487</v>
      </c>
      <c r="GRD300" s="16" t="s">
        <v>1487</v>
      </c>
      <c r="GRE300" s="16" t="s">
        <v>1487</v>
      </c>
      <c r="GRF300" s="16" t="s">
        <v>1487</v>
      </c>
      <c r="GRG300" s="16" t="s">
        <v>1487</v>
      </c>
      <c r="GRH300" s="16" t="s">
        <v>1487</v>
      </c>
      <c r="GRI300" s="16" t="s">
        <v>1487</v>
      </c>
      <c r="GRJ300" s="16" t="s">
        <v>1487</v>
      </c>
      <c r="GRK300" s="16" t="s">
        <v>1487</v>
      </c>
      <c r="GRL300" s="16" t="s">
        <v>1487</v>
      </c>
      <c r="GRM300" s="16" t="s">
        <v>1487</v>
      </c>
      <c r="GRN300" s="16" t="s">
        <v>1487</v>
      </c>
      <c r="GRO300" s="16" t="s">
        <v>1487</v>
      </c>
      <c r="GRP300" s="16" t="s">
        <v>1487</v>
      </c>
      <c r="GRQ300" s="16" t="s">
        <v>1487</v>
      </c>
      <c r="GRR300" s="16" t="s">
        <v>1487</v>
      </c>
      <c r="GRS300" s="16" t="s">
        <v>1487</v>
      </c>
      <c r="GRT300" s="16" t="s">
        <v>1487</v>
      </c>
      <c r="GRU300" s="16" t="s">
        <v>1487</v>
      </c>
      <c r="GRV300" s="16" t="s">
        <v>1487</v>
      </c>
      <c r="GRW300" s="16" t="s">
        <v>1487</v>
      </c>
      <c r="GRX300" s="16" t="s">
        <v>1487</v>
      </c>
      <c r="GRY300" s="16" t="s">
        <v>1487</v>
      </c>
      <c r="GRZ300" s="16" t="s">
        <v>1487</v>
      </c>
      <c r="GSA300" s="16" t="s">
        <v>1487</v>
      </c>
      <c r="GSB300" s="16" t="s">
        <v>1487</v>
      </c>
      <c r="GSC300" s="16" t="s">
        <v>1487</v>
      </c>
      <c r="GSD300" s="16" t="s">
        <v>1487</v>
      </c>
      <c r="GSE300" s="16" t="s">
        <v>1487</v>
      </c>
      <c r="GSF300" s="16" t="s">
        <v>1487</v>
      </c>
      <c r="GSG300" s="16" t="s">
        <v>1487</v>
      </c>
      <c r="GSH300" s="16" t="s">
        <v>1487</v>
      </c>
      <c r="GSI300" s="16" t="s">
        <v>1487</v>
      </c>
      <c r="GSJ300" s="16" t="s">
        <v>1487</v>
      </c>
      <c r="GSK300" s="16" t="s">
        <v>1487</v>
      </c>
      <c r="GSL300" s="16" t="s">
        <v>1487</v>
      </c>
      <c r="GSM300" s="16" t="s">
        <v>1487</v>
      </c>
      <c r="GSN300" s="16" t="s">
        <v>1487</v>
      </c>
      <c r="GSO300" s="16" t="s">
        <v>1487</v>
      </c>
      <c r="GSP300" s="16" t="s">
        <v>1487</v>
      </c>
      <c r="GSQ300" s="16" t="s">
        <v>1487</v>
      </c>
      <c r="GSR300" s="16" t="s">
        <v>1487</v>
      </c>
      <c r="GSS300" s="16" t="s">
        <v>1487</v>
      </c>
      <c r="GST300" s="16" t="s">
        <v>1487</v>
      </c>
      <c r="GSU300" s="16" t="s">
        <v>1487</v>
      </c>
      <c r="GSV300" s="16" t="s">
        <v>1487</v>
      </c>
      <c r="GSW300" s="16" t="s">
        <v>1487</v>
      </c>
      <c r="GSX300" s="16" t="s">
        <v>1487</v>
      </c>
      <c r="GSY300" s="16" t="s">
        <v>1487</v>
      </c>
      <c r="GSZ300" s="16" t="s">
        <v>1487</v>
      </c>
      <c r="GTA300" s="16" t="s">
        <v>1487</v>
      </c>
      <c r="GTB300" s="16" t="s">
        <v>1487</v>
      </c>
      <c r="GTC300" s="16" t="s">
        <v>1487</v>
      </c>
      <c r="GTD300" s="16" t="s">
        <v>1487</v>
      </c>
      <c r="GTE300" s="16" t="s">
        <v>1487</v>
      </c>
      <c r="GTF300" s="16" t="s">
        <v>1487</v>
      </c>
      <c r="GTG300" s="16" t="s">
        <v>1487</v>
      </c>
      <c r="GTH300" s="16" t="s">
        <v>1487</v>
      </c>
      <c r="GTI300" s="16" t="s">
        <v>1487</v>
      </c>
      <c r="GTJ300" s="16" t="s">
        <v>1487</v>
      </c>
      <c r="GTK300" s="16" t="s">
        <v>1487</v>
      </c>
      <c r="GTL300" s="16" t="s">
        <v>1487</v>
      </c>
      <c r="GTM300" s="16" t="s">
        <v>1487</v>
      </c>
      <c r="GTN300" s="16" t="s">
        <v>1487</v>
      </c>
      <c r="GTO300" s="16" t="s">
        <v>1487</v>
      </c>
      <c r="GTP300" s="16" t="s">
        <v>1487</v>
      </c>
      <c r="GTQ300" s="16" t="s">
        <v>1487</v>
      </c>
      <c r="GTR300" s="16" t="s">
        <v>1487</v>
      </c>
      <c r="GTS300" s="16" t="s">
        <v>1487</v>
      </c>
      <c r="GTT300" s="16" t="s">
        <v>1487</v>
      </c>
      <c r="GTU300" s="16" t="s">
        <v>1487</v>
      </c>
      <c r="GTV300" s="16" t="s">
        <v>1487</v>
      </c>
      <c r="GTW300" s="16" t="s">
        <v>1487</v>
      </c>
      <c r="GTX300" s="16" t="s">
        <v>1487</v>
      </c>
      <c r="GTY300" s="16" t="s">
        <v>1487</v>
      </c>
      <c r="GTZ300" s="16" t="s">
        <v>1487</v>
      </c>
      <c r="GUA300" s="16" t="s">
        <v>1487</v>
      </c>
      <c r="GUB300" s="16" t="s">
        <v>1487</v>
      </c>
      <c r="GUC300" s="16" t="s">
        <v>1487</v>
      </c>
      <c r="GUD300" s="16" t="s">
        <v>1487</v>
      </c>
      <c r="GUE300" s="16" t="s">
        <v>1487</v>
      </c>
      <c r="GUF300" s="16" t="s">
        <v>1487</v>
      </c>
      <c r="GUG300" s="16" t="s">
        <v>1487</v>
      </c>
      <c r="GUH300" s="16" t="s">
        <v>1487</v>
      </c>
      <c r="GUI300" s="16" t="s">
        <v>1487</v>
      </c>
      <c r="GUJ300" s="16" t="s">
        <v>1487</v>
      </c>
      <c r="GUK300" s="16" t="s">
        <v>1487</v>
      </c>
      <c r="GUL300" s="16" t="s">
        <v>1487</v>
      </c>
      <c r="GUM300" s="16" t="s">
        <v>1487</v>
      </c>
      <c r="GUN300" s="16" t="s">
        <v>1487</v>
      </c>
      <c r="GUO300" s="16" t="s">
        <v>1487</v>
      </c>
      <c r="GUP300" s="16" t="s">
        <v>1487</v>
      </c>
      <c r="GUQ300" s="16" t="s">
        <v>1487</v>
      </c>
      <c r="GUR300" s="16" t="s">
        <v>1487</v>
      </c>
      <c r="GUS300" s="16" t="s">
        <v>1487</v>
      </c>
      <c r="GUT300" s="16" t="s">
        <v>1487</v>
      </c>
      <c r="GUU300" s="16" t="s">
        <v>1487</v>
      </c>
      <c r="GUV300" s="16" t="s">
        <v>1487</v>
      </c>
      <c r="GUW300" s="16" t="s">
        <v>1487</v>
      </c>
      <c r="GUX300" s="16" t="s">
        <v>1487</v>
      </c>
      <c r="GUY300" s="16" t="s">
        <v>1487</v>
      </c>
      <c r="GUZ300" s="16" t="s">
        <v>1487</v>
      </c>
      <c r="GVA300" s="16" t="s">
        <v>1487</v>
      </c>
      <c r="GVB300" s="16" t="s">
        <v>1487</v>
      </c>
      <c r="GVC300" s="16" t="s">
        <v>1487</v>
      </c>
      <c r="GVD300" s="16" t="s">
        <v>1487</v>
      </c>
      <c r="GVE300" s="16" t="s">
        <v>1487</v>
      </c>
      <c r="GVF300" s="16" t="s">
        <v>1487</v>
      </c>
      <c r="GVG300" s="16" t="s">
        <v>1487</v>
      </c>
      <c r="GVH300" s="16" t="s">
        <v>1487</v>
      </c>
      <c r="GVI300" s="16" t="s">
        <v>1487</v>
      </c>
      <c r="GVJ300" s="16" t="s">
        <v>1487</v>
      </c>
      <c r="GVK300" s="16" t="s">
        <v>1487</v>
      </c>
      <c r="GVL300" s="16" t="s">
        <v>1487</v>
      </c>
      <c r="GVM300" s="16" t="s">
        <v>1487</v>
      </c>
      <c r="GVN300" s="16" t="s">
        <v>1487</v>
      </c>
      <c r="GVO300" s="16" t="s">
        <v>1487</v>
      </c>
      <c r="GVP300" s="16" t="s">
        <v>1487</v>
      </c>
      <c r="GVQ300" s="16" t="s">
        <v>1487</v>
      </c>
      <c r="GVR300" s="16" t="s">
        <v>1487</v>
      </c>
      <c r="GVS300" s="16" t="s">
        <v>1487</v>
      </c>
      <c r="GVT300" s="16" t="s">
        <v>1487</v>
      </c>
      <c r="GVU300" s="16" t="s">
        <v>1487</v>
      </c>
      <c r="GVV300" s="16" t="s">
        <v>1487</v>
      </c>
      <c r="GVW300" s="16" t="s">
        <v>1487</v>
      </c>
      <c r="GVX300" s="16" t="s">
        <v>1487</v>
      </c>
      <c r="GVY300" s="16" t="s">
        <v>1487</v>
      </c>
      <c r="GVZ300" s="16" t="s">
        <v>1487</v>
      </c>
      <c r="GWA300" s="16" t="s">
        <v>1487</v>
      </c>
      <c r="GWB300" s="16" t="s">
        <v>1487</v>
      </c>
      <c r="GWC300" s="16" t="s">
        <v>1487</v>
      </c>
      <c r="GWD300" s="16" t="s">
        <v>1487</v>
      </c>
      <c r="GWE300" s="16" t="s">
        <v>1487</v>
      </c>
      <c r="GWF300" s="16" t="s">
        <v>1487</v>
      </c>
      <c r="GWG300" s="16" t="s">
        <v>1487</v>
      </c>
      <c r="GWH300" s="16" t="s">
        <v>1487</v>
      </c>
      <c r="GWI300" s="16" t="s">
        <v>1487</v>
      </c>
      <c r="GWJ300" s="16" t="s">
        <v>1487</v>
      </c>
      <c r="GWK300" s="16" t="s">
        <v>1487</v>
      </c>
      <c r="GWL300" s="16" t="s">
        <v>1487</v>
      </c>
      <c r="GWM300" s="16" t="s">
        <v>1487</v>
      </c>
      <c r="GWN300" s="16" t="s">
        <v>1487</v>
      </c>
      <c r="GWO300" s="16" t="s">
        <v>1487</v>
      </c>
      <c r="GWP300" s="16" t="s">
        <v>1487</v>
      </c>
      <c r="GWQ300" s="16" t="s">
        <v>1487</v>
      </c>
      <c r="GWR300" s="16" t="s">
        <v>1487</v>
      </c>
      <c r="GWS300" s="16" t="s">
        <v>1487</v>
      </c>
      <c r="GWT300" s="16" t="s">
        <v>1487</v>
      </c>
      <c r="GWU300" s="16" t="s">
        <v>1487</v>
      </c>
      <c r="GWV300" s="16" t="s">
        <v>1487</v>
      </c>
      <c r="GWW300" s="16" t="s">
        <v>1487</v>
      </c>
      <c r="GWX300" s="16" t="s">
        <v>1487</v>
      </c>
      <c r="GWY300" s="16" t="s">
        <v>1487</v>
      </c>
      <c r="GWZ300" s="16" t="s">
        <v>1487</v>
      </c>
      <c r="GXA300" s="16" t="s">
        <v>1487</v>
      </c>
      <c r="GXB300" s="16" t="s">
        <v>1487</v>
      </c>
      <c r="GXC300" s="16" t="s">
        <v>1487</v>
      </c>
      <c r="GXD300" s="16" t="s">
        <v>1487</v>
      </c>
      <c r="GXE300" s="16" t="s">
        <v>1487</v>
      </c>
      <c r="GXF300" s="16" t="s">
        <v>1487</v>
      </c>
      <c r="GXG300" s="16" t="s">
        <v>1487</v>
      </c>
      <c r="GXH300" s="16" t="s">
        <v>1487</v>
      </c>
      <c r="GXI300" s="16" t="s">
        <v>1487</v>
      </c>
      <c r="GXJ300" s="16" t="s">
        <v>1487</v>
      </c>
      <c r="GXK300" s="16" t="s">
        <v>1487</v>
      </c>
      <c r="GXL300" s="16" t="s">
        <v>1487</v>
      </c>
      <c r="GXM300" s="16" t="s">
        <v>1487</v>
      </c>
      <c r="GXN300" s="16" t="s">
        <v>1487</v>
      </c>
      <c r="GXO300" s="16" t="s">
        <v>1487</v>
      </c>
      <c r="GXP300" s="16" t="s">
        <v>1487</v>
      </c>
      <c r="GXQ300" s="16" t="s">
        <v>1487</v>
      </c>
      <c r="GXR300" s="16" t="s">
        <v>1487</v>
      </c>
      <c r="GXS300" s="16" t="s">
        <v>1487</v>
      </c>
      <c r="GXT300" s="16" t="s">
        <v>1487</v>
      </c>
      <c r="GXU300" s="16" t="s">
        <v>1487</v>
      </c>
      <c r="GXV300" s="16" t="s">
        <v>1487</v>
      </c>
      <c r="GXW300" s="16" t="s">
        <v>1487</v>
      </c>
      <c r="GXX300" s="16" t="s">
        <v>1487</v>
      </c>
      <c r="GXY300" s="16" t="s">
        <v>1487</v>
      </c>
      <c r="GXZ300" s="16" t="s">
        <v>1487</v>
      </c>
      <c r="GYA300" s="16" t="s">
        <v>1487</v>
      </c>
      <c r="GYB300" s="16" t="s">
        <v>1487</v>
      </c>
      <c r="GYC300" s="16" t="s">
        <v>1487</v>
      </c>
      <c r="GYD300" s="16" t="s">
        <v>1487</v>
      </c>
      <c r="GYE300" s="16" t="s">
        <v>1487</v>
      </c>
      <c r="GYF300" s="16" t="s">
        <v>1487</v>
      </c>
      <c r="GYG300" s="16" t="s">
        <v>1487</v>
      </c>
      <c r="GYH300" s="16" t="s">
        <v>1487</v>
      </c>
      <c r="GYI300" s="16" t="s">
        <v>1487</v>
      </c>
      <c r="GYJ300" s="16" t="s">
        <v>1487</v>
      </c>
      <c r="GYK300" s="16" t="s">
        <v>1487</v>
      </c>
      <c r="GYL300" s="16" t="s">
        <v>1487</v>
      </c>
      <c r="GYM300" s="16" t="s">
        <v>1487</v>
      </c>
      <c r="GYN300" s="16" t="s">
        <v>1487</v>
      </c>
      <c r="GYO300" s="16" t="s">
        <v>1487</v>
      </c>
      <c r="GYP300" s="16" t="s">
        <v>1487</v>
      </c>
      <c r="GYQ300" s="16" t="s">
        <v>1487</v>
      </c>
      <c r="GYR300" s="16" t="s">
        <v>1487</v>
      </c>
      <c r="GYS300" s="16" t="s">
        <v>1487</v>
      </c>
      <c r="GYT300" s="16" t="s">
        <v>1487</v>
      </c>
      <c r="GYU300" s="16" t="s">
        <v>1487</v>
      </c>
      <c r="GYV300" s="16" t="s">
        <v>1487</v>
      </c>
      <c r="GYW300" s="16" t="s">
        <v>1487</v>
      </c>
      <c r="GYX300" s="16" t="s">
        <v>1487</v>
      </c>
      <c r="GYY300" s="16" t="s">
        <v>1487</v>
      </c>
      <c r="GYZ300" s="16" t="s">
        <v>1487</v>
      </c>
      <c r="GZA300" s="16" t="s">
        <v>1487</v>
      </c>
      <c r="GZB300" s="16" t="s">
        <v>1487</v>
      </c>
      <c r="GZC300" s="16" t="s">
        <v>1487</v>
      </c>
      <c r="GZD300" s="16" t="s">
        <v>1487</v>
      </c>
      <c r="GZE300" s="16" t="s">
        <v>1487</v>
      </c>
      <c r="GZF300" s="16" t="s">
        <v>1487</v>
      </c>
      <c r="GZG300" s="16" t="s">
        <v>1487</v>
      </c>
      <c r="GZH300" s="16" t="s">
        <v>1487</v>
      </c>
      <c r="GZI300" s="16" t="s">
        <v>1487</v>
      </c>
      <c r="GZJ300" s="16" t="s">
        <v>1487</v>
      </c>
      <c r="GZK300" s="16" t="s">
        <v>1487</v>
      </c>
      <c r="GZL300" s="16" t="s">
        <v>1487</v>
      </c>
      <c r="GZM300" s="16" t="s">
        <v>1487</v>
      </c>
      <c r="GZN300" s="16" t="s">
        <v>1487</v>
      </c>
      <c r="GZO300" s="16" t="s">
        <v>1487</v>
      </c>
      <c r="GZP300" s="16" t="s">
        <v>1487</v>
      </c>
      <c r="GZQ300" s="16" t="s">
        <v>1487</v>
      </c>
      <c r="GZR300" s="16" t="s">
        <v>1487</v>
      </c>
      <c r="GZS300" s="16" t="s">
        <v>1487</v>
      </c>
      <c r="GZT300" s="16" t="s">
        <v>1487</v>
      </c>
      <c r="GZU300" s="16" t="s">
        <v>1487</v>
      </c>
      <c r="GZV300" s="16" t="s">
        <v>1487</v>
      </c>
      <c r="GZW300" s="16" t="s">
        <v>1487</v>
      </c>
      <c r="GZX300" s="16" t="s">
        <v>1487</v>
      </c>
      <c r="GZY300" s="16" t="s">
        <v>1487</v>
      </c>
      <c r="GZZ300" s="16" t="s">
        <v>1487</v>
      </c>
      <c r="HAA300" s="16" t="s">
        <v>1487</v>
      </c>
      <c r="HAB300" s="16" t="s">
        <v>1487</v>
      </c>
      <c r="HAC300" s="16" t="s">
        <v>1487</v>
      </c>
      <c r="HAD300" s="16" t="s">
        <v>1487</v>
      </c>
      <c r="HAE300" s="16" t="s">
        <v>1487</v>
      </c>
      <c r="HAF300" s="16" t="s">
        <v>1487</v>
      </c>
      <c r="HAG300" s="16" t="s">
        <v>1487</v>
      </c>
      <c r="HAH300" s="16" t="s">
        <v>1487</v>
      </c>
      <c r="HAI300" s="16" t="s">
        <v>1487</v>
      </c>
      <c r="HAJ300" s="16" t="s">
        <v>1487</v>
      </c>
      <c r="HAK300" s="16" t="s">
        <v>1487</v>
      </c>
      <c r="HAL300" s="16" t="s">
        <v>1487</v>
      </c>
      <c r="HAM300" s="16" t="s">
        <v>1487</v>
      </c>
      <c r="HAN300" s="16" t="s">
        <v>1487</v>
      </c>
      <c r="HAO300" s="16" t="s">
        <v>1487</v>
      </c>
      <c r="HAP300" s="16" t="s">
        <v>1487</v>
      </c>
      <c r="HAQ300" s="16" t="s">
        <v>1487</v>
      </c>
      <c r="HAR300" s="16" t="s">
        <v>1487</v>
      </c>
      <c r="HAS300" s="16" t="s">
        <v>1487</v>
      </c>
      <c r="HAT300" s="16" t="s">
        <v>1487</v>
      </c>
      <c r="HAU300" s="16" t="s">
        <v>1487</v>
      </c>
      <c r="HAV300" s="16" t="s">
        <v>1487</v>
      </c>
      <c r="HAW300" s="16" t="s">
        <v>1487</v>
      </c>
      <c r="HAX300" s="16" t="s">
        <v>1487</v>
      </c>
      <c r="HAY300" s="16" t="s">
        <v>1487</v>
      </c>
      <c r="HAZ300" s="16" t="s">
        <v>1487</v>
      </c>
      <c r="HBA300" s="16" t="s">
        <v>1487</v>
      </c>
      <c r="HBB300" s="16" t="s">
        <v>1487</v>
      </c>
      <c r="HBC300" s="16" t="s">
        <v>1487</v>
      </c>
      <c r="HBD300" s="16" t="s">
        <v>1487</v>
      </c>
      <c r="HBE300" s="16" t="s">
        <v>1487</v>
      </c>
      <c r="HBF300" s="16" t="s">
        <v>1487</v>
      </c>
      <c r="HBG300" s="16" t="s">
        <v>1487</v>
      </c>
      <c r="HBH300" s="16" t="s">
        <v>1487</v>
      </c>
      <c r="HBI300" s="16" t="s">
        <v>1487</v>
      </c>
      <c r="HBJ300" s="16" t="s">
        <v>1487</v>
      </c>
      <c r="HBK300" s="16" t="s">
        <v>1487</v>
      </c>
      <c r="HBL300" s="16" t="s">
        <v>1487</v>
      </c>
      <c r="HBM300" s="16" t="s">
        <v>1487</v>
      </c>
      <c r="HBN300" s="16" t="s">
        <v>1487</v>
      </c>
      <c r="HBO300" s="16" t="s">
        <v>1487</v>
      </c>
      <c r="HBP300" s="16" t="s">
        <v>1487</v>
      </c>
      <c r="HBQ300" s="16" t="s">
        <v>1487</v>
      </c>
      <c r="HBR300" s="16" t="s">
        <v>1487</v>
      </c>
      <c r="HBS300" s="16" t="s">
        <v>1487</v>
      </c>
      <c r="HBT300" s="16" t="s">
        <v>1487</v>
      </c>
      <c r="HBU300" s="16" t="s">
        <v>1487</v>
      </c>
      <c r="HBV300" s="16" t="s">
        <v>1487</v>
      </c>
      <c r="HBW300" s="16" t="s">
        <v>1487</v>
      </c>
      <c r="HBX300" s="16" t="s">
        <v>1487</v>
      </c>
      <c r="HBY300" s="16" t="s">
        <v>1487</v>
      </c>
      <c r="HBZ300" s="16" t="s">
        <v>1487</v>
      </c>
      <c r="HCA300" s="16" t="s">
        <v>1487</v>
      </c>
      <c r="HCB300" s="16" t="s">
        <v>1487</v>
      </c>
      <c r="HCC300" s="16" t="s">
        <v>1487</v>
      </c>
      <c r="HCD300" s="16" t="s">
        <v>1487</v>
      </c>
      <c r="HCE300" s="16" t="s">
        <v>1487</v>
      </c>
      <c r="HCF300" s="16" t="s">
        <v>1487</v>
      </c>
      <c r="HCG300" s="16" t="s">
        <v>1487</v>
      </c>
      <c r="HCH300" s="16" t="s">
        <v>1487</v>
      </c>
      <c r="HCI300" s="16" t="s">
        <v>1487</v>
      </c>
      <c r="HCJ300" s="16" t="s">
        <v>1487</v>
      </c>
      <c r="HCK300" s="16" t="s">
        <v>1487</v>
      </c>
      <c r="HCL300" s="16" t="s">
        <v>1487</v>
      </c>
      <c r="HCM300" s="16" t="s">
        <v>1487</v>
      </c>
      <c r="HCN300" s="16" t="s">
        <v>1487</v>
      </c>
      <c r="HCO300" s="16" t="s">
        <v>1487</v>
      </c>
      <c r="HCP300" s="16" t="s">
        <v>1487</v>
      </c>
      <c r="HCQ300" s="16" t="s">
        <v>1487</v>
      </c>
      <c r="HCR300" s="16" t="s">
        <v>1487</v>
      </c>
      <c r="HCS300" s="16" t="s">
        <v>1487</v>
      </c>
      <c r="HCT300" s="16" t="s">
        <v>1487</v>
      </c>
      <c r="HCU300" s="16" t="s">
        <v>1487</v>
      </c>
      <c r="HCV300" s="16" t="s">
        <v>1487</v>
      </c>
      <c r="HCW300" s="16" t="s">
        <v>1487</v>
      </c>
      <c r="HCX300" s="16" t="s">
        <v>1487</v>
      </c>
      <c r="HCY300" s="16" t="s">
        <v>1487</v>
      </c>
      <c r="HCZ300" s="16" t="s">
        <v>1487</v>
      </c>
      <c r="HDA300" s="16" t="s">
        <v>1487</v>
      </c>
      <c r="HDB300" s="16" t="s">
        <v>1487</v>
      </c>
      <c r="HDC300" s="16" t="s">
        <v>1487</v>
      </c>
      <c r="HDD300" s="16" t="s">
        <v>1487</v>
      </c>
      <c r="HDE300" s="16" t="s">
        <v>1487</v>
      </c>
      <c r="HDF300" s="16" t="s">
        <v>1487</v>
      </c>
      <c r="HDG300" s="16" t="s">
        <v>1487</v>
      </c>
      <c r="HDH300" s="16" t="s">
        <v>1487</v>
      </c>
      <c r="HDI300" s="16" t="s">
        <v>1487</v>
      </c>
      <c r="HDJ300" s="16" t="s">
        <v>1487</v>
      </c>
      <c r="HDK300" s="16" t="s">
        <v>1487</v>
      </c>
      <c r="HDL300" s="16" t="s">
        <v>1487</v>
      </c>
      <c r="HDM300" s="16" t="s">
        <v>1487</v>
      </c>
      <c r="HDN300" s="16" t="s">
        <v>1487</v>
      </c>
      <c r="HDO300" s="16" t="s">
        <v>1487</v>
      </c>
      <c r="HDP300" s="16" t="s">
        <v>1487</v>
      </c>
      <c r="HDQ300" s="16" t="s">
        <v>1487</v>
      </c>
      <c r="HDR300" s="16" t="s">
        <v>1487</v>
      </c>
      <c r="HDS300" s="16" t="s">
        <v>1487</v>
      </c>
      <c r="HDT300" s="16" t="s">
        <v>1487</v>
      </c>
      <c r="HDU300" s="16" t="s">
        <v>1487</v>
      </c>
      <c r="HDV300" s="16" t="s">
        <v>1487</v>
      </c>
      <c r="HDW300" s="16" t="s">
        <v>1487</v>
      </c>
      <c r="HDX300" s="16" t="s">
        <v>1487</v>
      </c>
      <c r="HDY300" s="16" t="s">
        <v>1487</v>
      </c>
      <c r="HDZ300" s="16" t="s">
        <v>1487</v>
      </c>
      <c r="HEA300" s="16" t="s">
        <v>1487</v>
      </c>
      <c r="HEB300" s="16" t="s">
        <v>1487</v>
      </c>
      <c r="HEC300" s="16" t="s">
        <v>1487</v>
      </c>
      <c r="HED300" s="16" t="s">
        <v>1487</v>
      </c>
      <c r="HEE300" s="16" t="s">
        <v>1487</v>
      </c>
      <c r="HEF300" s="16" t="s">
        <v>1487</v>
      </c>
      <c r="HEG300" s="16" t="s">
        <v>1487</v>
      </c>
      <c r="HEH300" s="16" t="s">
        <v>1487</v>
      </c>
      <c r="HEI300" s="16" t="s">
        <v>1487</v>
      </c>
      <c r="HEJ300" s="16" t="s">
        <v>1487</v>
      </c>
      <c r="HEK300" s="16" t="s">
        <v>1487</v>
      </c>
      <c r="HEL300" s="16" t="s">
        <v>1487</v>
      </c>
      <c r="HEM300" s="16" t="s">
        <v>1487</v>
      </c>
      <c r="HEN300" s="16" t="s">
        <v>1487</v>
      </c>
      <c r="HEO300" s="16" t="s">
        <v>1487</v>
      </c>
      <c r="HEP300" s="16" t="s">
        <v>1487</v>
      </c>
      <c r="HEQ300" s="16" t="s">
        <v>1487</v>
      </c>
      <c r="HER300" s="16" t="s">
        <v>1487</v>
      </c>
      <c r="HES300" s="16" t="s">
        <v>1487</v>
      </c>
      <c r="HET300" s="16" t="s">
        <v>1487</v>
      </c>
      <c r="HEU300" s="16" t="s">
        <v>1487</v>
      </c>
      <c r="HEV300" s="16" t="s">
        <v>1487</v>
      </c>
      <c r="HEW300" s="16" t="s">
        <v>1487</v>
      </c>
      <c r="HEX300" s="16" t="s">
        <v>1487</v>
      </c>
      <c r="HEY300" s="16" t="s">
        <v>1487</v>
      </c>
      <c r="HEZ300" s="16" t="s">
        <v>1487</v>
      </c>
      <c r="HFA300" s="16" t="s">
        <v>1487</v>
      </c>
      <c r="HFB300" s="16" t="s">
        <v>1487</v>
      </c>
      <c r="HFC300" s="16" t="s">
        <v>1487</v>
      </c>
      <c r="HFD300" s="16" t="s">
        <v>1487</v>
      </c>
      <c r="HFE300" s="16" t="s">
        <v>1487</v>
      </c>
      <c r="HFF300" s="16" t="s">
        <v>1487</v>
      </c>
      <c r="HFG300" s="16" t="s">
        <v>1487</v>
      </c>
      <c r="HFH300" s="16" t="s">
        <v>1487</v>
      </c>
      <c r="HFI300" s="16" t="s">
        <v>1487</v>
      </c>
      <c r="HFJ300" s="16" t="s">
        <v>1487</v>
      </c>
      <c r="HFK300" s="16" t="s">
        <v>1487</v>
      </c>
      <c r="HFL300" s="16" t="s">
        <v>1487</v>
      </c>
      <c r="HFM300" s="16" t="s">
        <v>1487</v>
      </c>
      <c r="HFN300" s="16" t="s">
        <v>1487</v>
      </c>
      <c r="HFO300" s="16" t="s">
        <v>1487</v>
      </c>
      <c r="HFP300" s="16" t="s">
        <v>1487</v>
      </c>
      <c r="HFQ300" s="16" t="s">
        <v>1487</v>
      </c>
      <c r="HFR300" s="16" t="s">
        <v>1487</v>
      </c>
      <c r="HFS300" s="16" t="s">
        <v>1487</v>
      </c>
      <c r="HFT300" s="16" t="s">
        <v>1487</v>
      </c>
      <c r="HFU300" s="16" t="s">
        <v>1487</v>
      </c>
      <c r="HFV300" s="16" t="s">
        <v>1487</v>
      </c>
      <c r="HFW300" s="16" t="s">
        <v>1487</v>
      </c>
      <c r="HFX300" s="16" t="s">
        <v>1487</v>
      </c>
      <c r="HFY300" s="16" t="s">
        <v>1487</v>
      </c>
      <c r="HFZ300" s="16" t="s">
        <v>1487</v>
      </c>
      <c r="HGA300" s="16" t="s">
        <v>1487</v>
      </c>
      <c r="HGB300" s="16" t="s">
        <v>1487</v>
      </c>
      <c r="HGC300" s="16" t="s">
        <v>1487</v>
      </c>
      <c r="HGD300" s="16" t="s">
        <v>1487</v>
      </c>
      <c r="HGE300" s="16" t="s">
        <v>1487</v>
      </c>
      <c r="HGF300" s="16" t="s">
        <v>1487</v>
      </c>
      <c r="HGG300" s="16" t="s">
        <v>1487</v>
      </c>
      <c r="HGH300" s="16" t="s">
        <v>1487</v>
      </c>
      <c r="HGI300" s="16" t="s">
        <v>1487</v>
      </c>
      <c r="HGJ300" s="16" t="s">
        <v>1487</v>
      </c>
      <c r="HGK300" s="16" t="s">
        <v>1487</v>
      </c>
      <c r="HGL300" s="16" t="s">
        <v>1487</v>
      </c>
      <c r="HGM300" s="16" t="s">
        <v>1487</v>
      </c>
      <c r="HGN300" s="16" t="s">
        <v>1487</v>
      </c>
      <c r="HGO300" s="16" t="s">
        <v>1487</v>
      </c>
      <c r="HGP300" s="16" t="s">
        <v>1487</v>
      </c>
      <c r="HGQ300" s="16" t="s">
        <v>1487</v>
      </c>
      <c r="HGR300" s="16" t="s">
        <v>1487</v>
      </c>
      <c r="HGS300" s="16" t="s">
        <v>1487</v>
      </c>
      <c r="HGT300" s="16" t="s">
        <v>1487</v>
      </c>
      <c r="HGU300" s="16" t="s">
        <v>1487</v>
      </c>
      <c r="HGV300" s="16" t="s">
        <v>1487</v>
      </c>
      <c r="HGW300" s="16" t="s">
        <v>1487</v>
      </c>
      <c r="HGX300" s="16" t="s">
        <v>1487</v>
      </c>
      <c r="HGY300" s="16" t="s">
        <v>1487</v>
      </c>
      <c r="HGZ300" s="16" t="s">
        <v>1487</v>
      </c>
      <c r="HHA300" s="16" t="s">
        <v>1487</v>
      </c>
      <c r="HHB300" s="16" t="s">
        <v>1487</v>
      </c>
      <c r="HHC300" s="16" t="s">
        <v>1487</v>
      </c>
      <c r="HHD300" s="16" t="s">
        <v>1487</v>
      </c>
      <c r="HHE300" s="16" t="s">
        <v>1487</v>
      </c>
      <c r="HHF300" s="16" t="s">
        <v>1487</v>
      </c>
      <c r="HHG300" s="16" t="s">
        <v>1487</v>
      </c>
      <c r="HHH300" s="16" t="s">
        <v>1487</v>
      </c>
      <c r="HHI300" s="16" t="s">
        <v>1487</v>
      </c>
      <c r="HHJ300" s="16" t="s">
        <v>1487</v>
      </c>
      <c r="HHK300" s="16" t="s">
        <v>1487</v>
      </c>
      <c r="HHL300" s="16" t="s">
        <v>1487</v>
      </c>
      <c r="HHM300" s="16" t="s">
        <v>1487</v>
      </c>
      <c r="HHN300" s="16" t="s">
        <v>1487</v>
      </c>
      <c r="HHO300" s="16" t="s">
        <v>1487</v>
      </c>
      <c r="HHP300" s="16" t="s">
        <v>1487</v>
      </c>
      <c r="HHQ300" s="16" t="s">
        <v>1487</v>
      </c>
      <c r="HHR300" s="16" t="s">
        <v>1487</v>
      </c>
      <c r="HHS300" s="16" t="s">
        <v>1487</v>
      </c>
      <c r="HHT300" s="16" t="s">
        <v>1487</v>
      </c>
      <c r="HHU300" s="16" t="s">
        <v>1487</v>
      </c>
      <c r="HHV300" s="16" t="s">
        <v>1487</v>
      </c>
      <c r="HHW300" s="16" t="s">
        <v>1487</v>
      </c>
      <c r="HHX300" s="16" t="s">
        <v>1487</v>
      </c>
      <c r="HHY300" s="16" t="s">
        <v>1487</v>
      </c>
      <c r="HHZ300" s="16" t="s">
        <v>1487</v>
      </c>
      <c r="HIA300" s="16" t="s">
        <v>1487</v>
      </c>
      <c r="HIB300" s="16" t="s">
        <v>1487</v>
      </c>
      <c r="HIC300" s="16" t="s">
        <v>1487</v>
      </c>
      <c r="HID300" s="16" t="s">
        <v>1487</v>
      </c>
      <c r="HIE300" s="16" t="s">
        <v>1487</v>
      </c>
      <c r="HIF300" s="16" t="s">
        <v>1487</v>
      </c>
      <c r="HIG300" s="16" t="s">
        <v>1487</v>
      </c>
      <c r="HIH300" s="16" t="s">
        <v>1487</v>
      </c>
      <c r="HII300" s="16" t="s">
        <v>1487</v>
      </c>
      <c r="HIJ300" s="16" t="s">
        <v>1487</v>
      </c>
      <c r="HIK300" s="16" t="s">
        <v>1487</v>
      </c>
      <c r="HIL300" s="16" t="s">
        <v>1487</v>
      </c>
      <c r="HIM300" s="16" t="s">
        <v>1487</v>
      </c>
      <c r="HIN300" s="16" t="s">
        <v>1487</v>
      </c>
      <c r="HIO300" s="16" t="s">
        <v>1487</v>
      </c>
      <c r="HIP300" s="16" t="s">
        <v>1487</v>
      </c>
      <c r="HIQ300" s="16" t="s">
        <v>1487</v>
      </c>
      <c r="HIR300" s="16" t="s">
        <v>1487</v>
      </c>
      <c r="HIS300" s="16" t="s">
        <v>1487</v>
      </c>
      <c r="HIT300" s="16" t="s">
        <v>1487</v>
      </c>
      <c r="HIU300" s="16" t="s">
        <v>1487</v>
      </c>
      <c r="HIV300" s="16" t="s">
        <v>1487</v>
      </c>
      <c r="HIW300" s="16" t="s">
        <v>1487</v>
      </c>
      <c r="HIX300" s="16" t="s">
        <v>1487</v>
      </c>
      <c r="HIY300" s="16" t="s">
        <v>1487</v>
      </c>
      <c r="HIZ300" s="16" t="s">
        <v>1487</v>
      </c>
      <c r="HJA300" s="16" t="s">
        <v>1487</v>
      </c>
      <c r="HJB300" s="16" t="s">
        <v>1487</v>
      </c>
      <c r="HJC300" s="16" t="s">
        <v>1487</v>
      </c>
      <c r="HJD300" s="16" t="s">
        <v>1487</v>
      </c>
      <c r="HJE300" s="16" t="s">
        <v>1487</v>
      </c>
      <c r="HJF300" s="16" t="s">
        <v>1487</v>
      </c>
      <c r="HJG300" s="16" t="s">
        <v>1487</v>
      </c>
      <c r="HJH300" s="16" t="s">
        <v>1487</v>
      </c>
      <c r="HJI300" s="16" t="s">
        <v>1487</v>
      </c>
      <c r="HJJ300" s="16" t="s">
        <v>1487</v>
      </c>
      <c r="HJK300" s="16" t="s">
        <v>1487</v>
      </c>
      <c r="HJL300" s="16" t="s">
        <v>1487</v>
      </c>
      <c r="HJM300" s="16" t="s">
        <v>1487</v>
      </c>
      <c r="HJN300" s="16" t="s">
        <v>1487</v>
      </c>
      <c r="HJO300" s="16" t="s">
        <v>1487</v>
      </c>
      <c r="HJP300" s="16" t="s">
        <v>1487</v>
      </c>
      <c r="HJQ300" s="16" t="s">
        <v>1487</v>
      </c>
      <c r="HJR300" s="16" t="s">
        <v>1487</v>
      </c>
      <c r="HJS300" s="16" t="s">
        <v>1487</v>
      </c>
      <c r="HJT300" s="16" t="s">
        <v>1487</v>
      </c>
      <c r="HJU300" s="16" t="s">
        <v>1487</v>
      </c>
      <c r="HJV300" s="16" t="s">
        <v>1487</v>
      </c>
      <c r="HJW300" s="16" t="s">
        <v>1487</v>
      </c>
      <c r="HJX300" s="16" t="s">
        <v>1487</v>
      </c>
      <c r="HJY300" s="16" t="s">
        <v>1487</v>
      </c>
      <c r="HJZ300" s="16" t="s">
        <v>1487</v>
      </c>
      <c r="HKA300" s="16" t="s">
        <v>1487</v>
      </c>
      <c r="HKB300" s="16" t="s">
        <v>1487</v>
      </c>
      <c r="HKC300" s="16" t="s">
        <v>1487</v>
      </c>
      <c r="HKD300" s="16" t="s">
        <v>1487</v>
      </c>
      <c r="HKE300" s="16" t="s">
        <v>1487</v>
      </c>
      <c r="HKF300" s="16" t="s">
        <v>1487</v>
      </c>
      <c r="HKG300" s="16" t="s">
        <v>1487</v>
      </c>
      <c r="HKH300" s="16" t="s">
        <v>1487</v>
      </c>
      <c r="HKI300" s="16" t="s">
        <v>1487</v>
      </c>
      <c r="HKJ300" s="16" t="s">
        <v>1487</v>
      </c>
      <c r="HKK300" s="16" t="s">
        <v>1487</v>
      </c>
      <c r="HKL300" s="16" t="s">
        <v>1487</v>
      </c>
      <c r="HKM300" s="16" t="s">
        <v>1487</v>
      </c>
      <c r="HKN300" s="16" t="s">
        <v>1487</v>
      </c>
      <c r="HKO300" s="16" t="s">
        <v>1487</v>
      </c>
      <c r="HKP300" s="16" t="s">
        <v>1487</v>
      </c>
      <c r="HKQ300" s="16" t="s">
        <v>1487</v>
      </c>
      <c r="HKR300" s="16" t="s">
        <v>1487</v>
      </c>
      <c r="HKS300" s="16" t="s">
        <v>1487</v>
      </c>
      <c r="HKT300" s="16" t="s">
        <v>1487</v>
      </c>
      <c r="HKU300" s="16" t="s">
        <v>1487</v>
      </c>
      <c r="HKV300" s="16" t="s">
        <v>1487</v>
      </c>
      <c r="HKW300" s="16" t="s">
        <v>1487</v>
      </c>
      <c r="HKX300" s="16" t="s">
        <v>1487</v>
      </c>
      <c r="HKY300" s="16" t="s">
        <v>1487</v>
      </c>
      <c r="HKZ300" s="16" t="s">
        <v>1487</v>
      </c>
      <c r="HLA300" s="16" t="s">
        <v>1487</v>
      </c>
      <c r="HLB300" s="16" t="s">
        <v>1487</v>
      </c>
      <c r="HLC300" s="16" t="s">
        <v>1487</v>
      </c>
      <c r="HLD300" s="16" t="s">
        <v>1487</v>
      </c>
      <c r="HLE300" s="16" t="s">
        <v>1487</v>
      </c>
      <c r="HLF300" s="16" t="s">
        <v>1487</v>
      </c>
      <c r="HLG300" s="16" t="s">
        <v>1487</v>
      </c>
      <c r="HLH300" s="16" t="s">
        <v>1487</v>
      </c>
      <c r="HLI300" s="16" t="s">
        <v>1487</v>
      </c>
      <c r="HLJ300" s="16" t="s">
        <v>1487</v>
      </c>
      <c r="HLK300" s="16" t="s">
        <v>1487</v>
      </c>
      <c r="HLL300" s="16" t="s">
        <v>1487</v>
      </c>
      <c r="HLM300" s="16" t="s">
        <v>1487</v>
      </c>
      <c r="HLN300" s="16" t="s">
        <v>1487</v>
      </c>
      <c r="HLO300" s="16" t="s">
        <v>1487</v>
      </c>
      <c r="HLP300" s="16" t="s">
        <v>1487</v>
      </c>
      <c r="HLQ300" s="16" t="s">
        <v>1487</v>
      </c>
      <c r="HLR300" s="16" t="s">
        <v>1487</v>
      </c>
      <c r="HLS300" s="16" t="s">
        <v>1487</v>
      </c>
      <c r="HLT300" s="16" t="s">
        <v>1487</v>
      </c>
      <c r="HLU300" s="16" t="s">
        <v>1487</v>
      </c>
      <c r="HLV300" s="16" t="s">
        <v>1487</v>
      </c>
      <c r="HLW300" s="16" t="s">
        <v>1487</v>
      </c>
      <c r="HLX300" s="16" t="s">
        <v>1487</v>
      </c>
      <c r="HLY300" s="16" t="s">
        <v>1487</v>
      </c>
      <c r="HLZ300" s="16" t="s">
        <v>1487</v>
      </c>
      <c r="HMA300" s="16" t="s">
        <v>1487</v>
      </c>
      <c r="HMB300" s="16" t="s">
        <v>1487</v>
      </c>
      <c r="HMC300" s="16" t="s">
        <v>1487</v>
      </c>
      <c r="HMD300" s="16" t="s">
        <v>1487</v>
      </c>
      <c r="HME300" s="16" t="s">
        <v>1487</v>
      </c>
      <c r="HMF300" s="16" t="s">
        <v>1487</v>
      </c>
      <c r="HMG300" s="16" t="s">
        <v>1487</v>
      </c>
      <c r="HMH300" s="16" t="s">
        <v>1487</v>
      </c>
      <c r="HMI300" s="16" t="s">
        <v>1487</v>
      </c>
      <c r="HMJ300" s="16" t="s">
        <v>1487</v>
      </c>
      <c r="HMK300" s="16" t="s">
        <v>1487</v>
      </c>
      <c r="HML300" s="16" t="s">
        <v>1487</v>
      </c>
      <c r="HMM300" s="16" t="s">
        <v>1487</v>
      </c>
      <c r="HMN300" s="16" t="s">
        <v>1487</v>
      </c>
      <c r="HMO300" s="16" t="s">
        <v>1487</v>
      </c>
      <c r="HMP300" s="16" t="s">
        <v>1487</v>
      </c>
      <c r="HMQ300" s="16" t="s">
        <v>1487</v>
      </c>
      <c r="HMR300" s="16" t="s">
        <v>1487</v>
      </c>
      <c r="HMS300" s="16" t="s">
        <v>1487</v>
      </c>
      <c r="HMT300" s="16" t="s">
        <v>1487</v>
      </c>
      <c r="HMU300" s="16" t="s">
        <v>1487</v>
      </c>
      <c r="HMV300" s="16" t="s">
        <v>1487</v>
      </c>
      <c r="HMW300" s="16" t="s">
        <v>1487</v>
      </c>
      <c r="HMX300" s="16" t="s">
        <v>1487</v>
      </c>
      <c r="HMY300" s="16" t="s">
        <v>1487</v>
      </c>
      <c r="HMZ300" s="16" t="s">
        <v>1487</v>
      </c>
      <c r="HNA300" s="16" t="s">
        <v>1487</v>
      </c>
      <c r="HNB300" s="16" t="s">
        <v>1487</v>
      </c>
      <c r="HNC300" s="16" t="s">
        <v>1487</v>
      </c>
      <c r="HND300" s="16" t="s">
        <v>1487</v>
      </c>
      <c r="HNE300" s="16" t="s">
        <v>1487</v>
      </c>
      <c r="HNF300" s="16" t="s">
        <v>1487</v>
      </c>
      <c r="HNG300" s="16" t="s">
        <v>1487</v>
      </c>
      <c r="HNH300" s="16" t="s">
        <v>1487</v>
      </c>
      <c r="HNI300" s="16" t="s">
        <v>1487</v>
      </c>
      <c r="HNJ300" s="16" t="s">
        <v>1487</v>
      </c>
      <c r="HNK300" s="16" t="s">
        <v>1487</v>
      </c>
      <c r="HNL300" s="16" t="s">
        <v>1487</v>
      </c>
      <c r="HNM300" s="16" t="s">
        <v>1487</v>
      </c>
      <c r="HNN300" s="16" t="s">
        <v>1487</v>
      </c>
      <c r="HNO300" s="16" t="s">
        <v>1487</v>
      </c>
      <c r="HNP300" s="16" t="s">
        <v>1487</v>
      </c>
      <c r="HNQ300" s="16" t="s">
        <v>1487</v>
      </c>
      <c r="HNR300" s="16" t="s">
        <v>1487</v>
      </c>
      <c r="HNS300" s="16" t="s">
        <v>1487</v>
      </c>
      <c r="HNT300" s="16" t="s">
        <v>1487</v>
      </c>
      <c r="HNU300" s="16" t="s">
        <v>1487</v>
      </c>
      <c r="HNV300" s="16" t="s">
        <v>1487</v>
      </c>
      <c r="HNW300" s="16" t="s">
        <v>1487</v>
      </c>
      <c r="HNX300" s="16" t="s">
        <v>1487</v>
      </c>
      <c r="HNY300" s="16" t="s">
        <v>1487</v>
      </c>
      <c r="HNZ300" s="16" t="s">
        <v>1487</v>
      </c>
      <c r="HOA300" s="16" t="s">
        <v>1487</v>
      </c>
      <c r="HOB300" s="16" t="s">
        <v>1487</v>
      </c>
      <c r="HOC300" s="16" t="s">
        <v>1487</v>
      </c>
      <c r="HOD300" s="16" t="s">
        <v>1487</v>
      </c>
      <c r="HOE300" s="16" t="s">
        <v>1487</v>
      </c>
      <c r="HOF300" s="16" t="s">
        <v>1487</v>
      </c>
      <c r="HOG300" s="16" t="s">
        <v>1487</v>
      </c>
      <c r="HOH300" s="16" t="s">
        <v>1487</v>
      </c>
      <c r="HOI300" s="16" t="s">
        <v>1487</v>
      </c>
      <c r="HOJ300" s="16" t="s">
        <v>1487</v>
      </c>
      <c r="HOK300" s="16" t="s">
        <v>1487</v>
      </c>
      <c r="HOL300" s="16" t="s">
        <v>1487</v>
      </c>
      <c r="HOM300" s="16" t="s">
        <v>1487</v>
      </c>
      <c r="HON300" s="16" t="s">
        <v>1487</v>
      </c>
      <c r="HOO300" s="16" t="s">
        <v>1487</v>
      </c>
      <c r="HOP300" s="16" t="s">
        <v>1487</v>
      </c>
      <c r="HOQ300" s="16" t="s">
        <v>1487</v>
      </c>
      <c r="HOR300" s="16" t="s">
        <v>1487</v>
      </c>
      <c r="HOS300" s="16" t="s">
        <v>1487</v>
      </c>
      <c r="HOT300" s="16" t="s">
        <v>1487</v>
      </c>
      <c r="HOU300" s="16" t="s">
        <v>1487</v>
      </c>
      <c r="HOV300" s="16" t="s">
        <v>1487</v>
      </c>
      <c r="HOW300" s="16" t="s">
        <v>1487</v>
      </c>
      <c r="HOX300" s="16" t="s">
        <v>1487</v>
      </c>
      <c r="HOY300" s="16" t="s">
        <v>1487</v>
      </c>
      <c r="HOZ300" s="16" t="s">
        <v>1487</v>
      </c>
      <c r="HPA300" s="16" t="s">
        <v>1487</v>
      </c>
      <c r="HPB300" s="16" t="s">
        <v>1487</v>
      </c>
      <c r="HPC300" s="16" t="s">
        <v>1487</v>
      </c>
      <c r="HPD300" s="16" t="s">
        <v>1487</v>
      </c>
      <c r="HPE300" s="16" t="s">
        <v>1487</v>
      </c>
      <c r="HPF300" s="16" t="s">
        <v>1487</v>
      </c>
      <c r="HPG300" s="16" t="s">
        <v>1487</v>
      </c>
      <c r="HPH300" s="16" t="s">
        <v>1487</v>
      </c>
      <c r="HPI300" s="16" t="s">
        <v>1487</v>
      </c>
      <c r="HPJ300" s="16" t="s">
        <v>1487</v>
      </c>
      <c r="HPK300" s="16" t="s">
        <v>1487</v>
      </c>
      <c r="HPL300" s="16" t="s">
        <v>1487</v>
      </c>
      <c r="HPM300" s="16" t="s">
        <v>1487</v>
      </c>
      <c r="HPN300" s="16" t="s">
        <v>1487</v>
      </c>
      <c r="HPO300" s="16" t="s">
        <v>1487</v>
      </c>
      <c r="HPP300" s="16" t="s">
        <v>1487</v>
      </c>
      <c r="HPQ300" s="16" t="s">
        <v>1487</v>
      </c>
      <c r="HPR300" s="16" t="s">
        <v>1487</v>
      </c>
      <c r="HPS300" s="16" t="s">
        <v>1487</v>
      </c>
      <c r="HPT300" s="16" t="s">
        <v>1487</v>
      </c>
      <c r="HPU300" s="16" t="s">
        <v>1487</v>
      </c>
      <c r="HPV300" s="16" t="s">
        <v>1487</v>
      </c>
      <c r="HPW300" s="16" t="s">
        <v>1487</v>
      </c>
      <c r="HPX300" s="16" t="s">
        <v>1487</v>
      </c>
      <c r="HPY300" s="16" t="s">
        <v>1487</v>
      </c>
      <c r="HPZ300" s="16" t="s">
        <v>1487</v>
      </c>
      <c r="HQA300" s="16" t="s">
        <v>1487</v>
      </c>
      <c r="HQB300" s="16" t="s">
        <v>1487</v>
      </c>
      <c r="HQC300" s="16" t="s">
        <v>1487</v>
      </c>
      <c r="HQD300" s="16" t="s">
        <v>1487</v>
      </c>
      <c r="HQE300" s="16" t="s">
        <v>1487</v>
      </c>
      <c r="HQF300" s="16" t="s">
        <v>1487</v>
      </c>
      <c r="HQG300" s="16" t="s">
        <v>1487</v>
      </c>
      <c r="HQH300" s="16" t="s">
        <v>1487</v>
      </c>
      <c r="HQI300" s="16" t="s">
        <v>1487</v>
      </c>
      <c r="HQJ300" s="16" t="s">
        <v>1487</v>
      </c>
      <c r="HQK300" s="16" t="s">
        <v>1487</v>
      </c>
      <c r="HQL300" s="16" t="s">
        <v>1487</v>
      </c>
      <c r="HQM300" s="16" t="s">
        <v>1487</v>
      </c>
      <c r="HQN300" s="16" t="s">
        <v>1487</v>
      </c>
      <c r="HQO300" s="16" t="s">
        <v>1487</v>
      </c>
      <c r="HQP300" s="16" t="s">
        <v>1487</v>
      </c>
      <c r="HQQ300" s="16" t="s">
        <v>1487</v>
      </c>
      <c r="HQR300" s="16" t="s">
        <v>1487</v>
      </c>
      <c r="HQS300" s="16" t="s">
        <v>1487</v>
      </c>
      <c r="HQT300" s="16" t="s">
        <v>1487</v>
      </c>
      <c r="HQU300" s="16" t="s">
        <v>1487</v>
      </c>
      <c r="HQV300" s="16" t="s">
        <v>1487</v>
      </c>
      <c r="HQW300" s="16" t="s">
        <v>1487</v>
      </c>
      <c r="HQX300" s="16" t="s">
        <v>1487</v>
      </c>
      <c r="HQY300" s="16" t="s">
        <v>1487</v>
      </c>
      <c r="HQZ300" s="16" t="s">
        <v>1487</v>
      </c>
      <c r="HRA300" s="16" t="s">
        <v>1487</v>
      </c>
      <c r="HRB300" s="16" t="s">
        <v>1487</v>
      </c>
      <c r="HRC300" s="16" t="s">
        <v>1487</v>
      </c>
      <c r="HRD300" s="16" t="s">
        <v>1487</v>
      </c>
      <c r="HRE300" s="16" t="s">
        <v>1487</v>
      </c>
      <c r="HRF300" s="16" t="s">
        <v>1487</v>
      </c>
      <c r="HRG300" s="16" t="s">
        <v>1487</v>
      </c>
      <c r="HRH300" s="16" t="s">
        <v>1487</v>
      </c>
      <c r="HRI300" s="16" t="s">
        <v>1487</v>
      </c>
      <c r="HRJ300" s="16" t="s">
        <v>1487</v>
      </c>
      <c r="HRK300" s="16" t="s">
        <v>1487</v>
      </c>
      <c r="HRL300" s="16" t="s">
        <v>1487</v>
      </c>
      <c r="HRM300" s="16" t="s">
        <v>1487</v>
      </c>
      <c r="HRN300" s="16" t="s">
        <v>1487</v>
      </c>
      <c r="HRO300" s="16" t="s">
        <v>1487</v>
      </c>
      <c r="HRP300" s="16" t="s">
        <v>1487</v>
      </c>
      <c r="HRQ300" s="16" t="s">
        <v>1487</v>
      </c>
      <c r="HRR300" s="16" t="s">
        <v>1487</v>
      </c>
      <c r="HRS300" s="16" t="s">
        <v>1487</v>
      </c>
      <c r="HRT300" s="16" t="s">
        <v>1487</v>
      </c>
      <c r="HRU300" s="16" t="s">
        <v>1487</v>
      </c>
      <c r="HRV300" s="16" t="s">
        <v>1487</v>
      </c>
      <c r="HRW300" s="16" t="s">
        <v>1487</v>
      </c>
      <c r="HRX300" s="16" t="s">
        <v>1487</v>
      </c>
      <c r="HRY300" s="16" t="s">
        <v>1487</v>
      </c>
      <c r="HRZ300" s="16" t="s">
        <v>1487</v>
      </c>
      <c r="HSA300" s="16" t="s">
        <v>1487</v>
      </c>
      <c r="HSB300" s="16" t="s">
        <v>1487</v>
      </c>
      <c r="HSC300" s="16" t="s">
        <v>1487</v>
      </c>
      <c r="HSD300" s="16" t="s">
        <v>1487</v>
      </c>
      <c r="HSE300" s="16" t="s">
        <v>1487</v>
      </c>
      <c r="HSF300" s="16" t="s">
        <v>1487</v>
      </c>
      <c r="HSG300" s="16" t="s">
        <v>1487</v>
      </c>
      <c r="HSH300" s="16" t="s">
        <v>1487</v>
      </c>
      <c r="HSI300" s="16" t="s">
        <v>1487</v>
      </c>
      <c r="HSJ300" s="16" t="s">
        <v>1487</v>
      </c>
      <c r="HSK300" s="16" t="s">
        <v>1487</v>
      </c>
      <c r="HSL300" s="16" t="s">
        <v>1487</v>
      </c>
      <c r="HSM300" s="16" t="s">
        <v>1487</v>
      </c>
      <c r="HSN300" s="16" t="s">
        <v>1487</v>
      </c>
      <c r="HSO300" s="16" t="s">
        <v>1487</v>
      </c>
      <c r="HSP300" s="16" t="s">
        <v>1487</v>
      </c>
      <c r="HSQ300" s="16" t="s">
        <v>1487</v>
      </c>
      <c r="HSR300" s="16" t="s">
        <v>1487</v>
      </c>
      <c r="HSS300" s="16" t="s">
        <v>1487</v>
      </c>
      <c r="HST300" s="16" t="s">
        <v>1487</v>
      </c>
      <c r="HSU300" s="16" t="s">
        <v>1487</v>
      </c>
      <c r="HSV300" s="16" t="s">
        <v>1487</v>
      </c>
      <c r="HSW300" s="16" t="s">
        <v>1487</v>
      </c>
      <c r="HSX300" s="16" t="s">
        <v>1487</v>
      </c>
      <c r="HSY300" s="16" t="s">
        <v>1487</v>
      </c>
      <c r="HSZ300" s="16" t="s">
        <v>1487</v>
      </c>
      <c r="HTA300" s="16" t="s">
        <v>1487</v>
      </c>
      <c r="HTB300" s="16" t="s">
        <v>1487</v>
      </c>
      <c r="HTC300" s="16" t="s">
        <v>1487</v>
      </c>
      <c r="HTD300" s="16" t="s">
        <v>1487</v>
      </c>
      <c r="HTE300" s="16" t="s">
        <v>1487</v>
      </c>
      <c r="HTF300" s="16" t="s">
        <v>1487</v>
      </c>
      <c r="HTG300" s="16" t="s">
        <v>1487</v>
      </c>
      <c r="HTH300" s="16" t="s">
        <v>1487</v>
      </c>
      <c r="HTI300" s="16" t="s">
        <v>1487</v>
      </c>
      <c r="HTJ300" s="16" t="s">
        <v>1487</v>
      </c>
      <c r="HTK300" s="16" t="s">
        <v>1487</v>
      </c>
      <c r="HTL300" s="16" t="s">
        <v>1487</v>
      </c>
      <c r="HTM300" s="16" t="s">
        <v>1487</v>
      </c>
      <c r="HTN300" s="16" t="s">
        <v>1487</v>
      </c>
      <c r="HTO300" s="16" t="s">
        <v>1487</v>
      </c>
      <c r="HTP300" s="16" t="s">
        <v>1487</v>
      </c>
      <c r="HTQ300" s="16" t="s">
        <v>1487</v>
      </c>
      <c r="HTR300" s="16" t="s">
        <v>1487</v>
      </c>
      <c r="HTS300" s="16" t="s">
        <v>1487</v>
      </c>
      <c r="HTT300" s="16" t="s">
        <v>1487</v>
      </c>
      <c r="HTU300" s="16" t="s">
        <v>1487</v>
      </c>
      <c r="HTV300" s="16" t="s">
        <v>1487</v>
      </c>
      <c r="HTW300" s="16" t="s">
        <v>1487</v>
      </c>
      <c r="HTX300" s="16" t="s">
        <v>1487</v>
      </c>
      <c r="HTY300" s="16" t="s">
        <v>1487</v>
      </c>
      <c r="HTZ300" s="16" t="s">
        <v>1487</v>
      </c>
      <c r="HUA300" s="16" t="s">
        <v>1487</v>
      </c>
      <c r="HUB300" s="16" t="s">
        <v>1487</v>
      </c>
      <c r="HUC300" s="16" t="s">
        <v>1487</v>
      </c>
      <c r="HUD300" s="16" t="s">
        <v>1487</v>
      </c>
      <c r="HUE300" s="16" t="s">
        <v>1487</v>
      </c>
      <c r="HUF300" s="16" t="s">
        <v>1487</v>
      </c>
      <c r="HUG300" s="16" t="s">
        <v>1487</v>
      </c>
      <c r="HUH300" s="16" t="s">
        <v>1487</v>
      </c>
      <c r="HUI300" s="16" t="s">
        <v>1487</v>
      </c>
      <c r="HUJ300" s="16" t="s">
        <v>1487</v>
      </c>
      <c r="HUK300" s="16" t="s">
        <v>1487</v>
      </c>
      <c r="HUL300" s="16" t="s">
        <v>1487</v>
      </c>
      <c r="HUM300" s="16" t="s">
        <v>1487</v>
      </c>
      <c r="HUN300" s="16" t="s">
        <v>1487</v>
      </c>
      <c r="HUO300" s="16" t="s">
        <v>1487</v>
      </c>
      <c r="HUP300" s="16" t="s">
        <v>1487</v>
      </c>
      <c r="HUQ300" s="16" t="s">
        <v>1487</v>
      </c>
      <c r="HUR300" s="16" t="s">
        <v>1487</v>
      </c>
      <c r="HUS300" s="16" t="s">
        <v>1487</v>
      </c>
      <c r="HUT300" s="16" t="s">
        <v>1487</v>
      </c>
      <c r="HUU300" s="16" t="s">
        <v>1487</v>
      </c>
      <c r="HUV300" s="16" t="s">
        <v>1487</v>
      </c>
      <c r="HUW300" s="16" t="s">
        <v>1487</v>
      </c>
      <c r="HUX300" s="16" t="s">
        <v>1487</v>
      </c>
      <c r="HUY300" s="16" t="s">
        <v>1487</v>
      </c>
      <c r="HUZ300" s="16" t="s">
        <v>1487</v>
      </c>
      <c r="HVA300" s="16" t="s">
        <v>1487</v>
      </c>
      <c r="HVB300" s="16" t="s">
        <v>1487</v>
      </c>
      <c r="HVC300" s="16" t="s">
        <v>1487</v>
      </c>
      <c r="HVD300" s="16" t="s">
        <v>1487</v>
      </c>
      <c r="HVE300" s="16" t="s">
        <v>1487</v>
      </c>
      <c r="HVF300" s="16" t="s">
        <v>1487</v>
      </c>
      <c r="HVG300" s="16" t="s">
        <v>1487</v>
      </c>
      <c r="HVH300" s="16" t="s">
        <v>1487</v>
      </c>
      <c r="HVI300" s="16" t="s">
        <v>1487</v>
      </c>
      <c r="HVJ300" s="16" t="s">
        <v>1487</v>
      </c>
      <c r="HVK300" s="16" t="s">
        <v>1487</v>
      </c>
      <c r="HVL300" s="16" t="s">
        <v>1487</v>
      </c>
      <c r="HVM300" s="16" t="s">
        <v>1487</v>
      </c>
      <c r="HVN300" s="16" t="s">
        <v>1487</v>
      </c>
      <c r="HVO300" s="16" t="s">
        <v>1487</v>
      </c>
      <c r="HVP300" s="16" t="s">
        <v>1487</v>
      </c>
      <c r="HVQ300" s="16" t="s">
        <v>1487</v>
      </c>
      <c r="HVR300" s="16" t="s">
        <v>1487</v>
      </c>
      <c r="HVS300" s="16" t="s">
        <v>1487</v>
      </c>
      <c r="HVT300" s="16" t="s">
        <v>1487</v>
      </c>
      <c r="HVU300" s="16" t="s">
        <v>1487</v>
      </c>
      <c r="HVV300" s="16" t="s">
        <v>1487</v>
      </c>
      <c r="HVW300" s="16" t="s">
        <v>1487</v>
      </c>
      <c r="HVX300" s="16" t="s">
        <v>1487</v>
      </c>
      <c r="HVY300" s="16" t="s">
        <v>1487</v>
      </c>
      <c r="HVZ300" s="16" t="s">
        <v>1487</v>
      </c>
      <c r="HWA300" s="16" t="s">
        <v>1487</v>
      </c>
      <c r="HWB300" s="16" t="s">
        <v>1487</v>
      </c>
      <c r="HWC300" s="16" t="s">
        <v>1487</v>
      </c>
      <c r="HWD300" s="16" t="s">
        <v>1487</v>
      </c>
      <c r="HWE300" s="16" t="s">
        <v>1487</v>
      </c>
      <c r="HWF300" s="16" t="s">
        <v>1487</v>
      </c>
      <c r="HWG300" s="16" t="s">
        <v>1487</v>
      </c>
      <c r="HWH300" s="16" t="s">
        <v>1487</v>
      </c>
      <c r="HWI300" s="16" t="s">
        <v>1487</v>
      </c>
      <c r="HWJ300" s="16" t="s">
        <v>1487</v>
      </c>
      <c r="HWK300" s="16" t="s">
        <v>1487</v>
      </c>
      <c r="HWL300" s="16" t="s">
        <v>1487</v>
      </c>
      <c r="HWM300" s="16" t="s">
        <v>1487</v>
      </c>
      <c r="HWN300" s="16" t="s">
        <v>1487</v>
      </c>
      <c r="HWO300" s="16" t="s">
        <v>1487</v>
      </c>
      <c r="HWP300" s="16" t="s">
        <v>1487</v>
      </c>
      <c r="HWQ300" s="16" t="s">
        <v>1487</v>
      </c>
      <c r="HWR300" s="16" t="s">
        <v>1487</v>
      </c>
      <c r="HWS300" s="16" t="s">
        <v>1487</v>
      </c>
      <c r="HWT300" s="16" t="s">
        <v>1487</v>
      </c>
      <c r="HWU300" s="16" t="s">
        <v>1487</v>
      </c>
      <c r="HWV300" s="16" t="s">
        <v>1487</v>
      </c>
      <c r="HWW300" s="16" t="s">
        <v>1487</v>
      </c>
      <c r="HWX300" s="16" t="s">
        <v>1487</v>
      </c>
      <c r="HWY300" s="16" t="s">
        <v>1487</v>
      </c>
      <c r="HWZ300" s="16" t="s">
        <v>1487</v>
      </c>
      <c r="HXA300" s="16" t="s">
        <v>1487</v>
      </c>
      <c r="HXB300" s="16" t="s">
        <v>1487</v>
      </c>
      <c r="HXC300" s="16" t="s">
        <v>1487</v>
      </c>
      <c r="HXD300" s="16" t="s">
        <v>1487</v>
      </c>
      <c r="HXE300" s="16" t="s">
        <v>1487</v>
      </c>
      <c r="HXF300" s="16" t="s">
        <v>1487</v>
      </c>
      <c r="HXG300" s="16" t="s">
        <v>1487</v>
      </c>
      <c r="HXH300" s="16" t="s">
        <v>1487</v>
      </c>
      <c r="HXI300" s="16" t="s">
        <v>1487</v>
      </c>
      <c r="HXJ300" s="16" t="s">
        <v>1487</v>
      </c>
      <c r="HXK300" s="16" t="s">
        <v>1487</v>
      </c>
      <c r="HXL300" s="16" t="s">
        <v>1487</v>
      </c>
      <c r="HXM300" s="16" t="s">
        <v>1487</v>
      </c>
      <c r="HXN300" s="16" t="s">
        <v>1487</v>
      </c>
      <c r="HXO300" s="16" t="s">
        <v>1487</v>
      </c>
      <c r="HXP300" s="16" t="s">
        <v>1487</v>
      </c>
      <c r="HXQ300" s="16" t="s">
        <v>1487</v>
      </c>
      <c r="HXR300" s="16" t="s">
        <v>1487</v>
      </c>
      <c r="HXS300" s="16" t="s">
        <v>1487</v>
      </c>
      <c r="HXT300" s="16" t="s">
        <v>1487</v>
      </c>
      <c r="HXU300" s="16" t="s">
        <v>1487</v>
      </c>
      <c r="HXV300" s="16" t="s">
        <v>1487</v>
      </c>
      <c r="HXW300" s="16" t="s">
        <v>1487</v>
      </c>
      <c r="HXX300" s="16" t="s">
        <v>1487</v>
      </c>
      <c r="HXY300" s="16" t="s">
        <v>1487</v>
      </c>
      <c r="HXZ300" s="16" t="s">
        <v>1487</v>
      </c>
      <c r="HYA300" s="16" t="s">
        <v>1487</v>
      </c>
      <c r="HYB300" s="16" t="s">
        <v>1487</v>
      </c>
      <c r="HYC300" s="16" t="s">
        <v>1487</v>
      </c>
      <c r="HYD300" s="16" t="s">
        <v>1487</v>
      </c>
      <c r="HYE300" s="16" t="s">
        <v>1487</v>
      </c>
      <c r="HYF300" s="16" t="s">
        <v>1487</v>
      </c>
      <c r="HYG300" s="16" t="s">
        <v>1487</v>
      </c>
      <c r="HYH300" s="16" t="s">
        <v>1487</v>
      </c>
      <c r="HYI300" s="16" t="s">
        <v>1487</v>
      </c>
      <c r="HYJ300" s="16" t="s">
        <v>1487</v>
      </c>
      <c r="HYK300" s="16" t="s">
        <v>1487</v>
      </c>
      <c r="HYL300" s="16" t="s">
        <v>1487</v>
      </c>
      <c r="HYM300" s="16" t="s">
        <v>1487</v>
      </c>
      <c r="HYN300" s="16" t="s">
        <v>1487</v>
      </c>
      <c r="HYO300" s="16" t="s">
        <v>1487</v>
      </c>
      <c r="HYP300" s="16" t="s">
        <v>1487</v>
      </c>
      <c r="HYQ300" s="16" t="s">
        <v>1487</v>
      </c>
      <c r="HYR300" s="16" t="s">
        <v>1487</v>
      </c>
      <c r="HYS300" s="16" t="s">
        <v>1487</v>
      </c>
      <c r="HYT300" s="16" t="s">
        <v>1487</v>
      </c>
      <c r="HYU300" s="16" t="s">
        <v>1487</v>
      </c>
      <c r="HYV300" s="16" t="s">
        <v>1487</v>
      </c>
      <c r="HYW300" s="16" t="s">
        <v>1487</v>
      </c>
      <c r="HYX300" s="16" t="s">
        <v>1487</v>
      </c>
      <c r="HYY300" s="16" t="s">
        <v>1487</v>
      </c>
      <c r="HYZ300" s="16" t="s">
        <v>1487</v>
      </c>
      <c r="HZA300" s="16" t="s">
        <v>1487</v>
      </c>
      <c r="HZB300" s="16" t="s">
        <v>1487</v>
      </c>
      <c r="HZC300" s="16" t="s">
        <v>1487</v>
      </c>
      <c r="HZD300" s="16" t="s">
        <v>1487</v>
      </c>
      <c r="HZE300" s="16" t="s">
        <v>1487</v>
      </c>
      <c r="HZF300" s="16" t="s">
        <v>1487</v>
      </c>
      <c r="HZG300" s="16" t="s">
        <v>1487</v>
      </c>
      <c r="HZH300" s="16" t="s">
        <v>1487</v>
      </c>
      <c r="HZI300" s="16" t="s">
        <v>1487</v>
      </c>
      <c r="HZJ300" s="16" t="s">
        <v>1487</v>
      </c>
      <c r="HZK300" s="16" t="s">
        <v>1487</v>
      </c>
      <c r="HZL300" s="16" t="s">
        <v>1487</v>
      </c>
      <c r="HZM300" s="16" t="s">
        <v>1487</v>
      </c>
      <c r="HZN300" s="16" t="s">
        <v>1487</v>
      </c>
      <c r="HZO300" s="16" t="s">
        <v>1487</v>
      </c>
      <c r="HZP300" s="16" t="s">
        <v>1487</v>
      </c>
      <c r="HZQ300" s="16" t="s">
        <v>1487</v>
      </c>
      <c r="HZR300" s="16" t="s">
        <v>1487</v>
      </c>
      <c r="HZS300" s="16" t="s">
        <v>1487</v>
      </c>
      <c r="HZT300" s="16" t="s">
        <v>1487</v>
      </c>
      <c r="HZU300" s="16" t="s">
        <v>1487</v>
      </c>
      <c r="HZV300" s="16" t="s">
        <v>1487</v>
      </c>
      <c r="HZW300" s="16" t="s">
        <v>1487</v>
      </c>
      <c r="HZX300" s="16" t="s">
        <v>1487</v>
      </c>
      <c r="HZY300" s="16" t="s">
        <v>1487</v>
      </c>
      <c r="HZZ300" s="16" t="s">
        <v>1487</v>
      </c>
      <c r="IAA300" s="16" t="s">
        <v>1487</v>
      </c>
      <c r="IAB300" s="16" t="s">
        <v>1487</v>
      </c>
      <c r="IAC300" s="16" t="s">
        <v>1487</v>
      </c>
      <c r="IAD300" s="16" t="s">
        <v>1487</v>
      </c>
      <c r="IAE300" s="16" t="s">
        <v>1487</v>
      </c>
      <c r="IAF300" s="16" t="s">
        <v>1487</v>
      </c>
      <c r="IAG300" s="16" t="s">
        <v>1487</v>
      </c>
      <c r="IAH300" s="16" t="s">
        <v>1487</v>
      </c>
      <c r="IAI300" s="16" t="s">
        <v>1487</v>
      </c>
      <c r="IAJ300" s="16" t="s">
        <v>1487</v>
      </c>
      <c r="IAK300" s="16" t="s">
        <v>1487</v>
      </c>
      <c r="IAL300" s="16" t="s">
        <v>1487</v>
      </c>
      <c r="IAM300" s="16" t="s">
        <v>1487</v>
      </c>
      <c r="IAN300" s="16" t="s">
        <v>1487</v>
      </c>
      <c r="IAO300" s="16" t="s">
        <v>1487</v>
      </c>
      <c r="IAP300" s="16" t="s">
        <v>1487</v>
      </c>
      <c r="IAQ300" s="16" t="s">
        <v>1487</v>
      </c>
      <c r="IAR300" s="16" t="s">
        <v>1487</v>
      </c>
      <c r="IAS300" s="16" t="s">
        <v>1487</v>
      </c>
      <c r="IAT300" s="16" t="s">
        <v>1487</v>
      </c>
      <c r="IAU300" s="16" t="s">
        <v>1487</v>
      </c>
      <c r="IAV300" s="16" t="s">
        <v>1487</v>
      </c>
      <c r="IAW300" s="16" t="s">
        <v>1487</v>
      </c>
      <c r="IAX300" s="16" t="s">
        <v>1487</v>
      </c>
      <c r="IAY300" s="16" t="s">
        <v>1487</v>
      </c>
      <c r="IAZ300" s="16" t="s">
        <v>1487</v>
      </c>
      <c r="IBA300" s="16" t="s">
        <v>1487</v>
      </c>
      <c r="IBB300" s="16" t="s">
        <v>1487</v>
      </c>
      <c r="IBC300" s="16" t="s">
        <v>1487</v>
      </c>
      <c r="IBD300" s="16" t="s">
        <v>1487</v>
      </c>
      <c r="IBE300" s="16" t="s">
        <v>1487</v>
      </c>
      <c r="IBF300" s="16" t="s">
        <v>1487</v>
      </c>
      <c r="IBG300" s="16" t="s">
        <v>1487</v>
      </c>
      <c r="IBH300" s="16" t="s">
        <v>1487</v>
      </c>
      <c r="IBI300" s="16" t="s">
        <v>1487</v>
      </c>
      <c r="IBJ300" s="16" t="s">
        <v>1487</v>
      </c>
      <c r="IBK300" s="16" t="s">
        <v>1487</v>
      </c>
      <c r="IBL300" s="16" t="s">
        <v>1487</v>
      </c>
      <c r="IBM300" s="16" t="s">
        <v>1487</v>
      </c>
      <c r="IBN300" s="16" t="s">
        <v>1487</v>
      </c>
      <c r="IBO300" s="16" t="s">
        <v>1487</v>
      </c>
      <c r="IBP300" s="16" t="s">
        <v>1487</v>
      </c>
      <c r="IBQ300" s="16" t="s">
        <v>1487</v>
      </c>
      <c r="IBR300" s="16" t="s">
        <v>1487</v>
      </c>
      <c r="IBS300" s="16" t="s">
        <v>1487</v>
      </c>
      <c r="IBT300" s="16" t="s">
        <v>1487</v>
      </c>
      <c r="IBU300" s="16" t="s">
        <v>1487</v>
      </c>
      <c r="IBV300" s="16" t="s">
        <v>1487</v>
      </c>
      <c r="IBW300" s="16" t="s">
        <v>1487</v>
      </c>
      <c r="IBX300" s="16" t="s">
        <v>1487</v>
      </c>
      <c r="IBY300" s="16" t="s">
        <v>1487</v>
      </c>
      <c r="IBZ300" s="16" t="s">
        <v>1487</v>
      </c>
      <c r="ICA300" s="16" t="s">
        <v>1487</v>
      </c>
      <c r="ICB300" s="16" t="s">
        <v>1487</v>
      </c>
      <c r="ICC300" s="16" t="s">
        <v>1487</v>
      </c>
      <c r="ICD300" s="16" t="s">
        <v>1487</v>
      </c>
      <c r="ICE300" s="16" t="s">
        <v>1487</v>
      </c>
      <c r="ICF300" s="16" t="s">
        <v>1487</v>
      </c>
      <c r="ICG300" s="16" t="s">
        <v>1487</v>
      </c>
      <c r="ICH300" s="16" t="s">
        <v>1487</v>
      </c>
      <c r="ICI300" s="16" t="s">
        <v>1487</v>
      </c>
      <c r="ICJ300" s="16" t="s">
        <v>1487</v>
      </c>
      <c r="ICK300" s="16" t="s">
        <v>1487</v>
      </c>
      <c r="ICL300" s="16" t="s">
        <v>1487</v>
      </c>
      <c r="ICM300" s="16" t="s">
        <v>1487</v>
      </c>
      <c r="ICN300" s="16" t="s">
        <v>1487</v>
      </c>
      <c r="ICO300" s="16" t="s">
        <v>1487</v>
      </c>
      <c r="ICP300" s="16" t="s">
        <v>1487</v>
      </c>
      <c r="ICQ300" s="16" t="s">
        <v>1487</v>
      </c>
      <c r="ICR300" s="16" t="s">
        <v>1487</v>
      </c>
      <c r="ICS300" s="16" t="s">
        <v>1487</v>
      </c>
      <c r="ICT300" s="16" t="s">
        <v>1487</v>
      </c>
      <c r="ICU300" s="16" t="s">
        <v>1487</v>
      </c>
      <c r="ICV300" s="16" t="s">
        <v>1487</v>
      </c>
      <c r="ICW300" s="16" t="s">
        <v>1487</v>
      </c>
      <c r="ICX300" s="16" t="s">
        <v>1487</v>
      </c>
      <c r="ICY300" s="16" t="s">
        <v>1487</v>
      </c>
      <c r="ICZ300" s="16" t="s">
        <v>1487</v>
      </c>
      <c r="IDA300" s="16" t="s">
        <v>1487</v>
      </c>
      <c r="IDB300" s="16" t="s">
        <v>1487</v>
      </c>
      <c r="IDC300" s="16" t="s">
        <v>1487</v>
      </c>
      <c r="IDD300" s="16" t="s">
        <v>1487</v>
      </c>
      <c r="IDE300" s="16" t="s">
        <v>1487</v>
      </c>
      <c r="IDF300" s="16" t="s">
        <v>1487</v>
      </c>
      <c r="IDG300" s="16" t="s">
        <v>1487</v>
      </c>
      <c r="IDH300" s="16" t="s">
        <v>1487</v>
      </c>
      <c r="IDI300" s="16" t="s">
        <v>1487</v>
      </c>
      <c r="IDJ300" s="16" t="s">
        <v>1487</v>
      </c>
      <c r="IDK300" s="16" t="s">
        <v>1487</v>
      </c>
      <c r="IDL300" s="16" t="s">
        <v>1487</v>
      </c>
      <c r="IDM300" s="16" t="s">
        <v>1487</v>
      </c>
      <c r="IDN300" s="16" t="s">
        <v>1487</v>
      </c>
      <c r="IDO300" s="16" t="s">
        <v>1487</v>
      </c>
      <c r="IDP300" s="16" t="s">
        <v>1487</v>
      </c>
      <c r="IDQ300" s="16" t="s">
        <v>1487</v>
      </c>
      <c r="IDR300" s="16" t="s">
        <v>1487</v>
      </c>
      <c r="IDS300" s="16" t="s">
        <v>1487</v>
      </c>
      <c r="IDT300" s="16" t="s">
        <v>1487</v>
      </c>
      <c r="IDU300" s="16" t="s">
        <v>1487</v>
      </c>
      <c r="IDV300" s="16" t="s">
        <v>1487</v>
      </c>
      <c r="IDW300" s="16" t="s">
        <v>1487</v>
      </c>
      <c r="IDX300" s="16" t="s">
        <v>1487</v>
      </c>
      <c r="IDY300" s="16" t="s">
        <v>1487</v>
      </c>
      <c r="IDZ300" s="16" t="s">
        <v>1487</v>
      </c>
      <c r="IEA300" s="16" t="s">
        <v>1487</v>
      </c>
      <c r="IEB300" s="16" t="s">
        <v>1487</v>
      </c>
      <c r="IEC300" s="16" t="s">
        <v>1487</v>
      </c>
      <c r="IED300" s="16" t="s">
        <v>1487</v>
      </c>
      <c r="IEE300" s="16" t="s">
        <v>1487</v>
      </c>
      <c r="IEF300" s="16" t="s">
        <v>1487</v>
      </c>
      <c r="IEG300" s="16" t="s">
        <v>1487</v>
      </c>
      <c r="IEH300" s="16" t="s">
        <v>1487</v>
      </c>
      <c r="IEI300" s="16" t="s">
        <v>1487</v>
      </c>
      <c r="IEJ300" s="16" t="s">
        <v>1487</v>
      </c>
      <c r="IEK300" s="16" t="s">
        <v>1487</v>
      </c>
      <c r="IEL300" s="16" t="s">
        <v>1487</v>
      </c>
      <c r="IEM300" s="16" t="s">
        <v>1487</v>
      </c>
      <c r="IEN300" s="16" t="s">
        <v>1487</v>
      </c>
      <c r="IEO300" s="16" t="s">
        <v>1487</v>
      </c>
      <c r="IEP300" s="16" t="s">
        <v>1487</v>
      </c>
      <c r="IEQ300" s="16" t="s">
        <v>1487</v>
      </c>
      <c r="IER300" s="16" t="s">
        <v>1487</v>
      </c>
      <c r="IES300" s="16" t="s">
        <v>1487</v>
      </c>
      <c r="IET300" s="16" t="s">
        <v>1487</v>
      </c>
      <c r="IEU300" s="16" t="s">
        <v>1487</v>
      </c>
      <c r="IEV300" s="16" t="s">
        <v>1487</v>
      </c>
      <c r="IEW300" s="16" t="s">
        <v>1487</v>
      </c>
      <c r="IEX300" s="16" t="s">
        <v>1487</v>
      </c>
      <c r="IEY300" s="16" t="s">
        <v>1487</v>
      </c>
      <c r="IEZ300" s="16" t="s">
        <v>1487</v>
      </c>
      <c r="IFA300" s="16" t="s">
        <v>1487</v>
      </c>
      <c r="IFB300" s="16" t="s">
        <v>1487</v>
      </c>
      <c r="IFC300" s="16" t="s">
        <v>1487</v>
      </c>
      <c r="IFD300" s="16" t="s">
        <v>1487</v>
      </c>
      <c r="IFE300" s="16" t="s">
        <v>1487</v>
      </c>
      <c r="IFF300" s="16" t="s">
        <v>1487</v>
      </c>
      <c r="IFG300" s="16" t="s">
        <v>1487</v>
      </c>
      <c r="IFH300" s="16" t="s">
        <v>1487</v>
      </c>
      <c r="IFI300" s="16" t="s">
        <v>1487</v>
      </c>
      <c r="IFJ300" s="16" t="s">
        <v>1487</v>
      </c>
      <c r="IFK300" s="16" t="s">
        <v>1487</v>
      </c>
      <c r="IFL300" s="16" t="s">
        <v>1487</v>
      </c>
      <c r="IFM300" s="16" t="s">
        <v>1487</v>
      </c>
      <c r="IFN300" s="16" t="s">
        <v>1487</v>
      </c>
      <c r="IFO300" s="16" t="s">
        <v>1487</v>
      </c>
      <c r="IFP300" s="16" t="s">
        <v>1487</v>
      </c>
      <c r="IFQ300" s="16" t="s">
        <v>1487</v>
      </c>
      <c r="IFR300" s="16" t="s">
        <v>1487</v>
      </c>
      <c r="IFS300" s="16" t="s">
        <v>1487</v>
      </c>
      <c r="IFT300" s="16" t="s">
        <v>1487</v>
      </c>
      <c r="IFU300" s="16" t="s">
        <v>1487</v>
      </c>
      <c r="IFV300" s="16" t="s">
        <v>1487</v>
      </c>
      <c r="IFW300" s="16" t="s">
        <v>1487</v>
      </c>
      <c r="IFX300" s="16" t="s">
        <v>1487</v>
      </c>
      <c r="IFY300" s="16" t="s">
        <v>1487</v>
      </c>
      <c r="IFZ300" s="16" t="s">
        <v>1487</v>
      </c>
      <c r="IGA300" s="16" t="s">
        <v>1487</v>
      </c>
      <c r="IGB300" s="16" t="s">
        <v>1487</v>
      </c>
      <c r="IGC300" s="16" t="s">
        <v>1487</v>
      </c>
      <c r="IGD300" s="16" t="s">
        <v>1487</v>
      </c>
      <c r="IGE300" s="16" t="s">
        <v>1487</v>
      </c>
      <c r="IGF300" s="16" t="s">
        <v>1487</v>
      </c>
      <c r="IGG300" s="16" t="s">
        <v>1487</v>
      </c>
      <c r="IGH300" s="16" t="s">
        <v>1487</v>
      </c>
      <c r="IGI300" s="16" t="s">
        <v>1487</v>
      </c>
      <c r="IGJ300" s="16" t="s">
        <v>1487</v>
      </c>
      <c r="IGK300" s="16" t="s">
        <v>1487</v>
      </c>
      <c r="IGL300" s="16" t="s">
        <v>1487</v>
      </c>
      <c r="IGM300" s="16" t="s">
        <v>1487</v>
      </c>
      <c r="IGN300" s="16" t="s">
        <v>1487</v>
      </c>
      <c r="IGO300" s="16" t="s">
        <v>1487</v>
      </c>
      <c r="IGP300" s="16" t="s">
        <v>1487</v>
      </c>
      <c r="IGQ300" s="16" t="s">
        <v>1487</v>
      </c>
      <c r="IGR300" s="16" t="s">
        <v>1487</v>
      </c>
      <c r="IGS300" s="16" t="s">
        <v>1487</v>
      </c>
      <c r="IGT300" s="16" t="s">
        <v>1487</v>
      </c>
      <c r="IGU300" s="16" t="s">
        <v>1487</v>
      </c>
      <c r="IGV300" s="16" t="s">
        <v>1487</v>
      </c>
      <c r="IGW300" s="16" t="s">
        <v>1487</v>
      </c>
      <c r="IGX300" s="16" t="s">
        <v>1487</v>
      </c>
      <c r="IGY300" s="16" t="s">
        <v>1487</v>
      </c>
      <c r="IGZ300" s="16" t="s">
        <v>1487</v>
      </c>
      <c r="IHA300" s="16" t="s">
        <v>1487</v>
      </c>
      <c r="IHB300" s="16" t="s">
        <v>1487</v>
      </c>
      <c r="IHC300" s="16" t="s">
        <v>1487</v>
      </c>
      <c r="IHD300" s="16" t="s">
        <v>1487</v>
      </c>
      <c r="IHE300" s="16" t="s">
        <v>1487</v>
      </c>
      <c r="IHF300" s="16" t="s">
        <v>1487</v>
      </c>
      <c r="IHG300" s="16" t="s">
        <v>1487</v>
      </c>
      <c r="IHH300" s="16" t="s">
        <v>1487</v>
      </c>
      <c r="IHI300" s="16" t="s">
        <v>1487</v>
      </c>
      <c r="IHJ300" s="16" t="s">
        <v>1487</v>
      </c>
      <c r="IHK300" s="16" t="s">
        <v>1487</v>
      </c>
      <c r="IHL300" s="16" t="s">
        <v>1487</v>
      </c>
      <c r="IHM300" s="16" t="s">
        <v>1487</v>
      </c>
      <c r="IHN300" s="16" t="s">
        <v>1487</v>
      </c>
      <c r="IHO300" s="16" t="s">
        <v>1487</v>
      </c>
      <c r="IHP300" s="16" t="s">
        <v>1487</v>
      </c>
      <c r="IHQ300" s="16" t="s">
        <v>1487</v>
      </c>
      <c r="IHR300" s="16" t="s">
        <v>1487</v>
      </c>
      <c r="IHS300" s="16" t="s">
        <v>1487</v>
      </c>
      <c r="IHT300" s="16" t="s">
        <v>1487</v>
      </c>
      <c r="IHU300" s="16" t="s">
        <v>1487</v>
      </c>
      <c r="IHV300" s="16" t="s">
        <v>1487</v>
      </c>
      <c r="IHW300" s="16" t="s">
        <v>1487</v>
      </c>
      <c r="IHX300" s="16" t="s">
        <v>1487</v>
      </c>
      <c r="IHY300" s="16" t="s">
        <v>1487</v>
      </c>
      <c r="IHZ300" s="16" t="s">
        <v>1487</v>
      </c>
      <c r="IIA300" s="16" t="s">
        <v>1487</v>
      </c>
      <c r="IIB300" s="16" t="s">
        <v>1487</v>
      </c>
      <c r="IIC300" s="16" t="s">
        <v>1487</v>
      </c>
      <c r="IID300" s="16" t="s">
        <v>1487</v>
      </c>
      <c r="IIE300" s="16" t="s">
        <v>1487</v>
      </c>
      <c r="IIF300" s="16" t="s">
        <v>1487</v>
      </c>
      <c r="IIG300" s="16" t="s">
        <v>1487</v>
      </c>
      <c r="IIH300" s="16" t="s">
        <v>1487</v>
      </c>
      <c r="III300" s="16" t="s">
        <v>1487</v>
      </c>
      <c r="IIJ300" s="16" t="s">
        <v>1487</v>
      </c>
      <c r="IIK300" s="16" t="s">
        <v>1487</v>
      </c>
      <c r="IIL300" s="16" t="s">
        <v>1487</v>
      </c>
      <c r="IIM300" s="16" t="s">
        <v>1487</v>
      </c>
      <c r="IIN300" s="16" t="s">
        <v>1487</v>
      </c>
      <c r="IIO300" s="16" t="s">
        <v>1487</v>
      </c>
      <c r="IIP300" s="16" t="s">
        <v>1487</v>
      </c>
      <c r="IIQ300" s="16" t="s">
        <v>1487</v>
      </c>
      <c r="IIR300" s="16" t="s">
        <v>1487</v>
      </c>
      <c r="IIS300" s="16" t="s">
        <v>1487</v>
      </c>
      <c r="IIT300" s="16" t="s">
        <v>1487</v>
      </c>
      <c r="IIU300" s="16" t="s">
        <v>1487</v>
      </c>
      <c r="IIV300" s="16" t="s">
        <v>1487</v>
      </c>
      <c r="IIW300" s="16" t="s">
        <v>1487</v>
      </c>
      <c r="IIX300" s="16" t="s">
        <v>1487</v>
      </c>
      <c r="IIY300" s="16" t="s">
        <v>1487</v>
      </c>
      <c r="IIZ300" s="16" t="s">
        <v>1487</v>
      </c>
      <c r="IJA300" s="16" t="s">
        <v>1487</v>
      </c>
      <c r="IJB300" s="16" t="s">
        <v>1487</v>
      </c>
      <c r="IJC300" s="16" t="s">
        <v>1487</v>
      </c>
      <c r="IJD300" s="16" t="s">
        <v>1487</v>
      </c>
      <c r="IJE300" s="16" t="s">
        <v>1487</v>
      </c>
      <c r="IJF300" s="16" t="s">
        <v>1487</v>
      </c>
      <c r="IJG300" s="16" t="s">
        <v>1487</v>
      </c>
      <c r="IJH300" s="16" t="s">
        <v>1487</v>
      </c>
      <c r="IJI300" s="16" t="s">
        <v>1487</v>
      </c>
      <c r="IJJ300" s="16" t="s">
        <v>1487</v>
      </c>
      <c r="IJK300" s="16" t="s">
        <v>1487</v>
      </c>
      <c r="IJL300" s="16" t="s">
        <v>1487</v>
      </c>
      <c r="IJM300" s="16" t="s">
        <v>1487</v>
      </c>
      <c r="IJN300" s="16" t="s">
        <v>1487</v>
      </c>
      <c r="IJO300" s="16" t="s">
        <v>1487</v>
      </c>
      <c r="IJP300" s="16" t="s">
        <v>1487</v>
      </c>
      <c r="IJQ300" s="16" t="s">
        <v>1487</v>
      </c>
      <c r="IJR300" s="16" t="s">
        <v>1487</v>
      </c>
      <c r="IJS300" s="16" t="s">
        <v>1487</v>
      </c>
      <c r="IJT300" s="16" t="s">
        <v>1487</v>
      </c>
      <c r="IJU300" s="16" t="s">
        <v>1487</v>
      </c>
      <c r="IJV300" s="16" t="s">
        <v>1487</v>
      </c>
      <c r="IJW300" s="16" t="s">
        <v>1487</v>
      </c>
      <c r="IJX300" s="16" t="s">
        <v>1487</v>
      </c>
      <c r="IJY300" s="16" t="s">
        <v>1487</v>
      </c>
      <c r="IJZ300" s="16" t="s">
        <v>1487</v>
      </c>
      <c r="IKA300" s="16" t="s">
        <v>1487</v>
      </c>
      <c r="IKB300" s="16" t="s">
        <v>1487</v>
      </c>
      <c r="IKC300" s="16" t="s">
        <v>1487</v>
      </c>
      <c r="IKD300" s="16" t="s">
        <v>1487</v>
      </c>
      <c r="IKE300" s="16" t="s">
        <v>1487</v>
      </c>
      <c r="IKF300" s="16" t="s">
        <v>1487</v>
      </c>
      <c r="IKG300" s="16" t="s">
        <v>1487</v>
      </c>
      <c r="IKH300" s="16" t="s">
        <v>1487</v>
      </c>
      <c r="IKI300" s="16" t="s">
        <v>1487</v>
      </c>
      <c r="IKJ300" s="16" t="s">
        <v>1487</v>
      </c>
      <c r="IKK300" s="16" t="s">
        <v>1487</v>
      </c>
      <c r="IKL300" s="16" t="s">
        <v>1487</v>
      </c>
      <c r="IKM300" s="16" t="s">
        <v>1487</v>
      </c>
      <c r="IKN300" s="16" t="s">
        <v>1487</v>
      </c>
      <c r="IKO300" s="16" t="s">
        <v>1487</v>
      </c>
      <c r="IKP300" s="16" t="s">
        <v>1487</v>
      </c>
      <c r="IKQ300" s="16" t="s">
        <v>1487</v>
      </c>
      <c r="IKR300" s="16" t="s">
        <v>1487</v>
      </c>
      <c r="IKS300" s="16" t="s">
        <v>1487</v>
      </c>
      <c r="IKT300" s="16" t="s">
        <v>1487</v>
      </c>
      <c r="IKU300" s="16" t="s">
        <v>1487</v>
      </c>
      <c r="IKV300" s="16" t="s">
        <v>1487</v>
      </c>
      <c r="IKW300" s="16" t="s">
        <v>1487</v>
      </c>
      <c r="IKX300" s="16" t="s">
        <v>1487</v>
      </c>
      <c r="IKY300" s="16" t="s">
        <v>1487</v>
      </c>
      <c r="IKZ300" s="16" t="s">
        <v>1487</v>
      </c>
      <c r="ILA300" s="16" t="s">
        <v>1487</v>
      </c>
      <c r="ILB300" s="16" t="s">
        <v>1487</v>
      </c>
      <c r="ILC300" s="16" t="s">
        <v>1487</v>
      </c>
      <c r="ILD300" s="16" t="s">
        <v>1487</v>
      </c>
      <c r="ILE300" s="16" t="s">
        <v>1487</v>
      </c>
      <c r="ILF300" s="16" t="s">
        <v>1487</v>
      </c>
      <c r="ILG300" s="16" t="s">
        <v>1487</v>
      </c>
      <c r="ILH300" s="16" t="s">
        <v>1487</v>
      </c>
      <c r="ILI300" s="16" t="s">
        <v>1487</v>
      </c>
      <c r="ILJ300" s="16" t="s">
        <v>1487</v>
      </c>
      <c r="ILK300" s="16" t="s">
        <v>1487</v>
      </c>
      <c r="ILL300" s="16" t="s">
        <v>1487</v>
      </c>
      <c r="ILM300" s="16" t="s">
        <v>1487</v>
      </c>
      <c r="ILN300" s="16" t="s">
        <v>1487</v>
      </c>
      <c r="ILO300" s="16" t="s">
        <v>1487</v>
      </c>
      <c r="ILP300" s="16" t="s">
        <v>1487</v>
      </c>
      <c r="ILQ300" s="16" t="s">
        <v>1487</v>
      </c>
      <c r="ILR300" s="16" t="s">
        <v>1487</v>
      </c>
      <c r="ILS300" s="16" t="s">
        <v>1487</v>
      </c>
      <c r="ILT300" s="16" t="s">
        <v>1487</v>
      </c>
      <c r="ILU300" s="16" t="s">
        <v>1487</v>
      </c>
      <c r="ILV300" s="16" t="s">
        <v>1487</v>
      </c>
      <c r="ILW300" s="16" t="s">
        <v>1487</v>
      </c>
      <c r="ILX300" s="16" t="s">
        <v>1487</v>
      </c>
      <c r="ILY300" s="16" t="s">
        <v>1487</v>
      </c>
      <c r="ILZ300" s="16" t="s">
        <v>1487</v>
      </c>
      <c r="IMA300" s="16" t="s">
        <v>1487</v>
      </c>
      <c r="IMB300" s="16" t="s">
        <v>1487</v>
      </c>
      <c r="IMC300" s="16" t="s">
        <v>1487</v>
      </c>
      <c r="IMD300" s="16" t="s">
        <v>1487</v>
      </c>
      <c r="IME300" s="16" t="s">
        <v>1487</v>
      </c>
      <c r="IMF300" s="16" t="s">
        <v>1487</v>
      </c>
      <c r="IMG300" s="16" t="s">
        <v>1487</v>
      </c>
      <c r="IMH300" s="16" t="s">
        <v>1487</v>
      </c>
      <c r="IMI300" s="16" t="s">
        <v>1487</v>
      </c>
      <c r="IMJ300" s="16" t="s">
        <v>1487</v>
      </c>
      <c r="IMK300" s="16" t="s">
        <v>1487</v>
      </c>
      <c r="IML300" s="16" t="s">
        <v>1487</v>
      </c>
      <c r="IMM300" s="16" t="s">
        <v>1487</v>
      </c>
      <c r="IMN300" s="16" t="s">
        <v>1487</v>
      </c>
      <c r="IMO300" s="16" t="s">
        <v>1487</v>
      </c>
      <c r="IMP300" s="16" t="s">
        <v>1487</v>
      </c>
      <c r="IMQ300" s="16" t="s">
        <v>1487</v>
      </c>
      <c r="IMR300" s="16" t="s">
        <v>1487</v>
      </c>
      <c r="IMS300" s="16" t="s">
        <v>1487</v>
      </c>
      <c r="IMT300" s="16" t="s">
        <v>1487</v>
      </c>
      <c r="IMU300" s="16" t="s">
        <v>1487</v>
      </c>
      <c r="IMV300" s="16" t="s">
        <v>1487</v>
      </c>
      <c r="IMW300" s="16" t="s">
        <v>1487</v>
      </c>
      <c r="IMX300" s="16" t="s">
        <v>1487</v>
      </c>
      <c r="IMY300" s="16" t="s">
        <v>1487</v>
      </c>
      <c r="IMZ300" s="16" t="s">
        <v>1487</v>
      </c>
      <c r="INA300" s="16" t="s">
        <v>1487</v>
      </c>
      <c r="INB300" s="16" t="s">
        <v>1487</v>
      </c>
      <c r="INC300" s="16" t="s">
        <v>1487</v>
      </c>
      <c r="IND300" s="16" t="s">
        <v>1487</v>
      </c>
      <c r="INE300" s="16" t="s">
        <v>1487</v>
      </c>
      <c r="INF300" s="16" t="s">
        <v>1487</v>
      </c>
      <c r="ING300" s="16" t="s">
        <v>1487</v>
      </c>
      <c r="INH300" s="16" t="s">
        <v>1487</v>
      </c>
      <c r="INI300" s="16" t="s">
        <v>1487</v>
      </c>
      <c r="INJ300" s="16" t="s">
        <v>1487</v>
      </c>
      <c r="INK300" s="16" t="s">
        <v>1487</v>
      </c>
      <c r="INL300" s="16" t="s">
        <v>1487</v>
      </c>
      <c r="INM300" s="16" t="s">
        <v>1487</v>
      </c>
      <c r="INN300" s="16" t="s">
        <v>1487</v>
      </c>
      <c r="INO300" s="16" t="s">
        <v>1487</v>
      </c>
      <c r="INP300" s="16" t="s">
        <v>1487</v>
      </c>
      <c r="INQ300" s="16" t="s">
        <v>1487</v>
      </c>
      <c r="INR300" s="16" t="s">
        <v>1487</v>
      </c>
      <c r="INS300" s="16" t="s">
        <v>1487</v>
      </c>
      <c r="INT300" s="16" t="s">
        <v>1487</v>
      </c>
      <c r="INU300" s="16" t="s">
        <v>1487</v>
      </c>
      <c r="INV300" s="16" t="s">
        <v>1487</v>
      </c>
      <c r="INW300" s="16" t="s">
        <v>1487</v>
      </c>
      <c r="INX300" s="16" t="s">
        <v>1487</v>
      </c>
      <c r="INY300" s="16" t="s">
        <v>1487</v>
      </c>
      <c r="INZ300" s="16" t="s">
        <v>1487</v>
      </c>
      <c r="IOA300" s="16" t="s">
        <v>1487</v>
      </c>
      <c r="IOB300" s="16" t="s">
        <v>1487</v>
      </c>
      <c r="IOC300" s="16" t="s">
        <v>1487</v>
      </c>
      <c r="IOD300" s="16" t="s">
        <v>1487</v>
      </c>
      <c r="IOE300" s="16" t="s">
        <v>1487</v>
      </c>
      <c r="IOF300" s="16" t="s">
        <v>1487</v>
      </c>
      <c r="IOG300" s="16" t="s">
        <v>1487</v>
      </c>
      <c r="IOH300" s="16" t="s">
        <v>1487</v>
      </c>
      <c r="IOI300" s="16" t="s">
        <v>1487</v>
      </c>
      <c r="IOJ300" s="16" t="s">
        <v>1487</v>
      </c>
      <c r="IOK300" s="16" t="s">
        <v>1487</v>
      </c>
      <c r="IOL300" s="16" t="s">
        <v>1487</v>
      </c>
      <c r="IOM300" s="16" t="s">
        <v>1487</v>
      </c>
      <c r="ION300" s="16" t="s">
        <v>1487</v>
      </c>
      <c r="IOO300" s="16" t="s">
        <v>1487</v>
      </c>
      <c r="IOP300" s="16" t="s">
        <v>1487</v>
      </c>
      <c r="IOQ300" s="16" t="s">
        <v>1487</v>
      </c>
      <c r="IOR300" s="16" t="s">
        <v>1487</v>
      </c>
      <c r="IOS300" s="16" t="s">
        <v>1487</v>
      </c>
      <c r="IOT300" s="16" t="s">
        <v>1487</v>
      </c>
      <c r="IOU300" s="16" t="s">
        <v>1487</v>
      </c>
      <c r="IOV300" s="16" t="s">
        <v>1487</v>
      </c>
      <c r="IOW300" s="16" t="s">
        <v>1487</v>
      </c>
      <c r="IOX300" s="16" t="s">
        <v>1487</v>
      </c>
      <c r="IOY300" s="16" t="s">
        <v>1487</v>
      </c>
      <c r="IOZ300" s="16" t="s">
        <v>1487</v>
      </c>
      <c r="IPA300" s="16" t="s">
        <v>1487</v>
      </c>
      <c r="IPB300" s="16" t="s">
        <v>1487</v>
      </c>
      <c r="IPC300" s="16" t="s">
        <v>1487</v>
      </c>
      <c r="IPD300" s="16" t="s">
        <v>1487</v>
      </c>
      <c r="IPE300" s="16" t="s">
        <v>1487</v>
      </c>
      <c r="IPF300" s="16" t="s">
        <v>1487</v>
      </c>
      <c r="IPG300" s="16" t="s">
        <v>1487</v>
      </c>
      <c r="IPH300" s="16" t="s">
        <v>1487</v>
      </c>
      <c r="IPI300" s="16" t="s">
        <v>1487</v>
      </c>
      <c r="IPJ300" s="16" t="s">
        <v>1487</v>
      </c>
      <c r="IPK300" s="16" t="s">
        <v>1487</v>
      </c>
      <c r="IPL300" s="16" t="s">
        <v>1487</v>
      </c>
      <c r="IPM300" s="16" t="s">
        <v>1487</v>
      </c>
      <c r="IPN300" s="16" t="s">
        <v>1487</v>
      </c>
      <c r="IPO300" s="16" t="s">
        <v>1487</v>
      </c>
      <c r="IPP300" s="16" t="s">
        <v>1487</v>
      </c>
      <c r="IPQ300" s="16" t="s">
        <v>1487</v>
      </c>
      <c r="IPR300" s="16" t="s">
        <v>1487</v>
      </c>
      <c r="IPS300" s="16" t="s">
        <v>1487</v>
      </c>
      <c r="IPT300" s="16" t="s">
        <v>1487</v>
      </c>
      <c r="IPU300" s="16" t="s">
        <v>1487</v>
      </c>
      <c r="IPV300" s="16" t="s">
        <v>1487</v>
      </c>
      <c r="IPW300" s="16" t="s">
        <v>1487</v>
      </c>
      <c r="IPX300" s="16" t="s">
        <v>1487</v>
      </c>
      <c r="IPY300" s="16" t="s">
        <v>1487</v>
      </c>
      <c r="IPZ300" s="16" t="s">
        <v>1487</v>
      </c>
      <c r="IQA300" s="16" t="s">
        <v>1487</v>
      </c>
      <c r="IQB300" s="16" t="s">
        <v>1487</v>
      </c>
      <c r="IQC300" s="16" t="s">
        <v>1487</v>
      </c>
      <c r="IQD300" s="16" t="s">
        <v>1487</v>
      </c>
      <c r="IQE300" s="16" t="s">
        <v>1487</v>
      </c>
      <c r="IQF300" s="16" t="s">
        <v>1487</v>
      </c>
      <c r="IQG300" s="16" t="s">
        <v>1487</v>
      </c>
      <c r="IQH300" s="16" t="s">
        <v>1487</v>
      </c>
      <c r="IQI300" s="16" t="s">
        <v>1487</v>
      </c>
      <c r="IQJ300" s="16" t="s">
        <v>1487</v>
      </c>
      <c r="IQK300" s="16" t="s">
        <v>1487</v>
      </c>
      <c r="IQL300" s="16" t="s">
        <v>1487</v>
      </c>
      <c r="IQM300" s="16" t="s">
        <v>1487</v>
      </c>
      <c r="IQN300" s="16" t="s">
        <v>1487</v>
      </c>
      <c r="IQO300" s="16" t="s">
        <v>1487</v>
      </c>
      <c r="IQP300" s="16" t="s">
        <v>1487</v>
      </c>
      <c r="IQQ300" s="16" t="s">
        <v>1487</v>
      </c>
      <c r="IQR300" s="16" t="s">
        <v>1487</v>
      </c>
      <c r="IQS300" s="16" t="s">
        <v>1487</v>
      </c>
      <c r="IQT300" s="16" t="s">
        <v>1487</v>
      </c>
      <c r="IQU300" s="16" t="s">
        <v>1487</v>
      </c>
      <c r="IQV300" s="16" t="s">
        <v>1487</v>
      </c>
      <c r="IQW300" s="16" t="s">
        <v>1487</v>
      </c>
      <c r="IQX300" s="16" t="s">
        <v>1487</v>
      </c>
      <c r="IQY300" s="16" t="s">
        <v>1487</v>
      </c>
      <c r="IQZ300" s="16" t="s">
        <v>1487</v>
      </c>
      <c r="IRA300" s="16" t="s">
        <v>1487</v>
      </c>
      <c r="IRB300" s="16" t="s">
        <v>1487</v>
      </c>
      <c r="IRC300" s="16" t="s">
        <v>1487</v>
      </c>
      <c r="IRD300" s="16" t="s">
        <v>1487</v>
      </c>
      <c r="IRE300" s="16" t="s">
        <v>1487</v>
      </c>
      <c r="IRF300" s="16" t="s">
        <v>1487</v>
      </c>
      <c r="IRG300" s="16" t="s">
        <v>1487</v>
      </c>
      <c r="IRH300" s="16" t="s">
        <v>1487</v>
      </c>
      <c r="IRI300" s="16" t="s">
        <v>1487</v>
      </c>
      <c r="IRJ300" s="16" t="s">
        <v>1487</v>
      </c>
      <c r="IRK300" s="16" t="s">
        <v>1487</v>
      </c>
      <c r="IRL300" s="16" t="s">
        <v>1487</v>
      </c>
      <c r="IRM300" s="16" t="s">
        <v>1487</v>
      </c>
      <c r="IRN300" s="16" t="s">
        <v>1487</v>
      </c>
      <c r="IRO300" s="16" t="s">
        <v>1487</v>
      </c>
      <c r="IRP300" s="16" t="s">
        <v>1487</v>
      </c>
      <c r="IRQ300" s="16" t="s">
        <v>1487</v>
      </c>
      <c r="IRR300" s="16" t="s">
        <v>1487</v>
      </c>
      <c r="IRS300" s="16" t="s">
        <v>1487</v>
      </c>
      <c r="IRT300" s="16" t="s">
        <v>1487</v>
      </c>
      <c r="IRU300" s="16" t="s">
        <v>1487</v>
      </c>
      <c r="IRV300" s="16" t="s">
        <v>1487</v>
      </c>
      <c r="IRW300" s="16" t="s">
        <v>1487</v>
      </c>
      <c r="IRX300" s="16" t="s">
        <v>1487</v>
      </c>
      <c r="IRY300" s="16" t="s">
        <v>1487</v>
      </c>
      <c r="IRZ300" s="16" t="s">
        <v>1487</v>
      </c>
      <c r="ISA300" s="16" t="s">
        <v>1487</v>
      </c>
      <c r="ISB300" s="16" t="s">
        <v>1487</v>
      </c>
      <c r="ISC300" s="16" t="s">
        <v>1487</v>
      </c>
      <c r="ISD300" s="16" t="s">
        <v>1487</v>
      </c>
      <c r="ISE300" s="16" t="s">
        <v>1487</v>
      </c>
      <c r="ISF300" s="16" t="s">
        <v>1487</v>
      </c>
      <c r="ISG300" s="16" t="s">
        <v>1487</v>
      </c>
      <c r="ISH300" s="16" t="s">
        <v>1487</v>
      </c>
      <c r="ISI300" s="16" t="s">
        <v>1487</v>
      </c>
      <c r="ISJ300" s="16" t="s">
        <v>1487</v>
      </c>
      <c r="ISK300" s="16" t="s">
        <v>1487</v>
      </c>
      <c r="ISL300" s="16" t="s">
        <v>1487</v>
      </c>
      <c r="ISM300" s="16" t="s">
        <v>1487</v>
      </c>
      <c r="ISN300" s="16" t="s">
        <v>1487</v>
      </c>
      <c r="ISO300" s="16" t="s">
        <v>1487</v>
      </c>
      <c r="ISP300" s="16" t="s">
        <v>1487</v>
      </c>
      <c r="ISQ300" s="16" t="s">
        <v>1487</v>
      </c>
      <c r="ISR300" s="16" t="s">
        <v>1487</v>
      </c>
      <c r="ISS300" s="16" t="s">
        <v>1487</v>
      </c>
      <c r="IST300" s="16" t="s">
        <v>1487</v>
      </c>
      <c r="ISU300" s="16" t="s">
        <v>1487</v>
      </c>
      <c r="ISV300" s="16" t="s">
        <v>1487</v>
      </c>
      <c r="ISW300" s="16" t="s">
        <v>1487</v>
      </c>
      <c r="ISX300" s="16" t="s">
        <v>1487</v>
      </c>
      <c r="ISY300" s="16" t="s">
        <v>1487</v>
      </c>
      <c r="ISZ300" s="16" t="s">
        <v>1487</v>
      </c>
      <c r="ITA300" s="16" t="s">
        <v>1487</v>
      </c>
      <c r="ITB300" s="16" t="s">
        <v>1487</v>
      </c>
      <c r="ITC300" s="16" t="s">
        <v>1487</v>
      </c>
      <c r="ITD300" s="16" t="s">
        <v>1487</v>
      </c>
      <c r="ITE300" s="16" t="s">
        <v>1487</v>
      </c>
      <c r="ITF300" s="16" t="s">
        <v>1487</v>
      </c>
      <c r="ITG300" s="16" t="s">
        <v>1487</v>
      </c>
      <c r="ITH300" s="16" t="s">
        <v>1487</v>
      </c>
      <c r="ITI300" s="16" t="s">
        <v>1487</v>
      </c>
      <c r="ITJ300" s="16" t="s">
        <v>1487</v>
      </c>
      <c r="ITK300" s="16" t="s">
        <v>1487</v>
      </c>
      <c r="ITL300" s="16" t="s">
        <v>1487</v>
      </c>
      <c r="ITM300" s="16" t="s">
        <v>1487</v>
      </c>
      <c r="ITN300" s="16" t="s">
        <v>1487</v>
      </c>
      <c r="ITO300" s="16" t="s">
        <v>1487</v>
      </c>
      <c r="ITP300" s="16" t="s">
        <v>1487</v>
      </c>
      <c r="ITQ300" s="16" t="s">
        <v>1487</v>
      </c>
      <c r="ITR300" s="16" t="s">
        <v>1487</v>
      </c>
      <c r="ITS300" s="16" t="s">
        <v>1487</v>
      </c>
      <c r="ITT300" s="16" t="s">
        <v>1487</v>
      </c>
      <c r="ITU300" s="16" t="s">
        <v>1487</v>
      </c>
      <c r="ITV300" s="16" t="s">
        <v>1487</v>
      </c>
      <c r="ITW300" s="16" t="s">
        <v>1487</v>
      </c>
      <c r="ITX300" s="16" t="s">
        <v>1487</v>
      </c>
      <c r="ITY300" s="16" t="s">
        <v>1487</v>
      </c>
      <c r="ITZ300" s="16" t="s">
        <v>1487</v>
      </c>
      <c r="IUA300" s="16" t="s">
        <v>1487</v>
      </c>
      <c r="IUB300" s="16" t="s">
        <v>1487</v>
      </c>
      <c r="IUC300" s="16" t="s">
        <v>1487</v>
      </c>
      <c r="IUD300" s="16" t="s">
        <v>1487</v>
      </c>
      <c r="IUE300" s="16" t="s">
        <v>1487</v>
      </c>
      <c r="IUF300" s="16" t="s">
        <v>1487</v>
      </c>
      <c r="IUG300" s="16" t="s">
        <v>1487</v>
      </c>
      <c r="IUH300" s="16" t="s">
        <v>1487</v>
      </c>
      <c r="IUI300" s="16" t="s">
        <v>1487</v>
      </c>
      <c r="IUJ300" s="16" t="s">
        <v>1487</v>
      </c>
      <c r="IUK300" s="16" t="s">
        <v>1487</v>
      </c>
      <c r="IUL300" s="16" t="s">
        <v>1487</v>
      </c>
      <c r="IUM300" s="16" t="s">
        <v>1487</v>
      </c>
      <c r="IUN300" s="16" t="s">
        <v>1487</v>
      </c>
      <c r="IUO300" s="16" t="s">
        <v>1487</v>
      </c>
      <c r="IUP300" s="16" t="s">
        <v>1487</v>
      </c>
      <c r="IUQ300" s="16" t="s">
        <v>1487</v>
      </c>
      <c r="IUR300" s="16" t="s">
        <v>1487</v>
      </c>
      <c r="IUS300" s="16" t="s">
        <v>1487</v>
      </c>
      <c r="IUT300" s="16" t="s">
        <v>1487</v>
      </c>
      <c r="IUU300" s="16" t="s">
        <v>1487</v>
      </c>
      <c r="IUV300" s="16" t="s">
        <v>1487</v>
      </c>
      <c r="IUW300" s="16" t="s">
        <v>1487</v>
      </c>
      <c r="IUX300" s="16" t="s">
        <v>1487</v>
      </c>
      <c r="IUY300" s="16" t="s">
        <v>1487</v>
      </c>
      <c r="IUZ300" s="16" t="s">
        <v>1487</v>
      </c>
      <c r="IVA300" s="16" t="s">
        <v>1487</v>
      </c>
      <c r="IVB300" s="16" t="s">
        <v>1487</v>
      </c>
      <c r="IVC300" s="16" t="s">
        <v>1487</v>
      </c>
      <c r="IVD300" s="16" t="s">
        <v>1487</v>
      </c>
      <c r="IVE300" s="16" t="s">
        <v>1487</v>
      </c>
      <c r="IVF300" s="16" t="s">
        <v>1487</v>
      </c>
      <c r="IVG300" s="16" t="s">
        <v>1487</v>
      </c>
      <c r="IVH300" s="16" t="s">
        <v>1487</v>
      </c>
      <c r="IVI300" s="16" t="s">
        <v>1487</v>
      </c>
      <c r="IVJ300" s="16" t="s">
        <v>1487</v>
      </c>
      <c r="IVK300" s="16" t="s">
        <v>1487</v>
      </c>
      <c r="IVL300" s="16" t="s">
        <v>1487</v>
      </c>
      <c r="IVM300" s="16" t="s">
        <v>1487</v>
      </c>
      <c r="IVN300" s="16" t="s">
        <v>1487</v>
      </c>
      <c r="IVO300" s="16" t="s">
        <v>1487</v>
      </c>
      <c r="IVP300" s="16" t="s">
        <v>1487</v>
      </c>
      <c r="IVQ300" s="16" t="s">
        <v>1487</v>
      </c>
      <c r="IVR300" s="16" t="s">
        <v>1487</v>
      </c>
      <c r="IVS300" s="16" t="s">
        <v>1487</v>
      </c>
      <c r="IVT300" s="16" t="s">
        <v>1487</v>
      </c>
      <c r="IVU300" s="16" t="s">
        <v>1487</v>
      </c>
      <c r="IVV300" s="16" t="s">
        <v>1487</v>
      </c>
      <c r="IVW300" s="16" t="s">
        <v>1487</v>
      </c>
      <c r="IVX300" s="16" t="s">
        <v>1487</v>
      </c>
      <c r="IVY300" s="16" t="s">
        <v>1487</v>
      </c>
      <c r="IVZ300" s="16" t="s">
        <v>1487</v>
      </c>
      <c r="IWA300" s="16" t="s">
        <v>1487</v>
      </c>
      <c r="IWB300" s="16" t="s">
        <v>1487</v>
      </c>
      <c r="IWC300" s="16" t="s">
        <v>1487</v>
      </c>
      <c r="IWD300" s="16" t="s">
        <v>1487</v>
      </c>
      <c r="IWE300" s="16" t="s">
        <v>1487</v>
      </c>
      <c r="IWF300" s="16" t="s">
        <v>1487</v>
      </c>
      <c r="IWG300" s="16" t="s">
        <v>1487</v>
      </c>
      <c r="IWH300" s="16" t="s">
        <v>1487</v>
      </c>
      <c r="IWI300" s="16" t="s">
        <v>1487</v>
      </c>
      <c r="IWJ300" s="16" t="s">
        <v>1487</v>
      </c>
      <c r="IWK300" s="16" t="s">
        <v>1487</v>
      </c>
      <c r="IWL300" s="16" t="s">
        <v>1487</v>
      </c>
      <c r="IWM300" s="16" t="s">
        <v>1487</v>
      </c>
      <c r="IWN300" s="16" t="s">
        <v>1487</v>
      </c>
      <c r="IWO300" s="16" t="s">
        <v>1487</v>
      </c>
      <c r="IWP300" s="16" t="s">
        <v>1487</v>
      </c>
      <c r="IWQ300" s="16" t="s">
        <v>1487</v>
      </c>
      <c r="IWR300" s="16" t="s">
        <v>1487</v>
      </c>
      <c r="IWS300" s="16" t="s">
        <v>1487</v>
      </c>
      <c r="IWT300" s="16" t="s">
        <v>1487</v>
      </c>
      <c r="IWU300" s="16" t="s">
        <v>1487</v>
      </c>
      <c r="IWV300" s="16" t="s">
        <v>1487</v>
      </c>
      <c r="IWW300" s="16" t="s">
        <v>1487</v>
      </c>
      <c r="IWX300" s="16" t="s">
        <v>1487</v>
      </c>
      <c r="IWY300" s="16" t="s">
        <v>1487</v>
      </c>
      <c r="IWZ300" s="16" t="s">
        <v>1487</v>
      </c>
      <c r="IXA300" s="16" t="s">
        <v>1487</v>
      </c>
      <c r="IXB300" s="16" t="s">
        <v>1487</v>
      </c>
      <c r="IXC300" s="16" t="s">
        <v>1487</v>
      </c>
      <c r="IXD300" s="16" t="s">
        <v>1487</v>
      </c>
      <c r="IXE300" s="16" t="s">
        <v>1487</v>
      </c>
      <c r="IXF300" s="16" t="s">
        <v>1487</v>
      </c>
      <c r="IXG300" s="16" t="s">
        <v>1487</v>
      </c>
      <c r="IXH300" s="16" t="s">
        <v>1487</v>
      </c>
      <c r="IXI300" s="16" t="s">
        <v>1487</v>
      </c>
      <c r="IXJ300" s="16" t="s">
        <v>1487</v>
      </c>
      <c r="IXK300" s="16" t="s">
        <v>1487</v>
      </c>
      <c r="IXL300" s="16" t="s">
        <v>1487</v>
      </c>
      <c r="IXM300" s="16" t="s">
        <v>1487</v>
      </c>
      <c r="IXN300" s="16" t="s">
        <v>1487</v>
      </c>
      <c r="IXO300" s="16" t="s">
        <v>1487</v>
      </c>
      <c r="IXP300" s="16" t="s">
        <v>1487</v>
      </c>
      <c r="IXQ300" s="16" t="s">
        <v>1487</v>
      </c>
      <c r="IXR300" s="16" t="s">
        <v>1487</v>
      </c>
      <c r="IXS300" s="16" t="s">
        <v>1487</v>
      </c>
      <c r="IXT300" s="16" t="s">
        <v>1487</v>
      </c>
      <c r="IXU300" s="16" t="s">
        <v>1487</v>
      </c>
      <c r="IXV300" s="16" t="s">
        <v>1487</v>
      </c>
      <c r="IXW300" s="16" t="s">
        <v>1487</v>
      </c>
      <c r="IXX300" s="16" t="s">
        <v>1487</v>
      </c>
      <c r="IXY300" s="16" t="s">
        <v>1487</v>
      </c>
      <c r="IXZ300" s="16" t="s">
        <v>1487</v>
      </c>
      <c r="IYA300" s="16" t="s">
        <v>1487</v>
      </c>
      <c r="IYB300" s="16" t="s">
        <v>1487</v>
      </c>
      <c r="IYC300" s="16" t="s">
        <v>1487</v>
      </c>
      <c r="IYD300" s="16" t="s">
        <v>1487</v>
      </c>
      <c r="IYE300" s="16" t="s">
        <v>1487</v>
      </c>
      <c r="IYF300" s="16" t="s">
        <v>1487</v>
      </c>
      <c r="IYG300" s="16" t="s">
        <v>1487</v>
      </c>
      <c r="IYH300" s="16" t="s">
        <v>1487</v>
      </c>
      <c r="IYI300" s="16" t="s">
        <v>1487</v>
      </c>
      <c r="IYJ300" s="16" t="s">
        <v>1487</v>
      </c>
      <c r="IYK300" s="16" t="s">
        <v>1487</v>
      </c>
      <c r="IYL300" s="16" t="s">
        <v>1487</v>
      </c>
      <c r="IYM300" s="16" t="s">
        <v>1487</v>
      </c>
      <c r="IYN300" s="16" t="s">
        <v>1487</v>
      </c>
      <c r="IYO300" s="16" t="s">
        <v>1487</v>
      </c>
      <c r="IYP300" s="16" t="s">
        <v>1487</v>
      </c>
      <c r="IYQ300" s="16" t="s">
        <v>1487</v>
      </c>
      <c r="IYR300" s="16" t="s">
        <v>1487</v>
      </c>
      <c r="IYS300" s="16" t="s">
        <v>1487</v>
      </c>
      <c r="IYT300" s="16" t="s">
        <v>1487</v>
      </c>
      <c r="IYU300" s="16" t="s">
        <v>1487</v>
      </c>
      <c r="IYV300" s="16" t="s">
        <v>1487</v>
      </c>
      <c r="IYW300" s="16" t="s">
        <v>1487</v>
      </c>
      <c r="IYX300" s="16" t="s">
        <v>1487</v>
      </c>
      <c r="IYY300" s="16" t="s">
        <v>1487</v>
      </c>
      <c r="IYZ300" s="16" t="s">
        <v>1487</v>
      </c>
      <c r="IZA300" s="16" t="s">
        <v>1487</v>
      </c>
      <c r="IZB300" s="16" t="s">
        <v>1487</v>
      </c>
      <c r="IZC300" s="16" t="s">
        <v>1487</v>
      </c>
      <c r="IZD300" s="16" t="s">
        <v>1487</v>
      </c>
      <c r="IZE300" s="16" t="s">
        <v>1487</v>
      </c>
      <c r="IZF300" s="16" t="s">
        <v>1487</v>
      </c>
      <c r="IZG300" s="16" t="s">
        <v>1487</v>
      </c>
      <c r="IZH300" s="16" t="s">
        <v>1487</v>
      </c>
      <c r="IZI300" s="16" t="s">
        <v>1487</v>
      </c>
      <c r="IZJ300" s="16" t="s">
        <v>1487</v>
      </c>
      <c r="IZK300" s="16" t="s">
        <v>1487</v>
      </c>
      <c r="IZL300" s="16" t="s">
        <v>1487</v>
      </c>
      <c r="IZM300" s="16" t="s">
        <v>1487</v>
      </c>
      <c r="IZN300" s="16" t="s">
        <v>1487</v>
      </c>
      <c r="IZO300" s="16" t="s">
        <v>1487</v>
      </c>
      <c r="IZP300" s="16" t="s">
        <v>1487</v>
      </c>
      <c r="IZQ300" s="16" t="s">
        <v>1487</v>
      </c>
      <c r="IZR300" s="16" t="s">
        <v>1487</v>
      </c>
      <c r="IZS300" s="16" t="s">
        <v>1487</v>
      </c>
      <c r="IZT300" s="16" t="s">
        <v>1487</v>
      </c>
      <c r="IZU300" s="16" t="s">
        <v>1487</v>
      </c>
      <c r="IZV300" s="16" t="s">
        <v>1487</v>
      </c>
      <c r="IZW300" s="16" t="s">
        <v>1487</v>
      </c>
      <c r="IZX300" s="16" t="s">
        <v>1487</v>
      </c>
      <c r="IZY300" s="16" t="s">
        <v>1487</v>
      </c>
      <c r="IZZ300" s="16" t="s">
        <v>1487</v>
      </c>
      <c r="JAA300" s="16" t="s">
        <v>1487</v>
      </c>
      <c r="JAB300" s="16" t="s">
        <v>1487</v>
      </c>
      <c r="JAC300" s="16" t="s">
        <v>1487</v>
      </c>
      <c r="JAD300" s="16" t="s">
        <v>1487</v>
      </c>
      <c r="JAE300" s="16" t="s">
        <v>1487</v>
      </c>
      <c r="JAF300" s="16" t="s">
        <v>1487</v>
      </c>
      <c r="JAG300" s="16" t="s">
        <v>1487</v>
      </c>
      <c r="JAH300" s="16" t="s">
        <v>1487</v>
      </c>
      <c r="JAI300" s="16" t="s">
        <v>1487</v>
      </c>
      <c r="JAJ300" s="16" t="s">
        <v>1487</v>
      </c>
      <c r="JAK300" s="16" t="s">
        <v>1487</v>
      </c>
      <c r="JAL300" s="16" t="s">
        <v>1487</v>
      </c>
      <c r="JAM300" s="16" t="s">
        <v>1487</v>
      </c>
      <c r="JAN300" s="16" t="s">
        <v>1487</v>
      </c>
      <c r="JAO300" s="16" t="s">
        <v>1487</v>
      </c>
      <c r="JAP300" s="16" t="s">
        <v>1487</v>
      </c>
      <c r="JAQ300" s="16" t="s">
        <v>1487</v>
      </c>
      <c r="JAR300" s="16" t="s">
        <v>1487</v>
      </c>
      <c r="JAS300" s="16" t="s">
        <v>1487</v>
      </c>
      <c r="JAT300" s="16" t="s">
        <v>1487</v>
      </c>
      <c r="JAU300" s="16" t="s">
        <v>1487</v>
      </c>
      <c r="JAV300" s="16" t="s">
        <v>1487</v>
      </c>
      <c r="JAW300" s="16" t="s">
        <v>1487</v>
      </c>
      <c r="JAX300" s="16" t="s">
        <v>1487</v>
      </c>
      <c r="JAY300" s="16" t="s">
        <v>1487</v>
      </c>
      <c r="JAZ300" s="16" t="s">
        <v>1487</v>
      </c>
      <c r="JBA300" s="16" t="s">
        <v>1487</v>
      </c>
      <c r="JBB300" s="16" t="s">
        <v>1487</v>
      </c>
      <c r="JBC300" s="16" t="s">
        <v>1487</v>
      </c>
      <c r="JBD300" s="16" t="s">
        <v>1487</v>
      </c>
      <c r="JBE300" s="16" t="s">
        <v>1487</v>
      </c>
      <c r="JBF300" s="16" t="s">
        <v>1487</v>
      </c>
      <c r="JBG300" s="16" t="s">
        <v>1487</v>
      </c>
      <c r="JBH300" s="16" t="s">
        <v>1487</v>
      </c>
      <c r="JBI300" s="16" t="s">
        <v>1487</v>
      </c>
      <c r="JBJ300" s="16" t="s">
        <v>1487</v>
      </c>
      <c r="JBK300" s="16" t="s">
        <v>1487</v>
      </c>
      <c r="JBL300" s="16" t="s">
        <v>1487</v>
      </c>
      <c r="JBM300" s="16" t="s">
        <v>1487</v>
      </c>
      <c r="JBN300" s="16" t="s">
        <v>1487</v>
      </c>
      <c r="JBO300" s="16" t="s">
        <v>1487</v>
      </c>
      <c r="JBP300" s="16" t="s">
        <v>1487</v>
      </c>
      <c r="JBQ300" s="16" t="s">
        <v>1487</v>
      </c>
      <c r="JBR300" s="16" t="s">
        <v>1487</v>
      </c>
      <c r="JBS300" s="16" t="s">
        <v>1487</v>
      </c>
      <c r="JBT300" s="16" t="s">
        <v>1487</v>
      </c>
      <c r="JBU300" s="16" t="s">
        <v>1487</v>
      </c>
      <c r="JBV300" s="16" t="s">
        <v>1487</v>
      </c>
      <c r="JBW300" s="16" t="s">
        <v>1487</v>
      </c>
      <c r="JBX300" s="16" t="s">
        <v>1487</v>
      </c>
      <c r="JBY300" s="16" t="s">
        <v>1487</v>
      </c>
      <c r="JBZ300" s="16" t="s">
        <v>1487</v>
      </c>
      <c r="JCA300" s="16" t="s">
        <v>1487</v>
      </c>
      <c r="JCB300" s="16" t="s">
        <v>1487</v>
      </c>
      <c r="JCC300" s="16" t="s">
        <v>1487</v>
      </c>
      <c r="JCD300" s="16" t="s">
        <v>1487</v>
      </c>
      <c r="JCE300" s="16" t="s">
        <v>1487</v>
      </c>
      <c r="JCF300" s="16" t="s">
        <v>1487</v>
      </c>
      <c r="JCG300" s="16" t="s">
        <v>1487</v>
      </c>
      <c r="JCH300" s="16" t="s">
        <v>1487</v>
      </c>
      <c r="JCI300" s="16" t="s">
        <v>1487</v>
      </c>
      <c r="JCJ300" s="16" t="s">
        <v>1487</v>
      </c>
      <c r="JCK300" s="16" t="s">
        <v>1487</v>
      </c>
      <c r="JCL300" s="16" t="s">
        <v>1487</v>
      </c>
      <c r="JCM300" s="16" t="s">
        <v>1487</v>
      </c>
      <c r="JCN300" s="16" t="s">
        <v>1487</v>
      </c>
      <c r="JCO300" s="16" t="s">
        <v>1487</v>
      </c>
      <c r="JCP300" s="16" t="s">
        <v>1487</v>
      </c>
      <c r="JCQ300" s="16" t="s">
        <v>1487</v>
      </c>
      <c r="JCR300" s="16" t="s">
        <v>1487</v>
      </c>
      <c r="JCS300" s="16" t="s">
        <v>1487</v>
      </c>
      <c r="JCT300" s="16" t="s">
        <v>1487</v>
      </c>
      <c r="JCU300" s="16" t="s">
        <v>1487</v>
      </c>
      <c r="JCV300" s="16" t="s">
        <v>1487</v>
      </c>
      <c r="JCW300" s="16" t="s">
        <v>1487</v>
      </c>
      <c r="JCX300" s="16" t="s">
        <v>1487</v>
      </c>
      <c r="JCY300" s="16" t="s">
        <v>1487</v>
      </c>
      <c r="JCZ300" s="16" t="s">
        <v>1487</v>
      </c>
      <c r="JDA300" s="16" t="s">
        <v>1487</v>
      </c>
      <c r="JDB300" s="16" t="s">
        <v>1487</v>
      </c>
      <c r="JDC300" s="16" t="s">
        <v>1487</v>
      </c>
      <c r="JDD300" s="16" t="s">
        <v>1487</v>
      </c>
      <c r="JDE300" s="16" t="s">
        <v>1487</v>
      </c>
      <c r="JDF300" s="16" t="s">
        <v>1487</v>
      </c>
      <c r="JDG300" s="16" t="s">
        <v>1487</v>
      </c>
      <c r="JDH300" s="16" t="s">
        <v>1487</v>
      </c>
      <c r="JDI300" s="16" t="s">
        <v>1487</v>
      </c>
      <c r="JDJ300" s="16" t="s">
        <v>1487</v>
      </c>
      <c r="JDK300" s="16" t="s">
        <v>1487</v>
      </c>
      <c r="JDL300" s="16" t="s">
        <v>1487</v>
      </c>
      <c r="JDM300" s="16" t="s">
        <v>1487</v>
      </c>
      <c r="JDN300" s="16" t="s">
        <v>1487</v>
      </c>
      <c r="JDO300" s="16" t="s">
        <v>1487</v>
      </c>
      <c r="JDP300" s="16" t="s">
        <v>1487</v>
      </c>
      <c r="JDQ300" s="16" t="s">
        <v>1487</v>
      </c>
      <c r="JDR300" s="16" t="s">
        <v>1487</v>
      </c>
      <c r="JDS300" s="16" t="s">
        <v>1487</v>
      </c>
      <c r="JDT300" s="16" t="s">
        <v>1487</v>
      </c>
      <c r="JDU300" s="16" t="s">
        <v>1487</v>
      </c>
      <c r="JDV300" s="16" t="s">
        <v>1487</v>
      </c>
      <c r="JDW300" s="16" t="s">
        <v>1487</v>
      </c>
      <c r="JDX300" s="16" t="s">
        <v>1487</v>
      </c>
      <c r="JDY300" s="16" t="s">
        <v>1487</v>
      </c>
      <c r="JDZ300" s="16" t="s">
        <v>1487</v>
      </c>
      <c r="JEA300" s="16" t="s">
        <v>1487</v>
      </c>
      <c r="JEB300" s="16" t="s">
        <v>1487</v>
      </c>
      <c r="JEC300" s="16" t="s">
        <v>1487</v>
      </c>
      <c r="JED300" s="16" t="s">
        <v>1487</v>
      </c>
      <c r="JEE300" s="16" t="s">
        <v>1487</v>
      </c>
      <c r="JEF300" s="16" t="s">
        <v>1487</v>
      </c>
      <c r="JEG300" s="16" t="s">
        <v>1487</v>
      </c>
      <c r="JEH300" s="16" t="s">
        <v>1487</v>
      </c>
      <c r="JEI300" s="16" t="s">
        <v>1487</v>
      </c>
      <c r="JEJ300" s="16" t="s">
        <v>1487</v>
      </c>
      <c r="JEK300" s="16" t="s">
        <v>1487</v>
      </c>
      <c r="JEL300" s="16" t="s">
        <v>1487</v>
      </c>
      <c r="JEM300" s="16" t="s">
        <v>1487</v>
      </c>
      <c r="JEN300" s="16" t="s">
        <v>1487</v>
      </c>
      <c r="JEO300" s="16" t="s">
        <v>1487</v>
      </c>
      <c r="JEP300" s="16" t="s">
        <v>1487</v>
      </c>
      <c r="JEQ300" s="16" t="s">
        <v>1487</v>
      </c>
      <c r="JER300" s="16" t="s">
        <v>1487</v>
      </c>
      <c r="JES300" s="16" t="s">
        <v>1487</v>
      </c>
      <c r="JET300" s="16" t="s">
        <v>1487</v>
      </c>
      <c r="JEU300" s="16" t="s">
        <v>1487</v>
      </c>
      <c r="JEV300" s="16" t="s">
        <v>1487</v>
      </c>
      <c r="JEW300" s="16" t="s">
        <v>1487</v>
      </c>
      <c r="JEX300" s="16" t="s">
        <v>1487</v>
      </c>
      <c r="JEY300" s="16" t="s">
        <v>1487</v>
      </c>
      <c r="JEZ300" s="16" t="s">
        <v>1487</v>
      </c>
      <c r="JFA300" s="16" t="s">
        <v>1487</v>
      </c>
      <c r="JFB300" s="16" t="s">
        <v>1487</v>
      </c>
      <c r="JFC300" s="16" t="s">
        <v>1487</v>
      </c>
      <c r="JFD300" s="16" t="s">
        <v>1487</v>
      </c>
      <c r="JFE300" s="16" t="s">
        <v>1487</v>
      </c>
      <c r="JFF300" s="16" t="s">
        <v>1487</v>
      </c>
      <c r="JFG300" s="16" t="s">
        <v>1487</v>
      </c>
      <c r="JFH300" s="16" t="s">
        <v>1487</v>
      </c>
      <c r="JFI300" s="16" t="s">
        <v>1487</v>
      </c>
      <c r="JFJ300" s="16" t="s">
        <v>1487</v>
      </c>
      <c r="JFK300" s="16" t="s">
        <v>1487</v>
      </c>
      <c r="JFL300" s="16" t="s">
        <v>1487</v>
      </c>
      <c r="JFM300" s="16" t="s">
        <v>1487</v>
      </c>
      <c r="JFN300" s="16" t="s">
        <v>1487</v>
      </c>
      <c r="JFO300" s="16" t="s">
        <v>1487</v>
      </c>
      <c r="JFP300" s="16" t="s">
        <v>1487</v>
      </c>
      <c r="JFQ300" s="16" t="s">
        <v>1487</v>
      </c>
      <c r="JFR300" s="16" t="s">
        <v>1487</v>
      </c>
      <c r="JFS300" s="16" t="s">
        <v>1487</v>
      </c>
      <c r="JFT300" s="16" t="s">
        <v>1487</v>
      </c>
      <c r="JFU300" s="16" t="s">
        <v>1487</v>
      </c>
      <c r="JFV300" s="16" t="s">
        <v>1487</v>
      </c>
      <c r="JFW300" s="16" t="s">
        <v>1487</v>
      </c>
      <c r="JFX300" s="16" t="s">
        <v>1487</v>
      </c>
      <c r="JFY300" s="16" t="s">
        <v>1487</v>
      </c>
      <c r="JFZ300" s="16" t="s">
        <v>1487</v>
      </c>
      <c r="JGA300" s="16" t="s">
        <v>1487</v>
      </c>
      <c r="JGB300" s="16" t="s">
        <v>1487</v>
      </c>
      <c r="JGC300" s="16" t="s">
        <v>1487</v>
      </c>
      <c r="JGD300" s="16" t="s">
        <v>1487</v>
      </c>
      <c r="JGE300" s="16" t="s">
        <v>1487</v>
      </c>
      <c r="JGF300" s="16" t="s">
        <v>1487</v>
      </c>
      <c r="JGG300" s="16" t="s">
        <v>1487</v>
      </c>
      <c r="JGH300" s="16" t="s">
        <v>1487</v>
      </c>
      <c r="JGI300" s="16" t="s">
        <v>1487</v>
      </c>
      <c r="JGJ300" s="16" t="s">
        <v>1487</v>
      </c>
      <c r="JGK300" s="16" t="s">
        <v>1487</v>
      </c>
      <c r="JGL300" s="16" t="s">
        <v>1487</v>
      </c>
      <c r="JGM300" s="16" t="s">
        <v>1487</v>
      </c>
      <c r="JGN300" s="16" t="s">
        <v>1487</v>
      </c>
      <c r="JGO300" s="16" t="s">
        <v>1487</v>
      </c>
      <c r="JGP300" s="16" t="s">
        <v>1487</v>
      </c>
      <c r="JGQ300" s="16" t="s">
        <v>1487</v>
      </c>
      <c r="JGR300" s="16" t="s">
        <v>1487</v>
      </c>
      <c r="JGS300" s="16" t="s">
        <v>1487</v>
      </c>
      <c r="JGT300" s="16" t="s">
        <v>1487</v>
      </c>
      <c r="JGU300" s="16" t="s">
        <v>1487</v>
      </c>
      <c r="JGV300" s="16" t="s">
        <v>1487</v>
      </c>
      <c r="JGW300" s="16" t="s">
        <v>1487</v>
      </c>
      <c r="JGX300" s="16" t="s">
        <v>1487</v>
      </c>
      <c r="JGY300" s="16" t="s">
        <v>1487</v>
      </c>
      <c r="JGZ300" s="16" t="s">
        <v>1487</v>
      </c>
      <c r="JHA300" s="16" t="s">
        <v>1487</v>
      </c>
      <c r="JHB300" s="16" t="s">
        <v>1487</v>
      </c>
      <c r="JHC300" s="16" t="s">
        <v>1487</v>
      </c>
      <c r="JHD300" s="16" t="s">
        <v>1487</v>
      </c>
      <c r="JHE300" s="16" t="s">
        <v>1487</v>
      </c>
      <c r="JHF300" s="16" t="s">
        <v>1487</v>
      </c>
      <c r="JHG300" s="16" t="s">
        <v>1487</v>
      </c>
      <c r="JHH300" s="16" t="s">
        <v>1487</v>
      </c>
      <c r="JHI300" s="16" t="s">
        <v>1487</v>
      </c>
      <c r="JHJ300" s="16" t="s">
        <v>1487</v>
      </c>
      <c r="JHK300" s="16" t="s">
        <v>1487</v>
      </c>
      <c r="JHL300" s="16" t="s">
        <v>1487</v>
      </c>
      <c r="JHM300" s="16" t="s">
        <v>1487</v>
      </c>
      <c r="JHN300" s="16" t="s">
        <v>1487</v>
      </c>
      <c r="JHO300" s="16" t="s">
        <v>1487</v>
      </c>
      <c r="JHP300" s="16" t="s">
        <v>1487</v>
      </c>
      <c r="JHQ300" s="16" t="s">
        <v>1487</v>
      </c>
      <c r="JHR300" s="16" t="s">
        <v>1487</v>
      </c>
      <c r="JHS300" s="16" t="s">
        <v>1487</v>
      </c>
      <c r="JHT300" s="16" t="s">
        <v>1487</v>
      </c>
      <c r="JHU300" s="16" t="s">
        <v>1487</v>
      </c>
      <c r="JHV300" s="16" t="s">
        <v>1487</v>
      </c>
      <c r="JHW300" s="16" t="s">
        <v>1487</v>
      </c>
      <c r="JHX300" s="16" t="s">
        <v>1487</v>
      </c>
      <c r="JHY300" s="16" t="s">
        <v>1487</v>
      </c>
      <c r="JHZ300" s="16" t="s">
        <v>1487</v>
      </c>
      <c r="JIA300" s="16" t="s">
        <v>1487</v>
      </c>
      <c r="JIB300" s="16" t="s">
        <v>1487</v>
      </c>
      <c r="JIC300" s="16" t="s">
        <v>1487</v>
      </c>
      <c r="JID300" s="16" t="s">
        <v>1487</v>
      </c>
      <c r="JIE300" s="16" t="s">
        <v>1487</v>
      </c>
      <c r="JIF300" s="16" t="s">
        <v>1487</v>
      </c>
      <c r="JIG300" s="16" t="s">
        <v>1487</v>
      </c>
      <c r="JIH300" s="16" t="s">
        <v>1487</v>
      </c>
      <c r="JII300" s="16" t="s">
        <v>1487</v>
      </c>
      <c r="JIJ300" s="16" t="s">
        <v>1487</v>
      </c>
      <c r="JIK300" s="16" t="s">
        <v>1487</v>
      </c>
      <c r="JIL300" s="16" t="s">
        <v>1487</v>
      </c>
      <c r="JIM300" s="16" t="s">
        <v>1487</v>
      </c>
      <c r="JIN300" s="16" t="s">
        <v>1487</v>
      </c>
      <c r="JIO300" s="16" t="s">
        <v>1487</v>
      </c>
      <c r="JIP300" s="16" t="s">
        <v>1487</v>
      </c>
      <c r="JIQ300" s="16" t="s">
        <v>1487</v>
      </c>
      <c r="JIR300" s="16" t="s">
        <v>1487</v>
      </c>
      <c r="JIS300" s="16" t="s">
        <v>1487</v>
      </c>
      <c r="JIT300" s="16" t="s">
        <v>1487</v>
      </c>
      <c r="JIU300" s="16" t="s">
        <v>1487</v>
      </c>
      <c r="JIV300" s="16" t="s">
        <v>1487</v>
      </c>
      <c r="JIW300" s="16" t="s">
        <v>1487</v>
      </c>
      <c r="JIX300" s="16" t="s">
        <v>1487</v>
      </c>
      <c r="JIY300" s="16" t="s">
        <v>1487</v>
      </c>
      <c r="JIZ300" s="16" t="s">
        <v>1487</v>
      </c>
      <c r="JJA300" s="16" t="s">
        <v>1487</v>
      </c>
      <c r="JJB300" s="16" t="s">
        <v>1487</v>
      </c>
      <c r="JJC300" s="16" t="s">
        <v>1487</v>
      </c>
      <c r="JJD300" s="16" t="s">
        <v>1487</v>
      </c>
      <c r="JJE300" s="16" t="s">
        <v>1487</v>
      </c>
      <c r="JJF300" s="16" t="s">
        <v>1487</v>
      </c>
      <c r="JJG300" s="16" t="s">
        <v>1487</v>
      </c>
      <c r="JJH300" s="16" t="s">
        <v>1487</v>
      </c>
      <c r="JJI300" s="16" t="s">
        <v>1487</v>
      </c>
      <c r="JJJ300" s="16" t="s">
        <v>1487</v>
      </c>
      <c r="JJK300" s="16" t="s">
        <v>1487</v>
      </c>
      <c r="JJL300" s="16" t="s">
        <v>1487</v>
      </c>
      <c r="JJM300" s="16" t="s">
        <v>1487</v>
      </c>
      <c r="JJN300" s="16" t="s">
        <v>1487</v>
      </c>
      <c r="JJO300" s="16" t="s">
        <v>1487</v>
      </c>
      <c r="JJP300" s="16" t="s">
        <v>1487</v>
      </c>
      <c r="JJQ300" s="16" t="s">
        <v>1487</v>
      </c>
      <c r="JJR300" s="16" t="s">
        <v>1487</v>
      </c>
      <c r="JJS300" s="16" t="s">
        <v>1487</v>
      </c>
      <c r="JJT300" s="16" t="s">
        <v>1487</v>
      </c>
      <c r="JJU300" s="16" t="s">
        <v>1487</v>
      </c>
      <c r="JJV300" s="16" t="s">
        <v>1487</v>
      </c>
      <c r="JJW300" s="16" t="s">
        <v>1487</v>
      </c>
      <c r="JJX300" s="16" t="s">
        <v>1487</v>
      </c>
      <c r="JJY300" s="16" t="s">
        <v>1487</v>
      </c>
      <c r="JJZ300" s="16" t="s">
        <v>1487</v>
      </c>
      <c r="JKA300" s="16" t="s">
        <v>1487</v>
      </c>
      <c r="JKB300" s="16" t="s">
        <v>1487</v>
      </c>
      <c r="JKC300" s="16" t="s">
        <v>1487</v>
      </c>
      <c r="JKD300" s="16" t="s">
        <v>1487</v>
      </c>
      <c r="JKE300" s="16" t="s">
        <v>1487</v>
      </c>
      <c r="JKF300" s="16" t="s">
        <v>1487</v>
      </c>
      <c r="JKG300" s="16" t="s">
        <v>1487</v>
      </c>
      <c r="JKH300" s="16" t="s">
        <v>1487</v>
      </c>
      <c r="JKI300" s="16" t="s">
        <v>1487</v>
      </c>
      <c r="JKJ300" s="16" t="s">
        <v>1487</v>
      </c>
      <c r="JKK300" s="16" t="s">
        <v>1487</v>
      </c>
      <c r="JKL300" s="16" t="s">
        <v>1487</v>
      </c>
      <c r="JKM300" s="16" t="s">
        <v>1487</v>
      </c>
      <c r="JKN300" s="16" t="s">
        <v>1487</v>
      </c>
      <c r="JKO300" s="16" t="s">
        <v>1487</v>
      </c>
      <c r="JKP300" s="16" t="s">
        <v>1487</v>
      </c>
      <c r="JKQ300" s="16" t="s">
        <v>1487</v>
      </c>
      <c r="JKR300" s="16" t="s">
        <v>1487</v>
      </c>
      <c r="JKS300" s="16" t="s">
        <v>1487</v>
      </c>
      <c r="JKT300" s="16" t="s">
        <v>1487</v>
      </c>
      <c r="JKU300" s="16" t="s">
        <v>1487</v>
      </c>
      <c r="JKV300" s="16" t="s">
        <v>1487</v>
      </c>
      <c r="JKW300" s="16" t="s">
        <v>1487</v>
      </c>
      <c r="JKX300" s="16" t="s">
        <v>1487</v>
      </c>
      <c r="JKY300" s="16" t="s">
        <v>1487</v>
      </c>
      <c r="JKZ300" s="16" t="s">
        <v>1487</v>
      </c>
      <c r="JLA300" s="16" t="s">
        <v>1487</v>
      </c>
      <c r="JLB300" s="16" t="s">
        <v>1487</v>
      </c>
      <c r="JLC300" s="16" t="s">
        <v>1487</v>
      </c>
      <c r="JLD300" s="16" t="s">
        <v>1487</v>
      </c>
      <c r="JLE300" s="16" t="s">
        <v>1487</v>
      </c>
      <c r="JLF300" s="16" t="s">
        <v>1487</v>
      </c>
      <c r="JLG300" s="16" t="s">
        <v>1487</v>
      </c>
      <c r="JLH300" s="16" t="s">
        <v>1487</v>
      </c>
      <c r="JLI300" s="16" t="s">
        <v>1487</v>
      </c>
      <c r="JLJ300" s="16" t="s">
        <v>1487</v>
      </c>
      <c r="JLK300" s="16" t="s">
        <v>1487</v>
      </c>
      <c r="JLL300" s="16" t="s">
        <v>1487</v>
      </c>
      <c r="JLM300" s="16" t="s">
        <v>1487</v>
      </c>
      <c r="JLN300" s="16" t="s">
        <v>1487</v>
      </c>
      <c r="JLO300" s="16" t="s">
        <v>1487</v>
      </c>
      <c r="JLP300" s="16" t="s">
        <v>1487</v>
      </c>
      <c r="JLQ300" s="16" t="s">
        <v>1487</v>
      </c>
      <c r="JLR300" s="16" t="s">
        <v>1487</v>
      </c>
      <c r="JLS300" s="16" t="s">
        <v>1487</v>
      </c>
      <c r="JLT300" s="16" t="s">
        <v>1487</v>
      </c>
      <c r="JLU300" s="16" t="s">
        <v>1487</v>
      </c>
      <c r="JLV300" s="16" t="s">
        <v>1487</v>
      </c>
      <c r="JLW300" s="16" t="s">
        <v>1487</v>
      </c>
      <c r="JLX300" s="16" t="s">
        <v>1487</v>
      </c>
      <c r="JLY300" s="16" t="s">
        <v>1487</v>
      </c>
      <c r="JLZ300" s="16" t="s">
        <v>1487</v>
      </c>
      <c r="JMA300" s="16" t="s">
        <v>1487</v>
      </c>
      <c r="JMB300" s="16" t="s">
        <v>1487</v>
      </c>
      <c r="JMC300" s="16" t="s">
        <v>1487</v>
      </c>
      <c r="JMD300" s="16" t="s">
        <v>1487</v>
      </c>
      <c r="JME300" s="16" t="s">
        <v>1487</v>
      </c>
      <c r="JMF300" s="16" t="s">
        <v>1487</v>
      </c>
      <c r="JMG300" s="16" t="s">
        <v>1487</v>
      </c>
      <c r="JMH300" s="16" t="s">
        <v>1487</v>
      </c>
      <c r="JMI300" s="16" t="s">
        <v>1487</v>
      </c>
      <c r="JMJ300" s="16" t="s">
        <v>1487</v>
      </c>
      <c r="JMK300" s="16" t="s">
        <v>1487</v>
      </c>
      <c r="JML300" s="16" t="s">
        <v>1487</v>
      </c>
      <c r="JMM300" s="16" t="s">
        <v>1487</v>
      </c>
      <c r="JMN300" s="16" t="s">
        <v>1487</v>
      </c>
      <c r="JMO300" s="16" t="s">
        <v>1487</v>
      </c>
      <c r="JMP300" s="16" t="s">
        <v>1487</v>
      </c>
      <c r="JMQ300" s="16" t="s">
        <v>1487</v>
      </c>
      <c r="JMR300" s="16" t="s">
        <v>1487</v>
      </c>
      <c r="JMS300" s="16" t="s">
        <v>1487</v>
      </c>
      <c r="JMT300" s="16" t="s">
        <v>1487</v>
      </c>
      <c r="JMU300" s="16" t="s">
        <v>1487</v>
      </c>
      <c r="JMV300" s="16" t="s">
        <v>1487</v>
      </c>
      <c r="JMW300" s="16" t="s">
        <v>1487</v>
      </c>
      <c r="JMX300" s="16" t="s">
        <v>1487</v>
      </c>
      <c r="JMY300" s="16" t="s">
        <v>1487</v>
      </c>
      <c r="JMZ300" s="16" t="s">
        <v>1487</v>
      </c>
      <c r="JNA300" s="16" t="s">
        <v>1487</v>
      </c>
      <c r="JNB300" s="16" t="s">
        <v>1487</v>
      </c>
      <c r="JNC300" s="16" t="s">
        <v>1487</v>
      </c>
      <c r="JND300" s="16" t="s">
        <v>1487</v>
      </c>
      <c r="JNE300" s="16" t="s">
        <v>1487</v>
      </c>
      <c r="JNF300" s="16" t="s">
        <v>1487</v>
      </c>
      <c r="JNG300" s="16" t="s">
        <v>1487</v>
      </c>
      <c r="JNH300" s="16" t="s">
        <v>1487</v>
      </c>
      <c r="JNI300" s="16" t="s">
        <v>1487</v>
      </c>
      <c r="JNJ300" s="16" t="s">
        <v>1487</v>
      </c>
      <c r="JNK300" s="16" t="s">
        <v>1487</v>
      </c>
      <c r="JNL300" s="16" t="s">
        <v>1487</v>
      </c>
      <c r="JNM300" s="16" t="s">
        <v>1487</v>
      </c>
      <c r="JNN300" s="16" t="s">
        <v>1487</v>
      </c>
      <c r="JNO300" s="16" t="s">
        <v>1487</v>
      </c>
      <c r="JNP300" s="16" t="s">
        <v>1487</v>
      </c>
      <c r="JNQ300" s="16" t="s">
        <v>1487</v>
      </c>
      <c r="JNR300" s="16" t="s">
        <v>1487</v>
      </c>
      <c r="JNS300" s="16" t="s">
        <v>1487</v>
      </c>
      <c r="JNT300" s="16" t="s">
        <v>1487</v>
      </c>
      <c r="JNU300" s="16" t="s">
        <v>1487</v>
      </c>
      <c r="JNV300" s="16" t="s">
        <v>1487</v>
      </c>
      <c r="JNW300" s="16" t="s">
        <v>1487</v>
      </c>
      <c r="JNX300" s="16" t="s">
        <v>1487</v>
      </c>
      <c r="JNY300" s="16" t="s">
        <v>1487</v>
      </c>
      <c r="JNZ300" s="16" t="s">
        <v>1487</v>
      </c>
      <c r="JOA300" s="16" t="s">
        <v>1487</v>
      </c>
      <c r="JOB300" s="16" t="s">
        <v>1487</v>
      </c>
      <c r="JOC300" s="16" t="s">
        <v>1487</v>
      </c>
      <c r="JOD300" s="16" t="s">
        <v>1487</v>
      </c>
      <c r="JOE300" s="16" t="s">
        <v>1487</v>
      </c>
      <c r="JOF300" s="16" t="s">
        <v>1487</v>
      </c>
      <c r="JOG300" s="16" t="s">
        <v>1487</v>
      </c>
      <c r="JOH300" s="16" t="s">
        <v>1487</v>
      </c>
      <c r="JOI300" s="16" t="s">
        <v>1487</v>
      </c>
      <c r="JOJ300" s="16" t="s">
        <v>1487</v>
      </c>
      <c r="JOK300" s="16" t="s">
        <v>1487</v>
      </c>
      <c r="JOL300" s="16" t="s">
        <v>1487</v>
      </c>
      <c r="JOM300" s="16" t="s">
        <v>1487</v>
      </c>
      <c r="JON300" s="16" t="s">
        <v>1487</v>
      </c>
      <c r="JOO300" s="16" t="s">
        <v>1487</v>
      </c>
      <c r="JOP300" s="16" t="s">
        <v>1487</v>
      </c>
      <c r="JOQ300" s="16" t="s">
        <v>1487</v>
      </c>
      <c r="JOR300" s="16" t="s">
        <v>1487</v>
      </c>
      <c r="JOS300" s="16" t="s">
        <v>1487</v>
      </c>
      <c r="JOT300" s="16" t="s">
        <v>1487</v>
      </c>
      <c r="JOU300" s="16" t="s">
        <v>1487</v>
      </c>
      <c r="JOV300" s="16" t="s">
        <v>1487</v>
      </c>
      <c r="JOW300" s="16" t="s">
        <v>1487</v>
      </c>
      <c r="JOX300" s="16" t="s">
        <v>1487</v>
      </c>
      <c r="JOY300" s="16" t="s">
        <v>1487</v>
      </c>
      <c r="JOZ300" s="16" t="s">
        <v>1487</v>
      </c>
      <c r="JPA300" s="16" t="s">
        <v>1487</v>
      </c>
      <c r="JPB300" s="16" t="s">
        <v>1487</v>
      </c>
      <c r="JPC300" s="16" t="s">
        <v>1487</v>
      </c>
      <c r="JPD300" s="16" t="s">
        <v>1487</v>
      </c>
      <c r="JPE300" s="16" t="s">
        <v>1487</v>
      </c>
      <c r="JPF300" s="16" t="s">
        <v>1487</v>
      </c>
      <c r="JPG300" s="16" t="s">
        <v>1487</v>
      </c>
      <c r="JPH300" s="16" t="s">
        <v>1487</v>
      </c>
      <c r="JPI300" s="16" t="s">
        <v>1487</v>
      </c>
      <c r="JPJ300" s="16" t="s">
        <v>1487</v>
      </c>
      <c r="JPK300" s="16" t="s">
        <v>1487</v>
      </c>
      <c r="JPL300" s="16" t="s">
        <v>1487</v>
      </c>
      <c r="JPM300" s="16" t="s">
        <v>1487</v>
      </c>
      <c r="JPN300" s="16" t="s">
        <v>1487</v>
      </c>
      <c r="JPO300" s="16" t="s">
        <v>1487</v>
      </c>
      <c r="JPP300" s="16" t="s">
        <v>1487</v>
      </c>
      <c r="JPQ300" s="16" t="s">
        <v>1487</v>
      </c>
      <c r="JPR300" s="16" t="s">
        <v>1487</v>
      </c>
      <c r="JPS300" s="16" t="s">
        <v>1487</v>
      </c>
      <c r="JPT300" s="16" t="s">
        <v>1487</v>
      </c>
      <c r="JPU300" s="16" t="s">
        <v>1487</v>
      </c>
      <c r="JPV300" s="16" t="s">
        <v>1487</v>
      </c>
      <c r="JPW300" s="16" t="s">
        <v>1487</v>
      </c>
      <c r="JPX300" s="16" t="s">
        <v>1487</v>
      </c>
      <c r="JPY300" s="16" t="s">
        <v>1487</v>
      </c>
      <c r="JPZ300" s="16" t="s">
        <v>1487</v>
      </c>
      <c r="JQA300" s="16" t="s">
        <v>1487</v>
      </c>
      <c r="JQB300" s="16" t="s">
        <v>1487</v>
      </c>
      <c r="JQC300" s="16" t="s">
        <v>1487</v>
      </c>
      <c r="JQD300" s="16" t="s">
        <v>1487</v>
      </c>
      <c r="JQE300" s="16" t="s">
        <v>1487</v>
      </c>
      <c r="JQF300" s="16" t="s">
        <v>1487</v>
      </c>
      <c r="JQG300" s="16" t="s">
        <v>1487</v>
      </c>
      <c r="JQH300" s="16" t="s">
        <v>1487</v>
      </c>
      <c r="JQI300" s="16" t="s">
        <v>1487</v>
      </c>
      <c r="JQJ300" s="16" t="s">
        <v>1487</v>
      </c>
      <c r="JQK300" s="16" t="s">
        <v>1487</v>
      </c>
      <c r="JQL300" s="16" t="s">
        <v>1487</v>
      </c>
      <c r="JQM300" s="16" t="s">
        <v>1487</v>
      </c>
      <c r="JQN300" s="16" t="s">
        <v>1487</v>
      </c>
      <c r="JQO300" s="16" t="s">
        <v>1487</v>
      </c>
      <c r="JQP300" s="16" t="s">
        <v>1487</v>
      </c>
      <c r="JQQ300" s="16" t="s">
        <v>1487</v>
      </c>
      <c r="JQR300" s="16" t="s">
        <v>1487</v>
      </c>
      <c r="JQS300" s="16" t="s">
        <v>1487</v>
      </c>
      <c r="JQT300" s="16" t="s">
        <v>1487</v>
      </c>
      <c r="JQU300" s="16" t="s">
        <v>1487</v>
      </c>
      <c r="JQV300" s="16" t="s">
        <v>1487</v>
      </c>
      <c r="JQW300" s="16" t="s">
        <v>1487</v>
      </c>
      <c r="JQX300" s="16" t="s">
        <v>1487</v>
      </c>
      <c r="JQY300" s="16" t="s">
        <v>1487</v>
      </c>
      <c r="JQZ300" s="16" t="s">
        <v>1487</v>
      </c>
      <c r="JRA300" s="16" t="s">
        <v>1487</v>
      </c>
      <c r="JRB300" s="16" t="s">
        <v>1487</v>
      </c>
      <c r="JRC300" s="16" t="s">
        <v>1487</v>
      </c>
      <c r="JRD300" s="16" t="s">
        <v>1487</v>
      </c>
      <c r="JRE300" s="16" t="s">
        <v>1487</v>
      </c>
      <c r="JRF300" s="16" t="s">
        <v>1487</v>
      </c>
      <c r="JRG300" s="16" t="s">
        <v>1487</v>
      </c>
      <c r="JRH300" s="16" t="s">
        <v>1487</v>
      </c>
      <c r="JRI300" s="16" t="s">
        <v>1487</v>
      </c>
      <c r="JRJ300" s="16" t="s">
        <v>1487</v>
      </c>
      <c r="JRK300" s="16" t="s">
        <v>1487</v>
      </c>
      <c r="JRL300" s="16" t="s">
        <v>1487</v>
      </c>
      <c r="JRM300" s="16" t="s">
        <v>1487</v>
      </c>
      <c r="JRN300" s="16" t="s">
        <v>1487</v>
      </c>
      <c r="JRO300" s="16" t="s">
        <v>1487</v>
      </c>
      <c r="JRP300" s="16" t="s">
        <v>1487</v>
      </c>
      <c r="JRQ300" s="16" t="s">
        <v>1487</v>
      </c>
      <c r="JRR300" s="16" t="s">
        <v>1487</v>
      </c>
      <c r="JRS300" s="16" t="s">
        <v>1487</v>
      </c>
      <c r="JRT300" s="16" t="s">
        <v>1487</v>
      </c>
      <c r="JRU300" s="16" t="s">
        <v>1487</v>
      </c>
      <c r="JRV300" s="16" t="s">
        <v>1487</v>
      </c>
      <c r="JRW300" s="16" t="s">
        <v>1487</v>
      </c>
      <c r="JRX300" s="16" t="s">
        <v>1487</v>
      </c>
      <c r="JRY300" s="16" t="s">
        <v>1487</v>
      </c>
      <c r="JRZ300" s="16" t="s">
        <v>1487</v>
      </c>
      <c r="JSA300" s="16" t="s">
        <v>1487</v>
      </c>
      <c r="JSB300" s="16" t="s">
        <v>1487</v>
      </c>
      <c r="JSC300" s="16" t="s">
        <v>1487</v>
      </c>
      <c r="JSD300" s="16" t="s">
        <v>1487</v>
      </c>
      <c r="JSE300" s="16" t="s">
        <v>1487</v>
      </c>
      <c r="JSF300" s="16" t="s">
        <v>1487</v>
      </c>
      <c r="JSG300" s="16" t="s">
        <v>1487</v>
      </c>
      <c r="JSH300" s="16" t="s">
        <v>1487</v>
      </c>
      <c r="JSI300" s="16" t="s">
        <v>1487</v>
      </c>
      <c r="JSJ300" s="16" t="s">
        <v>1487</v>
      </c>
      <c r="JSK300" s="16" t="s">
        <v>1487</v>
      </c>
      <c r="JSL300" s="16" t="s">
        <v>1487</v>
      </c>
      <c r="JSM300" s="16" t="s">
        <v>1487</v>
      </c>
      <c r="JSN300" s="16" t="s">
        <v>1487</v>
      </c>
      <c r="JSO300" s="16" t="s">
        <v>1487</v>
      </c>
      <c r="JSP300" s="16" t="s">
        <v>1487</v>
      </c>
      <c r="JSQ300" s="16" t="s">
        <v>1487</v>
      </c>
      <c r="JSR300" s="16" t="s">
        <v>1487</v>
      </c>
      <c r="JSS300" s="16" t="s">
        <v>1487</v>
      </c>
      <c r="JST300" s="16" t="s">
        <v>1487</v>
      </c>
      <c r="JSU300" s="16" t="s">
        <v>1487</v>
      </c>
      <c r="JSV300" s="16" t="s">
        <v>1487</v>
      </c>
      <c r="JSW300" s="16" t="s">
        <v>1487</v>
      </c>
      <c r="JSX300" s="16" t="s">
        <v>1487</v>
      </c>
      <c r="JSY300" s="16" t="s">
        <v>1487</v>
      </c>
      <c r="JSZ300" s="16" t="s">
        <v>1487</v>
      </c>
      <c r="JTA300" s="16" t="s">
        <v>1487</v>
      </c>
      <c r="JTB300" s="16" t="s">
        <v>1487</v>
      </c>
      <c r="JTC300" s="16" t="s">
        <v>1487</v>
      </c>
      <c r="JTD300" s="16" t="s">
        <v>1487</v>
      </c>
      <c r="JTE300" s="16" t="s">
        <v>1487</v>
      </c>
      <c r="JTF300" s="16" t="s">
        <v>1487</v>
      </c>
      <c r="JTG300" s="16" t="s">
        <v>1487</v>
      </c>
      <c r="JTH300" s="16" t="s">
        <v>1487</v>
      </c>
      <c r="JTI300" s="16" t="s">
        <v>1487</v>
      </c>
      <c r="JTJ300" s="16" t="s">
        <v>1487</v>
      </c>
      <c r="JTK300" s="16" t="s">
        <v>1487</v>
      </c>
      <c r="JTL300" s="16" t="s">
        <v>1487</v>
      </c>
      <c r="JTM300" s="16" t="s">
        <v>1487</v>
      </c>
      <c r="JTN300" s="16" t="s">
        <v>1487</v>
      </c>
      <c r="JTO300" s="16" t="s">
        <v>1487</v>
      </c>
      <c r="JTP300" s="16" t="s">
        <v>1487</v>
      </c>
      <c r="JTQ300" s="16" t="s">
        <v>1487</v>
      </c>
      <c r="JTR300" s="16" t="s">
        <v>1487</v>
      </c>
      <c r="JTS300" s="16" t="s">
        <v>1487</v>
      </c>
      <c r="JTT300" s="16" t="s">
        <v>1487</v>
      </c>
      <c r="JTU300" s="16" t="s">
        <v>1487</v>
      </c>
      <c r="JTV300" s="16" t="s">
        <v>1487</v>
      </c>
      <c r="JTW300" s="16" t="s">
        <v>1487</v>
      </c>
      <c r="JTX300" s="16" t="s">
        <v>1487</v>
      </c>
      <c r="JTY300" s="16" t="s">
        <v>1487</v>
      </c>
      <c r="JTZ300" s="16" t="s">
        <v>1487</v>
      </c>
      <c r="JUA300" s="16" t="s">
        <v>1487</v>
      </c>
      <c r="JUB300" s="16" t="s">
        <v>1487</v>
      </c>
      <c r="JUC300" s="16" t="s">
        <v>1487</v>
      </c>
      <c r="JUD300" s="16" t="s">
        <v>1487</v>
      </c>
      <c r="JUE300" s="16" t="s">
        <v>1487</v>
      </c>
      <c r="JUF300" s="16" t="s">
        <v>1487</v>
      </c>
      <c r="JUG300" s="16" t="s">
        <v>1487</v>
      </c>
      <c r="JUH300" s="16" t="s">
        <v>1487</v>
      </c>
      <c r="JUI300" s="16" t="s">
        <v>1487</v>
      </c>
      <c r="JUJ300" s="16" t="s">
        <v>1487</v>
      </c>
      <c r="JUK300" s="16" t="s">
        <v>1487</v>
      </c>
      <c r="JUL300" s="16" t="s">
        <v>1487</v>
      </c>
      <c r="JUM300" s="16" t="s">
        <v>1487</v>
      </c>
      <c r="JUN300" s="16" t="s">
        <v>1487</v>
      </c>
      <c r="JUO300" s="16" t="s">
        <v>1487</v>
      </c>
      <c r="JUP300" s="16" t="s">
        <v>1487</v>
      </c>
      <c r="JUQ300" s="16" t="s">
        <v>1487</v>
      </c>
      <c r="JUR300" s="16" t="s">
        <v>1487</v>
      </c>
      <c r="JUS300" s="16" t="s">
        <v>1487</v>
      </c>
      <c r="JUT300" s="16" t="s">
        <v>1487</v>
      </c>
      <c r="JUU300" s="16" t="s">
        <v>1487</v>
      </c>
      <c r="JUV300" s="16" t="s">
        <v>1487</v>
      </c>
      <c r="JUW300" s="16" t="s">
        <v>1487</v>
      </c>
      <c r="JUX300" s="16" t="s">
        <v>1487</v>
      </c>
      <c r="JUY300" s="16" t="s">
        <v>1487</v>
      </c>
      <c r="JUZ300" s="16" t="s">
        <v>1487</v>
      </c>
      <c r="JVA300" s="16" t="s">
        <v>1487</v>
      </c>
      <c r="JVB300" s="16" t="s">
        <v>1487</v>
      </c>
      <c r="JVC300" s="16" t="s">
        <v>1487</v>
      </c>
      <c r="JVD300" s="16" t="s">
        <v>1487</v>
      </c>
      <c r="JVE300" s="16" t="s">
        <v>1487</v>
      </c>
      <c r="JVF300" s="16" t="s">
        <v>1487</v>
      </c>
      <c r="JVG300" s="16" t="s">
        <v>1487</v>
      </c>
      <c r="JVH300" s="16" t="s">
        <v>1487</v>
      </c>
      <c r="JVI300" s="16" t="s">
        <v>1487</v>
      </c>
      <c r="JVJ300" s="16" t="s">
        <v>1487</v>
      </c>
      <c r="JVK300" s="16" t="s">
        <v>1487</v>
      </c>
      <c r="JVL300" s="16" t="s">
        <v>1487</v>
      </c>
      <c r="JVM300" s="16" t="s">
        <v>1487</v>
      </c>
      <c r="JVN300" s="16" t="s">
        <v>1487</v>
      </c>
      <c r="JVO300" s="16" t="s">
        <v>1487</v>
      </c>
      <c r="JVP300" s="16" t="s">
        <v>1487</v>
      </c>
      <c r="JVQ300" s="16" t="s">
        <v>1487</v>
      </c>
      <c r="JVR300" s="16" t="s">
        <v>1487</v>
      </c>
      <c r="JVS300" s="16" t="s">
        <v>1487</v>
      </c>
      <c r="JVT300" s="16" t="s">
        <v>1487</v>
      </c>
      <c r="JVU300" s="16" t="s">
        <v>1487</v>
      </c>
      <c r="JVV300" s="16" t="s">
        <v>1487</v>
      </c>
      <c r="JVW300" s="16" t="s">
        <v>1487</v>
      </c>
      <c r="JVX300" s="16" t="s">
        <v>1487</v>
      </c>
      <c r="JVY300" s="16" t="s">
        <v>1487</v>
      </c>
      <c r="JVZ300" s="16" t="s">
        <v>1487</v>
      </c>
      <c r="JWA300" s="16" t="s">
        <v>1487</v>
      </c>
      <c r="JWB300" s="16" t="s">
        <v>1487</v>
      </c>
      <c r="JWC300" s="16" t="s">
        <v>1487</v>
      </c>
      <c r="JWD300" s="16" t="s">
        <v>1487</v>
      </c>
      <c r="JWE300" s="16" t="s">
        <v>1487</v>
      </c>
      <c r="JWF300" s="16" t="s">
        <v>1487</v>
      </c>
      <c r="JWG300" s="16" t="s">
        <v>1487</v>
      </c>
      <c r="JWH300" s="16" t="s">
        <v>1487</v>
      </c>
      <c r="JWI300" s="16" t="s">
        <v>1487</v>
      </c>
      <c r="JWJ300" s="16" t="s">
        <v>1487</v>
      </c>
      <c r="JWK300" s="16" t="s">
        <v>1487</v>
      </c>
      <c r="JWL300" s="16" t="s">
        <v>1487</v>
      </c>
      <c r="JWM300" s="16" t="s">
        <v>1487</v>
      </c>
      <c r="JWN300" s="16" t="s">
        <v>1487</v>
      </c>
      <c r="JWO300" s="16" t="s">
        <v>1487</v>
      </c>
      <c r="JWP300" s="16" t="s">
        <v>1487</v>
      </c>
      <c r="JWQ300" s="16" t="s">
        <v>1487</v>
      </c>
      <c r="JWR300" s="16" t="s">
        <v>1487</v>
      </c>
      <c r="JWS300" s="16" t="s">
        <v>1487</v>
      </c>
      <c r="JWT300" s="16" t="s">
        <v>1487</v>
      </c>
      <c r="JWU300" s="16" t="s">
        <v>1487</v>
      </c>
      <c r="JWV300" s="16" t="s">
        <v>1487</v>
      </c>
      <c r="JWW300" s="16" t="s">
        <v>1487</v>
      </c>
      <c r="JWX300" s="16" t="s">
        <v>1487</v>
      </c>
      <c r="JWY300" s="16" t="s">
        <v>1487</v>
      </c>
      <c r="JWZ300" s="16" t="s">
        <v>1487</v>
      </c>
      <c r="JXA300" s="16" t="s">
        <v>1487</v>
      </c>
      <c r="JXB300" s="16" t="s">
        <v>1487</v>
      </c>
      <c r="JXC300" s="16" t="s">
        <v>1487</v>
      </c>
      <c r="JXD300" s="16" t="s">
        <v>1487</v>
      </c>
      <c r="JXE300" s="16" t="s">
        <v>1487</v>
      </c>
      <c r="JXF300" s="16" t="s">
        <v>1487</v>
      </c>
      <c r="JXG300" s="16" t="s">
        <v>1487</v>
      </c>
      <c r="JXH300" s="16" t="s">
        <v>1487</v>
      </c>
      <c r="JXI300" s="16" t="s">
        <v>1487</v>
      </c>
      <c r="JXJ300" s="16" t="s">
        <v>1487</v>
      </c>
      <c r="JXK300" s="16" t="s">
        <v>1487</v>
      </c>
      <c r="JXL300" s="16" t="s">
        <v>1487</v>
      </c>
      <c r="JXM300" s="16" t="s">
        <v>1487</v>
      </c>
      <c r="JXN300" s="16" t="s">
        <v>1487</v>
      </c>
      <c r="JXO300" s="16" t="s">
        <v>1487</v>
      </c>
      <c r="JXP300" s="16" t="s">
        <v>1487</v>
      </c>
      <c r="JXQ300" s="16" t="s">
        <v>1487</v>
      </c>
      <c r="JXR300" s="16" t="s">
        <v>1487</v>
      </c>
      <c r="JXS300" s="16" t="s">
        <v>1487</v>
      </c>
      <c r="JXT300" s="16" t="s">
        <v>1487</v>
      </c>
      <c r="JXU300" s="16" t="s">
        <v>1487</v>
      </c>
      <c r="JXV300" s="16" t="s">
        <v>1487</v>
      </c>
      <c r="JXW300" s="16" t="s">
        <v>1487</v>
      </c>
      <c r="JXX300" s="16" t="s">
        <v>1487</v>
      </c>
      <c r="JXY300" s="16" t="s">
        <v>1487</v>
      </c>
      <c r="JXZ300" s="16" t="s">
        <v>1487</v>
      </c>
      <c r="JYA300" s="16" t="s">
        <v>1487</v>
      </c>
      <c r="JYB300" s="16" t="s">
        <v>1487</v>
      </c>
      <c r="JYC300" s="16" t="s">
        <v>1487</v>
      </c>
      <c r="JYD300" s="16" t="s">
        <v>1487</v>
      </c>
      <c r="JYE300" s="16" t="s">
        <v>1487</v>
      </c>
      <c r="JYF300" s="16" t="s">
        <v>1487</v>
      </c>
      <c r="JYG300" s="16" t="s">
        <v>1487</v>
      </c>
      <c r="JYH300" s="16" t="s">
        <v>1487</v>
      </c>
      <c r="JYI300" s="16" t="s">
        <v>1487</v>
      </c>
      <c r="JYJ300" s="16" t="s">
        <v>1487</v>
      </c>
      <c r="JYK300" s="16" t="s">
        <v>1487</v>
      </c>
      <c r="JYL300" s="16" t="s">
        <v>1487</v>
      </c>
      <c r="JYM300" s="16" t="s">
        <v>1487</v>
      </c>
      <c r="JYN300" s="16" t="s">
        <v>1487</v>
      </c>
      <c r="JYO300" s="16" t="s">
        <v>1487</v>
      </c>
      <c r="JYP300" s="16" t="s">
        <v>1487</v>
      </c>
      <c r="JYQ300" s="16" t="s">
        <v>1487</v>
      </c>
      <c r="JYR300" s="16" t="s">
        <v>1487</v>
      </c>
      <c r="JYS300" s="16" t="s">
        <v>1487</v>
      </c>
      <c r="JYT300" s="16" t="s">
        <v>1487</v>
      </c>
      <c r="JYU300" s="16" t="s">
        <v>1487</v>
      </c>
      <c r="JYV300" s="16" t="s">
        <v>1487</v>
      </c>
      <c r="JYW300" s="16" t="s">
        <v>1487</v>
      </c>
      <c r="JYX300" s="16" t="s">
        <v>1487</v>
      </c>
      <c r="JYY300" s="16" t="s">
        <v>1487</v>
      </c>
      <c r="JYZ300" s="16" t="s">
        <v>1487</v>
      </c>
      <c r="JZA300" s="16" t="s">
        <v>1487</v>
      </c>
      <c r="JZB300" s="16" t="s">
        <v>1487</v>
      </c>
      <c r="JZC300" s="16" t="s">
        <v>1487</v>
      </c>
      <c r="JZD300" s="16" t="s">
        <v>1487</v>
      </c>
      <c r="JZE300" s="16" t="s">
        <v>1487</v>
      </c>
      <c r="JZF300" s="16" t="s">
        <v>1487</v>
      </c>
      <c r="JZG300" s="16" t="s">
        <v>1487</v>
      </c>
      <c r="JZH300" s="16" t="s">
        <v>1487</v>
      </c>
      <c r="JZI300" s="16" t="s">
        <v>1487</v>
      </c>
      <c r="JZJ300" s="16" t="s">
        <v>1487</v>
      </c>
      <c r="JZK300" s="16" t="s">
        <v>1487</v>
      </c>
      <c r="JZL300" s="16" t="s">
        <v>1487</v>
      </c>
      <c r="JZM300" s="16" t="s">
        <v>1487</v>
      </c>
      <c r="JZN300" s="16" t="s">
        <v>1487</v>
      </c>
      <c r="JZO300" s="16" t="s">
        <v>1487</v>
      </c>
      <c r="JZP300" s="16" t="s">
        <v>1487</v>
      </c>
      <c r="JZQ300" s="16" t="s">
        <v>1487</v>
      </c>
      <c r="JZR300" s="16" t="s">
        <v>1487</v>
      </c>
      <c r="JZS300" s="16" t="s">
        <v>1487</v>
      </c>
      <c r="JZT300" s="16" t="s">
        <v>1487</v>
      </c>
      <c r="JZU300" s="16" t="s">
        <v>1487</v>
      </c>
      <c r="JZV300" s="16" t="s">
        <v>1487</v>
      </c>
      <c r="JZW300" s="16" t="s">
        <v>1487</v>
      </c>
      <c r="JZX300" s="16" t="s">
        <v>1487</v>
      </c>
      <c r="JZY300" s="16" t="s">
        <v>1487</v>
      </c>
      <c r="JZZ300" s="16" t="s">
        <v>1487</v>
      </c>
      <c r="KAA300" s="16" t="s">
        <v>1487</v>
      </c>
      <c r="KAB300" s="16" t="s">
        <v>1487</v>
      </c>
      <c r="KAC300" s="16" t="s">
        <v>1487</v>
      </c>
      <c r="KAD300" s="16" t="s">
        <v>1487</v>
      </c>
      <c r="KAE300" s="16" t="s">
        <v>1487</v>
      </c>
      <c r="KAF300" s="16" t="s">
        <v>1487</v>
      </c>
      <c r="KAG300" s="16" t="s">
        <v>1487</v>
      </c>
      <c r="KAH300" s="16" t="s">
        <v>1487</v>
      </c>
      <c r="KAI300" s="16" t="s">
        <v>1487</v>
      </c>
      <c r="KAJ300" s="16" t="s">
        <v>1487</v>
      </c>
      <c r="KAK300" s="16" t="s">
        <v>1487</v>
      </c>
      <c r="KAL300" s="16" t="s">
        <v>1487</v>
      </c>
      <c r="KAM300" s="16" t="s">
        <v>1487</v>
      </c>
      <c r="KAN300" s="16" t="s">
        <v>1487</v>
      </c>
      <c r="KAO300" s="16" t="s">
        <v>1487</v>
      </c>
      <c r="KAP300" s="16" t="s">
        <v>1487</v>
      </c>
      <c r="KAQ300" s="16" t="s">
        <v>1487</v>
      </c>
      <c r="KAR300" s="16" t="s">
        <v>1487</v>
      </c>
      <c r="KAS300" s="16" t="s">
        <v>1487</v>
      </c>
      <c r="KAT300" s="16" t="s">
        <v>1487</v>
      </c>
      <c r="KAU300" s="16" t="s">
        <v>1487</v>
      </c>
      <c r="KAV300" s="16" t="s">
        <v>1487</v>
      </c>
      <c r="KAW300" s="16" t="s">
        <v>1487</v>
      </c>
      <c r="KAX300" s="16" t="s">
        <v>1487</v>
      </c>
      <c r="KAY300" s="16" t="s">
        <v>1487</v>
      </c>
      <c r="KAZ300" s="16" t="s">
        <v>1487</v>
      </c>
      <c r="KBA300" s="16" t="s">
        <v>1487</v>
      </c>
      <c r="KBB300" s="16" t="s">
        <v>1487</v>
      </c>
      <c r="KBC300" s="16" t="s">
        <v>1487</v>
      </c>
      <c r="KBD300" s="16" t="s">
        <v>1487</v>
      </c>
      <c r="KBE300" s="16" t="s">
        <v>1487</v>
      </c>
      <c r="KBF300" s="16" t="s">
        <v>1487</v>
      </c>
      <c r="KBG300" s="16" t="s">
        <v>1487</v>
      </c>
      <c r="KBH300" s="16" t="s">
        <v>1487</v>
      </c>
      <c r="KBI300" s="16" t="s">
        <v>1487</v>
      </c>
      <c r="KBJ300" s="16" t="s">
        <v>1487</v>
      </c>
      <c r="KBK300" s="16" t="s">
        <v>1487</v>
      </c>
      <c r="KBL300" s="16" t="s">
        <v>1487</v>
      </c>
      <c r="KBM300" s="16" t="s">
        <v>1487</v>
      </c>
      <c r="KBN300" s="16" t="s">
        <v>1487</v>
      </c>
      <c r="KBO300" s="16" t="s">
        <v>1487</v>
      </c>
      <c r="KBP300" s="16" t="s">
        <v>1487</v>
      </c>
      <c r="KBQ300" s="16" t="s">
        <v>1487</v>
      </c>
      <c r="KBR300" s="16" t="s">
        <v>1487</v>
      </c>
      <c r="KBS300" s="16" t="s">
        <v>1487</v>
      </c>
      <c r="KBT300" s="16" t="s">
        <v>1487</v>
      </c>
      <c r="KBU300" s="16" t="s">
        <v>1487</v>
      </c>
      <c r="KBV300" s="16" t="s">
        <v>1487</v>
      </c>
      <c r="KBW300" s="16" t="s">
        <v>1487</v>
      </c>
      <c r="KBX300" s="16" t="s">
        <v>1487</v>
      </c>
      <c r="KBY300" s="16" t="s">
        <v>1487</v>
      </c>
      <c r="KBZ300" s="16" t="s">
        <v>1487</v>
      </c>
      <c r="KCA300" s="16" t="s">
        <v>1487</v>
      </c>
      <c r="KCB300" s="16" t="s">
        <v>1487</v>
      </c>
      <c r="KCC300" s="16" t="s">
        <v>1487</v>
      </c>
      <c r="KCD300" s="16" t="s">
        <v>1487</v>
      </c>
      <c r="KCE300" s="16" t="s">
        <v>1487</v>
      </c>
      <c r="KCF300" s="16" t="s">
        <v>1487</v>
      </c>
      <c r="KCG300" s="16" t="s">
        <v>1487</v>
      </c>
      <c r="KCH300" s="16" t="s">
        <v>1487</v>
      </c>
      <c r="KCI300" s="16" t="s">
        <v>1487</v>
      </c>
      <c r="KCJ300" s="16" t="s">
        <v>1487</v>
      </c>
      <c r="KCK300" s="16" t="s">
        <v>1487</v>
      </c>
      <c r="KCL300" s="16" t="s">
        <v>1487</v>
      </c>
      <c r="KCM300" s="16" t="s">
        <v>1487</v>
      </c>
      <c r="KCN300" s="16" t="s">
        <v>1487</v>
      </c>
      <c r="KCO300" s="16" t="s">
        <v>1487</v>
      </c>
      <c r="KCP300" s="16" t="s">
        <v>1487</v>
      </c>
      <c r="KCQ300" s="16" t="s">
        <v>1487</v>
      </c>
      <c r="KCR300" s="16" t="s">
        <v>1487</v>
      </c>
      <c r="KCS300" s="16" t="s">
        <v>1487</v>
      </c>
      <c r="KCT300" s="16" t="s">
        <v>1487</v>
      </c>
      <c r="KCU300" s="16" t="s">
        <v>1487</v>
      </c>
      <c r="KCV300" s="16" t="s">
        <v>1487</v>
      </c>
      <c r="KCW300" s="16" t="s">
        <v>1487</v>
      </c>
      <c r="KCX300" s="16" t="s">
        <v>1487</v>
      </c>
      <c r="KCY300" s="16" t="s">
        <v>1487</v>
      </c>
      <c r="KCZ300" s="16" t="s">
        <v>1487</v>
      </c>
      <c r="KDA300" s="16" t="s">
        <v>1487</v>
      </c>
      <c r="KDB300" s="16" t="s">
        <v>1487</v>
      </c>
      <c r="KDC300" s="16" t="s">
        <v>1487</v>
      </c>
      <c r="KDD300" s="16" t="s">
        <v>1487</v>
      </c>
      <c r="KDE300" s="16" t="s">
        <v>1487</v>
      </c>
      <c r="KDF300" s="16" t="s">
        <v>1487</v>
      </c>
      <c r="KDG300" s="16" t="s">
        <v>1487</v>
      </c>
      <c r="KDH300" s="16" t="s">
        <v>1487</v>
      </c>
      <c r="KDI300" s="16" t="s">
        <v>1487</v>
      </c>
      <c r="KDJ300" s="16" t="s">
        <v>1487</v>
      </c>
      <c r="KDK300" s="16" t="s">
        <v>1487</v>
      </c>
      <c r="KDL300" s="16" t="s">
        <v>1487</v>
      </c>
      <c r="KDM300" s="16" t="s">
        <v>1487</v>
      </c>
      <c r="KDN300" s="16" t="s">
        <v>1487</v>
      </c>
      <c r="KDO300" s="16" t="s">
        <v>1487</v>
      </c>
      <c r="KDP300" s="16" t="s">
        <v>1487</v>
      </c>
      <c r="KDQ300" s="16" t="s">
        <v>1487</v>
      </c>
      <c r="KDR300" s="16" t="s">
        <v>1487</v>
      </c>
      <c r="KDS300" s="16" t="s">
        <v>1487</v>
      </c>
      <c r="KDT300" s="16" t="s">
        <v>1487</v>
      </c>
      <c r="KDU300" s="16" t="s">
        <v>1487</v>
      </c>
      <c r="KDV300" s="16" t="s">
        <v>1487</v>
      </c>
      <c r="KDW300" s="16" t="s">
        <v>1487</v>
      </c>
      <c r="KDX300" s="16" t="s">
        <v>1487</v>
      </c>
      <c r="KDY300" s="16" t="s">
        <v>1487</v>
      </c>
      <c r="KDZ300" s="16" t="s">
        <v>1487</v>
      </c>
      <c r="KEA300" s="16" t="s">
        <v>1487</v>
      </c>
      <c r="KEB300" s="16" t="s">
        <v>1487</v>
      </c>
      <c r="KEC300" s="16" t="s">
        <v>1487</v>
      </c>
      <c r="KED300" s="16" t="s">
        <v>1487</v>
      </c>
      <c r="KEE300" s="16" t="s">
        <v>1487</v>
      </c>
      <c r="KEF300" s="16" t="s">
        <v>1487</v>
      </c>
      <c r="KEG300" s="16" t="s">
        <v>1487</v>
      </c>
      <c r="KEH300" s="16" t="s">
        <v>1487</v>
      </c>
      <c r="KEI300" s="16" t="s">
        <v>1487</v>
      </c>
      <c r="KEJ300" s="16" t="s">
        <v>1487</v>
      </c>
      <c r="KEK300" s="16" t="s">
        <v>1487</v>
      </c>
      <c r="KEL300" s="16" t="s">
        <v>1487</v>
      </c>
      <c r="KEM300" s="16" t="s">
        <v>1487</v>
      </c>
      <c r="KEN300" s="16" t="s">
        <v>1487</v>
      </c>
      <c r="KEO300" s="16" t="s">
        <v>1487</v>
      </c>
      <c r="KEP300" s="16" t="s">
        <v>1487</v>
      </c>
      <c r="KEQ300" s="16" t="s">
        <v>1487</v>
      </c>
      <c r="KER300" s="16" t="s">
        <v>1487</v>
      </c>
      <c r="KES300" s="16" t="s">
        <v>1487</v>
      </c>
      <c r="KET300" s="16" t="s">
        <v>1487</v>
      </c>
      <c r="KEU300" s="16" t="s">
        <v>1487</v>
      </c>
      <c r="KEV300" s="16" t="s">
        <v>1487</v>
      </c>
      <c r="KEW300" s="16" t="s">
        <v>1487</v>
      </c>
      <c r="KEX300" s="16" t="s">
        <v>1487</v>
      </c>
      <c r="KEY300" s="16" t="s">
        <v>1487</v>
      </c>
      <c r="KEZ300" s="16" t="s">
        <v>1487</v>
      </c>
      <c r="KFA300" s="16" t="s">
        <v>1487</v>
      </c>
      <c r="KFB300" s="16" t="s">
        <v>1487</v>
      </c>
      <c r="KFC300" s="16" t="s">
        <v>1487</v>
      </c>
      <c r="KFD300" s="16" t="s">
        <v>1487</v>
      </c>
      <c r="KFE300" s="16" t="s">
        <v>1487</v>
      </c>
      <c r="KFF300" s="16" t="s">
        <v>1487</v>
      </c>
      <c r="KFG300" s="16" t="s">
        <v>1487</v>
      </c>
      <c r="KFH300" s="16" t="s">
        <v>1487</v>
      </c>
      <c r="KFI300" s="16" t="s">
        <v>1487</v>
      </c>
      <c r="KFJ300" s="16" t="s">
        <v>1487</v>
      </c>
      <c r="KFK300" s="16" t="s">
        <v>1487</v>
      </c>
      <c r="KFL300" s="16" t="s">
        <v>1487</v>
      </c>
      <c r="KFM300" s="16" t="s">
        <v>1487</v>
      </c>
      <c r="KFN300" s="16" t="s">
        <v>1487</v>
      </c>
      <c r="KFO300" s="16" t="s">
        <v>1487</v>
      </c>
      <c r="KFP300" s="16" t="s">
        <v>1487</v>
      </c>
      <c r="KFQ300" s="16" t="s">
        <v>1487</v>
      </c>
      <c r="KFR300" s="16" t="s">
        <v>1487</v>
      </c>
      <c r="KFS300" s="16" t="s">
        <v>1487</v>
      </c>
      <c r="KFT300" s="16" t="s">
        <v>1487</v>
      </c>
      <c r="KFU300" s="16" t="s">
        <v>1487</v>
      </c>
      <c r="KFV300" s="16" t="s">
        <v>1487</v>
      </c>
      <c r="KFW300" s="16" t="s">
        <v>1487</v>
      </c>
      <c r="KFX300" s="16" t="s">
        <v>1487</v>
      </c>
      <c r="KFY300" s="16" t="s">
        <v>1487</v>
      </c>
      <c r="KFZ300" s="16" t="s">
        <v>1487</v>
      </c>
      <c r="KGA300" s="16" t="s">
        <v>1487</v>
      </c>
      <c r="KGB300" s="16" t="s">
        <v>1487</v>
      </c>
      <c r="KGC300" s="16" t="s">
        <v>1487</v>
      </c>
      <c r="KGD300" s="16" t="s">
        <v>1487</v>
      </c>
      <c r="KGE300" s="16" t="s">
        <v>1487</v>
      </c>
      <c r="KGF300" s="16" t="s">
        <v>1487</v>
      </c>
      <c r="KGG300" s="16" t="s">
        <v>1487</v>
      </c>
      <c r="KGH300" s="16" t="s">
        <v>1487</v>
      </c>
      <c r="KGI300" s="16" t="s">
        <v>1487</v>
      </c>
      <c r="KGJ300" s="16" t="s">
        <v>1487</v>
      </c>
      <c r="KGK300" s="16" t="s">
        <v>1487</v>
      </c>
      <c r="KGL300" s="16" t="s">
        <v>1487</v>
      </c>
      <c r="KGM300" s="16" t="s">
        <v>1487</v>
      </c>
      <c r="KGN300" s="16" t="s">
        <v>1487</v>
      </c>
      <c r="KGO300" s="16" t="s">
        <v>1487</v>
      </c>
      <c r="KGP300" s="16" t="s">
        <v>1487</v>
      </c>
      <c r="KGQ300" s="16" t="s">
        <v>1487</v>
      </c>
      <c r="KGR300" s="16" t="s">
        <v>1487</v>
      </c>
      <c r="KGS300" s="16" t="s">
        <v>1487</v>
      </c>
      <c r="KGT300" s="16" t="s">
        <v>1487</v>
      </c>
      <c r="KGU300" s="16" t="s">
        <v>1487</v>
      </c>
      <c r="KGV300" s="16" t="s">
        <v>1487</v>
      </c>
      <c r="KGW300" s="16" t="s">
        <v>1487</v>
      </c>
      <c r="KGX300" s="16" t="s">
        <v>1487</v>
      </c>
      <c r="KGY300" s="16" t="s">
        <v>1487</v>
      </c>
      <c r="KGZ300" s="16" t="s">
        <v>1487</v>
      </c>
      <c r="KHA300" s="16" t="s">
        <v>1487</v>
      </c>
      <c r="KHB300" s="16" t="s">
        <v>1487</v>
      </c>
      <c r="KHC300" s="16" t="s">
        <v>1487</v>
      </c>
      <c r="KHD300" s="16" t="s">
        <v>1487</v>
      </c>
      <c r="KHE300" s="16" t="s">
        <v>1487</v>
      </c>
      <c r="KHF300" s="16" t="s">
        <v>1487</v>
      </c>
      <c r="KHG300" s="16" t="s">
        <v>1487</v>
      </c>
      <c r="KHH300" s="16" t="s">
        <v>1487</v>
      </c>
      <c r="KHI300" s="16" t="s">
        <v>1487</v>
      </c>
      <c r="KHJ300" s="16" t="s">
        <v>1487</v>
      </c>
      <c r="KHK300" s="16" t="s">
        <v>1487</v>
      </c>
      <c r="KHL300" s="16" t="s">
        <v>1487</v>
      </c>
      <c r="KHM300" s="16" t="s">
        <v>1487</v>
      </c>
      <c r="KHN300" s="16" t="s">
        <v>1487</v>
      </c>
      <c r="KHO300" s="16" t="s">
        <v>1487</v>
      </c>
      <c r="KHP300" s="16" t="s">
        <v>1487</v>
      </c>
      <c r="KHQ300" s="16" t="s">
        <v>1487</v>
      </c>
      <c r="KHR300" s="16" t="s">
        <v>1487</v>
      </c>
      <c r="KHS300" s="16" t="s">
        <v>1487</v>
      </c>
      <c r="KHT300" s="16" t="s">
        <v>1487</v>
      </c>
      <c r="KHU300" s="16" t="s">
        <v>1487</v>
      </c>
      <c r="KHV300" s="16" t="s">
        <v>1487</v>
      </c>
      <c r="KHW300" s="16" t="s">
        <v>1487</v>
      </c>
      <c r="KHX300" s="16" t="s">
        <v>1487</v>
      </c>
      <c r="KHY300" s="16" t="s">
        <v>1487</v>
      </c>
      <c r="KHZ300" s="16" t="s">
        <v>1487</v>
      </c>
      <c r="KIA300" s="16" t="s">
        <v>1487</v>
      </c>
      <c r="KIB300" s="16" t="s">
        <v>1487</v>
      </c>
      <c r="KIC300" s="16" t="s">
        <v>1487</v>
      </c>
      <c r="KID300" s="16" t="s">
        <v>1487</v>
      </c>
      <c r="KIE300" s="16" t="s">
        <v>1487</v>
      </c>
      <c r="KIF300" s="16" t="s">
        <v>1487</v>
      </c>
      <c r="KIG300" s="16" t="s">
        <v>1487</v>
      </c>
      <c r="KIH300" s="16" t="s">
        <v>1487</v>
      </c>
      <c r="KII300" s="16" t="s">
        <v>1487</v>
      </c>
      <c r="KIJ300" s="16" t="s">
        <v>1487</v>
      </c>
      <c r="KIK300" s="16" t="s">
        <v>1487</v>
      </c>
      <c r="KIL300" s="16" t="s">
        <v>1487</v>
      </c>
      <c r="KIM300" s="16" t="s">
        <v>1487</v>
      </c>
      <c r="KIN300" s="16" t="s">
        <v>1487</v>
      </c>
      <c r="KIO300" s="16" t="s">
        <v>1487</v>
      </c>
      <c r="KIP300" s="16" t="s">
        <v>1487</v>
      </c>
      <c r="KIQ300" s="16" t="s">
        <v>1487</v>
      </c>
      <c r="KIR300" s="16" t="s">
        <v>1487</v>
      </c>
      <c r="KIS300" s="16" t="s">
        <v>1487</v>
      </c>
      <c r="KIT300" s="16" t="s">
        <v>1487</v>
      </c>
      <c r="KIU300" s="16" t="s">
        <v>1487</v>
      </c>
      <c r="KIV300" s="16" t="s">
        <v>1487</v>
      </c>
      <c r="KIW300" s="16" t="s">
        <v>1487</v>
      </c>
      <c r="KIX300" s="16" t="s">
        <v>1487</v>
      </c>
      <c r="KIY300" s="16" t="s">
        <v>1487</v>
      </c>
      <c r="KIZ300" s="16" t="s">
        <v>1487</v>
      </c>
      <c r="KJA300" s="16" t="s">
        <v>1487</v>
      </c>
      <c r="KJB300" s="16" t="s">
        <v>1487</v>
      </c>
      <c r="KJC300" s="16" t="s">
        <v>1487</v>
      </c>
      <c r="KJD300" s="16" t="s">
        <v>1487</v>
      </c>
      <c r="KJE300" s="16" t="s">
        <v>1487</v>
      </c>
      <c r="KJF300" s="16" t="s">
        <v>1487</v>
      </c>
      <c r="KJG300" s="16" t="s">
        <v>1487</v>
      </c>
      <c r="KJH300" s="16" t="s">
        <v>1487</v>
      </c>
      <c r="KJI300" s="16" t="s">
        <v>1487</v>
      </c>
      <c r="KJJ300" s="16" t="s">
        <v>1487</v>
      </c>
      <c r="KJK300" s="16" t="s">
        <v>1487</v>
      </c>
      <c r="KJL300" s="16" t="s">
        <v>1487</v>
      </c>
      <c r="KJM300" s="16" t="s">
        <v>1487</v>
      </c>
      <c r="KJN300" s="16" t="s">
        <v>1487</v>
      </c>
      <c r="KJO300" s="16" t="s">
        <v>1487</v>
      </c>
      <c r="KJP300" s="16" t="s">
        <v>1487</v>
      </c>
      <c r="KJQ300" s="16" t="s">
        <v>1487</v>
      </c>
      <c r="KJR300" s="16" t="s">
        <v>1487</v>
      </c>
      <c r="KJS300" s="16" t="s">
        <v>1487</v>
      </c>
      <c r="KJT300" s="16" t="s">
        <v>1487</v>
      </c>
      <c r="KJU300" s="16" t="s">
        <v>1487</v>
      </c>
      <c r="KJV300" s="16" t="s">
        <v>1487</v>
      </c>
      <c r="KJW300" s="16" t="s">
        <v>1487</v>
      </c>
      <c r="KJX300" s="16" t="s">
        <v>1487</v>
      </c>
      <c r="KJY300" s="16" t="s">
        <v>1487</v>
      </c>
      <c r="KJZ300" s="16" t="s">
        <v>1487</v>
      </c>
      <c r="KKA300" s="16" t="s">
        <v>1487</v>
      </c>
      <c r="KKB300" s="16" t="s">
        <v>1487</v>
      </c>
      <c r="KKC300" s="16" t="s">
        <v>1487</v>
      </c>
      <c r="KKD300" s="16" t="s">
        <v>1487</v>
      </c>
      <c r="KKE300" s="16" t="s">
        <v>1487</v>
      </c>
      <c r="KKF300" s="16" t="s">
        <v>1487</v>
      </c>
      <c r="KKG300" s="16" t="s">
        <v>1487</v>
      </c>
      <c r="KKH300" s="16" t="s">
        <v>1487</v>
      </c>
      <c r="KKI300" s="16" t="s">
        <v>1487</v>
      </c>
      <c r="KKJ300" s="16" t="s">
        <v>1487</v>
      </c>
      <c r="KKK300" s="16" t="s">
        <v>1487</v>
      </c>
      <c r="KKL300" s="16" t="s">
        <v>1487</v>
      </c>
      <c r="KKM300" s="16" t="s">
        <v>1487</v>
      </c>
      <c r="KKN300" s="16" t="s">
        <v>1487</v>
      </c>
      <c r="KKO300" s="16" t="s">
        <v>1487</v>
      </c>
      <c r="KKP300" s="16" t="s">
        <v>1487</v>
      </c>
      <c r="KKQ300" s="16" t="s">
        <v>1487</v>
      </c>
      <c r="KKR300" s="16" t="s">
        <v>1487</v>
      </c>
      <c r="KKS300" s="16" t="s">
        <v>1487</v>
      </c>
      <c r="KKT300" s="16" t="s">
        <v>1487</v>
      </c>
      <c r="KKU300" s="16" t="s">
        <v>1487</v>
      </c>
      <c r="KKV300" s="16" t="s">
        <v>1487</v>
      </c>
      <c r="KKW300" s="16" t="s">
        <v>1487</v>
      </c>
      <c r="KKX300" s="16" t="s">
        <v>1487</v>
      </c>
      <c r="KKY300" s="16" t="s">
        <v>1487</v>
      </c>
      <c r="KKZ300" s="16" t="s">
        <v>1487</v>
      </c>
      <c r="KLA300" s="16" t="s">
        <v>1487</v>
      </c>
      <c r="KLB300" s="16" t="s">
        <v>1487</v>
      </c>
      <c r="KLC300" s="16" t="s">
        <v>1487</v>
      </c>
      <c r="KLD300" s="16" t="s">
        <v>1487</v>
      </c>
      <c r="KLE300" s="16" t="s">
        <v>1487</v>
      </c>
      <c r="KLF300" s="16" t="s">
        <v>1487</v>
      </c>
      <c r="KLG300" s="16" t="s">
        <v>1487</v>
      </c>
      <c r="KLH300" s="16" t="s">
        <v>1487</v>
      </c>
      <c r="KLI300" s="16" t="s">
        <v>1487</v>
      </c>
      <c r="KLJ300" s="16" t="s">
        <v>1487</v>
      </c>
      <c r="KLK300" s="16" t="s">
        <v>1487</v>
      </c>
      <c r="KLL300" s="16" t="s">
        <v>1487</v>
      </c>
      <c r="KLM300" s="16" t="s">
        <v>1487</v>
      </c>
      <c r="KLN300" s="16" t="s">
        <v>1487</v>
      </c>
      <c r="KLO300" s="16" t="s">
        <v>1487</v>
      </c>
      <c r="KLP300" s="16" t="s">
        <v>1487</v>
      </c>
      <c r="KLQ300" s="16" t="s">
        <v>1487</v>
      </c>
      <c r="KLR300" s="16" t="s">
        <v>1487</v>
      </c>
      <c r="KLS300" s="16" t="s">
        <v>1487</v>
      </c>
      <c r="KLT300" s="16" t="s">
        <v>1487</v>
      </c>
      <c r="KLU300" s="16" t="s">
        <v>1487</v>
      </c>
      <c r="KLV300" s="16" t="s">
        <v>1487</v>
      </c>
      <c r="KLW300" s="16" t="s">
        <v>1487</v>
      </c>
      <c r="KLX300" s="16" t="s">
        <v>1487</v>
      </c>
      <c r="KLY300" s="16" t="s">
        <v>1487</v>
      </c>
      <c r="KLZ300" s="16" t="s">
        <v>1487</v>
      </c>
      <c r="KMA300" s="16" t="s">
        <v>1487</v>
      </c>
      <c r="KMB300" s="16" t="s">
        <v>1487</v>
      </c>
      <c r="KMC300" s="16" t="s">
        <v>1487</v>
      </c>
      <c r="KMD300" s="16" t="s">
        <v>1487</v>
      </c>
      <c r="KME300" s="16" t="s">
        <v>1487</v>
      </c>
      <c r="KMF300" s="16" t="s">
        <v>1487</v>
      </c>
      <c r="KMG300" s="16" t="s">
        <v>1487</v>
      </c>
      <c r="KMH300" s="16" t="s">
        <v>1487</v>
      </c>
      <c r="KMI300" s="16" t="s">
        <v>1487</v>
      </c>
      <c r="KMJ300" s="16" t="s">
        <v>1487</v>
      </c>
      <c r="KMK300" s="16" t="s">
        <v>1487</v>
      </c>
      <c r="KML300" s="16" t="s">
        <v>1487</v>
      </c>
      <c r="KMM300" s="16" t="s">
        <v>1487</v>
      </c>
      <c r="KMN300" s="16" t="s">
        <v>1487</v>
      </c>
      <c r="KMO300" s="16" t="s">
        <v>1487</v>
      </c>
      <c r="KMP300" s="16" t="s">
        <v>1487</v>
      </c>
      <c r="KMQ300" s="16" t="s">
        <v>1487</v>
      </c>
      <c r="KMR300" s="16" t="s">
        <v>1487</v>
      </c>
      <c r="KMS300" s="16" t="s">
        <v>1487</v>
      </c>
      <c r="KMT300" s="16" t="s">
        <v>1487</v>
      </c>
      <c r="KMU300" s="16" t="s">
        <v>1487</v>
      </c>
      <c r="KMV300" s="16" t="s">
        <v>1487</v>
      </c>
      <c r="KMW300" s="16" t="s">
        <v>1487</v>
      </c>
      <c r="KMX300" s="16" t="s">
        <v>1487</v>
      </c>
      <c r="KMY300" s="16" t="s">
        <v>1487</v>
      </c>
      <c r="KMZ300" s="16" t="s">
        <v>1487</v>
      </c>
      <c r="KNA300" s="16" t="s">
        <v>1487</v>
      </c>
      <c r="KNB300" s="16" t="s">
        <v>1487</v>
      </c>
      <c r="KNC300" s="16" t="s">
        <v>1487</v>
      </c>
      <c r="KND300" s="16" t="s">
        <v>1487</v>
      </c>
      <c r="KNE300" s="16" t="s">
        <v>1487</v>
      </c>
      <c r="KNF300" s="16" t="s">
        <v>1487</v>
      </c>
      <c r="KNG300" s="16" t="s">
        <v>1487</v>
      </c>
      <c r="KNH300" s="16" t="s">
        <v>1487</v>
      </c>
      <c r="KNI300" s="16" t="s">
        <v>1487</v>
      </c>
      <c r="KNJ300" s="16" t="s">
        <v>1487</v>
      </c>
      <c r="KNK300" s="16" t="s">
        <v>1487</v>
      </c>
      <c r="KNL300" s="16" t="s">
        <v>1487</v>
      </c>
      <c r="KNM300" s="16" t="s">
        <v>1487</v>
      </c>
      <c r="KNN300" s="16" t="s">
        <v>1487</v>
      </c>
      <c r="KNO300" s="16" t="s">
        <v>1487</v>
      </c>
      <c r="KNP300" s="16" t="s">
        <v>1487</v>
      </c>
      <c r="KNQ300" s="16" t="s">
        <v>1487</v>
      </c>
      <c r="KNR300" s="16" t="s">
        <v>1487</v>
      </c>
      <c r="KNS300" s="16" t="s">
        <v>1487</v>
      </c>
      <c r="KNT300" s="16" t="s">
        <v>1487</v>
      </c>
      <c r="KNU300" s="16" t="s">
        <v>1487</v>
      </c>
      <c r="KNV300" s="16" t="s">
        <v>1487</v>
      </c>
      <c r="KNW300" s="16" t="s">
        <v>1487</v>
      </c>
      <c r="KNX300" s="16" t="s">
        <v>1487</v>
      </c>
      <c r="KNY300" s="16" t="s">
        <v>1487</v>
      </c>
      <c r="KNZ300" s="16" t="s">
        <v>1487</v>
      </c>
      <c r="KOA300" s="16" t="s">
        <v>1487</v>
      </c>
      <c r="KOB300" s="16" t="s">
        <v>1487</v>
      </c>
      <c r="KOC300" s="16" t="s">
        <v>1487</v>
      </c>
      <c r="KOD300" s="16" t="s">
        <v>1487</v>
      </c>
      <c r="KOE300" s="16" t="s">
        <v>1487</v>
      </c>
      <c r="KOF300" s="16" t="s">
        <v>1487</v>
      </c>
      <c r="KOG300" s="16" t="s">
        <v>1487</v>
      </c>
      <c r="KOH300" s="16" t="s">
        <v>1487</v>
      </c>
      <c r="KOI300" s="16" t="s">
        <v>1487</v>
      </c>
      <c r="KOJ300" s="16" t="s">
        <v>1487</v>
      </c>
      <c r="KOK300" s="16" t="s">
        <v>1487</v>
      </c>
      <c r="KOL300" s="16" t="s">
        <v>1487</v>
      </c>
      <c r="KOM300" s="16" t="s">
        <v>1487</v>
      </c>
      <c r="KON300" s="16" t="s">
        <v>1487</v>
      </c>
      <c r="KOO300" s="16" t="s">
        <v>1487</v>
      </c>
      <c r="KOP300" s="16" t="s">
        <v>1487</v>
      </c>
      <c r="KOQ300" s="16" t="s">
        <v>1487</v>
      </c>
      <c r="KOR300" s="16" t="s">
        <v>1487</v>
      </c>
      <c r="KOS300" s="16" t="s">
        <v>1487</v>
      </c>
      <c r="KOT300" s="16" t="s">
        <v>1487</v>
      </c>
      <c r="KOU300" s="16" t="s">
        <v>1487</v>
      </c>
      <c r="KOV300" s="16" t="s">
        <v>1487</v>
      </c>
      <c r="KOW300" s="16" t="s">
        <v>1487</v>
      </c>
      <c r="KOX300" s="16" t="s">
        <v>1487</v>
      </c>
      <c r="KOY300" s="16" t="s">
        <v>1487</v>
      </c>
      <c r="KOZ300" s="16" t="s">
        <v>1487</v>
      </c>
      <c r="KPA300" s="16" t="s">
        <v>1487</v>
      </c>
      <c r="KPB300" s="16" t="s">
        <v>1487</v>
      </c>
      <c r="KPC300" s="16" t="s">
        <v>1487</v>
      </c>
      <c r="KPD300" s="16" t="s">
        <v>1487</v>
      </c>
      <c r="KPE300" s="16" t="s">
        <v>1487</v>
      </c>
      <c r="KPF300" s="16" t="s">
        <v>1487</v>
      </c>
      <c r="KPG300" s="16" t="s">
        <v>1487</v>
      </c>
      <c r="KPH300" s="16" t="s">
        <v>1487</v>
      </c>
      <c r="KPI300" s="16" t="s">
        <v>1487</v>
      </c>
      <c r="KPJ300" s="16" t="s">
        <v>1487</v>
      </c>
      <c r="KPK300" s="16" t="s">
        <v>1487</v>
      </c>
      <c r="KPL300" s="16" t="s">
        <v>1487</v>
      </c>
      <c r="KPM300" s="16" t="s">
        <v>1487</v>
      </c>
      <c r="KPN300" s="16" t="s">
        <v>1487</v>
      </c>
      <c r="KPO300" s="16" t="s">
        <v>1487</v>
      </c>
      <c r="KPP300" s="16" t="s">
        <v>1487</v>
      </c>
      <c r="KPQ300" s="16" t="s">
        <v>1487</v>
      </c>
      <c r="KPR300" s="16" t="s">
        <v>1487</v>
      </c>
      <c r="KPS300" s="16" t="s">
        <v>1487</v>
      </c>
      <c r="KPT300" s="16" t="s">
        <v>1487</v>
      </c>
      <c r="KPU300" s="16" t="s">
        <v>1487</v>
      </c>
      <c r="KPV300" s="16" t="s">
        <v>1487</v>
      </c>
      <c r="KPW300" s="16" t="s">
        <v>1487</v>
      </c>
      <c r="KPX300" s="16" t="s">
        <v>1487</v>
      </c>
      <c r="KPY300" s="16" t="s">
        <v>1487</v>
      </c>
      <c r="KPZ300" s="16" t="s">
        <v>1487</v>
      </c>
      <c r="KQA300" s="16" t="s">
        <v>1487</v>
      </c>
      <c r="KQB300" s="16" t="s">
        <v>1487</v>
      </c>
      <c r="KQC300" s="16" t="s">
        <v>1487</v>
      </c>
      <c r="KQD300" s="16" t="s">
        <v>1487</v>
      </c>
      <c r="KQE300" s="16" t="s">
        <v>1487</v>
      </c>
      <c r="KQF300" s="16" t="s">
        <v>1487</v>
      </c>
      <c r="KQG300" s="16" t="s">
        <v>1487</v>
      </c>
      <c r="KQH300" s="16" t="s">
        <v>1487</v>
      </c>
      <c r="KQI300" s="16" t="s">
        <v>1487</v>
      </c>
      <c r="KQJ300" s="16" t="s">
        <v>1487</v>
      </c>
      <c r="KQK300" s="16" t="s">
        <v>1487</v>
      </c>
      <c r="KQL300" s="16" t="s">
        <v>1487</v>
      </c>
      <c r="KQM300" s="16" t="s">
        <v>1487</v>
      </c>
      <c r="KQN300" s="16" t="s">
        <v>1487</v>
      </c>
      <c r="KQO300" s="16" t="s">
        <v>1487</v>
      </c>
      <c r="KQP300" s="16" t="s">
        <v>1487</v>
      </c>
      <c r="KQQ300" s="16" t="s">
        <v>1487</v>
      </c>
      <c r="KQR300" s="16" t="s">
        <v>1487</v>
      </c>
      <c r="KQS300" s="16" t="s">
        <v>1487</v>
      </c>
      <c r="KQT300" s="16" t="s">
        <v>1487</v>
      </c>
      <c r="KQU300" s="16" t="s">
        <v>1487</v>
      </c>
      <c r="KQV300" s="16" t="s">
        <v>1487</v>
      </c>
      <c r="KQW300" s="16" t="s">
        <v>1487</v>
      </c>
      <c r="KQX300" s="16" t="s">
        <v>1487</v>
      </c>
      <c r="KQY300" s="16" t="s">
        <v>1487</v>
      </c>
      <c r="KQZ300" s="16" t="s">
        <v>1487</v>
      </c>
      <c r="KRA300" s="16" t="s">
        <v>1487</v>
      </c>
      <c r="KRB300" s="16" t="s">
        <v>1487</v>
      </c>
      <c r="KRC300" s="16" t="s">
        <v>1487</v>
      </c>
      <c r="KRD300" s="16" t="s">
        <v>1487</v>
      </c>
      <c r="KRE300" s="16" t="s">
        <v>1487</v>
      </c>
      <c r="KRF300" s="16" t="s">
        <v>1487</v>
      </c>
      <c r="KRG300" s="16" t="s">
        <v>1487</v>
      </c>
      <c r="KRH300" s="16" t="s">
        <v>1487</v>
      </c>
      <c r="KRI300" s="16" t="s">
        <v>1487</v>
      </c>
      <c r="KRJ300" s="16" t="s">
        <v>1487</v>
      </c>
      <c r="KRK300" s="16" t="s">
        <v>1487</v>
      </c>
      <c r="KRL300" s="16" t="s">
        <v>1487</v>
      </c>
      <c r="KRM300" s="16" t="s">
        <v>1487</v>
      </c>
      <c r="KRN300" s="16" t="s">
        <v>1487</v>
      </c>
      <c r="KRO300" s="16" t="s">
        <v>1487</v>
      </c>
      <c r="KRP300" s="16" t="s">
        <v>1487</v>
      </c>
      <c r="KRQ300" s="16" t="s">
        <v>1487</v>
      </c>
      <c r="KRR300" s="16" t="s">
        <v>1487</v>
      </c>
      <c r="KRS300" s="16" t="s">
        <v>1487</v>
      </c>
      <c r="KRT300" s="16" t="s">
        <v>1487</v>
      </c>
      <c r="KRU300" s="16" t="s">
        <v>1487</v>
      </c>
      <c r="KRV300" s="16" t="s">
        <v>1487</v>
      </c>
      <c r="KRW300" s="16" t="s">
        <v>1487</v>
      </c>
      <c r="KRX300" s="16" t="s">
        <v>1487</v>
      </c>
      <c r="KRY300" s="16" t="s">
        <v>1487</v>
      </c>
      <c r="KRZ300" s="16" t="s">
        <v>1487</v>
      </c>
      <c r="KSA300" s="16" t="s">
        <v>1487</v>
      </c>
      <c r="KSB300" s="16" t="s">
        <v>1487</v>
      </c>
      <c r="KSC300" s="16" t="s">
        <v>1487</v>
      </c>
      <c r="KSD300" s="16" t="s">
        <v>1487</v>
      </c>
      <c r="KSE300" s="16" t="s">
        <v>1487</v>
      </c>
      <c r="KSF300" s="16" t="s">
        <v>1487</v>
      </c>
      <c r="KSG300" s="16" t="s">
        <v>1487</v>
      </c>
      <c r="KSH300" s="16" t="s">
        <v>1487</v>
      </c>
      <c r="KSI300" s="16" t="s">
        <v>1487</v>
      </c>
      <c r="KSJ300" s="16" t="s">
        <v>1487</v>
      </c>
      <c r="KSK300" s="16" t="s">
        <v>1487</v>
      </c>
      <c r="KSL300" s="16" t="s">
        <v>1487</v>
      </c>
      <c r="KSM300" s="16" t="s">
        <v>1487</v>
      </c>
      <c r="KSN300" s="16" t="s">
        <v>1487</v>
      </c>
      <c r="KSO300" s="16" t="s">
        <v>1487</v>
      </c>
      <c r="KSP300" s="16" t="s">
        <v>1487</v>
      </c>
      <c r="KSQ300" s="16" t="s">
        <v>1487</v>
      </c>
      <c r="KSR300" s="16" t="s">
        <v>1487</v>
      </c>
      <c r="KSS300" s="16" t="s">
        <v>1487</v>
      </c>
      <c r="KST300" s="16" t="s">
        <v>1487</v>
      </c>
      <c r="KSU300" s="16" t="s">
        <v>1487</v>
      </c>
      <c r="KSV300" s="16" t="s">
        <v>1487</v>
      </c>
      <c r="KSW300" s="16" t="s">
        <v>1487</v>
      </c>
      <c r="KSX300" s="16" t="s">
        <v>1487</v>
      </c>
      <c r="KSY300" s="16" t="s">
        <v>1487</v>
      </c>
      <c r="KSZ300" s="16" t="s">
        <v>1487</v>
      </c>
      <c r="KTA300" s="16" t="s">
        <v>1487</v>
      </c>
      <c r="KTB300" s="16" t="s">
        <v>1487</v>
      </c>
      <c r="KTC300" s="16" t="s">
        <v>1487</v>
      </c>
      <c r="KTD300" s="16" t="s">
        <v>1487</v>
      </c>
      <c r="KTE300" s="16" t="s">
        <v>1487</v>
      </c>
      <c r="KTF300" s="16" t="s">
        <v>1487</v>
      </c>
      <c r="KTG300" s="16" t="s">
        <v>1487</v>
      </c>
      <c r="KTH300" s="16" t="s">
        <v>1487</v>
      </c>
      <c r="KTI300" s="16" t="s">
        <v>1487</v>
      </c>
      <c r="KTJ300" s="16" t="s">
        <v>1487</v>
      </c>
      <c r="KTK300" s="16" t="s">
        <v>1487</v>
      </c>
      <c r="KTL300" s="16" t="s">
        <v>1487</v>
      </c>
      <c r="KTM300" s="16" t="s">
        <v>1487</v>
      </c>
      <c r="KTN300" s="16" t="s">
        <v>1487</v>
      </c>
      <c r="KTO300" s="16" t="s">
        <v>1487</v>
      </c>
      <c r="KTP300" s="16" t="s">
        <v>1487</v>
      </c>
      <c r="KTQ300" s="16" t="s">
        <v>1487</v>
      </c>
      <c r="KTR300" s="16" t="s">
        <v>1487</v>
      </c>
      <c r="KTS300" s="16" t="s">
        <v>1487</v>
      </c>
      <c r="KTT300" s="16" t="s">
        <v>1487</v>
      </c>
      <c r="KTU300" s="16" t="s">
        <v>1487</v>
      </c>
      <c r="KTV300" s="16" t="s">
        <v>1487</v>
      </c>
      <c r="KTW300" s="16" t="s">
        <v>1487</v>
      </c>
      <c r="KTX300" s="16" t="s">
        <v>1487</v>
      </c>
      <c r="KTY300" s="16" t="s">
        <v>1487</v>
      </c>
      <c r="KTZ300" s="16" t="s">
        <v>1487</v>
      </c>
      <c r="KUA300" s="16" t="s">
        <v>1487</v>
      </c>
      <c r="KUB300" s="16" t="s">
        <v>1487</v>
      </c>
      <c r="KUC300" s="16" t="s">
        <v>1487</v>
      </c>
      <c r="KUD300" s="16" t="s">
        <v>1487</v>
      </c>
      <c r="KUE300" s="16" t="s">
        <v>1487</v>
      </c>
      <c r="KUF300" s="16" t="s">
        <v>1487</v>
      </c>
      <c r="KUG300" s="16" t="s">
        <v>1487</v>
      </c>
      <c r="KUH300" s="16" t="s">
        <v>1487</v>
      </c>
      <c r="KUI300" s="16" t="s">
        <v>1487</v>
      </c>
      <c r="KUJ300" s="16" t="s">
        <v>1487</v>
      </c>
      <c r="KUK300" s="16" t="s">
        <v>1487</v>
      </c>
      <c r="KUL300" s="16" t="s">
        <v>1487</v>
      </c>
      <c r="KUM300" s="16" t="s">
        <v>1487</v>
      </c>
      <c r="KUN300" s="16" t="s">
        <v>1487</v>
      </c>
      <c r="KUO300" s="16" t="s">
        <v>1487</v>
      </c>
      <c r="KUP300" s="16" t="s">
        <v>1487</v>
      </c>
      <c r="KUQ300" s="16" t="s">
        <v>1487</v>
      </c>
      <c r="KUR300" s="16" t="s">
        <v>1487</v>
      </c>
      <c r="KUS300" s="16" t="s">
        <v>1487</v>
      </c>
      <c r="KUT300" s="16" t="s">
        <v>1487</v>
      </c>
      <c r="KUU300" s="16" t="s">
        <v>1487</v>
      </c>
      <c r="KUV300" s="16" t="s">
        <v>1487</v>
      </c>
      <c r="KUW300" s="16" t="s">
        <v>1487</v>
      </c>
      <c r="KUX300" s="16" t="s">
        <v>1487</v>
      </c>
      <c r="KUY300" s="16" t="s">
        <v>1487</v>
      </c>
      <c r="KUZ300" s="16" t="s">
        <v>1487</v>
      </c>
      <c r="KVA300" s="16" t="s">
        <v>1487</v>
      </c>
      <c r="KVB300" s="16" t="s">
        <v>1487</v>
      </c>
      <c r="KVC300" s="16" t="s">
        <v>1487</v>
      </c>
      <c r="KVD300" s="16" t="s">
        <v>1487</v>
      </c>
      <c r="KVE300" s="16" t="s">
        <v>1487</v>
      </c>
      <c r="KVF300" s="16" t="s">
        <v>1487</v>
      </c>
      <c r="KVG300" s="16" t="s">
        <v>1487</v>
      </c>
      <c r="KVH300" s="16" t="s">
        <v>1487</v>
      </c>
      <c r="KVI300" s="16" t="s">
        <v>1487</v>
      </c>
      <c r="KVJ300" s="16" t="s">
        <v>1487</v>
      </c>
      <c r="KVK300" s="16" t="s">
        <v>1487</v>
      </c>
      <c r="KVL300" s="16" t="s">
        <v>1487</v>
      </c>
      <c r="KVM300" s="16" t="s">
        <v>1487</v>
      </c>
      <c r="KVN300" s="16" t="s">
        <v>1487</v>
      </c>
      <c r="KVO300" s="16" t="s">
        <v>1487</v>
      </c>
      <c r="KVP300" s="16" t="s">
        <v>1487</v>
      </c>
      <c r="KVQ300" s="16" t="s">
        <v>1487</v>
      </c>
      <c r="KVR300" s="16" t="s">
        <v>1487</v>
      </c>
      <c r="KVS300" s="16" t="s">
        <v>1487</v>
      </c>
      <c r="KVT300" s="16" t="s">
        <v>1487</v>
      </c>
      <c r="KVU300" s="16" t="s">
        <v>1487</v>
      </c>
      <c r="KVV300" s="16" t="s">
        <v>1487</v>
      </c>
      <c r="KVW300" s="16" t="s">
        <v>1487</v>
      </c>
      <c r="KVX300" s="16" t="s">
        <v>1487</v>
      </c>
      <c r="KVY300" s="16" t="s">
        <v>1487</v>
      </c>
      <c r="KVZ300" s="16" t="s">
        <v>1487</v>
      </c>
      <c r="KWA300" s="16" t="s">
        <v>1487</v>
      </c>
      <c r="KWB300" s="16" t="s">
        <v>1487</v>
      </c>
      <c r="KWC300" s="16" t="s">
        <v>1487</v>
      </c>
      <c r="KWD300" s="16" t="s">
        <v>1487</v>
      </c>
      <c r="KWE300" s="16" t="s">
        <v>1487</v>
      </c>
      <c r="KWF300" s="16" t="s">
        <v>1487</v>
      </c>
      <c r="KWG300" s="16" t="s">
        <v>1487</v>
      </c>
      <c r="KWH300" s="16" t="s">
        <v>1487</v>
      </c>
      <c r="KWI300" s="16" t="s">
        <v>1487</v>
      </c>
      <c r="KWJ300" s="16" t="s">
        <v>1487</v>
      </c>
      <c r="KWK300" s="16" t="s">
        <v>1487</v>
      </c>
      <c r="KWL300" s="16" t="s">
        <v>1487</v>
      </c>
      <c r="KWM300" s="16" t="s">
        <v>1487</v>
      </c>
      <c r="KWN300" s="16" t="s">
        <v>1487</v>
      </c>
      <c r="KWO300" s="16" t="s">
        <v>1487</v>
      </c>
      <c r="KWP300" s="16" t="s">
        <v>1487</v>
      </c>
      <c r="KWQ300" s="16" t="s">
        <v>1487</v>
      </c>
      <c r="KWR300" s="16" t="s">
        <v>1487</v>
      </c>
      <c r="KWS300" s="16" t="s">
        <v>1487</v>
      </c>
      <c r="KWT300" s="16" t="s">
        <v>1487</v>
      </c>
      <c r="KWU300" s="16" t="s">
        <v>1487</v>
      </c>
      <c r="KWV300" s="16" t="s">
        <v>1487</v>
      </c>
      <c r="KWW300" s="16" t="s">
        <v>1487</v>
      </c>
      <c r="KWX300" s="16" t="s">
        <v>1487</v>
      </c>
      <c r="KWY300" s="16" t="s">
        <v>1487</v>
      </c>
      <c r="KWZ300" s="16" t="s">
        <v>1487</v>
      </c>
      <c r="KXA300" s="16" t="s">
        <v>1487</v>
      </c>
      <c r="KXB300" s="16" t="s">
        <v>1487</v>
      </c>
      <c r="KXC300" s="16" t="s">
        <v>1487</v>
      </c>
      <c r="KXD300" s="16" t="s">
        <v>1487</v>
      </c>
      <c r="KXE300" s="16" t="s">
        <v>1487</v>
      </c>
      <c r="KXF300" s="16" t="s">
        <v>1487</v>
      </c>
      <c r="KXG300" s="16" t="s">
        <v>1487</v>
      </c>
      <c r="KXH300" s="16" t="s">
        <v>1487</v>
      </c>
      <c r="KXI300" s="16" t="s">
        <v>1487</v>
      </c>
      <c r="KXJ300" s="16" t="s">
        <v>1487</v>
      </c>
      <c r="KXK300" s="16" t="s">
        <v>1487</v>
      </c>
      <c r="KXL300" s="16" t="s">
        <v>1487</v>
      </c>
      <c r="KXM300" s="16" t="s">
        <v>1487</v>
      </c>
      <c r="KXN300" s="16" t="s">
        <v>1487</v>
      </c>
      <c r="KXO300" s="16" t="s">
        <v>1487</v>
      </c>
      <c r="KXP300" s="16" t="s">
        <v>1487</v>
      </c>
      <c r="KXQ300" s="16" t="s">
        <v>1487</v>
      </c>
      <c r="KXR300" s="16" t="s">
        <v>1487</v>
      </c>
      <c r="KXS300" s="16" t="s">
        <v>1487</v>
      </c>
      <c r="KXT300" s="16" t="s">
        <v>1487</v>
      </c>
      <c r="KXU300" s="16" t="s">
        <v>1487</v>
      </c>
      <c r="KXV300" s="16" t="s">
        <v>1487</v>
      </c>
      <c r="KXW300" s="16" t="s">
        <v>1487</v>
      </c>
      <c r="KXX300" s="16" t="s">
        <v>1487</v>
      </c>
      <c r="KXY300" s="16" t="s">
        <v>1487</v>
      </c>
      <c r="KXZ300" s="16" t="s">
        <v>1487</v>
      </c>
      <c r="KYA300" s="16" t="s">
        <v>1487</v>
      </c>
      <c r="KYB300" s="16" t="s">
        <v>1487</v>
      </c>
      <c r="KYC300" s="16" t="s">
        <v>1487</v>
      </c>
      <c r="KYD300" s="16" t="s">
        <v>1487</v>
      </c>
      <c r="KYE300" s="16" t="s">
        <v>1487</v>
      </c>
      <c r="KYF300" s="16" t="s">
        <v>1487</v>
      </c>
      <c r="KYG300" s="16" t="s">
        <v>1487</v>
      </c>
      <c r="KYH300" s="16" t="s">
        <v>1487</v>
      </c>
      <c r="KYI300" s="16" t="s">
        <v>1487</v>
      </c>
      <c r="KYJ300" s="16" t="s">
        <v>1487</v>
      </c>
      <c r="KYK300" s="16" t="s">
        <v>1487</v>
      </c>
      <c r="KYL300" s="16" t="s">
        <v>1487</v>
      </c>
      <c r="KYM300" s="16" t="s">
        <v>1487</v>
      </c>
      <c r="KYN300" s="16" t="s">
        <v>1487</v>
      </c>
      <c r="KYO300" s="16" t="s">
        <v>1487</v>
      </c>
      <c r="KYP300" s="16" t="s">
        <v>1487</v>
      </c>
      <c r="KYQ300" s="16" t="s">
        <v>1487</v>
      </c>
      <c r="KYR300" s="16" t="s">
        <v>1487</v>
      </c>
      <c r="KYS300" s="16" t="s">
        <v>1487</v>
      </c>
      <c r="KYT300" s="16" t="s">
        <v>1487</v>
      </c>
      <c r="KYU300" s="16" t="s">
        <v>1487</v>
      </c>
      <c r="KYV300" s="16" t="s">
        <v>1487</v>
      </c>
      <c r="KYW300" s="16" t="s">
        <v>1487</v>
      </c>
      <c r="KYX300" s="16" t="s">
        <v>1487</v>
      </c>
      <c r="KYY300" s="16" t="s">
        <v>1487</v>
      </c>
      <c r="KYZ300" s="16" t="s">
        <v>1487</v>
      </c>
      <c r="KZA300" s="16" t="s">
        <v>1487</v>
      </c>
      <c r="KZB300" s="16" t="s">
        <v>1487</v>
      </c>
      <c r="KZC300" s="16" t="s">
        <v>1487</v>
      </c>
      <c r="KZD300" s="16" t="s">
        <v>1487</v>
      </c>
      <c r="KZE300" s="16" t="s">
        <v>1487</v>
      </c>
      <c r="KZF300" s="16" t="s">
        <v>1487</v>
      </c>
      <c r="KZG300" s="16" t="s">
        <v>1487</v>
      </c>
      <c r="KZH300" s="16" t="s">
        <v>1487</v>
      </c>
      <c r="KZI300" s="16" t="s">
        <v>1487</v>
      </c>
      <c r="KZJ300" s="16" t="s">
        <v>1487</v>
      </c>
      <c r="KZK300" s="16" t="s">
        <v>1487</v>
      </c>
      <c r="KZL300" s="16" t="s">
        <v>1487</v>
      </c>
      <c r="KZM300" s="16" t="s">
        <v>1487</v>
      </c>
      <c r="KZN300" s="16" t="s">
        <v>1487</v>
      </c>
      <c r="KZO300" s="16" t="s">
        <v>1487</v>
      </c>
      <c r="KZP300" s="16" t="s">
        <v>1487</v>
      </c>
      <c r="KZQ300" s="16" t="s">
        <v>1487</v>
      </c>
      <c r="KZR300" s="16" t="s">
        <v>1487</v>
      </c>
      <c r="KZS300" s="16" t="s">
        <v>1487</v>
      </c>
      <c r="KZT300" s="16" t="s">
        <v>1487</v>
      </c>
      <c r="KZU300" s="16" t="s">
        <v>1487</v>
      </c>
      <c r="KZV300" s="16" t="s">
        <v>1487</v>
      </c>
      <c r="KZW300" s="16" t="s">
        <v>1487</v>
      </c>
      <c r="KZX300" s="16" t="s">
        <v>1487</v>
      </c>
      <c r="KZY300" s="16" t="s">
        <v>1487</v>
      </c>
      <c r="KZZ300" s="16" t="s">
        <v>1487</v>
      </c>
      <c r="LAA300" s="16" t="s">
        <v>1487</v>
      </c>
      <c r="LAB300" s="16" t="s">
        <v>1487</v>
      </c>
      <c r="LAC300" s="16" t="s">
        <v>1487</v>
      </c>
      <c r="LAD300" s="16" t="s">
        <v>1487</v>
      </c>
      <c r="LAE300" s="16" t="s">
        <v>1487</v>
      </c>
      <c r="LAF300" s="16" t="s">
        <v>1487</v>
      </c>
      <c r="LAG300" s="16" t="s">
        <v>1487</v>
      </c>
      <c r="LAH300" s="16" t="s">
        <v>1487</v>
      </c>
      <c r="LAI300" s="16" t="s">
        <v>1487</v>
      </c>
      <c r="LAJ300" s="16" t="s">
        <v>1487</v>
      </c>
      <c r="LAK300" s="16" t="s">
        <v>1487</v>
      </c>
      <c r="LAL300" s="16" t="s">
        <v>1487</v>
      </c>
      <c r="LAM300" s="16" t="s">
        <v>1487</v>
      </c>
      <c r="LAN300" s="16" t="s">
        <v>1487</v>
      </c>
      <c r="LAO300" s="16" t="s">
        <v>1487</v>
      </c>
      <c r="LAP300" s="16" t="s">
        <v>1487</v>
      </c>
      <c r="LAQ300" s="16" t="s">
        <v>1487</v>
      </c>
      <c r="LAR300" s="16" t="s">
        <v>1487</v>
      </c>
      <c r="LAS300" s="16" t="s">
        <v>1487</v>
      </c>
      <c r="LAT300" s="16" t="s">
        <v>1487</v>
      </c>
      <c r="LAU300" s="16" t="s">
        <v>1487</v>
      </c>
      <c r="LAV300" s="16" t="s">
        <v>1487</v>
      </c>
      <c r="LAW300" s="16" t="s">
        <v>1487</v>
      </c>
      <c r="LAX300" s="16" t="s">
        <v>1487</v>
      </c>
      <c r="LAY300" s="16" t="s">
        <v>1487</v>
      </c>
      <c r="LAZ300" s="16" t="s">
        <v>1487</v>
      </c>
      <c r="LBA300" s="16" t="s">
        <v>1487</v>
      </c>
      <c r="LBB300" s="16" t="s">
        <v>1487</v>
      </c>
      <c r="LBC300" s="16" t="s">
        <v>1487</v>
      </c>
      <c r="LBD300" s="16" t="s">
        <v>1487</v>
      </c>
      <c r="LBE300" s="16" t="s">
        <v>1487</v>
      </c>
      <c r="LBF300" s="16" t="s">
        <v>1487</v>
      </c>
      <c r="LBG300" s="16" t="s">
        <v>1487</v>
      </c>
      <c r="LBH300" s="16" t="s">
        <v>1487</v>
      </c>
      <c r="LBI300" s="16" t="s">
        <v>1487</v>
      </c>
      <c r="LBJ300" s="16" t="s">
        <v>1487</v>
      </c>
      <c r="LBK300" s="16" t="s">
        <v>1487</v>
      </c>
      <c r="LBL300" s="16" t="s">
        <v>1487</v>
      </c>
      <c r="LBM300" s="16" t="s">
        <v>1487</v>
      </c>
      <c r="LBN300" s="16" t="s">
        <v>1487</v>
      </c>
      <c r="LBO300" s="16" t="s">
        <v>1487</v>
      </c>
      <c r="LBP300" s="16" t="s">
        <v>1487</v>
      </c>
      <c r="LBQ300" s="16" t="s">
        <v>1487</v>
      </c>
      <c r="LBR300" s="16" t="s">
        <v>1487</v>
      </c>
      <c r="LBS300" s="16" t="s">
        <v>1487</v>
      </c>
      <c r="LBT300" s="16" t="s">
        <v>1487</v>
      </c>
      <c r="LBU300" s="16" t="s">
        <v>1487</v>
      </c>
      <c r="LBV300" s="16" t="s">
        <v>1487</v>
      </c>
      <c r="LBW300" s="16" t="s">
        <v>1487</v>
      </c>
      <c r="LBX300" s="16" t="s">
        <v>1487</v>
      </c>
      <c r="LBY300" s="16" t="s">
        <v>1487</v>
      </c>
      <c r="LBZ300" s="16" t="s">
        <v>1487</v>
      </c>
      <c r="LCA300" s="16" t="s">
        <v>1487</v>
      </c>
      <c r="LCB300" s="16" t="s">
        <v>1487</v>
      </c>
      <c r="LCC300" s="16" t="s">
        <v>1487</v>
      </c>
      <c r="LCD300" s="16" t="s">
        <v>1487</v>
      </c>
      <c r="LCE300" s="16" t="s">
        <v>1487</v>
      </c>
      <c r="LCF300" s="16" t="s">
        <v>1487</v>
      </c>
      <c r="LCG300" s="16" t="s">
        <v>1487</v>
      </c>
      <c r="LCH300" s="16" t="s">
        <v>1487</v>
      </c>
      <c r="LCI300" s="16" t="s">
        <v>1487</v>
      </c>
      <c r="LCJ300" s="16" t="s">
        <v>1487</v>
      </c>
      <c r="LCK300" s="16" t="s">
        <v>1487</v>
      </c>
      <c r="LCL300" s="16" t="s">
        <v>1487</v>
      </c>
      <c r="LCM300" s="16" t="s">
        <v>1487</v>
      </c>
      <c r="LCN300" s="16" t="s">
        <v>1487</v>
      </c>
      <c r="LCO300" s="16" t="s">
        <v>1487</v>
      </c>
      <c r="LCP300" s="16" t="s">
        <v>1487</v>
      </c>
      <c r="LCQ300" s="16" t="s">
        <v>1487</v>
      </c>
      <c r="LCR300" s="16" t="s">
        <v>1487</v>
      </c>
      <c r="LCS300" s="16" t="s">
        <v>1487</v>
      </c>
      <c r="LCT300" s="16" t="s">
        <v>1487</v>
      </c>
      <c r="LCU300" s="16" t="s">
        <v>1487</v>
      </c>
      <c r="LCV300" s="16" t="s">
        <v>1487</v>
      </c>
      <c r="LCW300" s="16" t="s">
        <v>1487</v>
      </c>
      <c r="LCX300" s="16" t="s">
        <v>1487</v>
      </c>
      <c r="LCY300" s="16" t="s">
        <v>1487</v>
      </c>
      <c r="LCZ300" s="16" t="s">
        <v>1487</v>
      </c>
      <c r="LDA300" s="16" t="s">
        <v>1487</v>
      </c>
      <c r="LDB300" s="16" t="s">
        <v>1487</v>
      </c>
      <c r="LDC300" s="16" t="s">
        <v>1487</v>
      </c>
      <c r="LDD300" s="16" t="s">
        <v>1487</v>
      </c>
      <c r="LDE300" s="16" t="s">
        <v>1487</v>
      </c>
      <c r="LDF300" s="16" t="s">
        <v>1487</v>
      </c>
      <c r="LDG300" s="16" t="s">
        <v>1487</v>
      </c>
      <c r="LDH300" s="16" t="s">
        <v>1487</v>
      </c>
      <c r="LDI300" s="16" t="s">
        <v>1487</v>
      </c>
      <c r="LDJ300" s="16" t="s">
        <v>1487</v>
      </c>
      <c r="LDK300" s="16" t="s">
        <v>1487</v>
      </c>
      <c r="LDL300" s="16" t="s">
        <v>1487</v>
      </c>
      <c r="LDM300" s="16" t="s">
        <v>1487</v>
      </c>
      <c r="LDN300" s="16" t="s">
        <v>1487</v>
      </c>
      <c r="LDO300" s="16" t="s">
        <v>1487</v>
      </c>
      <c r="LDP300" s="16" t="s">
        <v>1487</v>
      </c>
      <c r="LDQ300" s="16" t="s">
        <v>1487</v>
      </c>
      <c r="LDR300" s="16" t="s">
        <v>1487</v>
      </c>
      <c r="LDS300" s="16" t="s">
        <v>1487</v>
      </c>
      <c r="LDT300" s="16" t="s">
        <v>1487</v>
      </c>
      <c r="LDU300" s="16" t="s">
        <v>1487</v>
      </c>
      <c r="LDV300" s="16" t="s">
        <v>1487</v>
      </c>
      <c r="LDW300" s="16" t="s">
        <v>1487</v>
      </c>
      <c r="LDX300" s="16" t="s">
        <v>1487</v>
      </c>
      <c r="LDY300" s="16" t="s">
        <v>1487</v>
      </c>
      <c r="LDZ300" s="16" t="s">
        <v>1487</v>
      </c>
      <c r="LEA300" s="16" t="s">
        <v>1487</v>
      </c>
      <c r="LEB300" s="16" t="s">
        <v>1487</v>
      </c>
      <c r="LEC300" s="16" t="s">
        <v>1487</v>
      </c>
      <c r="LED300" s="16" t="s">
        <v>1487</v>
      </c>
      <c r="LEE300" s="16" t="s">
        <v>1487</v>
      </c>
      <c r="LEF300" s="16" t="s">
        <v>1487</v>
      </c>
      <c r="LEG300" s="16" t="s">
        <v>1487</v>
      </c>
      <c r="LEH300" s="16" t="s">
        <v>1487</v>
      </c>
      <c r="LEI300" s="16" t="s">
        <v>1487</v>
      </c>
      <c r="LEJ300" s="16" t="s">
        <v>1487</v>
      </c>
      <c r="LEK300" s="16" t="s">
        <v>1487</v>
      </c>
      <c r="LEL300" s="16" t="s">
        <v>1487</v>
      </c>
      <c r="LEM300" s="16" t="s">
        <v>1487</v>
      </c>
      <c r="LEN300" s="16" t="s">
        <v>1487</v>
      </c>
      <c r="LEO300" s="16" t="s">
        <v>1487</v>
      </c>
      <c r="LEP300" s="16" t="s">
        <v>1487</v>
      </c>
      <c r="LEQ300" s="16" t="s">
        <v>1487</v>
      </c>
      <c r="LER300" s="16" t="s">
        <v>1487</v>
      </c>
      <c r="LES300" s="16" t="s">
        <v>1487</v>
      </c>
      <c r="LET300" s="16" t="s">
        <v>1487</v>
      </c>
      <c r="LEU300" s="16" t="s">
        <v>1487</v>
      </c>
      <c r="LEV300" s="16" t="s">
        <v>1487</v>
      </c>
      <c r="LEW300" s="16" t="s">
        <v>1487</v>
      </c>
      <c r="LEX300" s="16" t="s">
        <v>1487</v>
      </c>
      <c r="LEY300" s="16" t="s">
        <v>1487</v>
      </c>
      <c r="LEZ300" s="16" t="s">
        <v>1487</v>
      </c>
      <c r="LFA300" s="16" t="s">
        <v>1487</v>
      </c>
      <c r="LFB300" s="16" t="s">
        <v>1487</v>
      </c>
      <c r="LFC300" s="16" t="s">
        <v>1487</v>
      </c>
      <c r="LFD300" s="16" t="s">
        <v>1487</v>
      </c>
      <c r="LFE300" s="16" t="s">
        <v>1487</v>
      </c>
      <c r="LFF300" s="16" t="s">
        <v>1487</v>
      </c>
      <c r="LFG300" s="16" t="s">
        <v>1487</v>
      </c>
      <c r="LFH300" s="16" t="s">
        <v>1487</v>
      </c>
      <c r="LFI300" s="16" t="s">
        <v>1487</v>
      </c>
      <c r="LFJ300" s="16" t="s">
        <v>1487</v>
      </c>
      <c r="LFK300" s="16" t="s">
        <v>1487</v>
      </c>
      <c r="LFL300" s="16" t="s">
        <v>1487</v>
      </c>
      <c r="LFM300" s="16" t="s">
        <v>1487</v>
      </c>
      <c r="LFN300" s="16" t="s">
        <v>1487</v>
      </c>
      <c r="LFO300" s="16" t="s">
        <v>1487</v>
      </c>
      <c r="LFP300" s="16" t="s">
        <v>1487</v>
      </c>
      <c r="LFQ300" s="16" t="s">
        <v>1487</v>
      </c>
      <c r="LFR300" s="16" t="s">
        <v>1487</v>
      </c>
      <c r="LFS300" s="16" t="s">
        <v>1487</v>
      </c>
      <c r="LFT300" s="16" t="s">
        <v>1487</v>
      </c>
      <c r="LFU300" s="16" t="s">
        <v>1487</v>
      </c>
      <c r="LFV300" s="16" t="s">
        <v>1487</v>
      </c>
      <c r="LFW300" s="16" t="s">
        <v>1487</v>
      </c>
      <c r="LFX300" s="16" t="s">
        <v>1487</v>
      </c>
      <c r="LFY300" s="16" t="s">
        <v>1487</v>
      </c>
      <c r="LFZ300" s="16" t="s">
        <v>1487</v>
      </c>
      <c r="LGA300" s="16" t="s">
        <v>1487</v>
      </c>
      <c r="LGB300" s="16" t="s">
        <v>1487</v>
      </c>
      <c r="LGC300" s="16" t="s">
        <v>1487</v>
      </c>
      <c r="LGD300" s="16" t="s">
        <v>1487</v>
      </c>
      <c r="LGE300" s="16" t="s">
        <v>1487</v>
      </c>
      <c r="LGF300" s="16" t="s">
        <v>1487</v>
      </c>
      <c r="LGG300" s="16" t="s">
        <v>1487</v>
      </c>
      <c r="LGH300" s="16" t="s">
        <v>1487</v>
      </c>
      <c r="LGI300" s="16" t="s">
        <v>1487</v>
      </c>
      <c r="LGJ300" s="16" t="s">
        <v>1487</v>
      </c>
      <c r="LGK300" s="16" t="s">
        <v>1487</v>
      </c>
      <c r="LGL300" s="16" t="s">
        <v>1487</v>
      </c>
      <c r="LGM300" s="16" t="s">
        <v>1487</v>
      </c>
      <c r="LGN300" s="16" t="s">
        <v>1487</v>
      </c>
      <c r="LGO300" s="16" t="s">
        <v>1487</v>
      </c>
      <c r="LGP300" s="16" t="s">
        <v>1487</v>
      </c>
      <c r="LGQ300" s="16" t="s">
        <v>1487</v>
      </c>
      <c r="LGR300" s="16" t="s">
        <v>1487</v>
      </c>
      <c r="LGS300" s="16" t="s">
        <v>1487</v>
      </c>
      <c r="LGT300" s="16" t="s">
        <v>1487</v>
      </c>
      <c r="LGU300" s="16" t="s">
        <v>1487</v>
      </c>
      <c r="LGV300" s="16" t="s">
        <v>1487</v>
      </c>
      <c r="LGW300" s="16" t="s">
        <v>1487</v>
      </c>
      <c r="LGX300" s="16" t="s">
        <v>1487</v>
      </c>
      <c r="LGY300" s="16" t="s">
        <v>1487</v>
      </c>
      <c r="LGZ300" s="16" t="s">
        <v>1487</v>
      </c>
      <c r="LHA300" s="16" t="s">
        <v>1487</v>
      </c>
      <c r="LHB300" s="16" t="s">
        <v>1487</v>
      </c>
      <c r="LHC300" s="16" t="s">
        <v>1487</v>
      </c>
      <c r="LHD300" s="16" t="s">
        <v>1487</v>
      </c>
      <c r="LHE300" s="16" t="s">
        <v>1487</v>
      </c>
      <c r="LHF300" s="16" t="s">
        <v>1487</v>
      </c>
      <c r="LHG300" s="16" t="s">
        <v>1487</v>
      </c>
      <c r="LHH300" s="16" t="s">
        <v>1487</v>
      </c>
      <c r="LHI300" s="16" t="s">
        <v>1487</v>
      </c>
      <c r="LHJ300" s="16" t="s">
        <v>1487</v>
      </c>
      <c r="LHK300" s="16" t="s">
        <v>1487</v>
      </c>
      <c r="LHL300" s="16" t="s">
        <v>1487</v>
      </c>
      <c r="LHM300" s="16" t="s">
        <v>1487</v>
      </c>
      <c r="LHN300" s="16" t="s">
        <v>1487</v>
      </c>
      <c r="LHO300" s="16" t="s">
        <v>1487</v>
      </c>
      <c r="LHP300" s="16" t="s">
        <v>1487</v>
      </c>
      <c r="LHQ300" s="16" t="s">
        <v>1487</v>
      </c>
      <c r="LHR300" s="16" t="s">
        <v>1487</v>
      </c>
      <c r="LHS300" s="16" t="s">
        <v>1487</v>
      </c>
      <c r="LHT300" s="16" t="s">
        <v>1487</v>
      </c>
      <c r="LHU300" s="16" t="s">
        <v>1487</v>
      </c>
      <c r="LHV300" s="16" t="s">
        <v>1487</v>
      </c>
      <c r="LHW300" s="16" t="s">
        <v>1487</v>
      </c>
      <c r="LHX300" s="16" t="s">
        <v>1487</v>
      </c>
      <c r="LHY300" s="16" t="s">
        <v>1487</v>
      </c>
      <c r="LHZ300" s="16" t="s">
        <v>1487</v>
      </c>
      <c r="LIA300" s="16" t="s">
        <v>1487</v>
      </c>
      <c r="LIB300" s="16" t="s">
        <v>1487</v>
      </c>
      <c r="LIC300" s="16" t="s">
        <v>1487</v>
      </c>
      <c r="LID300" s="16" t="s">
        <v>1487</v>
      </c>
      <c r="LIE300" s="16" t="s">
        <v>1487</v>
      </c>
      <c r="LIF300" s="16" t="s">
        <v>1487</v>
      </c>
      <c r="LIG300" s="16" t="s">
        <v>1487</v>
      </c>
      <c r="LIH300" s="16" t="s">
        <v>1487</v>
      </c>
      <c r="LII300" s="16" t="s">
        <v>1487</v>
      </c>
      <c r="LIJ300" s="16" t="s">
        <v>1487</v>
      </c>
      <c r="LIK300" s="16" t="s">
        <v>1487</v>
      </c>
      <c r="LIL300" s="16" t="s">
        <v>1487</v>
      </c>
      <c r="LIM300" s="16" t="s">
        <v>1487</v>
      </c>
      <c r="LIN300" s="16" t="s">
        <v>1487</v>
      </c>
      <c r="LIO300" s="16" t="s">
        <v>1487</v>
      </c>
      <c r="LIP300" s="16" t="s">
        <v>1487</v>
      </c>
      <c r="LIQ300" s="16" t="s">
        <v>1487</v>
      </c>
      <c r="LIR300" s="16" t="s">
        <v>1487</v>
      </c>
      <c r="LIS300" s="16" t="s">
        <v>1487</v>
      </c>
      <c r="LIT300" s="16" t="s">
        <v>1487</v>
      </c>
      <c r="LIU300" s="16" t="s">
        <v>1487</v>
      </c>
      <c r="LIV300" s="16" t="s">
        <v>1487</v>
      </c>
      <c r="LIW300" s="16" t="s">
        <v>1487</v>
      </c>
      <c r="LIX300" s="16" t="s">
        <v>1487</v>
      </c>
      <c r="LIY300" s="16" t="s">
        <v>1487</v>
      </c>
      <c r="LIZ300" s="16" t="s">
        <v>1487</v>
      </c>
      <c r="LJA300" s="16" t="s">
        <v>1487</v>
      </c>
      <c r="LJB300" s="16" t="s">
        <v>1487</v>
      </c>
      <c r="LJC300" s="16" t="s">
        <v>1487</v>
      </c>
      <c r="LJD300" s="16" t="s">
        <v>1487</v>
      </c>
      <c r="LJE300" s="16" t="s">
        <v>1487</v>
      </c>
      <c r="LJF300" s="16" t="s">
        <v>1487</v>
      </c>
      <c r="LJG300" s="16" t="s">
        <v>1487</v>
      </c>
      <c r="LJH300" s="16" t="s">
        <v>1487</v>
      </c>
      <c r="LJI300" s="16" t="s">
        <v>1487</v>
      </c>
      <c r="LJJ300" s="16" t="s">
        <v>1487</v>
      </c>
      <c r="LJK300" s="16" t="s">
        <v>1487</v>
      </c>
      <c r="LJL300" s="16" t="s">
        <v>1487</v>
      </c>
      <c r="LJM300" s="16" t="s">
        <v>1487</v>
      </c>
      <c r="LJN300" s="16" t="s">
        <v>1487</v>
      </c>
      <c r="LJO300" s="16" t="s">
        <v>1487</v>
      </c>
      <c r="LJP300" s="16" t="s">
        <v>1487</v>
      </c>
      <c r="LJQ300" s="16" t="s">
        <v>1487</v>
      </c>
      <c r="LJR300" s="16" t="s">
        <v>1487</v>
      </c>
      <c r="LJS300" s="16" t="s">
        <v>1487</v>
      </c>
      <c r="LJT300" s="16" t="s">
        <v>1487</v>
      </c>
      <c r="LJU300" s="16" t="s">
        <v>1487</v>
      </c>
      <c r="LJV300" s="16" t="s">
        <v>1487</v>
      </c>
      <c r="LJW300" s="16" t="s">
        <v>1487</v>
      </c>
      <c r="LJX300" s="16" t="s">
        <v>1487</v>
      </c>
      <c r="LJY300" s="16" t="s">
        <v>1487</v>
      </c>
      <c r="LJZ300" s="16" t="s">
        <v>1487</v>
      </c>
      <c r="LKA300" s="16" t="s">
        <v>1487</v>
      </c>
      <c r="LKB300" s="16" t="s">
        <v>1487</v>
      </c>
      <c r="LKC300" s="16" t="s">
        <v>1487</v>
      </c>
      <c r="LKD300" s="16" t="s">
        <v>1487</v>
      </c>
      <c r="LKE300" s="16" t="s">
        <v>1487</v>
      </c>
      <c r="LKF300" s="16" t="s">
        <v>1487</v>
      </c>
      <c r="LKG300" s="16" t="s">
        <v>1487</v>
      </c>
      <c r="LKH300" s="16" t="s">
        <v>1487</v>
      </c>
      <c r="LKI300" s="16" t="s">
        <v>1487</v>
      </c>
      <c r="LKJ300" s="16" t="s">
        <v>1487</v>
      </c>
      <c r="LKK300" s="16" t="s">
        <v>1487</v>
      </c>
      <c r="LKL300" s="16" t="s">
        <v>1487</v>
      </c>
      <c r="LKM300" s="16" t="s">
        <v>1487</v>
      </c>
      <c r="LKN300" s="16" t="s">
        <v>1487</v>
      </c>
      <c r="LKO300" s="16" t="s">
        <v>1487</v>
      </c>
      <c r="LKP300" s="16" t="s">
        <v>1487</v>
      </c>
      <c r="LKQ300" s="16" t="s">
        <v>1487</v>
      </c>
      <c r="LKR300" s="16" t="s">
        <v>1487</v>
      </c>
      <c r="LKS300" s="16" t="s">
        <v>1487</v>
      </c>
      <c r="LKT300" s="16" t="s">
        <v>1487</v>
      </c>
      <c r="LKU300" s="16" t="s">
        <v>1487</v>
      </c>
      <c r="LKV300" s="16" t="s">
        <v>1487</v>
      </c>
      <c r="LKW300" s="16" t="s">
        <v>1487</v>
      </c>
      <c r="LKX300" s="16" t="s">
        <v>1487</v>
      </c>
      <c r="LKY300" s="16" t="s">
        <v>1487</v>
      </c>
      <c r="LKZ300" s="16" t="s">
        <v>1487</v>
      </c>
      <c r="LLA300" s="16" t="s">
        <v>1487</v>
      </c>
      <c r="LLB300" s="16" t="s">
        <v>1487</v>
      </c>
      <c r="LLC300" s="16" t="s">
        <v>1487</v>
      </c>
      <c r="LLD300" s="16" t="s">
        <v>1487</v>
      </c>
      <c r="LLE300" s="16" t="s">
        <v>1487</v>
      </c>
      <c r="LLF300" s="16" t="s">
        <v>1487</v>
      </c>
      <c r="LLG300" s="16" t="s">
        <v>1487</v>
      </c>
      <c r="LLH300" s="16" t="s">
        <v>1487</v>
      </c>
      <c r="LLI300" s="16" t="s">
        <v>1487</v>
      </c>
      <c r="LLJ300" s="16" t="s">
        <v>1487</v>
      </c>
      <c r="LLK300" s="16" t="s">
        <v>1487</v>
      </c>
      <c r="LLL300" s="16" t="s">
        <v>1487</v>
      </c>
      <c r="LLM300" s="16" t="s">
        <v>1487</v>
      </c>
      <c r="LLN300" s="16" t="s">
        <v>1487</v>
      </c>
      <c r="LLO300" s="16" t="s">
        <v>1487</v>
      </c>
      <c r="LLP300" s="16" t="s">
        <v>1487</v>
      </c>
      <c r="LLQ300" s="16" t="s">
        <v>1487</v>
      </c>
      <c r="LLR300" s="16" t="s">
        <v>1487</v>
      </c>
      <c r="LLS300" s="16" t="s">
        <v>1487</v>
      </c>
      <c r="LLT300" s="16" t="s">
        <v>1487</v>
      </c>
      <c r="LLU300" s="16" t="s">
        <v>1487</v>
      </c>
      <c r="LLV300" s="16" t="s">
        <v>1487</v>
      </c>
      <c r="LLW300" s="16" t="s">
        <v>1487</v>
      </c>
      <c r="LLX300" s="16" t="s">
        <v>1487</v>
      </c>
      <c r="LLY300" s="16" t="s">
        <v>1487</v>
      </c>
      <c r="LLZ300" s="16" t="s">
        <v>1487</v>
      </c>
      <c r="LMA300" s="16" t="s">
        <v>1487</v>
      </c>
      <c r="LMB300" s="16" t="s">
        <v>1487</v>
      </c>
      <c r="LMC300" s="16" t="s">
        <v>1487</v>
      </c>
      <c r="LMD300" s="16" t="s">
        <v>1487</v>
      </c>
      <c r="LME300" s="16" t="s">
        <v>1487</v>
      </c>
      <c r="LMF300" s="16" t="s">
        <v>1487</v>
      </c>
      <c r="LMG300" s="16" t="s">
        <v>1487</v>
      </c>
      <c r="LMH300" s="16" t="s">
        <v>1487</v>
      </c>
      <c r="LMI300" s="16" t="s">
        <v>1487</v>
      </c>
      <c r="LMJ300" s="16" t="s">
        <v>1487</v>
      </c>
      <c r="LMK300" s="16" t="s">
        <v>1487</v>
      </c>
      <c r="LML300" s="16" t="s">
        <v>1487</v>
      </c>
      <c r="LMM300" s="16" t="s">
        <v>1487</v>
      </c>
      <c r="LMN300" s="16" t="s">
        <v>1487</v>
      </c>
      <c r="LMO300" s="16" t="s">
        <v>1487</v>
      </c>
      <c r="LMP300" s="16" t="s">
        <v>1487</v>
      </c>
      <c r="LMQ300" s="16" t="s">
        <v>1487</v>
      </c>
      <c r="LMR300" s="16" t="s">
        <v>1487</v>
      </c>
      <c r="LMS300" s="16" t="s">
        <v>1487</v>
      </c>
      <c r="LMT300" s="16" t="s">
        <v>1487</v>
      </c>
      <c r="LMU300" s="16" t="s">
        <v>1487</v>
      </c>
      <c r="LMV300" s="16" t="s">
        <v>1487</v>
      </c>
      <c r="LMW300" s="16" t="s">
        <v>1487</v>
      </c>
      <c r="LMX300" s="16" t="s">
        <v>1487</v>
      </c>
      <c r="LMY300" s="16" t="s">
        <v>1487</v>
      </c>
      <c r="LMZ300" s="16" t="s">
        <v>1487</v>
      </c>
      <c r="LNA300" s="16" t="s">
        <v>1487</v>
      </c>
      <c r="LNB300" s="16" t="s">
        <v>1487</v>
      </c>
      <c r="LNC300" s="16" t="s">
        <v>1487</v>
      </c>
      <c r="LND300" s="16" t="s">
        <v>1487</v>
      </c>
      <c r="LNE300" s="16" t="s">
        <v>1487</v>
      </c>
      <c r="LNF300" s="16" t="s">
        <v>1487</v>
      </c>
      <c r="LNG300" s="16" t="s">
        <v>1487</v>
      </c>
      <c r="LNH300" s="16" t="s">
        <v>1487</v>
      </c>
      <c r="LNI300" s="16" t="s">
        <v>1487</v>
      </c>
      <c r="LNJ300" s="16" t="s">
        <v>1487</v>
      </c>
      <c r="LNK300" s="16" t="s">
        <v>1487</v>
      </c>
      <c r="LNL300" s="16" t="s">
        <v>1487</v>
      </c>
      <c r="LNM300" s="16" t="s">
        <v>1487</v>
      </c>
      <c r="LNN300" s="16" t="s">
        <v>1487</v>
      </c>
      <c r="LNO300" s="16" t="s">
        <v>1487</v>
      </c>
      <c r="LNP300" s="16" t="s">
        <v>1487</v>
      </c>
      <c r="LNQ300" s="16" t="s">
        <v>1487</v>
      </c>
      <c r="LNR300" s="16" t="s">
        <v>1487</v>
      </c>
      <c r="LNS300" s="16" t="s">
        <v>1487</v>
      </c>
      <c r="LNT300" s="16" t="s">
        <v>1487</v>
      </c>
      <c r="LNU300" s="16" t="s">
        <v>1487</v>
      </c>
      <c r="LNV300" s="16" t="s">
        <v>1487</v>
      </c>
      <c r="LNW300" s="16" t="s">
        <v>1487</v>
      </c>
      <c r="LNX300" s="16" t="s">
        <v>1487</v>
      </c>
      <c r="LNY300" s="16" t="s">
        <v>1487</v>
      </c>
      <c r="LNZ300" s="16" t="s">
        <v>1487</v>
      </c>
      <c r="LOA300" s="16" t="s">
        <v>1487</v>
      </c>
      <c r="LOB300" s="16" t="s">
        <v>1487</v>
      </c>
      <c r="LOC300" s="16" t="s">
        <v>1487</v>
      </c>
      <c r="LOD300" s="16" t="s">
        <v>1487</v>
      </c>
      <c r="LOE300" s="16" t="s">
        <v>1487</v>
      </c>
      <c r="LOF300" s="16" t="s">
        <v>1487</v>
      </c>
      <c r="LOG300" s="16" t="s">
        <v>1487</v>
      </c>
      <c r="LOH300" s="16" t="s">
        <v>1487</v>
      </c>
      <c r="LOI300" s="16" t="s">
        <v>1487</v>
      </c>
      <c r="LOJ300" s="16" t="s">
        <v>1487</v>
      </c>
      <c r="LOK300" s="16" t="s">
        <v>1487</v>
      </c>
      <c r="LOL300" s="16" t="s">
        <v>1487</v>
      </c>
      <c r="LOM300" s="16" t="s">
        <v>1487</v>
      </c>
      <c r="LON300" s="16" t="s">
        <v>1487</v>
      </c>
      <c r="LOO300" s="16" t="s">
        <v>1487</v>
      </c>
      <c r="LOP300" s="16" t="s">
        <v>1487</v>
      </c>
      <c r="LOQ300" s="16" t="s">
        <v>1487</v>
      </c>
      <c r="LOR300" s="16" t="s">
        <v>1487</v>
      </c>
      <c r="LOS300" s="16" t="s">
        <v>1487</v>
      </c>
      <c r="LOT300" s="16" t="s">
        <v>1487</v>
      </c>
      <c r="LOU300" s="16" t="s">
        <v>1487</v>
      </c>
      <c r="LOV300" s="16" t="s">
        <v>1487</v>
      </c>
      <c r="LOW300" s="16" t="s">
        <v>1487</v>
      </c>
      <c r="LOX300" s="16" t="s">
        <v>1487</v>
      </c>
      <c r="LOY300" s="16" t="s">
        <v>1487</v>
      </c>
      <c r="LOZ300" s="16" t="s">
        <v>1487</v>
      </c>
      <c r="LPA300" s="16" t="s">
        <v>1487</v>
      </c>
      <c r="LPB300" s="16" t="s">
        <v>1487</v>
      </c>
      <c r="LPC300" s="16" t="s">
        <v>1487</v>
      </c>
      <c r="LPD300" s="16" t="s">
        <v>1487</v>
      </c>
      <c r="LPE300" s="16" t="s">
        <v>1487</v>
      </c>
      <c r="LPF300" s="16" t="s">
        <v>1487</v>
      </c>
      <c r="LPG300" s="16" t="s">
        <v>1487</v>
      </c>
      <c r="LPH300" s="16" t="s">
        <v>1487</v>
      </c>
      <c r="LPI300" s="16" t="s">
        <v>1487</v>
      </c>
      <c r="LPJ300" s="16" t="s">
        <v>1487</v>
      </c>
      <c r="LPK300" s="16" t="s">
        <v>1487</v>
      </c>
      <c r="LPL300" s="16" t="s">
        <v>1487</v>
      </c>
      <c r="LPM300" s="16" t="s">
        <v>1487</v>
      </c>
      <c r="LPN300" s="16" t="s">
        <v>1487</v>
      </c>
      <c r="LPO300" s="16" t="s">
        <v>1487</v>
      </c>
      <c r="LPP300" s="16" t="s">
        <v>1487</v>
      </c>
      <c r="LPQ300" s="16" t="s">
        <v>1487</v>
      </c>
      <c r="LPR300" s="16" t="s">
        <v>1487</v>
      </c>
      <c r="LPS300" s="16" t="s">
        <v>1487</v>
      </c>
      <c r="LPT300" s="16" t="s">
        <v>1487</v>
      </c>
      <c r="LPU300" s="16" t="s">
        <v>1487</v>
      </c>
      <c r="LPV300" s="16" t="s">
        <v>1487</v>
      </c>
      <c r="LPW300" s="16" t="s">
        <v>1487</v>
      </c>
      <c r="LPX300" s="16" t="s">
        <v>1487</v>
      </c>
      <c r="LPY300" s="16" t="s">
        <v>1487</v>
      </c>
      <c r="LPZ300" s="16" t="s">
        <v>1487</v>
      </c>
      <c r="LQA300" s="16" t="s">
        <v>1487</v>
      </c>
      <c r="LQB300" s="16" t="s">
        <v>1487</v>
      </c>
      <c r="LQC300" s="16" t="s">
        <v>1487</v>
      </c>
      <c r="LQD300" s="16" t="s">
        <v>1487</v>
      </c>
      <c r="LQE300" s="16" t="s">
        <v>1487</v>
      </c>
      <c r="LQF300" s="16" t="s">
        <v>1487</v>
      </c>
      <c r="LQG300" s="16" t="s">
        <v>1487</v>
      </c>
      <c r="LQH300" s="16" t="s">
        <v>1487</v>
      </c>
      <c r="LQI300" s="16" t="s">
        <v>1487</v>
      </c>
      <c r="LQJ300" s="16" t="s">
        <v>1487</v>
      </c>
      <c r="LQK300" s="16" t="s">
        <v>1487</v>
      </c>
      <c r="LQL300" s="16" t="s">
        <v>1487</v>
      </c>
      <c r="LQM300" s="16" t="s">
        <v>1487</v>
      </c>
      <c r="LQN300" s="16" t="s">
        <v>1487</v>
      </c>
      <c r="LQO300" s="16" t="s">
        <v>1487</v>
      </c>
      <c r="LQP300" s="16" t="s">
        <v>1487</v>
      </c>
      <c r="LQQ300" s="16" t="s">
        <v>1487</v>
      </c>
      <c r="LQR300" s="16" t="s">
        <v>1487</v>
      </c>
      <c r="LQS300" s="16" t="s">
        <v>1487</v>
      </c>
      <c r="LQT300" s="16" t="s">
        <v>1487</v>
      </c>
      <c r="LQU300" s="16" t="s">
        <v>1487</v>
      </c>
      <c r="LQV300" s="16" t="s">
        <v>1487</v>
      </c>
      <c r="LQW300" s="16" t="s">
        <v>1487</v>
      </c>
      <c r="LQX300" s="16" t="s">
        <v>1487</v>
      </c>
      <c r="LQY300" s="16" t="s">
        <v>1487</v>
      </c>
      <c r="LQZ300" s="16" t="s">
        <v>1487</v>
      </c>
      <c r="LRA300" s="16" t="s">
        <v>1487</v>
      </c>
      <c r="LRB300" s="16" t="s">
        <v>1487</v>
      </c>
      <c r="LRC300" s="16" t="s">
        <v>1487</v>
      </c>
      <c r="LRD300" s="16" t="s">
        <v>1487</v>
      </c>
      <c r="LRE300" s="16" t="s">
        <v>1487</v>
      </c>
      <c r="LRF300" s="16" t="s">
        <v>1487</v>
      </c>
      <c r="LRG300" s="16" t="s">
        <v>1487</v>
      </c>
      <c r="LRH300" s="16" t="s">
        <v>1487</v>
      </c>
      <c r="LRI300" s="16" t="s">
        <v>1487</v>
      </c>
      <c r="LRJ300" s="16" t="s">
        <v>1487</v>
      </c>
      <c r="LRK300" s="16" t="s">
        <v>1487</v>
      </c>
      <c r="LRL300" s="16" t="s">
        <v>1487</v>
      </c>
      <c r="LRM300" s="16" t="s">
        <v>1487</v>
      </c>
      <c r="LRN300" s="16" t="s">
        <v>1487</v>
      </c>
      <c r="LRO300" s="16" t="s">
        <v>1487</v>
      </c>
      <c r="LRP300" s="16" t="s">
        <v>1487</v>
      </c>
      <c r="LRQ300" s="16" t="s">
        <v>1487</v>
      </c>
      <c r="LRR300" s="16" t="s">
        <v>1487</v>
      </c>
      <c r="LRS300" s="16" t="s">
        <v>1487</v>
      </c>
      <c r="LRT300" s="16" t="s">
        <v>1487</v>
      </c>
      <c r="LRU300" s="16" t="s">
        <v>1487</v>
      </c>
      <c r="LRV300" s="16" t="s">
        <v>1487</v>
      </c>
      <c r="LRW300" s="16" t="s">
        <v>1487</v>
      </c>
      <c r="LRX300" s="16" t="s">
        <v>1487</v>
      </c>
      <c r="LRY300" s="16" t="s">
        <v>1487</v>
      </c>
      <c r="LRZ300" s="16" t="s">
        <v>1487</v>
      </c>
      <c r="LSA300" s="16" t="s">
        <v>1487</v>
      </c>
      <c r="LSB300" s="16" t="s">
        <v>1487</v>
      </c>
      <c r="LSC300" s="16" t="s">
        <v>1487</v>
      </c>
      <c r="LSD300" s="16" t="s">
        <v>1487</v>
      </c>
      <c r="LSE300" s="16" t="s">
        <v>1487</v>
      </c>
      <c r="LSF300" s="16" t="s">
        <v>1487</v>
      </c>
      <c r="LSG300" s="16" t="s">
        <v>1487</v>
      </c>
      <c r="LSH300" s="16" t="s">
        <v>1487</v>
      </c>
      <c r="LSI300" s="16" t="s">
        <v>1487</v>
      </c>
      <c r="LSJ300" s="16" t="s">
        <v>1487</v>
      </c>
      <c r="LSK300" s="16" t="s">
        <v>1487</v>
      </c>
      <c r="LSL300" s="16" t="s">
        <v>1487</v>
      </c>
      <c r="LSM300" s="16" t="s">
        <v>1487</v>
      </c>
      <c r="LSN300" s="16" t="s">
        <v>1487</v>
      </c>
      <c r="LSO300" s="16" t="s">
        <v>1487</v>
      </c>
      <c r="LSP300" s="16" t="s">
        <v>1487</v>
      </c>
      <c r="LSQ300" s="16" t="s">
        <v>1487</v>
      </c>
      <c r="LSR300" s="16" t="s">
        <v>1487</v>
      </c>
      <c r="LSS300" s="16" t="s">
        <v>1487</v>
      </c>
      <c r="LST300" s="16" t="s">
        <v>1487</v>
      </c>
      <c r="LSU300" s="16" t="s">
        <v>1487</v>
      </c>
      <c r="LSV300" s="16" t="s">
        <v>1487</v>
      </c>
      <c r="LSW300" s="16" t="s">
        <v>1487</v>
      </c>
      <c r="LSX300" s="16" t="s">
        <v>1487</v>
      </c>
      <c r="LSY300" s="16" t="s">
        <v>1487</v>
      </c>
      <c r="LSZ300" s="16" t="s">
        <v>1487</v>
      </c>
      <c r="LTA300" s="16" t="s">
        <v>1487</v>
      </c>
      <c r="LTB300" s="16" t="s">
        <v>1487</v>
      </c>
      <c r="LTC300" s="16" t="s">
        <v>1487</v>
      </c>
      <c r="LTD300" s="16" t="s">
        <v>1487</v>
      </c>
      <c r="LTE300" s="16" t="s">
        <v>1487</v>
      </c>
      <c r="LTF300" s="16" t="s">
        <v>1487</v>
      </c>
      <c r="LTG300" s="16" t="s">
        <v>1487</v>
      </c>
      <c r="LTH300" s="16" t="s">
        <v>1487</v>
      </c>
      <c r="LTI300" s="16" t="s">
        <v>1487</v>
      </c>
      <c r="LTJ300" s="16" t="s">
        <v>1487</v>
      </c>
      <c r="LTK300" s="16" t="s">
        <v>1487</v>
      </c>
      <c r="LTL300" s="16" t="s">
        <v>1487</v>
      </c>
      <c r="LTM300" s="16" t="s">
        <v>1487</v>
      </c>
      <c r="LTN300" s="16" t="s">
        <v>1487</v>
      </c>
      <c r="LTO300" s="16" t="s">
        <v>1487</v>
      </c>
      <c r="LTP300" s="16" t="s">
        <v>1487</v>
      </c>
      <c r="LTQ300" s="16" t="s">
        <v>1487</v>
      </c>
      <c r="LTR300" s="16" t="s">
        <v>1487</v>
      </c>
      <c r="LTS300" s="16" t="s">
        <v>1487</v>
      </c>
      <c r="LTT300" s="16" t="s">
        <v>1487</v>
      </c>
      <c r="LTU300" s="16" t="s">
        <v>1487</v>
      </c>
      <c r="LTV300" s="16" t="s">
        <v>1487</v>
      </c>
      <c r="LTW300" s="16" t="s">
        <v>1487</v>
      </c>
      <c r="LTX300" s="16" t="s">
        <v>1487</v>
      </c>
      <c r="LTY300" s="16" t="s">
        <v>1487</v>
      </c>
      <c r="LTZ300" s="16" t="s">
        <v>1487</v>
      </c>
      <c r="LUA300" s="16" t="s">
        <v>1487</v>
      </c>
      <c r="LUB300" s="16" t="s">
        <v>1487</v>
      </c>
      <c r="LUC300" s="16" t="s">
        <v>1487</v>
      </c>
      <c r="LUD300" s="16" t="s">
        <v>1487</v>
      </c>
      <c r="LUE300" s="16" t="s">
        <v>1487</v>
      </c>
      <c r="LUF300" s="16" t="s">
        <v>1487</v>
      </c>
      <c r="LUG300" s="16" t="s">
        <v>1487</v>
      </c>
      <c r="LUH300" s="16" t="s">
        <v>1487</v>
      </c>
      <c r="LUI300" s="16" t="s">
        <v>1487</v>
      </c>
      <c r="LUJ300" s="16" t="s">
        <v>1487</v>
      </c>
      <c r="LUK300" s="16" t="s">
        <v>1487</v>
      </c>
      <c r="LUL300" s="16" t="s">
        <v>1487</v>
      </c>
      <c r="LUM300" s="16" t="s">
        <v>1487</v>
      </c>
      <c r="LUN300" s="16" t="s">
        <v>1487</v>
      </c>
      <c r="LUO300" s="16" t="s">
        <v>1487</v>
      </c>
      <c r="LUP300" s="16" t="s">
        <v>1487</v>
      </c>
      <c r="LUQ300" s="16" t="s">
        <v>1487</v>
      </c>
      <c r="LUR300" s="16" t="s">
        <v>1487</v>
      </c>
      <c r="LUS300" s="16" t="s">
        <v>1487</v>
      </c>
      <c r="LUT300" s="16" t="s">
        <v>1487</v>
      </c>
      <c r="LUU300" s="16" t="s">
        <v>1487</v>
      </c>
      <c r="LUV300" s="16" t="s">
        <v>1487</v>
      </c>
      <c r="LUW300" s="16" t="s">
        <v>1487</v>
      </c>
      <c r="LUX300" s="16" t="s">
        <v>1487</v>
      </c>
      <c r="LUY300" s="16" t="s">
        <v>1487</v>
      </c>
      <c r="LUZ300" s="16" t="s">
        <v>1487</v>
      </c>
      <c r="LVA300" s="16" t="s">
        <v>1487</v>
      </c>
      <c r="LVB300" s="16" t="s">
        <v>1487</v>
      </c>
      <c r="LVC300" s="16" t="s">
        <v>1487</v>
      </c>
      <c r="LVD300" s="16" t="s">
        <v>1487</v>
      </c>
      <c r="LVE300" s="16" t="s">
        <v>1487</v>
      </c>
      <c r="LVF300" s="16" t="s">
        <v>1487</v>
      </c>
      <c r="LVG300" s="16" t="s">
        <v>1487</v>
      </c>
      <c r="LVH300" s="16" t="s">
        <v>1487</v>
      </c>
      <c r="LVI300" s="16" t="s">
        <v>1487</v>
      </c>
      <c r="LVJ300" s="16" t="s">
        <v>1487</v>
      </c>
      <c r="LVK300" s="16" t="s">
        <v>1487</v>
      </c>
      <c r="LVL300" s="16" t="s">
        <v>1487</v>
      </c>
      <c r="LVM300" s="16" t="s">
        <v>1487</v>
      </c>
      <c r="LVN300" s="16" t="s">
        <v>1487</v>
      </c>
      <c r="LVO300" s="16" t="s">
        <v>1487</v>
      </c>
      <c r="LVP300" s="16" t="s">
        <v>1487</v>
      </c>
      <c r="LVQ300" s="16" t="s">
        <v>1487</v>
      </c>
      <c r="LVR300" s="16" t="s">
        <v>1487</v>
      </c>
      <c r="LVS300" s="16" t="s">
        <v>1487</v>
      </c>
      <c r="LVT300" s="16" t="s">
        <v>1487</v>
      </c>
      <c r="LVU300" s="16" t="s">
        <v>1487</v>
      </c>
      <c r="LVV300" s="16" t="s">
        <v>1487</v>
      </c>
      <c r="LVW300" s="16" t="s">
        <v>1487</v>
      </c>
      <c r="LVX300" s="16" t="s">
        <v>1487</v>
      </c>
      <c r="LVY300" s="16" t="s">
        <v>1487</v>
      </c>
      <c r="LVZ300" s="16" t="s">
        <v>1487</v>
      </c>
      <c r="LWA300" s="16" t="s">
        <v>1487</v>
      </c>
      <c r="LWB300" s="16" t="s">
        <v>1487</v>
      </c>
      <c r="LWC300" s="16" t="s">
        <v>1487</v>
      </c>
      <c r="LWD300" s="16" t="s">
        <v>1487</v>
      </c>
      <c r="LWE300" s="16" t="s">
        <v>1487</v>
      </c>
      <c r="LWF300" s="16" t="s">
        <v>1487</v>
      </c>
      <c r="LWG300" s="16" t="s">
        <v>1487</v>
      </c>
      <c r="LWH300" s="16" t="s">
        <v>1487</v>
      </c>
      <c r="LWI300" s="16" t="s">
        <v>1487</v>
      </c>
      <c r="LWJ300" s="16" t="s">
        <v>1487</v>
      </c>
      <c r="LWK300" s="16" t="s">
        <v>1487</v>
      </c>
      <c r="LWL300" s="16" t="s">
        <v>1487</v>
      </c>
      <c r="LWM300" s="16" t="s">
        <v>1487</v>
      </c>
      <c r="LWN300" s="16" t="s">
        <v>1487</v>
      </c>
      <c r="LWO300" s="16" t="s">
        <v>1487</v>
      </c>
      <c r="LWP300" s="16" t="s">
        <v>1487</v>
      </c>
      <c r="LWQ300" s="16" t="s">
        <v>1487</v>
      </c>
      <c r="LWR300" s="16" t="s">
        <v>1487</v>
      </c>
      <c r="LWS300" s="16" t="s">
        <v>1487</v>
      </c>
      <c r="LWT300" s="16" t="s">
        <v>1487</v>
      </c>
      <c r="LWU300" s="16" t="s">
        <v>1487</v>
      </c>
      <c r="LWV300" s="16" t="s">
        <v>1487</v>
      </c>
      <c r="LWW300" s="16" t="s">
        <v>1487</v>
      </c>
      <c r="LWX300" s="16" t="s">
        <v>1487</v>
      </c>
      <c r="LWY300" s="16" t="s">
        <v>1487</v>
      </c>
      <c r="LWZ300" s="16" t="s">
        <v>1487</v>
      </c>
      <c r="LXA300" s="16" t="s">
        <v>1487</v>
      </c>
      <c r="LXB300" s="16" t="s">
        <v>1487</v>
      </c>
      <c r="LXC300" s="16" t="s">
        <v>1487</v>
      </c>
      <c r="LXD300" s="16" t="s">
        <v>1487</v>
      </c>
      <c r="LXE300" s="16" t="s">
        <v>1487</v>
      </c>
      <c r="LXF300" s="16" t="s">
        <v>1487</v>
      </c>
      <c r="LXG300" s="16" t="s">
        <v>1487</v>
      </c>
      <c r="LXH300" s="16" t="s">
        <v>1487</v>
      </c>
      <c r="LXI300" s="16" t="s">
        <v>1487</v>
      </c>
      <c r="LXJ300" s="16" t="s">
        <v>1487</v>
      </c>
      <c r="LXK300" s="16" t="s">
        <v>1487</v>
      </c>
      <c r="LXL300" s="16" t="s">
        <v>1487</v>
      </c>
      <c r="LXM300" s="16" t="s">
        <v>1487</v>
      </c>
      <c r="LXN300" s="16" t="s">
        <v>1487</v>
      </c>
      <c r="LXO300" s="16" t="s">
        <v>1487</v>
      </c>
      <c r="LXP300" s="16" t="s">
        <v>1487</v>
      </c>
      <c r="LXQ300" s="16" t="s">
        <v>1487</v>
      </c>
      <c r="LXR300" s="16" t="s">
        <v>1487</v>
      </c>
      <c r="LXS300" s="16" t="s">
        <v>1487</v>
      </c>
      <c r="LXT300" s="16" t="s">
        <v>1487</v>
      </c>
      <c r="LXU300" s="16" t="s">
        <v>1487</v>
      </c>
      <c r="LXV300" s="16" t="s">
        <v>1487</v>
      </c>
      <c r="LXW300" s="16" t="s">
        <v>1487</v>
      </c>
      <c r="LXX300" s="16" t="s">
        <v>1487</v>
      </c>
      <c r="LXY300" s="16" t="s">
        <v>1487</v>
      </c>
      <c r="LXZ300" s="16" t="s">
        <v>1487</v>
      </c>
      <c r="LYA300" s="16" t="s">
        <v>1487</v>
      </c>
      <c r="LYB300" s="16" t="s">
        <v>1487</v>
      </c>
      <c r="LYC300" s="16" t="s">
        <v>1487</v>
      </c>
      <c r="LYD300" s="16" t="s">
        <v>1487</v>
      </c>
      <c r="LYE300" s="16" t="s">
        <v>1487</v>
      </c>
      <c r="LYF300" s="16" t="s">
        <v>1487</v>
      </c>
      <c r="LYG300" s="16" t="s">
        <v>1487</v>
      </c>
      <c r="LYH300" s="16" t="s">
        <v>1487</v>
      </c>
      <c r="LYI300" s="16" t="s">
        <v>1487</v>
      </c>
      <c r="LYJ300" s="16" t="s">
        <v>1487</v>
      </c>
      <c r="LYK300" s="16" t="s">
        <v>1487</v>
      </c>
      <c r="LYL300" s="16" t="s">
        <v>1487</v>
      </c>
      <c r="LYM300" s="16" t="s">
        <v>1487</v>
      </c>
      <c r="LYN300" s="16" t="s">
        <v>1487</v>
      </c>
      <c r="LYO300" s="16" t="s">
        <v>1487</v>
      </c>
      <c r="LYP300" s="16" t="s">
        <v>1487</v>
      </c>
      <c r="LYQ300" s="16" t="s">
        <v>1487</v>
      </c>
      <c r="LYR300" s="16" t="s">
        <v>1487</v>
      </c>
      <c r="LYS300" s="16" t="s">
        <v>1487</v>
      </c>
      <c r="LYT300" s="16" t="s">
        <v>1487</v>
      </c>
      <c r="LYU300" s="16" t="s">
        <v>1487</v>
      </c>
      <c r="LYV300" s="16" t="s">
        <v>1487</v>
      </c>
      <c r="LYW300" s="16" t="s">
        <v>1487</v>
      </c>
      <c r="LYX300" s="16" t="s">
        <v>1487</v>
      </c>
      <c r="LYY300" s="16" t="s">
        <v>1487</v>
      </c>
      <c r="LYZ300" s="16" t="s">
        <v>1487</v>
      </c>
      <c r="LZA300" s="16" t="s">
        <v>1487</v>
      </c>
      <c r="LZB300" s="16" t="s">
        <v>1487</v>
      </c>
      <c r="LZC300" s="16" t="s">
        <v>1487</v>
      </c>
      <c r="LZD300" s="16" t="s">
        <v>1487</v>
      </c>
      <c r="LZE300" s="16" t="s">
        <v>1487</v>
      </c>
      <c r="LZF300" s="16" t="s">
        <v>1487</v>
      </c>
      <c r="LZG300" s="16" t="s">
        <v>1487</v>
      </c>
      <c r="LZH300" s="16" t="s">
        <v>1487</v>
      </c>
      <c r="LZI300" s="16" t="s">
        <v>1487</v>
      </c>
      <c r="LZJ300" s="16" t="s">
        <v>1487</v>
      </c>
      <c r="LZK300" s="16" t="s">
        <v>1487</v>
      </c>
      <c r="LZL300" s="16" t="s">
        <v>1487</v>
      </c>
      <c r="LZM300" s="16" t="s">
        <v>1487</v>
      </c>
      <c r="LZN300" s="16" t="s">
        <v>1487</v>
      </c>
      <c r="LZO300" s="16" t="s">
        <v>1487</v>
      </c>
      <c r="LZP300" s="16" t="s">
        <v>1487</v>
      </c>
      <c r="LZQ300" s="16" t="s">
        <v>1487</v>
      </c>
      <c r="LZR300" s="16" t="s">
        <v>1487</v>
      </c>
      <c r="LZS300" s="16" t="s">
        <v>1487</v>
      </c>
      <c r="LZT300" s="16" t="s">
        <v>1487</v>
      </c>
      <c r="LZU300" s="16" t="s">
        <v>1487</v>
      </c>
      <c r="LZV300" s="16" t="s">
        <v>1487</v>
      </c>
      <c r="LZW300" s="16" t="s">
        <v>1487</v>
      </c>
      <c r="LZX300" s="16" t="s">
        <v>1487</v>
      </c>
      <c r="LZY300" s="16" t="s">
        <v>1487</v>
      </c>
      <c r="LZZ300" s="16" t="s">
        <v>1487</v>
      </c>
      <c r="MAA300" s="16" t="s">
        <v>1487</v>
      </c>
      <c r="MAB300" s="16" t="s">
        <v>1487</v>
      </c>
      <c r="MAC300" s="16" t="s">
        <v>1487</v>
      </c>
      <c r="MAD300" s="16" t="s">
        <v>1487</v>
      </c>
      <c r="MAE300" s="16" t="s">
        <v>1487</v>
      </c>
      <c r="MAF300" s="16" t="s">
        <v>1487</v>
      </c>
      <c r="MAG300" s="16" t="s">
        <v>1487</v>
      </c>
      <c r="MAH300" s="16" t="s">
        <v>1487</v>
      </c>
      <c r="MAI300" s="16" t="s">
        <v>1487</v>
      </c>
      <c r="MAJ300" s="16" t="s">
        <v>1487</v>
      </c>
      <c r="MAK300" s="16" t="s">
        <v>1487</v>
      </c>
      <c r="MAL300" s="16" t="s">
        <v>1487</v>
      </c>
      <c r="MAM300" s="16" t="s">
        <v>1487</v>
      </c>
      <c r="MAN300" s="16" t="s">
        <v>1487</v>
      </c>
      <c r="MAO300" s="16" t="s">
        <v>1487</v>
      </c>
      <c r="MAP300" s="16" t="s">
        <v>1487</v>
      </c>
      <c r="MAQ300" s="16" t="s">
        <v>1487</v>
      </c>
      <c r="MAR300" s="16" t="s">
        <v>1487</v>
      </c>
      <c r="MAS300" s="16" t="s">
        <v>1487</v>
      </c>
      <c r="MAT300" s="16" t="s">
        <v>1487</v>
      </c>
      <c r="MAU300" s="16" t="s">
        <v>1487</v>
      </c>
      <c r="MAV300" s="16" t="s">
        <v>1487</v>
      </c>
      <c r="MAW300" s="16" t="s">
        <v>1487</v>
      </c>
      <c r="MAX300" s="16" t="s">
        <v>1487</v>
      </c>
      <c r="MAY300" s="16" t="s">
        <v>1487</v>
      </c>
      <c r="MAZ300" s="16" t="s">
        <v>1487</v>
      </c>
      <c r="MBA300" s="16" t="s">
        <v>1487</v>
      </c>
      <c r="MBB300" s="16" t="s">
        <v>1487</v>
      </c>
      <c r="MBC300" s="16" t="s">
        <v>1487</v>
      </c>
      <c r="MBD300" s="16" t="s">
        <v>1487</v>
      </c>
      <c r="MBE300" s="16" t="s">
        <v>1487</v>
      </c>
      <c r="MBF300" s="16" t="s">
        <v>1487</v>
      </c>
      <c r="MBG300" s="16" t="s">
        <v>1487</v>
      </c>
      <c r="MBH300" s="16" t="s">
        <v>1487</v>
      </c>
      <c r="MBI300" s="16" t="s">
        <v>1487</v>
      </c>
      <c r="MBJ300" s="16" t="s">
        <v>1487</v>
      </c>
      <c r="MBK300" s="16" t="s">
        <v>1487</v>
      </c>
      <c r="MBL300" s="16" t="s">
        <v>1487</v>
      </c>
      <c r="MBM300" s="16" t="s">
        <v>1487</v>
      </c>
      <c r="MBN300" s="16" t="s">
        <v>1487</v>
      </c>
      <c r="MBO300" s="16" t="s">
        <v>1487</v>
      </c>
      <c r="MBP300" s="16" t="s">
        <v>1487</v>
      </c>
      <c r="MBQ300" s="16" t="s">
        <v>1487</v>
      </c>
      <c r="MBR300" s="16" t="s">
        <v>1487</v>
      </c>
      <c r="MBS300" s="16" t="s">
        <v>1487</v>
      </c>
      <c r="MBT300" s="16" t="s">
        <v>1487</v>
      </c>
      <c r="MBU300" s="16" t="s">
        <v>1487</v>
      </c>
      <c r="MBV300" s="16" t="s">
        <v>1487</v>
      </c>
      <c r="MBW300" s="16" t="s">
        <v>1487</v>
      </c>
      <c r="MBX300" s="16" t="s">
        <v>1487</v>
      </c>
      <c r="MBY300" s="16" t="s">
        <v>1487</v>
      </c>
      <c r="MBZ300" s="16" t="s">
        <v>1487</v>
      </c>
      <c r="MCA300" s="16" t="s">
        <v>1487</v>
      </c>
      <c r="MCB300" s="16" t="s">
        <v>1487</v>
      </c>
      <c r="MCC300" s="16" t="s">
        <v>1487</v>
      </c>
      <c r="MCD300" s="16" t="s">
        <v>1487</v>
      </c>
      <c r="MCE300" s="16" t="s">
        <v>1487</v>
      </c>
      <c r="MCF300" s="16" t="s">
        <v>1487</v>
      </c>
      <c r="MCG300" s="16" t="s">
        <v>1487</v>
      </c>
      <c r="MCH300" s="16" t="s">
        <v>1487</v>
      </c>
      <c r="MCI300" s="16" t="s">
        <v>1487</v>
      </c>
      <c r="MCJ300" s="16" t="s">
        <v>1487</v>
      </c>
      <c r="MCK300" s="16" t="s">
        <v>1487</v>
      </c>
      <c r="MCL300" s="16" t="s">
        <v>1487</v>
      </c>
      <c r="MCM300" s="16" t="s">
        <v>1487</v>
      </c>
      <c r="MCN300" s="16" t="s">
        <v>1487</v>
      </c>
      <c r="MCO300" s="16" t="s">
        <v>1487</v>
      </c>
      <c r="MCP300" s="16" t="s">
        <v>1487</v>
      </c>
      <c r="MCQ300" s="16" t="s">
        <v>1487</v>
      </c>
      <c r="MCR300" s="16" t="s">
        <v>1487</v>
      </c>
      <c r="MCS300" s="16" t="s">
        <v>1487</v>
      </c>
      <c r="MCT300" s="16" t="s">
        <v>1487</v>
      </c>
      <c r="MCU300" s="16" t="s">
        <v>1487</v>
      </c>
      <c r="MCV300" s="16" t="s">
        <v>1487</v>
      </c>
      <c r="MCW300" s="16" t="s">
        <v>1487</v>
      </c>
      <c r="MCX300" s="16" t="s">
        <v>1487</v>
      </c>
      <c r="MCY300" s="16" t="s">
        <v>1487</v>
      </c>
      <c r="MCZ300" s="16" t="s">
        <v>1487</v>
      </c>
      <c r="MDA300" s="16" t="s">
        <v>1487</v>
      </c>
      <c r="MDB300" s="16" t="s">
        <v>1487</v>
      </c>
      <c r="MDC300" s="16" t="s">
        <v>1487</v>
      </c>
      <c r="MDD300" s="16" t="s">
        <v>1487</v>
      </c>
      <c r="MDE300" s="16" t="s">
        <v>1487</v>
      </c>
      <c r="MDF300" s="16" t="s">
        <v>1487</v>
      </c>
      <c r="MDG300" s="16" t="s">
        <v>1487</v>
      </c>
      <c r="MDH300" s="16" t="s">
        <v>1487</v>
      </c>
      <c r="MDI300" s="16" t="s">
        <v>1487</v>
      </c>
      <c r="MDJ300" s="16" t="s">
        <v>1487</v>
      </c>
      <c r="MDK300" s="16" t="s">
        <v>1487</v>
      </c>
      <c r="MDL300" s="16" t="s">
        <v>1487</v>
      </c>
      <c r="MDM300" s="16" t="s">
        <v>1487</v>
      </c>
      <c r="MDN300" s="16" t="s">
        <v>1487</v>
      </c>
      <c r="MDO300" s="16" t="s">
        <v>1487</v>
      </c>
      <c r="MDP300" s="16" t="s">
        <v>1487</v>
      </c>
      <c r="MDQ300" s="16" t="s">
        <v>1487</v>
      </c>
      <c r="MDR300" s="16" t="s">
        <v>1487</v>
      </c>
      <c r="MDS300" s="16" t="s">
        <v>1487</v>
      </c>
      <c r="MDT300" s="16" t="s">
        <v>1487</v>
      </c>
      <c r="MDU300" s="16" t="s">
        <v>1487</v>
      </c>
      <c r="MDV300" s="16" t="s">
        <v>1487</v>
      </c>
      <c r="MDW300" s="16" t="s">
        <v>1487</v>
      </c>
      <c r="MDX300" s="16" t="s">
        <v>1487</v>
      </c>
      <c r="MDY300" s="16" t="s">
        <v>1487</v>
      </c>
      <c r="MDZ300" s="16" t="s">
        <v>1487</v>
      </c>
      <c r="MEA300" s="16" t="s">
        <v>1487</v>
      </c>
      <c r="MEB300" s="16" t="s">
        <v>1487</v>
      </c>
      <c r="MEC300" s="16" t="s">
        <v>1487</v>
      </c>
      <c r="MED300" s="16" t="s">
        <v>1487</v>
      </c>
      <c r="MEE300" s="16" t="s">
        <v>1487</v>
      </c>
      <c r="MEF300" s="16" t="s">
        <v>1487</v>
      </c>
      <c r="MEG300" s="16" t="s">
        <v>1487</v>
      </c>
      <c r="MEH300" s="16" t="s">
        <v>1487</v>
      </c>
      <c r="MEI300" s="16" t="s">
        <v>1487</v>
      </c>
      <c r="MEJ300" s="16" t="s">
        <v>1487</v>
      </c>
      <c r="MEK300" s="16" t="s">
        <v>1487</v>
      </c>
      <c r="MEL300" s="16" t="s">
        <v>1487</v>
      </c>
      <c r="MEM300" s="16" t="s">
        <v>1487</v>
      </c>
      <c r="MEN300" s="16" t="s">
        <v>1487</v>
      </c>
      <c r="MEO300" s="16" t="s">
        <v>1487</v>
      </c>
      <c r="MEP300" s="16" t="s">
        <v>1487</v>
      </c>
      <c r="MEQ300" s="16" t="s">
        <v>1487</v>
      </c>
      <c r="MER300" s="16" t="s">
        <v>1487</v>
      </c>
      <c r="MES300" s="16" t="s">
        <v>1487</v>
      </c>
      <c r="MET300" s="16" t="s">
        <v>1487</v>
      </c>
      <c r="MEU300" s="16" t="s">
        <v>1487</v>
      </c>
      <c r="MEV300" s="16" t="s">
        <v>1487</v>
      </c>
      <c r="MEW300" s="16" t="s">
        <v>1487</v>
      </c>
      <c r="MEX300" s="16" t="s">
        <v>1487</v>
      </c>
      <c r="MEY300" s="16" t="s">
        <v>1487</v>
      </c>
      <c r="MEZ300" s="16" t="s">
        <v>1487</v>
      </c>
      <c r="MFA300" s="16" t="s">
        <v>1487</v>
      </c>
      <c r="MFB300" s="16" t="s">
        <v>1487</v>
      </c>
      <c r="MFC300" s="16" t="s">
        <v>1487</v>
      </c>
      <c r="MFD300" s="16" t="s">
        <v>1487</v>
      </c>
      <c r="MFE300" s="16" t="s">
        <v>1487</v>
      </c>
      <c r="MFF300" s="16" t="s">
        <v>1487</v>
      </c>
      <c r="MFG300" s="16" t="s">
        <v>1487</v>
      </c>
      <c r="MFH300" s="16" t="s">
        <v>1487</v>
      </c>
      <c r="MFI300" s="16" t="s">
        <v>1487</v>
      </c>
      <c r="MFJ300" s="16" t="s">
        <v>1487</v>
      </c>
      <c r="MFK300" s="16" t="s">
        <v>1487</v>
      </c>
      <c r="MFL300" s="16" t="s">
        <v>1487</v>
      </c>
      <c r="MFM300" s="16" t="s">
        <v>1487</v>
      </c>
      <c r="MFN300" s="16" t="s">
        <v>1487</v>
      </c>
      <c r="MFO300" s="16" t="s">
        <v>1487</v>
      </c>
      <c r="MFP300" s="16" t="s">
        <v>1487</v>
      </c>
      <c r="MFQ300" s="16" t="s">
        <v>1487</v>
      </c>
      <c r="MFR300" s="16" t="s">
        <v>1487</v>
      </c>
      <c r="MFS300" s="16" t="s">
        <v>1487</v>
      </c>
      <c r="MFT300" s="16" t="s">
        <v>1487</v>
      </c>
      <c r="MFU300" s="16" t="s">
        <v>1487</v>
      </c>
      <c r="MFV300" s="16" t="s">
        <v>1487</v>
      </c>
      <c r="MFW300" s="16" t="s">
        <v>1487</v>
      </c>
      <c r="MFX300" s="16" t="s">
        <v>1487</v>
      </c>
      <c r="MFY300" s="16" t="s">
        <v>1487</v>
      </c>
      <c r="MFZ300" s="16" t="s">
        <v>1487</v>
      </c>
      <c r="MGA300" s="16" t="s">
        <v>1487</v>
      </c>
      <c r="MGB300" s="16" t="s">
        <v>1487</v>
      </c>
      <c r="MGC300" s="16" t="s">
        <v>1487</v>
      </c>
      <c r="MGD300" s="16" t="s">
        <v>1487</v>
      </c>
      <c r="MGE300" s="16" t="s">
        <v>1487</v>
      </c>
      <c r="MGF300" s="16" t="s">
        <v>1487</v>
      </c>
      <c r="MGG300" s="16" t="s">
        <v>1487</v>
      </c>
      <c r="MGH300" s="16" t="s">
        <v>1487</v>
      </c>
      <c r="MGI300" s="16" t="s">
        <v>1487</v>
      </c>
      <c r="MGJ300" s="16" t="s">
        <v>1487</v>
      </c>
      <c r="MGK300" s="16" t="s">
        <v>1487</v>
      </c>
      <c r="MGL300" s="16" t="s">
        <v>1487</v>
      </c>
      <c r="MGM300" s="16" t="s">
        <v>1487</v>
      </c>
      <c r="MGN300" s="16" t="s">
        <v>1487</v>
      </c>
      <c r="MGO300" s="16" t="s">
        <v>1487</v>
      </c>
      <c r="MGP300" s="16" t="s">
        <v>1487</v>
      </c>
      <c r="MGQ300" s="16" t="s">
        <v>1487</v>
      </c>
      <c r="MGR300" s="16" t="s">
        <v>1487</v>
      </c>
      <c r="MGS300" s="16" t="s">
        <v>1487</v>
      </c>
      <c r="MGT300" s="16" t="s">
        <v>1487</v>
      </c>
      <c r="MGU300" s="16" t="s">
        <v>1487</v>
      </c>
      <c r="MGV300" s="16" t="s">
        <v>1487</v>
      </c>
      <c r="MGW300" s="16" t="s">
        <v>1487</v>
      </c>
      <c r="MGX300" s="16" t="s">
        <v>1487</v>
      </c>
      <c r="MGY300" s="16" t="s">
        <v>1487</v>
      </c>
      <c r="MGZ300" s="16" t="s">
        <v>1487</v>
      </c>
      <c r="MHA300" s="16" t="s">
        <v>1487</v>
      </c>
      <c r="MHB300" s="16" t="s">
        <v>1487</v>
      </c>
      <c r="MHC300" s="16" t="s">
        <v>1487</v>
      </c>
      <c r="MHD300" s="16" t="s">
        <v>1487</v>
      </c>
      <c r="MHE300" s="16" t="s">
        <v>1487</v>
      </c>
      <c r="MHF300" s="16" t="s">
        <v>1487</v>
      </c>
      <c r="MHG300" s="16" t="s">
        <v>1487</v>
      </c>
      <c r="MHH300" s="16" t="s">
        <v>1487</v>
      </c>
      <c r="MHI300" s="16" t="s">
        <v>1487</v>
      </c>
      <c r="MHJ300" s="16" t="s">
        <v>1487</v>
      </c>
      <c r="MHK300" s="16" t="s">
        <v>1487</v>
      </c>
      <c r="MHL300" s="16" t="s">
        <v>1487</v>
      </c>
      <c r="MHM300" s="16" t="s">
        <v>1487</v>
      </c>
      <c r="MHN300" s="16" t="s">
        <v>1487</v>
      </c>
      <c r="MHO300" s="16" t="s">
        <v>1487</v>
      </c>
      <c r="MHP300" s="16" t="s">
        <v>1487</v>
      </c>
      <c r="MHQ300" s="16" t="s">
        <v>1487</v>
      </c>
      <c r="MHR300" s="16" t="s">
        <v>1487</v>
      </c>
      <c r="MHS300" s="16" t="s">
        <v>1487</v>
      </c>
      <c r="MHT300" s="16" t="s">
        <v>1487</v>
      </c>
      <c r="MHU300" s="16" t="s">
        <v>1487</v>
      </c>
      <c r="MHV300" s="16" t="s">
        <v>1487</v>
      </c>
      <c r="MHW300" s="16" t="s">
        <v>1487</v>
      </c>
      <c r="MHX300" s="16" t="s">
        <v>1487</v>
      </c>
      <c r="MHY300" s="16" t="s">
        <v>1487</v>
      </c>
      <c r="MHZ300" s="16" t="s">
        <v>1487</v>
      </c>
      <c r="MIA300" s="16" t="s">
        <v>1487</v>
      </c>
      <c r="MIB300" s="16" t="s">
        <v>1487</v>
      </c>
      <c r="MIC300" s="16" t="s">
        <v>1487</v>
      </c>
      <c r="MID300" s="16" t="s">
        <v>1487</v>
      </c>
      <c r="MIE300" s="16" t="s">
        <v>1487</v>
      </c>
      <c r="MIF300" s="16" t="s">
        <v>1487</v>
      </c>
      <c r="MIG300" s="16" t="s">
        <v>1487</v>
      </c>
      <c r="MIH300" s="16" t="s">
        <v>1487</v>
      </c>
      <c r="MII300" s="16" t="s">
        <v>1487</v>
      </c>
      <c r="MIJ300" s="16" t="s">
        <v>1487</v>
      </c>
      <c r="MIK300" s="16" t="s">
        <v>1487</v>
      </c>
      <c r="MIL300" s="16" t="s">
        <v>1487</v>
      </c>
      <c r="MIM300" s="16" t="s">
        <v>1487</v>
      </c>
      <c r="MIN300" s="16" t="s">
        <v>1487</v>
      </c>
      <c r="MIO300" s="16" t="s">
        <v>1487</v>
      </c>
      <c r="MIP300" s="16" t="s">
        <v>1487</v>
      </c>
      <c r="MIQ300" s="16" t="s">
        <v>1487</v>
      </c>
      <c r="MIR300" s="16" t="s">
        <v>1487</v>
      </c>
      <c r="MIS300" s="16" t="s">
        <v>1487</v>
      </c>
      <c r="MIT300" s="16" t="s">
        <v>1487</v>
      </c>
      <c r="MIU300" s="16" t="s">
        <v>1487</v>
      </c>
      <c r="MIV300" s="16" t="s">
        <v>1487</v>
      </c>
      <c r="MIW300" s="16" t="s">
        <v>1487</v>
      </c>
      <c r="MIX300" s="16" t="s">
        <v>1487</v>
      </c>
      <c r="MIY300" s="16" t="s">
        <v>1487</v>
      </c>
      <c r="MIZ300" s="16" t="s">
        <v>1487</v>
      </c>
      <c r="MJA300" s="16" t="s">
        <v>1487</v>
      </c>
      <c r="MJB300" s="16" t="s">
        <v>1487</v>
      </c>
      <c r="MJC300" s="16" t="s">
        <v>1487</v>
      </c>
      <c r="MJD300" s="16" t="s">
        <v>1487</v>
      </c>
      <c r="MJE300" s="16" t="s">
        <v>1487</v>
      </c>
      <c r="MJF300" s="16" t="s">
        <v>1487</v>
      </c>
      <c r="MJG300" s="16" t="s">
        <v>1487</v>
      </c>
      <c r="MJH300" s="16" t="s">
        <v>1487</v>
      </c>
      <c r="MJI300" s="16" t="s">
        <v>1487</v>
      </c>
      <c r="MJJ300" s="16" t="s">
        <v>1487</v>
      </c>
      <c r="MJK300" s="16" t="s">
        <v>1487</v>
      </c>
      <c r="MJL300" s="16" t="s">
        <v>1487</v>
      </c>
      <c r="MJM300" s="16" t="s">
        <v>1487</v>
      </c>
      <c r="MJN300" s="16" t="s">
        <v>1487</v>
      </c>
      <c r="MJO300" s="16" t="s">
        <v>1487</v>
      </c>
      <c r="MJP300" s="16" t="s">
        <v>1487</v>
      </c>
      <c r="MJQ300" s="16" t="s">
        <v>1487</v>
      </c>
      <c r="MJR300" s="16" t="s">
        <v>1487</v>
      </c>
      <c r="MJS300" s="16" t="s">
        <v>1487</v>
      </c>
      <c r="MJT300" s="16" t="s">
        <v>1487</v>
      </c>
      <c r="MJU300" s="16" t="s">
        <v>1487</v>
      </c>
      <c r="MJV300" s="16" t="s">
        <v>1487</v>
      </c>
      <c r="MJW300" s="16" t="s">
        <v>1487</v>
      </c>
      <c r="MJX300" s="16" t="s">
        <v>1487</v>
      </c>
      <c r="MJY300" s="16" t="s">
        <v>1487</v>
      </c>
      <c r="MJZ300" s="16" t="s">
        <v>1487</v>
      </c>
      <c r="MKA300" s="16" t="s">
        <v>1487</v>
      </c>
      <c r="MKB300" s="16" t="s">
        <v>1487</v>
      </c>
      <c r="MKC300" s="16" t="s">
        <v>1487</v>
      </c>
      <c r="MKD300" s="16" t="s">
        <v>1487</v>
      </c>
      <c r="MKE300" s="16" t="s">
        <v>1487</v>
      </c>
      <c r="MKF300" s="16" t="s">
        <v>1487</v>
      </c>
      <c r="MKG300" s="16" t="s">
        <v>1487</v>
      </c>
      <c r="MKH300" s="16" t="s">
        <v>1487</v>
      </c>
      <c r="MKI300" s="16" t="s">
        <v>1487</v>
      </c>
      <c r="MKJ300" s="16" t="s">
        <v>1487</v>
      </c>
      <c r="MKK300" s="16" t="s">
        <v>1487</v>
      </c>
      <c r="MKL300" s="16" t="s">
        <v>1487</v>
      </c>
      <c r="MKM300" s="16" t="s">
        <v>1487</v>
      </c>
      <c r="MKN300" s="16" t="s">
        <v>1487</v>
      </c>
      <c r="MKO300" s="16" t="s">
        <v>1487</v>
      </c>
      <c r="MKP300" s="16" t="s">
        <v>1487</v>
      </c>
      <c r="MKQ300" s="16" t="s">
        <v>1487</v>
      </c>
      <c r="MKR300" s="16" t="s">
        <v>1487</v>
      </c>
      <c r="MKS300" s="16" t="s">
        <v>1487</v>
      </c>
      <c r="MKT300" s="16" t="s">
        <v>1487</v>
      </c>
      <c r="MKU300" s="16" t="s">
        <v>1487</v>
      </c>
      <c r="MKV300" s="16" t="s">
        <v>1487</v>
      </c>
      <c r="MKW300" s="16" t="s">
        <v>1487</v>
      </c>
      <c r="MKX300" s="16" t="s">
        <v>1487</v>
      </c>
      <c r="MKY300" s="16" t="s">
        <v>1487</v>
      </c>
      <c r="MKZ300" s="16" t="s">
        <v>1487</v>
      </c>
      <c r="MLA300" s="16" t="s">
        <v>1487</v>
      </c>
      <c r="MLB300" s="16" t="s">
        <v>1487</v>
      </c>
      <c r="MLC300" s="16" t="s">
        <v>1487</v>
      </c>
      <c r="MLD300" s="16" t="s">
        <v>1487</v>
      </c>
      <c r="MLE300" s="16" t="s">
        <v>1487</v>
      </c>
      <c r="MLF300" s="16" t="s">
        <v>1487</v>
      </c>
      <c r="MLG300" s="16" t="s">
        <v>1487</v>
      </c>
      <c r="MLH300" s="16" t="s">
        <v>1487</v>
      </c>
      <c r="MLI300" s="16" t="s">
        <v>1487</v>
      </c>
      <c r="MLJ300" s="16" t="s">
        <v>1487</v>
      </c>
      <c r="MLK300" s="16" t="s">
        <v>1487</v>
      </c>
      <c r="MLL300" s="16" t="s">
        <v>1487</v>
      </c>
      <c r="MLM300" s="16" t="s">
        <v>1487</v>
      </c>
      <c r="MLN300" s="16" t="s">
        <v>1487</v>
      </c>
      <c r="MLO300" s="16" t="s">
        <v>1487</v>
      </c>
      <c r="MLP300" s="16" t="s">
        <v>1487</v>
      </c>
      <c r="MLQ300" s="16" t="s">
        <v>1487</v>
      </c>
      <c r="MLR300" s="16" t="s">
        <v>1487</v>
      </c>
      <c r="MLS300" s="16" t="s">
        <v>1487</v>
      </c>
      <c r="MLT300" s="16" t="s">
        <v>1487</v>
      </c>
      <c r="MLU300" s="16" t="s">
        <v>1487</v>
      </c>
      <c r="MLV300" s="16" t="s">
        <v>1487</v>
      </c>
      <c r="MLW300" s="16" t="s">
        <v>1487</v>
      </c>
      <c r="MLX300" s="16" t="s">
        <v>1487</v>
      </c>
      <c r="MLY300" s="16" t="s">
        <v>1487</v>
      </c>
      <c r="MLZ300" s="16" t="s">
        <v>1487</v>
      </c>
      <c r="MMA300" s="16" t="s">
        <v>1487</v>
      </c>
      <c r="MMB300" s="16" t="s">
        <v>1487</v>
      </c>
      <c r="MMC300" s="16" t="s">
        <v>1487</v>
      </c>
      <c r="MMD300" s="16" t="s">
        <v>1487</v>
      </c>
      <c r="MME300" s="16" t="s">
        <v>1487</v>
      </c>
      <c r="MMF300" s="16" t="s">
        <v>1487</v>
      </c>
      <c r="MMG300" s="16" t="s">
        <v>1487</v>
      </c>
      <c r="MMH300" s="16" t="s">
        <v>1487</v>
      </c>
      <c r="MMI300" s="16" t="s">
        <v>1487</v>
      </c>
      <c r="MMJ300" s="16" t="s">
        <v>1487</v>
      </c>
      <c r="MMK300" s="16" t="s">
        <v>1487</v>
      </c>
      <c r="MML300" s="16" t="s">
        <v>1487</v>
      </c>
      <c r="MMM300" s="16" t="s">
        <v>1487</v>
      </c>
      <c r="MMN300" s="16" t="s">
        <v>1487</v>
      </c>
      <c r="MMO300" s="16" t="s">
        <v>1487</v>
      </c>
      <c r="MMP300" s="16" t="s">
        <v>1487</v>
      </c>
      <c r="MMQ300" s="16" t="s">
        <v>1487</v>
      </c>
      <c r="MMR300" s="16" t="s">
        <v>1487</v>
      </c>
      <c r="MMS300" s="16" t="s">
        <v>1487</v>
      </c>
      <c r="MMT300" s="16" t="s">
        <v>1487</v>
      </c>
      <c r="MMU300" s="16" t="s">
        <v>1487</v>
      </c>
      <c r="MMV300" s="16" t="s">
        <v>1487</v>
      </c>
      <c r="MMW300" s="16" t="s">
        <v>1487</v>
      </c>
      <c r="MMX300" s="16" t="s">
        <v>1487</v>
      </c>
      <c r="MMY300" s="16" t="s">
        <v>1487</v>
      </c>
      <c r="MMZ300" s="16" t="s">
        <v>1487</v>
      </c>
      <c r="MNA300" s="16" t="s">
        <v>1487</v>
      </c>
      <c r="MNB300" s="16" t="s">
        <v>1487</v>
      </c>
      <c r="MNC300" s="16" t="s">
        <v>1487</v>
      </c>
      <c r="MND300" s="16" t="s">
        <v>1487</v>
      </c>
      <c r="MNE300" s="16" t="s">
        <v>1487</v>
      </c>
      <c r="MNF300" s="16" t="s">
        <v>1487</v>
      </c>
      <c r="MNG300" s="16" t="s">
        <v>1487</v>
      </c>
      <c r="MNH300" s="16" t="s">
        <v>1487</v>
      </c>
      <c r="MNI300" s="16" t="s">
        <v>1487</v>
      </c>
      <c r="MNJ300" s="16" t="s">
        <v>1487</v>
      </c>
      <c r="MNK300" s="16" t="s">
        <v>1487</v>
      </c>
      <c r="MNL300" s="16" t="s">
        <v>1487</v>
      </c>
      <c r="MNM300" s="16" t="s">
        <v>1487</v>
      </c>
      <c r="MNN300" s="16" t="s">
        <v>1487</v>
      </c>
      <c r="MNO300" s="16" t="s">
        <v>1487</v>
      </c>
      <c r="MNP300" s="16" t="s">
        <v>1487</v>
      </c>
      <c r="MNQ300" s="16" t="s">
        <v>1487</v>
      </c>
      <c r="MNR300" s="16" t="s">
        <v>1487</v>
      </c>
      <c r="MNS300" s="16" t="s">
        <v>1487</v>
      </c>
      <c r="MNT300" s="16" t="s">
        <v>1487</v>
      </c>
      <c r="MNU300" s="16" t="s">
        <v>1487</v>
      </c>
      <c r="MNV300" s="16" t="s">
        <v>1487</v>
      </c>
      <c r="MNW300" s="16" t="s">
        <v>1487</v>
      </c>
      <c r="MNX300" s="16" t="s">
        <v>1487</v>
      </c>
      <c r="MNY300" s="16" t="s">
        <v>1487</v>
      </c>
      <c r="MNZ300" s="16" t="s">
        <v>1487</v>
      </c>
      <c r="MOA300" s="16" t="s">
        <v>1487</v>
      </c>
      <c r="MOB300" s="16" t="s">
        <v>1487</v>
      </c>
      <c r="MOC300" s="16" t="s">
        <v>1487</v>
      </c>
      <c r="MOD300" s="16" t="s">
        <v>1487</v>
      </c>
      <c r="MOE300" s="16" t="s">
        <v>1487</v>
      </c>
      <c r="MOF300" s="16" t="s">
        <v>1487</v>
      </c>
      <c r="MOG300" s="16" t="s">
        <v>1487</v>
      </c>
      <c r="MOH300" s="16" t="s">
        <v>1487</v>
      </c>
      <c r="MOI300" s="16" t="s">
        <v>1487</v>
      </c>
      <c r="MOJ300" s="16" t="s">
        <v>1487</v>
      </c>
      <c r="MOK300" s="16" t="s">
        <v>1487</v>
      </c>
      <c r="MOL300" s="16" t="s">
        <v>1487</v>
      </c>
      <c r="MOM300" s="16" t="s">
        <v>1487</v>
      </c>
      <c r="MON300" s="16" t="s">
        <v>1487</v>
      </c>
      <c r="MOO300" s="16" t="s">
        <v>1487</v>
      </c>
      <c r="MOP300" s="16" t="s">
        <v>1487</v>
      </c>
      <c r="MOQ300" s="16" t="s">
        <v>1487</v>
      </c>
      <c r="MOR300" s="16" t="s">
        <v>1487</v>
      </c>
      <c r="MOS300" s="16" t="s">
        <v>1487</v>
      </c>
      <c r="MOT300" s="16" t="s">
        <v>1487</v>
      </c>
      <c r="MOU300" s="16" t="s">
        <v>1487</v>
      </c>
      <c r="MOV300" s="16" t="s">
        <v>1487</v>
      </c>
      <c r="MOW300" s="16" t="s">
        <v>1487</v>
      </c>
      <c r="MOX300" s="16" t="s">
        <v>1487</v>
      </c>
      <c r="MOY300" s="16" t="s">
        <v>1487</v>
      </c>
      <c r="MOZ300" s="16" t="s">
        <v>1487</v>
      </c>
      <c r="MPA300" s="16" t="s">
        <v>1487</v>
      </c>
      <c r="MPB300" s="16" t="s">
        <v>1487</v>
      </c>
      <c r="MPC300" s="16" t="s">
        <v>1487</v>
      </c>
      <c r="MPD300" s="16" t="s">
        <v>1487</v>
      </c>
      <c r="MPE300" s="16" t="s">
        <v>1487</v>
      </c>
      <c r="MPF300" s="16" t="s">
        <v>1487</v>
      </c>
      <c r="MPG300" s="16" t="s">
        <v>1487</v>
      </c>
      <c r="MPH300" s="16" t="s">
        <v>1487</v>
      </c>
      <c r="MPI300" s="16" t="s">
        <v>1487</v>
      </c>
      <c r="MPJ300" s="16" t="s">
        <v>1487</v>
      </c>
      <c r="MPK300" s="16" t="s">
        <v>1487</v>
      </c>
      <c r="MPL300" s="16" t="s">
        <v>1487</v>
      </c>
      <c r="MPM300" s="16" t="s">
        <v>1487</v>
      </c>
      <c r="MPN300" s="16" t="s">
        <v>1487</v>
      </c>
      <c r="MPO300" s="16" t="s">
        <v>1487</v>
      </c>
      <c r="MPP300" s="16" t="s">
        <v>1487</v>
      </c>
      <c r="MPQ300" s="16" t="s">
        <v>1487</v>
      </c>
      <c r="MPR300" s="16" t="s">
        <v>1487</v>
      </c>
      <c r="MPS300" s="16" t="s">
        <v>1487</v>
      </c>
      <c r="MPT300" s="16" t="s">
        <v>1487</v>
      </c>
      <c r="MPU300" s="16" t="s">
        <v>1487</v>
      </c>
      <c r="MPV300" s="16" t="s">
        <v>1487</v>
      </c>
      <c r="MPW300" s="16" t="s">
        <v>1487</v>
      </c>
      <c r="MPX300" s="16" t="s">
        <v>1487</v>
      </c>
      <c r="MPY300" s="16" t="s">
        <v>1487</v>
      </c>
      <c r="MPZ300" s="16" t="s">
        <v>1487</v>
      </c>
      <c r="MQA300" s="16" t="s">
        <v>1487</v>
      </c>
      <c r="MQB300" s="16" t="s">
        <v>1487</v>
      </c>
      <c r="MQC300" s="16" t="s">
        <v>1487</v>
      </c>
      <c r="MQD300" s="16" t="s">
        <v>1487</v>
      </c>
      <c r="MQE300" s="16" t="s">
        <v>1487</v>
      </c>
      <c r="MQF300" s="16" t="s">
        <v>1487</v>
      </c>
      <c r="MQG300" s="16" t="s">
        <v>1487</v>
      </c>
      <c r="MQH300" s="16" t="s">
        <v>1487</v>
      </c>
      <c r="MQI300" s="16" t="s">
        <v>1487</v>
      </c>
      <c r="MQJ300" s="16" t="s">
        <v>1487</v>
      </c>
      <c r="MQK300" s="16" t="s">
        <v>1487</v>
      </c>
      <c r="MQL300" s="16" t="s">
        <v>1487</v>
      </c>
      <c r="MQM300" s="16" t="s">
        <v>1487</v>
      </c>
      <c r="MQN300" s="16" t="s">
        <v>1487</v>
      </c>
      <c r="MQO300" s="16" t="s">
        <v>1487</v>
      </c>
      <c r="MQP300" s="16" t="s">
        <v>1487</v>
      </c>
      <c r="MQQ300" s="16" t="s">
        <v>1487</v>
      </c>
      <c r="MQR300" s="16" t="s">
        <v>1487</v>
      </c>
      <c r="MQS300" s="16" t="s">
        <v>1487</v>
      </c>
      <c r="MQT300" s="16" t="s">
        <v>1487</v>
      </c>
      <c r="MQU300" s="16" t="s">
        <v>1487</v>
      </c>
      <c r="MQV300" s="16" t="s">
        <v>1487</v>
      </c>
      <c r="MQW300" s="16" t="s">
        <v>1487</v>
      </c>
      <c r="MQX300" s="16" t="s">
        <v>1487</v>
      </c>
      <c r="MQY300" s="16" t="s">
        <v>1487</v>
      </c>
      <c r="MQZ300" s="16" t="s">
        <v>1487</v>
      </c>
      <c r="MRA300" s="16" t="s">
        <v>1487</v>
      </c>
      <c r="MRB300" s="16" t="s">
        <v>1487</v>
      </c>
      <c r="MRC300" s="16" t="s">
        <v>1487</v>
      </c>
      <c r="MRD300" s="16" t="s">
        <v>1487</v>
      </c>
      <c r="MRE300" s="16" t="s">
        <v>1487</v>
      </c>
      <c r="MRF300" s="16" t="s">
        <v>1487</v>
      </c>
      <c r="MRG300" s="16" t="s">
        <v>1487</v>
      </c>
      <c r="MRH300" s="16" t="s">
        <v>1487</v>
      </c>
      <c r="MRI300" s="16" t="s">
        <v>1487</v>
      </c>
      <c r="MRJ300" s="16" t="s">
        <v>1487</v>
      </c>
      <c r="MRK300" s="16" t="s">
        <v>1487</v>
      </c>
      <c r="MRL300" s="16" t="s">
        <v>1487</v>
      </c>
      <c r="MRM300" s="16" t="s">
        <v>1487</v>
      </c>
      <c r="MRN300" s="16" t="s">
        <v>1487</v>
      </c>
      <c r="MRO300" s="16" t="s">
        <v>1487</v>
      </c>
      <c r="MRP300" s="16" t="s">
        <v>1487</v>
      </c>
      <c r="MRQ300" s="16" t="s">
        <v>1487</v>
      </c>
      <c r="MRR300" s="16" t="s">
        <v>1487</v>
      </c>
      <c r="MRS300" s="16" t="s">
        <v>1487</v>
      </c>
      <c r="MRT300" s="16" t="s">
        <v>1487</v>
      </c>
      <c r="MRU300" s="16" t="s">
        <v>1487</v>
      </c>
      <c r="MRV300" s="16" t="s">
        <v>1487</v>
      </c>
      <c r="MRW300" s="16" t="s">
        <v>1487</v>
      </c>
      <c r="MRX300" s="16" t="s">
        <v>1487</v>
      </c>
      <c r="MRY300" s="16" t="s">
        <v>1487</v>
      </c>
      <c r="MRZ300" s="16" t="s">
        <v>1487</v>
      </c>
      <c r="MSA300" s="16" t="s">
        <v>1487</v>
      </c>
      <c r="MSB300" s="16" t="s">
        <v>1487</v>
      </c>
      <c r="MSC300" s="16" t="s">
        <v>1487</v>
      </c>
      <c r="MSD300" s="16" t="s">
        <v>1487</v>
      </c>
      <c r="MSE300" s="16" t="s">
        <v>1487</v>
      </c>
      <c r="MSF300" s="16" t="s">
        <v>1487</v>
      </c>
      <c r="MSG300" s="16" t="s">
        <v>1487</v>
      </c>
      <c r="MSH300" s="16" t="s">
        <v>1487</v>
      </c>
      <c r="MSI300" s="16" t="s">
        <v>1487</v>
      </c>
      <c r="MSJ300" s="16" t="s">
        <v>1487</v>
      </c>
      <c r="MSK300" s="16" t="s">
        <v>1487</v>
      </c>
      <c r="MSL300" s="16" t="s">
        <v>1487</v>
      </c>
      <c r="MSM300" s="16" t="s">
        <v>1487</v>
      </c>
      <c r="MSN300" s="16" t="s">
        <v>1487</v>
      </c>
      <c r="MSO300" s="16" t="s">
        <v>1487</v>
      </c>
      <c r="MSP300" s="16" t="s">
        <v>1487</v>
      </c>
      <c r="MSQ300" s="16" t="s">
        <v>1487</v>
      </c>
      <c r="MSR300" s="16" t="s">
        <v>1487</v>
      </c>
      <c r="MSS300" s="16" t="s">
        <v>1487</v>
      </c>
      <c r="MST300" s="16" t="s">
        <v>1487</v>
      </c>
      <c r="MSU300" s="16" t="s">
        <v>1487</v>
      </c>
      <c r="MSV300" s="16" t="s">
        <v>1487</v>
      </c>
      <c r="MSW300" s="16" t="s">
        <v>1487</v>
      </c>
      <c r="MSX300" s="16" t="s">
        <v>1487</v>
      </c>
      <c r="MSY300" s="16" t="s">
        <v>1487</v>
      </c>
      <c r="MSZ300" s="16" t="s">
        <v>1487</v>
      </c>
      <c r="MTA300" s="16" t="s">
        <v>1487</v>
      </c>
      <c r="MTB300" s="16" t="s">
        <v>1487</v>
      </c>
      <c r="MTC300" s="16" t="s">
        <v>1487</v>
      </c>
      <c r="MTD300" s="16" t="s">
        <v>1487</v>
      </c>
      <c r="MTE300" s="16" t="s">
        <v>1487</v>
      </c>
      <c r="MTF300" s="16" t="s">
        <v>1487</v>
      </c>
      <c r="MTG300" s="16" t="s">
        <v>1487</v>
      </c>
      <c r="MTH300" s="16" t="s">
        <v>1487</v>
      </c>
      <c r="MTI300" s="16" t="s">
        <v>1487</v>
      </c>
      <c r="MTJ300" s="16" t="s">
        <v>1487</v>
      </c>
      <c r="MTK300" s="16" t="s">
        <v>1487</v>
      </c>
      <c r="MTL300" s="16" t="s">
        <v>1487</v>
      </c>
      <c r="MTM300" s="16" t="s">
        <v>1487</v>
      </c>
      <c r="MTN300" s="16" t="s">
        <v>1487</v>
      </c>
      <c r="MTO300" s="16" t="s">
        <v>1487</v>
      </c>
      <c r="MTP300" s="16" t="s">
        <v>1487</v>
      </c>
      <c r="MTQ300" s="16" t="s">
        <v>1487</v>
      </c>
      <c r="MTR300" s="16" t="s">
        <v>1487</v>
      </c>
      <c r="MTS300" s="16" t="s">
        <v>1487</v>
      </c>
      <c r="MTT300" s="16" t="s">
        <v>1487</v>
      </c>
      <c r="MTU300" s="16" t="s">
        <v>1487</v>
      </c>
      <c r="MTV300" s="16" t="s">
        <v>1487</v>
      </c>
      <c r="MTW300" s="16" t="s">
        <v>1487</v>
      </c>
      <c r="MTX300" s="16" t="s">
        <v>1487</v>
      </c>
      <c r="MTY300" s="16" t="s">
        <v>1487</v>
      </c>
      <c r="MTZ300" s="16" t="s">
        <v>1487</v>
      </c>
      <c r="MUA300" s="16" t="s">
        <v>1487</v>
      </c>
      <c r="MUB300" s="16" t="s">
        <v>1487</v>
      </c>
      <c r="MUC300" s="16" t="s">
        <v>1487</v>
      </c>
      <c r="MUD300" s="16" t="s">
        <v>1487</v>
      </c>
      <c r="MUE300" s="16" t="s">
        <v>1487</v>
      </c>
      <c r="MUF300" s="16" t="s">
        <v>1487</v>
      </c>
      <c r="MUG300" s="16" t="s">
        <v>1487</v>
      </c>
      <c r="MUH300" s="16" t="s">
        <v>1487</v>
      </c>
      <c r="MUI300" s="16" t="s">
        <v>1487</v>
      </c>
      <c r="MUJ300" s="16" t="s">
        <v>1487</v>
      </c>
      <c r="MUK300" s="16" t="s">
        <v>1487</v>
      </c>
      <c r="MUL300" s="16" t="s">
        <v>1487</v>
      </c>
      <c r="MUM300" s="16" t="s">
        <v>1487</v>
      </c>
      <c r="MUN300" s="16" t="s">
        <v>1487</v>
      </c>
      <c r="MUO300" s="16" t="s">
        <v>1487</v>
      </c>
      <c r="MUP300" s="16" t="s">
        <v>1487</v>
      </c>
      <c r="MUQ300" s="16" t="s">
        <v>1487</v>
      </c>
      <c r="MUR300" s="16" t="s">
        <v>1487</v>
      </c>
      <c r="MUS300" s="16" t="s">
        <v>1487</v>
      </c>
      <c r="MUT300" s="16" t="s">
        <v>1487</v>
      </c>
      <c r="MUU300" s="16" t="s">
        <v>1487</v>
      </c>
      <c r="MUV300" s="16" t="s">
        <v>1487</v>
      </c>
      <c r="MUW300" s="16" t="s">
        <v>1487</v>
      </c>
      <c r="MUX300" s="16" t="s">
        <v>1487</v>
      </c>
      <c r="MUY300" s="16" t="s">
        <v>1487</v>
      </c>
      <c r="MUZ300" s="16" t="s">
        <v>1487</v>
      </c>
      <c r="MVA300" s="16" t="s">
        <v>1487</v>
      </c>
      <c r="MVB300" s="16" t="s">
        <v>1487</v>
      </c>
      <c r="MVC300" s="16" t="s">
        <v>1487</v>
      </c>
      <c r="MVD300" s="16" t="s">
        <v>1487</v>
      </c>
      <c r="MVE300" s="16" t="s">
        <v>1487</v>
      </c>
      <c r="MVF300" s="16" t="s">
        <v>1487</v>
      </c>
      <c r="MVG300" s="16" t="s">
        <v>1487</v>
      </c>
      <c r="MVH300" s="16" t="s">
        <v>1487</v>
      </c>
      <c r="MVI300" s="16" t="s">
        <v>1487</v>
      </c>
      <c r="MVJ300" s="16" t="s">
        <v>1487</v>
      </c>
      <c r="MVK300" s="16" t="s">
        <v>1487</v>
      </c>
      <c r="MVL300" s="16" t="s">
        <v>1487</v>
      </c>
      <c r="MVM300" s="16" t="s">
        <v>1487</v>
      </c>
      <c r="MVN300" s="16" t="s">
        <v>1487</v>
      </c>
      <c r="MVO300" s="16" t="s">
        <v>1487</v>
      </c>
      <c r="MVP300" s="16" t="s">
        <v>1487</v>
      </c>
      <c r="MVQ300" s="16" t="s">
        <v>1487</v>
      </c>
      <c r="MVR300" s="16" t="s">
        <v>1487</v>
      </c>
      <c r="MVS300" s="16" t="s">
        <v>1487</v>
      </c>
      <c r="MVT300" s="16" t="s">
        <v>1487</v>
      </c>
      <c r="MVU300" s="16" t="s">
        <v>1487</v>
      </c>
      <c r="MVV300" s="16" t="s">
        <v>1487</v>
      </c>
      <c r="MVW300" s="16" t="s">
        <v>1487</v>
      </c>
      <c r="MVX300" s="16" t="s">
        <v>1487</v>
      </c>
      <c r="MVY300" s="16" t="s">
        <v>1487</v>
      </c>
      <c r="MVZ300" s="16" t="s">
        <v>1487</v>
      </c>
      <c r="MWA300" s="16" t="s">
        <v>1487</v>
      </c>
      <c r="MWB300" s="16" t="s">
        <v>1487</v>
      </c>
      <c r="MWC300" s="16" t="s">
        <v>1487</v>
      </c>
      <c r="MWD300" s="16" t="s">
        <v>1487</v>
      </c>
      <c r="MWE300" s="16" t="s">
        <v>1487</v>
      </c>
      <c r="MWF300" s="16" t="s">
        <v>1487</v>
      </c>
      <c r="MWG300" s="16" t="s">
        <v>1487</v>
      </c>
      <c r="MWH300" s="16" t="s">
        <v>1487</v>
      </c>
      <c r="MWI300" s="16" t="s">
        <v>1487</v>
      </c>
      <c r="MWJ300" s="16" t="s">
        <v>1487</v>
      </c>
      <c r="MWK300" s="16" t="s">
        <v>1487</v>
      </c>
      <c r="MWL300" s="16" t="s">
        <v>1487</v>
      </c>
      <c r="MWM300" s="16" t="s">
        <v>1487</v>
      </c>
      <c r="MWN300" s="16" t="s">
        <v>1487</v>
      </c>
      <c r="MWO300" s="16" t="s">
        <v>1487</v>
      </c>
      <c r="MWP300" s="16" t="s">
        <v>1487</v>
      </c>
      <c r="MWQ300" s="16" t="s">
        <v>1487</v>
      </c>
      <c r="MWR300" s="16" t="s">
        <v>1487</v>
      </c>
      <c r="MWS300" s="16" t="s">
        <v>1487</v>
      </c>
      <c r="MWT300" s="16" t="s">
        <v>1487</v>
      </c>
      <c r="MWU300" s="16" t="s">
        <v>1487</v>
      </c>
      <c r="MWV300" s="16" t="s">
        <v>1487</v>
      </c>
      <c r="MWW300" s="16" t="s">
        <v>1487</v>
      </c>
      <c r="MWX300" s="16" t="s">
        <v>1487</v>
      </c>
      <c r="MWY300" s="16" t="s">
        <v>1487</v>
      </c>
      <c r="MWZ300" s="16" t="s">
        <v>1487</v>
      </c>
      <c r="MXA300" s="16" t="s">
        <v>1487</v>
      </c>
      <c r="MXB300" s="16" t="s">
        <v>1487</v>
      </c>
      <c r="MXC300" s="16" t="s">
        <v>1487</v>
      </c>
      <c r="MXD300" s="16" t="s">
        <v>1487</v>
      </c>
      <c r="MXE300" s="16" t="s">
        <v>1487</v>
      </c>
      <c r="MXF300" s="16" t="s">
        <v>1487</v>
      </c>
      <c r="MXG300" s="16" t="s">
        <v>1487</v>
      </c>
      <c r="MXH300" s="16" t="s">
        <v>1487</v>
      </c>
      <c r="MXI300" s="16" t="s">
        <v>1487</v>
      </c>
      <c r="MXJ300" s="16" t="s">
        <v>1487</v>
      </c>
      <c r="MXK300" s="16" t="s">
        <v>1487</v>
      </c>
      <c r="MXL300" s="16" t="s">
        <v>1487</v>
      </c>
      <c r="MXM300" s="16" t="s">
        <v>1487</v>
      </c>
      <c r="MXN300" s="16" t="s">
        <v>1487</v>
      </c>
      <c r="MXO300" s="16" t="s">
        <v>1487</v>
      </c>
      <c r="MXP300" s="16" t="s">
        <v>1487</v>
      </c>
      <c r="MXQ300" s="16" t="s">
        <v>1487</v>
      </c>
      <c r="MXR300" s="16" t="s">
        <v>1487</v>
      </c>
      <c r="MXS300" s="16" t="s">
        <v>1487</v>
      </c>
      <c r="MXT300" s="16" t="s">
        <v>1487</v>
      </c>
      <c r="MXU300" s="16" t="s">
        <v>1487</v>
      </c>
      <c r="MXV300" s="16" t="s">
        <v>1487</v>
      </c>
      <c r="MXW300" s="16" t="s">
        <v>1487</v>
      </c>
      <c r="MXX300" s="16" t="s">
        <v>1487</v>
      </c>
      <c r="MXY300" s="16" t="s">
        <v>1487</v>
      </c>
      <c r="MXZ300" s="16" t="s">
        <v>1487</v>
      </c>
      <c r="MYA300" s="16" t="s">
        <v>1487</v>
      </c>
      <c r="MYB300" s="16" t="s">
        <v>1487</v>
      </c>
      <c r="MYC300" s="16" t="s">
        <v>1487</v>
      </c>
      <c r="MYD300" s="16" t="s">
        <v>1487</v>
      </c>
      <c r="MYE300" s="16" t="s">
        <v>1487</v>
      </c>
      <c r="MYF300" s="16" t="s">
        <v>1487</v>
      </c>
      <c r="MYG300" s="16" t="s">
        <v>1487</v>
      </c>
      <c r="MYH300" s="16" t="s">
        <v>1487</v>
      </c>
      <c r="MYI300" s="16" t="s">
        <v>1487</v>
      </c>
      <c r="MYJ300" s="16" t="s">
        <v>1487</v>
      </c>
      <c r="MYK300" s="16" t="s">
        <v>1487</v>
      </c>
      <c r="MYL300" s="16" t="s">
        <v>1487</v>
      </c>
      <c r="MYM300" s="16" t="s">
        <v>1487</v>
      </c>
      <c r="MYN300" s="16" t="s">
        <v>1487</v>
      </c>
      <c r="MYO300" s="16" t="s">
        <v>1487</v>
      </c>
      <c r="MYP300" s="16" t="s">
        <v>1487</v>
      </c>
      <c r="MYQ300" s="16" t="s">
        <v>1487</v>
      </c>
      <c r="MYR300" s="16" t="s">
        <v>1487</v>
      </c>
      <c r="MYS300" s="16" t="s">
        <v>1487</v>
      </c>
      <c r="MYT300" s="16" t="s">
        <v>1487</v>
      </c>
      <c r="MYU300" s="16" t="s">
        <v>1487</v>
      </c>
      <c r="MYV300" s="16" t="s">
        <v>1487</v>
      </c>
      <c r="MYW300" s="16" t="s">
        <v>1487</v>
      </c>
      <c r="MYX300" s="16" t="s">
        <v>1487</v>
      </c>
      <c r="MYY300" s="16" t="s">
        <v>1487</v>
      </c>
      <c r="MYZ300" s="16" t="s">
        <v>1487</v>
      </c>
      <c r="MZA300" s="16" t="s">
        <v>1487</v>
      </c>
      <c r="MZB300" s="16" t="s">
        <v>1487</v>
      </c>
      <c r="MZC300" s="16" t="s">
        <v>1487</v>
      </c>
      <c r="MZD300" s="16" t="s">
        <v>1487</v>
      </c>
      <c r="MZE300" s="16" t="s">
        <v>1487</v>
      </c>
      <c r="MZF300" s="16" t="s">
        <v>1487</v>
      </c>
      <c r="MZG300" s="16" t="s">
        <v>1487</v>
      </c>
      <c r="MZH300" s="16" t="s">
        <v>1487</v>
      </c>
      <c r="MZI300" s="16" t="s">
        <v>1487</v>
      </c>
      <c r="MZJ300" s="16" t="s">
        <v>1487</v>
      </c>
      <c r="MZK300" s="16" t="s">
        <v>1487</v>
      </c>
      <c r="MZL300" s="16" t="s">
        <v>1487</v>
      </c>
      <c r="MZM300" s="16" t="s">
        <v>1487</v>
      </c>
      <c r="MZN300" s="16" t="s">
        <v>1487</v>
      </c>
      <c r="MZO300" s="16" t="s">
        <v>1487</v>
      </c>
      <c r="MZP300" s="16" t="s">
        <v>1487</v>
      </c>
      <c r="MZQ300" s="16" t="s">
        <v>1487</v>
      </c>
      <c r="MZR300" s="16" t="s">
        <v>1487</v>
      </c>
      <c r="MZS300" s="16" t="s">
        <v>1487</v>
      </c>
      <c r="MZT300" s="16" t="s">
        <v>1487</v>
      </c>
      <c r="MZU300" s="16" t="s">
        <v>1487</v>
      </c>
      <c r="MZV300" s="16" t="s">
        <v>1487</v>
      </c>
      <c r="MZW300" s="16" t="s">
        <v>1487</v>
      </c>
      <c r="MZX300" s="16" t="s">
        <v>1487</v>
      </c>
      <c r="MZY300" s="16" t="s">
        <v>1487</v>
      </c>
      <c r="MZZ300" s="16" t="s">
        <v>1487</v>
      </c>
      <c r="NAA300" s="16" t="s">
        <v>1487</v>
      </c>
      <c r="NAB300" s="16" t="s">
        <v>1487</v>
      </c>
      <c r="NAC300" s="16" t="s">
        <v>1487</v>
      </c>
      <c r="NAD300" s="16" t="s">
        <v>1487</v>
      </c>
      <c r="NAE300" s="16" t="s">
        <v>1487</v>
      </c>
      <c r="NAF300" s="16" t="s">
        <v>1487</v>
      </c>
      <c r="NAG300" s="16" t="s">
        <v>1487</v>
      </c>
      <c r="NAH300" s="16" t="s">
        <v>1487</v>
      </c>
      <c r="NAI300" s="16" t="s">
        <v>1487</v>
      </c>
      <c r="NAJ300" s="16" t="s">
        <v>1487</v>
      </c>
      <c r="NAK300" s="16" t="s">
        <v>1487</v>
      </c>
      <c r="NAL300" s="16" t="s">
        <v>1487</v>
      </c>
      <c r="NAM300" s="16" t="s">
        <v>1487</v>
      </c>
      <c r="NAN300" s="16" t="s">
        <v>1487</v>
      </c>
      <c r="NAO300" s="16" t="s">
        <v>1487</v>
      </c>
      <c r="NAP300" s="16" t="s">
        <v>1487</v>
      </c>
      <c r="NAQ300" s="16" t="s">
        <v>1487</v>
      </c>
      <c r="NAR300" s="16" t="s">
        <v>1487</v>
      </c>
      <c r="NAS300" s="16" t="s">
        <v>1487</v>
      </c>
      <c r="NAT300" s="16" t="s">
        <v>1487</v>
      </c>
      <c r="NAU300" s="16" t="s">
        <v>1487</v>
      </c>
      <c r="NAV300" s="16" t="s">
        <v>1487</v>
      </c>
      <c r="NAW300" s="16" t="s">
        <v>1487</v>
      </c>
      <c r="NAX300" s="16" t="s">
        <v>1487</v>
      </c>
      <c r="NAY300" s="16" t="s">
        <v>1487</v>
      </c>
      <c r="NAZ300" s="16" t="s">
        <v>1487</v>
      </c>
      <c r="NBA300" s="16" t="s">
        <v>1487</v>
      </c>
      <c r="NBB300" s="16" t="s">
        <v>1487</v>
      </c>
      <c r="NBC300" s="16" t="s">
        <v>1487</v>
      </c>
      <c r="NBD300" s="16" t="s">
        <v>1487</v>
      </c>
      <c r="NBE300" s="16" t="s">
        <v>1487</v>
      </c>
      <c r="NBF300" s="16" t="s">
        <v>1487</v>
      </c>
      <c r="NBG300" s="16" t="s">
        <v>1487</v>
      </c>
      <c r="NBH300" s="16" t="s">
        <v>1487</v>
      </c>
      <c r="NBI300" s="16" t="s">
        <v>1487</v>
      </c>
      <c r="NBJ300" s="16" t="s">
        <v>1487</v>
      </c>
      <c r="NBK300" s="16" t="s">
        <v>1487</v>
      </c>
      <c r="NBL300" s="16" t="s">
        <v>1487</v>
      </c>
      <c r="NBM300" s="16" t="s">
        <v>1487</v>
      </c>
      <c r="NBN300" s="16" t="s">
        <v>1487</v>
      </c>
      <c r="NBO300" s="16" t="s">
        <v>1487</v>
      </c>
      <c r="NBP300" s="16" t="s">
        <v>1487</v>
      </c>
      <c r="NBQ300" s="16" t="s">
        <v>1487</v>
      </c>
      <c r="NBR300" s="16" t="s">
        <v>1487</v>
      </c>
      <c r="NBS300" s="16" t="s">
        <v>1487</v>
      </c>
      <c r="NBT300" s="16" t="s">
        <v>1487</v>
      </c>
      <c r="NBU300" s="16" t="s">
        <v>1487</v>
      </c>
      <c r="NBV300" s="16" t="s">
        <v>1487</v>
      </c>
      <c r="NBW300" s="16" t="s">
        <v>1487</v>
      </c>
      <c r="NBX300" s="16" t="s">
        <v>1487</v>
      </c>
      <c r="NBY300" s="16" t="s">
        <v>1487</v>
      </c>
      <c r="NBZ300" s="16" t="s">
        <v>1487</v>
      </c>
      <c r="NCA300" s="16" t="s">
        <v>1487</v>
      </c>
      <c r="NCB300" s="16" t="s">
        <v>1487</v>
      </c>
      <c r="NCC300" s="16" t="s">
        <v>1487</v>
      </c>
      <c r="NCD300" s="16" t="s">
        <v>1487</v>
      </c>
      <c r="NCE300" s="16" t="s">
        <v>1487</v>
      </c>
      <c r="NCF300" s="16" t="s">
        <v>1487</v>
      </c>
      <c r="NCG300" s="16" t="s">
        <v>1487</v>
      </c>
      <c r="NCH300" s="16" t="s">
        <v>1487</v>
      </c>
      <c r="NCI300" s="16" t="s">
        <v>1487</v>
      </c>
      <c r="NCJ300" s="16" t="s">
        <v>1487</v>
      </c>
      <c r="NCK300" s="16" t="s">
        <v>1487</v>
      </c>
      <c r="NCL300" s="16" t="s">
        <v>1487</v>
      </c>
      <c r="NCM300" s="16" t="s">
        <v>1487</v>
      </c>
      <c r="NCN300" s="16" t="s">
        <v>1487</v>
      </c>
      <c r="NCO300" s="16" t="s">
        <v>1487</v>
      </c>
      <c r="NCP300" s="16" t="s">
        <v>1487</v>
      </c>
      <c r="NCQ300" s="16" t="s">
        <v>1487</v>
      </c>
      <c r="NCR300" s="16" t="s">
        <v>1487</v>
      </c>
      <c r="NCS300" s="16" t="s">
        <v>1487</v>
      </c>
      <c r="NCT300" s="16" t="s">
        <v>1487</v>
      </c>
      <c r="NCU300" s="16" t="s">
        <v>1487</v>
      </c>
      <c r="NCV300" s="16" t="s">
        <v>1487</v>
      </c>
      <c r="NCW300" s="16" t="s">
        <v>1487</v>
      </c>
      <c r="NCX300" s="16" t="s">
        <v>1487</v>
      </c>
      <c r="NCY300" s="16" t="s">
        <v>1487</v>
      </c>
      <c r="NCZ300" s="16" t="s">
        <v>1487</v>
      </c>
      <c r="NDA300" s="16" t="s">
        <v>1487</v>
      </c>
      <c r="NDB300" s="16" t="s">
        <v>1487</v>
      </c>
      <c r="NDC300" s="16" t="s">
        <v>1487</v>
      </c>
      <c r="NDD300" s="16" t="s">
        <v>1487</v>
      </c>
      <c r="NDE300" s="16" t="s">
        <v>1487</v>
      </c>
      <c r="NDF300" s="16" t="s">
        <v>1487</v>
      </c>
      <c r="NDG300" s="16" t="s">
        <v>1487</v>
      </c>
      <c r="NDH300" s="16" t="s">
        <v>1487</v>
      </c>
      <c r="NDI300" s="16" t="s">
        <v>1487</v>
      </c>
      <c r="NDJ300" s="16" t="s">
        <v>1487</v>
      </c>
      <c r="NDK300" s="16" t="s">
        <v>1487</v>
      </c>
      <c r="NDL300" s="16" t="s">
        <v>1487</v>
      </c>
      <c r="NDM300" s="16" t="s">
        <v>1487</v>
      </c>
      <c r="NDN300" s="16" t="s">
        <v>1487</v>
      </c>
      <c r="NDO300" s="16" t="s">
        <v>1487</v>
      </c>
      <c r="NDP300" s="16" t="s">
        <v>1487</v>
      </c>
      <c r="NDQ300" s="16" t="s">
        <v>1487</v>
      </c>
      <c r="NDR300" s="16" t="s">
        <v>1487</v>
      </c>
      <c r="NDS300" s="16" t="s">
        <v>1487</v>
      </c>
      <c r="NDT300" s="16" t="s">
        <v>1487</v>
      </c>
      <c r="NDU300" s="16" t="s">
        <v>1487</v>
      </c>
      <c r="NDV300" s="16" t="s">
        <v>1487</v>
      </c>
      <c r="NDW300" s="16" t="s">
        <v>1487</v>
      </c>
      <c r="NDX300" s="16" t="s">
        <v>1487</v>
      </c>
      <c r="NDY300" s="16" t="s">
        <v>1487</v>
      </c>
      <c r="NDZ300" s="16" t="s">
        <v>1487</v>
      </c>
      <c r="NEA300" s="16" t="s">
        <v>1487</v>
      </c>
      <c r="NEB300" s="16" t="s">
        <v>1487</v>
      </c>
      <c r="NEC300" s="16" t="s">
        <v>1487</v>
      </c>
      <c r="NED300" s="16" t="s">
        <v>1487</v>
      </c>
      <c r="NEE300" s="16" t="s">
        <v>1487</v>
      </c>
      <c r="NEF300" s="16" t="s">
        <v>1487</v>
      </c>
      <c r="NEG300" s="16" t="s">
        <v>1487</v>
      </c>
      <c r="NEH300" s="16" t="s">
        <v>1487</v>
      </c>
      <c r="NEI300" s="16" t="s">
        <v>1487</v>
      </c>
      <c r="NEJ300" s="16" t="s">
        <v>1487</v>
      </c>
      <c r="NEK300" s="16" t="s">
        <v>1487</v>
      </c>
      <c r="NEL300" s="16" t="s">
        <v>1487</v>
      </c>
      <c r="NEM300" s="16" t="s">
        <v>1487</v>
      </c>
      <c r="NEN300" s="16" t="s">
        <v>1487</v>
      </c>
      <c r="NEO300" s="16" t="s">
        <v>1487</v>
      </c>
      <c r="NEP300" s="16" t="s">
        <v>1487</v>
      </c>
      <c r="NEQ300" s="16" t="s">
        <v>1487</v>
      </c>
      <c r="NER300" s="16" t="s">
        <v>1487</v>
      </c>
      <c r="NES300" s="16" t="s">
        <v>1487</v>
      </c>
      <c r="NET300" s="16" t="s">
        <v>1487</v>
      </c>
      <c r="NEU300" s="16" t="s">
        <v>1487</v>
      </c>
      <c r="NEV300" s="16" t="s">
        <v>1487</v>
      </c>
      <c r="NEW300" s="16" t="s">
        <v>1487</v>
      </c>
      <c r="NEX300" s="16" t="s">
        <v>1487</v>
      </c>
      <c r="NEY300" s="16" t="s">
        <v>1487</v>
      </c>
      <c r="NEZ300" s="16" t="s">
        <v>1487</v>
      </c>
      <c r="NFA300" s="16" t="s">
        <v>1487</v>
      </c>
      <c r="NFB300" s="16" t="s">
        <v>1487</v>
      </c>
      <c r="NFC300" s="16" t="s">
        <v>1487</v>
      </c>
      <c r="NFD300" s="16" t="s">
        <v>1487</v>
      </c>
      <c r="NFE300" s="16" t="s">
        <v>1487</v>
      </c>
      <c r="NFF300" s="16" t="s">
        <v>1487</v>
      </c>
      <c r="NFG300" s="16" t="s">
        <v>1487</v>
      </c>
      <c r="NFH300" s="16" t="s">
        <v>1487</v>
      </c>
      <c r="NFI300" s="16" t="s">
        <v>1487</v>
      </c>
      <c r="NFJ300" s="16" t="s">
        <v>1487</v>
      </c>
      <c r="NFK300" s="16" t="s">
        <v>1487</v>
      </c>
      <c r="NFL300" s="16" t="s">
        <v>1487</v>
      </c>
      <c r="NFM300" s="16" t="s">
        <v>1487</v>
      </c>
      <c r="NFN300" s="16" t="s">
        <v>1487</v>
      </c>
      <c r="NFO300" s="16" t="s">
        <v>1487</v>
      </c>
      <c r="NFP300" s="16" t="s">
        <v>1487</v>
      </c>
      <c r="NFQ300" s="16" t="s">
        <v>1487</v>
      </c>
      <c r="NFR300" s="16" t="s">
        <v>1487</v>
      </c>
      <c r="NFS300" s="16" t="s">
        <v>1487</v>
      </c>
      <c r="NFT300" s="16" t="s">
        <v>1487</v>
      </c>
      <c r="NFU300" s="16" t="s">
        <v>1487</v>
      </c>
      <c r="NFV300" s="16" t="s">
        <v>1487</v>
      </c>
      <c r="NFW300" s="16" t="s">
        <v>1487</v>
      </c>
      <c r="NFX300" s="16" t="s">
        <v>1487</v>
      </c>
      <c r="NFY300" s="16" t="s">
        <v>1487</v>
      </c>
      <c r="NFZ300" s="16" t="s">
        <v>1487</v>
      </c>
      <c r="NGA300" s="16" t="s">
        <v>1487</v>
      </c>
      <c r="NGB300" s="16" t="s">
        <v>1487</v>
      </c>
      <c r="NGC300" s="16" t="s">
        <v>1487</v>
      </c>
      <c r="NGD300" s="16" t="s">
        <v>1487</v>
      </c>
      <c r="NGE300" s="16" t="s">
        <v>1487</v>
      </c>
      <c r="NGF300" s="16" t="s">
        <v>1487</v>
      </c>
      <c r="NGG300" s="16" t="s">
        <v>1487</v>
      </c>
      <c r="NGH300" s="16" t="s">
        <v>1487</v>
      </c>
      <c r="NGI300" s="16" t="s">
        <v>1487</v>
      </c>
      <c r="NGJ300" s="16" t="s">
        <v>1487</v>
      </c>
      <c r="NGK300" s="16" t="s">
        <v>1487</v>
      </c>
      <c r="NGL300" s="16" t="s">
        <v>1487</v>
      </c>
      <c r="NGM300" s="16" t="s">
        <v>1487</v>
      </c>
      <c r="NGN300" s="16" t="s">
        <v>1487</v>
      </c>
      <c r="NGO300" s="16" t="s">
        <v>1487</v>
      </c>
      <c r="NGP300" s="16" t="s">
        <v>1487</v>
      </c>
      <c r="NGQ300" s="16" t="s">
        <v>1487</v>
      </c>
      <c r="NGR300" s="16" t="s">
        <v>1487</v>
      </c>
      <c r="NGS300" s="16" t="s">
        <v>1487</v>
      </c>
      <c r="NGT300" s="16" t="s">
        <v>1487</v>
      </c>
      <c r="NGU300" s="16" t="s">
        <v>1487</v>
      </c>
      <c r="NGV300" s="16" t="s">
        <v>1487</v>
      </c>
      <c r="NGW300" s="16" t="s">
        <v>1487</v>
      </c>
      <c r="NGX300" s="16" t="s">
        <v>1487</v>
      </c>
      <c r="NGY300" s="16" t="s">
        <v>1487</v>
      </c>
      <c r="NGZ300" s="16" t="s">
        <v>1487</v>
      </c>
      <c r="NHA300" s="16" t="s">
        <v>1487</v>
      </c>
      <c r="NHB300" s="16" t="s">
        <v>1487</v>
      </c>
      <c r="NHC300" s="16" t="s">
        <v>1487</v>
      </c>
      <c r="NHD300" s="16" t="s">
        <v>1487</v>
      </c>
      <c r="NHE300" s="16" t="s">
        <v>1487</v>
      </c>
      <c r="NHF300" s="16" t="s">
        <v>1487</v>
      </c>
      <c r="NHG300" s="16" t="s">
        <v>1487</v>
      </c>
      <c r="NHH300" s="16" t="s">
        <v>1487</v>
      </c>
      <c r="NHI300" s="16" t="s">
        <v>1487</v>
      </c>
      <c r="NHJ300" s="16" t="s">
        <v>1487</v>
      </c>
      <c r="NHK300" s="16" t="s">
        <v>1487</v>
      </c>
      <c r="NHL300" s="16" t="s">
        <v>1487</v>
      </c>
      <c r="NHM300" s="16" t="s">
        <v>1487</v>
      </c>
      <c r="NHN300" s="16" t="s">
        <v>1487</v>
      </c>
      <c r="NHO300" s="16" t="s">
        <v>1487</v>
      </c>
      <c r="NHP300" s="16" t="s">
        <v>1487</v>
      </c>
      <c r="NHQ300" s="16" t="s">
        <v>1487</v>
      </c>
      <c r="NHR300" s="16" t="s">
        <v>1487</v>
      </c>
      <c r="NHS300" s="16" t="s">
        <v>1487</v>
      </c>
      <c r="NHT300" s="16" t="s">
        <v>1487</v>
      </c>
      <c r="NHU300" s="16" t="s">
        <v>1487</v>
      </c>
      <c r="NHV300" s="16" t="s">
        <v>1487</v>
      </c>
      <c r="NHW300" s="16" t="s">
        <v>1487</v>
      </c>
      <c r="NHX300" s="16" t="s">
        <v>1487</v>
      </c>
      <c r="NHY300" s="16" t="s">
        <v>1487</v>
      </c>
      <c r="NHZ300" s="16" t="s">
        <v>1487</v>
      </c>
      <c r="NIA300" s="16" t="s">
        <v>1487</v>
      </c>
      <c r="NIB300" s="16" t="s">
        <v>1487</v>
      </c>
      <c r="NIC300" s="16" t="s">
        <v>1487</v>
      </c>
      <c r="NID300" s="16" t="s">
        <v>1487</v>
      </c>
      <c r="NIE300" s="16" t="s">
        <v>1487</v>
      </c>
      <c r="NIF300" s="16" t="s">
        <v>1487</v>
      </c>
      <c r="NIG300" s="16" t="s">
        <v>1487</v>
      </c>
      <c r="NIH300" s="16" t="s">
        <v>1487</v>
      </c>
      <c r="NII300" s="16" t="s">
        <v>1487</v>
      </c>
      <c r="NIJ300" s="16" t="s">
        <v>1487</v>
      </c>
      <c r="NIK300" s="16" t="s">
        <v>1487</v>
      </c>
      <c r="NIL300" s="16" t="s">
        <v>1487</v>
      </c>
      <c r="NIM300" s="16" t="s">
        <v>1487</v>
      </c>
      <c r="NIN300" s="16" t="s">
        <v>1487</v>
      </c>
      <c r="NIO300" s="16" t="s">
        <v>1487</v>
      </c>
      <c r="NIP300" s="16" t="s">
        <v>1487</v>
      </c>
      <c r="NIQ300" s="16" t="s">
        <v>1487</v>
      </c>
      <c r="NIR300" s="16" t="s">
        <v>1487</v>
      </c>
      <c r="NIS300" s="16" t="s">
        <v>1487</v>
      </c>
      <c r="NIT300" s="16" t="s">
        <v>1487</v>
      </c>
      <c r="NIU300" s="16" t="s">
        <v>1487</v>
      </c>
      <c r="NIV300" s="16" t="s">
        <v>1487</v>
      </c>
      <c r="NIW300" s="16" t="s">
        <v>1487</v>
      </c>
      <c r="NIX300" s="16" t="s">
        <v>1487</v>
      </c>
      <c r="NIY300" s="16" t="s">
        <v>1487</v>
      </c>
      <c r="NIZ300" s="16" t="s">
        <v>1487</v>
      </c>
      <c r="NJA300" s="16" t="s">
        <v>1487</v>
      </c>
      <c r="NJB300" s="16" t="s">
        <v>1487</v>
      </c>
      <c r="NJC300" s="16" t="s">
        <v>1487</v>
      </c>
      <c r="NJD300" s="16" t="s">
        <v>1487</v>
      </c>
      <c r="NJE300" s="16" t="s">
        <v>1487</v>
      </c>
      <c r="NJF300" s="16" t="s">
        <v>1487</v>
      </c>
      <c r="NJG300" s="16" t="s">
        <v>1487</v>
      </c>
      <c r="NJH300" s="16" t="s">
        <v>1487</v>
      </c>
      <c r="NJI300" s="16" t="s">
        <v>1487</v>
      </c>
      <c r="NJJ300" s="16" t="s">
        <v>1487</v>
      </c>
      <c r="NJK300" s="16" t="s">
        <v>1487</v>
      </c>
      <c r="NJL300" s="16" t="s">
        <v>1487</v>
      </c>
      <c r="NJM300" s="16" t="s">
        <v>1487</v>
      </c>
      <c r="NJN300" s="16" t="s">
        <v>1487</v>
      </c>
      <c r="NJO300" s="16" t="s">
        <v>1487</v>
      </c>
      <c r="NJP300" s="16" t="s">
        <v>1487</v>
      </c>
      <c r="NJQ300" s="16" t="s">
        <v>1487</v>
      </c>
      <c r="NJR300" s="16" t="s">
        <v>1487</v>
      </c>
      <c r="NJS300" s="16" t="s">
        <v>1487</v>
      </c>
      <c r="NJT300" s="16" t="s">
        <v>1487</v>
      </c>
      <c r="NJU300" s="16" t="s">
        <v>1487</v>
      </c>
      <c r="NJV300" s="16" t="s">
        <v>1487</v>
      </c>
      <c r="NJW300" s="16" t="s">
        <v>1487</v>
      </c>
      <c r="NJX300" s="16" t="s">
        <v>1487</v>
      </c>
      <c r="NJY300" s="16" t="s">
        <v>1487</v>
      </c>
      <c r="NJZ300" s="16" t="s">
        <v>1487</v>
      </c>
      <c r="NKA300" s="16" t="s">
        <v>1487</v>
      </c>
      <c r="NKB300" s="16" t="s">
        <v>1487</v>
      </c>
      <c r="NKC300" s="16" t="s">
        <v>1487</v>
      </c>
      <c r="NKD300" s="16" t="s">
        <v>1487</v>
      </c>
      <c r="NKE300" s="16" t="s">
        <v>1487</v>
      </c>
      <c r="NKF300" s="16" t="s">
        <v>1487</v>
      </c>
      <c r="NKG300" s="16" t="s">
        <v>1487</v>
      </c>
      <c r="NKH300" s="16" t="s">
        <v>1487</v>
      </c>
      <c r="NKI300" s="16" t="s">
        <v>1487</v>
      </c>
      <c r="NKJ300" s="16" t="s">
        <v>1487</v>
      </c>
      <c r="NKK300" s="16" t="s">
        <v>1487</v>
      </c>
      <c r="NKL300" s="16" t="s">
        <v>1487</v>
      </c>
      <c r="NKM300" s="16" t="s">
        <v>1487</v>
      </c>
      <c r="NKN300" s="16" t="s">
        <v>1487</v>
      </c>
      <c r="NKO300" s="16" t="s">
        <v>1487</v>
      </c>
      <c r="NKP300" s="16" t="s">
        <v>1487</v>
      </c>
      <c r="NKQ300" s="16" t="s">
        <v>1487</v>
      </c>
      <c r="NKR300" s="16" t="s">
        <v>1487</v>
      </c>
      <c r="NKS300" s="16" t="s">
        <v>1487</v>
      </c>
      <c r="NKT300" s="16" t="s">
        <v>1487</v>
      </c>
      <c r="NKU300" s="16" t="s">
        <v>1487</v>
      </c>
      <c r="NKV300" s="16" t="s">
        <v>1487</v>
      </c>
      <c r="NKW300" s="16" t="s">
        <v>1487</v>
      </c>
      <c r="NKX300" s="16" t="s">
        <v>1487</v>
      </c>
      <c r="NKY300" s="16" t="s">
        <v>1487</v>
      </c>
      <c r="NKZ300" s="16" t="s">
        <v>1487</v>
      </c>
      <c r="NLA300" s="16" t="s">
        <v>1487</v>
      </c>
      <c r="NLB300" s="16" t="s">
        <v>1487</v>
      </c>
      <c r="NLC300" s="16" t="s">
        <v>1487</v>
      </c>
      <c r="NLD300" s="16" t="s">
        <v>1487</v>
      </c>
      <c r="NLE300" s="16" t="s">
        <v>1487</v>
      </c>
      <c r="NLF300" s="16" t="s">
        <v>1487</v>
      </c>
      <c r="NLG300" s="16" t="s">
        <v>1487</v>
      </c>
      <c r="NLH300" s="16" t="s">
        <v>1487</v>
      </c>
      <c r="NLI300" s="16" t="s">
        <v>1487</v>
      </c>
      <c r="NLJ300" s="16" t="s">
        <v>1487</v>
      </c>
      <c r="NLK300" s="16" t="s">
        <v>1487</v>
      </c>
      <c r="NLL300" s="16" t="s">
        <v>1487</v>
      </c>
      <c r="NLM300" s="16" t="s">
        <v>1487</v>
      </c>
      <c r="NLN300" s="16" t="s">
        <v>1487</v>
      </c>
      <c r="NLO300" s="16" t="s">
        <v>1487</v>
      </c>
      <c r="NLP300" s="16" t="s">
        <v>1487</v>
      </c>
      <c r="NLQ300" s="16" t="s">
        <v>1487</v>
      </c>
      <c r="NLR300" s="16" t="s">
        <v>1487</v>
      </c>
      <c r="NLS300" s="16" t="s">
        <v>1487</v>
      </c>
      <c r="NLT300" s="16" t="s">
        <v>1487</v>
      </c>
      <c r="NLU300" s="16" t="s">
        <v>1487</v>
      </c>
      <c r="NLV300" s="16" t="s">
        <v>1487</v>
      </c>
      <c r="NLW300" s="16" t="s">
        <v>1487</v>
      </c>
      <c r="NLX300" s="16" t="s">
        <v>1487</v>
      </c>
      <c r="NLY300" s="16" t="s">
        <v>1487</v>
      </c>
      <c r="NLZ300" s="16" t="s">
        <v>1487</v>
      </c>
      <c r="NMA300" s="16" t="s">
        <v>1487</v>
      </c>
      <c r="NMB300" s="16" t="s">
        <v>1487</v>
      </c>
      <c r="NMC300" s="16" t="s">
        <v>1487</v>
      </c>
      <c r="NMD300" s="16" t="s">
        <v>1487</v>
      </c>
      <c r="NME300" s="16" t="s">
        <v>1487</v>
      </c>
      <c r="NMF300" s="16" t="s">
        <v>1487</v>
      </c>
      <c r="NMG300" s="16" t="s">
        <v>1487</v>
      </c>
      <c r="NMH300" s="16" t="s">
        <v>1487</v>
      </c>
      <c r="NMI300" s="16" t="s">
        <v>1487</v>
      </c>
      <c r="NMJ300" s="16" t="s">
        <v>1487</v>
      </c>
      <c r="NMK300" s="16" t="s">
        <v>1487</v>
      </c>
      <c r="NML300" s="16" t="s">
        <v>1487</v>
      </c>
      <c r="NMM300" s="16" t="s">
        <v>1487</v>
      </c>
      <c r="NMN300" s="16" t="s">
        <v>1487</v>
      </c>
      <c r="NMO300" s="16" t="s">
        <v>1487</v>
      </c>
      <c r="NMP300" s="16" t="s">
        <v>1487</v>
      </c>
      <c r="NMQ300" s="16" t="s">
        <v>1487</v>
      </c>
      <c r="NMR300" s="16" t="s">
        <v>1487</v>
      </c>
      <c r="NMS300" s="16" t="s">
        <v>1487</v>
      </c>
      <c r="NMT300" s="16" t="s">
        <v>1487</v>
      </c>
      <c r="NMU300" s="16" t="s">
        <v>1487</v>
      </c>
      <c r="NMV300" s="16" t="s">
        <v>1487</v>
      </c>
      <c r="NMW300" s="16" t="s">
        <v>1487</v>
      </c>
      <c r="NMX300" s="16" t="s">
        <v>1487</v>
      </c>
      <c r="NMY300" s="16" t="s">
        <v>1487</v>
      </c>
      <c r="NMZ300" s="16" t="s">
        <v>1487</v>
      </c>
      <c r="NNA300" s="16" t="s">
        <v>1487</v>
      </c>
      <c r="NNB300" s="16" t="s">
        <v>1487</v>
      </c>
      <c r="NNC300" s="16" t="s">
        <v>1487</v>
      </c>
      <c r="NND300" s="16" t="s">
        <v>1487</v>
      </c>
      <c r="NNE300" s="16" t="s">
        <v>1487</v>
      </c>
      <c r="NNF300" s="16" t="s">
        <v>1487</v>
      </c>
      <c r="NNG300" s="16" t="s">
        <v>1487</v>
      </c>
      <c r="NNH300" s="16" t="s">
        <v>1487</v>
      </c>
      <c r="NNI300" s="16" t="s">
        <v>1487</v>
      </c>
      <c r="NNJ300" s="16" t="s">
        <v>1487</v>
      </c>
      <c r="NNK300" s="16" t="s">
        <v>1487</v>
      </c>
      <c r="NNL300" s="16" t="s">
        <v>1487</v>
      </c>
      <c r="NNM300" s="16" t="s">
        <v>1487</v>
      </c>
      <c r="NNN300" s="16" t="s">
        <v>1487</v>
      </c>
      <c r="NNO300" s="16" t="s">
        <v>1487</v>
      </c>
      <c r="NNP300" s="16" t="s">
        <v>1487</v>
      </c>
      <c r="NNQ300" s="16" t="s">
        <v>1487</v>
      </c>
      <c r="NNR300" s="16" t="s">
        <v>1487</v>
      </c>
      <c r="NNS300" s="16" t="s">
        <v>1487</v>
      </c>
      <c r="NNT300" s="16" t="s">
        <v>1487</v>
      </c>
      <c r="NNU300" s="16" t="s">
        <v>1487</v>
      </c>
      <c r="NNV300" s="16" t="s">
        <v>1487</v>
      </c>
      <c r="NNW300" s="16" t="s">
        <v>1487</v>
      </c>
      <c r="NNX300" s="16" t="s">
        <v>1487</v>
      </c>
      <c r="NNY300" s="16" t="s">
        <v>1487</v>
      </c>
      <c r="NNZ300" s="16" t="s">
        <v>1487</v>
      </c>
      <c r="NOA300" s="16" t="s">
        <v>1487</v>
      </c>
      <c r="NOB300" s="16" t="s">
        <v>1487</v>
      </c>
      <c r="NOC300" s="16" t="s">
        <v>1487</v>
      </c>
      <c r="NOD300" s="16" t="s">
        <v>1487</v>
      </c>
      <c r="NOE300" s="16" t="s">
        <v>1487</v>
      </c>
      <c r="NOF300" s="16" t="s">
        <v>1487</v>
      </c>
      <c r="NOG300" s="16" t="s">
        <v>1487</v>
      </c>
      <c r="NOH300" s="16" t="s">
        <v>1487</v>
      </c>
      <c r="NOI300" s="16" t="s">
        <v>1487</v>
      </c>
      <c r="NOJ300" s="16" t="s">
        <v>1487</v>
      </c>
      <c r="NOK300" s="16" t="s">
        <v>1487</v>
      </c>
      <c r="NOL300" s="16" t="s">
        <v>1487</v>
      </c>
      <c r="NOM300" s="16" t="s">
        <v>1487</v>
      </c>
      <c r="NON300" s="16" t="s">
        <v>1487</v>
      </c>
      <c r="NOO300" s="16" t="s">
        <v>1487</v>
      </c>
      <c r="NOP300" s="16" t="s">
        <v>1487</v>
      </c>
      <c r="NOQ300" s="16" t="s">
        <v>1487</v>
      </c>
      <c r="NOR300" s="16" t="s">
        <v>1487</v>
      </c>
      <c r="NOS300" s="16" t="s">
        <v>1487</v>
      </c>
      <c r="NOT300" s="16" t="s">
        <v>1487</v>
      </c>
      <c r="NOU300" s="16" t="s">
        <v>1487</v>
      </c>
      <c r="NOV300" s="16" t="s">
        <v>1487</v>
      </c>
      <c r="NOW300" s="16" t="s">
        <v>1487</v>
      </c>
      <c r="NOX300" s="16" t="s">
        <v>1487</v>
      </c>
      <c r="NOY300" s="16" t="s">
        <v>1487</v>
      </c>
      <c r="NOZ300" s="16" t="s">
        <v>1487</v>
      </c>
      <c r="NPA300" s="16" t="s">
        <v>1487</v>
      </c>
      <c r="NPB300" s="16" t="s">
        <v>1487</v>
      </c>
      <c r="NPC300" s="16" t="s">
        <v>1487</v>
      </c>
      <c r="NPD300" s="16" t="s">
        <v>1487</v>
      </c>
      <c r="NPE300" s="16" t="s">
        <v>1487</v>
      </c>
      <c r="NPF300" s="16" t="s">
        <v>1487</v>
      </c>
      <c r="NPG300" s="16" t="s">
        <v>1487</v>
      </c>
      <c r="NPH300" s="16" t="s">
        <v>1487</v>
      </c>
      <c r="NPI300" s="16" t="s">
        <v>1487</v>
      </c>
      <c r="NPJ300" s="16" t="s">
        <v>1487</v>
      </c>
      <c r="NPK300" s="16" t="s">
        <v>1487</v>
      </c>
      <c r="NPL300" s="16" t="s">
        <v>1487</v>
      </c>
      <c r="NPM300" s="16" t="s">
        <v>1487</v>
      </c>
      <c r="NPN300" s="16" t="s">
        <v>1487</v>
      </c>
      <c r="NPO300" s="16" t="s">
        <v>1487</v>
      </c>
      <c r="NPP300" s="16" t="s">
        <v>1487</v>
      </c>
      <c r="NPQ300" s="16" t="s">
        <v>1487</v>
      </c>
      <c r="NPR300" s="16" t="s">
        <v>1487</v>
      </c>
      <c r="NPS300" s="16" t="s">
        <v>1487</v>
      </c>
      <c r="NPT300" s="16" t="s">
        <v>1487</v>
      </c>
      <c r="NPU300" s="16" t="s">
        <v>1487</v>
      </c>
      <c r="NPV300" s="16" t="s">
        <v>1487</v>
      </c>
      <c r="NPW300" s="16" t="s">
        <v>1487</v>
      </c>
      <c r="NPX300" s="16" t="s">
        <v>1487</v>
      </c>
      <c r="NPY300" s="16" t="s">
        <v>1487</v>
      </c>
      <c r="NPZ300" s="16" t="s">
        <v>1487</v>
      </c>
      <c r="NQA300" s="16" t="s">
        <v>1487</v>
      </c>
      <c r="NQB300" s="16" t="s">
        <v>1487</v>
      </c>
      <c r="NQC300" s="16" t="s">
        <v>1487</v>
      </c>
      <c r="NQD300" s="16" t="s">
        <v>1487</v>
      </c>
      <c r="NQE300" s="16" t="s">
        <v>1487</v>
      </c>
      <c r="NQF300" s="16" t="s">
        <v>1487</v>
      </c>
      <c r="NQG300" s="16" t="s">
        <v>1487</v>
      </c>
      <c r="NQH300" s="16" t="s">
        <v>1487</v>
      </c>
      <c r="NQI300" s="16" t="s">
        <v>1487</v>
      </c>
      <c r="NQJ300" s="16" t="s">
        <v>1487</v>
      </c>
      <c r="NQK300" s="16" t="s">
        <v>1487</v>
      </c>
      <c r="NQL300" s="16" t="s">
        <v>1487</v>
      </c>
      <c r="NQM300" s="16" t="s">
        <v>1487</v>
      </c>
      <c r="NQN300" s="16" t="s">
        <v>1487</v>
      </c>
      <c r="NQO300" s="16" t="s">
        <v>1487</v>
      </c>
      <c r="NQP300" s="16" t="s">
        <v>1487</v>
      </c>
      <c r="NQQ300" s="16" t="s">
        <v>1487</v>
      </c>
      <c r="NQR300" s="16" t="s">
        <v>1487</v>
      </c>
      <c r="NQS300" s="16" t="s">
        <v>1487</v>
      </c>
      <c r="NQT300" s="16" t="s">
        <v>1487</v>
      </c>
      <c r="NQU300" s="16" t="s">
        <v>1487</v>
      </c>
      <c r="NQV300" s="16" t="s">
        <v>1487</v>
      </c>
      <c r="NQW300" s="16" t="s">
        <v>1487</v>
      </c>
      <c r="NQX300" s="16" t="s">
        <v>1487</v>
      </c>
      <c r="NQY300" s="16" t="s">
        <v>1487</v>
      </c>
      <c r="NQZ300" s="16" t="s">
        <v>1487</v>
      </c>
      <c r="NRA300" s="16" t="s">
        <v>1487</v>
      </c>
      <c r="NRB300" s="16" t="s">
        <v>1487</v>
      </c>
      <c r="NRC300" s="16" t="s">
        <v>1487</v>
      </c>
      <c r="NRD300" s="16" t="s">
        <v>1487</v>
      </c>
      <c r="NRE300" s="16" t="s">
        <v>1487</v>
      </c>
      <c r="NRF300" s="16" t="s">
        <v>1487</v>
      </c>
      <c r="NRG300" s="16" t="s">
        <v>1487</v>
      </c>
      <c r="NRH300" s="16" t="s">
        <v>1487</v>
      </c>
      <c r="NRI300" s="16" t="s">
        <v>1487</v>
      </c>
      <c r="NRJ300" s="16" t="s">
        <v>1487</v>
      </c>
      <c r="NRK300" s="16" t="s">
        <v>1487</v>
      </c>
      <c r="NRL300" s="16" t="s">
        <v>1487</v>
      </c>
      <c r="NRM300" s="16" t="s">
        <v>1487</v>
      </c>
      <c r="NRN300" s="16" t="s">
        <v>1487</v>
      </c>
      <c r="NRO300" s="16" t="s">
        <v>1487</v>
      </c>
      <c r="NRP300" s="16" t="s">
        <v>1487</v>
      </c>
      <c r="NRQ300" s="16" t="s">
        <v>1487</v>
      </c>
      <c r="NRR300" s="16" t="s">
        <v>1487</v>
      </c>
      <c r="NRS300" s="16" t="s">
        <v>1487</v>
      </c>
      <c r="NRT300" s="16" t="s">
        <v>1487</v>
      </c>
      <c r="NRU300" s="16" t="s">
        <v>1487</v>
      </c>
      <c r="NRV300" s="16" t="s">
        <v>1487</v>
      </c>
      <c r="NRW300" s="16" t="s">
        <v>1487</v>
      </c>
      <c r="NRX300" s="16" t="s">
        <v>1487</v>
      </c>
      <c r="NRY300" s="16" t="s">
        <v>1487</v>
      </c>
      <c r="NRZ300" s="16" t="s">
        <v>1487</v>
      </c>
      <c r="NSA300" s="16" t="s">
        <v>1487</v>
      </c>
      <c r="NSB300" s="16" t="s">
        <v>1487</v>
      </c>
      <c r="NSC300" s="16" t="s">
        <v>1487</v>
      </c>
      <c r="NSD300" s="16" t="s">
        <v>1487</v>
      </c>
      <c r="NSE300" s="16" t="s">
        <v>1487</v>
      </c>
      <c r="NSF300" s="16" t="s">
        <v>1487</v>
      </c>
      <c r="NSG300" s="16" t="s">
        <v>1487</v>
      </c>
      <c r="NSH300" s="16" t="s">
        <v>1487</v>
      </c>
      <c r="NSI300" s="16" t="s">
        <v>1487</v>
      </c>
      <c r="NSJ300" s="16" t="s">
        <v>1487</v>
      </c>
      <c r="NSK300" s="16" t="s">
        <v>1487</v>
      </c>
      <c r="NSL300" s="16" t="s">
        <v>1487</v>
      </c>
      <c r="NSM300" s="16" t="s">
        <v>1487</v>
      </c>
      <c r="NSN300" s="16" t="s">
        <v>1487</v>
      </c>
      <c r="NSO300" s="16" t="s">
        <v>1487</v>
      </c>
      <c r="NSP300" s="16" t="s">
        <v>1487</v>
      </c>
      <c r="NSQ300" s="16" t="s">
        <v>1487</v>
      </c>
      <c r="NSR300" s="16" t="s">
        <v>1487</v>
      </c>
      <c r="NSS300" s="16" t="s">
        <v>1487</v>
      </c>
      <c r="NST300" s="16" t="s">
        <v>1487</v>
      </c>
      <c r="NSU300" s="16" t="s">
        <v>1487</v>
      </c>
      <c r="NSV300" s="16" t="s">
        <v>1487</v>
      </c>
      <c r="NSW300" s="16" t="s">
        <v>1487</v>
      </c>
      <c r="NSX300" s="16" t="s">
        <v>1487</v>
      </c>
      <c r="NSY300" s="16" t="s">
        <v>1487</v>
      </c>
      <c r="NSZ300" s="16" t="s">
        <v>1487</v>
      </c>
      <c r="NTA300" s="16" t="s">
        <v>1487</v>
      </c>
      <c r="NTB300" s="16" t="s">
        <v>1487</v>
      </c>
      <c r="NTC300" s="16" t="s">
        <v>1487</v>
      </c>
      <c r="NTD300" s="16" t="s">
        <v>1487</v>
      </c>
      <c r="NTE300" s="16" t="s">
        <v>1487</v>
      </c>
      <c r="NTF300" s="16" t="s">
        <v>1487</v>
      </c>
      <c r="NTG300" s="16" t="s">
        <v>1487</v>
      </c>
      <c r="NTH300" s="16" t="s">
        <v>1487</v>
      </c>
      <c r="NTI300" s="16" t="s">
        <v>1487</v>
      </c>
      <c r="NTJ300" s="16" t="s">
        <v>1487</v>
      </c>
      <c r="NTK300" s="16" t="s">
        <v>1487</v>
      </c>
      <c r="NTL300" s="16" t="s">
        <v>1487</v>
      </c>
      <c r="NTM300" s="16" t="s">
        <v>1487</v>
      </c>
      <c r="NTN300" s="16" t="s">
        <v>1487</v>
      </c>
      <c r="NTO300" s="16" t="s">
        <v>1487</v>
      </c>
      <c r="NTP300" s="16" t="s">
        <v>1487</v>
      </c>
      <c r="NTQ300" s="16" t="s">
        <v>1487</v>
      </c>
      <c r="NTR300" s="16" t="s">
        <v>1487</v>
      </c>
      <c r="NTS300" s="16" t="s">
        <v>1487</v>
      </c>
      <c r="NTT300" s="16" t="s">
        <v>1487</v>
      </c>
      <c r="NTU300" s="16" t="s">
        <v>1487</v>
      </c>
      <c r="NTV300" s="16" t="s">
        <v>1487</v>
      </c>
      <c r="NTW300" s="16" t="s">
        <v>1487</v>
      </c>
      <c r="NTX300" s="16" t="s">
        <v>1487</v>
      </c>
      <c r="NTY300" s="16" t="s">
        <v>1487</v>
      </c>
      <c r="NTZ300" s="16" t="s">
        <v>1487</v>
      </c>
      <c r="NUA300" s="16" t="s">
        <v>1487</v>
      </c>
      <c r="NUB300" s="16" t="s">
        <v>1487</v>
      </c>
      <c r="NUC300" s="16" t="s">
        <v>1487</v>
      </c>
      <c r="NUD300" s="16" t="s">
        <v>1487</v>
      </c>
      <c r="NUE300" s="16" t="s">
        <v>1487</v>
      </c>
      <c r="NUF300" s="16" t="s">
        <v>1487</v>
      </c>
      <c r="NUG300" s="16" t="s">
        <v>1487</v>
      </c>
      <c r="NUH300" s="16" t="s">
        <v>1487</v>
      </c>
      <c r="NUI300" s="16" t="s">
        <v>1487</v>
      </c>
      <c r="NUJ300" s="16" t="s">
        <v>1487</v>
      </c>
      <c r="NUK300" s="16" t="s">
        <v>1487</v>
      </c>
      <c r="NUL300" s="16" t="s">
        <v>1487</v>
      </c>
      <c r="NUM300" s="16" t="s">
        <v>1487</v>
      </c>
      <c r="NUN300" s="16" t="s">
        <v>1487</v>
      </c>
      <c r="NUO300" s="16" t="s">
        <v>1487</v>
      </c>
      <c r="NUP300" s="16" t="s">
        <v>1487</v>
      </c>
      <c r="NUQ300" s="16" t="s">
        <v>1487</v>
      </c>
      <c r="NUR300" s="16" t="s">
        <v>1487</v>
      </c>
      <c r="NUS300" s="16" t="s">
        <v>1487</v>
      </c>
      <c r="NUT300" s="16" t="s">
        <v>1487</v>
      </c>
      <c r="NUU300" s="16" t="s">
        <v>1487</v>
      </c>
      <c r="NUV300" s="16" t="s">
        <v>1487</v>
      </c>
      <c r="NUW300" s="16" t="s">
        <v>1487</v>
      </c>
      <c r="NUX300" s="16" t="s">
        <v>1487</v>
      </c>
      <c r="NUY300" s="16" t="s">
        <v>1487</v>
      </c>
      <c r="NUZ300" s="16" t="s">
        <v>1487</v>
      </c>
      <c r="NVA300" s="16" t="s">
        <v>1487</v>
      </c>
      <c r="NVB300" s="16" t="s">
        <v>1487</v>
      </c>
      <c r="NVC300" s="16" t="s">
        <v>1487</v>
      </c>
      <c r="NVD300" s="16" t="s">
        <v>1487</v>
      </c>
      <c r="NVE300" s="16" t="s">
        <v>1487</v>
      </c>
      <c r="NVF300" s="16" t="s">
        <v>1487</v>
      </c>
      <c r="NVG300" s="16" t="s">
        <v>1487</v>
      </c>
      <c r="NVH300" s="16" t="s">
        <v>1487</v>
      </c>
      <c r="NVI300" s="16" t="s">
        <v>1487</v>
      </c>
      <c r="NVJ300" s="16" t="s">
        <v>1487</v>
      </c>
      <c r="NVK300" s="16" t="s">
        <v>1487</v>
      </c>
      <c r="NVL300" s="16" t="s">
        <v>1487</v>
      </c>
      <c r="NVM300" s="16" t="s">
        <v>1487</v>
      </c>
      <c r="NVN300" s="16" t="s">
        <v>1487</v>
      </c>
      <c r="NVO300" s="16" t="s">
        <v>1487</v>
      </c>
      <c r="NVP300" s="16" t="s">
        <v>1487</v>
      </c>
      <c r="NVQ300" s="16" t="s">
        <v>1487</v>
      </c>
      <c r="NVR300" s="16" t="s">
        <v>1487</v>
      </c>
      <c r="NVS300" s="16" t="s">
        <v>1487</v>
      </c>
      <c r="NVT300" s="16" t="s">
        <v>1487</v>
      </c>
      <c r="NVU300" s="16" t="s">
        <v>1487</v>
      </c>
      <c r="NVV300" s="16" t="s">
        <v>1487</v>
      </c>
      <c r="NVW300" s="16" t="s">
        <v>1487</v>
      </c>
      <c r="NVX300" s="16" t="s">
        <v>1487</v>
      </c>
      <c r="NVY300" s="16" t="s">
        <v>1487</v>
      </c>
      <c r="NVZ300" s="16" t="s">
        <v>1487</v>
      </c>
      <c r="NWA300" s="16" t="s">
        <v>1487</v>
      </c>
      <c r="NWB300" s="16" t="s">
        <v>1487</v>
      </c>
      <c r="NWC300" s="16" t="s">
        <v>1487</v>
      </c>
      <c r="NWD300" s="16" t="s">
        <v>1487</v>
      </c>
      <c r="NWE300" s="16" t="s">
        <v>1487</v>
      </c>
      <c r="NWF300" s="16" t="s">
        <v>1487</v>
      </c>
      <c r="NWG300" s="16" t="s">
        <v>1487</v>
      </c>
      <c r="NWH300" s="16" t="s">
        <v>1487</v>
      </c>
      <c r="NWI300" s="16" t="s">
        <v>1487</v>
      </c>
      <c r="NWJ300" s="16" t="s">
        <v>1487</v>
      </c>
      <c r="NWK300" s="16" t="s">
        <v>1487</v>
      </c>
      <c r="NWL300" s="16" t="s">
        <v>1487</v>
      </c>
      <c r="NWM300" s="16" t="s">
        <v>1487</v>
      </c>
      <c r="NWN300" s="16" t="s">
        <v>1487</v>
      </c>
      <c r="NWO300" s="16" t="s">
        <v>1487</v>
      </c>
      <c r="NWP300" s="16" t="s">
        <v>1487</v>
      </c>
      <c r="NWQ300" s="16" t="s">
        <v>1487</v>
      </c>
      <c r="NWR300" s="16" t="s">
        <v>1487</v>
      </c>
      <c r="NWS300" s="16" t="s">
        <v>1487</v>
      </c>
      <c r="NWT300" s="16" t="s">
        <v>1487</v>
      </c>
      <c r="NWU300" s="16" t="s">
        <v>1487</v>
      </c>
      <c r="NWV300" s="16" t="s">
        <v>1487</v>
      </c>
      <c r="NWW300" s="16" t="s">
        <v>1487</v>
      </c>
      <c r="NWX300" s="16" t="s">
        <v>1487</v>
      </c>
      <c r="NWY300" s="16" t="s">
        <v>1487</v>
      </c>
      <c r="NWZ300" s="16" t="s">
        <v>1487</v>
      </c>
      <c r="NXA300" s="16" t="s">
        <v>1487</v>
      </c>
      <c r="NXB300" s="16" t="s">
        <v>1487</v>
      </c>
      <c r="NXC300" s="16" t="s">
        <v>1487</v>
      </c>
      <c r="NXD300" s="16" t="s">
        <v>1487</v>
      </c>
      <c r="NXE300" s="16" t="s">
        <v>1487</v>
      </c>
      <c r="NXF300" s="16" t="s">
        <v>1487</v>
      </c>
      <c r="NXG300" s="16" t="s">
        <v>1487</v>
      </c>
      <c r="NXH300" s="16" t="s">
        <v>1487</v>
      </c>
      <c r="NXI300" s="16" t="s">
        <v>1487</v>
      </c>
      <c r="NXJ300" s="16" t="s">
        <v>1487</v>
      </c>
      <c r="NXK300" s="16" t="s">
        <v>1487</v>
      </c>
      <c r="NXL300" s="16" t="s">
        <v>1487</v>
      </c>
      <c r="NXM300" s="16" t="s">
        <v>1487</v>
      </c>
      <c r="NXN300" s="16" t="s">
        <v>1487</v>
      </c>
      <c r="NXO300" s="16" t="s">
        <v>1487</v>
      </c>
      <c r="NXP300" s="16" t="s">
        <v>1487</v>
      </c>
      <c r="NXQ300" s="16" t="s">
        <v>1487</v>
      </c>
      <c r="NXR300" s="16" t="s">
        <v>1487</v>
      </c>
      <c r="NXS300" s="16" t="s">
        <v>1487</v>
      </c>
      <c r="NXT300" s="16" t="s">
        <v>1487</v>
      </c>
      <c r="NXU300" s="16" t="s">
        <v>1487</v>
      </c>
      <c r="NXV300" s="16" t="s">
        <v>1487</v>
      </c>
      <c r="NXW300" s="16" t="s">
        <v>1487</v>
      </c>
      <c r="NXX300" s="16" t="s">
        <v>1487</v>
      </c>
      <c r="NXY300" s="16" t="s">
        <v>1487</v>
      </c>
      <c r="NXZ300" s="16" t="s">
        <v>1487</v>
      </c>
      <c r="NYA300" s="16" t="s">
        <v>1487</v>
      </c>
      <c r="NYB300" s="16" t="s">
        <v>1487</v>
      </c>
      <c r="NYC300" s="16" t="s">
        <v>1487</v>
      </c>
      <c r="NYD300" s="16" t="s">
        <v>1487</v>
      </c>
      <c r="NYE300" s="16" t="s">
        <v>1487</v>
      </c>
      <c r="NYF300" s="16" t="s">
        <v>1487</v>
      </c>
      <c r="NYG300" s="16" t="s">
        <v>1487</v>
      </c>
      <c r="NYH300" s="16" t="s">
        <v>1487</v>
      </c>
      <c r="NYI300" s="16" t="s">
        <v>1487</v>
      </c>
      <c r="NYJ300" s="16" t="s">
        <v>1487</v>
      </c>
      <c r="NYK300" s="16" t="s">
        <v>1487</v>
      </c>
      <c r="NYL300" s="16" t="s">
        <v>1487</v>
      </c>
      <c r="NYM300" s="16" t="s">
        <v>1487</v>
      </c>
      <c r="NYN300" s="16" t="s">
        <v>1487</v>
      </c>
      <c r="NYO300" s="16" t="s">
        <v>1487</v>
      </c>
      <c r="NYP300" s="16" t="s">
        <v>1487</v>
      </c>
      <c r="NYQ300" s="16" t="s">
        <v>1487</v>
      </c>
      <c r="NYR300" s="16" t="s">
        <v>1487</v>
      </c>
      <c r="NYS300" s="16" t="s">
        <v>1487</v>
      </c>
      <c r="NYT300" s="16" t="s">
        <v>1487</v>
      </c>
      <c r="NYU300" s="16" t="s">
        <v>1487</v>
      </c>
      <c r="NYV300" s="16" t="s">
        <v>1487</v>
      </c>
      <c r="NYW300" s="16" t="s">
        <v>1487</v>
      </c>
      <c r="NYX300" s="16" t="s">
        <v>1487</v>
      </c>
      <c r="NYY300" s="16" t="s">
        <v>1487</v>
      </c>
      <c r="NYZ300" s="16" t="s">
        <v>1487</v>
      </c>
      <c r="NZA300" s="16" t="s">
        <v>1487</v>
      </c>
      <c r="NZB300" s="16" t="s">
        <v>1487</v>
      </c>
      <c r="NZC300" s="16" t="s">
        <v>1487</v>
      </c>
      <c r="NZD300" s="16" t="s">
        <v>1487</v>
      </c>
      <c r="NZE300" s="16" t="s">
        <v>1487</v>
      </c>
      <c r="NZF300" s="16" t="s">
        <v>1487</v>
      </c>
      <c r="NZG300" s="16" t="s">
        <v>1487</v>
      </c>
      <c r="NZH300" s="16" t="s">
        <v>1487</v>
      </c>
      <c r="NZI300" s="16" t="s">
        <v>1487</v>
      </c>
      <c r="NZJ300" s="16" t="s">
        <v>1487</v>
      </c>
      <c r="NZK300" s="16" t="s">
        <v>1487</v>
      </c>
      <c r="NZL300" s="16" t="s">
        <v>1487</v>
      </c>
      <c r="NZM300" s="16" t="s">
        <v>1487</v>
      </c>
      <c r="NZN300" s="16" t="s">
        <v>1487</v>
      </c>
      <c r="NZO300" s="16" t="s">
        <v>1487</v>
      </c>
      <c r="NZP300" s="16" t="s">
        <v>1487</v>
      </c>
      <c r="NZQ300" s="16" t="s">
        <v>1487</v>
      </c>
      <c r="NZR300" s="16" t="s">
        <v>1487</v>
      </c>
      <c r="NZS300" s="16" t="s">
        <v>1487</v>
      </c>
      <c r="NZT300" s="16" t="s">
        <v>1487</v>
      </c>
      <c r="NZU300" s="16" t="s">
        <v>1487</v>
      </c>
      <c r="NZV300" s="16" t="s">
        <v>1487</v>
      </c>
      <c r="NZW300" s="16" t="s">
        <v>1487</v>
      </c>
      <c r="NZX300" s="16" t="s">
        <v>1487</v>
      </c>
      <c r="NZY300" s="16" t="s">
        <v>1487</v>
      </c>
      <c r="NZZ300" s="16" t="s">
        <v>1487</v>
      </c>
      <c r="OAA300" s="16" t="s">
        <v>1487</v>
      </c>
      <c r="OAB300" s="16" t="s">
        <v>1487</v>
      </c>
      <c r="OAC300" s="16" t="s">
        <v>1487</v>
      </c>
      <c r="OAD300" s="16" t="s">
        <v>1487</v>
      </c>
      <c r="OAE300" s="16" t="s">
        <v>1487</v>
      </c>
      <c r="OAF300" s="16" t="s">
        <v>1487</v>
      </c>
      <c r="OAG300" s="16" t="s">
        <v>1487</v>
      </c>
      <c r="OAH300" s="16" t="s">
        <v>1487</v>
      </c>
      <c r="OAI300" s="16" t="s">
        <v>1487</v>
      </c>
      <c r="OAJ300" s="16" t="s">
        <v>1487</v>
      </c>
      <c r="OAK300" s="16" t="s">
        <v>1487</v>
      </c>
      <c r="OAL300" s="16" t="s">
        <v>1487</v>
      </c>
      <c r="OAM300" s="16" t="s">
        <v>1487</v>
      </c>
      <c r="OAN300" s="16" t="s">
        <v>1487</v>
      </c>
      <c r="OAO300" s="16" t="s">
        <v>1487</v>
      </c>
      <c r="OAP300" s="16" t="s">
        <v>1487</v>
      </c>
      <c r="OAQ300" s="16" t="s">
        <v>1487</v>
      </c>
      <c r="OAR300" s="16" t="s">
        <v>1487</v>
      </c>
      <c r="OAS300" s="16" t="s">
        <v>1487</v>
      </c>
      <c r="OAT300" s="16" t="s">
        <v>1487</v>
      </c>
      <c r="OAU300" s="16" t="s">
        <v>1487</v>
      </c>
      <c r="OAV300" s="16" t="s">
        <v>1487</v>
      </c>
      <c r="OAW300" s="16" t="s">
        <v>1487</v>
      </c>
      <c r="OAX300" s="16" t="s">
        <v>1487</v>
      </c>
      <c r="OAY300" s="16" t="s">
        <v>1487</v>
      </c>
      <c r="OAZ300" s="16" t="s">
        <v>1487</v>
      </c>
      <c r="OBA300" s="16" t="s">
        <v>1487</v>
      </c>
      <c r="OBB300" s="16" t="s">
        <v>1487</v>
      </c>
      <c r="OBC300" s="16" t="s">
        <v>1487</v>
      </c>
      <c r="OBD300" s="16" t="s">
        <v>1487</v>
      </c>
      <c r="OBE300" s="16" t="s">
        <v>1487</v>
      </c>
      <c r="OBF300" s="16" t="s">
        <v>1487</v>
      </c>
      <c r="OBG300" s="16" t="s">
        <v>1487</v>
      </c>
      <c r="OBH300" s="16" t="s">
        <v>1487</v>
      </c>
      <c r="OBI300" s="16" t="s">
        <v>1487</v>
      </c>
      <c r="OBJ300" s="16" t="s">
        <v>1487</v>
      </c>
      <c r="OBK300" s="16" t="s">
        <v>1487</v>
      </c>
      <c r="OBL300" s="16" t="s">
        <v>1487</v>
      </c>
      <c r="OBM300" s="16" t="s">
        <v>1487</v>
      </c>
      <c r="OBN300" s="16" t="s">
        <v>1487</v>
      </c>
      <c r="OBO300" s="16" t="s">
        <v>1487</v>
      </c>
      <c r="OBP300" s="16" t="s">
        <v>1487</v>
      </c>
      <c r="OBQ300" s="16" t="s">
        <v>1487</v>
      </c>
      <c r="OBR300" s="16" t="s">
        <v>1487</v>
      </c>
      <c r="OBS300" s="16" t="s">
        <v>1487</v>
      </c>
      <c r="OBT300" s="16" t="s">
        <v>1487</v>
      </c>
      <c r="OBU300" s="16" t="s">
        <v>1487</v>
      </c>
      <c r="OBV300" s="16" t="s">
        <v>1487</v>
      </c>
      <c r="OBW300" s="16" t="s">
        <v>1487</v>
      </c>
      <c r="OBX300" s="16" t="s">
        <v>1487</v>
      </c>
      <c r="OBY300" s="16" t="s">
        <v>1487</v>
      </c>
      <c r="OBZ300" s="16" t="s">
        <v>1487</v>
      </c>
      <c r="OCA300" s="16" t="s">
        <v>1487</v>
      </c>
      <c r="OCB300" s="16" t="s">
        <v>1487</v>
      </c>
      <c r="OCC300" s="16" t="s">
        <v>1487</v>
      </c>
      <c r="OCD300" s="16" t="s">
        <v>1487</v>
      </c>
      <c r="OCE300" s="16" t="s">
        <v>1487</v>
      </c>
      <c r="OCF300" s="16" t="s">
        <v>1487</v>
      </c>
      <c r="OCG300" s="16" t="s">
        <v>1487</v>
      </c>
      <c r="OCH300" s="16" t="s">
        <v>1487</v>
      </c>
      <c r="OCI300" s="16" t="s">
        <v>1487</v>
      </c>
      <c r="OCJ300" s="16" t="s">
        <v>1487</v>
      </c>
      <c r="OCK300" s="16" t="s">
        <v>1487</v>
      </c>
      <c r="OCL300" s="16" t="s">
        <v>1487</v>
      </c>
      <c r="OCM300" s="16" t="s">
        <v>1487</v>
      </c>
      <c r="OCN300" s="16" t="s">
        <v>1487</v>
      </c>
      <c r="OCO300" s="16" t="s">
        <v>1487</v>
      </c>
      <c r="OCP300" s="16" t="s">
        <v>1487</v>
      </c>
      <c r="OCQ300" s="16" t="s">
        <v>1487</v>
      </c>
      <c r="OCR300" s="16" t="s">
        <v>1487</v>
      </c>
      <c r="OCS300" s="16" t="s">
        <v>1487</v>
      </c>
      <c r="OCT300" s="16" t="s">
        <v>1487</v>
      </c>
      <c r="OCU300" s="16" t="s">
        <v>1487</v>
      </c>
      <c r="OCV300" s="16" t="s">
        <v>1487</v>
      </c>
      <c r="OCW300" s="16" t="s">
        <v>1487</v>
      </c>
      <c r="OCX300" s="16" t="s">
        <v>1487</v>
      </c>
      <c r="OCY300" s="16" t="s">
        <v>1487</v>
      </c>
      <c r="OCZ300" s="16" t="s">
        <v>1487</v>
      </c>
      <c r="ODA300" s="16" t="s">
        <v>1487</v>
      </c>
      <c r="ODB300" s="16" t="s">
        <v>1487</v>
      </c>
      <c r="ODC300" s="16" t="s">
        <v>1487</v>
      </c>
      <c r="ODD300" s="16" t="s">
        <v>1487</v>
      </c>
      <c r="ODE300" s="16" t="s">
        <v>1487</v>
      </c>
      <c r="ODF300" s="16" t="s">
        <v>1487</v>
      </c>
      <c r="ODG300" s="16" t="s">
        <v>1487</v>
      </c>
      <c r="ODH300" s="16" t="s">
        <v>1487</v>
      </c>
      <c r="ODI300" s="16" t="s">
        <v>1487</v>
      </c>
      <c r="ODJ300" s="16" t="s">
        <v>1487</v>
      </c>
      <c r="ODK300" s="16" t="s">
        <v>1487</v>
      </c>
      <c r="ODL300" s="16" t="s">
        <v>1487</v>
      </c>
      <c r="ODM300" s="16" t="s">
        <v>1487</v>
      </c>
      <c r="ODN300" s="16" t="s">
        <v>1487</v>
      </c>
      <c r="ODO300" s="16" t="s">
        <v>1487</v>
      </c>
      <c r="ODP300" s="16" t="s">
        <v>1487</v>
      </c>
      <c r="ODQ300" s="16" t="s">
        <v>1487</v>
      </c>
      <c r="ODR300" s="16" t="s">
        <v>1487</v>
      </c>
      <c r="ODS300" s="16" t="s">
        <v>1487</v>
      </c>
      <c r="ODT300" s="16" t="s">
        <v>1487</v>
      </c>
      <c r="ODU300" s="16" t="s">
        <v>1487</v>
      </c>
      <c r="ODV300" s="16" t="s">
        <v>1487</v>
      </c>
      <c r="ODW300" s="16" t="s">
        <v>1487</v>
      </c>
      <c r="ODX300" s="16" t="s">
        <v>1487</v>
      </c>
      <c r="ODY300" s="16" t="s">
        <v>1487</v>
      </c>
      <c r="ODZ300" s="16" t="s">
        <v>1487</v>
      </c>
      <c r="OEA300" s="16" t="s">
        <v>1487</v>
      </c>
      <c r="OEB300" s="16" t="s">
        <v>1487</v>
      </c>
      <c r="OEC300" s="16" t="s">
        <v>1487</v>
      </c>
      <c r="OED300" s="16" t="s">
        <v>1487</v>
      </c>
      <c r="OEE300" s="16" t="s">
        <v>1487</v>
      </c>
      <c r="OEF300" s="16" t="s">
        <v>1487</v>
      </c>
      <c r="OEG300" s="16" t="s">
        <v>1487</v>
      </c>
      <c r="OEH300" s="16" t="s">
        <v>1487</v>
      </c>
      <c r="OEI300" s="16" t="s">
        <v>1487</v>
      </c>
      <c r="OEJ300" s="16" t="s">
        <v>1487</v>
      </c>
      <c r="OEK300" s="16" t="s">
        <v>1487</v>
      </c>
      <c r="OEL300" s="16" t="s">
        <v>1487</v>
      </c>
      <c r="OEM300" s="16" t="s">
        <v>1487</v>
      </c>
      <c r="OEN300" s="16" t="s">
        <v>1487</v>
      </c>
      <c r="OEO300" s="16" t="s">
        <v>1487</v>
      </c>
      <c r="OEP300" s="16" t="s">
        <v>1487</v>
      </c>
      <c r="OEQ300" s="16" t="s">
        <v>1487</v>
      </c>
      <c r="OER300" s="16" t="s">
        <v>1487</v>
      </c>
      <c r="OES300" s="16" t="s">
        <v>1487</v>
      </c>
      <c r="OET300" s="16" t="s">
        <v>1487</v>
      </c>
      <c r="OEU300" s="16" t="s">
        <v>1487</v>
      </c>
      <c r="OEV300" s="16" t="s">
        <v>1487</v>
      </c>
      <c r="OEW300" s="16" t="s">
        <v>1487</v>
      </c>
      <c r="OEX300" s="16" t="s">
        <v>1487</v>
      </c>
      <c r="OEY300" s="16" t="s">
        <v>1487</v>
      </c>
      <c r="OEZ300" s="16" t="s">
        <v>1487</v>
      </c>
      <c r="OFA300" s="16" t="s">
        <v>1487</v>
      </c>
      <c r="OFB300" s="16" t="s">
        <v>1487</v>
      </c>
      <c r="OFC300" s="16" t="s">
        <v>1487</v>
      </c>
      <c r="OFD300" s="16" t="s">
        <v>1487</v>
      </c>
      <c r="OFE300" s="16" t="s">
        <v>1487</v>
      </c>
      <c r="OFF300" s="16" t="s">
        <v>1487</v>
      </c>
      <c r="OFG300" s="16" t="s">
        <v>1487</v>
      </c>
      <c r="OFH300" s="16" t="s">
        <v>1487</v>
      </c>
      <c r="OFI300" s="16" t="s">
        <v>1487</v>
      </c>
      <c r="OFJ300" s="16" t="s">
        <v>1487</v>
      </c>
      <c r="OFK300" s="16" t="s">
        <v>1487</v>
      </c>
      <c r="OFL300" s="16" t="s">
        <v>1487</v>
      </c>
      <c r="OFM300" s="16" t="s">
        <v>1487</v>
      </c>
      <c r="OFN300" s="16" t="s">
        <v>1487</v>
      </c>
      <c r="OFO300" s="16" t="s">
        <v>1487</v>
      </c>
      <c r="OFP300" s="16" t="s">
        <v>1487</v>
      </c>
      <c r="OFQ300" s="16" t="s">
        <v>1487</v>
      </c>
      <c r="OFR300" s="16" t="s">
        <v>1487</v>
      </c>
      <c r="OFS300" s="16" t="s">
        <v>1487</v>
      </c>
      <c r="OFT300" s="16" t="s">
        <v>1487</v>
      </c>
      <c r="OFU300" s="16" t="s">
        <v>1487</v>
      </c>
      <c r="OFV300" s="16" t="s">
        <v>1487</v>
      </c>
      <c r="OFW300" s="16" t="s">
        <v>1487</v>
      </c>
      <c r="OFX300" s="16" t="s">
        <v>1487</v>
      </c>
      <c r="OFY300" s="16" t="s">
        <v>1487</v>
      </c>
      <c r="OFZ300" s="16" t="s">
        <v>1487</v>
      </c>
      <c r="OGA300" s="16" t="s">
        <v>1487</v>
      </c>
      <c r="OGB300" s="16" t="s">
        <v>1487</v>
      </c>
      <c r="OGC300" s="16" t="s">
        <v>1487</v>
      </c>
      <c r="OGD300" s="16" t="s">
        <v>1487</v>
      </c>
      <c r="OGE300" s="16" t="s">
        <v>1487</v>
      </c>
      <c r="OGF300" s="16" t="s">
        <v>1487</v>
      </c>
      <c r="OGG300" s="16" t="s">
        <v>1487</v>
      </c>
      <c r="OGH300" s="16" t="s">
        <v>1487</v>
      </c>
      <c r="OGI300" s="16" t="s">
        <v>1487</v>
      </c>
      <c r="OGJ300" s="16" t="s">
        <v>1487</v>
      </c>
      <c r="OGK300" s="16" t="s">
        <v>1487</v>
      </c>
      <c r="OGL300" s="16" t="s">
        <v>1487</v>
      </c>
      <c r="OGM300" s="16" t="s">
        <v>1487</v>
      </c>
      <c r="OGN300" s="16" t="s">
        <v>1487</v>
      </c>
      <c r="OGO300" s="16" t="s">
        <v>1487</v>
      </c>
      <c r="OGP300" s="16" t="s">
        <v>1487</v>
      </c>
      <c r="OGQ300" s="16" t="s">
        <v>1487</v>
      </c>
      <c r="OGR300" s="16" t="s">
        <v>1487</v>
      </c>
      <c r="OGS300" s="16" t="s">
        <v>1487</v>
      </c>
      <c r="OGT300" s="16" t="s">
        <v>1487</v>
      </c>
      <c r="OGU300" s="16" t="s">
        <v>1487</v>
      </c>
      <c r="OGV300" s="16" t="s">
        <v>1487</v>
      </c>
      <c r="OGW300" s="16" t="s">
        <v>1487</v>
      </c>
      <c r="OGX300" s="16" t="s">
        <v>1487</v>
      </c>
      <c r="OGY300" s="16" t="s">
        <v>1487</v>
      </c>
      <c r="OGZ300" s="16" t="s">
        <v>1487</v>
      </c>
      <c r="OHA300" s="16" t="s">
        <v>1487</v>
      </c>
      <c r="OHB300" s="16" t="s">
        <v>1487</v>
      </c>
      <c r="OHC300" s="16" t="s">
        <v>1487</v>
      </c>
      <c r="OHD300" s="16" t="s">
        <v>1487</v>
      </c>
      <c r="OHE300" s="16" t="s">
        <v>1487</v>
      </c>
      <c r="OHF300" s="16" t="s">
        <v>1487</v>
      </c>
      <c r="OHG300" s="16" t="s">
        <v>1487</v>
      </c>
      <c r="OHH300" s="16" t="s">
        <v>1487</v>
      </c>
      <c r="OHI300" s="16" t="s">
        <v>1487</v>
      </c>
      <c r="OHJ300" s="16" t="s">
        <v>1487</v>
      </c>
      <c r="OHK300" s="16" t="s">
        <v>1487</v>
      </c>
      <c r="OHL300" s="16" t="s">
        <v>1487</v>
      </c>
      <c r="OHM300" s="16" t="s">
        <v>1487</v>
      </c>
      <c r="OHN300" s="16" t="s">
        <v>1487</v>
      </c>
      <c r="OHO300" s="16" t="s">
        <v>1487</v>
      </c>
      <c r="OHP300" s="16" t="s">
        <v>1487</v>
      </c>
      <c r="OHQ300" s="16" t="s">
        <v>1487</v>
      </c>
      <c r="OHR300" s="16" t="s">
        <v>1487</v>
      </c>
      <c r="OHS300" s="16" t="s">
        <v>1487</v>
      </c>
      <c r="OHT300" s="16" t="s">
        <v>1487</v>
      </c>
      <c r="OHU300" s="16" t="s">
        <v>1487</v>
      </c>
      <c r="OHV300" s="16" t="s">
        <v>1487</v>
      </c>
      <c r="OHW300" s="16" t="s">
        <v>1487</v>
      </c>
      <c r="OHX300" s="16" t="s">
        <v>1487</v>
      </c>
      <c r="OHY300" s="16" t="s">
        <v>1487</v>
      </c>
      <c r="OHZ300" s="16" t="s">
        <v>1487</v>
      </c>
      <c r="OIA300" s="16" t="s">
        <v>1487</v>
      </c>
      <c r="OIB300" s="16" t="s">
        <v>1487</v>
      </c>
      <c r="OIC300" s="16" t="s">
        <v>1487</v>
      </c>
      <c r="OID300" s="16" t="s">
        <v>1487</v>
      </c>
      <c r="OIE300" s="16" t="s">
        <v>1487</v>
      </c>
      <c r="OIF300" s="16" t="s">
        <v>1487</v>
      </c>
      <c r="OIG300" s="16" t="s">
        <v>1487</v>
      </c>
      <c r="OIH300" s="16" t="s">
        <v>1487</v>
      </c>
      <c r="OII300" s="16" t="s">
        <v>1487</v>
      </c>
      <c r="OIJ300" s="16" t="s">
        <v>1487</v>
      </c>
      <c r="OIK300" s="16" t="s">
        <v>1487</v>
      </c>
      <c r="OIL300" s="16" t="s">
        <v>1487</v>
      </c>
      <c r="OIM300" s="16" t="s">
        <v>1487</v>
      </c>
      <c r="OIN300" s="16" t="s">
        <v>1487</v>
      </c>
      <c r="OIO300" s="16" t="s">
        <v>1487</v>
      </c>
      <c r="OIP300" s="16" t="s">
        <v>1487</v>
      </c>
      <c r="OIQ300" s="16" t="s">
        <v>1487</v>
      </c>
      <c r="OIR300" s="16" t="s">
        <v>1487</v>
      </c>
      <c r="OIS300" s="16" t="s">
        <v>1487</v>
      </c>
      <c r="OIT300" s="16" t="s">
        <v>1487</v>
      </c>
      <c r="OIU300" s="16" t="s">
        <v>1487</v>
      </c>
      <c r="OIV300" s="16" t="s">
        <v>1487</v>
      </c>
      <c r="OIW300" s="16" t="s">
        <v>1487</v>
      </c>
      <c r="OIX300" s="16" t="s">
        <v>1487</v>
      </c>
      <c r="OIY300" s="16" t="s">
        <v>1487</v>
      </c>
      <c r="OIZ300" s="16" t="s">
        <v>1487</v>
      </c>
      <c r="OJA300" s="16" t="s">
        <v>1487</v>
      </c>
      <c r="OJB300" s="16" t="s">
        <v>1487</v>
      </c>
      <c r="OJC300" s="16" t="s">
        <v>1487</v>
      </c>
      <c r="OJD300" s="16" t="s">
        <v>1487</v>
      </c>
      <c r="OJE300" s="16" t="s">
        <v>1487</v>
      </c>
      <c r="OJF300" s="16" t="s">
        <v>1487</v>
      </c>
      <c r="OJG300" s="16" t="s">
        <v>1487</v>
      </c>
      <c r="OJH300" s="16" t="s">
        <v>1487</v>
      </c>
      <c r="OJI300" s="16" t="s">
        <v>1487</v>
      </c>
      <c r="OJJ300" s="16" t="s">
        <v>1487</v>
      </c>
      <c r="OJK300" s="16" t="s">
        <v>1487</v>
      </c>
      <c r="OJL300" s="16" t="s">
        <v>1487</v>
      </c>
      <c r="OJM300" s="16" t="s">
        <v>1487</v>
      </c>
      <c r="OJN300" s="16" t="s">
        <v>1487</v>
      </c>
      <c r="OJO300" s="16" t="s">
        <v>1487</v>
      </c>
      <c r="OJP300" s="16" t="s">
        <v>1487</v>
      </c>
      <c r="OJQ300" s="16" t="s">
        <v>1487</v>
      </c>
      <c r="OJR300" s="16" t="s">
        <v>1487</v>
      </c>
      <c r="OJS300" s="16" t="s">
        <v>1487</v>
      </c>
      <c r="OJT300" s="16" t="s">
        <v>1487</v>
      </c>
      <c r="OJU300" s="16" t="s">
        <v>1487</v>
      </c>
      <c r="OJV300" s="16" t="s">
        <v>1487</v>
      </c>
      <c r="OJW300" s="16" t="s">
        <v>1487</v>
      </c>
      <c r="OJX300" s="16" t="s">
        <v>1487</v>
      </c>
      <c r="OJY300" s="16" t="s">
        <v>1487</v>
      </c>
      <c r="OJZ300" s="16" t="s">
        <v>1487</v>
      </c>
      <c r="OKA300" s="16" t="s">
        <v>1487</v>
      </c>
      <c r="OKB300" s="16" t="s">
        <v>1487</v>
      </c>
      <c r="OKC300" s="16" t="s">
        <v>1487</v>
      </c>
      <c r="OKD300" s="16" t="s">
        <v>1487</v>
      </c>
      <c r="OKE300" s="16" t="s">
        <v>1487</v>
      </c>
      <c r="OKF300" s="16" t="s">
        <v>1487</v>
      </c>
      <c r="OKG300" s="16" t="s">
        <v>1487</v>
      </c>
      <c r="OKH300" s="16" t="s">
        <v>1487</v>
      </c>
      <c r="OKI300" s="16" t="s">
        <v>1487</v>
      </c>
      <c r="OKJ300" s="16" t="s">
        <v>1487</v>
      </c>
      <c r="OKK300" s="16" t="s">
        <v>1487</v>
      </c>
      <c r="OKL300" s="16" t="s">
        <v>1487</v>
      </c>
      <c r="OKM300" s="16" t="s">
        <v>1487</v>
      </c>
      <c r="OKN300" s="16" t="s">
        <v>1487</v>
      </c>
      <c r="OKO300" s="16" t="s">
        <v>1487</v>
      </c>
      <c r="OKP300" s="16" t="s">
        <v>1487</v>
      </c>
      <c r="OKQ300" s="16" t="s">
        <v>1487</v>
      </c>
      <c r="OKR300" s="16" t="s">
        <v>1487</v>
      </c>
      <c r="OKS300" s="16" t="s">
        <v>1487</v>
      </c>
      <c r="OKT300" s="16" t="s">
        <v>1487</v>
      </c>
      <c r="OKU300" s="16" t="s">
        <v>1487</v>
      </c>
      <c r="OKV300" s="16" t="s">
        <v>1487</v>
      </c>
      <c r="OKW300" s="16" t="s">
        <v>1487</v>
      </c>
      <c r="OKX300" s="16" t="s">
        <v>1487</v>
      </c>
      <c r="OKY300" s="16" t="s">
        <v>1487</v>
      </c>
      <c r="OKZ300" s="16" t="s">
        <v>1487</v>
      </c>
      <c r="OLA300" s="16" t="s">
        <v>1487</v>
      </c>
      <c r="OLB300" s="16" t="s">
        <v>1487</v>
      </c>
      <c r="OLC300" s="16" t="s">
        <v>1487</v>
      </c>
      <c r="OLD300" s="16" t="s">
        <v>1487</v>
      </c>
      <c r="OLE300" s="16" t="s">
        <v>1487</v>
      </c>
      <c r="OLF300" s="16" t="s">
        <v>1487</v>
      </c>
      <c r="OLG300" s="16" t="s">
        <v>1487</v>
      </c>
      <c r="OLH300" s="16" t="s">
        <v>1487</v>
      </c>
      <c r="OLI300" s="16" t="s">
        <v>1487</v>
      </c>
      <c r="OLJ300" s="16" t="s">
        <v>1487</v>
      </c>
      <c r="OLK300" s="16" t="s">
        <v>1487</v>
      </c>
      <c r="OLL300" s="16" t="s">
        <v>1487</v>
      </c>
      <c r="OLM300" s="16" t="s">
        <v>1487</v>
      </c>
      <c r="OLN300" s="16" t="s">
        <v>1487</v>
      </c>
      <c r="OLO300" s="16" t="s">
        <v>1487</v>
      </c>
      <c r="OLP300" s="16" t="s">
        <v>1487</v>
      </c>
      <c r="OLQ300" s="16" t="s">
        <v>1487</v>
      </c>
      <c r="OLR300" s="16" t="s">
        <v>1487</v>
      </c>
      <c r="OLS300" s="16" t="s">
        <v>1487</v>
      </c>
      <c r="OLT300" s="16" t="s">
        <v>1487</v>
      </c>
      <c r="OLU300" s="16" t="s">
        <v>1487</v>
      </c>
      <c r="OLV300" s="16" t="s">
        <v>1487</v>
      </c>
      <c r="OLW300" s="16" t="s">
        <v>1487</v>
      </c>
      <c r="OLX300" s="16" t="s">
        <v>1487</v>
      </c>
      <c r="OLY300" s="16" t="s">
        <v>1487</v>
      </c>
      <c r="OLZ300" s="16" t="s">
        <v>1487</v>
      </c>
      <c r="OMA300" s="16" t="s">
        <v>1487</v>
      </c>
      <c r="OMB300" s="16" t="s">
        <v>1487</v>
      </c>
      <c r="OMC300" s="16" t="s">
        <v>1487</v>
      </c>
      <c r="OMD300" s="16" t="s">
        <v>1487</v>
      </c>
      <c r="OME300" s="16" t="s">
        <v>1487</v>
      </c>
      <c r="OMF300" s="16" t="s">
        <v>1487</v>
      </c>
      <c r="OMG300" s="16" t="s">
        <v>1487</v>
      </c>
      <c r="OMH300" s="16" t="s">
        <v>1487</v>
      </c>
      <c r="OMI300" s="16" t="s">
        <v>1487</v>
      </c>
      <c r="OMJ300" s="16" t="s">
        <v>1487</v>
      </c>
      <c r="OMK300" s="16" t="s">
        <v>1487</v>
      </c>
      <c r="OML300" s="16" t="s">
        <v>1487</v>
      </c>
      <c r="OMM300" s="16" t="s">
        <v>1487</v>
      </c>
      <c r="OMN300" s="16" t="s">
        <v>1487</v>
      </c>
      <c r="OMO300" s="16" t="s">
        <v>1487</v>
      </c>
      <c r="OMP300" s="16" t="s">
        <v>1487</v>
      </c>
      <c r="OMQ300" s="16" t="s">
        <v>1487</v>
      </c>
      <c r="OMR300" s="16" t="s">
        <v>1487</v>
      </c>
      <c r="OMS300" s="16" t="s">
        <v>1487</v>
      </c>
      <c r="OMT300" s="16" t="s">
        <v>1487</v>
      </c>
      <c r="OMU300" s="16" t="s">
        <v>1487</v>
      </c>
      <c r="OMV300" s="16" t="s">
        <v>1487</v>
      </c>
      <c r="OMW300" s="16" t="s">
        <v>1487</v>
      </c>
      <c r="OMX300" s="16" t="s">
        <v>1487</v>
      </c>
      <c r="OMY300" s="16" t="s">
        <v>1487</v>
      </c>
      <c r="OMZ300" s="16" t="s">
        <v>1487</v>
      </c>
      <c r="ONA300" s="16" t="s">
        <v>1487</v>
      </c>
      <c r="ONB300" s="16" t="s">
        <v>1487</v>
      </c>
      <c r="ONC300" s="16" t="s">
        <v>1487</v>
      </c>
      <c r="OND300" s="16" t="s">
        <v>1487</v>
      </c>
      <c r="ONE300" s="16" t="s">
        <v>1487</v>
      </c>
      <c r="ONF300" s="16" t="s">
        <v>1487</v>
      </c>
      <c r="ONG300" s="16" t="s">
        <v>1487</v>
      </c>
      <c r="ONH300" s="16" t="s">
        <v>1487</v>
      </c>
      <c r="ONI300" s="16" t="s">
        <v>1487</v>
      </c>
      <c r="ONJ300" s="16" t="s">
        <v>1487</v>
      </c>
      <c r="ONK300" s="16" t="s">
        <v>1487</v>
      </c>
      <c r="ONL300" s="16" t="s">
        <v>1487</v>
      </c>
      <c r="ONM300" s="16" t="s">
        <v>1487</v>
      </c>
      <c r="ONN300" s="16" t="s">
        <v>1487</v>
      </c>
      <c r="ONO300" s="16" t="s">
        <v>1487</v>
      </c>
      <c r="ONP300" s="16" t="s">
        <v>1487</v>
      </c>
      <c r="ONQ300" s="16" t="s">
        <v>1487</v>
      </c>
      <c r="ONR300" s="16" t="s">
        <v>1487</v>
      </c>
      <c r="ONS300" s="16" t="s">
        <v>1487</v>
      </c>
      <c r="ONT300" s="16" t="s">
        <v>1487</v>
      </c>
      <c r="ONU300" s="16" t="s">
        <v>1487</v>
      </c>
      <c r="ONV300" s="16" t="s">
        <v>1487</v>
      </c>
      <c r="ONW300" s="16" t="s">
        <v>1487</v>
      </c>
      <c r="ONX300" s="16" t="s">
        <v>1487</v>
      </c>
      <c r="ONY300" s="16" t="s">
        <v>1487</v>
      </c>
      <c r="ONZ300" s="16" t="s">
        <v>1487</v>
      </c>
      <c r="OOA300" s="16" t="s">
        <v>1487</v>
      </c>
      <c r="OOB300" s="16" t="s">
        <v>1487</v>
      </c>
      <c r="OOC300" s="16" t="s">
        <v>1487</v>
      </c>
      <c r="OOD300" s="16" t="s">
        <v>1487</v>
      </c>
      <c r="OOE300" s="16" t="s">
        <v>1487</v>
      </c>
      <c r="OOF300" s="16" t="s">
        <v>1487</v>
      </c>
      <c r="OOG300" s="16" t="s">
        <v>1487</v>
      </c>
      <c r="OOH300" s="16" t="s">
        <v>1487</v>
      </c>
      <c r="OOI300" s="16" t="s">
        <v>1487</v>
      </c>
      <c r="OOJ300" s="16" t="s">
        <v>1487</v>
      </c>
      <c r="OOK300" s="16" t="s">
        <v>1487</v>
      </c>
      <c r="OOL300" s="16" t="s">
        <v>1487</v>
      </c>
      <c r="OOM300" s="16" t="s">
        <v>1487</v>
      </c>
      <c r="OON300" s="16" t="s">
        <v>1487</v>
      </c>
      <c r="OOO300" s="16" t="s">
        <v>1487</v>
      </c>
      <c r="OOP300" s="16" t="s">
        <v>1487</v>
      </c>
      <c r="OOQ300" s="16" t="s">
        <v>1487</v>
      </c>
      <c r="OOR300" s="16" t="s">
        <v>1487</v>
      </c>
      <c r="OOS300" s="16" t="s">
        <v>1487</v>
      </c>
      <c r="OOT300" s="16" t="s">
        <v>1487</v>
      </c>
      <c r="OOU300" s="16" t="s">
        <v>1487</v>
      </c>
      <c r="OOV300" s="16" t="s">
        <v>1487</v>
      </c>
      <c r="OOW300" s="16" t="s">
        <v>1487</v>
      </c>
      <c r="OOX300" s="16" t="s">
        <v>1487</v>
      </c>
      <c r="OOY300" s="16" t="s">
        <v>1487</v>
      </c>
      <c r="OOZ300" s="16" t="s">
        <v>1487</v>
      </c>
      <c r="OPA300" s="16" t="s">
        <v>1487</v>
      </c>
      <c r="OPB300" s="16" t="s">
        <v>1487</v>
      </c>
      <c r="OPC300" s="16" t="s">
        <v>1487</v>
      </c>
      <c r="OPD300" s="16" t="s">
        <v>1487</v>
      </c>
      <c r="OPE300" s="16" t="s">
        <v>1487</v>
      </c>
      <c r="OPF300" s="16" t="s">
        <v>1487</v>
      </c>
      <c r="OPG300" s="16" t="s">
        <v>1487</v>
      </c>
      <c r="OPH300" s="16" t="s">
        <v>1487</v>
      </c>
      <c r="OPI300" s="16" t="s">
        <v>1487</v>
      </c>
      <c r="OPJ300" s="16" t="s">
        <v>1487</v>
      </c>
      <c r="OPK300" s="16" t="s">
        <v>1487</v>
      </c>
      <c r="OPL300" s="16" t="s">
        <v>1487</v>
      </c>
      <c r="OPM300" s="16" t="s">
        <v>1487</v>
      </c>
      <c r="OPN300" s="16" t="s">
        <v>1487</v>
      </c>
      <c r="OPO300" s="16" t="s">
        <v>1487</v>
      </c>
      <c r="OPP300" s="16" t="s">
        <v>1487</v>
      </c>
      <c r="OPQ300" s="16" t="s">
        <v>1487</v>
      </c>
      <c r="OPR300" s="16" t="s">
        <v>1487</v>
      </c>
      <c r="OPS300" s="16" t="s">
        <v>1487</v>
      </c>
      <c r="OPT300" s="16" t="s">
        <v>1487</v>
      </c>
      <c r="OPU300" s="16" t="s">
        <v>1487</v>
      </c>
      <c r="OPV300" s="16" t="s">
        <v>1487</v>
      </c>
      <c r="OPW300" s="16" t="s">
        <v>1487</v>
      </c>
      <c r="OPX300" s="16" t="s">
        <v>1487</v>
      </c>
      <c r="OPY300" s="16" t="s">
        <v>1487</v>
      </c>
      <c r="OPZ300" s="16" t="s">
        <v>1487</v>
      </c>
      <c r="OQA300" s="16" t="s">
        <v>1487</v>
      </c>
      <c r="OQB300" s="16" t="s">
        <v>1487</v>
      </c>
      <c r="OQC300" s="16" t="s">
        <v>1487</v>
      </c>
      <c r="OQD300" s="16" t="s">
        <v>1487</v>
      </c>
      <c r="OQE300" s="16" t="s">
        <v>1487</v>
      </c>
      <c r="OQF300" s="16" t="s">
        <v>1487</v>
      </c>
      <c r="OQG300" s="16" t="s">
        <v>1487</v>
      </c>
      <c r="OQH300" s="16" t="s">
        <v>1487</v>
      </c>
      <c r="OQI300" s="16" t="s">
        <v>1487</v>
      </c>
      <c r="OQJ300" s="16" t="s">
        <v>1487</v>
      </c>
      <c r="OQK300" s="16" t="s">
        <v>1487</v>
      </c>
      <c r="OQL300" s="16" t="s">
        <v>1487</v>
      </c>
      <c r="OQM300" s="16" t="s">
        <v>1487</v>
      </c>
      <c r="OQN300" s="16" t="s">
        <v>1487</v>
      </c>
      <c r="OQO300" s="16" t="s">
        <v>1487</v>
      </c>
      <c r="OQP300" s="16" t="s">
        <v>1487</v>
      </c>
      <c r="OQQ300" s="16" t="s">
        <v>1487</v>
      </c>
      <c r="OQR300" s="16" t="s">
        <v>1487</v>
      </c>
      <c r="OQS300" s="16" t="s">
        <v>1487</v>
      </c>
      <c r="OQT300" s="16" t="s">
        <v>1487</v>
      </c>
      <c r="OQU300" s="16" t="s">
        <v>1487</v>
      </c>
      <c r="OQV300" s="16" t="s">
        <v>1487</v>
      </c>
      <c r="OQW300" s="16" t="s">
        <v>1487</v>
      </c>
      <c r="OQX300" s="16" t="s">
        <v>1487</v>
      </c>
      <c r="OQY300" s="16" t="s">
        <v>1487</v>
      </c>
      <c r="OQZ300" s="16" t="s">
        <v>1487</v>
      </c>
      <c r="ORA300" s="16" t="s">
        <v>1487</v>
      </c>
      <c r="ORB300" s="16" t="s">
        <v>1487</v>
      </c>
      <c r="ORC300" s="16" t="s">
        <v>1487</v>
      </c>
      <c r="ORD300" s="16" t="s">
        <v>1487</v>
      </c>
      <c r="ORE300" s="16" t="s">
        <v>1487</v>
      </c>
      <c r="ORF300" s="16" t="s">
        <v>1487</v>
      </c>
      <c r="ORG300" s="16" t="s">
        <v>1487</v>
      </c>
      <c r="ORH300" s="16" t="s">
        <v>1487</v>
      </c>
      <c r="ORI300" s="16" t="s">
        <v>1487</v>
      </c>
      <c r="ORJ300" s="16" t="s">
        <v>1487</v>
      </c>
      <c r="ORK300" s="16" t="s">
        <v>1487</v>
      </c>
      <c r="ORL300" s="16" t="s">
        <v>1487</v>
      </c>
      <c r="ORM300" s="16" t="s">
        <v>1487</v>
      </c>
      <c r="ORN300" s="16" t="s">
        <v>1487</v>
      </c>
      <c r="ORO300" s="16" t="s">
        <v>1487</v>
      </c>
      <c r="ORP300" s="16" t="s">
        <v>1487</v>
      </c>
      <c r="ORQ300" s="16" t="s">
        <v>1487</v>
      </c>
      <c r="ORR300" s="16" t="s">
        <v>1487</v>
      </c>
      <c r="ORS300" s="16" t="s">
        <v>1487</v>
      </c>
      <c r="ORT300" s="16" t="s">
        <v>1487</v>
      </c>
      <c r="ORU300" s="16" t="s">
        <v>1487</v>
      </c>
      <c r="ORV300" s="16" t="s">
        <v>1487</v>
      </c>
      <c r="ORW300" s="16" t="s">
        <v>1487</v>
      </c>
      <c r="ORX300" s="16" t="s">
        <v>1487</v>
      </c>
      <c r="ORY300" s="16" t="s">
        <v>1487</v>
      </c>
      <c r="ORZ300" s="16" t="s">
        <v>1487</v>
      </c>
      <c r="OSA300" s="16" t="s">
        <v>1487</v>
      </c>
      <c r="OSB300" s="16" t="s">
        <v>1487</v>
      </c>
      <c r="OSC300" s="16" t="s">
        <v>1487</v>
      </c>
      <c r="OSD300" s="16" t="s">
        <v>1487</v>
      </c>
      <c r="OSE300" s="16" t="s">
        <v>1487</v>
      </c>
      <c r="OSF300" s="16" t="s">
        <v>1487</v>
      </c>
      <c r="OSG300" s="16" t="s">
        <v>1487</v>
      </c>
      <c r="OSH300" s="16" t="s">
        <v>1487</v>
      </c>
      <c r="OSI300" s="16" t="s">
        <v>1487</v>
      </c>
      <c r="OSJ300" s="16" t="s">
        <v>1487</v>
      </c>
      <c r="OSK300" s="16" t="s">
        <v>1487</v>
      </c>
      <c r="OSL300" s="16" t="s">
        <v>1487</v>
      </c>
      <c r="OSM300" s="16" t="s">
        <v>1487</v>
      </c>
      <c r="OSN300" s="16" t="s">
        <v>1487</v>
      </c>
      <c r="OSO300" s="16" t="s">
        <v>1487</v>
      </c>
      <c r="OSP300" s="16" t="s">
        <v>1487</v>
      </c>
      <c r="OSQ300" s="16" t="s">
        <v>1487</v>
      </c>
      <c r="OSR300" s="16" t="s">
        <v>1487</v>
      </c>
      <c r="OSS300" s="16" t="s">
        <v>1487</v>
      </c>
      <c r="OST300" s="16" t="s">
        <v>1487</v>
      </c>
      <c r="OSU300" s="16" t="s">
        <v>1487</v>
      </c>
      <c r="OSV300" s="16" t="s">
        <v>1487</v>
      </c>
      <c r="OSW300" s="16" t="s">
        <v>1487</v>
      </c>
      <c r="OSX300" s="16" t="s">
        <v>1487</v>
      </c>
      <c r="OSY300" s="16" t="s">
        <v>1487</v>
      </c>
      <c r="OSZ300" s="16" t="s">
        <v>1487</v>
      </c>
      <c r="OTA300" s="16" t="s">
        <v>1487</v>
      </c>
      <c r="OTB300" s="16" t="s">
        <v>1487</v>
      </c>
      <c r="OTC300" s="16" t="s">
        <v>1487</v>
      </c>
      <c r="OTD300" s="16" t="s">
        <v>1487</v>
      </c>
      <c r="OTE300" s="16" t="s">
        <v>1487</v>
      </c>
      <c r="OTF300" s="16" t="s">
        <v>1487</v>
      </c>
      <c r="OTG300" s="16" t="s">
        <v>1487</v>
      </c>
      <c r="OTH300" s="16" t="s">
        <v>1487</v>
      </c>
      <c r="OTI300" s="16" t="s">
        <v>1487</v>
      </c>
      <c r="OTJ300" s="16" t="s">
        <v>1487</v>
      </c>
      <c r="OTK300" s="16" t="s">
        <v>1487</v>
      </c>
      <c r="OTL300" s="16" t="s">
        <v>1487</v>
      </c>
      <c r="OTM300" s="16" t="s">
        <v>1487</v>
      </c>
      <c r="OTN300" s="16" t="s">
        <v>1487</v>
      </c>
      <c r="OTO300" s="16" t="s">
        <v>1487</v>
      </c>
      <c r="OTP300" s="16" t="s">
        <v>1487</v>
      </c>
      <c r="OTQ300" s="16" t="s">
        <v>1487</v>
      </c>
      <c r="OTR300" s="16" t="s">
        <v>1487</v>
      </c>
      <c r="OTS300" s="16" t="s">
        <v>1487</v>
      </c>
      <c r="OTT300" s="16" t="s">
        <v>1487</v>
      </c>
      <c r="OTU300" s="16" t="s">
        <v>1487</v>
      </c>
      <c r="OTV300" s="16" t="s">
        <v>1487</v>
      </c>
      <c r="OTW300" s="16" t="s">
        <v>1487</v>
      </c>
      <c r="OTX300" s="16" t="s">
        <v>1487</v>
      </c>
      <c r="OTY300" s="16" t="s">
        <v>1487</v>
      </c>
      <c r="OTZ300" s="16" t="s">
        <v>1487</v>
      </c>
      <c r="OUA300" s="16" t="s">
        <v>1487</v>
      </c>
      <c r="OUB300" s="16" t="s">
        <v>1487</v>
      </c>
      <c r="OUC300" s="16" t="s">
        <v>1487</v>
      </c>
      <c r="OUD300" s="16" t="s">
        <v>1487</v>
      </c>
      <c r="OUE300" s="16" t="s">
        <v>1487</v>
      </c>
      <c r="OUF300" s="16" t="s">
        <v>1487</v>
      </c>
      <c r="OUG300" s="16" t="s">
        <v>1487</v>
      </c>
      <c r="OUH300" s="16" t="s">
        <v>1487</v>
      </c>
      <c r="OUI300" s="16" t="s">
        <v>1487</v>
      </c>
      <c r="OUJ300" s="16" t="s">
        <v>1487</v>
      </c>
      <c r="OUK300" s="16" t="s">
        <v>1487</v>
      </c>
      <c r="OUL300" s="16" t="s">
        <v>1487</v>
      </c>
      <c r="OUM300" s="16" t="s">
        <v>1487</v>
      </c>
      <c r="OUN300" s="16" t="s">
        <v>1487</v>
      </c>
      <c r="OUO300" s="16" t="s">
        <v>1487</v>
      </c>
      <c r="OUP300" s="16" t="s">
        <v>1487</v>
      </c>
      <c r="OUQ300" s="16" t="s">
        <v>1487</v>
      </c>
      <c r="OUR300" s="16" t="s">
        <v>1487</v>
      </c>
      <c r="OUS300" s="16" t="s">
        <v>1487</v>
      </c>
      <c r="OUT300" s="16" t="s">
        <v>1487</v>
      </c>
      <c r="OUU300" s="16" t="s">
        <v>1487</v>
      </c>
      <c r="OUV300" s="16" t="s">
        <v>1487</v>
      </c>
      <c r="OUW300" s="16" t="s">
        <v>1487</v>
      </c>
      <c r="OUX300" s="16" t="s">
        <v>1487</v>
      </c>
      <c r="OUY300" s="16" t="s">
        <v>1487</v>
      </c>
      <c r="OUZ300" s="16" t="s">
        <v>1487</v>
      </c>
      <c r="OVA300" s="16" t="s">
        <v>1487</v>
      </c>
      <c r="OVB300" s="16" t="s">
        <v>1487</v>
      </c>
      <c r="OVC300" s="16" t="s">
        <v>1487</v>
      </c>
      <c r="OVD300" s="16" t="s">
        <v>1487</v>
      </c>
      <c r="OVE300" s="16" t="s">
        <v>1487</v>
      </c>
      <c r="OVF300" s="16" t="s">
        <v>1487</v>
      </c>
      <c r="OVG300" s="16" t="s">
        <v>1487</v>
      </c>
      <c r="OVH300" s="16" t="s">
        <v>1487</v>
      </c>
      <c r="OVI300" s="16" t="s">
        <v>1487</v>
      </c>
      <c r="OVJ300" s="16" t="s">
        <v>1487</v>
      </c>
      <c r="OVK300" s="16" t="s">
        <v>1487</v>
      </c>
      <c r="OVL300" s="16" t="s">
        <v>1487</v>
      </c>
      <c r="OVM300" s="16" t="s">
        <v>1487</v>
      </c>
      <c r="OVN300" s="16" t="s">
        <v>1487</v>
      </c>
      <c r="OVO300" s="16" t="s">
        <v>1487</v>
      </c>
      <c r="OVP300" s="16" t="s">
        <v>1487</v>
      </c>
      <c r="OVQ300" s="16" t="s">
        <v>1487</v>
      </c>
      <c r="OVR300" s="16" t="s">
        <v>1487</v>
      </c>
      <c r="OVS300" s="16" t="s">
        <v>1487</v>
      </c>
      <c r="OVT300" s="16" t="s">
        <v>1487</v>
      </c>
      <c r="OVU300" s="16" t="s">
        <v>1487</v>
      </c>
      <c r="OVV300" s="16" t="s">
        <v>1487</v>
      </c>
      <c r="OVW300" s="16" t="s">
        <v>1487</v>
      </c>
      <c r="OVX300" s="16" t="s">
        <v>1487</v>
      </c>
      <c r="OVY300" s="16" t="s">
        <v>1487</v>
      </c>
      <c r="OVZ300" s="16" t="s">
        <v>1487</v>
      </c>
      <c r="OWA300" s="16" t="s">
        <v>1487</v>
      </c>
      <c r="OWB300" s="16" t="s">
        <v>1487</v>
      </c>
      <c r="OWC300" s="16" t="s">
        <v>1487</v>
      </c>
      <c r="OWD300" s="16" t="s">
        <v>1487</v>
      </c>
      <c r="OWE300" s="16" t="s">
        <v>1487</v>
      </c>
      <c r="OWF300" s="16" t="s">
        <v>1487</v>
      </c>
      <c r="OWG300" s="16" t="s">
        <v>1487</v>
      </c>
      <c r="OWH300" s="16" t="s">
        <v>1487</v>
      </c>
      <c r="OWI300" s="16" t="s">
        <v>1487</v>
      </c>
      <c r="OWJ300" s="16" t="s">
        <v>1487</v>
      </c>
      <c r="OWK300" s="16" t="s">
        <v>1487</v>
      </c>
      <c r="OWL300" s="16" t="s">
        <v>1487</v>
      </c>
      <c r="OWM300" s="16" t="s">
        <v>1487</v>
      </c>
      <c r="OWN300" s="16" t="s">
        <v>1487</v>
      </c>
      <c r="OWO300" s="16" t="s">
        <v>1487</v>
      </c>
      <c r="OWP300" s="16" t="s">
        <v>1487</v>
      </c>
      <c r="OWQ300" s="16" t="s">
        <v>1487</v>
      </c>
      <c r="OWR300" s="16" t="s">
        <v>1487</v>
      </c>
      <c r="OWS300" s="16" t="s">
        <v>1487</v>
      </c>
      <c r="OWT300" s="16" t="s">
        <v>1487</v>
      </c>
      <c r="OWU300" s="16" t="s">
        <v>1487</v>
      </c>
      <c r="OWV300" s="16" t="s">
        <v>1487</v>
      </c>
      <c r="OWW300" s="16" t="s">
        <v>1487</v>
      </c>
      <c r="OWX300" s="16" t="s">
        <v>1487</v>
      </c>
      <c r="OWY300" s="16" t="s">
        <v>1487</v>
      </c>
      <c r="OWZ300" s="16" t="s">
        <v>1487</v>
      </c>
      <c r="OXA300" s="16" t="s">
        <v>1487</v>
      </c>
      <c r="OXB300" s="16" t="s">
        <v>1487</v>
      </c>
      <c r="OXC300" s="16" t="s">
        <v>1487</v>
      </c>
      <c r="OXD300" s="16" t="s">
        <v>1487</v>
      </c>
      <c r="OXE300" s="16" t="s">
        <v>1487</v>
      </c>
      <c r="OXF300" s="16" t="s">
        <v>1487</v>
      </c>
      <c r="OXG300" s="16" t="s">
        <v>1487</v>
      </c>
      <c r="OXH300" s="16" t="s">
        <v>1487</v>
      </c>
      <c r="OXI300" s="16" t="s">
        <v>1487</v>
      </c>
      <c r="OXJ300" s="16" t="s">
        <v>1487</v>
      </c>
      <c r="OXK300" s="16" t="s">
        <v>1487</v>
      </c>
      <c r="OXL300" s="16" t="s">
        <v>1487</v>
      </c>
      <c r="OXM300" s="16" t="s">
        <v>1487</v>
      </c>
      <c r="OXN300" s="16" t="s">
        <v>1487</v>
      </c>
      <c r="OXO300" s="16" t="s">
        <v>1487</v>
      </c>
      <c r="OXP300" s="16" t="s">
        <v>1487</v>
      </c>
      <c r="OXQ300" s="16" t="s">
        <v>1487</v>
      </c>
      <c r="OXR300" s="16" t="s">
        <v>1487</v>
      </c>
      <c r="OXS300" s="16" t="s">
        <v>1487</v>
      </c>
      <c r="OXT300" s="16" t="s">
        <v>1487</v>
      </c>
      <c r="OXU300" s="16" t="s">
        <v>1487</v>
      </c>
      <c r="OXV300" s="16" t="s">
        <v>1487</v>
      </c>
      <c r="OXW300" s="16" t="s">
        <v>1487</v>
      </c>
      <c r="OXX300" s="16" t="s">
        <v>1487</v>
      </c>
      <c r="OXY300" s="16" t="s">
        <v>1487</v>
      </c>
      <c r="OXZ300" s="16" t="s">
        <v>1487</v>
      </c>
      <c r="OYA300" s="16" t="s">
        <v>1487</v>
      </c>
      <c r="OYB300" s="16" t="s">
        <v>1487</v>
      </c>
      <c r="OYC300" s="16" t="s">
        <v>1487</v>
      </c>
      <c r="OYD300" s="16" t="s">
        <v>1487</v>
      </c>
      <c r="OYE300" s="16" t="s">
        <v>1487</v>
      </c>
      <c r="OYF300" s="16" t="s">
        <v>1487</v>
      </c>
      <c r="OYG300" s="16" t="s">
        <v>1487</v>
      </c>
      <c r="OYH300" s="16" t="s">
        <v>1487</v>
      </c>
      <c r="OYI300" s="16" t="s">
        <v>1487</v>
      </c>
      <c r="OYJ300" s="16" t="s">
        <v>1487</v>
      </c>
      <c r="OYK300" s="16" t="s">
        <v>1487</v>
      </c>
      <c r="OYL300" s="16" t="s">
        <v>1487</v>
      </c>
      <c r="OYM300" s="16" t="s">
        <v>1487</v>
      </c>
      <c r="OYN300" s="16" t="s">
        <v>1487</v>
      </c>
      <c r="OYO300" s="16" t="s">
        <v>1487</v>
      </c>
      <c r="OYP300" s="16" t="s">
        <v>1487</v>
      </c>
      <c r="OYQ300" s="16" t="s">
        <v>1487</v>
      </c>
      <c r="OYR300" s="16" t="s">
        <v>1487</v>
      </c>
      <c r="OYS300" s="16" t="s">
        <v>1487</v>
      </c>
      <c r="OYT300" s="16" t="s">
        <v>1487</v>
      </c>
      <c r="OYU300" s="16" t="s">
        <v>1487</v>
      </c>
      <c r="OYV300" s="16" t="s">
        <v>1487</v>
      </c>
      <c r="OYW300" s="16" t="s">
        <v>1487</v>
      </c>
      <c r="OYX300" s="16" t="s">
        <v>1487</v>
      </c>
      <c r="OYY300" s="16" t="s">
        <v>1487</v>
      </c>
      <c r="OYZ300" s="16" t="s">
        <v>1487</v>
      </c>
      <c r="OZA300" s="16" t="s">
        <v>1487</v>
      </c>
      <c r="OZB300" s="16" t="s">
        <v>1487</v>
      </c>
      <c r="OZC300" s="16" t="s">
        <v>1487</v>
      </c>
      <c r="OZD300" s="16" t="s">
        <v>1487</v>
      </c>
      <c r="OZE300" s="16" t="s">
        <v>1487</v>
      </c>
      <c r="OZF300" s="16" t="s">
        <v>1487</v>
      </c>
      <c r="OZG300" s="16" t="s">
        <v>1487</v>
      </c>
      <c r="OZH300" s="16" t="s">
        <v>1487</v>
      </c>
      <c r="OZI300" s="16" t="s">
        <v>1487</v>
      </c>
      <c r="OZJ300" s="16" t="s">
        <v>1487</v>
      </c>
      <c r="OZK300" s="16" t="s">
        <v>1487</v>
      </c>
      <c r="OZL300" s="16" t="s">
        <v>1487</v>
      </c>
      <c r="OZM300" s="16" t="s">
        <v>1487</v>
      </c>
      <c r="OZN300" s="16" t="s">
        <v>1487</v>
      </c>
      <c r="OZO300" s="16" t="s">
        <v>1487</v>
      </c>
      <c r="OZP300" s="16" t="s">
        <v>1487</v>
      </c>
      <c r="OZQ300" s="16" t="s">
        <v>1487</v>
      </c>
      <c r="OZR300" s="16" t="s">
        <v>1487</v>
      </c>
      <c r="OZS300" s="16" t="s">
        <v>1487</v>
      </c>
      <c r="OZT300" s="16" t="s">
        <v>1487</v>
      </c>
      <c r="OZU300" s="16" t="s">
        <v>1487</v>
      </c>
      <c r="OZV300" s="16" t="s">
        <v>1487</v>
      </c>
      <c r="OZW300" s="16" t="s">
        <v>1487</v>
      </c>
      <c r="OZX300" s="16" t="s">
        <v>1487</v>
      </c>
      <c r="OZY300" s="16" t="s">
        <v>1487</v>
      </c>
      <c r="OZZ300" s="16" t="s">
        <v>1487</v>
      </c>
      <c r="PAA300" s="16" t="s">
        <v>1487</v>
      </c>
      <c r="PAB300" s="16" t="s">
        <v>1487</v>
      </c>
      <c r="PAC300" s="16" t="s">
        <v>1487</v>
      </c>
      <c r="PAD300" s="16" t="s">
        <v>1487</v>
      </c>
      <c r="PAE300" s="16" t="s">
        <v>1487</v>
      </c>
      <c r="PAF300" s="16" t="s">
        <v>1487</v>
      </c>
      <c r="PAG300" s="16" t="s">
        <v>1487</v>
      </c>
      <c r="PAH300" s="16" t="s">
        <v>1487</v>
      </c>
      <c r="PAI300" s="16" t="s">
        <v>1487</v>
      </c>
      <c r="PAJ300" s="16" t="s">
        <v>1487</v>
      </c>
      <c r="PAK300" s="16" t="s">
        <v>1487</v>
      </c>
      <c r="PAL300" s="16" t="s">
        <v>1487</v>
      </c>
      <c r="PAM300" s="16" t="s">
        <v>1487</v>
      </c>
      <c r="PAN300" s="16" t="s">
        <v>1487</v>
      </c>
      <c r="PAO300" s="16" t="s">
        <v>1487</v>
      </c>
      <c r="PAP300" s="16" t="s">
        <v>1487</v>
      </c>
      <c r="PAQ300" s="16" t="s">
        <v>1487</v>
      </c>
      <c r="PAR300" s="16" t="s">
        <v>1487</v>
      </c>
      <c r="PAS300" s="16" t="s">
        <v>1487</v>
      </c>
      <c r="PAT300" s="16" t="s">
        <v>1487</v>
      </c>
      <c r="PAU300" s="16" t="s">
        <v>1487</v>
      </c>
      <c r="PAV300" s="16" t="s">
        <v>1487</v>
      </c>
      <c r="PAW300" s="16" t="s">
        <v>1487</v>
      </c>
      <c r="PAX300" s="16" t="s">
        <v>1487</v>
      </c>
      <c r="PAY300" s="16" t="s">
        <v>1487</v>
      </c>
      <c r="PAZ300" s="16" t="s">
        <v>1487</v>
      </c>
      <c r="PBA300" s="16" t="s">
        <v>1487</v>
      </c>
      <c r="PBB300" s="16" t="s">
        <v>1487</v>
      </c>
      <c r="PBC300" s="16" t="s">
        <v>1487</v>
      </c>
      <c r="PBD300" s="16" t="s">
        <v>1487</v>
      </c>
      <c r="PBE300" s="16" t="s">
        <v>1487</v>
      </c>
      <c r="PBF300" s="16" t="s">
        <v>1487</v>
      </c>
      <c r="PBG300" s="16" t="s">
        <v>1487</v>
      </c>
      <c r="PBH300" s="16" t="s">
        <v>1487</v>
      </c>
      <c r="PBI300" s="16" t="s">
        <v>1487</v>
      </c>
      <c r="PBJ300" s="16" t="s">
        <v>1487</v>
      </c>
      <c r="PBK300" s="16" t="s">
        <v>1487</v>
      </c>
      <c r="PBL300" s="16" t="s">
        <v>1487</v>
      </c>
      <c r="PBM300" s="16" t="s">
        <v>1487</v>
      </c>
      <c r="PBN300" s="16" t="s">
        <v>1487</v>
      </c>
      <c r="PBO300" s="16" t="s">
        <v>1487</v>
      </c>
      <c r="PBP300" s="16" t="s">
        <v>1487</v>
      </c>
      <c r="PBQ300" s="16" t="s">
        <v>1487</v>
      </c>
      <c r="PBR300" s="16" t="s">
        <v>1487</v>
      </c>
      <c r="PBS300" s="16" t="s">
        <v>1487</v>
      </c>
      <c r="PBT300" s="16" t="s">
        <v>1487</v>
      </c>
      <c r="PBU300" s="16" t="s">
        <v>1487</v>
      </c>
      <c r="PBV300" s="16" t="s">
        <v>1487</v>
      </c>
      <c r="PBW300" s="16" t="s">
        <v>1487</v>
      </c>
      <c r="PBX300" s="16" t="s">
        <v>1487</v>
      </c>
      <c r="PBY300" s="16" t="s">
        <v>1487</v>
      </c>
      <c r="PBZ300" s="16" t="s">
        <v>1487</v>
      </c>
      <c r="PCA300" s="16" t="s">
        <v>1487</v>
      </c>
      <c r="PCB300" s="16" t="s">
        <v>1487</v>
      </c>
      <c r="PCC300" s="16" t="s">
        <v>1487</v>
      </c>
      <c r="PCD300" s="16" t="s">
        <v>1487</v>
      </c>
      <c r="PCE300" s="16" t="s">
        <v>1487</v>
      </c>
      <c r="PCF300" s="16" t="s">
        <v>1487</v>
      </c>
      <c r="PCG300" s="16" t="s">
        <v>1487</v>
      </c>
      <c r="PCH300" s="16" t="s">
        <v>1487</v>
      </c>
      <c r="PCI300" s="16" t="s">
        <v>1487</v>
      </c>
      <c r="PCJ300" s="16" t="s">
        <v>1487</v>
      </c>
      <c r="PCK300" s="16" t="s">
        <v>1487</v>
      </c>
      <c r="PCL300" s="16" t="s">
        <v>1487</v>
      </c>
      <c r="PCM300" s="16" t="s">
        <v>1487</v>
      </c>
      <c r="PCN300" s="16" t="s">
        <v>1487</v>
      </c>
      <c r="PCO300" s="16" t="s">
        <v>1487</v>
      </c>
      <c r="PCP300" s="16" t="s">
        <v>1487</v>
      </c>
      <c r="PCQ300" s="16" t="s">
        <v>1487</v>
      </c>
      <c r="PCR300" s="16" t="s">
        <v>1487</v>
      </c>
      <c r="PCS300" s="16" t="s">
        <v>1487</v>
      </c>
      <c r="PCT300" s="16" t="s">
        <v>1487</v>
      </c>
      <c r="PCU300" s="16" t="s">
        <v>1487</v>
      </c>
      <c r="PCV300" s="16" t="s">
        <v>1487</v>
      </c>
      <c r="PCW300" s="16" t="s">
        <v>1487</v>
      </c>
      <c r="PCX300" s="16" t="s">
        <v>1487</v>
      </c>
      <c r="PCY300" s="16" t="s">
        <v>1487</v>
      </c>
      <c r="PCZ300" s="16" t="s">
        <v>1487</v>
      </c>
      <c r="PDA300" s="16" t="s">
        <v>1487</v>
      </c>
      <c r="PDB300" s="16" t="s">
        <v>1487</v>
      </c>
      <c r="PDC300" s="16" t="s">
        <v>1487</v>
      </c>
      <c r="PDD300" s="16" t="s">
        <v>1487</v>
      </c>
      <c r="PDE300" s="16" t="s">
        <v>1487</v>
      </c>
      <c r="PDF300" s="16" t="s">
        <v>1487</v>
      </c>
      <c r="PDG300" s="16" t="s">
        <v>1487</v>
      </c>
      <c r="PDH300" s="16" t="s">
        <v>1487</v>
      </c>
      <c r="PDI300" s="16" t="s">
        <v>1487</v>
      </c>
      <c r="PDJ300" s="16" t="s">
        <v>1487</v>
      </c>
      <c r="PDK300" s="16" t="s">
        <v>1487</v>
      </c>
      <c r="PDL300" s="16" t="s">
        <v>1487</v>
      </c>
      <c r="PDM300" s="16" t="s">
        <v>1487</v>
      </c>
      <c r="PDN300" s="16" t="s">
        <v>1487</v>
      </c>
      <c r="PDO300" s="16" t="s">
        <v>1487</v>
      </c>
      <c r="PDP300" s="16" t="s">
        <v>1487</v>
      </c>
      <c r="PDQ300" s="16" t="s">
        <v>1487</v>
      </c>
      <c r="PDR300" s="16" t="s">
        <v>1487</v>
      </c>
      <c r="PDS300" s="16" t="s">
        <v>1487</v>
      </c>
      <c r="PDT300" s="16" t="s">
        <v>1487</v>
      </c>
      <c r="PDU300" s="16" t="s">
        <v>1487</v>
      </c>
      <c r="PDV300" s="16" t="s">
        <v>1487</v>
      </c>
      <c r="PDW300" s="16" t="s">
        <v>1487</v>
      </c>
      <c r="PDX300" s="16" t="s">
        <v>1487</v>
      </c>
      <c r="PDY300" s="16" t="s">
        <v>1487</v>
      </c>
      <c r="PDZ300" s="16" t="s">
        <v>1487</v>
      </c>
      <c r="PEA300" s="16" t="s">
        <v>1487</v>
      </c>
      <c r="PEB300" s="16" t="s">
        <v>1487</v>
      </c>
      <c r="PEC300" s="16" t="s">
        <v>1487</v>
      </c>
      <c r="PED300" s="16" t="s">
        <v>1487</v>
      </c>
      <c r="PEE300" s="16" t="s">
        <v>1487</v>
      </c>
      <c r="PEF300" s="16" t="s">
        <v>1487</v>
      </c>
      <c r="PEG300" s="16" t="s">
        <v>1487</v>
      </c>
      <c r="PEH300" s="16" t="s">
        <v>1487</v>
      </c>
      <c r="PEI300" s="16" t="s">
        <v>1487</v>
      </c>
      <c r="PEJ300" s="16" t="s">
        <v>1487</v>
      </c>
      <c r="PEK300" s="16" t="s">
        <v>1487</v>
      </c>
      <c r="PEL300" s="16" t="s">
        <v>1487</v>
      </c>
      <c r="PEM300" s="16" t="s">
        <v>1487</v>
      </c>
      <c r="PEN300" s="16" t="s">
        <v>1487</v>
      </c>
      <c r="PEO300" s="16" t="s">
        <v>1487</v>
      </c>
      <c r="PEP300" s="16" t="s">
        <v>1487</v>
      </c>
      <c r="PEQ300" s="16" t="s">
        <v>1487</v>
      </c>
      <c r="PER300" s="16" t="s">
        <v>1487</v>
      </c>
      <c r="PES300" s="16" t="s">
        <v>1487</v>
      </c>
      <c r="PET300" s="16" t="s">
        <v>1487</v>
      </c>
      <c r="PEU300" s="16" t="s">
        <v>1487</v>
      </c>
      <c r="PEV300" s="16" t="s">
        <v>1487</v>
      </c>
      <c r="PEW300" s="16" t="s">
        <v>1487</v>
      </c>
      <c r="PEX300" s="16" t="s">
        <v>1487</v>
      </c>
      <c r="PEY300" s="16" t="s">
        <v>1487</v>
      </c>
      <c r="PEZ300" s="16" t="s">
        <v>1487</v>
      </c>
      <c r="PFA300" s="16" t="s">
        <v>1487</v>
      </c>
      <c r="PFB300" s="16" t="s">
        <v>1487</v>
      </c>
      <c r="PFC300" s="16" t="s">
        <v>1487</v>
      </c>
      <c r="PFD300" s="16" t="s">
        <v>1487</v>
      </c>
      <c r="PFE300" s="16" t="s">
        <v>1487</v>
      </c>
      <c r="PFF300" s="16" t="s">
        <v>1487</v>
      </c>
      <c r="PFG300" s="16" t="s">
        <v>1487</v>
      </c>
      <c r="PFH300" s="16" t="s">
        <v>1487</v>
      </c>
      <c r="PFI300" s="16" t="s">
        <v>1487</v>
      </c>
      <c r="PFJ300" s="16" t="s">
        <v>1487</v>
      </c>
      <c r="PFK300" s="16" t="s">
        <v>1487</v>
      </c>
      <c r="PFL300" s="16" t="s">
        <v>1487</v>
      </c>
      <c r="PFM300" s="16" t="s">
        <v>1487</v>
      </c>
      <c r="PFN300" s="16" t="s">
        <v>1487</v>
      </c>
      <c r="PFO300" s="16" t="s">
        <v>1487</v>
      </c>
      <c r="PFP300" s="16" t="s">
        <v>1487</v>
      </c>
      <c r="PFQ300" s="16" t="s">
        <v>1487</v>
      </c>
      <c r="PFR300" s="16" t="s">
        <v>1487</v>
      </c>
      <c r="PFS300" s="16" t="s">
        <v>1487</v>
      </c>
      <c r="PFT300" s="16" t="s">
        <v>1487</v>
      </c>
      <c r="PFU300" s="16" t="s">
        <v>1487</v>
      </c>
      <c r="PFV300" s="16" t="s">
        <v>1487</v>
      </c>
      <c r="PFW300" s="16" t="s">
        <v>1487</v>
      </c>
      <c r="PFX300" s="16" t="s">
        <v>1487</v>
      </c>
      <c r="PFY300" s="16" t="s">
        <v>1487</v>
      </c>
      <c r="PFZ300" s="16" t="s">
        <v>1487</v>
      </c>
      <c r="PGA300" s="16" t="s">
        <v>1487</v>
      </c>
      <c r="PGB300" s="16" t="s">
        <v>1487</v>
      </c>
      <c r="PGC300" s="16" t="s">
        <v>1487</v>
      </c>
      <c r="PGD300" s="16" t="s">
        <v>1487</v>
      </c>
      <c r="PGE300" s="16" t="s">
        <v>1487</v>
      </c>
      <c r="PGF300" s="16" t="s">
        <v>1487</v>
      </c>
      <c r="PGG300" s="16" t="s">
        <v>1487</v>
      </c>
      <c r="PGH300" s="16" t="s">
        <v>1487</v>
      </c>
      <c r="PGI300" s="16" t="s">
        <v>1487</v>
      </c>
      <c r="PGJ300" s="16" t="s">
        <v>1487</v>
      </c>
      <c r="PGK300" s="16" t="s">
        <v>1487</v>
      </c>
      <c r="PGL300" s="16" t="s">
        <v>1487</v>
      </c>
      <c r="PGM300" s="16" t="s">
        <v>1487</v>
      </c>
      <c r="PGN300" s="16" t="s">
        <v>1487</v>
      </c>
      <c r="PGO300" s="16" t="s">
        <v>1487</v>
      </c>
      <c r="PGP300" s="16" t="s">
        <v>1487</v>
      </c>
      <c r="PGQ300" s="16" t="s">
        <v>1487</v>
      </c>
      <c r="PGR300" s="16" t="s">
        <v>1487</v>
      </c>
      <c r="PGS300" s="16" t="s">
        <v>1487</v>
      </c>
      <c r="PGT300" s="16" t="s">
        <v>1487</v>
      </c>
      <c r="PGU300" s="16" t="s">
        <v>1487</v>
      </c>
      <c r="PGV300" s="16" t="s">
        <v>1487</v>
      </c>
      <c r="PGW300" s="16" t="s">
        <v>1487</v>
      </c>
      <c r="PGX300" s="16" t="s">
        <v>1487</v>
      </c>
      <c r="PGY300" s="16" t="s">
        <v>1487</v>
      </c>
      <c r="PGZ300" s="16" t="s">
        <v>1487</v>
      </c>
      <c r="PHA300" s="16" t="s">
        <v>1487</v>
      </c>
      <c r="PHB300" s="16" t="s">
        <v>1487</v>
      </c>
      <c r="PHC300" s="16" t="s">
        <v>1487</v>
      </c>
      <c r="PHD300" s="16" t="s">
        <v>1487</v>
      </c>
      <c r="PHE300" s="16" t="s">
        <v>1487</v>
      </c>
      <c r="PHF300" s="16" t="s">
        <v>1487</v>
      </c>
      <c r="PHG300" s="16" t="s">
        <v>1487</v>
      </c>
      <c r="PHH300" s="16" t="s">
        <v>1487</v>
      </c>
      <c r="PHI300" s="16" t="s">
        <v>1487</v>
      </c>
      <c r="PHJ300" s="16" t="s">
        <v>1487</v>
      </c>
      <c r="PHK300" s="16" t="s">
        <v>1487</v>
      </c>
      <c r="PHL300" s="16" t="s">
        <v>1487</v>
      </c>
      <c r="PHM300" s="16" t="s">
        <v>1487</v>
      </c>
      <c r="PHN300" s="16" t="s">
        <v>1487</v>
      </c>
      <c r="PHO300" s="16" t="s">
        <v>1487</v>
      </c>
      <c r="PHP300" s="16" t="s">
        <v>1487</v>
      </c>
      <c r="PHQ300" s="16" t="s">
        <v>1487</v>
      </c>
      <c r="PHR300" s="16" t="s">
        <v>1487</v>
      </c>
      <c r="PHS300" s="16" t="s">
        <v>1487</v>
      </c>
      <c r="PHT300" s="16" t="s">
        <v>1487</v>
      </c>
      <c r="PHU300" s="16" t="s">
        <v>1487</v>
      </c>
      <c r="PHV300" s="16" t="s">
        <v>1487</v>
      </c>
      <c r="PHW300" s="16" t="s">
        <v>1487</v>
      </c>
      <c r="PHX300" s="16" t="s">
        <v>1487</v>
      </c>
      <c r="PHY300" s="16" t="s">
        <v>1487</v>
      </c>
      <c r="PHZ300" s="16" t="s">
        <v>1487</v>
      </c>
      <c r="PIA300" s="16" t="s">
        <v>1487</v>
      </c>
      <c r="PIB300" s="16" t="s">
        <v>1487</v>
      </c>
      <c r="PIC300" s="16" t="s">
        <v>1487</v>
      </c>
      <c r="PID300" s="16" t="s">
        <v>1487</v>
      </c>
      <c r="PIE300" s="16" t="s">
        <v>1487</v>
      </c>
      <c r="PIF300" s="16" t="s">
        <v>1487</v>
      </c>
      <c r="PIG300" s="16" t="s">
        <v>1487</v>
      </c>
      <c r="PIH300" s="16" t="s">
        <v>1487</v>
      </c>
      <c r="PII300" s="16" t="s">
        <v>1487</v>
      </c>
      <c r="PIJ300" s="16" t="s">
        <v>1487</v>
      </c>
      <c r="PIK300" s="16" t="s">
        <v>1487</v>
      </c>
      <c r="PIL300" s="16" t="s">
        <v>1487</v>
      </c>
      <c r="PIM300" s="16" t="s">
        <v>1487</v>
      </c>
      <c r="PIN300" s="16" t="s">
        <v>1487</v>
      </c>
      <c r="PIO300" s="16" t="s">
        <v>1487</v>
      </c>
      <c r="PIP300" s="16" t="s">
        <v>1487</v>
      </c>
      <c r="PIQ300" s="16" t="s">
        <v>1487</v>
      </c>
      <c r="PIR300" s="16" t="s">
        <v>1487</v>
      </c>
      <c r="PIS300" s="16" t="s">
        <v>1487</v>
      </c>
      <c r="PIT300" s="16" t="s">
        <v>1487</v>
      </c>
      <c r="PIU300" s="16" t="s">
        <v>1487</v>
      </c>
      <c r="PIV300" s="16" t="s">
        <v>1487</v>
      </c>
      <c r="PIW300" s="16" t="s">
        <v>1487</v>
      </c>
      <c r="PIX300" s="16" t="s">
        <v>1487</v>
      </c>
      <c r="PIY300" s="16" t="s">
        <v>1487</v>
      </c>
      <c r="PIZ300" s="16" t="s">
        <v>1487</v>
      </c>
      <c r="PJA300" s="16" t="s">
        <v>1487</v>
      </c>
      <c r="PJB300" s="16" t="s">
        <v>1487</v>
      </c>
      <c r="PJC300" s="16" t="s">
        <v>1487</v>
      </c>
      <c r="PJD300" s="16" t="s">
        <v>1487</v>
      </c>
      <c r="PJE300" s="16" t="s">
        <v>1487</v>
      </c>
      <c r="PJF300" s="16" t="s">
        <v>1487</v>
      </c>
      <c r="PJG300" s="16" t="s">
        <v>1487</v>
      </c>
      <c r="PJH300" s="16" t="s">
        <v>1487</v>
      </c>
      <c r="PJI300" s="16" t="s">
        <v>1487</v>
      </c>
      <c r="PJJ300" s="16" t="s">
        <v>1487</v>
      </c>
      <c r="PJK300" s="16" t="s">
        <v>1487</v>
      </c>
      <c r="PJL300" s="16" t="s">
        <v>1487</v>
      </c>
      <c r="PJM300" s="16" t="s">
        <v>1487</v>
      </c>
      <c r="PJN300" s="16" t="s">
        <v>1487</v>
      </c>
      <c r="PJO300" s="16" t="s">
        <v>1487</v>
      </c>
      <c r="PJP300" s="16" t="s">
        <v>1487</v>
      </c>
      <c r="PJQ300" s="16" t="s">
        <v>1487</v>
      </c>
      <c r="PJR300" s="16" t="s">
        <v>1487</v>
      </c>
      <c r="PJS300" s="16" t="s">
        <v>1487</v>
      </c>
      <c r="PJT300" s="16" t="s">
        <v>1487</v>
      </c>
      <c r="PJU300" s="16" t="s">
        <v>1487</v>
      </c>
      <c r="PJV300" s="16" t="s">
        <v>1487</v>
      </c>
      <c r="PJW300" s="16" t="s">
        <v>1487</v>
      </c>
      <c r="PJX300" s="16" t="s">
        <v>1487</v>
      </c>
      <c r="PJY300" s="16" t="s">
        <v>1487</v>
      </c>
      <c r="PJZ300" s="16" t="s">
        <v>1487</v>
      </c>
      <c r="PKA300" s="16" t="s">
        <v>1487</v>
      </c>
      <c r="PKB300" s="16" t="s">
        <v>1487</v>
      </c>
      <c r="PKC300" s="16" t="s">
        <v>1487</v>
      </c>
      <c r="PKD300" s="16" t="s">
        <v>1487</v>
      </c>
      <c r="PKE300" s="16" t="s">
        <v>1487</v>
      </c>
      <c r="PKF300" s="16" t="s">
        <v>1487</v>
      </c>
      <c r="PKG300" s="16" t="s">
        <v>1487</v>
      </c>
      <c r="PKH300" s="16" t="s">
        <v>1487</v>
      </c>
      <c r="PKI300" s="16" t="s">
        <v>1487</v>
      </c>
      <c r="PKJ300" s="16" t="s">
        <v>1487</v>
      </c>
      <c r="PKK300" s="16" t="s">
        <v>1487</v>
      </c>
      <c r="PKL300" s="16" t="s">
        <v>1487</v>
      </c>
      <c r="PKM300" s="16" t="s">
        <v>1487</v>
      </c>
      <c r="PKN300" s="16" t="s">
        <v>1487</v>
      </c>
      <c r="PKO300" s="16" t="s">
        <v>1487</v>
      </c>
      <c r="PKP300" s="16" t="s">
        <v>1487</v>
      </c>
      <c r="PKQ300" s="16" t="s">
        <v>1487</v>
      </c>
      <c r="PKR300" s="16" t="s">
        <v>1487</v>
      </c>
      <c r="PKS300" s="16" t="s">
        <v>1487</v>
      </c>
      <c r="PKT300" s="16" t="s">
        <v>1487</v>
      </c>
      <c r="PKU300" s="16" t="s">
        <v>1487</v>
      </c>
      <c r="PKV300" s="16" t="s">
        <v>1487</v>
      </c>
      <c r="PKW300" s="16" t="s">
        <v>1487</v>
      </c>
      <c r="PKX300" s="16" t="s">
        <v>1487</v>
      </c>
      <c r="PKY300" s="16" t="s">
        <v>1487</v>
      </c>
      <c r="PKZ300" s="16" t="s">
        <v>1487</v>
      </c>
      <c r="PLA300" s="16" t="s">
        <v>1487</v>
      </c>
      <c r="PLB300" s="16" t="s">
        <v>1487</v>
      </c>
      <c r="PLC300" s="16" t="s">
        <v>1487</v>
      </c>
      <c r="PLD300" s="16" t="s">
        <v>1487</v>
      </c>
      <c r="PLE300" s="16" t="s">
        <v>1487</v>
      </c>
      <c r="PLF300" s="16" t="s">
        <v>1487</v>
      </c>
      <c r="PLG300" s="16" t="s">
        <v>1487</v>
      </c>
      <c r="PLH300" s="16" t="s">
        <v>1487</v>
      </c>
      <c r="PLI300" s="16" t="s">
        <v>1487</v>
      </c>
      <c r="PLJ300" s="16" t="s">
        <v>1487</v>
      </c>
      <c r="PLK300" s="16" t="s">
        <v>1487</v>
      </c>
      <c r="PLL300" s="16" t="s">
        <v>1487</v>
      </c>
      <c r="PLM300" s="16" t="s">
        <v>1487</v>
      </c>
      <c r="PLN300" s="16" t="s">
        <v>1487</v>
      </c>
      <c r="PLO300" s="16" t="s">
        <v>1487</v>
      </c>
      <c r="PLP300" s="16" t="s">
        <v>1487</v>
      </c>
      <c r="PLQ300" s="16" t="s">
        <v>1487</v>
      </c>
      <c r="PLR300" s="16" t="s">
        <v>1487</v>
      </c>
      <c r="PLS300" s="16" t="s">
        <v>1487</v>
      </c>
      <c r="PLT300" s="16" t="s">
        <v>1487</v>
      </c>
      <c r="PLU300" s="16" t="s">
        <v>1487</v>
      </c>
      <c r="PLV300" s="16" t="s">
        <v>1487</v>
      </c>
      <c r="PLW300" s="16" t="s">
        <v>1487</v>
      </c>
      <c r="PLX300" s="16" t="s">
        <v>1487</v>
      </c>
      <c r="PLY300" s="16" t="s">
        <v>1487</v>
      </c>
      <c r="PLZ300" s="16" t="s">
        <v>1487</v>
      </c>
      <c r="PMA300" s="16" t="s">
        <v>1487</v>
      </c>
      <c r="PMB300" s="16" t="s">
        <v>1487</v>
      </c>
      <c r="PMC300" s="16" t="s">
        <v>1487</v>
      </c>
      <c r="PMD300" s="16" t="s">
        <v>1487</v>
      </c>
      <c r="PME300" s="16" t="s">
        <v>1487</v>
      </c>
      <c r="PMF300" s="16" t="s">
        <v>1487</v>
      </c>
      <c r="PMG300" s="16" t="s">
        <v>1487</v>
      </c>
      <c r="PMH300" s="16" t="s">
        <v>1487</v>
      </c>
      <c r="PMI300" s="16" t="s">
        <v>1487</v>
      </c>
      <c r="PMJ300" s="16" t="s">
        <v>1487</v>
      </c>
      <c r="PMK300" s="16" t="s">
        <v>1487</v>
      </c>
      <c r="PML300" s="16" t="s">
        <v>1487</v>
      </c>
      <c r="PMM300" s="16" t="s">
        <v>1487</v>
      </c>
      <c r="PMN300" s="16" t="s">
        <v>1487</v>
      </c>
      <c r="PMO300" s="16" t="s">
        <v>1487</v>
      </c>
      <c r="PMP300" s="16" t="s">
        <v>1487</v>
      </c>
      <c r="PMQ300" s="16" t="s">
        <v>1487</v>
      </c>
      <c r="PMR300" s="16" t="s">
        <v>1487</v>
      </c>
      <c r="PMS300" s="16" t="s">
        <v>1487</v>
      </c>
      <c r="PMT300" s="16" t="s">
        <v>1487</v>
      </c>
      <c r="PMU300" s="16" t="s">
        <v>1487</v>
      </c>
      <c r="PMV300" s="16" t="s">
        <v>1487</v>
      </c>
      <c r="PMW300" s="16" t="s">
        <v>1487</v>
      </c>
      <c r="PMX300" s="16" t="s">
        <v>1487</v>
      </c>
      <c r="PMY300" s="16" t="s">
        <v>1487</v>
      </c>
      <c r="PMZ300" s="16" t="s">
        <v>1487</v>
      </c>
      <c r="PNA300" s="16" t="s">
        <v>1487</v>
      </c>
      <c r="PNB300" s="16" t="s">
        <v>1487</v>
      </c>
      <c r="PNC300" s="16" t="s">
        <v>1487</v>
      </c>
      <c r="PND300" s="16" t="s">
        <v>1487</v>
      </c>
      <c r="PNE300" s="16" t="s">
        <v>1487</v>
      </c>
      <c r="PNF300" s="16" t="s">
        <v>1487</v>
      </c>
      <c r="PNG300" s="16" t="s">
        <v>1487</v>
      </c>
      <c r="PNH300" s="16" t="s">
        <v>1487</v>
      </c>
      <c r="PNI300" s="16" t="s">
        <v>1487</v>
      </c>
      <c r="PNJ300" s="16" t="s">
        <v>1487</v>
      </c>
      <c r="PNK300" s="16" t="s">
        <v>1487</v>
      </c>
      <c r="PNL300" s="16" t="s">
        <v>1487</v>
      </c>
      <c r="PNM300" s="16" t="s">
        <v>1487</v>
      </c>
      <c r="PNN300" s="16" t="s">
        <v>1487</v>
      </c>
      <c r="PNO300" s="16" t="s">
        <v>1487</v>
      </c>
      <c r="PNP300" s="16" t="s">
        <v>1487</v>
      </c>
      <c r="PNQ300" s="16" t="s">
        <v>1487</v>
      </c>
      <c r="PNR300" s="16" t="s">
        <v>1487</v>
      </c>
      <c r="PNS300" s="16" t="s">
        <v>1487</v>
      </c>
      <c r="PNT300" s="16" t="s">
        <v>1487</v>
      </c>
      <c r="PNU300" s="16" t="s">
        <v>1487</v>
      </c>
      <c r="PNV300" s="16" t="s">
        <v>1487</v>
      </c>
      <c r="PNW300" s="16" t="s">
        <v>1487</v>
      </c>
      <c r="PNX300" s="16" t="s">
        <v>1487</v>
      </c>
      <c r="PNY300" s="16" t="s">
        <v>1487</v>
      </c>
      <c r="PNZ300" s="16" t="s">
        <v>1487</v>
      </c>
      <c r="POA300" s="16" t="s">
        <v>1487</v>
      </c>
      <c r="POB300" s="16" t="s">
        <v>1487</v>
      </c>
      <c r="POC300" s="16" t="s">
        <v>1487</v>
      </c>
      <c r="POD300" s="16" t="s">
        <v>1487</v>
      </c>
      <c r="POE300" s="16" t="s">
        <v>1487</v>
      </c>
      <c r="POF300" s="16" t="s">
        <v>1487</v>
      </c>
      <c r="POG300" s="16" t="s">
        <v>1487</v>
      </c>
      <c r="POH300" s="16" t="s">
        <v>1487</v>
      </c>
      <c r="POI300" s="16" t="s">
        <v>1487</v>
      </c>
      <c r="POJ300" s="16" t="s">
        <v>1487</v>
      </c>
      <c r="POK300" s="16" t="s">
        <v>1487</v>
      </c>
      <c r="POL300" s="16" t="s">
        <v>1487</v>
      </c>
      <c r="POM300" s="16" t="s">
        <v>1487</v>
      </c>
      <c r="PON300" s="16" t="s">
        <v>1487</v>
      </c>
      <c r="POO300" s="16" t="s">
        <v>1487</v>
      </c>
      <c r="POP300" s="16" t="s">
        <v>1487</v>
      </c>
      <c r="POQ300" s="16" t="s">
        <v>1487</v>
      </c>
      <c r="POR300" s="16" t="s">
        <v>1487</v>
      </c>
      <c r="POS300" s="16" t="s">
        <v>1487</v>
      </c>
      <c r="POT300" s="16" t="s">
        <v>1487</v>
      </c>
      <c r="POU300" s="16" t="s">
        <v>1487</v>
      </c>
      <c r="POV300" s="16" t="s">
        <v>1487</v>
      </c>
      <c r="POW300" s="16" t="s">
        <v>1487</v>
      </c>
      <c r="POX300" s="16" t="s">
        <v>1487</v>
      </c>
      <c r="POY300" s="16" t="s">
        <v>1487</v>
      </c>
      <c r="POZ300" s="16" t="s">
        <v>1487</v>
      </c>
      <c r="PPA300" s="16" t="s">
        <v>1487</v>
      </c>
      <c r="PPB300" s="16" t="s">
        <v>1487</v>
      </c>
      <c r="PPC300" s="16" t="s">
        <v>1487</v>
      </c>
      <c r="PPD300" s="16" t="s">
        <v>1487</v>
      </c>
      <c r="PPE300" s="16" t="s">
        <v>1487</v>
      </c>
      <c r="PPF300" s="16" t="s">
        <v>1487</v>
      </c>
      <c r="PPG300" s="16" t="s">
        <v>1487</v>
      </c>
      <c r="PPH300" s="16" t="s">
        <v>1487</v>
      </c>
      <c r="PPI300" s="16" t="s">
        <v>1487</v>
      </c>
      <c r="PPJ300" s="16" t="s">
        <v>1487</v>
      </c>
      <c r="PPK300" s="16" t="s">
        <v>1487</v>
      </c>
      <c r="PPL300" s="16" t="s">
        <v>1487</v>
      </c>
      <c r="PPM300" s="16" t="s">
        <v>1487</v>
      </c>
      <c r="PPN300" s="16" t="s">
        <v>1487</v>
      </c>
      <c r="PPO300" s="16" t="s">
        <v>1487</v>
      </c>
      <c r="PPP300" s="16" t="s">
        <v>1487</v>
      </c>
      <c r="PPQ300" s="16" t="s">
        <v>1487</v>
      </c>
      <c r="PPR300" s="16" t="s">
        <v>1487</v>
      </c>
      <c r="PPS300" s="16" t="s">
        <v>1487</v>
      </c>
      <c r="PPT300" s="16" t="s">
        <v>1487</v>
      </c>
      <c r="PPU300" s="16" t="s">
        <v>1487</v>
      </c>
      <c r="PPV300" s="16" t="s">
        <v>1487</v>
      </c>
      <c r="PPW300" s="16" t="s">
        <v>1487</v>
      </c>
      <c r="PPX300" s="16" t="s">
        <v>1487</v>
      </c>
      <c r="PPY300" s="16" t="s">
        <v>1487</v>
      </c>
      <c r="PPZ300" s="16" t="s">
        <v>1487</v>
      </c>
      <c r="PQA300" s="16" t="s">
        <v>1487</v>
      </c>
      <c r="PQB300" s="16" t="s">
        <v>1487</v>
      </c>
      <c r="PQC300" s="16" t="s">
        <v>1487</v>
      </c>
      <c r="PQD300" s="16" t="s">
        <v>1487</v>
      </c>
      <c r="PQE300" s="16" t="s">
        <v>1487</v>
      </c>
      <c r="PQF300" s="16" t="s">
        <v>1487</v>
      </c>
      <c r="PQG300" s="16" t="s">
        <v>1487</v>
      </c>
      <c r="PQH300" s="16" t="s">
        <v>1487</v>
      </c>
      <c r="PQI300" s="16" t="s">
        <v>1487</v>
      </c>
      <c r="PQJ300" s="16" t="s">
        <v>1487</v>
      </c>
      <c r="PQK300" s="16" t="s">
        <v>1487</v>
      </c>
      <c r="PQL300" s="16" t="s">
        <v>1487</v>
      </c>
      <c r="PQM300" s="16" t="s">
        <v>1487</v>
      </c>
      <c r="PQN300" s="16" t="s">
        <v>1487</v>
      </c>
      <c r="PQO300" s="16" t="s">
        <v>1487</v>
      </c>
      <c r="PQP300" s="16" t="s">
        <v>1487</v>
      </c>
      <c r="PQQ300" s="16" t="s">
        <v>1487</v>
      </c>
      <c r="PQR300" s="16" t="s">
        <v>1487</v>
      </c>
      <c r="PQS300" s="16" t="s">
        <v>1487</v>
      </c>
      <c r="PQT300" s="16" t="s">
        <v>1487</v>
      </c>
      <c r="PQU300" s="16" t="s">
        <v>1487</v>
      </c>
      <c r="PQV300" s="16" t="s">
        <v>1487</v>
      </c>
      <c r="PQW300" s="16" t="s">
        <v>1487</v>
      </c>
      <c r="PQX300" s="16" t="s">
        <v>1487</v>
      </c>
      <c r="PQY300" s="16" t="s">
        <v>1487</v>
      </c>
      <c r="PQZ300" s="16" t="s">
        <v>1487</v>
      </c>
      <c r="PRA300" s="16" t="s">
        <v>1487</v>
      </c>
      <c r="PRB300" s="16" t="s">
        <v>1487</v>
      </c>
      <c r="PRC300" s="16" t="s">
        <v>1487</v>
      </c>
      <c r="PRD300" s="16" t="s">
        <v>1487</v>
      </c>
      <c r="PRE300" s="16" t="s">
        <v>1487</v>
      </c>
      <c r="PRF300" s="16" t="s">
        <v>1487</v>
      </c>
      <c r="PRG300" s="16" t="s">
        <v>1487</v>
      </c>
      <c r="PRH300" s="16" t="s">
        <v>1487</v>
      </c>
      <c r="PRI300" s="16" t="s">
        <v>1487</v>
      </c>
      <c r="PRJ300" s="16" t="s">
        <v>1487</v>
      </c>
      <c r="PRK300" s="16" t="s">
        <v>1487</v>
      </c>
      <c r="PRL300" s="16" t="s">
        <v>1487</v>
      </c>
      <c r="PRM300" s="16" t="s">
        <v>1487</v>
      </c>
      <c r="PRN300" s="16" t="s">
        <v>1487</v>
      </c>
      <c r="PRO300" s="16" t="s">
        <v>1487</v>
      </c>
      <c r="PRP300" s="16" t="s">
        <v>1487</v>
      </c>
      <c r="PRQ300" s="16" t="s">
        <v>1487</v>
      </c>
      <c r="PRR300" s="16" t="s">
        <v>1487</v>
      </c>
      <c r="PRS300" s="16" t="s">
        <v>1487</v>
      </c>
      <c r="PRT300" s="16" t="s">
        <v>1487</v>
      </c>
      <c r="PRU300" s="16" t="s">
        <v>1487</v>
      </c>
      <c r="PRV300" s="16" t="s">
        <v>1487</v>
      </c>
      <c r="PRW300" s="16" t="s">
        <v>1487</v>
      </c>
      <c r="PRX300" s="16" t="s">
        <v>1487</v>
      </c>
      <c r="PRY300" s="16" t="s">
        <v>1487</v>
      </c>
      <c r="PRZ300" s="16" t="s">
        <v>1487</v>
      </c>
      <c r="PSA300" s="16" t="s">
        <v>1487</v>
      </c>
      <c r="PSB300" s="16" t="s">
        <v>1487</v>
      </c>
      <c r="PSC300" s="16" t="s">
        <v>1487</v>
      </c>
      <c r="PSD300" s="16" t="s">
        <v>1487</v>
      </c>
      <c r="PSE300" s="16" t="s">
        <v>1487</v>
      </c>
      <c r="PSF300" s="16" t="s">
        <v>1487</v>
      </c>
      <c r="PSG300" s="16" t="s">
        <v>1487</v>
      </c>
      <c r="PSH300" s="16" t="s">
        <v>1487</v>
      </c>
      <c r="PSI300" s="16" t="s">
        <v>1487</v>
      </c>
      <c r="PSJ300" s="16" t="s">
        <v>1487</v>
      </c>
      <c r="PSK300" s="16" t="s">
        <v>1487</v>
      </c>
      <c r="PSL300" s="16" t="s">
        <v>1487</v>
      </c>
      <c r="PSM300" s="16" t="s">
        <v>1487</v>
      </c>
      <c r="PSN300" s="16" t="s">
        <v>1487</v>
      </c>
      <c r="PSO300" s="16" t="s">
        <v>1487</v>
      </c>
      <c r="PSP300" s="16" t="s">
        <v>1487</v>
      </c>
      <c r="PSQ300" s="16" t="s">
        <v>1487</v>
      </c>
      <c r="PSR300" s="16" t="s">
        <v>1487</v>
      </c>
      <c r="PSS300" s="16" t="s">
        <v>1487</v>
      </c>
      <c r="PST300" s="16" t="s">
        <v>1487</v>
      </c>
      <c r="PSU300" s="16" t="s">
        <v>1487</v>
      </c>
      <c r="PSV300" s="16" t="s">
        <v>1487</v>
      </c>
      <c r="PSW300" s="16" t="s">
        <v>1487</v>
      </c>
      <c r="PSX300" s="16" t="s">
        <v>1487</v>
      </c>
      <c r="PSY300" s="16" t="s">
        <v>1487</v>
      </c>
      <c r="PSZ300" s="16" t="s">
        <v>1487</v>
      </c>
      <c r="PTA300" s="16" t="s">
        <v>1487</v>
      </c>
      <c r="PTB300" s="16" t="s">
        <v>1487</v>
      </c>
      <c r="PTC300" s="16" t="s">
        <v>1487</v>
      </c>
      <c r="PTD300" s="16" t="s">
        <v>1487</v>
      </c>
      <c r="PTE300" s="16" t="s">
        <v>1487</v>
      </c>
      <c r="PTF300" s="16" t="s">
        <v>1487</v>
      </c>
      <c r="PTG300" s="16" t="s">
        <v>1487</v>
      </c>
      <c r="PTH300" s="16" t="s">
        <v>1487</v>
      </c>
      <c r="PTI300" s="16" t="s">
        <v>1487</v>
      </c>
      <c r="PTJ300" s="16" t="s">
        <v>1487</v>
      </c>
      <c r="PTK300" s="16" t="s">
        <v>1487</v>
      </c>
      <c r="PTL300" s="16" t="s">
        <v>1487</v>
      </c>
      <c r="PTM300" s="16" t="s">
        <v>1487</v>
      </c>
      <c r="PTN300" s="16" t="s">
        <v>1487</v>
      </c>
      <c r="PTO300" s="16" t="s">
        <v>1487</v>
      </c>
      <c r="PTP300" s="16" t="s">
        <v>1487</v>
      </c>
      <c r="PTQ300" s="16" t="s">
        <v>1487</v>
      </c>
      <c r="PTR300" s="16" t="s">
        <v>1487</v>
      </c>
      <c r="PTS300" s="16" t="s">
        <v>1487</v>
      </c>
      <c r="PTT300" s="16" t="s">
        <v>1487</v>
      </c>
      <c r="PTU300" s="16" t="s">
        <v>1487</v>
      </c>
      <c r="PTV300" s="16" t="s">
        <v>1487</v>
      </c>
      <c r="PTW300" s="16" t="s">
        <v>1487</v>
      </c>
      <c r="PTX300" s="16" t="s">
        <v>1487</v>
      </c>
      <c r="PTY300" s="16" t="s">
        <v>1487</v>
      </c>
      <c r="PTZ300" s="16" t="s">
        <v>1487</v>
      </c>
      <c r="PUA300" s="16" t="s">
        <v>1487</v>
      </c>
      <c r="PUB300" s="16" t="s">
        <v>1487</v>
      </c>
      <c r="PUC300" s="16" t="s">
        <v>1487</v>
      </c>
      <c r="PUD300" s="16" t="s">
        <v>1487</v>
      </c>
      <c r="PUE300" s="16" t="s">
        <v>1487</v>
      </c>
      <c r="PUF300" s="16" t="s">
        <v>1487</v>
      </c>
      <c r="PUG300" s="16" t="s">
        <v>1487</v>
      </c>
      <c r="PUH300" s="16" t="s">
        <v>1487</v>
      </c>
      <c r="PUI300" s="16" t="s">
        <v>1487</v>
      </c>
      <c r="PUJ300" s="16" t="s">
        <v>1487</v>
      </c>
      <c r="PUK300" s="16" t="s">
        <v>1487</v>
      </c>
      <c r="PUL300" s="16" t="s">
        <v>1487</v>
      </c>
      <c r="PUM300" s="16" t="s">
        <v>1487</v>
      </c>
      <c r="PUN300" s="16" t="s">
        <v>1487</v>
      </c>
      <c r="PUO300" s="16" t="s">
        <v>1487</v>
      </c>
      <c r="PUP300" s="16" t="s">
        <v>1487</v>
      </c>
      <c r="PUQ300" s="16" t="s">
        <v>1487</v>
      </c>
      <c r="PUR300" s="16" t="s">
        <v>1487</v>
      </c>
      <c r="PUS300" s="16" t="s">
        <v>1487</v>
      </c>
      <c r="PUT300" s="16" t="s">
        <v>1487</v>
      </c>
      <c r="PUU300" s="16" t="s">
        <v>1487</v>
      </c>
      <c r="PUV300" s="16" t="s">
        <v>1487</v>
      </c>
      <c r="PUW300" s="16" t="s">
        <v>1487</v>
      </c>
      <c r="PUX300" s="16" t="s">
        <v>1487</v>
      </c>
      <c r="PUY300" s="16" t="s">
        <v>1487</v>
      </c>
      <c r="PUZ300" s="16" t="s">
        <v>1487</v>
      </c>
      <c r="PVA300" s="16" t="s">
        <v>1487</v>
      </c>
      <c r="PVB300" s="16" t="s">
        <v>1487</v>
      </c>
      <c r="PVC300" s="16" t="s">
        <v>1487</v>
      </c>
      <c r="PVD300" s="16" t="s">
        <v>1487</v>
      </c>
      <c r="PVE300" s="16" t="s">
        <v>1487</v>
      </c>
      <c r="PVF300" s="16" t="s">
        <v>1487</v>
      </c>
      <c r="PVG300" s="16" t="s">
        <v>1487</v>
      </c>
      <c r="PVH300" s="16" t="s">
        <v>1487</v>
      </c>
      <c r="PVI300" s="16" t="s">
        <v>1487</v>
      </c>
      <c r="PVJ300" s="16" t="s">
        <v>1487</v>
      </c>
      <c r="PVK300" s="16" t="s">
        <v>1487</v>
      </c>
      <c r="PVL300" s="16" t="s">
        <v>1487</v>
      </c>
      <c r="PVM300" s="16" t="s">
        <v>1487</v>
      </c>
      <c r="PVN300" s="16" t="s">
        <v>1487</v>
      </c>
      <c r="PVO300" s="16" t="s">
        <v>1487</v>
      </c>
      <c r="PVP300" s="16" t="s">
        <v>1487</v>
      </c>
      <c r="PVQ300" s="16" t="s">
        <v>1487</v>
      </c>
      <c r="PVR300" s="16" t="s">
        <v>1487</v>
      </c>
      <c r="PVS300" s="16" t="s">
        <v>1487</v>
      </c>
      <c r="PVT300" s="16" t="s">
        <v>1487</v>
      </c>
      <c r="PVU300" s="16" t="s">
        <v>1487</v>
      </c>
      <c r="PVV300" s="16" t="s">
        <v>1487</v>
      </c>
      <c r="PVW300" s="16" t="s">
        <v>1487</v>
      </c>
      <c r="PVX300" s="16" t="s">
        <v>1487</v>
      </c>
      <c r="PVY300" s="16" t="s">
        <v>1487</v>
      </c>
      <c r="PVZ300" s="16" t="s">
        <v>1487</v>
      </c>
      <c r="PWA300" s="16" t="s">
        <v>1487</v>
      </c>
      <c r="PWB300" s="16" t="s">
        <v>1487</v>
      </c>
      <c r="PWC300" s="16" t="s">
        <v>1487</v>
      </c>
      <c r="PWD300" s="16" t="s">
        <v>1487</v>
      </c>
      <c r="PWE300" s="16" t="s">
        <v>1487</v>
      </c>
      <c r="PWF300" s="16" t="s">
        <v>1487</v>
      </c>
      <c r="PWG300" s="16" t="s">
        <v>1487</v>
      </c>
      <c r="PWH300" s="16" t="s">
        <v>1487</v>
      </c>
      <c r="PWI300" s="16" t="s">
        <v>1487</v>
      </c>
      <c r="PWJ300" s="16" t="s">
        <v>1487</v>
      </c>
      <c r="PWK300" s="16" t="s">
        <v>1487</v>
      </c>
      <c r="PWL300" s="16" t="s">
        <v>1487</v>
      </c>
      <c r="PWM300" s="16" t="s">
        <v>1487</v>
      </c>
      <c r="PWN300" s="16" t="s">
        <v>1487</v>
      </c>
      <c r="PWO300" s="16" t="s">
        <v>1487</v>
      </c>
      <c r="PWP300" s="16" t="s">
        <v>1487</v>
      </c>
      <c r="PWQ300" s="16" t="s">
        <v>1487</v>
      </c>
      <c r="PWR300" s="16" t="s">
        <v>1487</v>
      </c>
      <c r="PWS300" s="16" t="s">
        <v>1487</v>
      </c>
      <c r="PWT300" s="16" t="s">
        <v>1487</v>
      </c>
      <c r="PWU300" s="16" t="s">
        <v>1487</v>
      </c>
      <c r="PWV300" s="16" t="s">
        <v>1487</v>
      </c>
      <c r="PWW300" s="16" t="s">
        <v>1487</v>
      </c>
      <c r="PWX300" s="16" t="s">
        <v>1487</v>
      </c>
      <c r="PWY300" s="16" t="s">
        <v>1487</v>
      </c>
      <c r="PWZ300" s="16" t="s">
        <v>1487</v>
      </c>
      <c r="PXA300" s="16" t="s">
        <v>1487</v>
      </c>
      <c r="PXB300" s="16" t="s">
        <v>1487</v>
      </c>
      <c r="PXC300" s="16" t="s">
        <v>1487</v>
      </c>
      <c r="PXD300" s="16" t="s">
        <v>1487</v>
      </c>
      <c r="PXE300" s="16" t="s">
        <v>1487</v>
      </c>
      <c r="PXF300" s="16" t="s">
        <v>1487</v>
      </c>
      <c r="PXG300" s="16" t="s">
        <v>1487</v>
      </c>
      <c r="PXH300" s="16" t="s">
        <v>1487</v>
      </c>
      <c r="PXI300" s="16" t="s">
        <v>1487</v>
      </c>
      <c r="PXJ300" s="16" t="s">
        <v>1487</v>
      </c>
      <c r="PXK300" s="16" t="s">
        <v>1487</v>
      </c>
      <c r="PXL300" s="16" t="s">
        <v>1487</v>
      </c>
      <c r="PXM300" s="16" t="s">
        <v>1487</v>
      </c>
      <c r="PXN300" s="16" t="s">
        <v>1487</v>
      </c>
      <c r="PXO300" s="16" t="s">
        <v>1487</v>
      </c>
      <c r="PXP300" s="16" t="s">
        <v>1487</v>
      </c>
      <c r="PXQ300" s="16" t="s">
        <v>1487</v>
      </c>
      <c r="PXR300" s="16" t="s">
        <v>1487</v>
      </c>
      <c r="PXS300" s="16" t="s">
        <v>1487</v>
      </c>
      <c r="PXT300" s="16" t="s">
        <v>1487</v>
      </c>
      <c r="PXU300" s="16" t="s">
        <v>1487</v>
      </c>
      <c r="PXV300" s="16" t="s">
        <v>1487</v>
      </c>
      <c r="PXW300" s="16" t="s">
        <v>1487</v>
      </c>
      <c r="PXX300" s="16" t="s">
        <v>1487</v>
      </c>
      <c r="PXY300" s="16" t="s">
        <v>1487</v>
      </c>
      <c r="PXZ300" s="16" t="s">
        <v>1487</v>
      </c>
      <c r="PYA300" s="16" t="s">
        <v>1487</v>
      </c>
      <c r="PYB300" s="16" t="s">
        <v>1487</v>
      </c>
      <c r="PYC300" s="16" t="s">
        <v>1487</v>
      </c>
      <c r="PYD300" s="16" t="s">
        <v>1487</v>
      </c>
      <c r="PYE300" s="16" t="s">
        <v>1487</v>
      </c>
      <c r="PYF300" s="16" t="s">
        <v>1487</v>
      </c>
      <c r="PYG300" s="16" t="s">
        <v>1487</v>
      </c>
      <c r="PYH300" s="16" t="s">
        <v>1487</v>
      </c>
      <c r="PYI300" s="16" t="s">
        <v>1487</v>
      </c>
      <c r="PYJ300" s="16" t="s">
        <v>1487</v>
      </c>
      <c r="PYK300" s="16" t="s">
        <v>1487</v>
      </c>
      <c r="PYL300" s="16" t="s">
        <v>1487</v>
      </c>
      <c r="PYM300" s="16" t="s">
        <v>1487</v>
      </c>
      <c r="PYN300" s="16" t="s">
        <v>1487</v>
      </c>
      <c r="PYO300" s="16" t="s">
        <v>1487</v>
      </c>
      <c r="PYP300" s="16" t="s">
        <v>1487</v>
      </c>
      <c r="PYQ300" s="16" t="s">
        <v>1487</v>
      </c>
      <c r="PYR300" s="16" t="s">
        <v>1487</v>
      </c>
      <c r="PYS300" s="16" t="s">
        <v>1487</v>
      </c>
      <c r="PYT300" s="16" t="s">
        <v>1487</v>
      </c>
      <c r="PYU300" s="16" t="s">
        <v>1487</v>
      </c>
      <c r="PYV300" s="16" t="s">
        <v>1487</v>
      </c>
      <c r="PYW300" s="16" t="s">
        <v>1487</v>
      </c>
      <c r="PYX300" s="16" t="s">
        <v>1487</v>
      </c>
      <c r="PYY300" s="16" t="s">
        <v>1487</v>
      </c>
      <c r="PYZ300" s="16" t="s">
        <v>1487</v>
      </c>
      <c r="PZA300" s="16" t="s">
        <v>1487</v>
      </c>
      <c r="PZB300" s="16" t="s">
        <v>1487</v>
      </c>
      <c r="PZC300" s="16" t="s">
        <v>1487</v>
      </c>
      <c r="PZD300" s="16" t="s">
        <v>1487</v>
      </c>
      <c r="PZE300" s="16" t="s">
        <v>1487</v>
      </c>
      <c r="PZF300" s="16" t="s">
        <v>1487</v>
      </c>
      <c r="PZG300" s="16" t="s">
        <v>1487</v>
      </c>
      <c r="PZH300" s="16" t="s">
        <v>1487</v>
      </c>
      <c r="PZI300" s="16" t="s">
        <v>1487</v>
      </c>
      <c r="PZJ300" s="16" t="s">
        <v>1487</v>
      </c>
      <c r="PZK300" s="16" t="s">
        <v>1487</v>
      </c>
      <c r="PZL300" s="16" t="s">
        <v>1487</v>
      </c>
      <c r="PZM300" s="16" t="s">
        <v>1487</v>
      </c>
      <c r="PZN300" s="16" t="s">
        <v>1487</v>
      </c>
      <c r="PZO300" s="16" t="s">
        <v>1487</v>
      </c>
      <c r="PZP300" s="16" t="s">
        <v>1487</v>
      </c>
      <c r="PZQ300" s="16" t="s">
        <v>1487</v>
      </c>
      <c r="PZR300" s="16" t="s">
        <v>1487</v>
      </c>
      <c r="PZS300" s="16" t="s">
        <v>1487</v>
      </c>
      <c r="PZT300" s="16" t="s">
        <v>1487</v>
      </c>
      <c r="PZU300" s="16" t="s">
        <v>1487</v>
      </c>
      <c r="PZV300" s="16" t="s">
        <v>1487</v>
      </c>
      <c r="PZW300" s="16" t="s">
        <v>1487</v>
      </c>
      <c r="PZX300" s="16" t="s">
        <v>1487</v>
      </c>
      <c r="PZY300" s="16" t="s">
        <v>1487</v>
      </c>
      <c r="PZZ300" s="16" t="s">
        <v>1487</v>
      </c>
      <c r="QAA300" s="16" t="s">
        <v>1487</v>
      </c>
      <c r="QAB300" s="16" t="s">
        <v>1487</v>
      </c>
      <c r="QAC300" s="16" t="s">
        <v>1487</v>
      </c>
      <c r="QAD300" s="16" t="s">
        <v>1487</v>
      </c>
      <c r="QAE300" s="16" t="s">
        <v>1487</v>
      </c>
      <c r="QAF300" s="16" t="s">
        <v>1487</v>
      </c>
      <c r="QAG300" s="16" t="s">
        <v>1487</v>
      </c>
      <c r="QAH300" s="16" t="s">
        <v>1487</v>
      </c>
      <c r="QAI300" s="16" t="s">
        <v>1487</v>
      </c>
      <c r="QAJ300" s="16" t="s">
        <v>1487</v>
      </c>
      <c r="QAK300" s="16" t="s">
        <v>1487</v>
      </c>
      <c r="QAL300" s="16" t="s">
        <v>1487</v>
      </c>
      <c r="QAM300" s="16" t="s">
        <v>1487</v>
      </c>
      <c r="QAN300" s="16" t="s">
        <v>1487</v>
      </c>
      <c r="QAO300" s="16" t="s">
        <v>1487</v>
      </c>
      <c r="QAP300" s="16" t="s">
        <v>1487</v>
      </c>
      <c r="QAQ300" s="16" t="s">
        <v>1487</v>
      </c>
      <c r="QAR300" s="16" t="s">
        <v>1487</v>
      </c>
      <c r="QAS300" s="16" t="s">
        <v>1487</v>
      </c>
      <c r="QAT300" s="16" t="s">
        <v>1487</v>
      </c>
      <c r="QAU300" s="16" t="s">
        <v>1487</v>
      </c>
      <c r="QAV300" s="16" t="s">
        <v>1487</v>
      </c>
      <c r="QAW300" s="16" t="s">
        <v>1487</v>
      </c>
      <c r="QAX300" s="16" t="s">
        <v>1487</v>
      </c>
      <c r="QAY300" s="16" t="s">
        <v>1487</v>
      </c>
      <c r="QAZ300" s="16" t="s">
        <v>1487</v>
      </c>
      <c r="QBA300" s="16" t="s">
        <v>1487</v>
      </c>
      <c r="QBB300" s="16" t="s">
        <v>1487</v>
      </c>
      <c r="QBC300" s="16" t="s">
        <v>1487</v>
      </c>
      <c r="QBD300" s="16" t="s">
        <v>1487</v>
      </c>
      <c r="QBE300" s="16" t="s">
        <v>1487</v>
      </c>
      <c r="QBF300" s="16" t="s">
        <v>1487</v>
      </c>
      <c r="QBG300" s="16" t="s">
        <v>1487</v>
      </c>
      <c r="QBH300" s="16" t="s">
        <v>1487</v>
      </c>
      <c r="QBI300" s="16" t="s">
        <v>1487</v>
      </c>
      <c r="QBJ300" s="16" t="s">
        <v>1487</v>
      </c>
      <c r="QBK300" s="16" t="s">
        <v>1487</v>
      </c>
      <c r="QBL300" s="16" t="s">
        <v>1487</v>
      </c>
      <c r="QBM300" s="16" t="s">
        <v>1487</v>
      </c>
      <c r="QBN300" s="16" t="s">
        <v>1487</v>
      </c>
      <c r="QBO300" s="16" t="s">
        <v>1487</v>
      </c>
      <c r="QBP300" s="16" t="s">
        <v>1487</v>
      </c>
      <c r="QBQ300" s="16" t="s">
        <v>1487</v>
      </c>
      <c r="QBR300" s="16" t="s">
        <v>1487</v>
      </c>
      <c r="QBS300" s="16" t="s">
        <v>1487</v>
      </c>
      <c r="QBT300" s="16" t="s">
        <v>1487</v>
      </c>
      <c r="QBU300" s="16" t="s">
        <v>1487</v>
      </c>
      <c r="QBV300" s="16" t="s">
        <v>1487</v>
      </c>
      <c r="QBW300" s="16" t="s">
        <v>1487</v>
      </c>
      <c r="QBX300" s="16" t="s">
        <v>1487</v>
      </c>
      <c r="QBY300" s="16" t="s">
        <v>1487</v>
      </c>
      <c r="QBZ300" s="16" t="s">
        <v>1487</v>
      </c>
      <c r="QCA300" s="16" t="s">
        <v>1487</v>
      </c>
      <c r="QCB300" s="16" t="s">
        <v>1487</v>
      </c>
      <c r="QCC300" s="16" t="s">
        <v>1487</v>
      </c>
      <c r="QCD300" s="16" t="s">
        <v>1487</v>
      </c>
      <c r="QCE300" s="16" t="s">
        <v>1487</v>
      </c>
      <c r="QCF300" s="16" t="s">
        <v>1487</v>
      </c>
      <c r="QCG300" s="16" t="s">
        <v>1487</v>
      </c>
      <c r="QCH300" s="16" t="s">
        <v>1487</v>
      </c>
      <c r="QCI300" s="16" t="s">
        <v>1487</v>
      </c>
      <c r="QCJ300" s="16" t="s">
        <v>1487</v>
      </c>
      <c r="QCK300" s="16" t="s">
        <v>1487</v>
      </c>
      <c r="QCL300" s="16" t="s">
        <v>1487</v>
      </c>
      <c r="QCM300" s="16" t="s">
        <v>1487</v>
      </c>
      <c r="QCN300" s="16" t="s">
        <v>1487</v>
      </c>
      <c r="QCO300" s="16" t="s">
        <v>1487</v>
      </c>
      <c r="QCP300" s="16" t="s">
        <v>1487</v>
      </c>
      <c r="QCQ300" s="16" t="s">
        <v>1487</v>
      </c>
      <c r="QCR300" s="16" t="s">
        <v>1487</v>
      </c>
      <c r="QCS300" s="16" t="s">
        <v>1487</v>
      </c>
      <c r="QCT300" s="16" t="s">
        <v>1487</v>
      </c>
      <c r="QCU300" s="16" t="s">
        <v>1487</v>
      </c>
      <c r="QCV300" s="16" t="s">
        <v>1487</v>
      </c>
      <c r="QCW300" s="16" t="s">
        <v>1487</v>
      </c>
      <c r="QCX300" s="16" t="s">
        <v>1487</v>
      </c>
      <c r="QCY300" s="16" t="s">
        <v>1487</v>
      </c>
      <c r="QCZ300" s="16" t="s">
        <v>1487</v>
      </c>
      <c r="QDA300" s="16" t="s">
        <v>1487</v>
      </c>
      <c r="QDB300" s="16" t="s">
        <v>1487</v>
      </c>
      <c r="QDC300" s="16" t="s">
        <v>1487</v>
      </c>
      <c r="QDD300" s="16" t="s">
        <v>1487</v>
      </c>
      <c r="QDE300" s="16" t="s">
        <v>1487</v>
      </c>
      <c r="QDF300" s="16" t="s">
        <v>1487</v>
      </c>
      <c r="QDG300" s="16" t="s">
        <v>1487</v>
      </c>
      <c r="QDH300" s="16" t="s">
        <v>1487</v>
      </c>
      <c r="QDI300" s="16" t="s">
        <v>1487</v>
      </c>
      <c r="QDJ300" s="16" t="s">
        <v>1487</v>
      </c>
      <c r="QDK300" s="16" t="s">
        <v>1487</v>
      </c>
      <c r="QDL300" s="16" t="s">
        <v>1487</v>
      </c>
      <c r="QDM300" s="16" t="s">
        <v>1487</v>
      </c>
      <c r="QDN300" s="16" t="s">
        <v>1487</v>
      </c>
      <c r="QDO300" s="16" t="s">
        <v>1487</v>
      </c>
      <c r="QDP300" s="16" t="s">
        <v>1487</v>
      </c>
      <c r="QDQ300" s="16" t="s">
        <v>1487</v>
      </c>
      <c r="QDR300" s="16" t="s">
        <v>1487</v>
      </c>
      <c r="QDS300" s="16" t="s">
        <v>1487</v>
      </c>
      <c r="QDT300" s="16" t="s">
        <v>1487</v>
      </c>
      <c r="QDU300" s="16" t="s">
        <v>1487</v>
      </c>
      <c r="QDV300" s="16" t="s">
        <v>1487</v>
      </c>
      <c r="QDW300" s="16" t="s">
        <v>1487</v>
      </c>
      <c r="QDX300" s="16" t="s">
        <v>1487</v>
      </c>
      <c r="QDY300" s="16" t="s">
        <v>1487</v>
      </c>
      <c r="QDZ300" s="16" t="s">
        <v>1487</v>
      </c>
      <c r="QEA300" s="16" t="s">
        <v>1487</v>
      </c>
      <c r="QEB300" s="16" t="s">
        <v>1487</v>
      </c>
      <c r="QEC300" s="16" t="s">
        <v>1487</v>
      </c>
      <c r="QED300" s="16" t="s">
        <v>1487</v>
      </c>
      <c r="QEE300" s="16" t="s">
        <v>1487</v>
      </c>
      <c r="QEF300" s="16" t="s">
        <v>1487</v>
      </c>
      <c r="QEG300" s="16" t="s">
        <v>1487</v>
      </c>
      <c r="QEH300" s="16" t="s">
        <v>1487</v>
      </c>
      <c r="QEI300" s="16" t="s">
        <v>1487</v>
      </c>
      <c r="QEJ300" s="16" t="s">
        <v>1487</v>
      </c>
      <c r="QEK300" s="16" t="s">
        <v>1487</v>
      </c>
      <c r="QEL300" s="16" t="s">
        <v>1487</v>
      </c>
      <c r="QEM300" s="16" t="s">
        <v>1487</v>
      </c>
      <c r="QEN300" s="16" t="s">
        <v>1487</v>
      </c>
      <c r="QEO300" s="16" t="s">
        <v>1487</v>
      </c>
      <c r="QEP300" s="16" t="s">
        <v>1487</v>
      </c>
      <c r="QEQ300" s="16" t="s">
        <v>1487</v>
      </c>
      <c r="QER300" s="16" t="s">
        <v>1487</v>
      </c>
      <c r="QES300" s="16" t="s">
        <v>1487</v>
      </c>
      <c r="QET300" s="16" t="s">
        <v>1487</v>
      </c>
      <c r="QEU300" s="16" t="s">
        <v>1487</v>
      </c>
      <c r="QEV300" s="16" t="s">
        <v>1487</v>
      </c>
      <c r="QEW300" s="16" t="s">
        <v>1487</v>
      </c>
      <c r="QEX300" s="16" t="s">
        <v>1487</v>
      </c>
      <c r="QEY300" s="16" t="s">
        <v>1487</v>
      </c>
      <c r="QEZ300" s="16" t="s">
        <v>1487</v>
      </c>
      <c r="QFA300" s="16" t="s">
        <v>1487</v>
      </c>
      <c r="QFB300" s="16" t="s">
        <v>1487</v>
      </c>
      <c r="QFC300" s="16" t="s">
        <v>1487</v>
      </c>
      <c r="QFD300" s="16" t="s">
        <v>1487</v>
      </c>
      <c r="QFE300" s="16" t="s">
        <v>1487</v>
      </c>
      <c r="QFF300" s="16" t="s">
        <v>1487</v>
      </c>
      <c r="QFG300" s="16" t="s">
        <v>1487</v>
      </c>
      <c r="QFH300" s="16" t="s">
        <v>1487</v>
      </c>
      <c r="QFI300" s="16" t="s">
        <v>1487</v>
      </c>
      <c r="QFJ300" s="16" t="s">
        <v>1487</v>
      </c>
      <c r="QFK300" s="16" t="s">
        <v>1487</v>
      </c>
      <c r="QFL300" s="16" t="s">
        <v>1487</v>
      </c>
      <c r="QFM300" s="16" t="s">
        <v>1487</v>
      </c>
      <c r="QFN300" s="16" t="s">
        <v>1487</v>
      </c>
      <c r="QFO300" s="16" t="s">
        <v>1487</v>
      </c>
      <c r="QFP300" s="16" t="s">
        <v>1487</v>
      </c>
      <c r="QFQ300" s="16" t="s">
        <v>1487</v>
      </c>
      <c r="QFR300" s="16" t="s">
        <v>1487</v>
      </c>
      <c r="QFS300" s="16" t="s">
        <v>1487</v>
      </c>
      <c r="QFT300" s="16" t="s">
        <v>1487</v>
      </c>
      <c r="QFU300" s="16" t="s">
        <v>1487</v>
      </c>
      <c r="QFV300" s="16" t="s">
        <v>1487</v>
      </c>
      <c r="QFW300" s="16" t="s">
        <v>1487</v>
      </c>
      <c r="QFX300" s="16" t="s">
        <v>1487</v>
      </c>
      <c r="QFY300" s="16" t="s">
        <v>1487</v>
      </c>
      <c r="QFZ300" s="16" t="s">
        <v>1487</v>
      </c>
      <c r="QGA300" s="16" t="s">
        <v>1487</v>
      </c>
      <c r="QGB300" s="16" t="s">
        <v>1487</v>
      </c>
      <c r="QGC300" s="16" t="s">
        <v>1487</v>
      </c>
      <c r="QGD300" s="16" t="s">
        <v>1487</v>
      </c>
      <c r="QGE300" s="16" t="s">
        <v>1487</v>
      </c>
      <c r="QGF300" s="16" t="s">
        <v>1487</v>
      </c>
      <c r="QGG300" s="16" t="s">
        <v>1487</v>
      </c>
      <c r="QGH300" s="16" t="s">
        <v>1487</v>
      </c>
      <c r="QGI300" s="16" t="s">
        <v>1487</v>
      </c>
      <c r="QGJ300" s="16" t="s">
        <v>1487</v>
      </c>
      <c r="QGK300" s="16" t="s">
        <v>1487</v>
      </c>
      <c r="QGL300" s="16" t="s">
        <v>1487</v>
      </c>
      <c r="QGM300" s="16" t="s">
        <v>1487</v>
      </c>
      <c r="QGN300" s="16" t="s">
        <v>1487</v>
      </c>
      <c r="QGO300" s="16" t="s">
        <v>1487</v>
      </c>
      <c r="QGP300" s="16" t="s">
        <v>1487</v>
      </c>
      <c r="QGQ300" s="16" t="s">
        <v>1487</v>
      </c>
      <c r="QGR300" s="16" t="s">
        <v>1487</v>
      </c>
      <c r="QGS300" s="16" t="s">
        <v>1487</v>
      </c>
      <c r="QGT300" s="16" t="s">
        <v>1487</v>
      </c>
      <c r="QGU300" s="16" t="s">
        <v>1487</v>
      </c>
      <c r="QGV300" s="16" t="s">
        <v>1487</v>
      </c>
      <c r="QGW300" s="16" t="s">
        <v>1487</v>
      </c>
      <c r="QGX300" s="16" t="s">
        <v>1487</v>
      </c>
      <c r="QGY300" s="16" t="s">
        <v>1487</v>
      </c>
      <c r="QGZ300" s="16" t="s">
        <v>1487</v>
      </c>
      <c r="QHA300" s="16" t="s">
        <v>1487</v>
      </c>
      <c r="QHB300" s="16" t="s">
        <v>1487</v>
      </c>
      <c r="QHC300" s="16" t="s">
        <v>1487</v>
      </c>
      <c r="QHD300" s="16" t="s">
        <v>1487</v>
      </c>
      <c r="QHE300" s="16" t="s">
        <v>1487</v>
      </c>
      <c r="QHF300" s="16" t="s">
        <v>1487</v>
      </c>
      <c r="QHG300" s="16" t="s">
        <v>1487</v>
      </c>
      <c r="QHH300" s="16" t="s">
        <v>1487</v>
      </c>
      <c r="QHI300" s="16" t="s">
        <v>1487</v>
      </c>
      <c r="QHJ300" s="16" t="s">
        <v>1487</v>
      </c>
      <c r="QHK300" s="16" t="s">
        <v>1487</v>
      </c>
      <c r="QHL300" s="16" t="s">
        <v>1487</v>
      </c>
      <c r="QHM300" s="16" t="s">
        <v>1487</v>
      </c>
      <c r="QHN300" s="16" t="s">
        <v>1487</v>
      </c>
      <c r="QHO300" s="16" t="s">
        <v>1487</v>
      </c>
      <c r="QHP300" s="16" t="s">
        <v>1487</v>
      </c>
      <c r="QHQ300" s="16" t="s">
        <v>1487</v>
      </c>
      <c r="QHR300" s="16" t="s">
        <v>1487</v>
      </c>
      <c r="QHS300" s="16" t="s">
        <v>1487</v>
      </c>
      <c r="QHT300" s="16" t="s">
        <v>1487</v>
      </c>
      <c r="QHU300" s="16" t="s">
        <v>1487</v>
      </c>
      <c r="QHV300" s="16" t="s">
        <v>1487</v>
      </c>
      <c r="QHW300" s="16" t="s">
        <v>1487</v>
      </c>
      <c r="QHX300" s="16" t="s">
        <v>1487</v>
      </c>
      <c r="QHY300" s="16" t="s">
        <v>1487</v>
      </c>
      <c r="QHZ300" s="16" t="s">
        <v>1487</v>
      </c>
      <c r="QIA300" s="16" t="s">
        <v>1487</v>
      </c>
      <c r="QIB300" s="16" t="s">
        <v>1487</v>
      </c>
      <c r="QIC300" s="16" t="s">
        <v>1487</v>
      </c>
      <c r="QID300" s="16" t="s">
        <v>1487</v>
      </c>
      <c r="QIE300" s="16" t="s">
        <v>1487</v>
      </c>
      <c r="QIF300" s="16" t="s">
        <v>1487</v>
      </c>
      <c r="QIG300" s="16" t="s">
        <v>1487</v>
      </c>
      <c r="QIH300" s="16" t="s">
        <v>1487</v>
      </c>
      <c r="QII300" s="16" t="s">
        <v>1487</v>
      </c>
      <c r="QIJ300" s="16" t="s">
        <v>1487</v>
      </c>
      <c r="QIK300" s="16" t="s">
        <v>1487</v>
      </c>
      <c r="QIL300" s="16" t="s">
        <v>1487</v>
      </c>
      <c r="QIM300" s="16" t="s">
        <v>1487</v>
      </c>
      <c r="QIN300" s="16" t="s">
        <v>1487</v>
      </c>
      <c r="QIO300" s="16" t="s">
        <v>1487</v>
      </c>
      <c r="QIP300" s="16" t="s">
        <v>1487</v>
      </c>
      <c r="QIQ300" s="16" t="s">
        <v>1487</v>
      </c>
      <c r="QIR300" s="16" t="s">
        <v>1487</v>
      </c>
      <c r="QIS300" s="16" t="s">
        <v>1487</v>
      </c>
      <c r="QIT300" s="16" t="s">
        <v>1487</v>
      </c>
      <c r="QIU300" s="16" t="s">
        <v>1487</v>
      </c>
      <c r="QIV300" s="16" t="s">
        <v>1487</v>
      </c>
      <c r="QIW300" s="16" t="s">
        <v>1487</v>
      </c>
      <c r="QIX300" s="16" t="s">
        <v>1487</v>
      </c>
      <c r="QIY300" s="16" t="s">
        <v>1487</v>
      </c>
      <c r="QIZ300" s="16" t="s">
        <v>1487</v>
      </c>
      <c r="QJA300" s="16" t="s">
        <v>1487</v>
      </c>
      <c r="QJB300" s="16" t="s">
        <v>1487</v>
      </c>
      <c r="QJC300" s="16" t="s">
        <v>1487</v>
      </c>
      <c r="QJD300" s="16" t="s">
        <v>1487</v>
      </c>
      <c r="QJE300" s="16" t="s">
        <v>1487</v>
      </c>
      <c r="QJF300" s="16" t="s">
        <v>1487</v>
      </c>
      <c r="QJG300" s="16" t="s">
        <v>1487</v>
      </c>
      <c r="QJH300" s="16" t="s">
        <v>1487</v>
      </c>
      <c r="QJI300" s="16" t="s">
        <v>1487</v>
      </c>
      <c r="QJJ300" s="16" t="s">
        <v>1487</v>
      </c>
      <c r="QJK300" s="16" t="s">
        <v>1487</v>
      </c>
      <c r="QJL300" s="16" t="s">
        <v>1487</v>
      </c>
      <c r="QJM300" s="16" t="s">
        <v>1487</v>
      </c>
      <c r="QJN300" s="16" t="s">
        <v>1487</v>
      </c>
      <c r="QJO300" s="16" t="s">
        <v>1487</v>
      </c>
      <c r="QJP300" s="16" t="s">
        <v>1487</v>
      </c>
      <c r="QJQ300" s="16" t="s">
        <v>1487</v>
      </c>
      <c r="QJR300" s="16" t="s">
        <v>1487</v>
      </c>
      <c r="QJS300" s="16" t="s">
        <v>1487</v>
      </c>
      <c r="QJT300" s="16" t="s">
        <v>1487</v>
      </c>
      <c r="QJU300" s="16" t="s">
        <v>1487</v>
      </c>
      <c r="QJV300" s="16" t="s">
        <v>1487</v>
      </c>
      <c r="QJW300" s="16" t="s">
        <v>1487</v>
      </c>
      <c r="QJX300" s="16" t="s">
        <v>1487</v>
      </c>
      <c r="QJY300" s="16" t="s">
        <v>1487</v>
      </c>
      <c r="QJZ300" s="16" t="s">
        <v>1487</v>
      </c>
      <c r="QKA300" s="16" t="s">
        <v>1487</v>
      </c>
      <c r="QKB300" s="16" t="s">
        <v>1487</v>
      </c>
      <c r="QKC300" s="16" t="s">
        <v>1487</v>
      </c>
      <c r="QKD300" s="16" t="s">
        <v>1487</v>
      </c>
      <c r="QKE300" s="16" t="s">
        <v>1487</v>
      </c>
      <c r="QKF300" s="16" t="s">
        <v>1487</v>
      </c>
      <c r="QKG300" s="16" t="s">
        <v>1487</v>
      </c>
      <c r="QKH300" s="16" t="s">
        <v>1487</v>
      </c>
      <c r="QKI300" s="16" t="s">
        <v>1487</v>
      </c>
      <c r="QKJ300" s="16" t="s">
        <v>1487</v>
      </c>
      <c r="QKK300" s="16" t="s">
        <v>1487</v>
      </c>
      <c r="QKL300" s="16" t="s">
        <v>1487</v>
      </c>
      <c r="QKM300" s="16" t="s">
        <v>1487</v>
      </c>
      <c r="QKN300" s="16" t="s">
        <v>1487</v>
      </c>
      <c r="QKO300" s="16" t="s">
        <v>1487</v>
      </c>
      <c r="QKP300" s="16" t="s">
        <v>1487</v>
      </c>
      <c r="QKQ300" s="16" t="s">
        <v>1487</v>
      </c>
      <c r="QKR300" s="16" t="s">
        <v>1487</v>
      </c>
      <c r="QKS300" s="16" t="s">
        <v>1487</v>
      </c>
      <c r="QKT300" s="16" t="s">
        <v>1487</v>
      </c>
      <c r="QKU300" s="16" t="s">
        <v>1487</v>
      </c>
      <c r="QKV300" s="16" t="s">
        <v>1487</v>
      </c>
      <c r="QKW300" s="16" t="s">
        <v>1487</v>
      </c>
      <c r="QKX300" s="16" t="s">
        <v>1487</v>
      </c>
      <c r="QKY300" s="16" t="s">
        <v>1487</v>
      </c>
      <c r="QKZ300" s="16" t="s">
        <v>1487</v>
      </c>
      <c r="QLA300" s="16" t="s">
        <v>1487</v>
      </c>
      <c r="QLB300" s="16" t="s">
        <v>1487</v>
      </c>
      <c r="QLC300" s="16" t="s">
        <v>1487</v>
      </c>
      <c r="QLD300" s="16" t="s">
        <v>1487</v>
      </c>
      <c r="QLE300" s="16" t="s">
        <v>1487</v>
      </c>
      <c r="QLF300" s="16" t="s">
        <v>1487</v>
      </c>
      <c r="QLG300" s="16" t="s">
        <v>1487</v>
      </c>
      <c r="QLH300" s="16" t="s">
        <v>1487</v>
      </c>
      <c r="QLI300" s="16" t="s">
        <v>1487</v>
      </c>
      <c r="QLJ300" s="16" t="s">
        <v>1487</v>
      </c>
      <c r="QLK300" s="16" t="s">
        <v>1487</v>
      </c>
      <c r="QLL300" s="16" t="s">
        <v>1487</v>
      </c>
      <c r="QLM300" s="16" t="s">
        <v>1487</v>
      </c>
      <c r="QLN300" s="16" t="s">
        <v>1487</v>
      </c>
      <c r="QLO300" s="16" t="s">
        <v>1487</v>
      </c>
      <c r="QLP300" s="16" t="s">
        <v>1487</v>
      </c>
      <c r="QLQ300" s="16" t="s">
        <v>1487</v>
      </c>
      <c r="QLR300" s="16" t="s">
        <v>1487</v>
      </c>
      <c r="QLS300" s="16" t="s">
        <v>1487</v>
      </c>
      <c r="QLT300" s="16" t="s">
        <v>1487</v>
      </c>
      <c r="QLU300" s="16" t="s">
        <v>1487</v>
      </c>
      <c r="QLV300" s="16" t="s">
        <v>1487</v>
      </c>
      <c r="QLW300" s="16" t="s">
        <v>1487</v>
      </c>
      <c r="QLX300" s="16" t="s">
        <v>1487</v>
      </c>
      <c r="QLY300" s="16" t="s">
        <v>1487</v>
      </c>
      <c r="QLZ300" s="16" t="s">
        <v>1487</v>
      </c>
      <c r="QMA300" s="16" t="s">
        <v>1487</v>
      </c>
      <c r="QMB300" s="16" t="s">
        <v>1487</v>
      </c>
      <c r="QMC300" s="16" t="s">
        <v>1487</v>
      </c>
      <c r="QMD300" s="16" t="s">
        <v>1487</v>
      </c>
      <c r="QME300" s="16" t="s">
        <v>1487</v>
      </c>
      <c r="QMF300" s="16" t="s">
        <v>1487</v>
      </c>
      <c r="QMG300" s="16" t="s">
        <v>1487</v>
      </c>
      <c r="QMH300" s="16" t="s">
        <v>1487</v>
      </c>
      <c r="QMI300" s="16" t="s">
        <v>1487</v>
      </c>
      <c r="QMJ300" s="16" t="s">
        <v>1487</v>
      </c>
      <c r="QMK300" s="16" t="s">
        <v>1487</v>
      </c>
      <c r="QML300" s="16" t="s">
        <v>1487</v>
      </c>
      <c r="QMM300" s="16" t="s">
        <v>1487</v>
      </c>
      <c r="QMN300" s="16" t="s">
        <v>1487</v>
      </c>
      <c r="QMO300" s="16" t="s">
        <v>1487</v>
      </c>
      <c r="QMP300" s="16" t="s">
        <v>1487</v>
      </c>
      <c r="QMQ300" s="16" t="s">
        <v>1487</v>
      </c>
      <c r="QMR300" s="16" t="s">
        <v>1487</v>
      </c>
      <c r="QMS300" s="16" t="s">
        <v>1487</v>
      </c>
      <c r="QMT300" s="16" t="s">
        <v>1487</v>
      </c>
      <c r="QMU300" s="16" t="s">
        <v>1487</v>
      </c>
      <c r="QMV300" s="16" t="s">
        <v>1487</v>
      </c>
      <c r="QMW300" s="16" t="s">
        <v>1487</v>
      </c>
      <c r="QMX300" s="16" t="s">
        <v>1487</v>
      </c>
      <c r="QMY300" s="16" t="s">
        <v>1487</v>
      </c>
      <c r="QMZ300" s="16" t="s">
        <v>1487</v>
      </c>
      <c r="QNA300" s="16" t="s">
        <v>1487</v>
      </c>
      <c r="QNB300" s="16" t="s">
        <v>1487</v>
      </c>
      <c r="QNC300" s="16" t="s">
        <v>1487</v>
      </c>
      <c r="QND300" s="16" t="s">
        <v>1487</v>
      </c>
      <c r="QNE300" s="16" t="s">
        <v>1487</v>
      </c>
      <c r="QNF300" s="16" t="s">
        <v>1487</v>
      </c>
      <c r="QNG300" s="16" t="s">
        <v>1487</v>
      </c>
      <c r="QNH300" s="16" t="s">
        <v>1487</v>
      </c>
      <c r="QNI300" s="16" t="s">
        <v>1487</v>
      </c>
      <c r="QNJ300" s="16" t="s">
        <v>1487</v>
      </c>
      <c r="QNK300" s="16" t="s">
        <v>1487</v>
      </c>
      <c r="QNL300" s="16" t="s">
        <v>1487</v>
      </c>
      <c r="QNM300" s="16" t="s">
        <v>1487</v>
      </c>
      <c r="QNN300" s="16" t="s">
        <v>1487</v>
      </c>
      <c r="QNO300" s="16" t="s">
        <v>1487</v>
      </c>
      <c r="QNP300" s="16" t="s">
        <v>1487</v>
      </c>
      <c r="QNQ300" s="16" t="s">
        <v>1487</v>
      </c>
      <c r="QNR300" s="16" t="s">
        <v>1487</v>
      </c>
      <c r="QNS300" s="16" t="s">
        <v>1487</v>
      </c>
      <c r="QNT300" s="16" t="s">
        <v>1487</v>
      </c>
      <c r="QNU300" s="16" t="s">
        <v>1487</v>
      </c>
      <c r="QNV300" s="16" t="s">
        <v>1487</v>
      </c>
      <c r="QNW300" s="16" t="s">
        <v>1487</v>
      </c>
      <c r="QNX300" s="16" t="s">
        <v>1487</v>
      </c>
      <c r="QNY300" s="16" t="s">
        <v>1487</v>
      </c>
      <c r="QNZ300" s="16" t="s">
        <v>1487</v>
      </c>
      <c r="QOA300" s="16" t="s">
        <v>1487</v>
      </c>
      <c r="QOB300" s="16" t="s">
        <v>1487</v>
      </c>
      <c r="QOC300" s="16" t="s">
        <v>1487</v>
      </c>
      <c r="QOD300" s="16" t="s">
        <v>1487</v>
      </c>
      <c r="QOE300" s="16" t="s">
        <v>1487</v>
      </c>
      <c r="QOF300" s="16" t="s">
        <v>1487</v>
      </c>
      <c r="QOG300" s="16" t="s">
        <v>1487</v>
      </c>
      <c r="QOH300" s="16" t="s">
        <v>1487</v>
      </c>
      <c r="QOI300" s="16" t="s">
        <v>1487</v>
      </c>
      <c r="QOJ300" s="16" t="s">
        <v>1487</v>
      </c>
      <c r="QOK300" s="16" t="s">
        <v>1487</v>
      </c>
      <c r="QOL300" s="16" t="s">
        <v>1487</v>
      </c>
      <c r="QOM300" s="16" t="s">
        <v>1487</v>
      </c>
      <c r="QON300" s="16" t="s">
        <v>1487</v>
      </c>
      <c r="QOO300" s="16" t="s">
        <v>1487</v>
      </c>
      <c r="QOP300" s="16" t="s">
        <v>1487</v>
      </c>
      <c r="QOQ300" s="16" t="s">
        <v>1487</v>
      </c>
      <c r="QOR300" s="16" t="s">
        <v>1487</v>
      </c>
      <c r="QOS300" s="16" t="s">
        <v>1487</v>
      </c>
      <c r="QOT300" s="16" t="s">
        <v>1487</v>
      </c>
      <c r="QOU300" s="16" t="s">
        <v>1487</v>
      </c>
      <c r="QOV300" s="16" t="s">
        <v>1487</v>
      </c>
      <c r="QOW300" s="16" t="s">
        <v>1487</v>
      </c>
      <c r="QOX300" s="16" t="s">
        <v>1487</v>
      </c>
      <c r="QOY300" s="16" t="s">
        <v>1487</v>
      </c>
      <c r="QOZ300" s="16" t="s">
        <v>1487</v>
      </c>
      <c r="QPA300" s="16" t="s">
        <v>1487</v>
      </c>
      <c r="QPB300" s="16" t="s">
        <v>1487</v>
      </c>
      <c r="QPC300" s="16" t="s">
        <v>1487</v>
      </c>
      <c r="QPD300" s="16" t="s">
        <v>1487</v>
      </c>
      <c r="QPE300" s="16" t="s">
        <v>1487</v>
      </c>
      <c r="QPF300" s="16" t="s">
        <v>1487</v>
      </c>
      <c r="QPG300" s="16" t="s">
        <v>1487</v>
      </c>
      <c r="QPH300" s="16" t="s">
        <v>1487</v>
      </c>
      <c r="QPI300" s="16" t="s">
        <v>1487</v>
      </c>
      <c r="QPJ300" s="16" t="s">
        <v>1487</v>
      </c>
      <c r="QPK300" s="16" t="s">
        <v>1487</v>
      </c>
      <c r="QPL300" s="16" t="s">
        <v>1487</v>
      </c>
      <c r="QPM300" s="16" t="s">
        <v>1487</v>
      </c>
      <c r="QPN300" s="16" t="s">
        <v>1487</v>
      </c>
      <c r="QPO300" s="16" t="s">
        <v>1487</v>
      </c>
      <c r="QPP300" s="16" t="s">
        <v>1487</v>
      </c>
      <c r="QPQ300" s="16" t="s">
        <v>1487</v>
      </c>
      <c r="QPR300" s="16" t="s">
        <v>1487</v>
      </c>
      <c r="QPS300" s="16" t="s">
        <v>1487</v>
      </c>
      <c r="QPT300" s="16" t="s">
        <v>1487</v>
      </c>
      <c r="QPU300" s="16" t="s">
        <v>1487</v>
      </c>
      <c r="QPV300" s="16" t="s">
        <v>1487</v>
      </c>
      <c r="QPW300" s="16" t="s">
        <v>1487</v>
      </c>
      <c r="QPX300" s="16" t="s">
        <v>1487</v>
      </c>
      <c r="QPY300" s="16" t="s">
        <v>1487</v>
      </c>
      <c r="QPZ300" s="16" t="s">
        <v>1487</v>
      </c>
      <c r="QQA300" s="16" t="s">
        <v>1487</v>
      </c>
      <c r="QQB300" s="16" t="s">
        <v>1487</v>
      </c>
      <c r="QQC300" s="16" t="s">
        <v>1487</v>
      </c>
      <c r="QQD300" s="16" t="s">
        <v>1487</v>
      </c>
      <c r="QQE300" s="16" t="s">
        <v>1487</v>
      </c>
      <c r="QQF300" s="16" t="s">
        <v>1487</v>
      </c>
      <c r="QQG300" s="16" t="s">
        <v>1487</v>
      </c>
      <c r="QQH300" s="16" t="s">
        <v>1487</v>
      </c>
      <c r="QQI300" s="16" t="s">
        <v>1487</v>
      </c>
      <c r="QQJ300" s="16" t="s">
        <v>1487</v>
      </c>
      <c r="QQK300" s="16" t="s">
        <v>1487</v>
      </c>
      <c r="QQL300" s="16" t="s">
        <v>1487</v>
      </c>
      <c r="QQM300" s="16" t="s">
        <v>1487</v>
      </c>
      <c r="QQN300" s="16" t="s">
        <v>1487</v>
      </c>
      <c r="QQO300" s="16" t="s">
        <v>1487</v>
      </c>
      <c r="QQP300" s="16" t="s">
        <v>1487</v>
      </c>
      <c r="QQQ300" s="16" t="s">
        <v>1487</v>
      </c>
      <c r="QQR300" s="16" t="s">
        <v>1487</v>
      </c>
      <c r="QQS300" s="16" t="s">
        <v>1487</v>
      </c>
      <c r="QQT300" s="16" t="s">
        <v>1487</v>
      </c>
      <c r="QQU300" s="16" t="s">
        <v>1487</v>
      </c>
      <c r="QQV300" s="16" t="s">
        <v>1487</v>
      </c>
      <c r="QQW300" s="16" t="s">
        <v>1487</v>
      </c>
      <c r="QQX300" s="16" t="s">
        <v>1487</v>
      </c>
      <c r="QQY300" s="16" t="s">
        <v>1487</v>
      </c>
      <c r="QQZ300" s="16" t="s">
        <v>1487</v>
      </c>
      <c r="QRA300" s="16" t="s">
        <v>1487</v>
      </c>
      <c r="QRB300" s="16" t="s">
        <v>1487</v>
      </c>
      <c r="QRC300" s="16" t="s">
        <v>1487</v>
      </c>
      <c r="QRD300" s="16" t="s">
        <v>1487</v>
      </c>
      <c r="QRE300" s="16" t="s">
        <v>1487</v>
      </c>
      <c r="QRF300" s="16" t="s">
        <v>1487</v>
      </c>
      <c r="QRG300" s="16" t="s">
        <v>1487</v>
      </c>
      <c r="QRH300" s="16" t="s">
        <v>1487</v>
      </c>
      <c r="QRI300" s="16" t="s">
        <v>1487</v>
      </c>
      <c r="QRJ300" s="16" t="s">
        <v>1487</v>
      </c>
      <c r="QRK300" s="16" t="s">
        <v>1487</v>
      </c>
      <c r="QRL300" s="16" t="s">
        <v>1487</v>
      </c>
      <c r="QRM300" s="16" t="s">
        <v>1487</v>
      </c>
      <c r="QRN300" s="16" t="s">
        <v>1487</v>
      </c>
      <c r="QRO300" s="16" t="s">
        <v>1487</v>
      </c>
      <c r="QRP300" s="16" t="s">
        <v>1487</v>
      </c>
      <c r="QRQ300" s="16" t="s">
        <v>1487</v>
      </c>
      <c r="QRR300" s="16" t="s">
        <v>1487</v>
      </c>
      <c r="QRS300" s="16" t="s">
        <v>1487</v>
      </c>
      <c r="QRT300" s="16" t="s">
        <v>1487</v>
      </c>
      <c r="QRU300" s="16" t="s">
        <v>1487</v>
      </c>
      <c r="QRV300" s="16" t="s">
        <v>1487</v>
      </c>
      <c r="QRW300" s="16" t="s">
        <v>1487</v>
      </c>
      <c r="QRX300" s="16" t="s">
        <v>1487</v>
      </c>
      <c r="QRY300" s="16" t="s">
        <v>1487</v>
      </c>
      <c r="QRZ300" s="16" t="s">
        <v>1487</v>
      </c>
      <c r="QSA300" s="16" t="s">
        <v>1487</v>
      </c>
      <c r="QSB300" s="16" t="s">
        <v>1487</v>
      </c>
      <c r="QSC300" s="16" t="s">
        <v>1487</v>
      </c>
      <c r="QSD300" s="16" t="s">
        <v>1487</v>
      </c>
      <c r="QSE300" s="16" t="s">
        <v>1487</v>
      </c>
      <c r="QSF300" s="16" t="s">
        <v>1487</v>
      </c>
      <c r="QSG300" s="16" t="s">
        <v>1487</v>
      </c>
      <c r="QSH300" s="16" t="s">
        <v>1487</v>
      </c>
      <c r="QSI300" s="16" t="s">
        <v>1487</v>
      </c>
      <c r="QSJ300" s="16" t="s">
        <v>1487</v>
      </c>
      <c r="QSK300" s="16" t="s">
        <v>1487</v>
      </c>
      <c r="QSL300" s="16" t="s">
        <v>1487</v>
      </c>
      <c r="QSM300" s="16" t="s">
        <v>1487</v>
      </c>
      <c r="QSN300" s="16" t="s">
        <v>1487</v>
      </c>
      <c r="QSO300" s="16" t="s">
        <v>1487</v>
      </c>
      <c r="QSP300" s="16" t="s">
        <v>1487</v>
      </c>
      <c r="QSQ300" s="16" t="s">
        <v>1487</v>
      </c>
      <c r="QSR300" s="16" t="s">
        <v>1487</v>
      </c>
      <c r="QSS300" s="16" t="s">
        <v>1487</v>
      </c>
      <c r="QST300" s="16" t="s">
        <v>1487</v>
      </c>
      <c r="QSU300" s="16" t="s">
        <v>1487</v>
      </c>
      <c r="QSV300" s="16" t="s">
        <v>1487</v>
      </c>
      <c r="QSW300" s="16" t="s">
        <v>1487</v>
      </c>
      <c r="QSX300" s="16" t="s">
        <v>1487</v>
      </c>
      <c r="QSY300" s="16" t="s">
        <v>1487</v>
      </c>
      <c r="QSZ300" s="16" t="s">
        <v>1487</v>
      </c>
      <c r="QTA300" s="16" t="s">
        <v>1487</v>
      </c>
      <c r="QTB300" s="16" t="s">
        <v>1487</v>
      </c>
      <c r="QTC300" s="16" t="s">
        <v>1487</v>
      </c>
      <c r="QTD300" s="16" t="s">
        <v>1487</v>
      </c>
      <c r="QTE300" s="16" t="s">
        <v>1487</v>
      </c>
      <c r="QTF300" s="16" t="s">
        <v>1487</v>
      </c>
      <c r="QTG300" s="16" t="s">
        <v>1487</v>
      </c>
      <c r="QTH300" s="16" t="s">
        <v>1487</v>
      </c>
      <c r="QTI300" s="16" t="s">
        <v>1487</v>
      </c>
      <c r="QTJ300" s="16" t="s">
        <v>1487</v>
      </c>
      <c r="QTK300" s="16" t="s">
        <v>1487</v>
      </c>
      <c r="QTL300" s="16" t="s">
        <v>1487</v>
      </c>
      <c r="QTM300" s="16" t="s">
        <v>1487</v>
      </c>
      <c r="QTN300" s="16" t="s">
        <v>1487</v>
      </c>
      <c r="QTO300" s="16" t="s">
        <v>1487</v>
      </c>
      <c r="QTP300" s="16" t="s">
        <v>1487</v>
      </c>
      <c r="QTQ300" s="16" t="s">
        <v>1487</v>
      </c>
      <c r="QTR300" s="16" t="s">
        <v>1487</v>
      </c>
      <c r="QTS300" s="16" t="s">
        <v>1487</v>
      </c>
      <c r="QTT300" s="16" t="s">
        <v>1487</v>
      </c>
      <c r="QTU300" s="16" t="s">
        <v>1487</v>
      </c>
      <c r="QTV300" s="16" t="s">
        <v>1487</v>
      </c>
      <c r="QTW300" s="16" t="s">
        <v>1487</v>
      </c>
      <c r="QTX300" s="16" t="s">
        <v>1487</v>
      </c>
      <c r="QTY300" s="16" t="s">
        <v>1487</v>
      </c>
      <c r="QTZ300" s="16" t="s">
        <v>1487</v>
      </c>
      <c r="QUA300" s="16" t="s">
        <v>1487</v>
      </c>
      <c r="QUB300" s="16" t="s">
        <v>1487</v>
      </c>
      <c r="QUC300" s="16" t="s">
        <v>1487</v>
      </c>
      <c r="QUD300" s="16" t="s">
        <v>1487</v>
      </c>
      <c r="QUE300" s="16" t="s">
        <v>1487</v>
      </c>
      <c r="QUF300" s="16" t="s">
        <v>1487</v>
      </c>
      <c r="QUG300" s="16" t="s">
        <v>1487</v>
      </c>
      <c r="QUH300" s="16" t="s">
        <v>1487</v>
      </c>
      <c r="QUI300" s="16" t="s">
        <v>1487</v>
      </c>
      <c r="QUJ300" s="16" t="s">
        <v>1487</v>
      </c>
      <c r="QUK300" s="16" t="s">
        <v>1487</v>
      </c>
      <c r="QUL300" s="16" t="s">
        <v>1487</v>
      </c>
      <c r="QUM300" s="16" t="s">
        <v>1487</v>
      </c>
      <c r="QUN300" s="16" t="s">
        <v>1487</v>
      </c>
      <c r="QUO300" s="16" t="s">
        <v>1487</v>
      </c>
      <c r="QUP300" s="16" t="s">
        <v>1487</v>
      </c>
      <c r="QUQ300" s="16" t="s">
        <v>1487</v>
      </c>
      <c r="QUR300" s="16" t="s">
        <v>1487</v>
      </c>
      <c r="QUS300" s="16" t="s">
        <v>1487</v>
      </c>
      <c r="QUT300" s="16" t="s">
        <v>1487</v>
      </c>
      <c r="QUU300" s="16" t="s">
        <v>1487</v>
      </c>
      <c r="QUV300" s="16" t="s">
        <v>1487</v>
      </c>
      <c r="QUW300" s="16" t="s">
        <v>1487</v>
      </c>
      <c r="QUX300" s="16" t="s">
        <v>1487</v>
      </c>
      <c r="QUY300" s="16" t="s">
        <v>1487</v>
      </c>
      <c r="QUZ300" s="16" t="s">
        <v>1487</v>
      </c>
      <c r="QVA300" s="16" t="s">
        <v>1487</v>
      </c>
      <c r="QVB300" s="16" t="s">
        <v>1487</v>
      </c>
      <c r="QVC300" s="16" t="s">
        <v>1487</v>
      </c>
      <c r="QVD300" s="16" t="s">
        <v>1487</v>
      </c>
      <c r="QVE300" s="16" t="s">
        <v>1487</v>
      </c>
      <c r="QVF300" s="16" t="s">
        <v>1487</v>
      </c>
      <c r="QVG300" s="16" t="s">
        <v>1487</v>
      </c>
      <c r="QVH300" s="16" t="s">
        <v>1487</v>
      </c>
      <c r="QVI300" s="16" t="s">
        <v>1487</v>
      </c>
      <c r="QVJ300" s="16" t="s">
        <v>1487</v>
      </c>
      <c r="QVK300" s="16" t="s">
        <v>1487</v>
      </c>
      <c r="QVL300" s="16" t="s">
        <v>1487</v>
      </c>
      <c r="QVM300" s="16" t="s">
        <v>1487</v>
      </c>
      <c r="QVN300" s="16" t="s">
        <v>1487</v>
      </c>
      <c r="QVO300" s="16" t="s">
        <v>1487</v>
      </c>
      <c r="QVP300" s="16" t="s">
        <v>1487</v>
      </c>
      <c r="QVQ300" s="16" t="s">
        <v>1487</v>
      </c>
      <c r="QVR300" s="16" t="s">
        <v>1487</v>
      </c>
      <c r="QVS300" s="16" t="s">
        <v>1487</v>
      </c>
      <c r="QVT300" s="16" t="s">
        <v>1487</v>
      </c>
      <c r="QVU300" s="16" t="s">
        <v>1487</v>
      </c>
      <c r="QVV300" s="16" t="s">
        <v>1487</v>
      </c>
      <c r="QVW300" s="16" t="s">
        <v>1487</v>
      </c>
      <c r="QVX300" s="16" t="s">
        <v>1487</v>
      </c>
      <c r="QVY300" s="16" t="s">
        <v>1487</v>
      </c>
      <c r="QVZ300" s="16" t="s">
        <v>1487</v>
      </c>
      <c r="QWA300" s="16" t="s">
        <v>1487</v>
      </c>
      <c r="QWB300" s="16" t="s">
        <v>1487</v>
      </c>
      <c r="QWC300" s="16" t="s">
        <v>1487</v>
      </c>
      <c r="QWD300" s="16" t="s">
        <v>1487</v>
      </c>
      <c r="QWE300" s="16" t="s">
        <v>1487</v>
      </c>
      <c r="QWF300" s="16" t="s">
        <v>1487</v>
      </c>
      <c r="QWG300" s="16" t="s">
        <v>1487</v>
      </c>
      <c r="QWH300" s="16" t="s">
        <v>1487</v>
      </c>
      <c r="QWI300" s="16" t="s">
        <v>1487</v>
      </c>
      <c r="QWJ300" s="16" t="s">
        <v>1487</v>
      </c>
      <c r="QWK300" s="16" t="s">
        <v>1487</v>
      </c>
      <c r="QWL300" s="16" t="s">
        <v>1487</v>
      </c>
      <c r="QWM300" s="16" t="s">
        <v>1487</v>
      </c>
      <c r="QWN300" s="16" t="s">
        <v>1487</v>
      </c>
      <c r="QWO300" s="16" t="s">
        <v>1487</v>
      </c>
      <c r="QWP300" s="16" t="s">
        <v>1487</v>
      </c>
      <c r="QWQ300" s="16" t="s">
        <v>1487</v>
      </c>
      <c r="QWR300" s="16" t="s">
        <v>1487</v>
      </c>
      <c r="QWS300" s="16" t="s">
        <v>1487</v>
      </c>
      <c r="QWT300" s="16" t="s">
        <v>1487</v>
      </c>
      <c r="QWU300" s="16" t="s">
        <v>1487</v>
      </c>
      <c r="QWV300" s="16" t="s">
        <v>1487</v>
      </c>
      <c r="QWW300" s="16" t="s">
        <v>1487</v>
      </c>
      <c r="QWX300" s="16" t="s">
        <v>1487</v>
      </c>
      <c r="QWY300" s="16" t="s">
        <v>1487</v>
      </c>
      <c r="QWZ300" s="16" t="s">
        <v>1487</v>
      </c>
      <c r="QXA300" s="16" t="s">
        <v>1487</v>
      </c>
      <c r="QXB300" s="16" t="s">
        <v>1487</v>
      </c>
      <c r="QXC300" s="16" t="s">
        <v>1487</v>
      </c>
      <c r="QXD300" s="16" t="s">
        <v>1487</v>
      </c>
      <c r="QXE300" s="16" t="s">
        <v>1487</v>
      </c>
      <c r="QXF300" s="16" t="s">
        <v>1487</v>
      </c>
      <c r="QXG300" s="16" t="s">
        <v>1487</v>
      </c>
      <c r="QXH300" s="16" t="s">
        <v>1487</v>
      </c>
      <c r="QXI300" s="16" t="s">
        <v>1487</v>
      </c>
      <c r="QXJ300" s="16" t="s">
        <v>1487</v>
      </c>
      <c r="QXK300" s="16" t="s">
        <v>1487</v>
      </c>
      <c r="QXL300" s="16" t="s">
        <v>1487</v>
      </c>
      <c r="QXM300" s="16" t="s">
        <v>1487</v>
      </c>
      <c r="QXN300" s="16" t="s">
        <v>1487</v>
      </c>
      <c r="QXO300" s="16" t="s">
        <v>1487</v>
      </c>
      <c r="QXP300" s="16" t="s">
        <v>1487</v>
      </c>
      <c r="QXQ300" s="16" t="s">
        <v>1487</v>
      </c>
      <c r="QXR300" s="16" t="s">
        <v>1487</v>
      </c>
      <c r="QXS300" s="16" t="s">
        <v>1487</v>
      </c>
      <c r="QXT300" s="16" t="s">
        <v>1487</v>
      </c>
      <c r="QXU300" s="16" t="s">
        <v>1487</v>
      </c>
      <c r="QXV300" s="16" t="s">
        <v>1487</v>
      </c>
      <c r="QXW300" s="16" t="s">
        <v>1487</v>
      </c>
      <c r="QXX300" s="16" t="s">
        <v>1487</v>
      </c>
      <c r="QXY300" s="16" t="s">
        <v>1487</v>
      </c>
      <c r="QXZ300" s="16" t="s">
        <v>1487</v>
      </c>
      <c r="QYA300" s="16" t="s">
        <v>1487</v>
      </c>
      <c r="QYB300" s="16" t="s">
        <v>1487</v>
      </c>
      <c r="QYC300" s="16" t="s">
        <v>1487</v>
      </c>
      <c r="QYD300" s="16" t="s">
        <v>1487</v>
      </c>
      <c r="QYE300" s="16" t="s">
        <v>1487</v>
      </c>
      <c r="QYF300" s="16" t="s">
        <v>1487</v>
      </c>
      <c r="QYG300" s="16" t="s">
        <v>1487</v>
      </c>
      <c r="QYH300" s="16" t="s">
        <v>1487</v>
      </c>
      <c r="QYI300" s="16" t="s">
        <v>1487</v>
      </c>
      <c r="QYJ300" s="16" t="s">
        <v>1487</v>
      </c>
      <c r="QYK300" s="16" t="s">
        <v>1487</v>
      </c>
      <c r="QYL300" s="16" t="s">
        <v>1487</v>
      </c>
      <c r="QYM300" s="16" t="s">
        <v>1487</v>
      </c>
      <c r="QYN300" s="16" t="s">
        <v>1487</v>
      </c>
      <c r="QYO300" s="16" t="s">
        <v>1487</v>
      </c>
      <c r="QYP300" s="16" t="s">
        <v>1487</v>
      </c>
      <c r="QYQ300" s="16" t="s">
        <v>1487</v>
      </c>
      <c r="QYR300" s="16" t="s">
        <v>1487</v>
      </c>
      <c r="QYS300" s="16" t="s">
        <v>1487</v>
      </c>
      <c r="QYT300" s="16" t="s">
        <v>1487</v>
      </c>
      <c r="QYU300" s="16" t="s">
        <v>1487</v>
      </c>
      <c r="QYV300" s="16" t="s">
        <v>1487</v>
      </c>
      <c r="QYW300" s="16" t="s">
        <v>1487</v>
      </c>
      <c r="QYX300" s="16" t="s">
        <v>1487</v>
      </c>
      <c r="QYY300" s="16" t="s">
        <v>1487</v>
      </c>
      <c r="QYZ300" s="16" t="s">
        <v>1487</v>
      </c>
      <c r="QZA300" s="16" t="s">
        <v>1487</v>
      </c>
      <c r="QZB300" s="16" t="s">
        <v>1487</v>
      </c>
      <c r="QZC300" s="16" t="s">
        <v>1487</v>
      </c>
      <c r="QZD300" s="16" t="s">
        <v>1487</v>
      </c>
      <c r="QZE300" s="16" t="s">
        <v>1487</v>
      </c>
      <c r="QZF300" s="16" t="s">
        <v>1487</v>
      </c>
      <c r="QZG300" s="16" t="s">
        <v>1487</v>
      </c>
      <c r="QZH300" s="16" t="s">
        <v>1487</v>
      </c>
      <c r="QZI300" s="16" t="s">
        <v>1487</v>
      </c>
      <c r="QZJ300" s="16" t="s">
        <v>1487</v>
      </c>
      <c r="QZK300" s="16" t="s">
        <v>1487</v>
      </c>
      <c r="QZL300" s="16" t="s">
        <v>1487</v>
      </c>
      <c r="QZM300" s="16" t="s">
        <v>1487</v>
      </c>
      <c r="QZN300" s="16" t="s">
        <v>1487</v>
      </c>
      <c r="QZO300" s="16" t="s">
        <v>1487</v>
      </c>
      <c r="QZP300" s="16" t="s">
        <v>1487</v>
      </c>
      <c r="QZQ300" s="16" t="s">
        <v>1487</v>
      </c>
      <c r="QZR300" s="16" t="s">
        <v>1487</v>
      </c>
      <c r="QZS300" s="16" t="s">
        <v>1487</v>
      </c>
      <c r="QZT300" s="16" t="s">
        <v>1487</v>
      </c>
      <c r="QZU300" s="16" t="s">
        <v>1487</v>
      </c>
      <c r="QZV300" s="16" t="s">
        <v>1487</v>
      </c>
      <c r="QZW300" s="16" t="s">
        <v>1487</v>
      </c>
      <c r="QZX300" s="16" t="s">
        <v>1487</v>
      </c>
      <c r="QZY300" s="16" t="s">
        <v>1487</v>
      </c>
      <c r="QZZ300" s="16" t="s">
        <v>1487</v>
      </c>
      <c r="RAA300" s="16" t="s">
        <v>1487</v>
      </c>
      <c r="RAB300" s="16" t="s">
        <v>1487</v>
      </c>
      <c r="RAC300" s="16" t="s">
        <v>1487</v>
      </c>
      <c r="RAD300" s="16" t="s">
        <v>1487</v>
      </c>
      <c r="RAE300" s="16" t="s">
        <v>1487</v>
      </c>
      <c r="RAF300" s="16" t="s">
        <v>1487</v>
      </c>
      <c r="RAG300" s="16" t="s">
        <v>1487</v>
      </c>
      <c r="RAH300" s="16" t="s">
        <v>1487</v>
      </c>
      <c r="RAI300" s="16" t="s">
        <v>1487</v>
      </c>
      <c r="RAJ300" s="16" t="s">
        <v>1487</v>
      </c>
      <c r="RAK300" s="16" t="s">
        <v>1487</v>
      </c>
      <c r="RAL300" s="16" t="s">
        <v>1487</v>
      </c>
      <c r="RAM300" s="16" t="s">
        <v>1487</v>
      </c>
      <c r="RAN300" s="16" t="s">
        <v>1487</v>
      </c>
      <c r="RAO300" s="16" t="s">
        <v>1487</v>
      </c>
      <c r="RAP300" s="16" t="s">
        <v>1487</v>
      </c>
      <c r="RAQ300" s="16" t="s">
        <v>1487</v>
      </c>
      <c r="RAR300" s="16" t="s">
        <v>1487</v>
      </c>
      <c r="RAS300" s="16" t="s">
        <v>1487</v>
      </c>
      <c r="RAT300" s="16" t="s">
        <v>1487</v>
      </c>
      <c r="RAU300" s="16" t="s">
        <v>1487</v>
      </c>
      <c r="RAV300" s="16" t="s">
        <v>1487</v>
      </c>
      <c r="RAW300" s="16" t="s">
        <v>1487</v>
      </c>
      <c r="RAX300" s="16" t="s">
        <v>1487</v>
      </c>
      <c r="RAY300" s="16" t="s">
        <v>1487</v>
      </c>
      <c r="RAZ300" s="16" t="s">
        <v>1487</v>
      </c>
      <c r="RBA300" s="16" t="s">
        <v>1487</v>
      </c>
      <c r="RBB300" s="16" t="s">
        <v>1487</v>
      </c>
      <c r="RBC300" s="16" t="s">
        <v>1487</v>
      </c>
      <c r="RBD300" s="16" t="s">
        <v>1487</v>
      </c>
      <c r="RBE300" s="16" t="s">
        <v>1487</v>
      </c>
      <c r="RBF300" s="16" t="s">
        <v>1487</v>
      </c>
      <c r="RBG300" s="16" t="s">
        <v>1487</v>
      </c>
      <c r="RBH300" s="16" t="s">
        <v>1487</v>
      </c>
      <c r="RBI300" s="16" t="s">
        <v>1487</v>
      </c>
      <c r="RBJ300" s="16" t="s">
        <v>1487</v>
      </c>
      <c r="RBK300" s="16" t="s">
        <v>1487</v>
      </c>
      <c r="RBL300" s="16" t="s">
        <v>1487</v>
      </c>
      <c r="RBM300" s="16" t="s">
        <v>1487</v>
      </c>
      <c r="RBN300" s="16" t="s">
        <v>1487</v>
      </c>
      <c r="RBO300" s="16" t="s">
        <v>1487</v>
      </c>
      <c r="RBP300" s="16" t="s">
        <v>1487</v>
      </c>
      <c r="RBQ300" s="16" t="s">
        <v>1487</v>
      </c>
      <c r="RBR300" s="16" t="s">
        <v>1487</v>
      </c>
      <c r="RBS300" s="16" t="s">
        <v>1487</v>
      </c>
      <c r="RBT300" s="16" t="s">
        <v>1487</v>
      </c>
      <c r="RBU300" s="16" t="s">
        <v>1487</v>
      </c>
      <c r="RBV300" s="16" t="s">
        <v>1487</v>
      </c>
      <c r="RBW300" s="16" t="s">
        <v>1487</v>
      </c>
      <c r="RBX300" s="16" t="s">
        <v>1487</v>
      </c>
      <c r="RBY300" s="16" t="s">
        <v>1487</v>
      </c>
      <c r="RBZ300" s="16" t="s">
        <v>1487</v>
      </c>
      <c r="RCA300" s="16" t="s">
        <v>1487</v>
      </c>
      <c r="RCB300" s="16" t="s">
        <v>1487</v>
      </c>
      <c r="RCC300" s="16" t="s">
        <v>1487</v>
      </c>
      <c r="RCD300" s="16" t="s">
        <v>1487</v>
      </c>
      <c r="RCE300" s="16" t="s">
        <v>1487</v>
      </c>
      <c r="RCF300" s="16" t="s">
        <v>1487</v>
      </c>
      <c r="RCG300" s="16" t="s">
        <v>1487</v>
      </c>
      <c r="RCH300" s="16" t="s">
        <v>1487</v>
      </c>
      <c r="RCI300" s="16" t="s">
        <v>1487</v>
      </c>
      <c r="RCJ300" s="16" t="s">
        <v>1487</v>
      </c>
      <c r="RCK300" s="16" t="s">
        <v>1487</v>
      </c>
      <c r="RCL300" s="16" t="s">
        <v>1487</v>
      </c>
      <c r="RCM300" s="16" t="s">
        <v>1487</v>
      </c>
      <c r="RCN300" s="16" t="s">
        <v>1487</v>
      </c>
      <c r="RCO300" s="16" t="s">
        <v>1487</v>
      </c>
      <c r="RCP300" s="16" t="s">
        <v>1487</v>
      </c>
      <c r="RCQ300" s="16" t="s">
        <v>1487</v>
      </c>
      <c r="RCR300" s="16" t="s">
        <v>1487</v>
      </c>
      <c r="RCS300" s="16" t="s">
        <v>1487</v>
      </c>
      <c r="RCT300" s="16" t="s">
        <v>1487</v>
      </c>
      <c r="RCU300" s="16" t="s">
        <v>1487</v>
      </c>
      <c r="RCV300" s="16" t="s">
        <v>1487</v>
      </c>
      <c r="RCW300" s="16" t="s">
        <v>1487</v>
      </c>
      <c r="RCX300" s="16" t="s">
        <v>1487</v>
      </c>
      <c r="RCY300" s="16" t="s">
        <v>1487</v>
      </c>
      <c r="RCZ300" s="16" t="s">
        <v>1487</v>
      </c>
      <c r="RDA300" s="16" t="s">
        <v>1487</v>
      </c>
      <c r="RDB300" s="16" t="s">
        <v>1487</v>
      </c>
      <c r="RDC300" s="16" t="s">
        <v>1487</v>
      </c>
      <c r="RDD300" s="16" t="s">
        <v>1487</v>
      </c>
      <c r="RDE300" s="16" t="s">
        <v>1487</v>
      </c>
      <c r="RDF300" s="16" t="s">
        <v>1487</v>
      </c>
      <c r="RDG300" s="16" t="s">
        <v>1487</v>
      </c>
      <c r="RDH300" s="16" t="s">
        <v>1487</v>
      </c>
      <c r="RDI300" s="16" t="s">
        <v>1487</v>
      </c>
      <c r="RDJ300" s="16" t="s">
        <v>1487</v>
      </c>
      <c r="RDK300" s="16" t="s">
        <v>1487</v>
      </c>
      <c r="RDL300" s="16" t="s">
        <v>1487</v>
      </c>
      <c r="RDM300" s="16" t="s">
        <v>1487</v>
      </c>
      <c r="RDN300" s="16" t="s">
        <v>1487</v>
      </c>
      <c r="RDO300" s="16" t="s">
        <v>1487</v>
      </c>
      <c r="RDP300" s="16" t="s">
        <v>1487</v>
      </c>
      <c r="RDQ300" s="16" t="s">
        <v>1487</v>
      </c>
      <c r="RDR300" s="16" t="s">
        <v>1487</v>
      </c>
      <c r="RDS300" s="16" t="s">
        <v>1487</v>
      </c>
      <c r="RDT300" s="16" t="s">
        <v>1487</v>
      </c>
      <c r="RDU300" s="16" t="s">
        <v>1487</v>
      </c>
      <c r="RDV300" s="16" t="s">
        <v>1487</v>
      </c>
      <c r="RDW300" s="16" t="s">
        <v>1487</v>
      </c>
      <c r="RDX300" s="16" t="s">
        <v>1487</v>
      </c>
      <c r="RDY300" s="16" t="s">
        <v>1487</v>
      </c>
      <c r="RDZ300" s="16" t="s">
        <v>1487</v>
      </c>
      <c r="REA300" s="16" t="s">
        <v>1487</v>
      </c>
      <c r="REB300" s="16" t="s">
        <v>1487</v>
      </c>
      <c r="REC300" s="16" t="s">
        <v>1487</v>
      </c>
      <c r="RED300" s="16" t="s">
        <v>1487</v>
      </c>
      <c r="REE300" s="16" t="s">
        <v>1487</v>
      </c>
      <c r="REF300" s="16" t="s">
        <v>1487</v>
      </c>
      <c r="REG300" s="16" t="s">
        <v>1487</v>
      </c>
      <c r="REH300" s="16" t="s">
        <v>1487</v>
      </c>
      <c r="REI300" s="16" t="s">
        <v>1487</v>
      </c>
      <c r="REJ300" s="16" t="s">
        <v>1487</v>
      </c>
      <c r="REK300" s="16" t="s">
        <v>1487</v>
      </c>
      <c r="REL300" s="16" t="s">
        <v>1487</v>
      </c>
      <c r="REM300" s="16" t="s">
        <v>1487</v>
      </c>
      <c r="REN300" s="16" t="s">
        <v>1487</v>
      </c>
      <c r="REO300" s="16" t="s">
        <v>1487</v>
      </c>
      <c r="REP300" s="16" t="s">
        <v>1487</v>
      </c>
      <c r="REQ300" s="16" t="s">
        <v>1487</v>
      </c>
      <c r="RER300" s="16" t="s">
        <v>1487</v>
      </c>
      <c r="RES300" s="16" t="s">
        <v>1487</v>
      </c>
      <c r="RET300" s="16" t="s">
        <v>1487</v>
      </c>
      <c r="REU300" s="16" t="s">
        <v>1487</v>
      </c>
      <c r="REV300" s="16" t="s">
        <v>1487</v>
      </c>
      <c r="REW300" s="16" t="s">
        <v>1487</v>
      </c>
      <c r="REX300" s="16" t="s">
        <v>1487</v>
      </c>
      <c r="REY300" s="16" t="s">
        <v>1487</v>
      </c>
      <c r="REZ300" s="16" t="s">
        <v>1487</v>
      </c>
      <c r="RFA300" s="16" t="s">
        <v>1487</v>
      </c>
      <c r="RFB300" s="16" t="s">
        <v>1487</v>
      </c>
      <c r="RFC300" s="16" t="s">
        <v>1487</v>
      </c>
      <c r="RFD300" s="16" t="s">
        <v>1487</v>
      </c>
      <c r="RFE300" s="16" t="s">
        <v>1487</v>
      </c>
      <c r="RFF300" s="16" t="s">
        <v>1487</v>
      </c>
      <c r="RFG300" s="16" t="s">
        <v>1487</v>
      </c>
      <c r="RFH300" s="16" t="s">
        <v>1487</v>
      </c>
      <c r="RFI300" s="16" t="s">
        <v>1487</v>
      </c>
      <c r="RFJ300" s="16" t="s">
        <v>1487</v>
      </c>
      <c r="RFK300" s="16" t="s">
        <v>1487</v>
      </c>
      <c r="RFL300" s="16" t="s">
        <v>1487</v>
      </c>
      <c r="RFM300" s="16" t="s">
        <v>1487</v>
      </c>
      <c r="RFN300" s="16" t="s">
        <v>1487</v>
      </c>
      <c r="RFO300" s="16" t="s">
        <v>1487</v>
      </c>
      <c r="RFP300" s="16" t="s">
        <v>1487</v>
      </c>
      <c r="RFQ300" s="16" t="s">
        <v>1487</v>
      </c>
      <c r="RFR300" s="16" t="s">
        <v>1487</v>
      </c>
      <c r="RFS300" s="16" t="s">
        <v>1487</v>
      </c>
      <c r="RFT300" s="16" t="s">
        <v>1487</v>
      </c>
      <c r="RFU300" s="16" t="s">
        <v>1487</v>
      </c>
      <c r="RFV300" s="16" t="s">
        <v>1487</v>
      </c>
      <c r="RFW300" s="16" t="s">
        <v>1487</v>
      </c>
      <c r="RFX300" s="16" t="s">
        <v>1487</v>
      </c>
      <c r="RFY300" s="16" t="s">
        <v>1487</v>
      </c>
      <c r="RFZ300" s="16" t="s">
        <v>1487</v>
      </c>
      <c r="RGA300" s="16" t="s">
        <v>1487</v>
      </c>
      <c r="RGB300" s="16" t="s">
        <v>1487</v>
      </c>
      <c r="RGC300" s="16" t="s">
        <v>1487</v>
      </c>
      <c r="RGD300" s="16" t="s">
        <v>1487</v>
      </c>
      <c r="RGE300" s="16" t="s">
        <v>1487</v>
      </c>
      <c r="RGF300" s="16" t="s">
        <v>1487</v>
      </c>
      <c r="RGG300" s="16" t="s">
        <v>1487</v>
      </c>
      <c r="RGH300" s="16" t="s">
        <v>1487</v>
      </c>
      <c r="RGI300" s="16" t="s">
        <v>1487</v>
      </c>
      <c r="RGJ300" s="16" t="s">
        <v>1487</v>
      </c>
      <c r="RGK300" s="16" t="s">
        <v>1487</v>
      </c>
      <c r="RGL300" s="16" t="s">
        <v>1487</v>
      </c>
      <c r="RGM300" s="16" t="s">
        <v>1487</v>
      </c>
      <c r="RGN300" s="16" t="s">
        <v>1487</v>
      </c>
      <c r="RGO300" s="16" t="s">
        <v>1487</v>
      </c>
      <c r="RGP300" s="16" t="s">
        <v>1487</v>
      </c>
      <c r="RGQ300" s="16" t="s">
        <v>1487</v>
      </c>
      <c r="RGR300" s="16" t="s">
        <v>1487</v>
      </c>
      <c r="RGS300" s="16" t="s">
        <v>1487</v>
      </c>
      <c r="RGT300" s="16" t="s">
        <v>1487</v>
      </c>
      <c r="RGU300" s="16" t="s">
        <v>1487</v>
      </c>
      <c r="RGV300" s="16" t="s">
        <v>1487</v>
      </c>
      <c r="RGW300" s="16" t="s">
        <v>1487</v>
      </c>
      <c r="RGX300" s="16" t="s">
        <v>1487</v>
      </c>
      <c r="RGY300" s="16" t="s">
        <v>1487</v>
      </c>
      <c r="RGZ300" s="16" t="s">
        <v>1487</v>
      </c>
      <c r="RHA300" s="16" t="s">
        <v>1487</v>
      </c>
      <c r="RHB300" s="16" t="s">
        <v>1487</v>
      </c>
      <c r="RHC300" s="16" t="s">
        <v>1487</v>
      </c>
      <c r="RHD300" s="16" t="s">
        <v>1487</v>
      </c>
      <c r="RHE300" s="16" t="s">
        <v>1487</v>
      </c>
      <c r="RHF300" s="16" t="s">
        <v>1487</v>
      </c>
      <c r="RHG300" s="16" t="s">
        <v>1487</v>
      </c>
      <c r="RHH300" s="16" t="s">
        <v>1487</v>
      </c>
      <c r="RHI300" s="16" t="s">
        <v>1487</v>
      </c>
      <c r="RHJ300" s="16" t="s">
        <v>1487</v>
      </c>
      <c r="RHK300" s="16" t="s">
        <v>1487</v>
      </c>
      <c r="RHL300" s="16" t="s">
        <v>1487</v>
      </c>
      <c r="RHM300" s="16" t="s">
        <v>1487</v>
      </c>
      <c r="RHN300" s="16" t="s">
        <v>1487</v>
      </c>
      <c r="RHO300" s="16" t="s">
        <v>1487</v>
      </c>
      <c r="RHP300" s="16" t="s">
        <v>1487</v>
      </c>
      <c r="RHQ300" s="16" t="s">
        <v>1487</v>
      </c>
      <c r="RHR300" s="16" t="s">
        <v>1487</v>
      </c>
      <c r="RHS300" s="16" t="s">
        <v>1487</v>
      </c>
      <c r="RHT300" s="16" t="s">
        <v>1487</v>
      </c>
      <c r="RHU300" s="16" t="s">
        <v>1487</v>
      </c>
      <c r="RHV300" s="16" t="s">
        <v>1487</v>
      </c>
      <c r="RHW300" s="16" t="s">
        <v>1487</v>
      </c>
      <c r="RHX300" s="16" t="s">
        <v>1487</v>
      </c>
      <c r="RHY300" s="16" t="s">
        <v>1487</v>
      </c>
      <c r="RHZ300" s="16" t="s">
        <v>1487</v>
      </c>
      <c r="RIA300" s="16" t="s">
        <v>1487</v>
      </c>
      <c r="RIB300" s="16" t="s">
        <v>1487</v>
      </c>
      <c r="RIC300" s="16" t="s">
        <v>1487</v>
      </c>
      <c r="RID300" s="16" t="s">
        <v>1487</v>
      </c>
      <c r="RIE300" s="16" t="s">
        <v>1487</v>
      </c>
      <c r="RIF300" s="16" t="s">
        <v>1487</v>
      </c>
      <c r="RIG300" s="16" t="s">
        <v>1487</v>
      </c>
      <c r="RIH300" s="16" t="s">
        <v>1487</v>
      </c>
      <c r="RII300" s="16" t="s">
        <v>1487</v>
      </c>
      <c r="RIJ300" s="16" t="s">
        <v>1487</v>
      </c>
      <c r="RIK300" s="16" t="s">
        <v>1487</v>
      </c>
      <c r="RIL300" s="16" t="s">
        <v>1487</v>
      </c>
      <c r="RIM300" s="16" t="s">
        <v>1487</v>
      </c>
      <c r="RIN300" s="16" t="s">
        <v>1487</v>
      </c>
      <c r="RIO300" s="16" t="s">
        <v>1487</v>
      </c>
      <c r="RIP300" s="16" t="s">
        <v>1487</v>
      </c>
      <c r="RIQ300" s="16" t="s">
        <v>1487</v>
      </c>
      <c r="RIR300" s="16" t="s">
        <v>1487</v>
      </c>
      <c r="RIS300" s="16" t="s">
        <v>1487</v>
      </c>
      <c r="RIT300" s="16" t="s">
        <v>1487</v>
      </c>
      <c r="RIU300" s="16" t="s">
        <v>1487</v>
      </c>
      <c r="RIV300" s="16" t="s">
        <v>1487</v>
      </c>
      <c r="RIW300" s="16" t="s">
        <v>1487</v>
      </c>
      <c r="RIX300" s="16" t="s">
        <v>1487</v>
      </c>
      <c r="RIY300" s="16" t="s">
        <v>1487</v>
      </c>
      <c r="RIZ300" s="16" t="s">
        <v>1487</v>
      </c>
      <c r="RJA300" s="16" t="s">
        <v>1487</v>
      </c>
      <c r="RJB300" s="16" t="s">
        <v>1487</v>
      </c>
      <c r="RJC300" s="16" t="s">
        <v>1487</v>
      </c>
      <c r="RJD300" s="16" t="s">
        <v>1487</v>
      </c>
      <c r="RJE300" s="16" t="s">
        <v>1487</v>
      </c>
      <c r="RJF300" s="16" t="s">
        <v>1487</v>
      </c>
      <c r="RJG300" s="16" t="s">
        <v>1487</v>
      </c>
      <c r="RJH300" s="16" t="s">
        <v>1487</v>
      </c>
      <c r="RJI300" s="16" t="s">
        <v>1487</v>
      </c>
      <c r="RJJ300" s="16" t="s">
        <v>1487</v>
      </c>
      <c r="RJK300" s="16" t="s">
        <v>1487</v>
      </c>
      <c r="RJL300" s="16" t="s">
        <v>1487</v>
      </c>
      <c r="RJM300" s="16" t="s">
        <v>1487</v>
      </c>
      <c r="RJN300" s="16" t="s">
        <v>1487</v>
      </c>
      <c r="RJO300" s="16" t="s">
        <v>1487</v>
      </c>
      <c r="RJP300" s="16" t="s">
        <v>1487</v>
      </c>
      <c r="RJQ300" s="16" t="s">
        <v>1487</v>
      </c>
      <c r="RJR300" s="16" t="s">
        <v>1487</v>
      </c>
      <c r="RJS300" s="16" t="s">
        <v>1487</v>
      </c>
      <c r="RJT300" s="16" t="s">
        <v>1487</v>
      </c>
      <c r="RJU300" s="16" t="s">
        <v>1487</v>
      </c>
      <c r="RJV300" s="16" t="s">
        <v>1487</v>
      </c>
      <c r="RJW300" s="16" t="s">
        <v>1487</v>
      </c>
      <c r="RJX300" s="16" t="s">
        <v>1487</v>
      </c>
      <c r="RJY300" s="16" t="s">
        <v>1487</v>
      </c>
      <c r="RJZ300" s="16" t="s">
        <v>1487</v>
      </c>
      <c r="RKA300" s="16" t="s">
        <v>1487</v>
      </c>
      <c r="RKB300" s="16" t="s">
        <v>1487</v>
      </c>
      <c r="RKC300" s="16" t="s">
        <v>1487</v>
      </c>
      <c r="RKD300" s="16" t="s">
        <v>1487</v>
      </c>
      <c r="RKE300" s="16" t="s">
        <v>1487</v>
      </c>
      <c r="RKF300" s="16" t="s">
        <v>1487</v>
      </c>
      <c r="RKG300" s="16" t="s">
        <v>1487</v>
      </c>
      <c r="RKH300" s="16" t="s">
        <v>1487</v>
      </c>
      <c r="RKI300" s="16" t="s">
        <v>1487</v>
      </c>
      <c r="RKJ300" s="16" t="s">
        <v>1487</v>
      </c>
      <c r="RKK300" s="16" t="s">
        <v>1487</v>
      </c>
      <c r="RKL300" s="16" t="s">
        <v>1487</v>
      </c>
      <c r="RKM300" s="16" t="s">
        <v>1487</v>
      </c>
      <c r="RKN300" s="16" t="s">
        <v>1487</v>
      </c>
      <c r="RKO300" s="16" t="s">
        <v>1487</v>
      </c>
      <c r="RKP300" s="16" t="s">
        <v>1487</v>
      </c>
      <c r="RKQ300" s="16" t="s">
        <v>1487</v>
      </c>
      <c r="RKR300" s="16" t="s">
        <v>1487</v>
      </c>
      <c r="RKS300" s="16" t="s">
        <v>1487</v>
      </c>
      <c r="RKT300" s="16" t="s">
        <v>1487</v>
      </c>
      <c r="RKU300" s="16" t="s">
        <v>1487</v>
      </c>
      <c r="RKV300" s="16" t="s">
        <v>1487</v>
      </c>
      <c r="RKW300" s="16" t="s">
        <v>1487</v>
      </c>
      <c r="RKX300" s="16" t="s">
        <v>1487</v>
      </c>
      <c r="RKY300" s="16" t="s">
        <v>1487</v>
      </c>
      <c r="RKZ300" s="16" t="s">
        <v>1487</v>
      </c>
      <c r="RLA300" s="16" t="s">
        <v>1487</v>
      </c>
      <c r="RLB300" s="16" t="s">
        <v>1487</v>
      </c>
      <c r="RLC300" s="16" t="s">
        <v>1487</v>
      </c>
      <c r="RLD300" s="16" t="s">
        <v>1487</v>
      </c>
      <c r="RLE300" s="16" t="s">
        <v>1487</v>
      </c>
      <c r="RLF300" s="16" t="s">
        <v>1487</v>
      </c>
      <c r="RLG300" s="16" t="s">
        <v>1487</v>
      </c>
      <c r="RLH300" s="16" t="s">
        <v>1487</v>
      </c>
      <c r="RLI300" s="16" t="s">
        <v>1487</v>
      </c>
      <c r="RLJ300" s="16" t="s">
        <v>1487</v>
      </c>
      <c r="RLK300" s="16" t="s">
        <v>1487</v>
      </c>
      <c r="RLL300" s="16" t="s">
        <v>1487</v>
      </c>
      <c r="RLM300" s="16" t="s">
        <v>1487</v>
      </c>
      <c r="RLN300" s="16" t="s">
        <v>1487</v>
      </c>
      <c r="RLO300" s="16" t="s">
        <v>1487</v>
      </c>
      <c r="RLP300" s="16" t="s">
        <v>1487</v>
      </c>
      <c r="RLQ300" s="16" t="s">
        <v>1487</v>
      </c>
      <c r="RLR300" s="16" t="s">
        <v>1487</v>
      </c>
      <c r="RLS300" s="16" t="s">
        <v>1487</v>
      </c>
      <c r="RLT300" s="16" t="s">
        <v>1487</v>
      </c>
      <c r="RLU300" s="16" t="s">
        <v>1487</v>
      </c>
      <c r="RLV300" s="16" t="s">
        <v>1487</v>
      </c>
      <c r="RLW300" s="16" t="s">
        <v>1487</v>
      </c>
      <c r="RLX300" s="16" t="s">
        <v>1487</v>
      </c>
      <c r="RLY300" s="16" t="s">
        <v>1487</v>
      </c>
      <c r="RLZ300" s="16" t="s">
        <v>1487</v>
      </c>
      <c r="RMA300" s="16" t="s">
        <v>1487</v>
      </c>
      <c r="RMB300" s="16" t="s">
        <v>1487</v>
      </c>
      <c r="RMC300" s="16" t="s">
        <v>1487</v>
      </c>
      <c r="RMD300" s="16" t="s">
        <v>1487</v>
      </c>
      <c r="RME300" s="16" t="s">
        <v>1487</v>
      </c>
      <c r="RMF300" s="16" t="s">
        <v>1487</v>
      </c>
      <c r="RMG300" s="16" t="s">
        <v>1487</v>
      </c>
      <c r="RMH300" s="16" t="s">
        <v>1487</v>
      </c>
      <c r="RMI300" s="16" t="s">
        <v>1487</v>
      </c>
      <c r="RMJ300" s="16" t="s">
        <v>1487</v>
      </c>
      <c r="RMK300" s="16" t="s">
        <v>1487</v>
      </c>
      <c r="RML300" s="16" t="s">
        <v>1487</v>
      </c>
      <c r="RMM300" s="16" t="s">
        <v>1487</v>
      </c>
      <c r="RMN300" s="16" t="s">
        <v>1487</v>
      </c>
      <c r="RMO300" s="16" t="s">
        <v>1487</v>
      </c>
      <c r="RMP300" s="16" t="s">
        <v>1487</v>
      </c>
      <c r="RMQ300" s="16" t="s">
        <v>1487</v>
      </c>
      <c r="RMR300" s="16" t="s">
        <v>1487</v>
      </c>
      <c r="RMS300" s="16" t="s">
        <v>1487</v>
      </c>
      <c r="RMT300" s="16" t="s">
        <v>1487</v>
      </c>
      <c r="RMU300" s="16" t="s">
        <v>1487</v>
      </c>
      <c r="RMV300" s="16" t="s">
        <v>1487</v>
      </c>
      <c r="RMW300" s="16" t="s">
        <v>1487</v>
      </c>
      <c r="RMX300" s="16" t="s">
        <v>1487</v>
      </c>
      <c r="RMY300" s="16" t="s">
        <v>1487</v>
      </c>
      <c r="RMZ300" s="16" t="s">
        <v>1487</v>
      </c>
      <c r="RNA300" s="16" t="s">
        <v>1487</v>
      </c>
      <c r="RNB300" s="16" t="s">
        <v>1487</v>
      </c>
      <c r="RNC300" s="16" t="s">
        <v>1487</v>
      </c>
      <c r="RND300" s="16" t="s">
        <v>1487</v>
      </c>
      <c r="RNE300" s="16" t="s">
        <v>1487</v>
      </c>
      <c r="RNF300" s="16" t="s">
        <v>1487</v>
      </c>
      <c r="RNG300" s="16" t="s">
        <v>1487</v>
      </c>
      <c r="RNH300" s="16" t="s">
        <v>1487</v>
      </c>
      <c r="RNI300" s="16" t="s">
        <v>1487</v>
      </c>
      <c r="RNJ300" s="16" t="s">
        <v>1487</v>
      </c>
      <c r="RNK300" s="16" t="s">
        <v>1487</v>
      </c>
      <c r="RNL300" s="16" t="s">
        <v>1487</v>
      </c>
      <c r="RNM300" s="16" t="s">
        <v>1487</v>
      </c>
      <c r="RNN300" s="16" t="s">
        <v>1487</v>
      </c>
      <c r="RNO300" s="16" t="s">
        <v>1487</v>
      </c>
      <c r="RNP300" s="16" t="s">
        <v>1487</v>
      </c>
      <c r="RNQ300" s="16" t="s">
        <v>1487</v>
      </c>
      <c r="RNR300" s="16" t="s">
        <v>1487</v>
      </c>
      <c r="RNS300" s="16" t="s">
        <v>1487</v>
      </c>
      <c r="RNT300" s="16" t="s">
        <v>1487</v>
      </c>
      <c r="RNU300" s="16" t="s">
        <v>1487</v>
      </c>
      <c r="RNV300" s="16" t="s">
        <v>1487</v>
      </c>
      <c r="RNW300" s="16" t="s">
        <v>1487</v>
      </c>
      <c r="RNX300" s="16" t="s">
        <v>1487</v>
      </c>
      <c r="RNY300" s="16" t="s">
        <v>1487</v>
      </c>
      <c r="RNZ300" s="16" t="s">
        <v>1487</v>
      </c>
      <c r="ROA300" s="16" t="s">
        <v>1487</v>
      </c>
      <c r="ROB300" s="16" t="s">
        <v>1487</v>
      </c>
      <c r="ROC300" s="16" t="s">
        <v>1487</v>
      </c>
      <c r="ROD300" s="16" t="s">
        <v>1487</v>
      </c>
      <c r="ROE300" s="16" t="s">
        <v>1487</v>
      </c>
      <c r="ROF300" s="16" t="s">
        <v>1487</v>
      </c>
      <c r="ROG300" s="16" t="s">
        <v>1487</v>
      </c>
      <c r="ROH300" s="16" t="s">
        <v>1487</v>
      </c>
      <c r="ROI300" s="16" t="s">
        <v>1487</v>
      </c>
      <c r="ROJ300" s="16" t="s">
        <v>1487</v>
      </c>
      <c r="ROK300" s="16" t="s">
        <v>1487</v>
      </c>
      <c r="ROL300" s="16" t="s">
        <v>1487</v>
      </c>
      <c r="ROM300" s="16" t="s">
        <v>1487</v>
      </c>
      <c r="RON300" s="16" t="s">
        <v>1487</v>
      </c>
      <c r="ROO300" s="16" t="s">
        <v>1487</v>
      </c>
      <c r="ROP300" s="16" t="s">
        <v>1487</v>
      </c>
      <c r="ROQ300" s="16" t="s">
        <v>1487</v>
      </c>
      <c r="ROR300" s="16" t="s">
        <v>1487</v>
      </c>
      <c r="ROS300" s="16" t="s">
        <v>1487</v>
      </c>
      <c r="ROT300" s="16" t="s">
        <v>1487</v>
      </c>
      <c r="ROU300" s="16" t="s">
        <v>1487</v>
      </c>
      <c r="ROV300" s="16" t="s">
        <v>1487</v>
      </c>
      <c r="ROW300" s="16" t="s">
        <v>1487</v>
      </c>
      <c r="ROX300" s="16" t="s">
        <v>1487</v>
      </c>
      <c r="ROY300" s="16" t="s">
        <v>1487</v>
      </c>
      <c r="ROZ300" s="16" t="s">
        <v>1487</v>
      </c>
      <c r="RPA300" s="16" t="s">
        <v>1487</v>
      </c>
      <c r="RPB300" s="16" t="s">
        <v>1487</v>
      </c>
      <c r="RPC300" s="16" t="s">
        <v>1487</v>
      </c>
      <c r="RPD300" s="16" t="s">
        <v>1487</v>
      </c>
      <c r="RPE300" s="16" t="s">
        <v>1487</v>
      </c>
      <c r="RPF300" s="16" t="s">
        <v>1487</v>
      </c>
      <c r="RPG300" s="16" t="s">
        <v>1487</v>
      </c>
      <c r="RPH300" s="16" t="s">
        <v>1487</v>
      </c>
      <c r="RPI300" s="16" t="s">
        <v>1487</v>
      </c>
      <c r="RPJ300" s="16" t="s">
        <v>1487</v>
      </c>
      <c r="RPK300" s="16" t="s">
        <v>1487</v>
      </c>
      <c r="RPL300" s="16" t="s">
        <v>1487</v>
      </c>
      <c r="RPM300" s="16" t="s">
        <v>1487</v>
      </c>
      <c r="RPN300" s="16" t="s">
        <v>1487</v>
      </c>
      <c r="RPO300" s="16" t="s">
        <v>1487</v>
      </c>
      <c r="RPP300" s="16" t="s">
        <v>1487</v>
      </c>
      <c r="RPQ300" s="16" t="s">
        <v>1487</v>
      </c>
      <c r="RPR300" s="16" t="s">
        <v>1487</v>
      </c>
      <c r="RPS300" s="16" t="s">
        <v>1487</v>
      </c>
      <c r="RPT300" s="16" t="s">
        <v>1487</v>
      </c>
      <c r="RPU300" s="16" t="s">
        <v>1487</v>
      </c>
      <c r="RPV300" s="16" t="s">
        <v>1487</v>
      </c>
      <c r="RPW300" s="16" t="s">
        <v>1487</v>
      </c>
      <c r="RPX300" s="16" t="s">
        <v>1487</v>
      </c>
      <c r="RPY300" s="16" t="s">
        <v>1487</v>
      </c>
      <c r="RPZ300" s="16" t="s">
        <v>1487</v>
      </c>
      <c r="RQA300" s="16" t="s">
        <v>1487</v>
      </c>
      <c r="RQB300" s="16" t="s">
        <v>1487</v>
      </c>
      <c r="RQC300" s="16" t="s">
        <v>1487</v>
      </c>
      <c r="RQD300" s="16" t="s">
        <v>1487</v>
      </c>
      <c r="RQE300" s="16" t="s">
        <v>1487</v>
      </c>
      <c r="RQF300" s="16" t="s">
        <v>1487</v>
      </c>
      <c r="RQG300" s="16" t="s">
        <v>1487</v>
      </c>
      <c r="RQH300" s="16" t="s">
        <v>1487</v>
      </c>
      <c r="RQI300" s="16" t="s">
        <v>1487</v>
      </c>
      <c r="RQJ300" s="16" t="s">
        <v>1487</v>
      </c>
      <c r="RQK300" s="16" t="s">
        <v>1487</v>
      </c>
      <c r="RQL300" s="16" t="s">
        <v>1487</v>
      </c>
      <c r="RQM300" s="16" t="s">
        <v>1487</v>
      </c>
      <c r="RQN300" s="16" t="s">
        <v>1487</v>
      </c>
      <c r="RQO300" s="16" t="s">
        <v>1487</v>
      </c>
      <c r="RQP300" s="16" t="s">
        <v>1487</v>
      </c>
      <c r="RQQ300" s="16" t="s">
        <v>1487</v>
      </c>
      <c r="RQR300" s="16" t="s">
        <v>1487</v>
      </c>
      <c r="RQS300" s="16" t="s">
        <v>1487</v>
      </c>
      <c r="RQT300" s="16" t="s">
        <v>1487</v>
      </c>
      <c r="RQU300" s="16" t="s">
        <v>1487</v>
      </c>
      <c r="RQV300" s="16" t="s">
        <v>1487</v>
      </c>
      <c r="RQW300" s="16" t="s">
        <v>1487</v>
      </c>
      <c r="RQX300" s="16" t="s">
        <v>1487</v>
      </c>
      <c r="RQY300" s="16" t="s">
        <v>1487</v>
      </c>
      <c r="RQZ300" s="16" t="s">
        <v>1487</v>
      </c>
      <c r="RRA300" s="16" t="s">
        <v>1487</v>
      </c>
      <c r="RRB300" s="16" t="s">
        <v>1487</v>
      </c>
      <c r="RRC300" s="16" t="s">
        <v>1487</v>
      </c>
      <c r="RRD300" s="16" t="s">
        <v>1487</v>
      </c>
      <c r="RRE300" s="16" t="s">
        <v>1487</v>
      </c>
      <c r="RRF300" s="16" t="s">
        <v>1487</v>
      </c>
      <c r="RRG300" s="16" t="s">
        <v>1487</v>
      </c>
      <c r="RRH300" s="16" t="s">
        <v>1487</v>
      </c>
      <c r="RRI300" s="16" t="s">
        <v>1487</v>
      </c>
      <c r="RRJ300" s="16" t="s">
        <v>1487</v>
      </c>
      <c r="RRK300" s="16" t="s">
        <v>1487</v>
      </c>
      <c r="RRL300" s="16" t="s">
        <v>1487</v>
      </c>
      <c r="RRM300" s="16" t="s">
        <v>1487</v>
      </c>
      <c r="RRN300" s="16" t="s">
        <v>1487</v>
      </c>
      <c r="RRO300" s="16" t="s">
        <v>1487</v>
      </c>
      <c r="RRP300" s="16" t="s">
        <v>1487</v>
      </c>
      <c r="RRQ300" s="16" t="s">
        <v>1487</v>
      </c>
      <c r="RRR300" s="16" t="s">
        <v>1487</v>
      </c>
      <c r="RRS300" s="16" t="s">
        <v>1487</v>
      </c>
      <c r="RRT300" s="16" t="s">
        <v>1487</v>
      </c>
      <c r="RRU300" s="16" t="s">
        <v>1487</v>
      </c>
      <c r="RRV300" s="16" t="s">
        <v>1487</v>
      </c>
      <c r="RRW300" s="16" t="s">
        <v>1487</v>
      </c>
      <c r="RRX300" s="16" t="s">
        <v>1487</v>
      </c>
      <c r="RRY300" s="16" t="s">
        <v>1487</v>
      </c>
      <c r="RRZ300" s="16" t="s">
        <v>1487</v>
      </c>
      <c r="RSA300" s="16" t="s">
        <v>1487</v>
      </c>
      <c r="RSB300" s="16" t="s">
        <v>1487</v>
      </c>
      <c r="RSC300" s="16" t="s">
        <v>1487</v>
      </c>
      <c r="RSD300" s="16" t="s">
        <v>1487</v>
      </c>
      <c r="RSE300" s="16" t="s">
        <v>1487</v>
      </c>
      <c r="RSF300" s="16" t="s">
        <v>1487</v>
      </c>
      <c r="RSG300" s="16" t="s">
        <v>1487</v>
      </c>
      <c r="RSH300" s="16" t="s">
        <v>1487</v>
      </c>
      <c r="RSI300" s="16" t="s">
        <v>1487</v>
      </c>
      <c r="RSJ300" s="16" t="s">
        <v>1487</v>
      </c>
      <c r="RSK300" s="16" t="s">
        <v>1487</v>
      </c>
      <c r="RSL300" s="16" t="s">
        <v>1487</v>
      </c>
      <c r="RSM300" s="16" t="s">
        <v>1487</v>
      </c>
      <c r="RSN300" s="16" t="s">
        <v>1487</v>
      </c>
      <c r="RSO300" s="16" t="s">
        <v>1487</v>
      </c>
      <c r="RSP300" s="16" t="s">
        <v>1487</v>
      </c>
      <c r="RSQ300" s="16" t="s">
        <v>1487</v>
      </c>
      <c r="RSR300" s="16" t="s">
        <v>1487</v>
      </c>
      <c r="RSS300" s="16" t="s">
        <v>1487</v>
      </c>
      <c r="RST300" s="16" t="s">
        <v>1487</v>
      </c>
      <c r="RSU300" s="16" t="s">
        <v>1487</v>
      </c>
      <c r="RSV300" s="16" t="s">
        <v>1487</v>
      </c>
      <c r="RSW300" s="16" t="s">
        <v>1487</v>
      </c>
      <c r="RSX300" s="16" t="s">
        <v>1487</v>
      </c>
      <c r="RSY300" s="16" t="s">
        <v>1487</v>
      </c>
      <c r="RSZ300" s="16" t="s">
        <v>1487</v>
      </c>
      <c r="RTA300" s="16" t="s">
        <v>1487</v>
      </c>
      <c r="RTB300" s="16" t="s">
        <v>1487</v>
      </c>
      <c r="RTC300" s="16" t="s">
        <v>1487</v>
      </c>
      <c r="RTD300" s="16" t="s">
        <v>1487</v>
      </c>
      <c r="RTE300" s="16" t="s">
        <v>1487</v>
      </c>
      <c r="RTF300" s="16" t="s">
        <v>1487</v>
      </c>
      <c r="RTG300" s="16" t="s">
        <v>1487</v>
      </c>
      <c r="RTH300" s="16" t="s">
        <v>1487</v>
      </c>
      <c r="RTI300" s="16" t="s">
        <v>1487</v>
      </c>
      <c r="RTJ300" s="16" t="s">
        <v>1487</v>
      </c>
      <c r="RTK300" s="16" t="s">
        <v>1487</v>
      </c>
      <c r="RTL300" s="16" t="s">
        <v>1487</v>
      </c>
      <c r="RTM300" s="16" t="s">
        <v>1487</v>
      </c>
      <c r="RTN300" s="16" t="s">
        <v>1487</v>
      </c>
      <c r="RTO300" s="16" t="s">
        <v>1487</v>
      </c>
      <c r="RTP300" s="16" t="s">
        <v>1487</v>
      </c>
      <c r="RTQ300" s="16" t="s">
        <v>1487</v>
      </c>
      <c r="RTR300" s="16" t="s">
        <v>1487</v>
      </c>
      <c r="RTS300" s="16" t="s">
        <v>1487</v>
      </c>
      <c r="RTT300" s="16" t="s">
        <v>1487</v>
      </c>
      <c r="RTU300" s="16" t="s">
        <v>1487</v>
      </c>
      <c r="RTV300" s="16" t="s">
        <v>1487</v>
      </c>
      <c r="RTW300" s="16" t="s">
        <v>1487</v>
      </c>
      <c r="RTX300" s="16" t="s">
        <v>1487</v>
      </c>
      <c r="RTY300" s="16" t="s">
        <v>1487</v>
      </c>
      <c r="RTZ300" s="16" t="s">
        <v>1487</v>
      </c>
      <c r="RUA300" s="16" t="s">
        <v>1487</v>
      </c>
      <c r="RUB300" s="16" t="s">
        <v>1487</v>
      </c>
      <c r="RUC300" s="16" t="s">
        <v>1487</v>
      </c>
      <c r="RUD300" s="16" t="s">
        <v>1487</v>
      </c>
      <c r="RUE300" s="16" t="s">
        <v>1487</v>
      </c>
      <c r="RUF300" s="16" t="s">
        <v>1487</v>
      </c>
      <c r="RUG300" s="16" t="s">
        <v>1487</v>
      </c>
      <c r="RUH300" s="16" t="s">
        <v>1487</v>
      </c>
      <c r="RUI300" s="16" t="s">
        <v>1487</v>
      </c>
      <c r="RUJ300" s="16" t="s">
        <v>1487</v>
      </c>
      <c r="RUK300" s="16" t="s">
        <v>1487</v>
      </c>
      <c r="RUL300" s="16" t="s">
        <v>1487</v>
      </c>
      <c r="RUM300" s="16" t="s">
        <v>1487</v>
      </c>
      <c r="RUN300" s="16" t="s">
        <v>1487</v>
      </c>
      <c r="RUO300" s="16" t="s">
        <v>1487</v>
      </c>
      <c r="RUP300" s="16" t="s">
        <v>1487</v>
      </c>
      <c r="RUQ300" s="16" t="s">
        <v>1487</v>
      </c>
      <c r="RUR300" s="16" t="s">
        <v>1487</v>
      </c>
      <c r="RUS300" s="16" t="s">
        <v>1487</v>
      </c>
      <c r="RUT300" s="16" t="s">
        <v>1487</v>
      </c>
      <c r="RUU300" s="16" t="s">
        <v>1487</v>
      </c>
      <c r="RUV300" s="16" t="s">
        <v>1487</v>
      </c>
      <c r="RUW300" s="16" t="s">
        <v>1487</v>
      </c>
      <c r="RUX300" s="16" t="s">
        <v>1487</v>
      </c>
      <c r="RUY300" s="16" t="s">
        <v>1487</v>
      </c>
      <c r="RUZ300" s="16" t="s">
        <v>1487</v>
      </c>
      <c r="RVA300" s="16" t="s">
        <v>1487</v>
      </c>
      <c r="RVB300" s="16" t="s">
        <v>1487</v>
      </c>
      <c r="RVC300" s="16" t="s">
        <v>1487</v>
      </c>
      <c r="RVD300" s="16" t="s">
        <v>1487</v>
      </c>
      <c r="RVE300" s="16" t="s">
        <v>1487</v>
      </c>
      <c r="RVF300" s="16" t="s">
        <v>1487</v>
      </c>
      <c r="RVG300" s="16" t="s">
        <v>1487</v>
      </c>
      <c r="RVH300" s="16" t="s">
        <v>1487</v>
      </c>
      <c r="RVI300" s="16" t="s">
        <v>1487</v>
      </c>
      <c r="RVJ300" s="16" t="s">
        <v>1487</v>
      </c>
      <c r="RVK300" s="16" t="s">
        <v>1487</v>
      </c>
      <c r="RVL300" s="16" t="s">
        <v>1487</v>
      </c>
      <c r="RVM300" s="16" t="s">
        <v>1487</v>
      </c>
      <c r="RVN300" s="16" t="s">
        <v>1487</v>
      </c>
      <c r="RVO300" s="16" t="s">
        <v>1487</v>
      </c>
      <c r="RVP300" s="16" t="s">
        <v>1487</v>
      </c>
      <c r="RVQ300" s="16" t="s">
        <v>1487</v>
      </c>
      <c r="RVR300" s="16" t="s">
        <v>1487</v>
      </c>
      <c r="RVS300" s="16" t="s">
        <v>1487</v>
      </c>
      <c r="RVT300" s="16" t="s">
        <v>1487</v>
      </c>
      <c r="RVU300" s="16" t="s">
        <v>1487</v>
      </c>
      <c r="RVV300" s="16" t="s">
        <v>1487</v>
      </c>
      <c r="RVW300" s="16" t="s">
        <v>1487</v>
      </c>
      <c r="RVX300" s="16" t="s">
        <v>1487</v>
      </c>
      <c r="RVY300" s="16" t="s">
        <v>1487</v>
      </c>
      <c r="RVZ300" s="16" t="s">
        <v>1487</v>
      </c>
      <c r="RWA300" s="16" t="s">
        <v>1487</v>
      </c>
      <c r="RWB300" s="16" t="s">
        <v>1487</v>
      </c>
      <c r="RWC300" s="16" t="s">
        <v>1487</v>
      </c>
      <c r="RWD300" s="16" t="s">
        <v>1487</v>
      </c>
      <c r="RWE300" s="16" t="s">
        <v>1487</v>
      </c>
      <c r="RWF300" s="16" t="s">
        <v>1487</v>
      </c>
      <c r="RWG300" s="16" t="s">
        <v>1487</v>
      </c>
      <c r="RWH300" s="16" t="s">
        <v>1487</v>
      </c>
      <c r="RWI300" s="16" t="s">
        <v>1487</v>
      </c>
      <c r="RWJ300" s="16" t="s">
        <v>1487</v>
      </c>
      <c r="RWK300" s="16" t="s">
        <v>1487</v>
      </c>
      <c r="RWL300" s="16" t="s">
        <v>1487</v>
      </c>
      <c r="RWM300" s="16" t="s">
        <v>1487</v>
      </c>
      <c r="RWN300" s="16" t="s">
        <v>1487</v>
      </c>
      <c r="RWO300" s="16" t="s">
        <v>1487</v>
      </c>
      <c r="RWP300" s="16" t="s">
        <v>1487</v>
      </c>
      <c r="RWQ300" s="16" t="s">
        <v>1487</v>
      </c>
      <c r="RWR300" s="16" t="s">
        <v>1487</v>
      </c>
      <c r="RWS300" s="16" t="s">
        <v>1487</v>
      </c>
      <c r="RWT300" s="16" t="s">
        <v>1487</v>
      </c>
      <c r="RWU300" s="16" t="s">
        <v>1487</v>
      </c>
      <c r="RWV300" s="16" t="s">
        <v>1487</v>
      </c>
      <c r="RWW300" s="16" t="s">
        <v>1487</v>
      </c>
      <c r="RWX300" s="16" t="s">
        <v>1487</v>
      </c>
      <c r="RWY300" s="16" t="s">
        <v>1487</v>
      </c>
      <c r="RWZ300" s="16" t="s">
        <v>1487</v>
      </c>
      <c r="RXA300" s="16" t="s">
        <v>1487</v>
      </c>
      <c r="RXB300" s="16" t="s">
        <v>1487</v>
      </c>
      <c r="RXC300" s="16" t="s">
        <v>1487</v>
      </c>
      <c r="RXD300" s="16" t="s">
        <v>1487</v>
      </c>
      <c r="RXE300" s="16" t="s">
        <v>1487</v>
      </c>
      <c r="RXF300" s="16" t="s">
        <v>1487</v>
      </c>
      <c r="RXG300" s="16" t="s">
        <v>1487</v>
      </c>
      <c r="RXH300" s="16" t="s">
        <v>1487</v>
      </c>
      <c r="RXI300" s="16" t="s">
        <v>1487</v>
      </c>
      <c r="RXJ300" s="16" t="s">
        <v>1487</v>
      </c>
      <c r="RXK300" s="16" t="s">
        <v>1487</v>
      </c>
      <c r="RXL300" s="16" t="s">
        <v>1487</v>
      </c>
      <c r="RXM300" s="16" t="s">
        <v>1487</v>
      </c>
      <c r="RXN300" s="16" t="s">
        <v>1487</v>
      </c>
      <c r="RXO300" s="16" t="s">
        <v>1487</v>
      </c>
      <c r="RXP300" s="16" t="s">
        <v>1487</v>
      </c>
      <c r="RXQ300" s="16" t="s">
        <v>1487</v>
      </c>
      <c r="RXR300" s="16" t="s">
        <v>1487</v>
      </c>
      <c r="RXS300" s="16" t="s">
        <v>1487</v>
      </c>
      <c r="RXT300" s="16" t="s">
        <v>1487</v>
      </c>
      <c r="RXU300" s="16" t="s">
        <v>1487</v>
      </c>
      <c r="RXV300" s="16" t="s">
        <v>1487</v>
      </c>
      <c r="RXW300" s="16" t="s">
        <v>1487</v>
      </c>
      <c r="RXX300" s="16" t="s">
        <v>1487</v>
      </c>
      <c r="RXY300" s="16" t="s">
        <v>1487</v>
      </c>
      <c r="RXZ300" s="16" t="s">
        <v>1487</v>
      </c>
      <c r="RYA300" s="16" t="s">
        <v>1487</v>
      </c>
      <c r="RYB300" s="16" t="s">
        <v>1487</v>
      </c>
      <c r="RYC300" s="16" t="s">
        <v>1487</v>
      </c>
      <c r="RYD300" s="16" t="s">
        <v>1487</v>
      </c>
      <c r="RYE300" s="16" t="s">
        <v>1487</v>
      </c>
      <c r="RYF300" s="16" t="s">
        <v>1487</v>
      </c>
      <c r="RYG300" s="16" t="s">
        <v>1487</v>
      </c>
      <c r="RYH300" s="16" t="s">
        <v>1487</v>
      </c>
      <c r="RYI300" s="16" t="s">
        <v>1487</v>
      </c>
      <c r="RYJ300" s="16" t="s">
        <v>1487</v>
      </c>
      <c r="RYK300" s="16" t="s">
        <v>1487</v>
      </c>
      <c r="RYL300" s="16" t="s">
        <v>1487</v>
      </c>
      <c r="RYM300" s="16" t="s">
        <v>1487</v>
      </c>
      <c r="RYN300" s="16" t="s">
        <v>1487</v>
      </c>
      <c r="RYO300" s="16" t="s">
        <v>1487</v>
      </c>
      <c r="RYP300" s="16" t="s">
        <v>1487</v>
      </c>
      <c r="RYQ300" s="16" t="s">
        <v>1487</v>
      </c>
      <c r="RYR300" s="16" t="s">
        <v>1487</v>
      </c>
      <c r="RYS300" s="16" t="s">
        <v>1487</v>
      </c>
      <c r="RYT300" s="16" t="s">
        <v>1487</v>
      </c>
      <c r="RYU300" s="16" t="s">
        <v>1487</v>
      </c>
      <c r="RYV300" s="16" t="s">
        <v>1487</v>
      </c>
      <c r="RYW300" s="16" t="s">
        <v>1487</v>
      </c>
      <c r="RYX300" s="16" t="s">
        <v>1487</v>
      </c>
      <c r="RYY300" s="16" t="s">
        <v>1487</v>
      </c>
      <c r="RYZ300" s="16" t="s">
        <v>1487</v>
      </c>
      <c r="RZA300" s="16" t="s">
        <v>1487</v>
      </c>
      <c r="RZB300" s="16" t="s">
        <v>1487</v>
      </c>
      <c r="RZC300" s="16" t="s">
        <v>1487</v>
      </c>
      <c r="RZD300" s="16" t="s">
        <v>1487</v>
      </c>
      <c r="RZE300" s="16" t="s">
        <v>1487</v>
      </c>
      <c r="RZF300" s="16" t="s">
        <v>1487</v>
      </c>
      <c r="RZG300" s="16" t="s">
        <v>1487</v>
      </c>
      <c r="RZH300" s="16" t="s">
        <v>1487</v>
      </c>
      <c r="RZI300" s="16" t="s">
        <v>1487</v>
      </c>
      <c r="RZJ300" s="16" t="s">
        <v>1487</v>
      </c>
      <c r="RZK300" s="16" t="s">
        <v>1487</v>
      </c>
      <c r="RZL300" s="16" t="s">
        <v>1487</v>
      </c>
      <c r="RZM300" s="16" t="s">
        <v>1487</v>
      </c>
      <c r="RZN300" s="16" t="s">
        <v>1487</v>
      </c>
      <c r="RZO300" s="16" t="s">
        <v>1487</v>
      </c>
      <c r="RZP300" s="16" t="s">
        <v>1487</v>
      </c>
      <c r="RZQ300" s="16" t="s">
        <v>1487</v>
      </c>
      <c r="RZR300" s="16" t="s">
        <v>1487</v>
      </c>
      <c r="RZS300" s="16" t="s">
        <v>1487</v>
      </c>
      <c r="RZT300" s="16" t="s">
        <v>1487</v>
      </c>
      <c r="RZU300" s="16" t="s">
        <v>1487</v>
      </c>
      <c r="RZV300" s="16" t="s">
        <v>1487</v>
      </c>
      <c r="RZW300" s="16" t="s">
        <v>1487</v>
      </c>
      <c r="RZX300" s="16" t="s">
        <v>1487</v>
      </c>
      <c r="RZY300" s="16" t="s">
        <v>1487</v>
      </c>
      <c r="RZZ300" s="16" t="s">
        <v>1487</v>
      </c>
      <c r="SAA300" s="16" t="s">
        <v>1487</v>
      </c>
      <c r="SAB300" s="16" t="s">
        <v>1487</v>
      </c>
      <c r="SAC300" s="16" t="s">
        <v>1487</v>
      </c>
      <c r="SAD300" s="16" t="s">
        <v>1487</v>
      </c>
      <c r="SAE300" s="16" t="s">
        <v>1487</v>
      </c>
      <c r="SAF300" s="16" t="s">
        <v>1487</v>
      </c>
      <c r="SAG300" s="16" t="s">
        <v>1487</v>
      </c>
      <c r="SAH300" s="16" t="s">
        <v>1487</v>
      </c>
      <c r="SAI300" s="16" t="s">
        <v>1487</v>
      </c>
      <c r="SAJ300" s="16" t="s">
        <v>1487</v>
      </c>
      <c r="SAK300" s="16" t="s">
        <v>1487</v>
      </c>
      <c r="SAL300" s="16" t="s">
        <v>1487</v>
      </c>
      <c r="SAM300" s="16" t="s">
        <v>1487</v>
      </c>
      <c r="SAN300" s="16" t="s">
        <v>1487</v>
      </c>
      <c r="SAO300" s="16" t="s">
        <v>1487</v>
      </c>
      <c r="SAP300" s="16" t="s">
        <v>1487</v>
      </c>
      <c r="SAQ300" s="16" t="s">
        <v>1487</v>
      </c>
      <c r="SAR300" s="16" t="s">
        <v>1487</v>
      </c>
      <c r="SAS300" s="16" t="s">
        <v>1487</v>
      </c>
      <c r="SAT300" s="16" t="s">
        <v>1487</v>
      </c>
      <c r="SAU300" s="16" t="s">
        <v>1487</v>
      </c>
      <c r="SAV300" s="16" t="s">
        <v>1487</v>
      </c>
      <c r="SAW300" s="16" t="s">
        <v>1487</v>
      </c>
      <c r="SAX300" s="16" t="s">
        <v>1487</v>
      </c>
      <c r="SAY300" s="16" t="s">
        <v>1487</v>
      </c>
      <c r="SAZ300" s="16" t="s">
        <v>1487</v>
      </c>
      <c r="SBA300" s="16" t="s">
        <v>1487</v>
      </c>
      <c r="SBB300" s="16" t="s">
        <v>1487</v>
      </c>
      <c r="SBC300" s="16" t="s">
        <v>1487</v>
      </c>
      <c r="SBD300" s="16" t="s">
        <v>1487</v>
      </c>
      <c r="SBE300" s="16" t="s">
        <v>1487</v>
      </c>
      <c r="SBF300" s="16" t="s">
        <v>1487</v>
      </c>
      <c r="SBG300" s="16" t="s">
        <v>1487</v>
      </c>
      <c r="SBH300" s="16" t="s">
        <v>1487</v>
      </c>
      <c r="SBI300" s="16" t="s">
        <v>1487</v>
      </c>
      <c r="SBJ300" s="16" t="s">
        <v>1487</v>
      </c>
      <c r="SBK300" s="16" t="s">
        <v>1487</v>
      </c>
      <c r="SBL300" s="16" t="s">
        <v>1487</v>
      </c>
      <c r="SBM300" s="16" t="s">
        <v>1487</v>
      </c>
      <c r="SBN300" s="16" t="s">
        <v>1487</v>
      </c>
      <c r="SBO300" s="16" t="s">
        <v>1487</v>
      </c>
      <c r="SBP300" s="16" t="s">
        <v>1487</v>
      </c>
      <c r="SBQ300" s="16" t="s">
        <v>1487</v>
      </c>
      <c r="SBR300" s="16" t="s">
        <v>1487</v>
      </c>
      <c r="SBS300" s="16" t="s">
        <v>1487</v>
      </c>
      <c r="SBT300" s="16" t="s">
        <v>1487</v>
      </c>
      <c r="SBU300" s="16" t="s">
        <v>1487</v>
      </c>
      <c r="SBV300" s="16" t="s">
        <v>1487</v>
      </c>
      <c r="SBW300" s="16" t="s">
        <v>1487</v>
      </c>
      <c r="SBX300" s="16" t="s">
        <v>1487</v>
      </c>
      <c r="SBY300" s="16" t="s">
        <v>1487</v>
      </c>
      <c r="SBZ300" s="16" t="s">
        <v>1487</v>
      </c>
      <c r="SCA300" s="16" t="s">
        <v>1487</v>
      </c>
      <c r="SCB300" s="16" t="s">
        <v>1487</v>
      </c>
      <c r="SCC300" s="16" t="s">
        <v>1487</v>
      </c>
      <c r="SCD300" s="16" t="s">
        <v>1487</v>
      </c>
      <c r="SCE300" s="16" t="s">
        <v>1487</v>
      </c>
      <c r="SCF300" s="16" t="s">
        <v>1487</v>
      </c>
      <c r="SCG300" s="16" t="s">
        <v>1487</v>
      </c>
      <c r="SCH300" s="16" t="s">
        <v>1487</v>
      </c>
      <c r="SCI300" s="16" t="s">
        <v>1487</v>
      </c>
      <c r="SCJ300" s="16" t="s">
        <v>1487</v>
      </c>
      <c r="SCK300" s="16" t="s">
        <v>1487</v>
      </c>
      <c r="SCL300" s="16" t="s">
        <v>1487</v>
      </c>
      <c r="SCM300" s="16" t="s">
        <v>1487</v>
      </c>
      <c r="SCN300" s="16" t="s">
        <v>1487</v>
      </c>
      <c r="SCO300" s="16" t="s">
        <v>1487</v>
      </c>
      <c r="SCP300" s="16" t="s">
        <v>1487</v>
      </c>
      <c r="SCQ300" s="16" t="s">
        <v>1487</v>
      </c>
      <c r="SCR300" s="16" t="s">
        <v>1487</v>
      </c>
      <c r="SCS300" s="16" t="s">
        <v>1487</v>
      </c>
      <c r="SCT300" s="16" t="s">
        <v>1487</v>
      </c>
      <c r="SCU300" s="16" t="s">
        <v>1487</v>
      </c>
      <c r="SCV300" s="16" t="s">
        <v>1487</v>
      </c>
      <c r="SCW300" s="16" t="s">
        <v>1487</v>
      </c>
      <c r="SCX300" s="16" t="s">
        <v>1487</v>
      </c>
      <c r="SCY300" s="16" t="s">
        <v>1487</v>
      </c>
      <c r="SCZ300" s="16" t="s">
        <v>1487</v>
      </c>
      <c r="SDA300" s="16" t="s">
        <v>1487</v>
      </c>
      <c r="SDB300" s="16" t="s">
        <v>1487</v>
      </c>
      <c r="SDC300" s="16" t="s">
        <v>1487</v>
      </c>
      <c r="SDD300" s="16" t="s">
        <v>1487</v>
      </c>
      <c r="SDE300" s="16" t="s">
        <v>1487</v>
      </c>
      <c r="SDF300" s="16" t="s">
        <v>1487</v>
      </c>
      <c r="SDG300" s="16" t="s">
        <v>1487</v>
      </c>
      <c r="SDH300" s="16" t="s">
        <v>1487</v>
      </c>
      <c r="SDI300" s="16" t="s">
        <v>1487</v>
      </c>
      <c r="SDJ300" s="16" t="s">
        <v>1487</v>
      </c>
      <c r="SDK300" s="16" t="s">
        <v>1487</v>
      </c>
      <c r="SDL300" s="16" t="s">
        <v>1487</v>
      </c>
      <c r="SDM300" s="16" t="s">
        <v>1487</v>
      </c>
      <c r="SDN300" s="16" t="s">
        <v>1487</v>
      </c>
      <c r="SDO300" s="16" t="s">
        <v>1487</v>
      </c>
      <c r="SDP300" s="16" t="s">
        <v>1487</v>
      </c>
      <c r="SDQ300" s="16" t="s">
        <v>1487</v>
      </c>
      <c r="SDR300" s="16" t="s">
        <v>1487</v>
      </c>
      <c r="SDS300" s="16" t="s">
        <v>1487</v>
      </c>
      <c r="SDT300" s="16" t="s">
        <v>1487</v>
      </c>
      <c r="SDU300" s="16" t="s">
        <v>1487</v>
      </c>
      <c r="SDV300" s="16" t="s">
        <v>1487</v>
      </c>
      <c r="SDW300" s="16" t="s">
        <v>1487</v>
      </c>
      <c r="SDX300" s="16" t="s">
        <v>1487</v>
      </c>
      <c r="SDY300" s="16" t="s">
        <v>1487</v>
      </c>
      <c r="SDZ300" s="16" t="s">
        <v>1487</v>
      </c>
      <c r="SEA300" s="16" t="s">
        <v>1487</v>
      </c>
      <c r="SEB300" s="16" t="s">
        <v>1487</v>
      </c>
      <c r="SEC300" s="16" t="s">
        <v>1487</v>
      </c>
      <c r="SED300" s="16" t="s">
        <v>1487</v>
      </c>
      <c r="SEE300" s="16" t="s">
        <v>1487</v>
      </c>
      <c r="SEF300" s="16" t="s">
        <v>1487</v>
      </c>
      <c r="SEG300" s="16" t="s">
        <v>1487</v>
      </c>
      <c r="SEH300" s="16" t="s">
        <v>1487</v>
      </c>
      <c r="SEI300" s="16" t="s">
        <v>1487</v>
      </c>
      <c r="SEJ300" s="16" t="s">
        <v>1487</v>
      </c>
      <c r="SEK300" s="16" t="s">
        <v>1487</v>
      </c>
      <c r="SEL300" s="16" t="s">
        <v>1487</v>
      </c>
      <c r="SEM300" s="16" t="s">
        <v>1487</v>
      </c>
      <c r="SEN300" s="16" t="s">
        <v>1487</v>
      </c>
      <c r="SEO300" s="16" t="s">
        <v>1487</v>
      </c>
      <c r="SEP300" s="16" t="s">
        <v>1487</v>
      </c>
      <c r="SEQ300" s="16" t="s">
        <v>1487</v>
      </c>
      <c r="SER300" s="16" t="s">
        <v>1487</v>
      </c>
      <c r="SES300" s="16" t="s">
        <v>1487</v>
      </c>
      <c r="SET300" s="16" t="s">
        <v>1487</v>
      </c>
      <c r="SEU300" s="16" t="s">
        <v>1487</v>
      </c>
      <c r="SEV300" s="16" t="s">
        <v>1487</v>
      </c>
      <c r="SEW300" s="16" t="s">
        <v>1487</v>
      </c>
      <c r="SEX300" s="16" t="s">
        <v>1487</v>
      </c>
      <c r="SEY300" s="16" t="s">
        <v>1487</v>
      </c>
      <c r="SEZ300" s="16" t="s">
        <v>1487</v>
      </c>
      <c r="SFA300" s="16" t="s">
        <v>1487</v>
      </c>
      <c r="SFB300" s="16" t="s">
        <v>1487</v>
      </c>
      <c r="SFC300" s="16" t="s">
        <v>1487</v>
      </c>
      <c r="SFD300" s="16" t="s">
        <v>1487</v>
      </c>
      <c r="SFE300" s="16" t="s">
        <v>1487</v>
      </c>
      <c r="SFF300" s="16" t="s">
        <v>1487</v>
      </c>
      <c r="SFG300" s="16" t="s">
        <v>1487</v>
      </c>
      <c r="SFH300" s="16" t="s">
        <v>1487</v>
      </c>
      <c r="SFI300" s="16" t="s">
        <v>1487</v>
      </c>
      <c r="SFJ300" s="16" t="s">
        <v>1487</v>
      </c>
      <c r="SFK300" s="16" t="s">
        <v>1487</v>
      </c>
      <c r="SFL300" s="16" t="s">
        <v>1487</v>
      </c>
      <c r="SFM300" s="16" t="s">
        <v>1487</v>
      </c>
      <c r="SFN300" s="16" t="s">
        <v>1487</v>
      </c>
      <c r="SFO300" s="16" t="s">
        <v>1487</v>
      </c>
      <c r="SFP300" s="16" t="s">
        <v>1487</v>
      </c>
      <c r="SFQ300" s="16" t="s">
        <v>1487</v>
      </c>
      <c r="SFR300" s="16" t="s">
        <v>1487</v>
      </c>
      <c r="SFS300" s="16" t="s">
        <v>1487</v>
      </c>
      <c r="SFT300" s="16" t="s">
        <v>1487</v>
      </c>
      <c r="SFU300" s="16" t="s">
        <v>1487</v>
      </c>
      <c r="SFV300" s="16" t="s">
        <v>1487</v>
      </c>
      <c r="SFW300" s="16" t="s">
        <v>1487</v>
      </c>
      <c r="SFX300" s="16" t="s">
        <v>1487</v>
      </c>
      <c r="SFY300" s="16" t="s">
        <v>1487</v>
      </c>
      <c r="SFZ300" s="16" t="s">
        <v>1487</v>
      </c>
      <c r="SGA300" s="16" t="s">
        <v>1487</v>
      </c>
      <c r="SGB300" s="16" t="s">
        <v>1487</v>
      </c>
      <c r="SGC300" s="16" t="s">
        <v>1487</v>
      </c>
      <c r="SGD300" s="16" t="s">
        <v>1487</v>
      </c>
      <c r="SGE300" s="16" t="s">
        <v>1487</v>
      </c>
      <c r="SGF300" s="16" t="s">
        <v>1487</v>
      </c>
      <c r="SGG300" s="16" t="s">
        <v>1487</v>
      </c>
      <c r="SGH300" s="16" t="s">
        <v>1487</v>
      </c>
      <c r="SGI300" s="16" t="s">
        <v>1487</v>
      </c>
      <c r="SGJ300" s="16" t="s">
        <v>1487</v>
      </c>
      <c r="SGK300" s="16" t="s">
        <v>1487</v>
      </c>
      <c r="SGL300" s="16" t="s">
        <v>1487</v>
      </c>
      <c r="SGM300" s="16" t="s">
        <v>1487</v>
      </c>
      <c r="SGN300" s="16" t="s">
        <v>1487</v>
      </c>
      <c r="SGO300" s="16" t="s">
        <v>1487</v>
      </c>
      <c r="SGP300" s="16" t="s">
        <v>1487</v>
      </c>
      <c r="SGQ300" s="16" t="s">
        <v>1487</v>
      </c>
      <c r="SGR300" s="16" t="s">
        <v>1487</v>
      </c>
      <c r="SGS300" s="16" t="s">
        <v>1487</v>
      </c>
      <c r="SGT300" s="16" t="s">
        <v>1487</v>
      </c>
      <c r="SGU300" s="16" t="s">
        <v>1487</v>
      </c>
      <c r="SGV300" s="16" t="s">
        <v>1487</v>
      </c>
      <c r="SGW300" s="16" t="s">
        <v>1487</v>
      </c>
      <c r="SGX300" s="16" t="s">
        <v>1487</v>
      </c>
      <c r="SGY300" s="16" t="s">
        <v>1487</v>
      </c>
      <c r="SGZ300" s="16" t="s">
        <v>1487</v>
      </c>
      <c r="SHA300" s="16" t="s">
        <v>1487</v>
      </c>
      <c r="SHB300" s="16" t="s">
        <v>1487</v>
      </c>
      <c r="SHC300" s="16" t="s">
        <v>1487</v>
      </c>
      <c r="SHD300" s="16" t="s">
        <v>1487</v>
      </c>
      <c r="SHE300" s="16" t="s">
        <v>1487</v>
      </c>
      <c r="SHF300" s="16" t="s">
        <v>1487</v>
      </c>
      <c r="SHG300" s="16" t="s">
        <v>1487</v>
      </c>
      <c r="SHH300" s="16" t="s">
        <v>1487</v>
      </c>
      <c r="SHI300" s="16" t="s">
        <v>1487</v>
      </c>
      <c r="SHJ300" s="16" t="s">
        <v>1487</v>
      </c>
      <c r="SHK300" s="16" t="s">
        <v>1487</v>
      </c>
      <c r="SHL300" s="16" t="s">
        <v>1487</v>
      </c>
      <c r="SHM300" s="16" t="s">
        <v>1487</v>
      </c>
      <c r="SHN300" s="16" t="s">
        <v>1487</v>
      </c>
      <c r="SHO300" s="16" t="s">
        <v>1487</v>
      </c>
      <c r="SHP300" s="16" t="s">
        <v>1487</v>
      </c>
      <c r="SHQ300" s="16" t="s">
        <v>1487</v>
      </c>
      <c r="SHR300" s="16" t="s">
        <v>1487</v>
      </c>
      <c r="SHS300" s="16" t="s">
        <v>1487</v>
      </c>
      <c r="SHT300" s="16" t="s">
        <v>1487</v>
      </c>
      <c r="SHU300" s="16" t="s">
        <v>1487</v>
      </c>
      <c r="SHV300" s="16" t="s">
        <v>1487</v>
      </c>
      <c r="SHW300" s="16" t="s">
        <v>1487</v>
      </c>
      <c r="SHX300" s="16" t="s">
        <v>1487</v>
      </c>
      <c r="SHY300" s="16" t="s">
        <v>1487</v>
      </c>
      <c r="SHZ300" s="16" t="s">
        <v>1487</v>
      </c>
      <c r="SIA300" s="16" t="s">
        <v>1487</v>
      </c>
      <c r="SIB300" s="16" t="s">
        <v>1487</v>
      </c>
      <c r="SIC300" s="16" t="s">
        <v>1487</v>
      </c>
      <c r="SID300" s="16" t="s">
        <v>1487</v>
      </c>
      <c r="SIE300" s="16" t="s">
        <v>1487</v>
      </c>
      <c r="SIF300" s="16" t="s">
        <v>1487</v>
      </c>
      <c r="SIG300" s="16" t="s">
        <v>1487</v>
      </c>
      <c r="SIH300" s="16" t="s">
        <v>1487</v>
      </c>
      <c r="SII300" s="16" t="s">
        <v>1487</v>
      </c>
      <c r="SIJ300" s="16" t="s">
        <v>1487</v>
      </c>
      <c r="SIK300" s="16" t="s">
        <v>1487</v>
      </c>
      <c r="SIL300" s="16" t="s">
        <v>1487</v>
      </c>
      <c r="SIM300" s="16" t="s">
        <v>1487</v>
      </c>
      <c r="SIN300" s="16" t="s">
        <v>1487</v>
      </c>
      <c r="SIO300" s="16" t="s">
        <v>1487</v>
      </c>
      <c r="SIP300" s="16" t="s">
        <v>1487</v>
      </c>
      <c r="SIQ300" s="16" t="s">
        <v>1487</v>
      </c>
      <c r="SIR300" s="16" t="s">
        <v>1487</v>
      </c>
      <c r="SIS300" s="16" t="s">
        <v>1487</v>
      </c>
      <c r="SIT300" s="16" t="s">
        <v>1487</v>
      </c>
      <c r="SIU300" s="16" t="s">
        <v>1487</v>
      </c>
      <c r="SIV300" s="16" t="s">
        <v>1487</v>
      </c>
      <c r="SIW300" s="16" t="s">
        <v>1487</v>
      </c>
      <c r="SIX300" s="16" t="s">
        <v>1487</v>
      </c>
      <c r="SIY300" s="16" t="s">
        <v>1487</v>
      </c>
      <c r="SIZ300" s="16" t="s">
        <v>1487</v>
      </c>
      <c r="SJA300" s="16" t="s">
        <v>1487</v>
      </c>
      <c r="SJB300" s="16" t="s">
        <v>1487</v>
      </c>
      <c r="SJC300" s="16" t="s">
        <v>1487</v>
      </c>
      <c r="SJD300" s="16" t="s">
        <v>1487</v>
      </c>
      <c r="SJE300" s="16" t="s">
        <v>1487</v>
      </c>
      <c r="SJF300" s="16" t="s">
        <v>1487</v>
      </c>
      <c r="SJG300" s="16" t="s">
        <v>1487</v>
      </c>
      <c r="SJH300" s="16" t="s">
        <v>1487</v>
      </c>
      <c r="SJI300" s="16" t="s">
        <v>1487</v>
      </c>
      <c r="SJJ300" s="16" t="s">
        <v>1487</v>
      </c>
      <c r="SJK300" s="16" t="s">
        <v>1487</v>
      </c>
      <c r="SJL300" s="16" t="s">
        <v>1487</v>
      </c>
      <c r="SJM300" s="16" t="s">
        <v>1487</v>
      </c>
      <c r="SJN300" s="16" t="s">
        <v>1487</v>
      </c>
      <c r="SJO300" s="16" t="s">
        <v>1487</v>
      </c>
      <c r="SJP300" s="16" t="s">
        <v>1487</v>
      </c>
      <c r="SJQ300" s="16" t="s">
        <v>1487</v>
      </c>
      <c r="SJR300" s="16" t="s">
        <v>1487</v>
      </c>
      <c r="SJS300" s="16" t="s">
        <v>1487</v>
      </c>
      <c r="SJT300" s="16" t="s">
        <v>1487</v>
      </c>
      <c r="SJU300" s="16" t="s">
        <v>1487</v>
      </c>
      <c r="SJV300" s="16" t="s">
        <v>1487</v>
      </c>
      <c r="SJW300" s="16" t="s">
        <v>1487</v>
      </c>
      <c r="SJX300" s="16" t="s">
        <v>1487</v>
      </c>
      <c r="SJY300" s="16" t="s">
        <v>1487</v>
      </c>
      <c r="SJZ300" s="16" t="s">
        <v>1487</v>
      </c>
      <c r="SKA300" s="16" t="s">
        <v>1487</v>
      </c>
      <c r="SKB300" s="16" t="s">
        <v>1487</v>
      </c>
      <c r="SKC300" s="16" t="s">
        <v>1487</v>
      </c>
      <c r="SKD300" s="16" t="s">
        <v>1487</v>
      </c>
      <c r="SKE300" s="16" t="s">
        <v>1487</v>
      </c>
      <c r="SKF300" s="16" t="s">
        <v>1487</v>
      </c>
      <c r="SKG300" s="16" t="s">
        <v>1487</v>
      </c>
      <c r="SKH300" s="16" t="s">
        <v>1487</v>
      </c>
      <c r="SKI300" s="16" t="s">
        <v>1487</v>
      </c>
      <c r="SKJ300" s="16" t="s">
        <v>1487</v>
      </c>
      <c r="SKK300" s="16" t="s">
        <v>1487</v>
      </c>
      <c r="SKL300" s="16" t="s">
        <v>1487</v>
      </c>
      <c r="SKM300" s="16" t="s">
        <v>1487</v>
      </c>
      <c r="SKN300" s="16" t="s">
        <v>1487</v>
      </c>
      <c r="SKO300" s="16" t="s">
        <v>1487</v>
      </c>
      <c r="SKP300" s="16" t="s">
        <v>1487</v>
      </c>
      <c r="SKQ300" s="16" t="s">
        <v>1487</v>
      </c>
      <c r="SKR300" s="16" t="s">
        <v>1487</v>
      </c>
      <c r="SKS300" s="16" t="s">
        <v>1487</v>
      </c>
      <c r="SKT300" s="16" t="s">
        <v>1487</v>
      </c>
      <c r="SKU300" s="16" t="s">
        <v>1487</v>
      </c>
      <c r="SKV300" s="16" t="s">
        <v>1487</v>
      </c>
      <c r="SKW300" s="16" t="s">
        <v>1487</v>
      </c>
      <c r="SKX300" s="16" t="s">
        <v>1487</v>
      </c>
      <c r="SKY300" s="16" t="s">
        <v>1487</v>
      </c>
      <c r="SKZ300" s="16" t="s">
        <v>1487</v>
      </c>
      <c r="SLA300" s="16" t="s">
        <v>1487</v>
      </c>
      <c r="SLB300" s="16" t="s">
        <v>1487</v>
      </c>
      <c r="SLC300" s="16" t="s">
        <v>1487</v>
      </c>
      <c r="SLD300" s="16" t="s">
        <v>1487</v>
      </c>
      <c r="SLE300" s="16" t="s">
        <v>1487</v>
      </c>
      <c r="SLF300" s="16" t="s">
        <v>1487</v>
      </c>
      <c r="SLG300" s="16" t="s">
        <v>1487</v>
      </c>
      <c r="SLH300" s="16" t="s">
        <v>1487</v>
      </c>
      <c r="SLI300" s="16" t="s">
        <v>1487</v>
      </c>
      <c r="SLJ300" s="16" t="s">
        <v>1487</v>
      </c>
      <c r="SLK300" s="16" t="s">
        <v>1487</v>
      </c>
      <c r="SLL300" s="16" t="s">
        <v>1487</v>
      </c>
      <c r="SLM300" s="16" t="s">
        <v>1487</v>
      </c>
      <c r="SLN300" s="16" t="s">
        <v>1487</v>
      </c>
      <c r="SLO300" s="16" t="s">
        <v>1487</v>
      </c>
      <c r="SLP300" s="16" t="s">
        <v>1487</v>
      </c>
      <c r="SLQ300" s="16" t="s">
        <v>1487</v>
      </c>
      <c r="SLR300" s="16" t="s">
        <v>1487</v>
      </c>
      <c r="SLS300" s="16" t="s">
        <v>1487</v>
      </c>
      <c r="SLT300" s="16" t="s">
        <v>1487</v>
      </c>
      <c r="SLU300" s="16" t="s">
        <v>1487</v>
      </c>
      <c r="SLV300" s="16" t="s">
        <v>1487</v>
      </c>
      <c r="SLW300" s="16" t="s">
        <v>1487</v>
      </c>
      <c r="SLX300" s="16" t="s">
        <v>1487</v>
      </c>
      <c r="SLY300" s="16" t="s">
        <v>1487</v>
      </c>
      <c r="SLZ300" s="16" t="s">
        <v>1487</v>
      </c>
      <c r="SMA300" s="16" t="s">
        <v>1487</v>
      </c>
      <c r="SMB300" s="16" t="s">
        <v>1487</v>
      </c>
      <c r="SMC300" s="16" t="s">
        <v>1487</v>
      </c>
      <c r="SMD300" s="16" t="s">
        <v>1487</v>
      </c>
      <c r="SME300" s="16" t="s">
        <v>1487</v>
      </c>
      <c r="SMF300" s="16" t="s">
        <v>1487</v>
      </c>
      <c r="SMG300" s="16" t="s">
        <v>1487</v>
      </c>
      <c r="SMH300" s="16" t="s">
        <v>1487</v>
      </c>
      <c r="SMI300" s="16" t="s">
        <v>1487</v>
      </c>
      <c r="SMJ300" s="16" t="s">
        <v>1487</v>
      </c>
      <c r="SMK300" s="16" t="s">
        <v>1487</v>
      </c>
      <c r="SML300" s="16" t="s">
        <v>1487</v>
      </c>
      <c r="SMM300" s="16" t="s">
        <v>1487</v>
      </c>
      <c r="SMN300" s="16" t="s">
        <v>1487</v>
      </c>
      <c r="SMO300" s="16" t="s">
        <v>1487</v>
      </c>
      <c r="SMP300" s="16" t="s">
        <v>1487</v>
      </c>
      <c r="SMQ300" s="16" t="s">
        <v>1487</v>
      </c>
      <c r="SMR300" s="16" t="s">
        <v>1487</v>
      </c>
      <c r="SMS300" s="16" t="s">
        <v>1487</v>
      </c>
      <c r="SMT300" s="16" t="s">
        <v>1487</v>
      </c>
      <c r="SMU300" s="16" t="s">
        <v>1487</v>
      </c>
      <c r="SMV300" s="16" t="s">
        <v>1487</v>
      </c>
      <c r="SMW300" s="16" t="s">
        <v>1487</v>
      </c>
      <c r="SMX300" s="16" t="s">
        <v>1487</v>
      </c>
      <c r="SMY300" s="16" t="s">
        <v>1487</v>
      </c>
      <c r="SMZ300" s="16" t="s">
        <v>1487</v>
      </c>
      <c r="SNA300" s="16" t="s">
        <v>1487</v>
      </c>
      <c r="SNB300" s="16" t="s">
        <v>1487</v>
      </c>
      <c r="SNC300" s="16" t="s">
        <v>1487</v>
      </c>
      <c r="SND300" s="16" t="s">
        <v>1487</v>
      </c>
      <c r="SNE300" s="16" t="s">
        <v>1487</v>
      </c>
      <c r="SNF300" s="16" t="s">
        <v>1487</v>
      </c>
      <c r="SNG300" s="16" t="s">
        <v>1487</v>
      </c>
      <c r="SNH300" s="16" t="s">
        <v>1487</v>
      </c>
      <c r="SNI300" s="16" t="s">
        <v>1487</v>
      </c>
      <c r="SNJ300" s="16" t="s">
        <v>1487</v>
      </c>
      <c r="SNK300" s="16" t="s">
        <v>1487</v>
      </c>
      <c r="SNL300" s="16" t="s">
        <v>1487</v>
      </c>
      <c r="SNM300" s="16" t="s">
        <v>1487</v>
      </c>
      <c r="SNN300" s="16" t="s">
        <v>1487</v>
      </c>
      <c r="SNO300" s="16" t="s">
        <v>1487</v>
      </c>
      <c r="SNP300" s="16" t="s">
        <v>1487</v>
      </c>
      <c r="SNQ300" s="16" t="s">
        <v>1487</v>
      </c>
      <c r="SNR300" s="16" t="s">
        <v>1487</v>
      </c>
      <c r="SNS300" s="16" t="s">
        <v>1487</v>
      </c>
      <c r="SNT300" s="16" t="s">
        <v>1487</v>
      </c>
      <c r="SNU300" s="16" t="s">
        <v>1487</v>
      </c>
      <c r="SNV300" s="16" t="s">
        <v>1487</v>
      </c>
      <c r="SNW300" s="16" t="s">
        <v>1487</v>
      </c>
      <c r="SNX300" s="16" t="s">
        <v>1487</v>
      </c>
      <c r="SNY300" s="16" t="s">
        <v>1487</v>
      </c>
      <c r="SNZ300" s="16" t="s">
        <v>1487</v>
      </c>
      <c r="SOA300" s="16" t="s">
        <v>1487</v>
      </c>
      <c r="SOB300" s="16" t="s">
        <v>1487</v>
      </c>
      <c r="SOC300" s="16" t="s">
        <v>1487</v>
      </c>
      <c r="SOD300" s="16" t="s">
        <v>1487</v>
      </c>
      <c r="SOE300" s="16" t="s">
        <v>1487</v>
      </c>
      <c r="SOF300" s="16" t="s">
        <v>1487</v>
      </c>
      <c r="SOG300" s="16" t="s">
        <v>1487</v>
      </c>
      <c r="SOH300" s="16" t="s">
        <v>1487</v>
      </c>
      <c r="SOI300" s="16" t="s">
        <v>1487</v>
      </c>
      <c r="SOJ300" s="16" t="s">
        <v>1487</v>
      </c>
      <c r="SOK300" s="16" t="s">
        <v>1487</v>
      </c>
      <c r="SOL300" s="16" t="s">
        <v>1487</v>
      </c>
      <c r="SOM300" s="16" t="s">
        <v>1487</v>
      </c>
      <c r="SON300" s="16" t="s">
        <v>1487</v>
      </c>
      <c r="SOO300" s="16" t="s">
        <v>1487</v>
      </c>
      <c r="SOP300" s="16" t="s">
        <v>1487</v>
      </c>
      <c r="SOQ300" s="16" t="s">
        <v>1487</v>
      </c>
      <c r="SOR300" s="16" t="s">
        <v>1487</v>
      </c>
      <c r="SOS300" s="16" t="s">
        <v>1487</v>
      </c>
      <c r="SOT300" s="16" t="s">
        <v>1487</v>
      </c>
      <c r="SOU300" s="16" t="s">
        <v>1487</v>
      </c>
      <c r="SOV300" s="16" t="s">
        <v>1487</v>
      </c>
      <c r="SOW300" s="16" t="s">
        <v>1487</v>
      </c>
      <c r="SOX300" s="16" t="s">
        <v>1487</v>
      </c>
      <c r="SOY300" s="16" t="s">
        <v>1487</v>
      </c>
      <c r="SOZ300" s="16" t="s">
        <v>1487</v>
      </c>
      <c r="SPA300" s="16" t="s">
        <v>1487</v>
      </c>
      <c r="SPB300" s="16" t="s">
        <v>1487</v>
      </c>
      <c r="SPC300" s="16" t="s">
        <v>1487</v>
      </c>
      <c r="SPD300" s="16" t="s">
        <v>1487</v>
      </c>
      <c r="SPE300" s="16" t="s">
        <v>1487</v>
      </c>
      <c r="SPF300" s="16" t="s">
        <v>1487</v>
      </c>
      <c r="SPG300" s="16" t="s">
        <v>1487</v>
      </c>
      <c r="SPH300" s="16" t="s">
        <v>1487</v>
      </c>
      <c r="SPI300" s="16" t="s">
        <v>1487</v>
      </c>
      <c r="SPJ300" s="16" t="s">
        <v>1487</v>
      </c>
      <c r="SPK300" s="16" t="s">
        <v>1487</v>
      </c>
      <c r="SPL300" s="16" t="s">
        <v>1487</v>
      </c>
      <c r="SPM300" s="16" t="s">
        <v>1487</v>
      </c>
      <c r="SPN300" s="16" t="s">
        <v>1487</v>
      </c>
      <c r="SPO300" s="16" t="s">
        <v>1487</v>
      </c>
      <c r="SPP300" s="16" t="s">
        <v>1487</v>
      </c>
      <c r="SPQ300" s="16" t="s">
        <v>1487</v>
      </c>
      <c r="SPR300" s="16" t="s">
        <v>1487</v>
      </c>
      <c r="SPS300" s="16" t="s">
        <v>1487</v>
      </c>
      <c r="SPT300" s="16" t="s">
        <v>1487</v>
      </c>
      <c r="SPU300" s="16" t="s">
        <v>1487</v>
      </c>
      <c r="SPV300" s="16" t="s">
        <v>1487</v>
      </c>
      <c r="SPW300" s="16" t="s">
        <v>1487</v>
      </c>
      <c r="SPX300" s="16" t="s">
        <v>1487</v>
      </c>
      <c r="SPY300" s="16" t="s">
        <v>1487</v>
      </c>
      <c r="SPZ300" s="16" t="s">
        <v>1487</v>
      </c>
      <c r="SQA300" s="16" t="s">
        <v>1487</v>
      </c>
      <c r="SQB300" s="16" t="s">
        <v>1487</v>
      </c>
      <c r="SQC300" s="16" t="s">
        <v>1487</v>
      </c>
      <c r="SQD300" s="16" t="s">
        <v>1487</v>
      </c>
      <c r="SQE300" s="16" t="s">
        <v>1487</v>
      </c>
      <c r="SQF300" s="16" t="s">
        <v>1487</v>
      </c>
      <c r="SQG300" s="16" t="s">
        <v>1487</v>
      </c>
      <c r="SQH300" s="16" t="s">
        <v>1487</v>
      </c>
      <c r="SQI300" s="16" t="s">
        <v>1487</v>
      </c>
      <c r="SQJ300" s="16" t="s">
        <v>1487</v>
      </c>
      <c r="SQK300" s="16" t="s">
        <v>1487</v>
      </c>
      <c r="SQL300" s="16" t="s">
        <v>1487</v>
      </c>
      <c r="SQM300" s="16" t="s">
        <v>1487</v>
      </c>
      <c r="SQN300" s="16" t="s">
        <v>1487</v>
      </c>
      <c r="SQO300" s="16" t="s">
        <v>1487</v>
      </c>
      <c r="SQP300" s="16" t="s">
        <v>1487</v>
      </c>
      <c r="SQQ300" s="16" t="s">
        <v>1487</v>
      </c>
      <c r="SQR300" s="16" t="s">
        <v>1487</v>
      </c>
      <c r="SQS300" s="16" t="s">
        <v>1487</v>
      </c>
      <c r="SQT300" s="16" t="s">
        <v>1487</v>
      </c>
      <c r="SQU300" s="16" t="s">
        <v>1487</v>
      </c>
      <c r="SQV300" s="16" t="s">
        <v>1487</v>
      </c>
      <c r="SQW300" s="16" t="s">
        <v>1487</v>
      </c>
      <c r="SQX300" s="16" t="s">
        <v>1487</v>
      </c>
      <c r="SQY300" s="16" t="s">
        <v>1487</v>
      </c>
      <c r="SQZ300" s="16" t="s">
        <v>1487</v>
      </c>
      <c r="SRA300" s="16" t="s">
        <v>1487</v>
      </c>
      <c r="SRB300" s="16" t="s">
        <v>1487</v>
      </c>
      <c r="SRC300" s="16" t="s">
        <v>1487</v>
      </c>
      <c r="SRD300" s="16" t="s">
        <v>1487</v>
      </c>
      <c r="SRE300" s="16" t="s">
        <v>1487</v>
      </c>
      <c r="SRF300" s="16" t="s">
        <v>1487</v>
      </c>
      <c r="SRG300" s="16" t="s">
        <v>1487</v>
      </c>
      <c r="SRH300" s="16" t="s">
        <v>1487</v>
      </c>
      <c r="SRI300" s="16" t="s">
        <v>1487</v>
      </c>
      <c r="SRJ300" s="16" t="s">
        <v>1487</v>
      </c>
      <c r="SRK300" s="16" t="s">
        <v>1487</v>
      </c>
      <c r="SRL300" s="16" t="s">
        <v>1487</v>
      </c>
      <c r="SRM300" s="16" t="s">
        <v>1487</v>
      </c>
      <c r="SRN300" s="16" t="s">
        <v>1487</v>
      </c>
      <c r="SRO300" s="16" t="s">
        <v>1487</v>
      </c>
      <c r="SRP300" s="16" t="s">
        <v>1487</v>
      </c>
      <c r="SRQ300" s="16" t="s">
        <v>1487</v>
      </c>
      <c r="SRR300" s="16" t="s">
        <v>1487</v>
      </c>
      <c r="SRS300" s="16" t="s">
        <v>1487</v>
      </c>
      <c r="SRT300" s="16" t="s">
        <v>1487</v>
      </c>
      <c r="SRU300" s="16" t="s">
        <v>1487</v>
      </c>
      <c r="SRV300" s="16" t="s">
        <v>1487</v>
      </c>
      <c r="SRW300" s="16" t="s">
        <v>1487</v>
      </c>
      <c r="SRX300" s="16" t="s">
        <v>1487</v>
      </c>
      <c r="SRY300" s="16" t="s">
        <v>1487</v>
      </c>
      <c r="SRZ300" s="16" t="s">
        <v>1487</v>
      </c>
      <c r="SSA300" s="16" t="s">
        <v>1487</v>
      </c>
      <c r="SSB300" s="16" t="s">
        <v>1487</v>
      </c>
      <c r="SSC300" s="16" t="s">
        <v>1487</v>
      </c>
      <c r="SSD300" s="16" t="s">
        <v>1487</v>
      </c>
      <c r="SSE300" s="16" t="s">
        <v>1487</v>
      </c>
      <c r="SSF300" s="16" t="s">
        <v>1487</v>
      </c>
      <c r="SSG300" s="16" t="s">
        <v>1487</v>
      </c>
      <c r="SSH300" s="16" t="s">
        <v>1487</v>
      </c>
      <c r="SSI300" s="16" t="s">
        <v>1487</v>
      </c>
      <c r="SSJ300" s="16" t="s">
        <v>1487</v>
      </c>
      <c r="SSK300" s="16" t="s">
        <v>1487</v>
      </c>
      <c r="SSL300" s="16" t="s">
        <v>1487</v>
      </c>
      <c r="SSM300" s="16" t="s">
        <v>1487</v>
      </c>
      <c r="SSN300" s="16" t="s">
        <v>1487</v>
      </c>
      <c r="SSO300" s="16" t="s">
        <v>1487</v>
      </c>
      <c r="SSP300" s="16" t="s">
        <v>1487</v>
      </c>
      <c r="SSQ300" s="16" t="s">
        <v>1487</v>
      </c>
      <c r="SSR300" s="16" t="s">
        <v>1487</v>
      </c>
      <c r="SSS300" s="16" t="s">
        <v>1487</v>
      </c>
      <c r="SST300" s="16" t="s">
        <v>1487</v>
      </c>
      <c r="SSU300" s="16" t="s">
        <v>1487</v>
      </c>
      <c r="SSV300" s="16" t="s">
        <v>1487</v>
      </c>
      <c r="SSW300" s="16" t="s">
        <v>1487</v>
      </c>
      <c r="SSX300" s="16" t="s">
        <v>1487</v>
      </c>
      <c r="SSY300" s="16" t="s">
        <v>1487</v>
      </c>
      <c r="SSZ300" s="16" t="s">
        <v>1487</v>
      </c>
      <c r="STA300" s="16" t="s">
        <v>1487</v>
      </c>
      <c r="STB300" s="16" t="s">
        <v>1487</v>
      </c>
      <c r="STC300" s="16" t="s">
        <v>1487</v>
      </c>
      <c r="STD300" s="16" t="s">
        <v>1487</v>
      </c>
      <c r="STE300" s="16" t="s">
        <v>1487</v>
      </c>
      <c r="STF300" s="16" t="s">
        <v>1487</v>
      </c>
      <c r="STG300" s="16" t="s">
        <v>1487</v>
      </c>
      <c r="STH300" s="16" t="s">
        <v>1487</v>
      </c>
      <c r="STI300" s="16" t="s">
        <v>1487</v>
      </c>
      <c r="STJ300" s="16" t="s">
        <v>1487</v>
      </c>
      <c r="STK300" s="16" t="s">
        <v>1487</v>
      </c>
      <c r="STL300" s="16" t="s">
        <v>1487</v>
      </c>
      <c r="STM300" s="16" t="s">
        <v>1487</v>
      </c>
      <c r="STN300" s="16" t="s">
        <v>1487</v>
      </c>
      <c r="STO300" s="16" t="s">
        <v>1487</v>
      </c>
      <c r="STP300" s="16" t="s">
        <v>1487</v>
      </c>
      <c r="STQ300" s="16" t="s">
        <v>1487</v>
      </c>
      <c r="STR300" s="16" t="s">
        <v>1487</v>
      </c>
      <c r="STS300" s="16" t="s">
        <v>1487</v>
      </c>
      <c r="STT300" s="16" t="s">
        <v>1487</v>
      </c>
      <c r="STU300" s="16" t="s">
        <v>1487</v>
      </c>
      <c r="STV300" s="16" t="s">
        <v>1487</v>
      </c>
      <c r="STW300" s="16" t="s">
        <v>1487</v>
      </c>
      <c r="STX300" s="16" t="s">
        <v>1487</v>
      </c>
      <c r="STY300" s="16" t="s">
        <v>1487</v>
      </c>
      <c r="STZ300" s="16" t="s">
        <v>1487</v>
      </c>
      <c r="SUA300" s="16" t="s">
        <v>1487</v>
      </c>
      <c r="SUB300" s="16" t="s">
        <v>1487</v>
      </c>
      <c r="SUC300" s="16" t="s">
        <v>1487</v>
      </c>
      <c r="SUD300" s="16" t="s">
        <v>1487</v>
      </c>
      <c r="SUE300" s="16" t="s">
        <v>1487</v>
      </c>
      <c r="SUF300" s="16" t="s">
        <v>1487</v>
      </c>
      <c r="SUG300" s="16" t="s">
        <v>1487</v>
      </c>
      <c r="SUH300" s="16" t="s">
        <v>1487</v>
      </c>
      <c r="SUI300" s="16" t="s">
        <v>1487</v>
      </c>
      <c r="SUJ300" s="16" t="s">
        <v>1487</v>
      </c>
      <c r="SUK300" s="16" t="s">
        <v>1487</v>
      </c>
      <c r="SUL300" s="16" t="s">
        <v>1487</v>
      </c>
      <c r="SUM300" s="16" t="s">
        <v>1487</v>
      </c>
      <c r="SUN300" s="16" t="s">
        <v>1487</v>
      </c>
      <c r="SUO300" s="16" t="s">
        <v>1487</v>
      </c>
      <c r="SUP300" s="16" t="s">
        <v>1487</v>
      </c>
      <c r="SUQ300" s="16" t="s">
        <v>1487</v>
      </c>
      <c r="SUR300" s="16" t="s">
        <v>1487</v>
      </c>
      <c r="SUS300" s="16" t="s">
        <v>1487</v>
      </c>
      <c r="SUT300" s="16" t="s">
        <v>1487</v>
      </c>
      <c r="SUU300" s="16" t="s">
        <v>1487</v>
      </c>
      <c r="SUV300" s="16" t="s">
        <v>1487</v>
      </c>
      <c r="SUW300" s="16" t="s">
        <v>1487</v>
      </c>
      <c r="SUX300" s="16" t="s">
        <v>1487</v>
      </c>
      <c r="SUY300" s="16" t="s">
        <v>1487</v>
      </c>
      <c r="SUZ300" s="16" t="s">
        <v>1487</v>
      </c>
      <c r="SVA300" s="16" t="s">
        <v>1487</v>
      </c>
      <c r="SVB300" s="16" t="s">
        <v>1487</v>
      </c>
      <c r="SVC300" s="16" t="s">
        <v>1487</v>
      </c>
      <c r="SVD300" s="16" t="s">
        <v>1487</v>
      </c>
      <c r="SVE300" s="16" t="s">
        <v>1487</v>
      </c>
      <c r="SVF300" s="16" t="s">
        <v>1487</v>
      </c>
      <c r="SVG300" s="16" t="s">
        <v>1487</v>
      </c>
      <c r="SVH300" s="16" t="s">
        <v>1487</v>
      </c>
      <c r="SVI300" s="16" t="s">
        <v>1487</v>
      </c>
      <c r="SVJ300" s="16" t="s">
        <v>1487</v>
      </c>
      <c r="SVK300" s="16" t="s">
        <v>1487</v>
      </c>
      <c r="SVL300" s="16" t="s">
        <v>1487</v>
      </c>
      <c r="SVM300" s="16" t="s">
        <v>1487</v>
      </c>
      <c r="SVN300" s="16" t="s">
        <v>1487</v>
      </c>
      <c r="SVO300" s="16" t="s">
        <v>1487</v>
      </c>
      <c r="SVP300" s="16" t="s">
        <v>1487</v>
      </c>
      <c r="SVQ300" s="16" t="s">
        <v>1487</v>
      </c>
      <c r="SVR300" s="16" t="s">
        <v>1487</v>
      </c>
      <c r="SVS300" s="16" t="s">
        <v>1487</v>
      </c>
      <c r="SVT300" s="16" t="s">
        <v>1487</v>
      </c>
      <c r="SVU300" s="16" t="s">
        <v>1487</v>
      </c>
      <c r="SVV300" s="16" t="s">
        <v>1487</v>
      </c>
      <c r="SVW300" s="16" t="s">
        <v>1487</v>
      </c>
      <c r="SVX300" s="16" t="s">
        <v>1487</v>
      </c>
      <c r="SVY300" s="16" t="s">
        <v>1487</v>
      </c>
      <c r="SVZ300" s="16" t="s">
        <v>1487</v>
      </c>
      <c r="SWA300" s="16" t="s">
        <v>1487</v>
      </c>
      <c r="SWB300" s="16" t="s">
        <v>1487</v>
      </c>
      <c r="SWC300" s="16" t="s">
        <v>1487</v>
      </c>
      <c r="SWD300" s="16" t="s">
        <v>1487</v>
      </c>
      <c r="SWE300" s="16" t="s">
        <v>1487</v>
      </c>
      <c r="SWF300" s="16" t="s">
        <v>1487</v>
      </c>
      <c r="SWG300" s="16" t="s">
        <v>1487</v>
      </c>
      <c r="SWH300" s="16" t="s">
        <v>1487</v>
      </c>
      <c r="SWI300" s="16" t="s">
        <v>1487</v>
      </c>
      <c r="SWJ300" s="16" t="s">
        <v>1487</v>
      </c>
      <c r="SWK300" s="16" t="s">
        <v>1487</v>
      </c>
      <c r="SWL300" s="16" t="s">
        <v>1487</v>
      </c>
      <c r="SWM300" s="16" t="s">
        <v>1487</v>
      </c>
      <c r="SWN300" s="16" t="s">
        <v>1487</v>
      </c>
      <c r="SWO300" s="16" t="s">
        <v>1487</v>
      </c>
      <c r="SWP300" s="16" t="s">
        <v>1487</v>
      </c>
      <c r="SWQ300" s="16" t="s">
        <v>1487</v>
      </c>
      <c r="SWR300" s="16" t="s">
        <v>1487</v>
      </c>
      <c r="SWS300" s="16" t="s">
        <v>1487</v>
      </c>
      <c r="SWT300" s="16" t="s">
        <v>1487</v>
      </c>
      <c r="SWU300" s="16" t="s">
        <v>1487</v>
      </c>
      <c r="SWV300" s="16" t="s">
        <v>1487</v>
      </c>
      <c r="SWW300" s="16" t="s">
        <v>1487</v>
      </c>
      <c r="SWX300" s="16" t="s">
        <v>1487</v>
      </c>
      <c r="SWY300" s="16" t="s">
        <v>1487</v>
      </c>
      <c r="SWZ300" s="16" t="s">
        <v>1487</v>
      </c>
      <c r="SXA300" s="16" t="s">
        <v>1487</v>
      </c>
      <c r="SXB300" s="16" t="s">
        <v>1487</v>
      </c>
      <c r="SXC300" s="16" t="s">
        <v>1487</v>
      </c>
      <c r="SXD300" s="16" t="s">
        <v>1487</v>
      </c>
      <c r="SXE300" s="16" t="s">
        <v>1487</v>
      </c>
      <c r="SXF300" s="16" t="s">
        <v>1487</v>
      </c>
      <c r="SXG300" s="16" t="s">
        <v>1487</v>
      </c>
      <c r="SXH300" s="16" t="s">
        <v>1487</v>
      </c>
      <c r="SXI300" s="16" t="s">
        <v>1487</v>
      </c>
      <c r="SXJ300" s="16" t="s">
        <v>1487</v>
      </c>
      <c r="SXK300" s="16" t="s">
        <v>1487</v>
      </c>
      <c r="SXL300" s="16" t="s">
        <v>1487</v>
      </c>
      <c r="SXM300" s="16" t="s">
        <v>1487</v>
      </c>
      <c r="SXN300" s="16" t="s">
        <v>1487</v>
      </c>
      <c r="SXO300" s="16" t="s">
        <v>1487</v>
      </c>
      <c r="SXP300" s="16" t="s">
        <v>1487</v>
      </c>
      <c r="SXQ300" s="16" t="s">
        <v>1487</v>
      </c>
      <c r="SXR300" s="16" t="s">
        <v>1487</v>
      </c>
      <c r="SXS300" s="16" t="s">
        <v>1487</v>
      </c>
      <c r="SXT300" s="16" t="s">
        <v>1487</v>
      </c>
      <c r="SXU300" s="16" t="s">
        <v>1487</v>
      </c>
      <c r="SXV300" s="16" t="s">
        <v>1487</v>
      </c>
      <c r="SXW300" s="16" t="s">
        <v>1487</v>
      </c>
      <c r="SXX300" s="16" t="s">
        <v>1487</v>
      </c>
      <c r="SXY300" s="16" t="s">
        <v>1487</v>
      </c>
      <c r="SXZ300" s="16" t="s">
        <v>1487</v>
      </c>
      <c r="SYA300" s="16" t="s">
        <v>1487</v>
      </c>
      <c r="SYB300" s="16" t="s">
        <v>1487</v>
      </c>
      <c r="SYC300" s="16" t="s">
        <v>1487</v>
      </c>
      <c r="SYD300" s="16" t="s">
        <v>1487</v>
      </c>
      <c r="SYE300" s="16" t="s">
        <v>1487</v>
      </c>
      <c r="SYF300" s="16" t="s">
        <v>1487</v>
      </c>
      <c r="SYG300" s="16" t="s">
        <v>1487</v>
      </c>
      <c r="SYH300" s="16" t="s">
        <v>1487</v>
      </c>
      <c r="SYI300" s="16" t="s">
        <v>1487</v>
      </c>
      <c r="SYJ300" s="16" t="s">
        <v>1487</v>
      </c>
      <c r="SYK300" s="16" t="s">
        <v>1487</v>
      </c>
      <c r="SYL300" s="16" t="s">
        <v>1487</v>
      </c>
      <c r="SYM300" s="16" t="s">
        <v>1487</v>
      </c>
      <c r="SYN300" s="16" t="s">
        <v>1487</v>
      </c>
      <c r="SYO300" s="16" t="s">
        <v>1487</v>
      </c>
      <c r="SYP300" s="16" t="s">
        <v>1487</v>
      </c>
      <c r="SYQ300" s="16" t="s">
        <v>1487</v>
      </c>
      <c r="SYR300" s="16" t="s">
        <v>1487</v>
      </c>
      <c r="SYS300" s="16" t="s">
        <v>1487</v>
      </c>
      <c r="SYT300" s="16" t="s">
        <v>1487</v>
      </c>
      <c r="SYU300" s="16" t="s">
        <v>1487</v>
      </c>
      <c r="SYV300" s="16" t="s">
        <v>1487</v>
      </c>
      <c r="SYW300" s="16" t="s">
        <v>1487</v>
      </c>
      <c r="SYX300" s="16" t="s">
        <v>1487</v>
      </c>
      <c r="SYY300" s="16" t="s">
        <v>1487</v>
      </c>
      <c r="SYZ300" s="16" t="s">
        <v>1487</v>
      </c>
      <c r="SZA300" s="16" t="s">
        <v>1487</v>
      </c>
      <c r="SZB300" s="16" t="s">
        <v>1487</v>
      </c>
      <c r="SZC300" s="16" t="s">
        <v>1487</v>
      </c>
      <c r="SZD300" s="16" t="s">
        <v>1487</v>
      </c>
      <c r="SZE300" s="16" t="s">
        <v>1487</v>
      </c>
      <c r="SZF300" s="16" t="s">
        <v>1487</v>
      </c>
      <c r="SZG300" s="16" t="s">
        <v>1487</v>
      </c>
      <c r="SZH300" s="16" t="s">
        <v>1487</v>
      </c>
      <c r="SZI300" s="16" t="s">
        <v>1487</v>
      </c>
      <c r="SZJ300" s="16" t="s">
        <v>1487</v>
      </c>
      <c r="SZK300" s="16" t="s">
        <v>1487</v>
      </c>
      <c r="SZL300" s="16" t="s">
        <v>1487</v>
      </c>
      <c r="SZM300" s="16" t="s">
        <v>1487</v>
      </c>
      <c r="SZN300" s="16" t="s">
        <v>1487</v>
      </c>
      <c r="SZO300" s="16" t="s">
        <v>1487</v>
      </c>
      <c r="SZP300" s="16" t="s">
        <v>1487</v>
      </c>
      <c r="SZQ300" s="16" t="s">
        <v>1487</v>
      </c>
      <c r="SZR300" s="16" t="s">
        <v>1487</v>
      </c>
      <c r="SZS300" s="16" t="s">
        <v>1487</v>
      </c>
      <c r="SZT300" s="16" t="s">
        <v>1487</v>
      </c>
      <c r="SZU300" s="16" t="s">
        <v>1487</v>
      </c>
      <c r="SZV300" s="16" t="s">
        <v>1487</v>
      </c>
      <c r="SZW300" s="16" t="s">
        <v>1487</v>
      </c>
      <c r="SZX300" s="16" t="s">
        <v>1487</v>
      </c>
      <c r="SZY300" s="16" t="s">
        <v>1487</v>
      </c>
      <c r="SZZ300" s="16" t="s">
        <v>1487</v>
      </c>
      <c r="TAA300" s="16" t="s">
        <v>1487</v>
      </c>
      <c r="TAB300" s="16" t="s">
        <v>1487</v>
      </c>
      <c r="TAC300" s="16" t="s">
        <v>1487</v>
      </c>
      <c r="TAD300" s="16" t="s">
        <v>1487</v>
      </c>
      <c r="TAE300" s="16" t="s">
        <v>1487</v>
      </c>
      <c r="TAF300" s="16" t="s">
        <v>1487</v>
      </c>
      <c r="TAG300" s="16" t="s">
        <v>1487</v>
      </c>
      <c r="TAH300" s="16" t="s">
        <v>1487</v>
      </c>
      <c r="TAI300" s="16" t="s">
        <v>1487</v>
      </c>
      <c r="TAJ300" s="16" t="s">
        <v>1487</v>
      </c>
      <c r="TAK300" s="16" t="s">
        <v>1487</v>
      </c>
      <c r="TAL300" s="16" t="s">
        <v>1487</v>
      </c>
      <c r="TAM300" s="16" t="s">
        <v>1487</v>
      </c>
      <c r="TAN300" s="16" t="s">
        <v>1487</v>
      </c>
      <c r="TAO300" s="16" t="s">
        <v>1487</v>
      </c>
      <c r="TAP300" s="16" t="s">
        <v>1487</v>
      </c>
      <c r="TAQ300" s="16" t="s">
        <v>1487</v>
      </c>
      <c r="TAR300" s="16" t="s">
        <v>1487</v>
      </c>
      <c r="TAS300" s="16" t="s">
        <v>1487</v>
      </c>
      <c r="TAT300" s="16" t="s">
        <v>1487</v>
      </c>
      <c r="TAU300" s="16" t="s">
        <v>1487</v>
      </c>
      <c r="TAV300" s="16" t="s">
        <v>1487</v>
      </c>
      <c r="TAW300" s="16" t="s">
        <v>1487</v>
      </c>
      <c r="TAX300" s="16" t="s">
        <v>1487</v>
      </c>
      <c r="TAY300" s="16" t="s">
        <v>1487</v>
      </c>
      <c r="TAZ300" s="16" t="s">
        <v>1487</v>
      </c>
      <c r="TBA300" s="16" t="s">
        <v>1487</v>
      </c>
      <c r="TBB300" s="16" t="s">
        <v>1487</v>
      </c>
      <c r="TBC300" s="16" t="s">
        <v>1487</v>
      </c>
      <c r="TBD300" s="16" t="s">
        <v>1487</v>
      </c>
      <c r="TBE300" s="16" t="s">
        <v>1487</v>
      </c>
      <c r="TBF300" s="16" t="s">
        <v>1487</v>
      </c>
      <c r="TBG300" s="16" t="s">
        <v>1487</v>
      </c>
      <c r="TBH300" s="16" t="s">
        <v>1487</v>
      </c>
      <c r="TBI300" s="16" t="s">
        <v>1487</v>
      </c>
      <c r="TBJ300" s="16" t="s">
        <v>1487</v>
      </c>
      <c r="TBK300" s="16" t="s">
        <v>1487</v>
      </c>
      <c r="TBL300" s="16" t="s">
        <v>1487</v>
      </c>
      <c r="TBM300" s="16" t="s">
        <v>1487</v>
      </c>
      <c r="TBN300" s="16" t="s">
        <v>1487</v>
      </c>
      <c r="TBO300" s="16" t="s">
        <v>1487</v>
      </c>
      <c r="TBP300" s="16" t="s">
        <v>1487</v>
      </c>
      <c r="TBQ300" s="16" t="s">
        <v>1487</v>
      </c>
      <c r="TBR300" s="16" t="s">
        <v>1487</v>
      </c>
      <c r="TBS300" s="16" t="s">
        <v>1487</v>
      </c>
      <c r="TBT300" s="16" t="s">
        <v>1487</v>
      </c>
      <c r="TBU300" s="16" t="s">
        <v>1487</v>
      </c>
      <c r="TBV300" s="16" t="s">
        <v>1487</v>
      </c>
      <c r="TBW300" s="16" t="s">
        <v>1487</v>
      </c>
      <c r="TBX300" s="16" t="s">
        <v>1487</v>
      </c>
      <c r="TBY300" s="16" t="s">
        <v>1487</v>
      </c>
      <c r="TBZ300" s="16" t="s">
        <v>1487</v>
      </c>
      <c r="TCA300" s="16" t="s">
        <v>1487</v>
      </c>
      <c r="TCB300" s="16" t="s">
        <v>1487</v>
      </c>
      <c r="TCC300" s="16" t="s">
        <v>1487</v>
      </c>
      <c r="TCD300" s="16" t="s">
        <v>1487</v>
      </c>
      <c r="TCE300" s="16" t="s">
        <v>1487</v>
      </c>
      <c r="TCF300" s="16" t="s">
        <v>1487</v>
      </c>
      <c r="TCG300" s="16" t="s">
        <v>1487</v>
      </c>
      <c r="TCH300" s="16" t="s">
        <v>1487</v>
      </c>
      <c r="TCI300" s="16" t="s">
        <v>1487</v>
      </c>
      <c r="TCJ300" s="16" t="s">
        <v>1487</v>
      </c>
      <c r="TCK300" s="16" t="s">
        <v>1487</v>
      </c>
      <c r="TCL300" s="16" t="s">
        <v>1487</v>
      </c>
      <c r="TCM300" s="16" t="s">
        <v>1487</v>
      </c>
      <c r="TCN300" s="16" t="s">
        <v>1487</v>
      </c>
      <c r="TCO300" s="16" t="s">
        <v>1487</v>
      </c>
      <c r="TCP300" s="16" t="s">
        <v>1487</v>
      </c>
      <c r="TCQ300" s="16" t="s">
        <v>1487</v>
      </c>
      <c r="TCR300" s="16" t="s">
        <v>1487</v>
      </c>
      <c r="TCS300" s="16" t="s">
        <v>1487</v>
      </c>
      <c r="TCT300" s="16" t="s">
        <v>1487</v>
      </c>
      <c r="TCU300" s="16" t="s">
        <v>1487</v>
      </c>
      <c r="TCV300" s="16" t="s">
        <v>1487</v>
      </c>
      <c r="TCW300" s="16" t="s">
        <v>1487</v>
      </c>
      <c r="TCX300" s="16" t="s">
        <v>1487</v>
      </c>
      <c r="TCY300" s="16" t="s">
        <v>1487</v>
      </c>
      <c r="TCZ300" s="16" t="s">
        <v>1487</v>
      </c>
      <c r="TDA300" s="16" t="s">
        <v>1487</v>
      </c>
      <c r="TDB300" s="16" t="s">
        <v>1487</v>
      </c>
      <c r="TDC300" s="16" t="s">
        <v>1487</v>
      </c>
      <c r="TDD300" s="16" t="s">
        <v>1487</v>
      </c>
      <c r="TDE300" s="16" t="s">
        <v>1487</v>
      </c>
      <c r="TDF300" s="16" t="s">
        <v>1487</v>
      </c>
      <c r="TDG300" s="16" t="s">
        <v>1487</v>
      </c>
      <c r="TDH300" s="16" t="s">
        <v>1487</v>
      </c>
      <c r="TDI300" s="16" t="s">
        <v>1487</v>
      </c>
      <c r="TDJ300" s="16" t="s">
        <v>1487</v>
      </c>
      <c r="TDK300" s="16" t="s">
        <v>1487</v>
      </c>
      <c r="TDL300" s="16" t="s">
        <v>1487</v>
      </c>
      <c r="TDM300" s="16" t="s">
        <v>1487</v>
      </c>
      <c r="TDN300" s="16" t="s">
        <v>1487</v>
      </c>
      <c r="TDO300" s="16" t="s">
        <v>1487</v>
      </c>
      <c r="TDP300" s="16" t="s">
        <v>1487</v>
      </c>
      <c r="TDQ300" s="16" t="s">
        <v>1487</v>
      </c>
      <c r="TDR300" s="16" t="s">
        <v>1487</v>
      </c>
      <c r="TDS300" s="16" t="s">
        <v>1487</v>
      </c>
      <c r="TDT300" s="16" t="s">
        <v>1487</v>
      </c>
      <c r="TDU300" s="16" t="s">
        <v>1487</v>
      </c>
      <c r="TDV300" s="16" t="s">
        <v>1487</v>
      </c>
      <c r="TDW300" s="16" t="s">
        <v>1487</v>
      </c>
      <c r="TDX300" s="16" t="s">
        <v>1487</v>
      </c>
      <c r="TDY300" s="16" t="s">
        <v>1487</v>
      </c>
      <c r="TDZ300" s="16" t="s">
        <v>1487</v>
      </c>
      <c r="TEA300" s="16" t="s">
        <v>1487</v>
      </c>
      <c r="TEB300" s="16" t="s">
        <v>1487</v>
      </c>
      <c r="TEC300" s="16" t="s">
        <v>1487</v>
      </c>
      <c r="TED300" s="16" t="s">
        <v>1487</v>
      </c>
      <c r="TEE300" s="16" t="s">
        <v>1487</v>
      </c>
      <c r="TEF300" s="16" t="s">
        <v>1487</v>
      </c>
      <c r="TEG300" s="16" t="s">
        <v>1487</v>
      </c>
      <c r="TEH300" s="16" t="s">
        <v>1487</v>
      </c>
      <c r="TEI300" s="16" t="s">
        <v>1487</v>
      </c>
      <c r="TEJ300" s="16" t="s">
        <v>1487</v>
      </c>
      <c r="TEK300" s="16" t="s">
        <v>1487</v>
      </c>
      <c r="TEL300" s="16" t="s">
        <v>1487</v>
      </c>
      <c r="TEM300" s="16" t="s">
        <v>1487</v>
      </c>
      <c r="TEN300" s="16" t="s">
        <v>1487</v>
      </c>
      <c r="TEO300" s="16" t="s">
        <v>1487</v>
      </c>
      <c r="TEP300" s="16" t="s">
        <v>1487</v>
      </c>
      <c r="TEQ300" s="16" t="s">
        <v>1487</v>
      </c>
      <c r="TER300" s="16" t="s">
        <v>1487</v>
      </c>
      <c r="TES300" s="16" t="s">
        <v>1487</v>
      </c>
      <c r="TET300" s="16" t="s">
        <v>1487</v>
      </c>
      <c r="TEU300" s="16" t="s">
        <v>1487</v>
      </c>
      <c r="TEV300" s="16" t="s">
        <v>1487</v>
      </c>
      <c r="TEW300" s="16" t="s">
        <v>1487</v>
      </c>
      <c r="TEX300" s="16" t="s">
        <v>1487</v>
      </c>
      <c r="TEY300" s="16" t="s">
        <v>1487</v>
      </c>
      <c r="TEZ300" s="16" t="s">
        <v>1487</v>
      </c>
      <c r="TFA300" s="16" t="s">
        <v>1487</v>
      </c>
      <c r="TFB300" s="16" t="s">
        <v>1487</v>
      </c>
      <c r="TFC300" s="16" t="s">
        <v>1487</v>
      </c>
      <c r="TFD300" s="16" t="s">
        <v>1487</v>
      </c>
      <c r="TFE300" s="16" t="s">
        <v>1487</v>
      </c>
      <c r="TFF300" s="16" t="s">
        <v>1487</v>
      </c>
      <c r="TFG300" s="16" t="s">
        <v>1487</v>
      </c>
      <c r="TFH300" s="16" t="s">
        <v>1487</v>
      </c>
      <c r="TFI300" s="16" t="s">
        <v>1487</v>
      </c>
      <c r="TFJ300" s="16" t="s">
        <v>1487</v>
      </c>
      <c r="TFK300" s="16" t="s">
        <v>1487</v>
      </c>
      <c r="TFL300" s="16" t="s">
        <v>1487</v>
      </c>
      <c r="TFM300" s="16" t="s">
        <v>1487</v>
      </c>
      <c r="TFN300" s="16" t="s">
        <v>1487</v>
      </c>
      <c r="TFO300" s="16" t="s">
        <v>1487</v>
      </c>
      <c r="TFP300" s="16" t="s">
        <v>1487</v>
      </c>
      <c r="TFQ300" s="16" t="s">
        <v>1487</v>
      </c>
      <c r="TFR300" s="16" t="s">
        <v>1487</v>
      </c>
      <c r="TFS300" s="16" t="s">
        <v>1487</v>
      </c>
      <c r="TFT300" s="16" t="s">
        <v>1487</v>
      </c>
      <c r="TFU300" s="16" t="s">
        <v>1487</v>
      </c>
      <c r="TFV300" s="16" t="s">
        <v>1487</v>
      </c>
      <c r="TFW300" s="16" t="s">
        <v>1487</v>
      </c>
      <c r="TFX300" s="16" t="s">
        <v>1487</v>
      </c>
      <c r="TFY300" s="16" t="s">
        <v>1487</v>
      </c>
      <c r="TFZ300" s="16" t="s">
        <v>1487</v>
      </c>
      <c r="TGA300" s="16" t="s">
        <v>1487</v>
      </c>
      <c r="TGB300" s="16" t="s">
        <v>1487</v>
      </c>
      <c r="TGC300" s="16" t="s">
        <v>1487</v>
      </c>
      <c r="TGD300" s="16" t="s">
        <v>1487</v>
      </c>
      <c r="TGE300" s="16" t="s">
        <v>1487</v>
      </c>
      <c r="TGF300" s="16" t="s">
        <v>1487</v>
      </c>
      <c r="TGG300" s="16" t="s">
        <v>1487</v>
      </c>
      <c r="TGH300" s="16" t="s">
        <v>1487</v>
      </c>
      <c r="TGI300" s="16" t="s">
        <v>1487</v>
      </c>
      <c r="TGJ300" s="16" t="s">
        <v>1487</v>
      </c>
      <c r="TGK300" s="16" t="s">
        <v>1487</v>
      </c>
      <c r="TGL300" s="16" t="s">
        <v>1487</v>
      </c>
      <c r="TGM300" s="16" t="s">
        <v>1487</v>
      </c>
      <c r="TGN300" s="16" t="s">
        <v>1487</v>
      </c>
      <c r="TGO300" s="16" t="s">
        <v>1487</v>
      </c>
      <c r="TGP300" s="16" t="s">
        <v>1487</v>
      </c>
      <c r="TGQ300" s="16" t="s">
        <v>1487</v>
      </c>
      <c r="TGR300" s="16" t="s">
        <v>1487</v>
      </c>
      <c r="TGS300" s="16" t="s">
        <v>1487</v>
      </c>
      <c r="TGT300" s="16" t="s">
        <v>1487</v>
      </c>
      <c r="TGU300" s="16" t="s">
        <v>1487</v>
      </c>
      <c r="TGV300" s="16" t="s">
        <v>1487</v>
      </c>
      <c r="TGW300" s="16" t="s">
        <v>1487</v>
      </c>
      <c r="TGX300" s="16" t="s">
        <v>1487</v>
      </c>
      <c r="TGY300" s="16" t="s">
        <v>1487</v>
      </c>
      <c r="TGZ300" s="16" t="s">
        <v>1487</v>
      </c>
      <c r="THA300" s="16" t="s">
        <v>1487</v>
      </c>
      <c r="THB300" s="16" t="s">
        <v>1487</v>
      </c>
      <c r="THC300" s="16" t="s">
        <v>1487</v>
      </c>
      <c r="THD300" s="16" t="s">
        <v>1487</v>
      </c>
      <c r="THE300" s="16" t="s">
        <v>1487</v>
      </c>
      <c r="THF300" s="16" t="s">
        <v>1487</v>
      </c>
      <c r="THG300" s="16" t="s">
        <v>1487</v>
      </c>
      <c r="THH300" s="16" t="s">
        <v>1487</v>
      </c>
      <c r="THI300" s="16" t="s">
        <v>1487</v>
      </c>
      <c r="THJ300" s="16" t="s">
        <v>1487</v>
      </c>
      <c r="THK300" s="16" t="s">
        <v>1487</v>
      </c>
      <c r="THL300" s="16" t="s">
        <v>1487</v>
      </c>
      <c r="THM300" s="16" t="s">
        <v>1487</v>
      </c>
      <c r="THN300" s="16" t="s">
        <v>1487</v>
      </c>
      <c r="THO300" s="16" t="s">
        <v>1487</v>
      </c>
      <c r="THP300" s="16" t="s">
        <v>1487</v>
      </c>
      <c r="THQ300" s="16" t="s">
        <v>1487</v>
      </c>
      <c r="THR300" s="16" t="s">
        <v>1487</v>
      </c>
      <c r="THS300" s="16" t="s">
        <v>1487</v>
      </c>
      <c r="THT300" s="16" t="s">
        <v>1487</v>
      </c>
      <c r="THU300" s="16" t="s">
        <v>1487</v>
      </c>
      <c r="THV300" s="16" t="s">
        <v>1487</v>
      </c>
      <c r="THW300" s="16" t="s">
        <v>1487</v>
      </c>
      <c r="THX300" s="16" t="s">
        <v>1487</v>
      </c>
      <c r="THY300" s="16" t="s">
        <v>1487</v>
      </c>
      <c r="THZ300" s="16" t="s">
        <v>1487</v>
      </c>
      <c r="TIA300" s="16" t="s">
        <v>1487</v>
      </c>
      <c r="TIB300" s="16" t="s">
        <v>1487</v>
      </c>
      <c r="TIC300" s="16" t="s">
        <v>1487</v>
      </c>
      <c r="TID300" s="16" t="s">
        <v>1487</v>
      </c>
      <c r="TIE300" s="16" t="s">
        <v>1487</v>
      </c>
      <c r="TIF300" s="16" t="s">
        <v>1487</v>
      </c>
      <c r="TIG300" s="16" t="s">
        <v>1487</v>
      </c>
      <c r="TIH300" s="16" t="s">
        <v>1487</v>
      </c>
      <c r="TII300" s="16" t="s">
        <v>1487</v>
      </c>
      <c r="TIJ300" s="16" t="s">
        <v>1487</v>
      </c>
      <c r="TIK300" s="16" t="s">
        <v>1487</v>
      </c>
      <c r="TIL300" s="16" t="s">
        <v>1487</v>
      </c>
      <c r="TIM300" s="16" t="s">
        <v>1487</v>
      </c>
      <c r="TIN300" s="16" t="s">
        <v>1487</v>
      </c>
      <c r="TIO300" s="16" t="s">
        <v>1487</v>
      </c>
      <c r="TIP300" s="16" t="s">
        <v>1487</v>
      </c>
      <c r="TIQ300" s="16" t="s">
        <v>1487</v>
      </c>
      <c r="TIR300" s="16" t="s">
        <v>1487</v>
      </c>
      <c r="TIS300" s="16" t="s">
        <v>1487</v>
      </c>
      <c r="TIT300" s="16" t="s">
        <v>1487</v>
      </c>
      <c r="TIU300" s="16" t="s">
        <v>1487</v>
      </c>
      <c r="TIV300" s="16" t="s">
        <v>1487</v>
      </c>
      <c r="TIW300" s="16" t="s">
        <v>1487</v>
      </c>
      <c r="TIX300" s="16" t="s">
        <v>1487</v>
      </c>
      <c r="TIY300" s="16" t="s">
        <v>1487</v>
      </c>
      <c r="TIZ300" s="16" t="s">
        <v>1487</v>
      </c>
      <c r="TJA300" s="16" t="s">
        <v>1487</v>
      </c>
      <c r="TJB300" s="16" t="s">
        <v>1487</v>
      </c>
      <c r="TJC300" s="16" t="s">
        <v>1487</v>
      </c>
      <c r="TJD300" s="16" t="s">
        <v>1487</v>
      </c>
      <c r="TJE300" s="16" t="s">
        <v>1487</v>
      </c>
      <c r="TJF300" s="16" t="s">
        <v>1487</v>
      </c>
      <c r="TJG300" s="16" t="s">
        <v>1487</v>
      </c>
      <c r="TJH300" s="16" t="s">
        <v>1487</v>
      </c>
      <c r="TJI300" s="16" t="s">
        <v>1487</v>
      </c>
      <c r="TJJ300" s="16" t="s">
        <v>1487</v>
      </c>
      <c r="TJK300" s="16" t="s">
        <v>1487</v>
      </c>
      <c r="TJL300" s="16" t="s">
        <v>1487</v>
      </c>
      <c r="TJM300" s="16" t="s">
        <v>1487</v>
      </c>
      <c r="TJN300" s="16" t="s">
        <v>1487</v>
      </c>
      <c r="TJO300" s="16" t="s">
        <v>1487</v>
      </c>
      <c r="TJP300" s="16" t="s">
        <v>1487</v>
      </c>
      <c r="TJQ300" s="16" t="s">
        <v>1487</v>
      </c>
      <c r="TJR300" s="16" t="s">
        <v>1487</v>
      </c>
      <c r="TJS300" s="16" t="s">
        <v>1487</v>
      </c>
      <c r="TJT300" s="16" t="s">
        <v>1487</v>
      </c>
      <c r="TJU300" s="16" t="s">
        <v>1487</v>
      </c>
      <c r="TJV300" s="16" t="s">
        <v>1487</v>
      </c>
      <c r="TJW300" s="16" t="s">
        <v>1487</v>
      </c>
      <c r="TJX300" s="16" t="s">
        <v>1487</v>
      </c>
      <c r="TJY300" s="16" t="s">
        <v>1487</v>
      </c>
      <c r="TJZ300" s="16" t="s">
        <v>1487</v>
      </c>
      <c r="TKA300" s="16" t="s">
        <v>1487</v>
      </c>
      <c r="TKB300" s="16" t="s">
        <v>1487</v>
      </c>
      <c r="TKC300" s="16" t="s">
        <v>1487</v>
      </c>
      <c r="TKD300" s="16" t="s">
        <v>1487</v>
      </c>
      <c r="TKE300" s="16" t="s">
        <v>1487</v>
      </c>
      <c r="TKF300" s="16" t="s">
        <v>1487</v>
      </c>
      <c r="TKG300" s="16" t="s">
        <v>1487</v>
      </c>
      <c r="TKH300" s="16" t="s">
        <v>1487</v>
      </c>
      <c r="TKI300" s="16" t="s">
        <v>1487</v>
      </c>
      <c r="TKJ300" s="16" t="s">
        <v>1487</v>
      </c>
      <c r="TKK300" s="16" t="s">
        <v>1487</v>
      </c>
      <c r="TKL300" s="16" t="s">
        <v>1487</v>
      </c>
      <c r="TKM300" s="16" t="s">
        <v>1487</v>
      </c>
      <c r="TKN300" s="16" t="s">
        <v>1487</v>
      </c>
      <c r="TKO300" s="16" t="s">
        <v>1487</v>
      </c>
      <c r="TKP300" s="16" t="s">
        <v>1487</v>
      </c>
      <c r="TKQ300" s="16" t="s">
        <v>1487</v>
      </c>
      <c r="TKR300" s="16" t="s">
        <v>1487</v>
      </c>
      <c r="TKS300" s="16" t="s">
        <v>1487</v>
      </c>
      <c r="TKT300" s="16" t="s">
        <v>1487</v>
      </c>
      <c r="TKU300" s="16" t="s">
        <v>1487</v>
      </c>
      <c r="TKV300" s="16" t="s">
        <v>1487</v>
      </c>
      <c r="TKW300" s="16" t="s">
        <v>1487</v>
      </c>
      <c r="TKX300" s="16" t="s">
        <v>1487</v>
      </c>
      <c r="TKY300" s="16" t="s">
        <v>1487</v>
      </c>
      <c r="TKZ300" s="16" t="s">
        <v>1487</v>
      </c>
      <c r="TLA300" s="16" t="s">
        <v>1487</v>
      </c>
      <c r="TLB300" s="16" t="s">
        <v>1487</v>
      </c>
      <c r="TLC300" s="16" t="s">
        <v>1487</v>
      </c>
      <c r="TLD300" s="16" t="s">
        <v>1487</v>
      </c>
      <c r="TLE300" s="16" t="s">
        <v>1487</v>
      </c>
      <c r="TLF300" s="16" t="s">
        <v>1487</v>
      </c>
      <c r="TLG300" s="16" t="s">
        <v>1487</v>
      </c>
      <c r="TLH300" s="16" t="s">
        <v>1487</v>
      </c>
      <c r="TLI300" s="16" t="s">
        <v>1487</v>
      </c>
      <c r="TLJ300" s="16" t="s">
        <v>1487</v>
      </c>
      <c r="TLK300" s="16" t="s">
        <v>1487</v>
      </c>
      <c r="TLL300" s="16" t="s">
        <v>1487</v>
      </c>
      <c r="TLM300" s="16" t="s">
        <v>1487</v>
      </c>
      <c r="TLN300" s="16" t="s">
        <v>1487</v>
      </c>
      <c r="TLO300" s="16" t="s">
        <v>1487</v>
      </c>
      <c r="TLP300" s="16" t="s">
        <v>1487</v>
      </c>
      <c r="TLQ300" s="16" t="s">
        <v>1487</v>
      </c>
      <c r="TLR300" s="16" t="s">
        <v>1487</v>
      </c>
      <c r="TLS300" s="16" t="s">
        <v>1487</v>
      </c>
      <c r="TLT300" s="16" t="s">
        <v>1487</v>
      </c>
      <c r="TLU300" s="16" t="s">
        <v>1487</v>
      </c>
      <c r="TLV300" s="16" t="s">
        <v>1487</v>
      </c>
      <c r="TLW300" s="16" t="s">
        <v>1487</v>
      </c>
      <c r="TLX300" s="16" t="s">
        <v>1487</v>
      </c>
      <c r="TLY300" s="16" t="s">
        <v>1487</v>
      </c>
      <c r="TLZ300" s="16" t="s">
        <v>1487</v>
      </c>
      <c r="TMA300" s="16" t="s">
        <v>1487</v>
      </c>
      <c r="TMB300" s="16" t="s">
        <v>1487</v>
      </c>
      <c r="TMC300" s="16" t="s">
        <v>1487</v>
      </c>
      <c r="TMD300" s="16" t="s">
        <v>1487</v>
      </c>
      <c r="TME300" s="16" t="s">
        <v>1487</v>
      </c>
      <c r="TMF300" s="16" t="s">
        <v>1487</v>
      </c>
      <c r="TMG300" s="16" t="s">
        <v>1487</v>
      </c>
      <c r="TMH300" s="16" t="s">
        <v>1487</v>
      </c>
      <c r="TMI300" s="16" t="s">
        <v>1487</v>
      </c>
      <c r="TMJ300" s="16" t="s">
        <v>1487</v>
      </c>
      <c r="TMK300" s="16" t="s">
        <v>1487</v>
      </c>
      <c r="TML300" s="16" t="s">
        <v>1487</v>
      </c>
      <c r="TMM300" s="16" t="s">
        <v>1487</v>
      </c>
      <c r="TMN300" s="16" t="s">
        <v>1487</v>
      </c>
      <c r="TMO300" s="16" t="s">
        <v>1487</v>
      </c>
      <c r="TMP300" s="16" t="s">
        <v>1487</v>
      </c>
      <c r="TMQ300" s="16" t="s">
        <v>1487</v>
      </c>
      <c r="TMR300" s="16" t="s">
        <v>1487</v>
      </c>
      <c r="TMS300" s="16" t="s">
        <v>1487</v>
      </c>
      <c r="TMT300" s="16" t="s">
        <v>1487</v>
      </c>
      <c r="TMU300" s="16" t="s">
        <v>1487</v>
      </c>
      <c r="TMV300" s="16" t="s">
        <v>1487</v>
      </c>
      <c r="TMW300" s="16" t="s">
        <v>1487</v>
      </c>
      <c r="TMX300" s="16" t="s">
        <v>1487</v>
      </c>
      <c r="TMY300" s="16" t="s">
        <v>1487</v>
      </c>
      <c r="TMZ300" s="16" t="s">
        <v>1487</v>
      </c>
      <c r="TNA300" s="16" t="s">
        <v>1487</v>
      </c>
      <c r="TNB300" s="16" t="s">
        <v>1487</v>
      </c>
      <c r="TNC300" s="16" t="s">
        <v>1487</v>
      </c>
      <c r="TND300" s="16" t="s">
        <v>1487</v>
      </c>
      <c r="TNE300" s="16" t="s">
        <v>1487</v>
      </c>
      <c r="TNF300" s="16" t="s">
        <v>1487</v>
      </c>
      <c r="TNG300" s="16" t="s">
        <v>1487</v>
      </c>
      <c r="TNH300" s="16" t="s">
        <v>1487</v>
      </c>
      <c r="TNI300" s="16" t="s">
        <v>1487</v>
      </c>
      <c r="TNJ300" s="16" t="s">
        <v>1487</v>
      </c>
      <c r="TNK300" s="16" t="s">
        <v>1487</v>
      </c>
      <c r="TNL300" s="16" t="s">
        <v>1487</v>
      </c>
      <c r="TNM300" s="16" t="s">
        <v>1487</v>
      </c>
      <c r="TNN300" s="16" t="s">
        <v>1487</v>
      </c>
      <c r="TNO300" s="16" t="s">
        <v>1487</v>
      </c>
      <c r="TNP300" s="16" t="s">
        <v>1487</v>
      </c>
      <c r="TNQ300" s="16" t="s">
        <v>1487</v>
      </c>
      <c r="TNR300" s="16" t="s">
        <v>1487</v>
      </c>
      <c r="TNS300" s="16" t="s">
        <v>1487</v>
      </c>
      <c r="TNT300" s="16" t="s">
        <v>1487</v>
      </c>
      <c r="TNU300" s="16" t="s">
        <v>1487</v>
      </c>
      <c r="TNV300" s="16" t="s">
        <v>1487</v>
      </c>
      <c r="TNW300" s="16" t="s">
        <v>1487</v>
      </c>
      <c r="TNX300" s="16" t="s">
        <v>1487</v>
      </c>
      <c r="TNY300" s="16" t="s">
        <v>1487</v>
      </c>
      <c r="TNZ300" s="16" t="s">
        <v>1487</v>
      </c>
      <c r="TOA300" s="16" t="s">
        <v>1487</v>
      </c>
      <c r="TOB300" s="16" t="s">
        <v>1487</v>
      </c>
      <c r="TOC300" s="16" t="s">
        <v>1487</v>
      </c>
      <c r="TOD300" s="16" t="s">
        <v>1487</v>
      </c>
      <c r="TOE300" s="16" t="s">
        <v>1487</v>
      </c>
      <c r="TOF300" s="16" t="s">
        <v>1487</v>
      </c>
      <c r="TOG300" s="16" t="s">
        <v>1487</v>
      </c>
      <c r="TOH300" s="16" t="s">
        <v>1487</v>
      </c>
      <c r="TOI300" s="16" t="s">
        <v>1487</v>
      </c>
      <c r="TOJ300" s="16" t="s">
        <v>1487</v>
      </c>
      <c r="TOK300" s="16" t="s">
        <v>1487</v>
      </c>
      <c r="TOL300" s="16" t="s">
        <v>1487</v>
      </c>
      <c r="TOM300" s="16" t="s">
        <v>1487</v>
      </c>
      <c r="TON300" s="16" t="s">
        <v>1487</v>
      </c>
      <c r="TOO300" s="16" t="s">
        <v>1487</v>
      </c>
      <c r="TOP300" s="16" t="s">
        <v>1487</v>
      </c>
      <c r="TOQ300" s="16" t="s">
        <v>1487</v>
      </c>
      <c r="TOR300" s="16" t="s">
        <v>1487</v>
      </c>
      <c r="TOS300" s="16" t="s">
        <v>1487</v>
      </c>
      <c r="TOT300" s="16" t="s">
        <v>1487</v>
      </c>
      <c r="TOU300" s="16" t="s">
        <v>1487</v>
      </c>
      <c r="TOV300" s="16" t="s">
        <v>1487</v>
      </c>
      <c r="TOW300" s="16" t="s">
        <v>1487</v>
      </c>
      <c r="TOX300" s="16" t="s">
        <v>1487</v>
      </c>
      <c r="TOY300" s="16" t="s">
        <v>1487</v>
      </c>
      <c r="TOZ300" s="16" t="s">
        <v>1487</v>
      </c>
      <c r="TPA300" s="16" t="s">
        <v>1487</v>
      </c>
      <c r="TPB300" s="16" t="s">
        <v>1487</v>
      </c>
      <c r="TPC300" s="16" t="s">
        <v>1487</v>
      </c>
      <c r="TPD300" s="16" t="s">
        <v>1487</v>
      </c>
      <c r="TPE300" s="16" t="s">
        <v>1487</v>
      </c>
      <c r="TPF300" s="16" t="s">
        <v>1487</v>
      </c>
      <c r="TPG300" s="16" t="s">
        <v>1487</v>
      </c>
      <c r="TPH300" s="16" t="s">
        <v>1487</v>
      </c>
      <c r="TPI300" s="16" t="s">
        <v>1487</v>
      </c>
      <c r="TPJ300" s="16" t="s">
        <v>1487</v>
      </c>
      <c r="TPK300" s="16" t="s">
        <v>1487</v>
      </c>
      <c r="TPL300" s="16" t="s">
        <v>1487</v>
      </c>
      <c r="TPM300" s="16" t="s">
        <v>1487</v>
      </c>
      <c r="TPN300" s="16" t="s">
        <v>1487</v>
      </c>
      <c r="TPO300" s="16" t="s">
        <v>1487</v>
      </c>
      <c r="TPP300" s="16" t="s">
        <v>1487</v>
      </c>
      <c r="TPQ300" s="16" t="s">
        <v>1487</v>
      </c>
      <c r="TPR300" s="16" t="s">
        <v>1487</v>
      </c>
      <c r="TPS300" s="16" t="s">
        <v>1487</v>
      </c>
      <c r="TPT300" s="16" t="s">
        <v>1487</v>
      </c>
      <c r="TPU300" s="16" t="s">
        <v>1487</v>
      </c>
      <c r="TPV300" s="16" t="s">
        <v>1487</v>
      </c>
      <c r="TPW300" s="16" t="s">
        <v>1487</v>
      </c>
      <c r="TPX300" s="16" t="s">
        <v>1487</v>
      </c>
      <c r="TPY300" s="16" t="s">
        <v>1487</v>
      </c>
      <c r="TPZ300" s="16" t="s">
        <v>1487</v>
      </c>
      <c r="TQA300" s="16" t="s">
        <v>1487</v>
      </c>
      <c r="TQB300" s="16" t="s">
        <v>1487</v>
      </c>
      <c r="TQC300" s="16" t="s">
        <v>1487</v>
      </c>
      <c r="TQD300" s="16" t="s">
        <v>1487</v>
      </c>
      <c r="TQE300" s="16" t="s">
        <v>1487</v>
      </c>
      <c r="TQF300" s="16" t="s">
        <v>1487</v>
      </c>
      <c r="TQG300" s="16" t="s">
        <v>1487</v>
      </c>
      <c r="TQH300" s="16" t="s">
        <v>1487</v>
      </c>
      <c r="TQI300" s="16" t="s">
        <v>1487</v>
      </c>
      <c r="TQJ300" s="16" t="s">
        <v>1487</v>
      </c>
      <c r="TQK300" s="16" t="s">
        <v>1487</v>
      </c>
      <c r="TQL300" s="16" t="s">
        <v>1487</v>
      </c>
      <c r="TQM300" s="16" t="s">
        <v>1487</v>
      </c>
      <c r="TQN300" s="16" t="s">
        <v>1487</v>
      </c>
      <c r="TQO300" s="16" t="s">
        <v>1487</v>
      </c>
      <c r="TQP300" s="16" t="s">
        <v>1487</v>
      </c>
      <c r="TQQ300" s="16" t="s">
        <v>1487</v>
      </c>
      <c r="TQR300" s="16" t="s">
        <v>1487</v>
      </c>
      <c r="TQS300" s="16" t="s">
        <v>1487</v>
      </c>
      <c r="TQT300" s="16" t="s">
        <v>1487</v>
      </c>
      <c r="TQU300" s="16" t="s">
        <v>1487</v>
      </c>
      <c r="TQV300" s="16" t="s">
        <v>1487</v>
      </c>
      <c r="TQW300" s="16" t="s">
        <v>1487</v>
      </c>
      <c r="TQX300" s="16" t="s">
        <v>1487</v>
      </c>
      <c r="TQY300" s="16" t="s">
        <v>1487</v>
      </c>
      <c r="TQZ300" s="16" t="s">
        <v>1487</v>
      </c>
      <c r="TRA300" s="16" t="s">
        <v>1487</v>
      </c>
      <c r="TRB300" s="16" t="s">
        <v>1487</v>
      </c>
      <c r="TRC300" s="16" t="s">
        <v>1487</v>
      </c>
      <c r="TRD300" s="16" t="s">
        <v>1487</v>
      </c>
      <c r="TRE300" s="16" t="s">
        <v>1487</v>
      </c>
      <c r="TRF300" s="16" t="s">
        <v>1487</v>
      </c>
      <c r="TRG300" s="16" t="s">
        <v>1487</v>
      </c>
      <c r="TRH300" s="16" t="s">
        <v>1487</v>
      </c>
      <c r="TRI300" s="16" t="s">
        <v>1487</v>
      </c>
      <c r="TRJ300" s="16" t="s">
        <v>1487</v>
      </c>
      <c r="TRK300" s="16" t="s">
        <v>1487</v>
      </c>
      <c r="TRL300" s="16" t="s">
        <v>1487</v>
      </c>
      <c r="TRM300" s="16" t="s">
        <v>1487</v>
      </c>
      <c r="TRN300" s="16" t="s">
        <v>1487</v>
      </c>
      <c r="TRO300" s="16" t="s">
        <v>1487</v>
      </c>
      <c r="TRP300" s="16" t="s">
        <v>1487</v>
      </c>
      <c r="TRQ300" s="16" t="s">
        <v>1487</v>
      </c>
      <c r="TRR300" s="16" t="s">
        <v>1487</v>
      </c>
      <c r="TRS300" s="16" t="s">
        <v>1487</v>
      </c>
      <c r="TRT300" s="16" t="s">
        <v>1487</v>
      </c>
      <c r="TRU300" s="16" t="s">
        <v>1487</v>
      </c>
      <c r="TRV300" s="16" t="s">
        <v>1487</v>
      </c>
      <c r="TRW300" s="16" t="s">
        <v>1487</v>
      </c>
      <c r="TRX300" s="16" t="s">
        <v>1487</v>
      </c>
      <c r="TRY300" s="16" t="s">
        <v>1487</v>
      </c>
      <c r="TRZ300" s="16" t="s">
        <v>1487</v>
      </c>
      <c r="TSA300" s="16" t="s">
        <v>1487</v>
      </c>
      <c r="TSB300" s="16" t="s">
        <v>1487</v>
      </c>
      <c r="TSC300" s="16" t="s">
        <v>1487</v>
      </c>
      <c r="TSD300" s="16" t="s">
        <v>1487</v>
      </c>
      <c r="TSE300" s="16" t="s">
        <v>1487</v>
      </c>
      <c r="TSF300" s="16" t="s">
        <v>1487</v>
      </c>
      <c r="TSG300" s="16" t="s">
        <v>1487</v>
      </c>
      <c r="TSH300" s="16" t="s">
        <v>1487</v>
      </c>
      <c r="TSI300" s="16" t="s">
        <v>1487</v>
      </c>
      <c r="TSJ300" s="16" t="s">
        <v>1487</v>
      </c>
      <c r="TSK300" s="16" t="s">
        <v>1487</v>
      </c>
      <c r="TSL300" s="16" t="s">
        <v>1487</v>
      </c>
      <c r="TSM300" s="16" t="s">
        <v>1487</v>
      </c>
      <c r="TSN300" s="16" t="s">
        <v>1487</v>
      </c>
      <c r="TSO300" s="16" t="s">
        <v>1487</v>
      </c>
      <c r="TSP300" s="16" t="s">
        <v>1487</v>
      </c>
      <c r="TSQ300" s="16" t="s">
        <v>1487</v>
      </c>
      <c r="TSR300" s="16" t="s">
        <v>1487</v>
      </c>
      <c r="TSS300" s="16" t="s">
        <v>1487</v>
      </c>
      <c r="TST300" s="16" t="s">
        <v>1487</v>
      </c>
      <c r="TSU300" s="16" t="s">
        <v>1487</v>
      </c>
      <c r="TSV300" s="16" t="s">
        <v>1487</v>
      </c>
      <c r="TSW300" s="16" t="s">
        <v>1487</v>
      </c>
      <c r="TSX300" s="16" t="s">
        <v>1487</v>
      </c>
      <c r="TSY300" s="16" t="s">
        <v>1487</v>
      </c>
      <c r="TSZ300" s="16" t="s">
        <v>1487</v>
      </c>
      <c r="TTA300" s="16" t="s">
        <v>1487</v>
      </c>
      <c r="TTB300" s="16" t="s">
        <v>1487</v>
      </c>
      <c r="TTC300" s="16" t="s">
        <v>1487</v>
      </c>
      <c r="TTD300" s="16" t="s">
        <v>1487</v>
      </c>
      <c r="TTE300" s="16" t="s">
        <v>1487</v>
      </c>
      <c r="TTF300" s="16" t="s">
        <v>1487</v>
      </c>
      <c r="TTG300" s="16" t="s">
        <v>1487</v>
      </c>
      <c r="TTH300" s="16" t="s">
        <v>1487</v>
      </c>
      <c r="TTI300" s="16" t="s">
        <v>1487</v>
      </c>
      <c r="TTJ300" s="16" t="s">
        <v>1487</v>
      </c>
      <c r="TTK300" s="16" t="s">
        <v>1487</v>
      </c>
      <c r="TTL300" s="16" t="s">
        <v>1487</v>
      </c>
      <c r="TTM300" s="16" t="s">
        <v>1487</v>
      </c>
      <c r="TTN300" s="16" t="s">
        <v>1487</v>
      </c>
      <c r="TTO300" s="16" t="s">
        <v>1487</v>
      </c>
      <c r="TTP300" s="16" t="s">
        <v>1487</v>
      </c>
      <c r="TTQ300" s="16" t="s">
        <v>1487</v>
      </c>
      <c r="TTR300" s="16" t="s">
        <v>1487</v>
      </c>
      <c r="TTS300" s="16" t="s">
        <v>1487</v>
      </c>
      <c r="TTT300" s="16" t="s">
        <v>1487</v>
      </c>
      <c r="TTU300" s="16" t="s">
        <v>1487</v>
      </c>
      <c r="TTV300" s="16" t="s">
        <v>1487</v>
      </c>
      <c r="TTW300" s="16" t="s">
        <v>1487</v>
      </c>
      <c r="TTX300" s="16" t="s">
        <v>1487</v>
      </c>
      <c r="TTY300" s="16" t="s">
        <v>1487</v>
      </c>
      <c r="TTZ300" s="16" t="s">
        <v>1487</v>
      </c>
      <c r="TUA300" s="16" t="s">
        <v>1487</v>
      </c>
      <c r="TUB300" s="16" t="s">
        <v>1487</v>
      </c>
      <c r="TUC300" s="16" t="s">
        <v>1487</v>
      </c>
      <c r="TUD300" s="16" t="s">
        <v>1487</v>
      </c>
      <c r="TUE300" s="16" t="s">
        <v>1487</v>
      </c>
      <c r="TUF300" s="16" t="s">
        <v>1487</v>
      </c>
      <c r="TUG300" s="16" t="s">
        <v>1487</v>
      </c>
      <c r="TUH300" s="16" t="s">
        <v>1487</v>
      </c>
      <c r="TUI300" s="16" t="s">
        <v>1487</v>
      </c>
      <c r="TUJ300" s="16" t="s">
        <v>1487</v>
      </c>
      <c r="TUK300" s="16" t="s">
        <v>1487</v>
      </c>
      <c r="TUL300" s="16" t="s">
        <v>1487</v>
      </c>
      <c r="TUM300" s="16" t="s">
        <v>1487</v>
      </c>
      <c r="TUN300" s="16" t="s">
        <v>1487</v>
      </c>
      <c r="TUO300" s="16" t="s">
        <v>1487</v>
      </c>
      <c r="TUP300" s="16" t="s">
        <v>1487</v>
      </c>
      <c r="TUQ300" s="16" t="s">
        <v>1487</v>
      </c>
      <c r="TUR300" s="16" t="s">
        <v>1487</v>
      </c>
      <c r="TUS300" s="16" t="s">
        <v>1487</v>
      </c>
      <c r="TUT300" s="16" t="s">
        <v>1487</v>
      </c>
      <c r="TUU300" s="16" t="s">
        <v>1487</v>
      </c>
      <c r="TUV300" s="16" t="s">
        <v>1487</v>
      </c>
      <c r="TUW300" s="16" t="s">
        <v>1487</v>
      </c>
      <c r="TUX300" s="16" t="s">
        <v>1487</v>
      </c>
      <c r="TUY300" s="16" t="s">
        <v>1487</v>
      </c>
      <c r="TUZ300" s="16" t="s">
        <v>1487</v>
      </c>
      <c r="TVA300" s="16" t="s">
        <v>1487</v>
      </c>
      <c r="TVB300" s="16" t="s">
        <v>1487</v>
      </c>
      <c r="TVC300" s="16" t="s">
        <v>1487</v>
      </c>
      <c r="TVD300" s="16" t="s">
        <v>1487</v>
      </c>
      <c r="TVE300" s="16" t="s">
        <v>1487</v>
      </c>
      <c r="TVF300" s="16" t="s">
        <v>1487</v>
      </c>
      <c r="TVG300" s="16" t="s">
        <v>1487</v>
      </c>
      <c r="TVH300" s="16" t="s">
        <v>1487</v>
      </c>
      <c r="TVI300" s="16" t="s">
        <v>1487</v>
      </c>
      <c r="TVJ300" s="16" t="s">
        <v>1487</v>
      </c>
      <c r="TVK300" s="16" t="s">
        <v>1487</v>
      </c>
      <c r="TVL300" s="16" t="s">
        <v>1487</v>
      </c>
      <c r="TVM300" s="16" t="s">
        <v>1487</v>
      </c>
      <c r="TVN300" s="16" t="s">
        <v>1487</v>
      </c>
      <c r="TVO300" s="16" t="s">
        <v>1487</v>
      </c>
      <c r="TVP300" s="16" t="s">
        <v>1487</v>
      </c>
      <c r="TVQ300" s="16" t="s">
        <v>1487</v>
      </c>
      <c r="TVR300" s="16" t="s">
        <v>1487</v>
      </c>
      <c r="TVS300" s="16" t="s">
        <v>1487</v>
      </c>
      <c r="TVT300" s="16" t="s">
        <v>1487</v>
      </c>
      <c r="TVU300" s="16" t="s">
        <v>1487</v>
      </c>
      <c r="TVV300" s="16" t="s">
        <v>1487</v>
      </c>
      <c r="TVW300" s="16" t="s">
        <v>1487</v>
      </c>
      <c r="TVX300" s="16" t="s">
        <v>1487</v>
      </c>
      <c r="TVY300" s="16" t="s">
        <v>1487</v>
      </c>
      <c r="TVZ300" s="16" t="s">
        <v>1487</v>
      </c>
      <c r="TWA300" s="16" t="s">
        <v>1487</v>
      </c>
      <c r="TWB300" s="16" t="s">
        <v>1487</v>
      </c>
      <c r="TWC300" s="16" t="s">
        <v>1487</v>
      </c>
      <c r="TWD300" s="16" t="s">
        <v>1487</v>
      </c>
      <c r="TWE300" s="16" t="s">
        <v>1487</v>
      </c>
      <c r="TWF300" s="16" t="s">
        <v>1487</v>
      </c>
      <c r="TWG300" s="16" t="s">
        <v>1487</v>
      </c>
      <c r="TWH300" s="16" t="s">
        <v>1487</v>
      </c>
      <c r="TWI300" s="16" t="s">
        <v>1487</v>
      </c>
      <c r="TWJ300" s="16" t="s">
        <v>1487</v>
      </c>
      <c r="TWK300" s="16" t="s">
        <v>1487</v>
      </c>
      <c r="TWL300" s="16" t="s">
        <v>1487</v>
      </c>
      <c r="TWM300" s="16" t="s">
        <v>1487</v>
      </c>
      <c r="TWN300" s="16" t="s">
        <v>1487</v>
      </c>
      <c r="TWO300" s="16" t="s">
        <v>1487</v>
      </c>
      <c r="TWP300" s="16" t="s">
        <v>1487</v>
      </c>
      <c r="TWQ300" s="16" t="s">
        <v>1487</v>
      </c>
      <c r="TWR300" s="16" t="s">
        <v>1487</v>
      </c>
      <c r="TWS300" s="16" t="s">
        <v>1487</v>
      </c>
      <c r="TWT300" s="16" t="s">
        <v>1487</v>
      </c>
      <c r="TWU300" s="16" t="s">
        <v>1487</v>
      </c>
      <c r="TWV300" s="16" t="s">
        <v>1487</v>
      </c>
      <c r="TWW300" s="16" t="s">
        <v>1487</v>
      </c>
      <c r="TWX300" s="16" t="s">
        <v>1487</v>
      </c>
      <c r="TWY300" s="16" t="s">
        <v>1487</v>
      </c>
      <c r="TWZ300" s="16" t="s">
        <v>1487</v>
      </c>
      <c r="TXA300" s="16" t="s">
        <v>1487</v>
      </c>
      <c r="TXB300" s="16" t="s">
        <v>1487</v>
      </c>
      <c r="TXC300" s="16" t="s">
        <v>1487</v>
      </c>
      <c r="TXD300" s="16" t="s">
        <v>1487</v>
      </c>
      <c r="TXE300" s="16" t="s">
        <v>1487</v>
      </c>
      <c r="TXF300" s="16" t="s">
        <v>1487</v>
      </c>
      <c r="TXG300" s="16" t="s">
        <v>1487</v>
      </c>
      <c r="TXH300" s="16" t="s">
        <v>1487</v>
      </c>
      <c r="TXI300" s="16" t="s">
        <v>1487</v>
      </c>
      <c r="TXJ300" s="16" t="s">
        <v>1487</v>
      </c>
      <c r="TXK300" s="16" t="s">
        <v>1487</v>
      </c>
      <c r="TXL300" s="16" t="s">
        <v>1487</v>
      </c>
      <c r="TXM300" s="16" t="s">
        <v>1487</v>
      </c>
      <c r="TXN300" s="16" t="s">
        <v>1487</v>
      </c>
      <c r="TXO300" s="16" t="s">
        <v>1487</v>
      </c>
      <c r="TXP300" s="16" t="s">
        <v>1487</v>
      </c>
      <c r="TXQ300" s="16" t="s">
        <v>1487</v>
      </c>
      <c r="TXR300" s="16" t="s">
        <v>1487</v>
      </c>
      <c r="TXS300" s="16" t="s">
        <v>1487</v>
      </c>
      <c r="TXT300" s="16" t="s">
        <v>1487</v>
      </c>
      <c r="TXU300" s="16" t="s">
        <v>1487</v>
      </c>
      <c r="TXV300" s="16" t="s">
        <v>1487</v>
      </c>
      <c r="TXW300" s="16" t="s">
        <v>1487</v>
      </c>
      <c r="TXX300" s="16" t="s">
        <v>1487</v>
      </c>
      <c r="TXY300" s="16" t="s">
        <v>1487</v>
      </c>
      <c r="TXZ300" s="16" t="s">
        <v>1487</v>
      </c>
      <c r="TYA300" s="16" t="s">
        <v>1487</v>
      </c>
      <c r="TYB300" s="16" t="s">
        <v>1487</v>
      </c>
      <c r="TYC300" s="16" t="s">
        <v>1487</v>
      </c>
      <c r="TYD300" s="16" t="s">
        <v>1487</v>
      </c>
      <c r="TYE300" s="16" t="s">
        <v>1487</v>
      </c>
      <c r="TYF300" s="16" t="s">
        <v>1487</v>
      </c>
      <c r="TYG300" s="16" t="s">
        <v>1487</v>
      </c>
      <c r="TYH300" s="16" t="s">
        <v>1487</v>
      </c>
      <c r="TYI300" s="16" t="s">
        <v>1487</v>
      </c>
      <c r="TYJ300" s="16" t="s">
        <v>1487</v>
      </c>
      <c r="TYK300" s="16" t="s">
        <v>1487</v>
      </c>
      <c r="TYL300" s="16" t="s">
        <v>1487</v>
      </c>
      <c r="TYM300" s="16" t="s">
        <v>1487</v>
      </c>
      <c r="TYN300" s="16" t="s">
        <v>1487</v>
      </c>
      <c r="TYO300" s="16" t="s">
        <v>1487</v>
      </c>
      <c r="TYP300" s="16" t="s">
        <v>1487</v>
      </c>
      <c r="TYQ300" s="16" t="s">
        <v>1487</v>
      </c>
      <c r="TYR300" s="16" t="s">
        <v>1487</v>
      </c>
      <c r="TYS300" s="16" t="s">
        <v>1487</v>
      </c>
      <c r="TYT300" s="16" t="s">
        <v>1487</v>
      </c>
      <c r="TYU300" s="16" t="s">
        <v>1487</v>
      </c>
      <c r="TYV300" s="16" t="s">
        <v>1487</v>
      </c>
      <c r="TYW300" s="16" t="s">
        <v>1487</v>
      </c>
      <c r="TYX300" s="16" t="s">
        <v>1487</v>
      </c>
      <c r="TYY300" s="16" t="s">
        <v>1487</v>
      </c>
      <c r="TYZ300" s="16" t="s">
        <v>1487</v>
      </c>
      <c r="TZA300" s="16" t="s">
        <v>1487</v>
      </c>
      <c r="TZB300" s="16" t="s">
        <v>1487</v>
      </c>
      <c r="TZC300" s="16" t="s">
        <v>1487</v>
      </c>
      <c r="TZD300" s="16" t="s">
        <v>1487</v>
      </c>
      <c r="TZE300" s="16" t="s">
        <v>1487</v>
      </c>
      <c r="TZF300" s="16" t="s">
        <v>1487</v>
      </c>
      <c r="TZG300" s="16" t="s">
        <v>1487</v>
      </c>
      <c r="TZH300" s="16" t="s">
        <v>1487</v>
      </c>
      <c r="TZI300" s="16" t="s">
        <v>1487</v>
      </c>
      <c r="TZJ300" s="16" t="s">
        <v>1487</v>
      </c>
      <c r="TZK300" s="16" t="s">
        <v>1487</v>
      </c>
      <c r="TZL300" s="16" t="s">
        <v>1487</v>
      </c>
      <c r="TZM300" s="16" t="s">
        <v>1487</v>
      </c>
      <c r="TZN300" s="16" t="s">
        <v>1487</v>
      </c>
      <c r="TZO300" s="16" t="s">
        <v>1487</v>
      </c>
      <c r="TZP300" s="16" t="s">
        <v>1487</v>
      </c>
      <c r="TZQ300" s="16" t="s">
        <v>1487</v>
      </c>
      <c r="TZR300" s="16" t="s">
        <v>1487</v>
      </c>
      <c r="TZS300" s="16" t="s">
        <v>1487</v>
      </c>
      <c r="TZT300" s="16" t="s">
        <v>1487</v>
      </c>
      <c r="TZU300" s="16" t="s">
        <v>1487</v>
      </c>
      <c r="TZV300" s="16" t="s">
        <v>1487</v>
      </c>
      <c r="TZW300" s="16" t="s">
        <v>1487</v>
      </c>
      <c r="TZX300" s="16" t="s">
        <v>1487</v>
      </c>
      <c r="TZY300" s="16" t="s">
        <v>1487</v>
      </c>
      <c r="TZZ300" s="16" t="s">
        <v>1487</v>
      </c>
      <c r="UAA300" s="16" t="s">
        <v>1487</v>
      </c>
      <c r="UAB300" s="16" t="s">
        <v>1487</v>
      </c>
      <c r="UAC300" s="16" t="s">
        <v>1487</v>
      </c>
      <c r="UAD300" s="16" t="s">
        <v>1487</v>
      </c>
      <c r="UAE300" s="16" t="s">
        <v>1487</v>
      </c>
      <c r="UAF300" s="16" t="s">
        <v>1487</v>
      </c>
      <c r="UAG300" s="16" t="s">
        <v>1487</v>
      </c>
      <c r="UAH300" s="16" t="s">
        <v>1487</v>
      </c>
      <c r="UAI300" s="16" t="s">
        <v>1487</v>
      </c>
      <c r="UAJ300" s="16" t="s">
        <v>1487</v>
      </c>
      <c r="UAK300" s="16" t="s">
        <v>1487</v>
      </c>
      <c r="UAL300" s="16" t="s">
        <v>1487</v>
      </c>
      <c r="UAM300" s="16" t="s">
        <v>1487</v>
      </c>
      <c r="UAN300" s="16" t="s">
        <v>1487</v>
      </c>
      <c r="UAO300" s="16" t="s">
        <v>1487</v>
      </c>
      <c r="UAP300" s="16" t="s">
        <v>1487</v>
      </c>
      <c r="UAQ300" s="16" t="s">
        <v>1487</v>
      </c>
      <c r="UAR300" s="16" t="s">
        <v>1487</v>
      </c>
      <c r="UAS300" s="16" t="s">
        <v>1487</v>
      </c>
      <c r="UAT300" s="16" t="s">
        <v>1487</v>
      </c>
      <c r="UAU300" s="16" t="s">
        <v>1487</v>
      </c>
      <c r="UAV300" s="16" t="s">
        <v>1487</v>
      </c>
      <c r="UAW300" s="16" t="s">
        <v>1487</v>
      </c>
      <c r="UAX300" s="16" t="s">
        <v>1487</v>
      </c>
      <c r="UAY300" s="16" t="s">
        <v>1487</v>
      </c>
      <c r="UAZ300" s="16" t="s">
        <v>1487</v>
      </c>
      <c r="UBA300" s="16" t="s">
        <v>1487</v>
      </c>
      <c r="UBB300" s="16" t="s">
        <v>1487</v>
      </c>
      <c r="UBC300" s="16" t="s">
        <v>1487</v>
      </c>
      <c r="UBD300" s="16" t="s">
        <v>1487</v>
      </c>
      <c r="UBE300" s="16" t="s">
        <v>1487</v>
      </c>
      <c r="UBF300" s="16" t="s">
        <v>1487</v>
      </c>
      <c r="UBG300" s="16" t="s">
        <v>1487</v>
      </c>
      <c r="UBH300" s="16" t="s">
        <v>1487</v>
      </c>
      <c r="UBI300" s="16" t="s">
        <v>1487</v>
      </c>
      <c r="UBJ300" s="16" t="s">
        <v>1487</v>
      </c>
      <c r="UBK300" s="16" t="s">
        <v>1487</v>
      </c>
      <c r="UBL300" s="16" t="s">
        <v>1487</v>
      </c>
      <c r="UBM300" s="16" t="s">
        <v>1487</v>
      </c>
      <c r="UBN300" s="16" t="s">
        <v>1487</v>
      </c>
      <c r="UBO300" s="16" t="s">
        <v>1487</v>
      </c>
      <c r="UBP300" s="16" t="s">
        <v>1487</v>
      </c>
      <c r="UBQ300" s="16" t="s">
        <v>1487</v>
      </c>
      <c r="UBR300" s="16" t="s">
        <v>1487</v>
      </c>
      <c r="UBS300" s="16" t="s">
        <v>1487</v>
      </c>
      <c r="UBT300" s="16" t="s">
        <v>1487</v>
      </c>
      <c r="UBU300" s="16" t="s">
        <v>1487</v>
      </c>
      <c r="UBV300" s="16" t="s">
        <v>1487</v>
      </c>
      <c r="UBW300" s="16" t="s">
        <v>1487</v>
      </c>
      <c r="UBX300" s="16" t="s">
        <v>1487</v>
      </c>
      <c r="UBY300" s="16" t="s">
        <v>1487</v>
      </c>
      <c r="UBZ300" s="16" t="s">
        <v>1487</v>
      </c>
      <c r="UCA300" s="16" t="s">
        <v>1487</v>
      </c>
      <c r="UCB300" s="16" t="s">
        <v>1487</v>
      </c>
      <c r="UCC300" s="16" t="s">
        <v>1487</v>
      </c>
      <c r="UCD300" s="16" t="s">
        <v>1487</v>
      </c>
      <c r="UCE300" s="16" t="s">
        <v>1487</v>
      </c>
      <c r="UCF300" s="16" t="s">
        <v>1487</v>
      </c>
      <c r="UCG300" s="16" t="s">
        <v>1487</v>
      </c>
      <c r="UCH300" s="16" t="s">
        <v>1487</v>
      </c>
      <c r="UCI300" s="16" t="s">
        <v>1487</v>
      </c>
      <c r="UCJ300" s="16" t="s">
        <v>1487</v>
      </c>
      <c r="UCK300" s="16" t="s">
        <v>1487</v>
      </c>
      <c r="UCL300" s="16" t="s">
        <v>1487</v>
      </c>
      <c r="UCM300" s="16" t="s">
        <v>1487</v>
      </c>
      <c r="UCN300" s="16" t="s">
        <v>1487</v>
      </c>
      <c r="UCO300" s="16" t="s">
        <v>1487</v>
      </c>
      <c r="UCP300" s="16" t="s">
        <v>1487</v>
      </c>
      <c r="UCQ300" s="16" t="s">
        <v>1487</v>
      </c>
      <c r="UCR300" s="16" t="s">
        <v>1487</v>
      </c>
      <c r="UCS300" s="16" t="s">
        <v>1487</v>
      </c>
      <c r="UCT300" s="16" t="s">
        <v>1487</v>
      </c>
      <c r="UCU300" s="16" t="s">
        <v>1487</v>
      </c>
      <c r="UCV300" s="16" t="s">
        <v>1487</v>
      </c>
      <c r="UCW300" s="16" t="s">
        <v>1487</v>
      </c>
      <c r="UCX300" s="16" t="s">
        <v>1487</v>
      </c>
      <c r="UCY300" s="16" t="s">
        <v>1487</v>
      </c>
      <c r="UCZ300" s="16" t="s">
        <v>1487</v>
      </c>
      <c r="UDA300" s="16" t="s">
        <v>1487</v>
      </c>
      <c r="UDB300" s="16" t="s">
        <v>1487</v>
      </c>
      <c r="UDC300" s="16" t="s">
        <v>1487</v>
      </c>
      <c r="UDD300" s="16" t="s">
        <v>1487</v>
      </c>
      <c r="UDE300" s="16" t="s">
        <v>1487</v>
      </c>
      <c r="UDF300" s="16" t="s">
        <v>1487</v>
      </c>
      <c r="UDG300" s="16" t="s">
        <v>1487</v>
      </c>
      <c r="UDH300" s="16" t="s">
        <v>1487</v>
      </c>
      <c r="UDI300" s="16" t="s">
        <v>1487</v>
      </c>
      <c r="UDJ300" s="16" t="s">
        <v>1487</v>
      </c>
      <c r="UDK300" s="16" t="s">
        <v>1487</v>
      </c>
      <c r="UDL300" s="16" t="s">
        <v>1487</v>
      </c>
      <c r="UDM300" s="16" t="s">
        <v>1487</v>
      </c>
      <c r="UDN300" s="16" t="s">
        <v>1487</v>
      </c>
      <c r="UDO300" s="16" t="s">
        <v>1487</v>
      </c>
      <c r="UDP300" s="16" t="s">
        <v>1487</v>
      </c>
      <c r="UDQ300" s="16" t="s">
        <v>1487</v>
      </c>
      <c r="UDR300" s="16" t="s">
        <v>1487</v>
      </c>
      <c r="UDS300" s="16" t="s">
        <v>1487</v>
      </c>
      <c r="UDT300" s="16" t="s">
        <v>1487</v>
      </c>
      <c r="UDU300" s="16" t="s">
        <v>1487</v>
      </c>
      <c r="UDV300" s="16" t="s">
        <v>1487</v>
      </c>
      <c r="UDW300" s="16" t="s">
        <v>1487</v>
      </c>
      <c r="UDX300" s="16" t="s">
        <v>1487</v>
      </c>
      <c r="UDY300" s="16" t="s">
        <v>1487</v>
      </c>
      <c r="UDZ300" s="16" t="s">
        <v>1487</v>
      </c>
      <c r="UEA300" s="16" t="s">
        <v>1487</v>
      </c>
      <c r="UEB300" s="16" t="s">
        <v>1487</v>
      </c>
      <c r="UEC300" s="16" t="s">
        <v>1487</v>
      </c>
      <c r="UED300" s="16" t="s">
        <v>1487</v>
      </c>
      <c r="UEE300" s="16" t="s">
        <v>1487</v>
      </c>
      <c r="UEF300" s="16" t="s">
        <v>1487</v>
      </c>
      <c r="UEG300" s="16" t="s">
        <v>1487</v>
      </c>
      <c r="UEH300" s="16" t="s">
        <v>1487</v>
      </c>
      <c r="UEI300" s="16" t="s">
        <v>1487</v>
      </c>
      <c r="UEJ300" s="16" t="s">
        <v>1487</v>
      </c>
      <c r="UEK300" s="16" t="s">
        <v>1487</v>
      </c>
      <c r="UEL300" s="16" t="s">
        <v>1487</v>
      </c>
      <c r="UEM300" s="16" t="s">
        <v>1487</v>
      </c>
      <c r="UEN300" s="16" t="s">
        <v>1487</v>
      </c>
      <c r="UEO300" s="16" t="s">
        <v>1487</v>
      </c>
      <c r="UEP300" s="16" t="s">
        <v>1487</v>
      </c>
      <c r="UEQ300" s="16" t="s">
        <v>1487</v>
      </c>
      <c r="UER300" s="16" t="s">
        <v>1487</v>
      </c>
      <c r="UES300" s="16" t="s">
        <v>1487</v>
      </c>
      <c r="UET300" s="16" t="s">
        <v>1487</v>
      </c>
      <c r="UEU300" s="16" t="s">
        <v>1487</v>
      </c>
      <c r="UEV300" s="16" t="s">
        <v>1487</v>
      </c>
      <c r="UEW300" s="16" t="s">
        <v>1487</v>
      </c>
      <c r="UEX300" s="16" t="s">
        <v>1487</v>
      </c>
      <c r="UEY300" s="16" t="s">
        <v>1487</v>
      </c>
      <c r="UEZ300" s="16" t="s">
        <v>1487</v>
      </c>
      <c r="UFA300" s="16" t="s">
        <v>1487</v>
      </c>
      <c r="UFB300" s="16" t="s">
        <v>1487</v>
      </c>
      <c r="UFC300" s="16" t="s">
        <v>1487</v>
      </c>
      <c r="UFD300" s="16" t="s">
        <v>1487</v>
      </c>
      <c r="UFE300" s="16" t="s">
        <v>1487</v>
      </c>
      <c r="UFF300" s="16" t="s">
        <v>1487</v>
      </c>
      <c r="UFG300" s="16" t="s">
        <v>1487</v>
      </c>
      <c r="UFH300" s="16" t="s">
        <v>1487</v>
      </c>
      <c r="UFI300" s="16" t="s">
        <v>1487</v>
      </c>
      <c r="UFJ300" s="16" t="s">
        <v>1487</v>
      </c>
      <c r="UFK300" s="16" t="s">
        <v>1487</v>
      </c>
      <c r="UFL300" s="16" t="s">
        <v>1487</v>
      </c>
      <c r="UFM300" s="16" t="s">
        <v>1487</v>
      </c>
      <c r="UFN300" s="16" t="s">
        <v>1487</v>
      </c>
      <c r="UFO300" s="16" t="s">
        <v>1487</v>
      </c>
      <c r="UFP300" s="16" t="s">
        <v>1487</v>
      </c>
      <c r="UFQ300" s="16" t="s">
        <v>1487</v>
      </c>
      <c r="UFR300" s="16" t="s">
        <v>1487</v>
      </c>
      <c r="UFS300" s="16" t="s">
        <v>1487</v>
      </c>
      <c r="UFT300" s="16" t="s">
        <v>1487</v>
      </c>
      <c r="UFU300" s="16" t="s">
        <v>1487</v>
      </c>
      <c r="UFV300" s="16" t="s">
        <v>1487</v>
      </c>
      <c r="UFW300" s="16" t="s">
        <v>1487</v>
      </c>
      <c r="UFX300" s="16" t="s">
        <v>1487</v>
      </c>
      <c r="UFY300" s="16" t="s">
        <v>1487</v>
      </c>
      <c r="UFZ300" s="16" t="s">
        <v>1487</v>
      </c>
      <c r="UGA300" s="16" t="s">
        <v>1487</v>
      </c>
      <c r="UGB300" s="16" t="s">
        <v>1487</v>
      </c>
      <c r="UGC300" s="16" t="s">
        <v>1487</v>
      </c>
      <c r="UGD300" s="16" t="s">
        <v>1487</v>
      </c>
      <c r="UGE300" s="16" t="s">
        <v>1487</v>
      </c>
      <c r="UGF300" s="16" t="s">
        <v>1487</v>
      </c>
      <c r="UGG300" s="16" t="s">
        <v>1487</v>
      </c>
      <c r="UGH300" s="16" t="s">
        <v>1487</v>
      </c>
      <c r="UGI300" s="16" t="s">
        <v>1487</v>
      </c>
      <c r="UGJ300" s="16" t="s">
        <v>1487</v>
      </c>
      <c r="UGK300" s="16" t="s">
        <v>1487</v>
      </c>
      <c r="UGL300" s="16" t="s">
        <v>1487</v>
      </c>
      <c r="UGM300" s="16" t="s">
        <v>1487</v>
      </c>
      <c r="UGN300" s="16" t="s">
        <v>1487</v>
      </c>
      <c r="UGO300" s="16" t="s">
        <v>1487</v>
      </c>
      <c r="UGP300" s="16" t="s">
        <v>1487</v>
      </c>
      <c r="UGQ300" s="16" t="s">
        <v>1487</v>
      </c>
      <c r="UGR300" s="16" t="s">
        <v>1487</v>
      </c>
      <c r="UGS300" s="16" t="s">
        <v>1487</v>
      </c>
      <c r="UGT300" s="16" t="s">
        <v>1487</v>
      </c>
      <c r="UGU300" s="16" t="s">
        <v>1487</v>
      </c>
      <c r="UGV300" s="16" t="s">
        <v>1487</v>
      </c>
      <c r="UGW300" s="16" t="s">
        <v>1487</v>
      </c>
      <c r="UGX300" s="16" t="s">
        <v>1487</v>
      </c>
      <c r="UGY300" s="16" t="s">
        <v>1487</v>
      </c>
      <c r="UGZ300" s="16" t="s">
        <v>1487</v>
      </c>
      <c r="UHA300" s="16" t="s">
        <v>1487</v>
      </c>
      <c r="UHB300" s="16" t="s">
        <v>1487</v>
      </c>
      <c r="UHC300" s="16" t="s">
        <v>1487</v>
      </c>
      <c r="UHD300" s="16" t="s">
        <v>1487</v>
      </c>
      <c r="UHE300" s="16" t="s">
        <v>1487</v>
      </c>
      <c r="UHF300" s="16" t="s">
        <v>1487</v>
      </c>
      <c r="UHG300" s="16" t="s">
        <v>1487</v>
      </c>
      <c r="UHH300" s="16" t="s">
        <v>1487</v>
      </c>
      <c r="UHI300" s="16" t="s">
        <v>1487</v>
      </c>
      <c r="UHJ300" s="16" t="s">
        <v>1487</v>
      </c>
      <c r="UHK300" s="16" t="s">
        <v>1487</v>
      </c>
      <c r="UHL300" s="16" t="s">
        <v>1487</v>
      </c>
      <c r="UHM300" s="16" t="s">
        <v>1487</v>
      </c>
      <c r="UHN300" s="16" t="s">
        <v>1487</v>
      </c>
      <c r="UHO300" s="16" t="s">
        <v>1487</v>
      </c>
      <c r="UHP300" s="16" t="s">
        <v>1487</v>
      </c>
      <c r="UHQ300" s="16" t="s">
        <v>1487</v>
      </c>
      <c r="UHR300" s="16" t="s">
        <v>1487</v>
      </c>
      <c r="UHS300" s="16" t="s">
        <v>1487</v>
      </c>
      <c r="UHT300" s="16" t="s">
        <v>1487</v>
      </c>
      <c r="UHU300" s="16" t="s">
        <v>1487</v>
      </c>
      <c r="UHV300" s="16" t="s">
        <v>1487</v>
      </c>
      <c r="UHW300" s="16" t="s">
        <v>1487</v>
      </c>
      <c r="UHX300" s="16" t="s">
        <v>1487</v>
      </c>
      <c r="UHY300" s="16" t="s">
        <v>1487</v>
      </c>
      <c r="UHZ300" s="16" t="s">
        <v>1487</v>
      </c>
      <c r="UIA300" s="16" t="s">
        <v>1487</v>
      </c>
      <c r="UIB300" s="16" t="s">
        <v>1487</v>
      </c>
      <c r="UIC300" s="16" t="s">
        <v>1487</v>
      </c>
      <c r="UID300" s="16" t="s">
        <v>1487</v>
      </c>
      <c r="UIE300" s="16" t="s">
        <v>1487</v>
      </c>
      <c r="UIF300" s="16" t="s">
        <v>1487</v>
      </c>
      <c r="UIG300" s="16" t="s">
        <v>1487</v>
      </c>
      <c r="UIH300" s="16" t="s">
        <v>1487</v>
      </c>
      <c r="UII300" s="16" t="s">
        <v>1487</v>
      </c>
      <c r="UIJ300" s="16" t="s">
        <v>1487</v>
      </c>
      <c r="UIK300" s="16" t="s">
        <v>1487</v>
      </c>
      <c r="UIL300" s="16" t="s">
        <v>1487</v>
      </c>
      <c r="UIM300" s="16" t="s">
        <v>1487</v>
      </c>
      <c r="UIN300" s="16" t="s">
        <v>1487</v>
      </c>
      <c r="UIO300" s="16" t="s">
        <v>1487</v>
      </c>
      <c r="UIP300" s="16" t="s">
        <v>1487</v>
      </c>
      <c r="UIQ300" s="16" t="s">
        <v>1487</v>
      </c>
      <c r="UIR300" s="16" t="s">
        <v>1487</v>
      </c>
      <c r="UIS300" s="16" t="s">
        <v>1487</v>
      </c>
      <c r="UIT300" s="16" t="s">
        <v>1487</v>
      </c>
      <c r="UIU300" s="16" t="s">
        <v>1487</v>
      </c>
      <c r="UIV300" s="16" t="s">
        <v>1487</v>
      </c>
      <c r="UIW300" s="16" t="s">
        <v>1487</v>
      </c>
      <c r="UIX300" s="16" t="s">
        <v>1487</v>
      </c>
      <c r="UIY300" s="16" t="s">
        <v>1487</v>
      </c>
      <c r="UIZ300" s="16" t="s">
        <v>1487</v>
      </c>
      <c r="UJA300" s="16" t="s">
        <v>1487</v>
      </c>
      <c r="UJB300" s="16" t="s">
        <v>1487</v>
      </c>
      <c r="UJC300" s="16" t="s">
        <v>1487</v>
      </c>
      <c r="UJD300" s="16" t="s">
        <v>1487</v>
      </c>
      <c r="UJE300" s="16" t="s">
        <v>1487</v>
      </c>
      <c r="UJF300" s="16" t="s">
        <v>1487</v>
      </c>
      <c r="UJG300" s="16" t="s">
        <v>1487</v>
      </c>
      <c r="UJH300" s="16" t="s">
        <v>1487</v>
      </c>
      <c r="UJI300" s="16" t="s">
        <v>1487</v>
      </c>
      <c r="UJJ300" s="16" t="s">
        <v>1487</v>
      </c>
      <c r="UJK300" s="16" t="s">
        <v>1487</v>
      </c>
      <c r="UJL300" s="16" t="s">
        <v>1487</v>
      </c>
      <c r="UJM300" s="16" t="s">
        <v>1487</v>
      </c>
      <c r="UJN300" s="16" t="s">
        <v>1487</v>
      </c>
      <c r="UJO300" s="16" t="s">
        <v>1487</v>
      </c>
      <c r="UJP300" s="16" t="s">
        <v>1487</v>
      </c>
      <c r="UJQ300" s="16" t="s">
        <v>1487</v>
      </c>
      <c r="UJR300" s="16" t="s">
        <v>1487</v>
      </c>
      <c r="UJS300" s="16" t="s">
        <v>1487</v>
      </c>
      <c r="UJT300" s="16" t="s">
        <v>1487</v>
      </c>
      <c r="UJU300" s="16" t="s">
        <v>1487</v>
      </c>
      <c r="UJV300" s="16" t="s">
        <v>1487</v>
      </c>
      <c r="UJW300" s="16" t="s">
        <v>1487</v>
      </c>
      <c r="UJX300" s="16" t="s">
        <v>1487</v>
      </c>
      <c r="UJY300" s="16" t="s">
        <v>1487</v>
      </c>
      <c r="UJZ300" s="16" t="s">
        <v>1487</v>
      </c>
      <c r="UKA300" s="16" t="s">
        <v>1487</v>
      </c>
      <c r="UKB300" s="16" t="s">
        <v>1487</v>
      </c>
      <c r="UKC300" s="16" t="s">
        <v>1487</v>
      </c>
      <c r="UKD300" s="16" t="s">
        <v>1487</v>
      </c>
      <c r="UKE300" s="16" t="s">
        <v>1487</v>
      </c>
      <c r="UKF300" s="16" t="s">
        <v>1487</v>
      </c>
      <c r="UKG300" s="16" t="s">
        <v>1487</v>
      </c>
      <c r="UKH300" s="16" t="s">
        <v>1487</v>
      </c>
      <c r="UKI300" s="16" t="s">
        <v>1487</v>
      </c>
      <c r="UKJ300" s="16" t="s">
        <v>1487</v>
      </c>
      <c r="UKK300" s="16" t="s">
        <v>1487</v>
      </c>
      <c r="UKL300" s="16" t="s">
        <v>1487</v>
      </c>
      <c r="UKM300" s="16" t="s">
        <v>1487</v>
      </c>
      <c r="UKN300" s="16" t="s">
        <v>1487</v>
      </c>
      <c r="UKO300" s="16" t="s">
        <v>1487</v>
      </c>
      <c r="UKP300" s="16" t="s">
        <v>1487</v>
      </c>
      <c r="UKQ300" s="16" t="s">
        <v>1487</v>
      </c>
      <c r="UKR300" s="16" t="s">
        <v>1487</v>
      </c>
      <c r="UKS300" s="16" t="s">
        <v>1487</v>
      </c>
      <c r="UKT300" s="16" t="s">
        <v>1487</v>
      </c>
      <c r="UKU300" s="16" t="s">
        <v>1487</v>
      </c>
      <c r="UKV300" s="16" t="s">
        <v>1487</v>
      </c>
      <c r="UKW300" s="16" t="s">
        <v>1487</v>
      </c>
      <c r="UKX300" s="16" t="s">
        <v>1487</v>
      </c>
      <c r="UKY300" s="16" t="s">
        <v>1487</v>
      </c>
      <c r="UKZ300" s="16" t="s">
        <v>1487</v>
      </c>
      <c r="ULA300" s="16" t="s">
        <v>1487</v>
      </c>
      <c r="ULB300" s="16" t="s">
        <v>1487</v>
      </c>
      <c r="ULC300" s="16" t="s">
        <v>1487</v>
      </c>
      <c r="ULD300" s="16" t="s">
        <v>1487</v>
      </c>
      <c r="ULE300" s="16" t="s">
        <v>1487</v>
      </c>
      <c r="ULF300" s="16" t="s">
        <v>1487</v>
      </c>
      <c r="ULG300" s="16" t="s">
        <v>1487</v>
      </c>
      <c r="ULH300" s="16" t="s">
        <v>1487</v>
      </c>
      <c r="ULI300" s="16" t="s">
        <v>1487</v>
      </c>
      <c r="ULJ300" s="16" t="s">
        <v>1487</v>
      </c>
      <c r="ULK300" s="16" t="s">
        <v>1487</v>
      </c>
      <c r="ULL300" s="16" t="s">
        <v>1487</v>
      </c>
      <c r="ULM300" s="16" t="s">
        <v>1487</v>
      </c>
      <c r="ULN300" s="16" t="s">
        <v>1487</v>
      </c>
      <c r="ULO300" s="16" t="s">
        <v>1487</v>
      </c>
      <c r="ULP300" s="16" t="s">
        <v>1487</v>
      </c>
      <c r="ULQ300" s="16" t="s">
        <v>1487</v>
      </c>
      <c r="ULR300" s="16" t="s">
        <v>1487</v>
      </c>
      <c r="ULS300" s="16" t="s">
        <v>1487</v>
      </c>
      <c r="ULT300" s="16" t="s">
        <v>1487</v>
      </c>
      <c r="ULU300" s="16" t="s">
        <v>1487</v>
      </c>
      <c r="ULV300" s="16" t="s">
        <v>1487</v>
      </c>
      <c r="ULW300" s="16" t="s">
        <v>1487</v>
      </c>
      <c r="ULX300" s="16" t="s">
        <v>1487</v>
      </c>
      <c r="ULY300" s="16" t="s">
        <v>1487</v>
      </c>
      <c r="ULZ300" s="16" t="s">
        <v>1487</v>
      </c>
      <c r="UMA300" s="16" t="s">
        <v>1487</v>
      </c>
      <c r="UMB300" s="16" t="s">
        <v>1487</v>
      </c>
      <c r="UMC300" s="16" t="s">
        <v>1487</v>
      </c>
      <c r="UMD300" s="16" t="s">
        <v>1487</v>
      </c>
      <c r="UME300" s="16" t="s">
        <v>1487</v>
      </c>
      <c r="UMF300" s="16" t="s">
        <v>1487</v>
      </c>
      <c r="UMG300" s="16" t="s">
        <v>1487</v>
      </c>
      <c r="UMH300" s="16" t="s">
        <v>1487</v>
      </c>
      <c r="UMI300" s="16" t="s">
        <v>1487</v>
      </c>
      <c r="UMJ300" s="16" t="s">
        <v>1487</v>
      </c>
      <c r="UMK300" s="16" t="s">
        <v>1487</v>
      </c>
      <c r="UML300" s="16" t="s">
        <v>1487</v>
      </c>
      <c r="UMM300" s="16" t="s">
        <v>1487</v>
      </c>
      <c r="UMN300" s="16" t="s">
        <v>1487</v>
      </c>
      <c r="UMO300" s="16" t="s">
        <v>1487</v>
      </c>
      <c r="UMP300" s="16" t="s">
        <v>1487</v>
      </c>
      <c r="UMQ300" s="16" t="s">
        <v>1487</v>
      </c>
      <c r="UMR300" s="16" t="s">
        <v>1487</v>
      </c>
      <c r="UMS300" s="16" t="s">
        <v>1487</v>
      </c>
      <c r="UMT300" s="16" t="s">
        <v>1487</v>
      </c>
      <c r="UMU300" s="16" t="s">
        <v>1487</v>
      </c>
      <c r="UMV300" s="16" t="s">
        <v>1487</v>
      </c>
      <c r="UMW300" s="16" t="s">
        <v>1487</v>
      </c>
      <c r="UMX300" s="16" t="s">
        <v>1487</v>
      </c>
      <c r="UMY300" s="16" t="s">
        <v>1487</v>
      </c>
      <c r="UMZ300" s="16" t="s">
        <v>1487</v>
      </c>
      <c r="UNA300" s="16" t="s">
        <v>1487</v>
      </c>
      <c r="UNB300" s="16" t="s">
        <v>1487</v>
      </c>
      <c r="UNC300" s="16" t="s">
        <v>1487</v>
      </c>
      <c r="UND300" s="16" t="s">
        <v>1487</v>
      </c>
      <c r="UNE300" s="16" t="s">
        <v>1487</v>
      </c>
      <c r="UNF300" s="16" t="s">
        <v>1487</v>
      </c>
      <c r="UNG300" s="16" t="s">
        <v>1487</v>
      </c>
      <c r="UNH300" s="16" t="s">
        <v>1487</v>
      </c>
      <c r="UNI300" s="16" t="s">
        <v>1487</v>
      </c>
      <c r="UNJ300" s="16" t="s">
        <v>1487</v>
      </c>
      <c r="UNK300" s="16" t="s">
        <v>1487</v>
      </c>
      <c r="UNL300" s="16" t="s">
        <v>1487</v>
      </c>
      <c r="UNM300" s="16" t="s">
        <v>1487</v>
      </c>
      <c r="UNN300" s="16" t="s">
        <v>1487</v>
      </c>
      <c r="UNO300" s="16" t="s">
        <v>1487</v>
      </c>
      <c r="UNP300" s="16" t="s">
        <v>1487</v>
      </c>
      <c r="UNQ300" s="16" t="s">
        <v>1487</v>
      </c>
      <c r="UNR300" s="16" t="s">
        <v>1487</v>
      </c>
      <c r="UNS300" s="16" t="s">
        <v>1487</v>
      </c>
      <c r="UNT300" s="16" t="s">
        <v>1487</v>
      </c>
      <c r="UNU300" s="16" t="s">
        <v>1487</v>
      </c>
      <c r="UNV300" s="16" t="s">
        <v>1487</v>
      </c>
      <c r="UNW300" s="16" t="s">
        <v>1487</v>
      </c>
      <c r="UNX300" s="16" t="s">
        <v>1487</v>
      </c>
      <c r="UNY300" s="16" t="s">
        <v>1487</v>
      </c>
      <c r="UNZ300" s="16" t="s">
        <v>1487</v>
      </c>
      <c r="UOA300" s="16" t="s">
        <v>1487</v>
      </c>
      <c r="UOB300" s="16" t="s">
        <v>1487</v>
      </c>
      <c r="UOC300" s="16" t="s">
        <v>1487</v>
      </c>
      <c r="UOD300" s="16" t="s">
        <v>1487</v>
      </c>
      <c r="UOE300" s="16" t="s">
        <v>1487</v>
      </c>
      <c r="UOF300" s="16" t="s">
        <v>1487</v>
      </c>
      <c r="UOG300" s="16" t="s">
        <v>1487</v>
      </c>
      <c r="UOH300" s="16" t="s">
        <v>1487</v>
      </c>
      <c r="UOI300" s="16" t="s">
        <v>1487</v>
      </c>
      <c r="UOJ300" s="16" t="s">
        <v>1487</v>
      </c>
      <c r="UOK300" s="16" t="s">
        <v>1487</v>
      </c>
      <c r="UOL300" s="16" t="s">
        <v>1487</v>
      </c>
      <c r="UOM300" s="16" t="s">
        <v>1487</v>
      </c>
      <c r="UON300" s="16" t="s">
        <v>1487</v>
      </c>
      <c r="UOO300" s="16" t="s">
        <v>1487</v>
      </c>
      <c r="UOP300" s="16" t="s">
        <v>1487</v>
      </c>
      <c r="UOQ300" s="16" t="s">
        <v>1487</v>
      </c>
      <c r="UOR300" s="16" t="s">
        <v>1487</v>
      </c>
      <c r="UOS300" s="16" t="s">
        <v>1487</v>
      </c>
      <c r="UOT300" s="16" t="s">
        <v>1487</v>
      </c>
      <c r="UOU300" s="16" t="s">
        <v>1487</v>
      </c>
      <c r="UOV300" s="16" t="s">
        <v>1487</v>
      </c>
      <c r="UOW300" s="16" t="s">
        <v>1487</v>
      </c>
      <c r="UOX300" s="16" t="s">
        <v>1487</v>
      </c>
      <c r="UOY300" s="16" t="s">
        <v>1487</v>
      </c>
      <c r="UOZ300" s="16" t="s">
        <v>1487</v>
      </c>
      <c r="UPA300" s="16" t="s">
        <v>1487</v>
      </c>
      <c r="UPB300" s="16" t="s">
        <v>1487</v>
      </c>
      <c r="UPC300" s="16" t="s">
        <v>1487</v>
      </c>
      <c r="UPD300" s="16" t="s">
        <v>1487</v>
      </c>
      <c r="UPE300" s="16" t="s">
        <v>1487</v>
      </c>
      <c r="UPF300" s="16" t="s">
        <v>1487</v>
      </c>
      <c r="UPG300" s="16" t="s">
        <v>1487</v>
      </c>
      <c r="UPH300" s="16" t="s">
        <v>1487</v>
      </c>
      <c r="UPI300" s="16" t="s">
        <v>1487</v>
      </c>
      <c r="UPJ300" s="16" t="s">
        <v>1487</v>
      </c>
      <c r="UPK300" s="16" t="s">
        <v>1487</v>
      </c>
      <c r="UPL300" s="16" t="s">
        <v>1487</v>
      </c>
      <c r="UPM300" s="16" t="s">
        <v>1487</v>
      </c>
      <c r="UPN300" s="16" t="s">
        <v>1487</v>
      </c>
      <c r="UPO300" s="16" t="s">
        <v>1487</v>
      </c>
      <c r="UPP300" s="16" t="s">
        <v>1487</v>
      </c>
      <c r="UPQ300" s="16" t="s">
        <v>1487</v>
      </c>
      <c r="UPR300" s="16" t="s">
        <v>1487</v>
      </c>
      <c r="UPS300" s="16" t="s">
        <v>1487</v>
      </c>
      <c r="UPT300" s="16" t="s">
        <v>1487</v>
      </c>
      <c r="UPU300" s="16" t="s">
        <v>1487</v>
      </c>
      <c r="UPV300" s="16" t="s">
        <v>1487</v>
      </c>
      <c r="UPW300" s="16" t="s">
        <v>1487</v>
      </c>
      <c r="UPX300" s="16" t="s">
        <v>1487</v>
      </c>
      <c r="UPY300" s="16" t="s">
        <v>1487</v>
      </c>
      <c r="UPZ300" s="16" t="s">
        <v>1487</v>
      </c>
      <c r="UQA300" s="16" t="s">
        <v>1487</v>
      </c>
      <c r="UQB300" s="16" t="s">
        <v>1487</v>
      </c>
      <c r="UQC300" s="16" t="s">
        <v>1487</v>
      </c>
      <c r="UQD300" s="16" t="s">
        <v>1487</v>
      </c>
      <c r="UQE300" s="16" t="s">
        <v>1487</v>
      </c>
      <c r="UQF300" s="16" t="s">
        <v>1487</v>
      </c>
      <c r="UQG300" s="16" t="s">
        <v>1487</v>
      </c>
      <c r="UQH300" s="16" t="s">
        <v>1487</v>
      </c>
      <c r="UQI300" s="16" t="s">
        <v>1487</v>
      </c>
      <c r="UQJ300" s="16" t="s">
        <v>1487</v>
      </c>
      <c r="UQK300" s="16" t="s">
        <v>1487</v>
      </c>
      <c r="UQL300" s="16" t="s">
        <v>1487</v>
      </c>
      <c r="UQM300" s="16" t="s">
        <v>1487</v>
      </c>
      <c r="UQN300" s="16" t="s">
        <v>1487</v>
      </c>
      <c r="UQO300" s="16" t="s">
        <v>1487</v>
      </c>
      <c r="UQP300" s="16" t="s">
        <v>1487</v>
      </c>
      <c r="UQQ300" s="16" t="s">
        <v>1487</v>
      </c>
      <c r="UQR300" s="16" t="s">
        <v>1487</v>
      </c>
      <c r="UQS300" s="16" t="s">
        <v>1487</v>
      </c>
      <c r="UQT300" s="16" t="s">
        <v>1487</v>
      </c>
      <c r="UQU300" s="16" t="s">
        <v>1487</v>
      </c>
      <c r="UQV300" s="16" t="s">
        <v>1487</v>
      </c>
      <c r="UQW300" s="16" t="s">
        <v>1487</v>
      </c>
      <c r="UQX300" s="16" t="s">
        <v>1487</v>
      </c>
      <c r="UQY300" s="16" t="s">
        <v>1487</v>
      </c>
      <c r="UQZ300" s="16" t="s">
        <v>1487</v>
      </c>
      <c r="URA300" s="16" t="s">
        <v>1487</v>
      </c>
      <c r="URB300" s="16" t="s">
        <v>1487</v>
      </c>
      <c r="URC300" s="16" t="s">
        <v>1487</v>
      </c>
      <c r="URD300" s="16" t="s">
        <v>1487</v>
      </c>
      <c r="URE300" s="16" t="s">
        <v>1487</v>
      </c>
      <c r="URF300" s="16" t="s">
        <v>1487</v>
      </c>
      <c r="URG300" s="16" t="s">
        <v>1487</v>
      </c>
      <c r="URH300" s="16" t="s">
        <v>1487</v>
      </c>
      <c r="URI300" s="16" t="s">
        <v>1487</v>
      </c>
      <c r="URJ300" s="16" t="s">
        <v>1487</v>
      </c>
      <c r="URK300" s="16" t="s">
        <v>1487</v>
      </c>
      <c r="URL300" s="16" t="s">
        <v>1487</v>
      </c>
      <c r="URM300" s="16" t="s">
        <v>1487</v>
      </c>
      <c r="URN300" s="16" t="s">
        <v>1487</v>
      </c>
      <c r="URO300" s="16" t="s">
        <v>1487</v>
      </c>
      <c r="URP300" s="16" t="s">
        <v>1487</v>
      </c>
      <c r="URQ300" s="16" t="s">
        <v>1487</v>
      </c>
      <c r="URR300" s="16" t="s">
        <v>1487</v>
      </c>
      <c r="URS300" s="16" t="s">
        <v>1487</v>
      </c>
      <c r="URT300" s="16" t="s">
        <v>1487</v>
      </c>
      <c r="URU300" s="16" t="s">
        <v>1487</v>
      </c>
      <c r="URV300" s="16" t="s">
        <v>1487</v>
      </c>
      <c r="URW300" s="16" t="s">
        <v>1487</v>
      </c>
      <c r="URX300" s="16" t="s">
        <v>1487</v>
      </c>
      <c r="URY300" s="16" t="s">
        <v>1487</v>
      </c>
      <c r="URZ300" s="16" t="s">
        <v>1487</v>
      </c>
      <c r="USA300" s="16" t="s">
        <v>1487</v>
      </c>
      <c r="USB300" s="16" t="s">
        <v>1487</v>
      </c>
      <c r="USC300" s="16" t="s">
        <v>1487</v>
      </c>
      <c r="USD300" s="16" t="s">
        <v>1487</v>
      </c>
      <c r="USE300" s="16" t="s">
        <v>1487</v>
      </c>
      <c r="USF300" s="16" t="s">
        <v>1487</v>
      </c>
      <c r="USG300" s="16" t="s">
        <v>1487</v>
      </c>
      <c r="USH300" s="16" t="s">
        <v>1487</v>
      </c>
      <c r="USI300" s="16" t="s">
        <v>1487</v>
      </c>
      <c r="USJ300" s="16" t="s">
        <v>1487</v>
      </c>
      <c r="USK300" s="16" t="s">
        <v>1487</v>
      </c>
      <c r="USL300" s="16" t="s">
        <v>1487</v>
      </c>
      <c r="USM300" s="16" t="s">
        <v>1487</v>
      </c>
      <c r="USN300" s="16" t="s">
        <v>1487</v>
      </c>
      <c r="USO300" s="16" t="s">
        <v>1487</v>
      </c>
      <c r="USP300" s="16" t="s">
        <v>1487</v>
      </c>
      <c r="USQ300" s="16" t="s">
        <v>1487</v>
      </c>
      <c r="USR300" s="16" t="s">
        <v>1487</v>
      </c>
      <c r="USS300" s="16" t="s">
        <v>1487</v>
      </c>
      <c r="UST300" s="16" t="s">
        <v>1487</v>
      </c>
      <c r="USU300" s="16" t="s">
        <v>1487</v>
      </c>
      <c r="USV300" s="16" t="s">
        <v>1487</v>
      </c>
      <c r="USW300" s="16" t="s">
        <v>1487</v>
      </c>
      <c r="USX300" s="16" t="s">
        <v>1487</v>
      </c>
      <c r="USY300" s="16" t="s">
        <v>1487</v>
      </c>
      <c r="USZ300" s="16" t="s">
        <v>1487</v>
      </c>
      <c r="UTA300" s="16" t="s">
        <v>1487</v>
      </c>
      <c r="UTB300" s="16" t="s">
        <v>1487</v>
      </c>
      <c r="UTC300" s="16" t="s">
        <v>1487</v>
      </c>
      <c r="UTD300" s="16" t="s">
        <v>1487</v>
      </c>
      <c r="UTE300" s="16" t="s">
        <v>1487</v>
      </c>
      <c r="UTF300" s="16" t="s">
        <v>1487</v>
      </c>
      <c r="UTG300" s="16" t="s">
        <v>1487</v>
      </c>
      <c r="UTH300" s="16" t="s">
        <v>1487</v>
      </c>
      <c r="UTI300" s="16" t="s">
        <v>1487</v>
      </c>
      <c r="UTJ300" s="16" t="s">
        <v>1487</v>
      </c>
      <c r="UTK300" s="16" t="s">
        <v>1487</v>
      </c>
      <c r="UTL300" s="16" t="s">
        <v>1487</v>
      </c>
      <c r="UTM300" s="16" t="s">
        <v>1487</v>
      </c>
      <c r="UTN300" s="16" t="s">
        <v>1487</v>
      </c>
      <c r="UTO300" s="16" t="s">
        <v>1487</v>
      </c>
      <c r="UTP300" s="16" t="s">
        <v>1487</v>
      </c>
      <c r="UTQ300" s="16" t="s">
        <v>1487</v>
      </c>
      <c r="UTR300" s="16" t="s">
        <v>1487</v>
      </c>
      <c r="UTS300" s="16" t="s">
        <v>1487</v>
      </c>
      <c r="UTT300" s="16" t="s">
        <v>1487</v>
      </c>
      <c r="UTU300" s="16" t="s">
        <v>1487</v>
      </c>
      <c r="UTV300" s="16" t="s">
        <v>1487</v>
      </c>
      <c r="UTW300" s="16" t="s">
        <v>1487</v>
      </c>
      <c r="UTX300" s="16" t="s">
        <v>1487</v>
      </c>
      <c r="UTY300" s="16" t="s">
        <v>1487</v>
      </c>
      <c r="UTZ300" s="16" t="s">
        <v>1487</v>
      </c>
      <c r="UUA300" s="16" t="s">
        <v>1487</v>
      </c>
      <c r="UUB300" s="16" t="s">
        <v>1487</v>
      </c>
      <c r="UUC300" s="16" t="s">
        <v>1487</v>
      </c>
      <c r="UUD300" s="16" t="s">
        <v>1487</v>
      </c>
      <c r="UUE300" s="16" t="s">
        <v>1487</v>
      </c>
      <c r="UUF300" s="16" t="s">
        <v>1487</v>
      </c>
      <c r="UUG300" s="16" t="s">
        <v>1487</v>
      </c>
      <c r="UUH300" s="16" t="s">
        <v>1487</v>
      </c>
      <c r="UUI300" s="16" t="s">
        <v>1487</v>
      </c>
      <c r="UUJ300" s="16" t="s">
        <v>1487</v>
      </c>
      <c r="UUK300" s="16" t="s">
        <v>1487</v>
      </c>
      <c r="UUL300" s="16" t="s">
        <v>1487</v>
      </c>
      <c r="UUM300" s="16" t="s">
        <v>1487</v>
      </c>
      <c r="UUN300" s="16" t="s">
        <v>1487</v>
      </c>
      <c r="UUO300" s="16" t="s">
        <v>1487</v>
      </c>
      <c r="UUP300" s="16" t="s">
        <v>1487</v>
      </c>
      <c r="UUQ300" s="16" t="s">
        <v>1487</v>
      </c>
      <c r="UUR300" s="16" t="s">
        <v>1487</v>
      </c>
      <c r="UUS300" s="16" t="s">
        <v>1487</v>
      </c>
      <c r="UUT300" s="16" t="s">
        <v>1487</v>
      </c>
      <c r="UUU300" s="16" t="s">
        <v>1487</v>
      </c>
      <c r="UUV300" s="16" t="s">
        <v>1487</v>
      </c>
      <c r="UUW300" s="16" t="s">
        <v>1487</v>
      </c>
      <c r="UUX300" s="16" t="s">
        <v>1487</v>
      </c>
      <c r="UUY300" s="16" t="s">
        <v>1487</v>
      </c>
      <c r="UUZ300" s="16" t="s">
        <v>1487</v>
      </c>
      <c r="UVA300" s="16" t="s">
        <v>1487</v>
      </c>
      <c r="UVB300" s="16" t="s">
        <v>1487</v>
      </c>
      <c r="UVC300" s="16" t="s">
        <v>1487</v>
      </c>
      <c r="UVD300" s="16" t="s">
        <v>1487</v>
      </c>
      <c r="UVE300" s="16" t="s">
        <v>1487</v>
      </c>
      <c r="UVF300" s="16" t="s">
        <v>1487</v>
      </c>
      <c r="UVG300" s="16" t="s">
        <v>1487</v>
      </c>
      <c r="UVH300" s="16" t="s">
        <v>1487</v>
      </c>
      <c r="UVI300" s="16" t="s">
        <v>1487</v>
      </c>
      <c r="UVJ300" s="16" t="s">
        <v>1487</v>
      </c>
      <c r="UVK300" s="16" t="s">
        <v>1487</v>
      </c>
      <c r="UVL300" s="16" t="s">
        <v>1487</v>
      </c>
      <c r="UVM300" s="16" t="s">
        <v>1487</v>
      </c>
      <c r="UVN300" s="16" t="s">
        <v>1487</v>
      </c>
      <c r="UVO300" s="16" t="s">
        <v>1487</v>
      </c>
      <c r="UVP300" s="16" t="s">
        <v>1487</v>
      </c>
      <c r="UVQ300" s="16" t="s">
        <v>1487</v>
      </c>
      <c r="UVR300" s="16" t="s">
        <v>1487</v>
      </c>
      <c r="UVS300" s="16" t="s">
        <v>1487</v>
      </c>
      <c r="UVT300" s="16" t="s">
        <v>1487</v>
      </c>
      <c r="UVU300" s="16" t="s">
        <v>1487</v>
      </c>
      <c r="UVV300" s="16" t="s">
        <v>1487</v>
      </c>
      <c r="UVW300" s="16" t="s">
        <v>1487</v>
      </c>
      <c r="UVX300" s="16" t="s">
        <v>1487</v>
      </c>
      <c r="UVY300" s="16" t="s">
        <v>1487</v>
      </c>
      <c r="UVZ300" s="16" t="s">
        <v>1487</v>
      </c>
      <c r="UWA300" s="16" t="s">
        <v>1487</v>
      </c>
      <c r="UWB300" s="16" t="s">
        <v>1487</v>
      </c>
      <c r="UWC300" s="16" t="s">
        <v>1487</v>
      </c>
      <c r="UWD300" s="16" t="s">
        <v>1487</v>
      </c>
      <c r="UWE300" s="16" t="s">
        <v>1487</v>
      </c>
      <c r="UWF300" s="16" t="s">
        <v>1487</v>
      </c>
      <c r="UWG300" s="16" t="s">
        <v>1487</v>
      </c>
      <c r="UWH300" s="16" t="s">
        <v>1487</v>
      </c>
      <c r="UWI300" s="16" t="s">
        <v>1487</v>
      </c>
      <c r="UWJ300" s="16" t="s">
        <v>1487</v>
      </c>
      <c r="UWK300" s="16" t="s">
        <v>1487</v>
      </c>
      <c r="UWL300" s="16" t="s">
        <v>1487</v>
      </c>
      <c r="UWM300" s="16" t="s">
        <v>1487</v>
      </c>
      <c r="UWN300" s="16" t="s">
        <v>1487</v>
      </c>
      <c r="UWO300" s="16" t="s">
        <v>1487</v>
      </c>
      <c r="UWP300" s="16" t="s">
        <v>1487</v>
      </c>
      <c r="UWQ300" s="16" t="s">
        <v>1487</v>
      </c>
      <c r="UWR300" s="16" t="s">
        <v>1487</v>
      </c>
      <c r="UWS300" s="16" t="s">
        <v>1487</v>
      </c>
      <c r="UWT300" s="16" t="s">
        <v>1487</v>
      </c>
      <c r="UWU300" s="16" t="s">
        <v>1487</v>
      </c>
      <c r="UWV300" s="16" t="s">
        <v>1487</v>
      </c>
      <c r="UWW300" s="16" t="s">
        <v>1487</v>
      </c>
      <c r="UWX300" s="16" t="s">
        <v>1487</v>
      </c>
      <c r="UWY300" s="16" t="s">
        <v>1487</v>
      </c>
      <c r="UWZ300" s="16" t="s">
        <v>1487</v>
      </c>
      <c r="UXA300" s="16" t="s">
        <v>1487</v>
      </c>
      <c r="UXB300" s="16" t="s">
        <v>1487</v>
      </c>
      <c r="UXC300" s="16" t="s">
        <v>1487</v>
      </c>
      <c r="UXD300" s="16" t="s">
        <v>1487</v>
      </c>
      <c r="UXE300" s="16" t="s">
        <v>1487</v>
      </c>
      <c r="UXF300" s="16" t="s">
        <v>1487</v>
      </c>
      <c r="UXG300" s="16" t="s">
        <v>1487</v>
      </c>
      <c r="UXH300" s="16" t="s">
        <v>1487</v>
      </c>
      <c r="UXI300" s="16" t="s">
        <v>1487</v>
      </c>
      <c r="UXJ300" s="16" t="s">
        <v>1487</v>
      </c>
      <c r="UXK300" s="16" t="s">
        <v>1487</v>
      </c>
      <c r="UXL300" s="16" t="s">
        <v>1487</v>
      </c>
      <c r="UXM300" s="16" t="s">
        <v>1487</v>
      </c>
      <c r="UXN300" s="16" t="s">
        <v>1487</v>
      </c>
      <c r="UXO300" s="16" t="s">
        <v>1487</v>
      </c>
      <c r="UXP300" s="16" t="s">
        <v>1487</v>
      </c>
      <c r="UXQ300" s="16" t="s">
        <v>1487</v>
      </c>
      <c r="UXR300" s="16" t="s">
        <v>1487</v>
      </c>
      <c r="UXS300" s="16" t="s">
        <v>1487</v>
      </c>
      <c r="UXT300" s="16" t="s">
        <v>1487</v>
      </c>
      <c r="UXU300" s="16" t="s">
        <v>1487</v>
      </c>
      <c r="UXV300" s="16" t="s">
        <v>1487</v>
      </c>
      <c r="UXW300" s="16" t="s">
        <v>1487</v>
      </c>
      <c r="UXX300" s="16" t="s">
        <v>1487</v>
      </c>
      <c r="UXY300" s="16" t="s">
        <v>1487</v>
      </c>
      <c r="UXZ300" s="16" t="s">
        <v>1487</v>
      </c>
      <c r="UYA300" s="16" t="s">
        <v>1487</v>
      </c>
      <c r="UYB300" s="16" t="s">
        <v>1487</v>
      </c>
      <c r="UYC300" s="16" t="s">
        <v>1487</v>
      </c>
      <c r="UYD300" s="16" t="s">
        <v>1487</v>
      </c>
      <c r="UYE300" s="16" t="s">
        <v>1487</v>
      </c>
      <c r="UYF300" s="16" t="s">
        <v>1487</v>
      </c>
      <c r="UYG300" s="16" t="s">
        <v>1487</v>
      </c>
      <c r="UYH300" s="16" t="s">
        <v>1487</v>
      </c>
      <c r="UYI300" s="16" t="s">
        <v>1487</v>
      </c>
      <c r="UYJ300" s="16" t="s">
        <v>1487</v>
      </c>
      <c r="UYK300" s="16" t="s">
        <v>1487</v>
      </c>
      <c r="UYL300" s="16" t="s">
        <v>1487</v>
      </c>
      <c r="UYM300" s="16" t="s">
        <v>1487</v>
      </c>
      <c r="UYN300" s="16" t="s">
        <v>1487</v>
      </c>
      <c r="UYO300" s="16" t="s">
        <v>1487</v>
      </c>
      <c r="UYP300" s="16" t="s">
        <v>1487</v>
      </c>
      <c r="UYQ300" s="16" t="s">
        <v>1487</v>
      </c>
      <c r="UYR300" s="16" t="s">
        <v>1487</v>
      </c>
      <c r="UYS300" s="16" t="s">
        <v>1487</v>
      </c>
      <c r="UYT300" s="16" t="s">
        <v>1487</v>
      </c>
      <c r="UYU300" s="16" t="s">
        <v>1487</v>
      </c>
      <c r="UYV300" s="16" t="s">
        <v>1487</v>
      </c>
      <c r="UYW300" s="16" t="s">
        <v>1487</v>
      </c>
      <c r="UYX300" s="16" t="s">
        <v>1487</v>
      </c>
      <c r="UYY300" s="16" t="s">
        <v>1487</v>
      </c>
      <c r="UYZ300" s="16" t="s">
        <v>1487</v>
      </c>
      <c r="UZA300" s="16" t="s">
        <v>1487</v>
      </c>
      <c r="UZB300" s="16" t="s">
        <v>1487</v>
      </c>
      <c r="UZC300" s="16" t="s">
        <v>1487</v>
      </c>
      <c r="UZD300" s="16" t="s">
        <v>1487</v>
      </c>
      <c r="UZE300" s="16" t="s">
        <v>1487</v>
      </c>
      <c r="UZF300" s="16" t="s">
        <v>1487</v>
      </c>
      <c r="UZG300" s="16" t="s">
        <v>1487</v>
      </c>
      <c r="UZH300" s="16" t="s">
        <v>1487</v>
      </c>
      <c r="UZI300" s="16" t="s">
        <v>1487</v>
      </c>
      <c r="UZJ300" s="16" t="s">
        <v>1487</v>
      </c>
      <c r="UZK300" s="16" t="s">
        <v>1487</v>
      </c>
      <c r="UZL300" s="16" t="s">
        <v>1487</v>
      </c>
      <c r="UZM300" s="16" t="s">
        <v>1487</v>
      </c>
      <c r="UZN300" s="16" t="s">
        <v>1487</v>
      </c>
      <c r="UZO300" s="16" t="s">
        <v>1487</v>
      </c>
      <c r="UZP300" s="16" t="s">
        <v>1487</v>
      </c>
      <c r="UZQ300" s="16" t="s">
        <v>1487</v>
      </c>
      <c r="UZR300" s="16" t="s">
        <v>1487</v>
      </c>
      <c r="UZS300" s="16" t="s">
        <v>1487</v>
      </c>
      <c r="UZT300" s="16" t="s">
        <v>1487</v>
      </c>
      <c r="UZU300" s="16" t="s">
        <v>1487</v>
      </c>
      <c r="UZV300" s="16" t="s">
        <v>1487</v>
      </c>
      <c r="UZW300" s="16" t="s">
        <v>1487</v>
      </c>
      <c r="UZX300" s="16" t="s">
        <v>1487</v>
      </c>
      <c r="UZY300" s="16" t="s">
        <v>1487</v>
      </c>
      <c r="UZZ300" s="16" t="s">
        <v>1487</v>
      </c>
      <c r="VAA300" s="16" t="s">
        <v>1487</v>
      </c>
      <c r="VAB300" s="16" t="s">
        <v>1487</v>
      </c>
      <c r="VAC300" s="16" t="s">
        <v>1487</v>
      </c>
      <c r="VAD300" s="16" t="s">
        <v>1487</v>
      </c>
      <c r="VAE300" s="16" t="s">
        <v>1487</v>
      </c>
      <c r="VAF300" s="16" t="s">
        <v>1487</v>
      </c>
      <c r="VAG300" s="16" t="s">
        <v>1487</v>
      </c>
      <c r="VAH300" s="16" t="s">
        <v>1487</v>
      </c>
      <c r="VAI300" s="16" t="s">
        <v>1487</v>
      </c>
      <c r="VAJ300" s="16" t="s">
        <v>1487</v>
      </c>
      <c r="VAK300" s="16" t="s">
        <v>1487</v>
      </c>
      <c r="VAL300" s="16" t="s">
        <v>1487</v>
      </c>
      <c r="VAM300" s="16" t="s">
        <v>1487</v>
      </c>
      <c r="VAN300" s="16" t="s">
        <v>1487</v>
      </c>
      <c r="VAO300" s="16" t="s">
        <v>1487</v>
      </c>
      <c r="VAP300" s="16" t="s">
        <v>1487</v>
      </c>
      <c r="VAQ300" s="16" t="s">
        <v>1487</v>
      </c>
      <c r="VAR300" s="16" t="s">
        <v>1487</v>
      </c>
      <c r="VAS300" s="16" t="s">
        <v>1487</v>
      </c>
      <c r="VAT300" s="16" t="s">
        <v>1487</v>
      </c>
      <c r="VAU300" s="16" t="s">
        <v>1487</v>
      </c>
      <c r="VAV300" s="16" t="s">
        <v>1487</v>
      </c>
      <c r="VAW300" s="16" t="s">
        <v>1487</v>
      </c>
      <c r="VAX300" s="16" t="s">
        <v>1487</v>
      </c>
      <c r="VAY300" s="16" t="s">
        <v>1487</v>
      </c>
      <c r="VAZ300" s="16" t="s">
        <v>1487</v>
      </c>
      <c r="VBA300" s="16" t="s">
        <v>1487</v>
      </c>
      <c r="VBB300" s="16" t="s">
        <v>1487</v>
      </c>
      <c r="VBC300" s="16" t="s">
        <v>1487</v>
      </c>
      <c r="VBD300" s="16" t="s">
        <v>1487</v>
      </c>
      <c r="VBE300" s="16" t="s">
        <v>1487</v>
      </c>
      <c r="VBF300" s="16" t="s">
        <v>1487</v>
      </c>
      <c r="VBG300" s="16" t="s">
        <v>1487</v>
      </c>
      <c r="VBH300" s="16" t="s">
        <v>1487</v>
      </c>
      <c r="VBI300" s="16" t="s">
        <v>1487</v>
      </c>
      <c r="VBJ300" s="16" t="s">
        <v>1487</v>
      </c>
      <c r="VBK300" s="16" t="s">
        <v>1487</v>
      </c>
      <c r="VBL300" s="16" t="s">
        <v>1487</v>
      </c>
      <c r="VBM300" s="16" t="s">
        <v>1487</v>
      </c>
      <c r="VBN300" s="16" t="s">
        <v>1487</v>
      </c>
      <c r="VBO300" s="16" t="s">
        <v>1487</v>
      </c>
      <c r="VBP300" s="16" t="s">
        <v>1487</v>
      </c>
      <c r="VBQ300" s="16" t="s">
        <v>1487</v>
      </c>
      <c r="VBR300" s="16" t="s">
        <v>1487</v>
      </c>
      <c r="VBS300" s="16" t="s">
        <v>1487</v>
      </c>
      <c r="VBT300" s="16" t="s">
        <v>1487</v>
      </c>
      <c r="VBU300" s="16" t="s">
        <v>1487</v>
      </c>
      <c r="VBV300" s="16" t="s">
        <v>1487</v>
      </c>
      <c r="VBW300" s="16" t="s">
        <v>1487</v>
      </c>
      <c r="VBX300" s="16" t="s">
        <v>1487</v>
      </c>
      <c r="VBY300" s="16" t="s">
        <v>1487</v>
      </c>
      <c r="VBZ300" s="16" t="s">
        <v>1487</v>
      </c>
      <c r="VCA300" s="16" t="s">
        <v>1487</v>
      </c>
      <c r="VCB300" s="16" t="s">
        <v>1487</v>
      </c>
      <c r="VCC300" s="16" t="s">
        <v>1487</v>
      </c>
      <c r="VCD300" s="16" t="s">
        <v>1487</v>
      </c>
      <c r="VCE300" s="16" t="s">
        <v>1487</v>
      </c>
      <c r="VCF300" s="16" t="s">
        <v>1487</v>
      </c>
      <c r="VCG300" s="16" t="s">
        <v>1487</v>
      </c>
      <c r="VCH300" s="16" t="s">
        <v>1487</v>
      </c>
      <c r="VCI300" s="16" t="s">
        <v>1487</v>
      </c>
      <c r="VCJ300" s="16" t="s">
        <v>1487</v>
      </c>
      <c r="VCK300" s="16" t="s">
        <v>1487</v>
      </c>
      <c r="VCL300" s="16" t="s">
        <v>1487</v>
      </c>
      <c r="VCM300" s="16" t="s">
        <v>1487</v>
      </c>
      <c r="VCN300" s="16" t="s">
        <v>1487</v>
      </c>
      <c r="VCO300" s="16" t="s">
        <v>1487</v>
      </c>
      <c r="VCP300" s="16" t="s">
        <v>1487</v>
      </c>
      <c r="VCQ300" s="16" t="s">
        <v>1487</v>
      </c>
      <c r="VCR300" s="16" t="s">
        <v>1487</v>
      </c>
      <c r="VCS300" s="16" t="s">
        <v>1487</v>
      </c>
      <c r="VCT300" s="16" t="s">
        <v>1487</v>
      </c>
      <c r="VCU300" s="16" t="s">
        <v>1487</v>
      </c>
      <c r="VCV300" s="16" t="s">
        <v>1487</v>
      </c>
      <c r="VCW300" s="16" t="s">
        <v>1487</v>
      </c>
      <c r="VCX300" s="16" t="s">
        <v>1487</v>
      </c>
      <c r="VCY300" s="16" t="s">
        <v>1487</v>
      </c>
      <c r="VCZ300" s="16" t="s">
        <v>1487</v>
      </c>
      <c r="VDA300" s="16" t="s">
        <v>1487</v>
      </c>
      <c r="VDB300" s="16" t="s">
        <v>1487</v>
      </c>
      <c r="VDC300" s="16" t="s">
        <v>1487</v>
      </c>
      <c r="VDD300" s="16" t="s">
        <v>1487</v>
      </c>
      <c r="VDE300" s="16" t="s">
        <v>1487</v>
      </c>
      <c r="VDF300" s="16" t="s">
        <v>1487</v>
      </c>
      <c r="VDG300" s="16" t="s">
        <v>1487</v>
      </c>
      <c r="VDH300" s="16" t="s">
        <v>1487</v>
      </c>
      <c r="VDI300" s="16" t="s">
        <v>1487</v>
      </c>
      <c r="VDJ300" s="16" t="s">
        <v>1487</v>
      </c>
      <c r="VDK300" s="16" t="s">
        <v>1487</v>
      </c>
      <c r="VDL300" s="16" t="s">
        <v>1487</v>
      </c>
      <c r="VDM300" s="16" t="s">
        <v>1487</v>
      </c>
      <c r="VDN300" s="16" t="s">
        <v>1487</v>
      </c>
      <c r="VDO300" s="16" t="s">
        <v>1487</v>
      </c>
      <c r="VDP300" s="16" t="s">
        <v>1487</v>
      </c>
      <c r="VDQ300" s="16" t="s">
        <v>1487</v>
      </c>
      <c r="VDR300" s="16" t="s">
        <v>1487</v>
      </c>
      <c r="VDS300" s="16" t="s">
        <v>1487</v>
      </c>
      <c r="VDT300" s="16" t="s">
        <v>1487</v>
      </c>
      <c r="VDU300" s="16" t="s">
        <v>1487</v>
      </c>
      <c r="VDV300" s="16" t="s">
        <v>1487</v>
      </c>
      <c r="VDW300" s="16" t="s">
        <v>1487</v>
      </c>
      <c r="VDX300" s="16" t="s">
        <v>1487</v>
      </c>
      <c r="VDY300" s="16" t="s">
        <v>1487</v>
      </c>
      <c r="VDZ300" s="16" t="s">
        <v>1487</v>
      </c>
      <c r="VEA300" s="16" t="s">
        <v>1487</v>
      </c>
      <c r="VEB300" s="16" t="s">
        <v>1487</v>
      </c>
      <c r="VEC300" s="16" t="s">
        <v>1487</v>
      </c>
      <c r="VED300" s="16" t="s">
        <v>1487</v>
      </c>
      <c r="VEE300" s="16" t="s">
        <v>1487</v>
      </c>
      <c r="VEF300" s="16" t="s">
        <v>1487</v>
      </c>
      <c r="VEG300" s="16" t="s">
        <v>1487</v>
      </c>
      <c r="VEH300" s="16" t="s">
        <v>1487</v>
      </c>
      <c r="VEI300" s="16" t="s">
        <v>1487</v>
      </c>
      <c r="VEJ300" s="16" t="s">
        <v>1487</v>
      </c>
      <c r="VEK300" s="16" t="s">
        <v>1487</v>
      </c>
      <c r="VEL300" s="16" t="s">
        <v>1487</v>
      </c>
      <c r="VEM300" s="16" t="s">
        <v>1487</v>
      </c>
      <c r="VEN300" s="16" t="s">
        <v>1487</v>
      </c>
      <c r="VEO300" s="16" t="s">
        <v>1487</v>
      </c>
      <c r="VEP300" s="16" t="s">
        <v>1487</v>
      </c>
      <c r="VEQ300" s="16" t="s">
        <v>1487</v>
      </c>
      <c r="VER300" s="16" t="s">
        <v>1487</v>
      </c>
      <c r="VES300" s="16" t="s">
        <v>1487</v>
      </c>
      <c r="VET300" s="16" t="s">
        <v>1487</v>
      </c>
      <c r="VEU300" s="16" t="s">
        <v>1487</v>
      </c>
      <c r="VEV300" s="16" t="s">
        <v>1487</v>
      </c>
      <c r="VEW300" s="16" t="s">
        <v>1487</v>
      </c>
      <c r="VEX300" s="16" t="s">
        <v>1487</v>
      </c>
      <c r="VEY300" s="16" t="s">
        <v>1487</v>
      </c>
      <c r="VEZ300" s="16" t="s">
        <v>1487</v>
      </c>
      <c r="VFA300" s="16" t="s">
        <v>1487</v>
      </c>
      <c r="VFB300" s="16" t="s">
        <v>1487</v>
      </c>
      <c r="VFC300" s="16" t="s">
        <v>1487</v>
      </c>
      <c r="VFD300" s="16" t="s">
        <v>1487</v>
      </c>
      <c r="VFE300" s="16" t="s">
        <v>1487</v>
      </c>
      <c r="VFF300" s="16" t="s">
        <v>1487</v>
      </c>
      <c r="VFG300" s="16" t="s">
        <v>1487</v>
      </c>
      <c r="VFH300" s="16" t="s">
        <v>1487</v>
      </c>
      <c r="VFI300" s="16" t="s">
        <v>1487</v>
      </c>
      <c r="VFJ300" s="16" t="s">
        <v>1487</v>
      </c>
      <c r="VFK300" s="16" t="s">
        <v>1487</v>
      </c>
      <c r="VFL300" s="16" t="s">
        <v>1487</v>
      </c>
      <c r="VFM300" s="16" t="s">
        <v>1487</v>
      </c>
      <c r="VFN300" s="16" t="s">
        <v>1487</v>
      </c>
      <c r="VFO300" s="16" t="s">
        <v>1487</v>
      </c>
      <c r="VFP300" s="16" t="s">
        <v>1487</v>
      </c>
      <c r="VFQ300" s="16" t="s">
        <v>1487</v>
      </c>
      <c r="VFR300" s="16" t="s">
        <v>1487</v>
      </c>
      <c r="VFS300" s="16" t="s">
        <v>1487</v>
      </c>
      <c r="VFT300" s="16" t="s">
        <v>1487</v>
      </c>
      <c r="VFU300" s="16" t="s">
        <v>1487</v>
      </c>
      <c r="VFV300" s="16" t="s">
        <v>1487</v>
      </c>
      <c r="VFW300" s="16" t="s">
        <v>1487</v>
      </c>
      <c r="VFX300" s="16" t="s">
        <v>1487</v>
      </c>
      <c r="VFY300" s="16" t="s">
        <v>1487</v>
      </c>
      <c r="VFZ300" s="16" t="s">
        <v>1487</v>
      </c>
      <c r="VGA300" s="16" t="s">
        <v>1487</v>
      </c>
      <c r="VGB300" s="16" t="s">
        <v>1487</v>
      </c>
      <c r="VGC300" s="16" t="s">
        <v>1487</v>
      </c>
      <c r="VGD300" s="16" t="s">
        <v>1487</v>
      </c>
      <c r="VGE300" s="16" t="s">
        <v>1487</v>
      </c>
      <c r="VGF300" s="16" t="s">
        <v>1487</v>
      </c>
      <c r="VGG300" s="16" t="s">
        <v>1487</v>
      </c>
      <c r="VGH300" s="16" t="s">
        <v>1487</v>
      </c>
      <c r="VGI300" s="16" t="s">
        <v>1487</v>
      </c>
      <c r="VGJ300" s="16" t="s">
        <v>1487</v>
      </c>
      <c r="VGK300" s="16" t="s">
        <v>1487</v>
      </c>
      <c r="VGL300" s="16" t="s">
        <v>1487</v>
      </c>
      <c r="VGM300" s="16" t="s">
        <v>1487</v>
      </c>
      <c r="VGN300" s="16" t="s">
        <v>1487</v>
      </c>
      <c r="VGO300" s="16" t="s">
        <v>1487</v>
      </c>
      <c r="VGP300" s="16" t="s">
        <v>1487</v>
      </c>
      <c r="VGQ300" s="16" t="s">
        <v>1487</v>
      </c>
      <c r="VGR300" s="16" t="s">
        <v>1487</v>
      </c>
      <c r="VGS300" s="16" t="s">
        <v>1487</v>
      </c>
      <c r="VGT300" s="16" t="s">
        <v>1487</v>
      </c>
      <c r="VGU300" s="16" t="s">
        <v>1487</v>
      </c>
      <c r="VGV300" s="16" t="s">
        <v>1487</v>
      </c>
      <c r="VGW300" s="16" t="s">
        <v>1487</v>
      </c>
      <c r="VGX300" s="16" t="s">
        <v>1487</v>
      </c>
      <c r="VGY300" s="16" t="s">
        <v>1487</v>
      </c>
      <c r="VGZ300" s="16" t="s">
        <v>1487</v>
      </c>
      <c r="VHA300" s="16" t="s">
        <v>1487</v>
      </c>
      <c r="VHB300" s="16" t="s">
        <v>1487</v>
      </c>
      <c r="VHC300" s="16" t="s">
        <v>1487</v>
      </c>
      <c r="VHD300" s="16" t="s">
        <v>1487</v>
      </c>
      <c r="VHE300" s="16" t="s">
        <v>1487</v>
      </c>
      <c r="VHF300" s="16" t="s">
        <v>1487</v>
      </c>
      <c r="VHG300" s="16" t="s">
        <v>1487</v>
      </c>
      <c r="VHH300" s="16" t="s">
        <v>1487</v>
      </c>
      <c r="VHI300" s="16" t="s">
        <v>1487</v>
      </c>
      <c r="VHJ300" s="16" t="s">
        <v>1487</v>
      </c>
      <c r="VHK300" s="16" t="s">
        <v>1487</v>
      </c>
      <c r="VHL300" s="16" t="s">
        <v>1487</v>
      </c>
      <c r="VHM300" s="16" t="s">
        <v>1487</v>
      </c>
      <c r="VHN300" s="16" t="s">
        <v>1487</v>
      </c>
      <c r="VHO300" s="16" t="s">
        <v>1487</v>
      </c>
      <c r="VHP300" s="16" t="s">
        <v>1487</v>
      </c>
      <c r="VHQ300" s="16" t="s">
        <v>1487</v>
      </c>
      <c r="VHR300" s="16" t="s">
        <v>1487</v>
      </c>
      <c r="VHS300" s="16" t="s">
        <v>1487</v>
      </c>
      <c r="VHT300" s="16" t="s">
        <v>1487</v>
      </c>
      <c r="VHU300" s="16" t="s">
        <v>1487</v>
      </c>
      <c r="VHV300" s="16" t="s">
        <v>1487</v>
      </c>
      <c r="VHW300" s="16" t="s">
        <v>1487</v>
      </c>
      <c r="VHX300" s="16" t="s">
        <v>1487</v>
      </c>
      <c r="VHY300" s="16" t="s">
        <v>1487</v>
      </c>
      <c r="VHZ300" s="16" t="s">
        <v>1487</v>
      </c>
      <c r="VIA300" s="16" t="s">
        <v>1487</v>
      </c>
      <c r="VIB300" s="16" t="s">
        <v>1487</v>
      </c>
      <c r="VIC300" s="16" t="s">
        <v>1487</v>
      </c>
      <c r="VID300" s="16" t="s">
        <v>1487</v>
      </c>
      <c r="VIE300" s="16" t="s">
        <v>1487</v>
      </c>
      <c r="VIF300" s="16" t="s">
        <v>1487</v>
      </c>
      <c r="VIG300" s="16" t="s">
        <v>1487</v>
      </c>
      <c r="VIH300" s="16" t="s">
        <v>1487</v>
      </c>
      <c r="VII300" s="16" t="s">
        <v>1487</v>
      </c>
      <c r="VIJ300" s="16" t="s">
        <v>1487</v>
      </c>
      <c r="VIK300" s="16" t="s">
        <v>1487</v>
      </c>
      <c r="VIL300" s="16" t="s">
        <v>1487</v>
      </c>
      <c r="VIM300" s="16" t="s">
        <v>1487</v>
      </c>
      <c r="VIN300" s="16" t="s">
        <v>1487</v>
      </c>
      <c r="VIO300" s="16" t="s">
        <v>1487</v>
      </c>
      <c r="VIP300" s="16" t="s">
        <v>1487</v>
      </c>
      <c r="VIQ300" s="16" t="s">
        <v>1487</v>
      </c>
      <c r="VIR300" s="16" t="s">
        <v>1487</v>
      </c>
      <c r="VIS300" s="16" t="s">
        <v>1487</v>
      </c>
      <c r="VIT300" s="16" t="s">
        <v>1487</v>
      </c>
      <c r="VIU300" s="16" t="s">
        <v>1487</v>
      </c>
      <c r="VIV300" s="16" t="s">
        <v>1487</v>
      </c>
      <c r="VIW300" s="16" t="s">
        <v>1487</v>
      </c>
      <c r="VIX300" s="16" t="s">
        <v>1487</v>
      </c>
      <c r="VIY300" s="16" t="s">
        <v>1487</v>
      </c>
      <c r="VIZ300" s="16" t="s">
        <v>1487</v>
      </c>
      <c r="VJA300" s="16" t="s">
        <v>1487</v>
      </c>
      <c r="VJB300" s="16" t="s">
        <v>1487</v>
      </c>
      <c r="VJC300" s="16" t="s">
        <v>1487</v>
      </c>
      <c r="VJD300" s="16" t="s">
        <v>1487</v>
      </c>
      <c r="VJE300" s="16" t="s">
        <v>1487</v>
      </c>
      <c r="VJF300" s="16" t="s">
        <v>1487</v>
      </c>
      <c r="VJG300" s="16" t="s">
        <v>1487</v>
      </c>
      <c r="VJH300" s="16" t="s">
        <v>1487</v>
      </c>
      <c r="VJI300" s="16" t="s">
        <v>1487</v>
      </c>
      <c r="VJJ300" s="16" t="s">
        <v>1487</v>
      </c>
      <c r="VJK300" s="16" t="s">
        <v>1487</v>
      </c>
      <c r="VJL300" s="16" t="s">
        <v>1487</v>
      </c>
      <c r="VJM300" s="16" t="s">
        <v>1487</v>
      </c>
      <c r="VJN300" s="16" t="s">
        <v>1487</v>
      </c>
      <c r="VJO300" s="16" t="s">
        <v>1487</v>
      </c>
      <c r="VJP300" s="16" t="s">
        <v>1487</v>
      </c>
      <c r="VJQ300" s="16" t="s">
        <v>1487</v>
      </c>
      <c r="VJR300" s="16" t="s">
        <v>1487</v>
      </c>
      <c r="VJS300" s="16" t="s">
        <v>1487</v>
      </c>
      <c r="VJT300" s="16" t="s">
        <v>1487</v>
      </c>
      <c r="VJU300" s="16" t="s">
        <v>1487</v>
      </c>
      <c r="VJV300" s="16" t="s">
        <v>1487</v>
      </c>
      <c r="VJW300" s="16" t="s">
        <v>1487</v>
      </c>
      <c r="VJX300" s="16" t="s">
        <v>1487</v>
      </c>
      <c r="VJY300" s="16" t="s">
        <v>1487</v>
      </c>
      <c r="VJZ300" s="16" t="s">
        <v>1487</v>
      </c>
      <c r="VKA300" s="16" t="s">
        <v>1487</v>
      </c>
      <c r="VKB300" s="16" t="s">
        <v>1487</v>
      </c>
      <c r="VKC300" s="16" t="s">
        <v>1487</v>
      </c>
      <c r="VKD300" s="16" t="s">
        <v>1487</v>
      </c>
      <c r="VKE300" s="16" t="s">
        <v>1487</v>
      </c>
      <c r="VKF300" s="16" t="s">
        <v>1487</v>
      </c>
      <c r="VKG300" s="16" t="s">
        <v>1487</v>
      </c>
      <c r="VKH300" s="16" t="s">
        <v>1487</v>
      </c>
      <c r="VKI300" s="16" t="s">
        <v>1487</v>
      </c>
      <c r="VKJ300" s="16" t="s">
        <v>1487</v>
      </c>
      <c r="VKK300" s="16" t="s">
        <v>1487</v>
      </c>
      <c r="VKL300" s="16" t="s">
        <v>1487</v>
      </c>
      <c r="VKM300" s="16" t="s">
        <v>1487</v>
      </c>
      <c r="VKN300" s="16" t="s">
        <v>1487</v>
      </c>
      <c r="VKO300" s="16" t="s">
        <v>1487</v>
      </c>
      <c r="VKP300" s="16" t="s">
        <v>1487</v>
      </c>
      <c r="VKQ300" s="16" t="s">
        <v>1487</v>
      </c>
      <c r="VKR300" s="16" t="s">
        <v>1487</v>
      </c>
      <c r="VKS300" s="16" t="s">
        <v>1487</v>
      </c>
      <c r="VKT300" s="16" t="s">
        <v>1487</v>
      </c>
      <c r="VKU300" s="16" t="s">
        <v>1487</v>
      </c>
      <c r="VKV300" s="16" t="s">
        <v>1487</v>
      </c>
      <c r="VKW300" s="16" t="s">
        <v>1487</v>
      </c>
      <c r="VKX300" s="16" t="s">
        <v>1487</v>
      </c>
      <c r="VKY300" s="16" t="s">
        <v>1487</v>
      </c>
      <c r="VKZ300" s="16" t="s">
        <v>1487</v>
      </c>
      <c r="VLA300" s="16" t="s">
        <v>1487</v>
      </c>
      <c r="VLB300" s="16" t="s">
        <v>1487</v>
      </c>
      <c r="VLC300" s="16" t="s">
        <v>1487</v>
      </c>
      <c r="VLD300" s="16" t="s">
        <v>1487</v>
      </c>
      <c r="VLE300" s="16" t="s">
        <v>1487</v>
      </c>
      <c r="VLF300" s="16" t="s">
        <v>1487</v>
      </c>
      <c r="VLG300" s="16" t="s">
        <v>1487</v>
      </c>
      <c r="VLH300" s="16" t="s">
        <v>1487</v>
      </c>
      <c r="VLI300" s="16" t="s">
        <v>1487</v>
      </c>
      <c r="VLJ300" s="16" t="s">
        <v>1487</v>
      </c>
      <c r="VLK300" s="16" t="s">
        <v>1487</v>
      </c>
      <c r="VLL300" s="16" t="s">
        <v>1487</v>
      </c>
      <c r="VLM300" s="16" t="s">
        <v>1487</v>
      </c>
      <c r="VLN300" s="16" t="s">
        <v>1487</v>
      </c>
      <c r="VLO300" s="16" t="s">
        <v>1487</v>
      </c>
      <c r="VLP300" s="16" t="s">
        <v>1487</v>
      </c>
      <c r="VLQ300" s="16" t="s">
        <v>1487</v>
      </c>
      <c r="VLR300" s="16" t="s">
        <v>1487</v>
      </c>
      <c r="VLS300" s="16" t="s">
        <v>1487</v>
      </c>
      <c r="VLT300" s="16" t="s">
        <v>1487</v>
      </c>
      <c r="VLU300" s="16" t="s">
        <v>1487</v>
      </c>
      <c r="VLV300" s="16" t="s">
        <v>1487</v>
      </c>
      <c r="VLW300" s="16" t="s">
        <v>1487</v>
      </c>
      <c r="VLX300" s="16" t="s">
        <v>1487</v>
      </c>
      <c r="VLY300" s="16" t="s">
        <v>1487</v>
      </c>
      <c r="VLZ300" s="16" t="s">
        <v>1487</v>
      </c>
      <c r="VMA300" s="16" t="s">
        <v>1487</v>
      </c>
      <c r="VMB300" s="16" t="s">
        <v>1487</v>
      </c>
      <c r="VMC300" s="16" t="s">
        <v>1487</v>
      </c>
      <c r="VMD300" s="16" t="s">
        <v>1487</v>
      </c>
      <c r="VME300" s="16" t="s">
        <v>1487</v>
      </c>
      <c r="VMF300" s="16" t="s">
        <v>1487</v>
      </c>
      <c r="VMG300" s="16" t="s">
        <v>1487</v>
      </c>
      <c r="VMH300" s="16" t="s">
        <v>1487</v>
      </c>
      <c r="VMI300" s="16" t="s">
        <v>1487</v>
      </c>
      <c r="VMJ300" s="16" t="s">
        <v>1487</v>
      </c>
      <c r="VMK300" s="16" t="s">
        <v>1487</v>
      </c>
      <c r="VML300" s="16" t="s">
        <v>1487</v>
      </c>
      <c r="VMM300" s="16" t="s">
        <v>1487</v>
      </c>
      <c r="VMN300" s="16" t="s">
        <v>1487</v>
      </c>
      <c r="VMO300" s="16" t="s">
        <v>1487</v>
      </c>
      <c r="VMP300" s="16" t="s">
        <v>1487</v>
      </c>
      <c r="VMQ300" s="16" t="s">
        <v>1487</v>
      </c>
      <c r="VMR300" s="16" t="s">
        <v>1487</v>
      </c>
      <c r="VMS300" s="16" t="s">
        <v>1487</v>
      </c>
      <c r="VMT300" s="16" t="s">
        <v>1487</v>
      </c>
      <c r="VMU300" s="16" t="s">
        <v>1487</v>
      </c>
      <c r="VMV300" s="16" t="s">
        <v>1487</v>
      </c>
      <c r="VMW300" s="16" t="s">
        <v>1487</v>
      </c>
      <c r="VMX300" s="16" t="s">
        <v>1487</v>
      </c>
      <c r="VMY300" s="16" t="s">
        <v>1487</v>
      </c>
      <c r="VMZ300" s="16" t="s">
        <v>1487</v>
      </c>
      <c r="VNA300" s="16" t="s">
        <v>1487</v>
      </c>
      <c r="VNB300" s="16" t="s">
        <v>1487</v>
      </c>
      <c r="VNC300" s="16" t="s">
        <v>1487</v>
      </c>
      <c r="VND300" s="16" t="s">
        <v>1487</v>
      </c>
      <c r="VNE300" s="16" t="s">
        <v>1487</v>
      </c>
      <c r="VNF300" s="16" t="s">
        <v>1487</v>
      </c>
      <c r="VNG300" s="16" t="s">
        <v>1487</v>
      </c>
      <c r="VNH300" s="16" t="s">
        <v>1487</v>
      </c>
      <c r="VNI300" s="16" t="s">
        <v>1487</v>
      </c>
      <c r="VNJ300" s="16" t="s">
        <v>1487</v>
      </c>
      <c r="VNK300" s="16" t="s">
        <v>1487</v>
      </c>
      <c r="VNL300" s="16" t="s">
        <v>1487</v>
      </c>
      <c r="VNM300" s="16" t="s">
        <v>1487</v>
      </c>
      <c r="VNN300" s="16" t="s">
        <v>1487</v>
      </c>
      <c r="VNO300" s="16" t="s">
        <v>1487</v>
      </c>
      <c r="VNP300" s="16" t="s">
        <v>1487</v>
      </c>
      <c r="VNQ300" s="16" t="s">
        <v>1487</v>
      </c>
      <c r="VNR300" s="16" t="s">
        <v>1487</v>
      </c>
      <c r="VNS300" s="16" t="s">
        <v>1487</v>
      </c>
      <c r="VNT300" s="16" t="s">
        <v>1487</v>
      </c>
      <c r="VNU300" s="16" t="s">
        <v>1487</v>
      </c>
      <c r="VNV300" s="16" t="s">
        <v>1487</v>
      </c>
      <c r="VNW300" s="16" t="s">
        <v>1487</v>
      </c>
      <c r="VNX300" s="16" t="s">
        <v>1487</v>
      </c>
      <c r="VNY300" s="16" t="s">
        <v>1487</v>
      </c>
      <c r="VNZ300" s="16" t="s">
        <v>1487</v>
      </c>
      <c r="VOA300" s="16" t="s">
        <v>1487</v>
      </c>
      <c r="VOB300" s="16" t="s">
        <v>1487</v>
      </c>
      <c r="VOC300" s="16" t="s">
        <v>1487</v>
      </c>
      <c r="VOD300" s="16" t="s">
        <v>1487</v>
      </c>
      <c r="VOE300" s="16" t="s">
        <v>1487</v>
      </c>
      <c r="VOF300" s="16" t="s">
        <v>1487</v>
      </c>
      <c r="VOG300" s="16" t="s">
        <v>1487</v>
      </c>
      <c r="VOH300" s="16" t="s">
        <v>1487</v>
      </c>
      <c r="VOI300" s="16" t="s">
        <v>1487</v>
      </c>
      <c r="VOJ300" s="16" t="s">
        <v>1487</v>
      </c>
      <c r="VOK300" s="16" t="s">
        <v>1487</v>
      </c>
      <c r="VOL300" s="16" t="s">
        <v>1487</v>
      </c>
      <c r="VOM300" s="16" t="s">
        <v>1487</v>
      </c>
      <c r="VON300" s="16" t="s">
        <v>1487</v>
      </c>
      <c r="VOO300" s="16" t="s">
        <v>1487</v>
      </c>
      <c r="VOP300" s="16" t="s">
        <v>1487</v>
      </c>
      <c r="VOQ300" s="16" t="s">
        <v>1487</v>
      </c>
      <c r="VOR300" s="16" t="s">
        <v>1487</v>
      </c>
      <c r="VOS300" s="16" t="s">
        <v>1487</v>
      </c>
      <c r="VOT300" s="16" t="s">
        <v>1487</v>
      </c>
      <c r="VOU300" s="16" t="s">
        <v>1487</v>
      </c>
      <c r="VOV300" s="16" t="s">
        <v>1487</v>
      </c>
      <c r="VOW300" s="16" t="s">
        <v>1487</v>
      </c>
      <c r="VOX300" s="16" t="s">
        <v>1487</v>
      </c>
      <c r="VOY300" s="16" t="s">
        <v>1487</v>
      </c>
      <c r="VOZ300" s="16" t="s">
        <v>1487</v>
      </c>
      <c r="VPA300" s="16" t="s">
        <v>1487</v>
      </c>
      <c r="VPB300" s="16" t="s">
        <v>1487</v>
      </c>
      <c r="VPC300" s="16" t="s">
        <v>1487</v>
      </c>
      <c r="VPD300" s="16" t="s">
        <v>1487</v>
      </c>
      <c r="VPE300" s="16" t="s">
        <v>1487</v>
      </c>
      <c r="VPF300" s="16" t="s">
        <v>1487</v>
      </c>
      <c r="VPG300" s="16" t="s">
        <v>1487</v>
      </c>
      <c r="VPH300" s="16" t="s">
        <v>1487</v>
      </c>
      <c r="VPI300" s="16" t="s">
        <v>1487</v>
      </c>
      <c r="VPJ300" s="16" t="s">
        <v>1487</v>
      </c>
      <c r="VPK300" s="16" t="s">
        <v>1487</v>
      </c>
      <c r="VPL300" s="16" t="s">
        <v>1487</v>
      </c>
      <c r="VPM300" s="16" t="s">
        <v>1487</v>
      </c>
      <c r="VPN300" s="16" t="s">
        <v>1487</v>
      </c>
      <c r="VPO300" s="16" t="s">
        <v>1487</v>
      </c>
      <c r="VPP300" s="16" t="s">
        <v>1487</v>
      </c>
      <c r="VPQ300" s="16" t="s">
        <v>1487</v>
      </c>
      <c r="VPR300" s="16" t="s">
        <v>1487</v>
      </c>
      <c r="VPS300" s="16" t="s">
        <v>1487</v>
      </c>
      <c r="VPT300" s="16" t="s">
        <v>1487</v>
      </c>
      <c r="VPU300" s="16" t="s">
        <v>1487</v>
      </c>
      <c r="VPV300" s="16" t="s">
        <v>1487</v>
      </c>
      <c r="VPW300" s="16" t="s">
        <v>1487</v>
      </c>
      <c r="VPX300" s="16" t="s">
        <v>1487</v>
      </c>
      <c r="VPY300" s="16" t="s">
        <v>1487</v>
      </c>
      <c r="VPZ300" s="16" t="s">
        <v>1487</v>
      </c>
      <c r="VQA300" s="16" t="s">
        <v>1487</v>
      </c>
      <c r="VQB300" s="16" t="s">
        <v>1487</v>
      </c>
      <c r="VQC300" s="16" t="s">
        <v>1487</v>
      </c>
      <c r="VQD300" s="16" t="s">
        <v>1487</v>
      </c>
      <c r="VQE300" s="16" t="s">
        <v>1487</v>
      </c>
      <c r="VQF300" s="16" t="s">
        <v>1487</v>
      </c>
      <c r="VQG300" s="16" t="s">
        <v>1487</v>
      </c>
      <c r="VQH300" s="16" t="s">
        <v>1487</v>
      </c>
      <c r="VQI300" s="16" t="s">
        <v>1487</v>
      </c>
      <c r="VQJ300" s="16" t="s">
        <v>1487</v>
      </c>
      <c r="VQK300" s="16" t="s">
        <v>1487</v>
      </c>
      <c r="VQL300" s="16" t="s">
        <v>1487</v>
      </c>
      <c r="VQM300" s="16" t="s">
        <v>1487</v>
      </c>
      <c r="VQN300" s="16" t="s">
        <v>1487</v>
      </c>
      <c r="VQO300" s="16" t="s">
        <v>1487</v>
      </c>
      <c r="VQP300" s="16" t="s">
        <v>1487</v>
      </c>
      <c r="VQQ300" s="16" t="s">
        <v>1487</v>
      </c>
      <c r="VQR300" s="16" t="s">
        <v>1487</v>
      </c>
      <c r="VQS300" s="16" t="s">
        <v>1487</v>
      </c>
      <c r="VQT300" s="16" t="s">
        <v>1487</v>
      </c>
      <c r="VQU300" s="16" t="s">
        <v>1487</v>
      </c>
      <c r="VQV300" s="16" t="s">
        <v>1487</v>
      </c>
      <c r="VQW300" s="16" t="s">
        <v>1487</v>
      </c>
      <c r="VQX300" s="16" t="s">
        <v>1487</v>
      </c>
      <c r="VQY300" s="16" t="s">
        <v>1487</v>
      </c>
      <c r="VQZ300" s="16" t="s">
        <v>1487</v>
      </c>
      <c r="VRA300" s="16" t="s">
        <v>1487</v>
      </c>
      <c r="VRB300" s="16" t="s">
        <v>1487</v>
      </c>
      <c r="VRC300" s="16" t="s">
        <v>1487</v>
      </c>
      <c r="VRD300" s="16" t="s">
        <v>1487</v>
      </c>
      <c r="VRE300" s="16" t="s">
        <v>1487</v>
      </c>
      <c r="VRF300" s="16" t="s">
        <v>1487</v>
      </c>
      <c r="VRG300" s="16" t="s">
        <v>1487</v>
      </c>
      <c r="VRH300" s="16" t="s">
        <v>1487</v>
      </c>
      <c r="VRI300" s="16" t="s">
        <v>1487</v>
      </c>
      <c r="VRJ300" s="16" t="s">
        <v>1487</v>
      </c>
      <c r="VRK300" s="16" t="s">
        <v>1487</v>
      </c>
      <c r="VRL300" s="16" t="s">
        <v>1487</v>
      </c>
      <c r="VRM300" s="16" t="s">
        <v>1487</v>
      </c>
      <c r="VRN300" s="16" t="s">
        <v>1487</v>
      </c>
      <c r="VRO300" s="16" t="s">
        <v>1487</v>
      </c>
      <c r="VRP300" s="16" t="s">
        <v>1487</v>
      </c>
      <c r="VRQ300" s="16" t="s">
        <v>1487</v>
      </c>
      <c r="VRR300" s="16" t="s">
        <v>1487</v>
      </c>
      <c r="VRS300" s="16" t="s">
        <v>1487</v>
      </c>
      <c r="VRT300" s="16" t="s">
        <v>1487</v>
      </c>
      <c r="VRU300" s="16" t="s">
        <v>1487</v>
      </c>
      <c r="VRV300" s="16" t="s">
        <v>1487</v>
      </c>
      <c r="VRW300" s="16" t="s">
        <v>1487</v>
      </c>
      <c r="VRX300" s="16" t="s">
        <v>1487</v>
      </c>
      <c r="VRY300" s="16" t="s">
        <v>1487</v>
      </c>
      <c r="VRZ300" s="16" t="s">
        <v>1487</v>
      </c>
      <c r="VSA300" s="16" t="s">
        <v>1487</v>
      </c>
      <c r="VSB300" s="16" t="s">
        <v>1487</v>
      </c>
      <c r="VSC300" s="16" t="s">
        <v>1487</v>
      </c>
      <c r="VSD300" s="16" t="s">
        <v>1487</v>
      </c>
      <c r="VSE300" s="16" t="s">
        <v>1487</v>
      </c>
      <c r="VSF300" s="16" t="s">
        <v>1487</v>
      </c>
      <c r="VSG300" s="16" t="s">
        <v>1487</v>
      </c>
      <c r="VSH300" s="16" t="s">
        <v>1487</v>
      </c>
      <c r="VSI300" s="16" t="s">
        <v>1487</v>
      </c>
      <c r="VSJ300" s="16" t="s">
        <v>1487</v>
      </c>
      <c r="VSK300" s="16" t="s">
        <v>1487</v>
      </c>
      <c r="VSL300" s="16" t="s">
        <v>1487</v>
      </c>
      <c r="VSM300" s="16" t="s">
        <v>1487</v>
      </c>
      <c r="VSN300" s="16" t="s">
        <v>1487</v>
      </c>
      <c r="VSO300" s="16" t="s">
        <v>1487</v>
      </c>
      <c r="VSP300" s="16" t="s">
        <v>1487</v>
      </c>
      <c r="VSQ300" s="16" t="s">
        <v>1487</v>
      </c>
      <c r="VSR300" s="16" t="s">
        <v>1487</v>
      </c>
      <c r="VSS300" s="16" t="s">
        <v>1487</v>
      </c>
      <c r="VST300" s="16" t="s">
        <v>1487</v>
      </c>
      <c r="VSU300" s="16" t="s">
        <v>1487</v>
      </c>
      <c r="VSV300" s="16" t="s">
        <v>1487</v>
      </c>
      <c r="VSW300" s="16" t="s">
        <v>1487</v>
      </c>
      <c r="VSX300" s="16" t="s">
        <v>1487</v>
      </c>
      <c r="VSY300" s="16" t="s">
        <v>1487</v>
      </c>
      <c r="VSZ300" s="16" t="s">
        <v>1487</v>
      </c>
      <c r="VTA300" s="16" t="s">
        <v>1487</v>
      </c>
      <c r="VTB300" s="16" t="s">
        <v>1487</v>
      </c>
      <c r="VTC300" s="16" t="s">
        <v>1487</v>
      </c>
      <c r="VTD300" s="16" t="s">
        <v>1487</v>
      </c>
      <c r="VTE300" s="16" t="s">
        <v>1487</v>
      </c>
      <c r="VTF300" s="16" t="s">
        <v>1487</v>
      </c>
      <c r="VTG300" s="16" t="s">
        <v>1487</v>
      </c>
      <c r="VTH300" s="16" t="s">
        <v>1487</v>
      </c>
      <c r="VTI300" s="16" t="s">
        <v>1487</v>
      </c>
      <c r="VTJ300" s="16" t="s">
        <v>1487</v>
      </c>
      <c r="VTK300" s="16" t="s">
        <v>1487</v>
      </c>
      <c r="VTL300" s="16" t="s">
        <v>1487</v>
      </c>
      <c r="VTM300" s="16" t="s">
        <v>1487</v>
      </c>
      <c r="VTN300" s="16" t="s">
        <v>1487</v>
      </c>
      <c r="VTO300" s="16" t="s">
        <v>1487</v>
      </c>
      <c r="VTP300" s="16" t="s">
        <v>1487</v>
      </c>
      <c r="VTQ300" s="16" t="s">
        <v>1487</v>
      </c>
      <c r="VTR300" s="16" t="s">
        <v>1487</v>
      </c>
      <c r="VTS300" s="16" t="s">
        <v>1487</v>
      </c>
      <c r="VTT300" s="16" t="s">
        <v>1487</v>
      </c>
      <c r="VTU300" s="16" t="s">
        <v>1487</v>
      </c>
      <c r="VTV300" s="16" t="s">
        <v>1487</v>
      </c>
      <c r="VTW300" s="16" t="s">
        <v>1487</v>
      </c>
      <c r="VTX300" s="16" t="s">
        <v>1487</v>
      </c>
      <c r="VTY300" s="16" t="s">
        <v>1487</v>
      </c>
      <c r="VTZ300" s="16" t="s">
        <v>1487</v>
      </c>
      <c r="VUA300" s="16" t="s">
        <v>1487</v>
      </c>
      <c r="VUB300" s="16" t="s">
        <v>1487</v>
      </c>
      <c r="VUC300" s="16" t="s">
        <v>1487</v>
      </c>
      <c r="VUD300" s="16" t="s">
        <v>1487</v>
      </c>
      <c r="VUE300" s="16" t="s">
        <v>1487</v>
      </c>
      <c r="VUF300" s="16" t="s">
        <v>1487</v>
      </c>
      <c r="VUG300" s="16" t="s">
        <v>1487</v>
      </c>
      <c r="VUH300" s="16" t="s">
        <v>1487</v>
      </c>
      <c r="VUI300" s="16" t="s">
        <v>1487</v>
      </c>
      <c r="VUJ300" s="16" t="s">
        <v>1487</v>
      </c>
      <c r="VUK300" s="16" t="s">
        <v>1487</v>
      </c>
      <c r="VUL300" s="16" t="s">
        <v>1487</v>
      </c>
      <c r="VUM300" s="16" t="s">
        <v>1487</v>
      </c>
      <c r="VUN300" s="16" t="s">
        <v>1487</v>
      </c>
      <c r="VUO300" s="16" t="s">
        <v>1487</v>
      </c>
      <c r="VUP300" s="16" t="s">
        <v>1487</v>
      </c>
      <c r="VUQ300" s="16" t="s">
        <v>1487</v>
      </c>
      <c r="VUR300" s="16" t="s">
        <v>1487</v>
      </c>
      <c r="VUS300" s="16" t="s">
        <v>1487</v>
      </c>
      <c r="VUT300" s="16" t="s">
        <v>1487</v>
      </c>
      <c r="VUU300" s="16" t="s">
        <v>1487</v>
      </c>
      <c r="VUV300" s="16" t="s">
        <v>1487</v>
      </c>
      <c r="VUW300" s="16" t="s">
        <v>1487</v>
      </c>
      <c r="VUX300" s="16" t="s">
        <v>1487</v>
      </c>
      <c r="VUY300" s="16" t="s">
        <v>1487</v>
      </c>
      <c r="VUZ300" s="16" t="s">
        <v>1487</v>
      </c>
      <c r="VVA300" s="16" t="s">
        <v>1487</v>
      </c>
      <c r="VVB300" s="16" t="s">
        <v>1487</v>
      </c>
      <c r="VVC300" s="16" t="s">
        <v>1487</v>
      </c>
      <c r="VVD300" s="16" t="s">
        <v>1487</v>
      </c>
      <c r="VVE300" s="16" t="s">
        <v>1487</v>
      </c>
      <c r="VVF300" s="16" t="s">
        <v>1487</v>
      </c>
      <c r="VVG300" s="16" t="s">
        <v>1487</v>
      </c>
      <c r="VVH300" s="16" t="s">
        <v>1487</v>
      </c>
      <c r="VVI300" s="16" t="s">
        <v>1487</v>
      </c>
      <c r="VVJ300" s="16" t="s">
        <v>1487</v>
      </c>
      <c r="VVK300" s="16" t="s">
        <v>1487</v>
      </c>
      <c r="VVL300" s="16" t="s">
        <v>1487</v>
      </c>
      <c r="VVM300" s="16" t="s">
        <v>1487</v>
      </c>
      <c r="VVN300" s="16" t="s">
        <v>1487</v>
      </c>
      <c r="VVO300" s="16" t="s">
        <v>1487</v>
      </c>
      <c r="VVP300" s="16" t="s">
        <v>1487</v>
      </c>
      <c r="VVQ300" s="16" t="s">
        <v>1487</v>
      </c>
      <c r="VVR300" s="16" t="s">
        <v>1487</v>
      </c>
      <c r="VVS300" s="16" t="s">
        <v>1487</v>
      </c>
      <c r="VVT300" s="16" t="s">
        <v>1487</v>
      </c>
      <c r="VVU300" s="16" t="s">
        <v>1487</v>
      </c>
      <c r="VVV300" s="16" t="s">
        <v>1487</v>
      </c>
      <c r="VVW300" s="16" t="s">
        <v>1487</v>
      </c>
      <c r="VVX300" s="16" t="s">
        <v>1487</v>
      </c>
      <c r="VVY300" s="16" t="s">
        <v>1487</v>
      </c>
      <c r="VVZ300" s="16" t="s">
        <v>1487</v>
      </c>
      <c r="VWA300" s="16" t="s">
        <v>1487</v>
      </c>
      <c r="VWB300" s="16" t="s">
        <v>1487</v>
      </c>
      <c r="VWC300" s="16" t="s">
        <v>1487</v>
      </c>
      <c r="VWD300" s="16" t="s">
        <v>1487</v>
      </c>
      <c r="VWE300" s="16" t="s">
        <v>1487</v>
      </c>
      <c r="VWF300" s="16" t="s">
        <v>1487</v>
      </c>
      <c r="VWG300" s="16" t="s">
        <v>1487</v>
      </c>
      <c r="VWH300" s="16" t="s">
        <v>1487</v>
      </c>
      <c r="VWI300" s="16" t="s">
        <v>1487</v>
      </c>
      <c r="VWJ300" s="16" t="s">
        <v>1487</v>
      </c>
      <c r="VWK300" s="16" t="s">
        <v>1487</v>
      </c>
      <c r="VWL300" s="16" t="s">
        <v>1487</v>
      </c>
      <c r="VWM300" s="16" t="s">
        <v>1487</v>
      </c>
      <c r="VWN300" s="16" t="s">
        <v>1487</v>
      </c>
      <c r="VWO300" s="16" t="s">
        <v>1487</v>
      </c>
      <c r="VWP300" s="16" t="s">
        <v>1487</v>
      </c>
      <c r="VWQ300" s="16" t="s">
        <v>1487</v>
      </c>
      <c r="VWR300" s="16" t="s">
        <v>1487</v>
      </c>
      <c r="VWS300" s="16" t="s">
        <v>1487</v>
      </c>
      <c r="VWT300" s="16" t="s">
        <v>1487</v>
      </c>
      <c r="VWU300" s="16" t="s">
        <v>1487</v>
      </c>
      <c r="VWV300" s="16" t="s">
        <v>1487</v>
      </c>
      <c r="VWW300" s="16" t="s">
        <v>1487</v>
      </c>
      <c r="VWX300" s="16" t="s">
        <v>1487</v>
      </c>
      <c r="VWY300" s="16" t="s">
        <v>1487</v>
      </c>
      <c r="VWZ300" s="16" t="s">
        <v>1487</v>
      </c>
      <c r="VXA300" s="16" t="s">
        <v>1487</v>
      </c>
      <c r="VXB300" s="16" t="s">
        <v>1487</v>
      </c>
      <c r="VXC300" s="16" t="s">
        <v>1487</v>
      </c>
      <c r="VXD300" s="16" t="s">
        <v>1487</v>
      </c>
      <c r="VXE300" s="16" t="s">
        <v>1487</v>
      </c>
      <c r="VXF300" s="16" t="s">
        <v>1487</v>
      </c>
      <c r="VXG300" s="16" t="s">
        <v>1487</v>
      </c>
      <c r="VXH300" s="16" t="s">
        <v>1487</v>
      </c>
      <c r="VXI300" s="16" t="s">
        <v>1487</v>
      </c>
      <c r="VXJ300" s="16" t="s">
        <v>1487</v>
      </c>
      <c r="VXK300" s="16" t="s">
        <v>1487</v>
      </c>
      <c r="VXL300" s="16" t="s">
        <v>1487</v>
      </c>
      <c r="VXM300" s="16" t="s">
        <v>1487</v>
      </c>
      <c r="VXN300" s="16" t="s">
        <v>1487</v>
      </c>
      <c r="VXO300" s="16" t="s">
        <v>1487</v>
      </c>
      <c r="VXP300" s="16" t="s">
        <v>1487</v>
      </c>
      <c r="VXQ300" s="16" t="s">
        <v>1487</v>
      </c>
      <c r="VXR300" s="16" t="s">
        <v>1487</v>
      </c>
      <c r="VXS300" s="16" t="s">
        <v>1487</v>
      </c>
      <c r="VXT300" s="16" t="s">
        <v>1487</v>
      </c>
      <c r="VXU300" s="16" t="s">
        <v>1487</v>
      </c>
      <c r="VXV300" s="16" t="s">
        <v>1487</v>
      </c>
      <c r="VXW300" s="16" t="s">
        <v>1487</v>
      </c>
      <c r="VXX300" s="16" t="s">
        <v>1487</v>
      </c>
      <c r="VXY300" s="16" t="s">
        <v>1487</v>
      </c>
      <c r="VXZ300" s="16" t="s">
        <v>1487</v>
      </c>
      <c r="VYA300" s="16" t="s">
        <v>1487</v>
      </c>
      <c r="VYB300" s="16" t="s">
        <v>1487</v>
      </c>
      <c r="VYC300" s="16" t="s">
        <v>1487</v>
      </c>
      <c r="VYD300" s="16" t="s">
        <v>1487</v>
      </c>
      <c r="VYE300" s="16" t="s">
        <v>1487</v>
      </c>
      <c r="VYF300" s="16" t="s">
        <v>1487</v>
      </c>
      <c r="VYG300" s="16" t="s">
        <v>1487</v>
      </c>
      <c r="VYH300" s="16" t="s">
        <v>1487</v>
      </c>
      <c r="VYI300" s="16" t="s">
        <v>1487</v>
      </c>
      <c r="VYJ300" s="16" t="s">
        <v>1487</v>
      </c>
      <c r="VYK300" s="16" t="s">
        <v>1487</v>
      </c>
      <c r="VYL300" s="16" t="s">
        <v>1487</v>
      </c>
      <c r="VYM300" s="16" t="s">
        <v>1487</v>
      </c>
      <c r="VYN300" s="16" t="s">
        <v>1487</v>
      </c>
      <c r="VYO300" s="16" t="s">
        <v>1487</v>
      </c>
      <c r="VYP300" s="16" t="s">
        <v>1487</v>
      </c>
      <c r="VYQ300" s="16" t="s">
        <v>1487</v>
      </c>
      <c r="VYR300" s="16" t="s">
        <v>1487</v>
      </c>
      <c r="VYS300" s="16" t="s">
        <v>1487</v>
      </c>
      <c r="VYT300" s="16" t="s">
        <v>1487</v>
      </c>
      <c r="VYU300" s="16" t="s">
        <v>1487</v>
      </c>
      <c r="VYV300" s="16" t="s">
        <v>1487</v>
      </c>
      <c r="VYW300" s="16" t="s">
        <v>1487</v>
      </c>
      <c r="VYX300" s="16" t="s">
        <v>1487</v>
      </c>
      <c r="VYY300" s="16" t="s">
        <v>1487</v>
      </c>
      <c r="VYZ300" s="16" t="s">
        <v>1487</v>
      </c>
      <c r="VZA300" s="16" t="s">
        <v>1487</v>
      </c>
      <c r="VZB300" s="16" t="s">
        <v>1487</v>
      </c>
      <c r="VZC300" s="16" t="s">
        <v>1487</v>
      </c>
      <c r="VZD300" s="16" t="s">
        <v>1487</v>
      </c>
      <c r="VZE300" s="16" t="s">
        <v>1487</v>
      </c>
      <c r="VZF300" s="16" t="s">
        <v>1487</v>
      </c>
      <c r="VZG300" s="16" t="s">
        <v>1487</v>
      </c>
      <c r="VZH300" s="16" t="s">
        <v>1487</v>
      </c>
      <c r="VZI300" s="16" t="s">
        <v>1487</v>
      </c>
      <c r="VZJ300" s="16" t="s">
        <v>1487</v>
      </c>
      <c r="VZK300" s="16" t="s">
        <v>1487</v>
      </c>
      <c r="VZL300" s="16" t="s">
        <v>1487</v>
      </c>
      <c r="VZM300" s="16" t="s">
        <v>1487</v>
      </c>
      <c r="VZN300" s="16" t="s">
        <v>1487</v>
      </c>
      <c r="VZO300" s="16" t="s">
        <v>1487</v>
      </c>
      <c r="VZP300" s="16" t="s">
        <v>1487</v>
      </c>
      <c r="VZQ300" s="16" t="s">
        <v>1487</v>
      </c>
      <c r="VZR300" s="16" t="s">
        <v>1487</v>
      </c>
      <c r="VZS300" s="16" t="s">
        <v>1487</v>
      </c>
      <c r="VZT300" s="16" t="s">
        <v>1487</v>
      </c>
      <c r="VZU300" s="16" t="s">
        <v>1487</v>
      </c>
      <c r="VZV300" s="16" t="s">
        <v>1487</v>
      </c>
      <c r="VZW300" s="16" t="s">
        <v>1487</v>
      </c>
      <c r="VZX300" s="16" t="s">
        <v>1487</v>
      </c>
      <c r="VZY300" s="16" t="s">
        <v>1487</v>
      </c>
      <c r="VZZ300" s="16" t="s">
        <v>1487</v>
      </c>
      <c r="WAA300" s="16" t="s">
        <v>1487</v>
      </c>
      <c r="WAB300" s="16" t="s">
        <v>1487</v>
      </c>
      <c r="WAC300" s="16" t="s">
        <v>1487</v>
      </c>
      <c r="WAD300" s="16" t="s">
        <v>1487</v>
      </c>
      <c r="WAE300" s="16" t="s">
        <v>1487</v>
      </c>
      <c r="WAF300" s="16" t="s">
        <v>1487</v>
      </c>
      <c r="WAG300" s="16" t="s">
        <v>1487</v>
      </c>
      <c r="WAH300" s="16" t="s">
        <v>1487</v>
      </c>
      <c r="WAI300" s="16" t="s">
        <v>1487</v>
      </c>
      <c r="WAJ300" s="16" t="s">
        <v>1487</v>
      </c>
      <c r="WAK300" s="16" t="s">
        <v>1487</v>
      </c>
      <c r="WAL300" s="16" t="s">
        <v>1487</v>
      </c>
      <c r="WAM300" s="16" t="s">
        <v>1487</v>
      </c>
      <c r="WAN300" s="16" t="s">
        <v>1487</v>
      </c>
      <c r="WAO300" s="16" t="s">
        <v>1487</v>
      </c>
      <c r="WAP300" s="16" t="s">
        <v>1487</v>
      </c>
      <c r="WAQ300" s="16" t="s">
        <v>1487</v>
      </c>
      <c r="WAR300" s="16" t="s">
        <v>1487</v>
      </c>
      <c r="WAS300" s="16" t="s">
        <v>1487</v>
      </c>
      <c r="WAT300" s="16" t="s">
        <v>1487</v>
      </c>
      <c r="WAU300" s="16" t="s">
        <v>1487</v>
      </c>
      <c r="WAV300" s="16" t="s">
        <v>1487</v>
      </c>
      <c r="WAW300" s="16" t="s">
        <v>1487</v>
      </c>
      <c r="WAX300" s="16" t="s">
        <v>1487</v>
      </c>
      <c r="WAY300" s="16" t="s">
        <v>1487</v>
      </c>
      <c r="WAZ300" s="16" t="s">
        <v>1487</v>
      </c>
      <c r="WBA300" s="16" t="s">
        <v>1487</v>
      </c>
      <c r="WBB300" s="16" t="s">
        <v>1487</v>
      </c>
      <c r="WBC300" s="16" t="s">
        <v>1487</v>
      </c>
      <c r="WBD300" s="16" t="s">
        <v>1487</v>
      </c>
      <c r="WBE300" s="16" t="s">
        <v>1487</v>
      </c>
      <c r="WBF300" s="16" t="s">
        <v>1487</v>
      </c>
      <c r="WBG300" s="16" t="s">
        <v>1487</v>
      </c>
      <c r="WBH300" s="16" t="s">
        <v>1487</v>
      </c>
      <c r="WBI300" s="16" t="s">
        <v>1487</v>
      </c>
      <c r="WBJ300" s="16" t="s">
        <v>1487</v>
      </c>
      <c r="WBK300" s="16" t="s">
        <v>1487</v>
      </c>
      <c r="WBL300" s="16" t="s">
        <v>1487</v>
      </c>
      <c r="WBM300" s="16" t="s">
        <v>1487</v>
      </c>
      <c r="WBN300" s="16" t="s">
        <v>1487</v>
      </c>
      <c r="WBO300" s="16" t="s">
        <v>1487</v>
      </c>
      <c r="WBP300" s="16" t="s">
        <v>1487</v>
      </c>
      <c r="WBQ300" s="16" t="s">
        <v>1487</v>
      </c>
      <c r="WBR300" s="16" t="s">
        <v>1487</v>
      </c>
      <c r="WBS300" s="16" t="s">
        <v>1487</v>
      </c>
      <c r="WBT300" s="16" t="s">
        <v>1487</v>
      </c>
      <c r="WBU300" s="16" t="s">
        <v>1487</v>
      </c>
      <c r="WBV300" s="16" t="s">
        <v>1487</v>
      </c>
      <c r="WBW300" s="16" t="s">
        <v>1487</v>
      </c>
      <c r="WBX300" s="16" t="s">
        <v>1487</v>
      </c>
      <c r="WBY300" s="16" t="s">
        <v>1487</v>
      </c>
      <c r="WBZ300" s="16" t="s">
        <v>1487</v>
      </c>
      <c r="WCA300" s="16" t="s">
        <v>1487</v>
      </c>
      <c r="WCB300" s="16" t="s">
        <v>1487</v>
      </c>
      <c r="WCC300" s="16" t="s">
        <v>1487</v>
      </c>
      <c r="WCD300" s="16" t="s">
        <v>1487</v>
      </c>
      <c r="WCE300" s="16" t="s">
        <v>1487</v>
      </c>
      <c r="WCF300" s="16" t="s">
        <v>1487</v>
      </c>
      <c r="WCG300" s="16" t="s">
        <v>1487</v>
      </c>
      <c r="WCH300" s="16" t="s">
        <v>1487</v>
      </c>
      <c r="WCI300" s="16" t="s">
        <v>1487</v>
      </c>
      <c r="WCJ300" s="16" t="s">
        <v>1487</v>
      </c>
      <c r="WCK300" s="16" t="s">
        <v>1487</v>
      </c>
      <c r="WCL300" s="16" t="s">
        <v>1487</v>
      </c>
      <c r="WCM300" s="16" t="s">
        <v>1487</v>
      </c>
      <c r="WCN300" s="16" t="s">
        <v>1487</v>
      </c>
      <c r="WCO300" s="16" t="s">
        <v>1487</v>
      </c>
      <c r="WCP300" s="16" t="s">
        <v>1487</v>
      </c>
      <c r="WCQ300" s="16" t="s">
        <v>1487</v>
      </c>
      <c r="WCR300" s="16" t="s">
        <v>1487</v>
      </c>
      <c r="WCS300" s="16" t="s">
        <v>1487</v>
      </c>
      <c r="WCT300" s="16" t="s">
        <v>1487</v>
      </c>
      <c r="WCU300" s="16" t="s">
        <v>1487</v>
      </c>
      <c r="WCV300" s="16" t="s">
        <v>1487</v>
      </c>
      <c r="WCW300" s="16" t="s">
        <v>1487</v>
      </c>
      <c r="WCX300" s="16" t="s">
        <v>1487</v>
      </c>
      <c r="WCY300" s="16" t="s">
        <v>1487</v>
      </c>
      <c r="WCZ300" s="16" t="s">
        <v>1487</v>
      </c>
      <c r="WDA300" s="16" t="s">
        <v>1487</v>
      </c>
      <c r="WDB300" s="16" t="s">
        <v>1487</v>
      </c>
      <c r="WDC300" s="16" t="s">
        <v>1487</v>
      </c>
      <c r="WDD300" s="16" t="s">
        <v>1487</v>
      </c>
      <c r="WDE300" s="16" t="s">
        <v>1487</v>
      </c>
      <c r="WDF300" s="16" t="s">
        <v>1487</v>
      </c>
      <c r="WDG300" s="16" t="s">
        <v>1487</v>
      </c>
      <c r="WDH300" s="16" t="s">
        <v>1487</v>
      </c>
      <c r="WDI300" s="16" t="s">
        <v>1487</v>
      </c>
      <c r="WDJ300" s="16" t="s">
        <v>1487</v>
      </c>
      <c r="WDK300" s="16" t="s">
        <v>1487</v>
      </c>
      <c r="WDL300" s="16" t="s">
        <v>1487</v>
      </c>
      <c r="WDM300" s="16" t="s">
        <v>1487</v>
      </c>
      <c r="WDN300" s="16" t="s">
        <v>1487</v>
      </c>
      <c r="WDO300" s="16" t="s">
        <v>1487</v>
      </c>
      <c r="WDP300" s="16" t="s">
        <v>1487</v>
      </c>
      <c r="WDQ300" s="16" t="s">
        <v>1487</v>
      </c>
      <c r="WDR300" s="16" t="s">
        <v>1487</v>
      </c>
      <c r="WDS300" s="16" t="s">
        <v>1487</v>
      </c>
      <c r="WDT300" s="16" t="s">
        <v>1487</v>
      </c>
      <c r="WDU300" s="16" t="s">
        <v>1487</v>
      </c>
      <c r="WDV300" s="16" t="s">
        <v>1487</v>
      </c>
      <c r="WDW300" s="16" t="s">
        <v>1487</v>
      </c>
      <c r="WDX300" s="16" t="s">
        <v>1487</v>
      </c>
      <c r="WDY300" s="16" t="s">
        <v>1487</v>
      </c>
      <c r="WDZ300" s="16" t="s">
        <v>1487</v>
      </c>
      <c r="WEA300" s="16" t="s">
        <v>1487</v>
      </c>
      <c r="WEB300" s="16" t="s">
        <v>1487</v>
      </c>
      <c r="WEC300" s="16" t="s">
        <v>1487</v>
      </c>
      <c r="WED300" s="16" t="s">
        <v>1487</v>
      </c>
      <c r="WEE300" s="16" t="s">
        <v>1487</v>
      </c>
      <c r="WEF300" s="16" t="s">
        <v>1487</v>
      </c>
      <c r="WEG300" s="16" t="s">
        <v>1487</v>
      </c>
      <c r="WEH300" s="16" t="s">
        <v>1487</v>
      </c>
      <c r="WEI300" s="16" t="s">
        <v>1487</v>
      </c>
      <c r="WEJ300" s="16" t="s">
        <v>1487</v>
      </c>
      <c r="WEK300" s="16" t="s">
        <v>1487</v>
      </c>
      <c r="WEL300" s="16" t="s">
        <v>1487</v>
      </c>
      <c r="WEM300" s="16" t="s">
        <v>1487</v>
      </c>
      <c r="WEN300" s="16" t="s">
        <v>1487</v>
      </c>
      <c r="WEO300" s="16" t="s">
        <v>1487</v>
      </c>
      <c r="WEP300" s="16" t="s">
        <v>1487</v>
      </c>
      <c r="WEQ300" s="16" t="s">
        <v>1487</v>
      </c>
      <c r="WER300" s="16" t="s">
        <v>1487</v>
      </c>
      <c r="WES300" s="16" t="s">
        <v>1487</v>
      </c>
      <c r="WET300" s="16" t="s">
        <v>1487</v>
      </c>
      <c r="WEU300" s="16" t="s">
        <v>1487</v>
      </c>
      <c r="WEV300" s="16" t="s">
        <v>1487</v>
      </c>
      <c r="WEW300" s="16" t="s">
        <v>1487</v>
      </c>
      <c r="WEX300" s="16" t="s">
        <v>1487</v>
      </c>
      <c r="WEY300" s="16" t="s">
        <v>1487</v>
      </c>
      <c r="WEZ300" s="16" t="s">
        <v>1487</v>
      </c>
      <c r="WFA300" s="16" t="s">
        <v>1487</v>
      </c>
      <c r="WFB300" s="16" t="s">
        <v>1487</v>
      </c>
      <c r="WFC300" s="16" t="s">
        <v>1487</v>
      </c>
      <c r="WFD300" s="16" t="s">
        <v>1487</v>
      </c>
      <c r="WFE300" s="16" t="s">
        <v>1487</v>
      </c>
      <c r="WFF300" s="16" t="s">
        <v>1487</v>
      </c>
      <c r="WFG300" s="16" t="s">
        <v>1487</v>
      </c>
      <c r="WFH300" s="16" t="s">
        <v>1487</v>
      </c>
      <c r="WFI300" s="16" t="s">
        <v>1487</v>
      </c>
      <c r="WFJ300" s="16" t="s">
        <v>1487</v>
      </c>
      <c r="WFK300" s="16" t="s">
        <v>1487</v>
      </c>
      <c r="WFL300" s="16" t="s">
        <v>1487</v>
      </c>
      <c r="WFM300" s="16" t="s">
        <v>1487</v>
      </c>
      <c r="WFN300" s="16" t="s">
        <v>1487</v>
      </c>
      <c r="WFO300" s="16" t="s">
        <v>1487</v>
      </c>
      <c r="WFP300" s="16" t="s">
        <v>1487</v>
      </c>
      <c r="WFQ300" s="16" t="s">
        <v>1487</v>
      </c>
      <c r="WFR300" s="16" t="s">
        <v>1487</v>
      </c>
      <c r="WFS300" s="16" t="s">
        <v>1487</v>
      </c>
      <c r="WFT300" s="16" t="s">
        <v>1487</v>
      </c>
      <c r="WFU300" s="16" t="s">
        <v>1487</v>
      </c>
      <c r="WFV300" s="16" t="s">
        <v>1487</v>
      </c>
      <c r="WFW300" s="16" t="s">
        <v>1487</v>
      </c>
      <c r="WFX300" s="16" t="s">
        <v>1487</v>
      </c>
      <c r="WFY300" s="16" t="s">
        <v>1487</v>
      </c>
      <c r="WFZ300" s="16" t="s">
        <v>1487</v>
      </c>
      <c r="WGA300" s="16" t="s">
        <v>1487</v>
      </c>
      <c r="WGB300" s="16" t="s">
        <v>1487</v>
      </c>
      <c r="WGC300" s="16" t="s">
        <v>1487</v>
      </c>
      <c r="WGD300" s="16" t="s">
        <v>1487</v>
      </c>
      <c r="WGE300" s="16" t="s">
        <v>1487</v>
      </c>
      <c r="WGF300" s="16" t="s">
        <v>1487</v>
      </c>
      <c r="WGG300" s="16" t="s">
        <v>1487</v>
      </c>
      <c r="WGH300" s="16" t="s">
        <v>1487</v>
      </c>
      <c r="WGI300" s="16" t="s">
        <v>1487</v>
      </c>
      <c r="WGJ300" s="16" t="s">
        <v>1487</v>
      </c>
      <c r="WGK300" s="16" t="s">
        <v>1487</v>
      </c>
      <c r="WGL300" s="16" t="s">
        <v>1487</v>
      </c>
      <c r="WGM300" s="16" t="s">
        <v>1487</v>
      </c>
      <c r="WGN300" s="16" t="s">
        <v>1487</v>
      </c>
      <c r="WGO300" s="16" t="s">
        <v>1487</v>
      </c>
      <c r="WGP300" s="16" t="s">
        <v>1487</v>
      </c>
      <c r="WGQ300" s="16" t="s">
        <v>1487</v>
      </c>
      <c r="WGR300" s="16" t="s">
        <v>1487</v>
      </c>
      <c r="WGS300" s="16" t="s">
        <v>1487</v>
      </c>
      <c r="WGT300" s="16" t="s">
        <v>1487</v>
      </c>
      <c r="WGU300" s="16" t="s">
        <v>1487</v>
      </c>
      <c r="WGV300" s="16" t="s">
        <v>1487</v>
      </c>
      <c r="WGW300" s="16" t="s">
        <v>1487</v>
      </c>
      <c r="WGX300" s="16" t="s">
        <v>1487</v>
      </c>
      <c r="WGY300" s="16" t="s">
        <v>1487</v>
      </c>
      <c r="WGZ300" s="16" t="s">
        <v>1487</v>
      </c>
      <c r="WHA300" s="16" t="s">
        <v>1487</v>
      </c>
      <c r="WHB300" s="16" t="s">
        <v>1487</v>
      </c>
      <c r="WHC300" s="16" t="s">
        <v>1487</v>
      </c>
      <c r="WHD300" s="16" t="s">
        <v>1487</v>
      </c>
      <c r="WHE300" s="16" t="s">
        <v>1487</v>
      </c>
      <c r="WHF300" s="16" t="s">
        <v>1487</v>
      </c>
      <c r="WHG300" s="16" t="s">
        <v>1487</v>
      </c>
      <c r="WHH300" s="16" t="s">
        <v>1487</v>
      </c>
      <c r="WHI300" s="16" t="s">
        <v>1487</v>
      </c>
      <c r="WHJ300" s="16" t="s">
        <v>1487</v>
      </c>
      <c r="WHK300" s="16" t="s">
        <v>1487</v>
      </c>
      <c r="WHL300" s="16" t="s">
        <v>1487</v>
      </c>
      <c r="WHM300" s="16" t="s">
        <v>1487</v>
      </c>
      <c r="WHN300" s="16" t="s">
        <v>1487</v>
      </c>
      <c r="WHO300" s="16" t="s">
        <v>1487</v>
      </c>
      <c r="WHP300" s="16" t="s">
        <v>1487</v>
      </c>
      <c r="WHQ300" s="16" t="s">
        <v>1487</v>
      </c>
      <c r="WHR300" s="16" t="s">
        <v>1487</v>
      </c>
      <c r="WHS300" s="16" t="s">
        <v>1487</v>
      </c>
      <c r="WHT300" s="16" t="s">
        <v>1487</v>
      </c>
      <c r="WHU300" s="16" t="s">
        <v>1487</v>
      </c>
      <c r="WHV300" s="16" t="s">
        <v>1487</v>
      </c>
      <c r="WHW300" s="16" t="s">
        <v>1487</v>
      </c>
      <c r="WHX300" s="16" t="s">
        <v>1487</v>
      </c>
      <c r="WHY300" s="16" t="s">
        <v>1487</v>
      </c>
      <c r="WHZ300" s="16" t="s">
        <v>1487</v>
      </c>
      <c r="WIA300" s="16" t="s">
        <v>1487</v>
      </c>
      <c r="WIB300" s="16" t="s">
        <v>1487</v>
      </c>
      <c r="WIC300" s="16" t="s">
        <v>1487</v>
      </c>
      <c r="WID300" s="16" t="s">
        <v>1487</v>
      </c>
      <c r="WIE300" s="16" t="s">
        <v>1487</v>
      </c>
      <c r="WIF300" s="16" t="s">
        <v>1487</v>
      </c>
      <c r="WIG300" s="16" t="s">
        <v>1487</v>
      </c>
      <c r="WIH300" s="16" t="s">
        <v>1487</v>
      </c>
      <c r="WII300" s="16" t="s">
        <v>1487</v>
      </c>
      <c r="WIJ300" s="16" t="s">
        <v>1487</v>
      </c>
      <c r="WIK300" s="16" t="s">
        <v>1487</v>
      </c>
      <c r="WIL300" s="16" t="s">
        <v>1487</v>
      </c>
      <c r="WIM300" s="16" t="s">
        <v>1487</v>
      </c>
      <c r="WIN300" s="16" t="s">
        <v>1487</v>
      </c>
      <c r="WIO300" s="16" t="s">
        <v>1487</v>
      </c>
      <c r="WIP300" s="16" t="s">
        <v>1487</v>
      </c>
      <c r="WIQ300" s="16" t="s">
        <v>1487</v>
      </c>
      <c r="WIR300" s="16" t="s">
        <v>1487</v>
      </c>
      <c r="WIS300" s="16" t="s">
        <v>1487</v>
      </c>
      <c r="WIT300" s="16" t="s">
        <v>1487</v>
      </c>
      <c r="WIU300" s="16" t="s">
        <v>1487</v>
      </c>
      <c r="WIV300" s="16" t="s">
        <v>1487</v>
      </c>
      <c r="WIW300" s="16" t="s">
        <v>1487</v>
      </c>
      <c r="WIX300" s="16" t="s">
        <v>1487</v>
      </c>
      <c r="WIY300" s="16" t="s">
        <v>1487</v>
      </c>
      <c r="WIZ300" s="16" t="s">
        <v>1487</v>
      </c>
      <c r="WJA300" s="16" t="s">
        <v>1487</v>
      </c>
      <c r="WJB300" s="16" t="s">
        <v>1487</v>
      </c>
      <c r="WJC300" s="16" t="s">
        <v>1487</v>
      </c>
      <c r="WJD300" s="16" t="s">
        <v>1487</v>
      </c>
      <c r="WJE300" s="16" t="s">
        <v>1487</v>
      </c>
      <c r="WJF300" s="16" t="s">
        <v>1487</v>
      </c>
      <c r="WJG300" s="16" t="s">
        <v>1487</v>
      </c>
      <c r="WJH300" s="16" t="s">
        <v>1487</v>
      </c>
      <c r="WJI300" s="16" t="s">
        <v>1487</v>
      </c>
      <c r="WJJ300" s="16" t="s">
        <v>1487</v>
      </c>
      <c r="WJK300" s="16" t="s">
        <v>1487</v>
      </c>
      <c r="WJL300" s="16" t="s">
        <v>1487</v>
      </c>
      <c r="WJM300" s="16" t="s">
        <v>1487</v>
      </c>
      <c r="WJN300" s="16" t="s">
        <v>1487</v>
      </c>
      <c r="WJO300" s="16" t="s">
        <v>1487</v>
      </c>
      <c r="WJP300" s="16" t="s">
        <v>1487</v>
      </c>
      <c r="WJQ300" s="16" t="s">
        <v>1487</v>
      </c>
      <c r="WJR300" s="16" t="s">
        <v>1487</v>
      </c>
      <c r="WJS300" s="16" t="s">
        <v>1487</v>
      </c>
      <c r="WJT300" s="16" t="s">
        <v>1487</v>
      </c>
      <c r="WJU300" s="16" t="s">
        <v>1487</v>
      </c>
      <c r="WJV300" s="16" t="s">
        <v>1487</v>
      </c>
      <c r="WJW300" s="16" t="s">
        <v>1487</v>
      </c>
      <c r="WJX300" s="16" t="s">
        <v>1487</v>
      </c>
      <c r="WJY300" s="16" t="s">
        <v>1487</v>
      </c>
      <c r="WJZ300" s="16" t="s">
        <v>1487</v>
      </c>
      <c r="WKA300" s="16" t="s">
        <v>1487</v>
      </c>
      <c r="WKB300" s="16" t="s">
        <v>1487</v>
      </c>
      <c r="WKC300" s="16" t="s">
        <v>1487</v>
      </c>
      <c r="WKD300" s="16" t="s">
        <v>1487</v>
      </c>
      <c r="WKE300" s="16" t="s">
        <v>1487</v>
      </c>
      <c r="WKF300" s="16" t="s">
        <v>1487</v>
      </c>
      <c r="WKG300" s="16" t="s">
        <v>1487</v>
      </c>
      <c r="WKH300" s="16" t="s">
        <v>1487</v>
      </c>
      <c r="WKI300" s="16" t="s">
        <v>1487</v>
      </c>
      <c r="WKJ300" s="16" t="s">
        <v>1487</v>
      </c>
      <c r="WKK300" s="16" t="s">
        <v>1487</v>
      </c>
      <c r="WKL300" s="16" t="s">
        <v>1487</v>
      </c>
      <c r="WKM300" s="16" t="s">
        <v>1487</v>
      </c>
      <c r="WKN300" s="16" t="s">
        <v>1487</v>
      </c>
      <c r="WKO300" s="16" t="s">
        <v>1487</v>
      </c>
      <c r="WKP300" s="16" t="s">
        <v>1487</v>
      </c>
      <c r="WKQ300" s="16" t="s">
        <v>1487</v>
      </c>
      <c r="WKR300" s="16" t="s">
        <v>1487</v>
      </c>
      <c r="WKS300" s="16" t="s">
        <v>1487</v>
      </c>
      <c r="WKT300" s="16" t="s">
        <v>1487</v>
      </c>
      <c r="WKU300" s="16" t="s">
        <v>1487</v>
      </c>
      <c r="WKV300" s="16" t="s">
        <v>1487</v>
      </c>
      <c r="WKW300" s="16" t="s">
        <v>1487</v>
      </c>
      <c r="WKX300" s="16" t="s">
        <v>1487</v>
      </c>
      <c r="WKY300" s="16" t="s">
        <v>1487</v>
      </c>
      <c r="WKZ300" s="16" t="s">
        <v>1487</v>
      </c>
      <c r="WLA300" s="16" t="s">
        <v>1487</v>
      </c>
      <c r="WLB300" s="16" t="s">
        <v>1487</v>
      </c>
      <c r="WLC300" s="16" t="s">
        <v>1487</v>
      </c>
      <c r="WLD300" s="16" t="s">
        <v>1487</v>
      </c>
      <c r="WLE300" s="16" t="s">
        <v>1487</v>
      </c>
      <c r="WLF300" s="16" t="s">
        <v>1487</v>
      </c>
      <c r="WLG300" s="16" t="s">
        <v>1487</v>
      </c>
      <c r="WLH300" s="16" t="s">
        <v>1487</v>
      </c>
      <c r="WLI300" s="16" t="s">
        <v>1487</v>
      </c>
      <c r="WLJ300" s="16" t="s">
        <v>1487</v>
      </c>
      <c r="WLK300" s="16" t="s">
        <v>1487</v>
      </c>
      <c r="WLL300" s="16" t="s">
        <v>1487</v>
      </c>
      <c r="WLM300" s="16" t="s">
        <v>1487</v>
      </c>
      <c r="WLN300" s="16" t="s">
        <v>1487</v>
      </c>
      <c r="WLO300" s="16" t="s">
        <v>1487</v>
      </c>
      <c r="WLP300" s="16" t="s">
        <v>1487</v>
      </c>
      <c r="WLQ300" s="16" t="s">
        <v>1487</v>
      </c>
      <c r="WLR300" s="16" t="s">
        <v>1487</v>
      </c>
      <c r="WLS300" s="16" t="s">
        <v>1487</v>
      </c>
      <c r="WLT300" s="16" t="s">
        <v>1487</v>
      </c>
      <c r="WLU300" s="16" t="s">
        <v>1487</v>
      </c>
      <c r="WLV300" s="16" t="s">
        <v>1487</v>
      </c>
      <c r="WLW300" s="16" t="s">
        <v>1487</v>
      </c>
      <c r="WLX300" s="16" t="s">
        <v>1487</v>
      </c>
      <c r="WLY300" s="16" t="s">
        <v>1487</v>
      </c>
      <c r="WLZ300" s="16" t="s">
        <v>1487</v>
      </c>
      <c r="WMA300" s="16" t="s">
        <v>1487</v>
      </c>
      <c r="WMB300" s="16" t="s">
        <v>1487</v>
      </c>
      <c r="WMC300" s="16" t="s">
        <v>1487</v>
      </c>
      <c r="WMD300" s="16" t="s">
        <v>1487</v>
      </c>
      <c r="WME300" s="16" t="s">
        <v>1487</v>
      </c>
      <c r="WMF300" s="16" t="s">
        <v>1487</v>
      </c>
      <c r="WMG300" s="16" t="s">
        <v>1487</v>
      </c>
      <c r="WMH300" s="16" t="s">
        <v>1487</v>
      </c>
      <c r="WMI300" s="16" t="s">
        <v>1487</v>
      </c>
      <c r="WMJ300" s="16" t="s">
        <v>1487</v>
      </c>
      <c r="WMK300" s="16" t="s">
        <v>1487</v>
      </c>
      <c r="WML300" s="16" t="s">
        <v>1487</v>
      </c>
      <c r="WMM300" s="16" t="s">
        <v>1487</v>
      </c>
      <c r="WMN300" s="16" t="s">
        <v>1487</v>
      </c>
      <c r="WMO300" s="16" t="s">
        <v>1487</v>
      </c>
      <c r="WMP300" s="16" t="s">
        <v>1487</v>
      </c>
      <c r="WMQ300" s="16" t="s">
        <v>1487</v>
      </c>
      <c r="WMR300" s="16" t="s">
        <v>1487</v>
      </c>
      <c r="WMS300" s="16" t="s">
        <v>1487</v>
      </c>
      <c r="WMT300" s="16" t="s">
        <v>1487</v>
      </c>
      <c r="WMU300" s="16" t="s">
        <v>1487</v>
      </c>
      <c r="WMV300" s="16" t="s">
        <v>1487</v>
      </c>
      <c r="WMW300" s="16" t="s">
        <v>1487</v>
      </c>
      <c r="WMX300" s="16" t="s">
        <v>1487</v>
      </c>
      <c r="WMY300" s="16" t="s">
        <v>1487</v>
      </c>
      <c r="WMZ300" s="16" t="s">
        <v>1487</v>
      </c>
      <c r="WNA300" s="16" t="s">
        <v>1487</v>
      </c>
      <c r="WNB300" s="16" t="s">
        <v>1487</v>
      </c>
      <c r="WNC300" s="16" t="s">
        <v>1487</v>
      </c>
      <c r="WND300" s="16" t="s">
        <v>1487</v>
      </c>
      <c r="WNE300" s="16" t="s">
        <v>1487</v>
      </c>
      <c r="WNF300" s="16" t="s">
        <v>1487</v>
      </c>
      <c r="WNG300" s="16" t="s">
        <v>1487</v>
      </c>
      <c r="WNH300" s="16" t="s">
        <v>1487</v>
      </c>
      <c r="WNI300" s="16" t="s">
        <v>1487</v>
      </c>
      <c r="WNJ300" s="16" t="s">
        <v>1487</v>
      </c>
      <c r="WNK300" s="16" t="s">
        <v>1487</v>
      </c>
      <c r="WNL300" s="16" t="s">
        <v>1487</v>
      </c>
      <c r="WNM300" s="16" t="s">
        <v>1487</v>
      </c>
      <c r="WNN300" s="16" t="s">
        <v>1487</v>
      </c>
      <c r="WNO300" s="16" t="s">
        <v>1487</v>
      </c>
      <c r="WNP300" s="16" t="s">
        <v>1487</v>
      </c>
      <c r="WNQ300" s="16" t="s">
        <v>1487</v>
      </c>
      <c r="WNR300" s="16" t="s">
        <v>1487</v>
      </c>
      <c r="WNS300" s="16" t="s">
        <v>1487</v>
      </c>
      <c r="WNT300" s="16" t="s">
        <v>1487</v>
      </c>
      <c r="WNU300" s="16" t="s">
        <v>1487</v>
      </c>
      <c r="WNV300" s="16" t="s">
        <v>1487</v>
      </c>
      <c r="WNW300" s="16" t="s">
        <v>1487</v>
      </c>
      <c r="WNX300" s="16" t="s">
        <v>1487</v>
      </c>
      <c r="WNY300" s="16" t="s">
        <v>1487</v>
      </c>
      <c r="WNZ300" s="16" t="s">
        <v>1487</v>
      </c>
      <c r="WOA300" s="16" t="s">
        <v>1487</v>
      </c>
      <c r="WOB300" s="16" t="s">
        <v>1487</v>
      </c>
      <c r="WOC300" s="16" t="s">
        <v>1487</v>
      </c>
      <c r="WOD300" s="16" t="s">
        <v>1487</v>
      </c>
      <c r="WOE300" s="16" t="s">
        <v>1487</v>
      </c>
      <c r="WOF300" s="16" t="s">
        <v>1487</v>
      </c>
      <c r="WOG300" s="16" t="s">
        <v>1487</v>
      </c>
      <c r="WOH300" s="16" t="s">
        <v>1487</v>
      </c>
      <c r="WOI300" s="16" t="s">
        <v>1487</v>
      </c>
      <c r="WOJ300" s="16" t="s">
        <v>1487</v>
      </c>
      <c r="WOK300" s="16" t="s">
        <v>1487</v>
      </c>
      <c r="WOL300" s="16" t="s">
        <v>1487</v>
      </c>
      <c r="WOM300" s="16" t="s">
        <v>1487</v>
      </c>
      <c r="WON300" s="16" t="s">
        <v>1487</v>
      </c>
      <c r="WOO300" s="16" t="s">
        <v>1487</v>
      </c>
      <c r="WOP300" s="16" t="s">
        <v>1487</v>
      </c>
      <c r="WOQ300" s="16" t="s">
        <v>1487</v>
      </c>
      <c r="WOR300" s="16" t="s">
        <v>1487</v>
      </c>
      <c r="WOS300" s="16" t="s">
        <v>1487</v>
      </c>
      <c r="WOT300" s="16" t="s">
        <v>1487</v>
      </c>
      <c r="WOU300" s="16" t="s">
        <v>1487</v>
      </c>
      <c r="WOV300" s="16" t="s">
        <v>1487</v>
      </c>
      <c r="WOW300" s="16" t="s">
        <v>1487</v>
      </c>
      <c r="WOX300" s="16" t="s">
        <v>1487</v>
      </c>
      <c r="WOY300" s="16" t="s">
        <v>1487</v>
      </c>
      <c r="WOZ300" s="16" t="s">
        <v>1487</v>
      </c>
      <c r="WPA300" s="16" t="s">
        <v>1487</v>
      </c>
      <c r="WPB300" s="16" t="s">
        <v>1487</v>
      </c>
      <c r="WPC300" s="16" t="s">
        <v>1487</v>
      </c>
      <c r="WPD300" s="16" t="s">
        <v>1487</v>
      </c>
      <c r="WPE300" s="16" t="s">
        <v>1487</v>
      </c>
      <c r="WPF300" s="16" t="s">
        <v>1487</v>
      </c>
      <c r="WPG300" s="16" t="s">
        <v>1487</v>
      </c>
      <c r="WPH300" s="16" t="s">
        <v>1487</v>
      </c>
      <c r="WPI300" s="16" t="s">
        <v>1487</v>
      </c>
      <c r="WPJ300" s="16" t="s">
        <v>1487</v>
      </c>
      <c r="WPK300" s="16" t="s">
        <v>1487</v>
      </c>
      <c r="WPL300" s="16" t="s">
        <v>1487</v>
      </c>
      <c r="WPM300" s="16" t="s">
        <v>1487</v>
      </c>
      <c r="WPN300" s="16" t="s">
        <v>1487</v>
      </c>
      <c r="WPO300" s="16" t="s">
        <v>1487</v>
      </c>
      <c r="WPP300" s="16" t="s">
        <v>1487</v>
      </c>
      <c r="WPQ300" s="16" t="s">
        <v>1487</v>
      </c>
      <c r="WPR300" s="16" t="s">
        <v>1487</v>
      </c>
      <c r="WPS300" s="16" t="s">
        <v>1487</v>
      </c>
      <c r="WPT300" s="16" t="s">
        <v>1487</v>
      </c>
      <c r="WPU300" s="16" t="s">
        <v>1487</v>
      </c>
      <c r="WPV300" s="16" t="s">
        <v>1487</v>
      </c>
      <c r="WPW300" s="16" t="s">
        <v>1487</v>
      </c>
      <c r="WPX300" s="16" t="s">
        <v>1487</v>
      </c>
      <c r="WPY300" s="16" t="s">
        <v>1487</v>
      </c>
      <c r="WPZ300" s="16" t="s">
        <v>1487</v>
      </c>
      <c r="WQA300" s="16" t="s">
        <v>1487</v>
      </c>
      <c r="WQB300" s="16" t="s">
        <v>1487</v>
      </c>
      <c r="WQC300" s="16" t="s">
        <v>1487</v>
      </c>
      <c r="WQD300" s="16" t="s">
        <v>1487</v>
      </c>
      <c r="WQE300" s="16" t="s">
        <v>1487</v>
      </c>
      <c r="WQF300" s="16" t="s">
        <v>1487</v>
      </c>
      <c r="WQG300" s="16" t="s">
        <v>1487</v>
      </c>
      <c r="WQH300" s="16" t="s">
        <v>1487</v>
      </c>
      <c r="WQI300" s="16" t="s">
        <v>1487</v>
      </c>
      <c r="WQJ300" s="16" t="s">
        <v>1487</v>
      </c>
      <c r="WQK300" s="16" t="s">
        <v>1487</v>
      </c>
      <c r="WQL300" s="16" t="s">
        <v>1487</v>
      </c>
      <c r="WQM300" s="16" t="s">
        <v>1487</v>
      </c>
      <c r="WQN300" s="16" t="s">
        <v>1487</v>
      </c>
      <c r="WQO300" s="16" t="s">
        <v>1487</v>
      </c>
      <c r="WQP300" s="16" t="s">
        <v>1487</v>
      </c>
      <c r="WQQ300" s="16" t="s">
        <v>1487</v>
      </c>
      <c r="WQR300" s="16" t="s">
        <v>1487</v>
      </c>
      <c r="WQS300" s="16" t="s">
        <v>1487</v>
      </c>
      <c r="WQT300" s="16" t="s">
        <v>1487</v>
      </c>
      <c r="WQU300" s="16" t="s">
        <v>1487</v>
      </c>
      <c r="WQV300" s="16" t="s">
        <v>1487</v>
      </c>
      <c r="WQW300" s="16" t="s">
        <v>1487</v>
      </c>
      <c r="WQX300" s="16" t="s">
        <v>1487</v>
      </c>
      <c r="WQY300" s="16" t="s">
        <v>1487</v>
      </c>
      <c r="WQZ300" s="16" t="s">
        <v>1487</v>
      </c>
      <c r="WRA300" s="16" t="s">
        <v>1487</v>
      </c>
      <c r="WRB300" s="16" t="s">
        <v>1487</v>
      </c>
      <c r="WRC300" s="16" t="s">
        <v>1487</v>
      </c>
      <c r="WRD300" s="16" t="s">
        <v>1487</v>
      </c>
      <c r="WRE300" s="16" t="s">
        <v>1487</v>
      </c>
      <c r="WRF300" s="16" t="s">
        <v>1487</v>
      </c>
      <c r="WRG300" s="16" t="s">
        <v>1487</v>
      </c>
      <c r="WRH300" s="16" t="s">
        <v>1487</v>
      </c>
      <c r="WRI300" s="16" t="s">
        <v>1487</v>
      </c>
      <c r="WRJ300" s="16" t="s">
        <v>1487</v>
      </c>
      <c r="WRK300" s="16" t="s">
        <v>1487</v>
      </c>
      <c r="WRL300" s="16" t="s">
        <v>1487</v>
      </c>
      <c r="WRM300" s="16" t="s">
        <v>1487</v>
      </c>
      <c r="WRN300" s="16" t="s">
        <v>1487</v>
      </c>
      <c r="WRO300" s="16" t="s">
        <v>1487</v>
      </c>
      <c r="WRP300" s="16" t="s">
        <v>1487</v>
      </c>
      <c r="WRQ300" s="16" t="s">
        <v>1487</v>
      </c>
      <c r="WRR300" s="16" t="s">
        <v>1487</v>
      </c>
      <c r="WRS300" s="16" t="s">
        <v>1487</v>
      </c>
      <c r="WRT300" s="16" t="s">
        <v>1487</v>
      </c>
      <c r="WRU300" s="16" t="s">
        <v>1487</v>
      </c>
      <c r="WRV300" s="16" t="s">
        <v>1487</v>
      </c>
      <c r="WRW300" s="16" t="s">
        <v>1487</v>
      </c>
      <c r="WRX300" s="16" t="s">
        <v>1487</v>
      </c>
      <c r="WRY300" s="16" t="s">
        <v>1487</v>
      </c>
      <c r="WRZ300" s="16" t="s">
        <v>1487</v>
      </c>
      <c r="WSA300" s="16" t="s">
        <v>1487</v>
      </c>
      <c r="WSB300" s="16" t="s">
        <v>1487</v>
      </c>
      <c r="WSC300" s="16" t="s">
        <v>1487</v>
      </c>
      <c r="WSD300" s="16" t="s">
        <v>1487</v>
      </c>
      <c r="WSE300" s="16" t="s">
        <v>1487</v>
      </c>
      <c r="WSF300" s="16" t="s">
        <v>1487</v>
      </c>
      <c r="WSG300" s="16" t="s">
        <v>1487</v>
      </c>
      <c r="WSH300" s="16" t="s">
        <v>1487</v>
      </c>
      <c r="WSI300" s="16" t="s">
        <v>1487</v>
      </c>
      <c r="WSJ300" s="16" t="s">
        <v>1487</v>
      </c>
      <c r="WSK300" s="16" t="s">
        <v>1487</v>
      </c>
      <c r="WSL300" s="16" t="s">
        <v>1487</v>
      </c>
      <c r="WSM300" s="16" t="s">
        <v>1487</v>
      </c>
      <c r="WSN300" s="16" t="s">
        <v>1487</v>
      </c>
      <c r="WSO300" s="16" t="s">
        <v>1487</v>
      </c>
      <c r="WSP300" s="16" t="s">
        <v>1487</v>
      </c>
      <c r="WSQ300" s="16" t="s">
        <v>1487</v>
      </c>
      <c r="WSR300" s="16" t="s">
        <v>1487</v>
      </c>
      <c r="WSS300" s="16" t="s">
        <v>1487</v>
      </c>
      <c r="WST300" s="16" t="s">
        <v>1487</v>
      </c>
      <c r="WSU300" s="16" t="s">
        <v>1487</v>
      </c>
      <c r="WSV300" s="16" t="s">
        <v>1487</v>
      </c>
      <c r="WSW300" s="16" t="s">
        <v>1487</v>
      </c>
      <c r="WSX300" s="16" t="s">
        <v>1487</v>
      </c>
      <c r="WSY300" s="16" t="s">
        <v>1487</v>
      </c>
      <c r="WSZ300" s="16" t="s">
        <v>1487</v>
      </c>
      <c r="WTA300" s="16" t="s">
        <v>1487</v>
      </c>
      <c r="WTB300" s="16" t="s">
        <v>1487</v>
      </c>
      <c r="WTC300" s="16" t="s">
        <v>1487</v>
      </c>
      <c r="WTD300" s="16" t="s">
        <v>1487</v>
      </c>
      <c r="WTE300" s="16" t="s">
        <v>1487</v>
      </c>
      <c r="WTF300" s="16" t="s">
        <v>1487</v>
      </c>
      <c r="WTG300" s="16" t="s">
        <v>1487</v>
      </c>
      <c r="WTH300" s="16" t="s">
        <v>1487</v>
      </c>
      <c r="WTI300" s="16" t="s">
        <v>1487</v>
      </c>
      <c r="WTJ300" s="16" t="s">
        <v>1487</v>
      </c>
      <c r="WTK300" s="16" t="s">
        <v>1487</v>
      </c>
      <c r="WTL300" s="16" t="s">
        <v>1487</v>
      </c>
      <c r="WTM300" s="16" t="s">
        <v>1487</v>
      </c>
      <c r="WTN300" s="16" t="s">
        <v>1487</v>
      </c>
      <c r="WTO300" s="16" t="s">
        <v>1487</v>
      </c>
      <c r="WTP300" s="16" t="s">
        <v>1487</v>
      </c>
      <c r="WTQ300" s="16" t="s">
        <v>1487</v>
      </c>
      <c r="WTR300" s="16" t="s">
        <v>1487</v>
      </c>
      <c r="WTS300" s="16" t="s">
        <v>1487</v>
      </c>
      <c r="WTT300" s="16" t="s">
        <v>1487</v>
      </c>
      <c r="WTU300" s="16" t="s">
        <v>1487</v>
      </c>
      <c r="WTV300" s="16" t="s">
        <v>1487</v>
      </c>
      <c r="WTW300" s="16" t="s">
        <v>1487</v>
      </c>
      <c r="WTX300" s="16" t="s">
        <v>1487</v>
      </c>
      <c r="WTY300" s="16" t="s">
        <v>1487</v>
      </c>
      <c r="WTZ300" s="16" t="s">
        <v>1487</v>
      </c>
      <c r="WUA300" s="16" t="s">
        <v>1487</v>
      </c>
      <c r="WUB300" s="16" t="s">
        <v>1487</v>
      </c>
      <c r="WUC300" s="16" t="s">
        <v>1487</v>
      </c>
      <c r="WUD300" s="16" t="s">
        <v>1487</v>
      </c>
      <c r="WUE300" s="16" t="s">
        <v>1487</v>
      </c>
      <c r="WUF300" s="16" t="s">
        <v>1487</v>
      </c>
      <c r="WUG300" s="16" t="s">
        <v>1487</v>
      </c>
      <c r="WUH300" s="16" t="s">
        <v>1487</v>
      </c>
      <c r="WUI300" s="16" t="s">
        <v>1487</v>
      </c>
      <c r="WUJ300" s="16" t="s">
        <v>1487</v>
      </c>
      <c r="WUK300" s="16" t="s">
        <v>1487</v>
      </c>
      <c r="WUL300" s="16" t="s">
        <v>1487</v>
      </c>
      <c r="WUM300" s="16" t="s">
        <v>1487</v>
      </c>
      <c r="WUN300" s="16" t="s">
        <v>1487</v>
      </c>
      <c r="WUO300" s="16" t="s">
        <v>1487</v>
      </c>
      <c r="WUP300" s="16" t="s">
        <v>1487</v>
      </c>
      <c r="WUQ300" s="16" t="s">
        <v>1487</v>
      </c>
      <c r="WUR300" s="16" t="s">
        <v>1487</v>
      </c>
      <c r="WUS300" s="16" t="s">
        <v>1487</v>
      </c>
      <c r="WUT300" s="16" t="s">
        <v>1487</v>
      </c>
      <c r="WUU300" s="16" t="s">
        <v>1487</v>
      </c>
      <c r="WUV300" s="16" t="s">
        <v>1487</v>
      </c>
      <c r="WUW300" s="16" t="s">
        <v>1487</v>
      </c>
      <c r="WUX300" s="16" t="s">
        <v>1487</v>
      </c>
      <c r="WUY300" s="16" t="s">
        <v>1487</v>
      </c>
      <c r="WUZ300" s="16" t="s">
        <v>1487</v>
      </c>
      <c r="WVA300" s="16" t="s">
        <v>1487</v>
      </c>
      <c r="WVB300" s="16" t="s">
        <v>1487</v>
      </c>
      <c r="WVC300" s="16" t="s">
        <v>1487</v>
      </c>
      <c r="WVD300" s="16" t="s">
        <v>1487</v>
      </c>
      <c r="WVE300" s="16" t="s">
        <v>1487</v>
      </c>
      <c r="WVF300" s="16" t="s">
        <v>1487</v>
      </c>
      <c r="WVG300" s="16" t="s">
        <v>1487</v>
      </c>
      <c r="WVH300" s="16" t="s">
        <v>1487</v>
      </c>
      <c r="WVI300" s="16" t="s">
        <v>1487</v>
      </c>
      <c r="WVJ300" s="16" t="s">
        <v>1487</v>
      </c>
      <c r="WVK300" s="16" t="s">
        <v>1487</v>
      </c>
      <c r="WVL300" s="16" t="s">
        <v>1487</v>
      </c>
      <c r="WVM300" s="16" t="s">
        <v>1487</v>
      </c>
      <c r="WVN300" s="16" t="s">
        <v>1487</v>
      </c>
      <c r="WVO300" s="16" t="s">
        <v>1487</v>
      </c>
      <c r="WVP300" s="16" t="s">
        <v>1487</v>
      </c>
      <c r="WVQ300" s="16" t="s">
        <v>1487</v>
      </c>
      <c r="WVR300" s="16" t="s">
        <v>1487</v>
      </c>
      <c r="WVS300" s="16" t="s">
        <v>1487</v>
      </c>
      <c r="WVT300" s="16" t="s">
        <v>1487</v>
      </c>
      <c r="WVU300" s="16" t="s">
        <v>1487</v>
      </c>
      <c r="WVV300" s="16" t="s">
        <v>1487</v>
      </c>
      <c r="WVW300" s="16" t="s">
        <v>1487</v>
      </c>
      <c r="WVX300" s="16" t="s">
        <v>1487</v>
      </c>
      <c r="WVY300" s="16" t="s">
        <v>1487</v>
      </c>
      <c r="WVZ300" s="16" t="s">
        <v>1487</v>
      </c>
      <c r="WWA300" s="16" t="s">
        <v>1487</v>
      </c>
      <c r="WWB300" s="16" t="s">
        <v>1487</v>
      </c>
      <c r="WWC300" s="16" t="s">
        <v>1487</v>
      </c>
      <c r="WWD300" s="16" t="s">
        <v>1487</v>
      </c>
      <c r="WWE300" s="16" t="s">
        <v>1487</v>
      </c>
      <c r="WWF300" s="16" t="s">
        <v>1487</v>
      </c>
      <c r="WWG300" s="16" t="s">
        <v>1487</v>
      </c>
      <c r="WWH300" s="16" t="s">
        <v>1487</v>
      </c>
      <c r="WWI300" s="16" t="s">
        <v>1487</v>
      </c>
      <c r="WWJ300" s="16" t="s">
        <v>1487</v>
      </c>
      <c r="WWK300" s="16" t="s">
        <v>1487</v>
      </c>
      <c r="WWL300" s="16" t="s">
        <v>1487</v>
      </c>
      <c r="WWM300" s="16" t="s">
        <v>1487</v>
      </c>
      <c r="WWN300" s="16" t="s">
        <v>1487</v>
      </c>
      <c r="WWO300" s="16" t="s">
        <v>1487</v>
      </c>
      <c r="WWP300" s="16" t="s">
        <v>1487</v>
      </c>
      <c r="WWQ300" s="16" t="s">
        <v>1487</v>
      </c>
      <c r="WWR300" s="16" t="s">
        <v>1487</v>
      </c>
      <c r="WWS300" s="16" t="s">
        <v>1487</v>
      </c>
      <c r="WWT300" s="16" t="s">
        <v>1487</v>
      </c>
      <c r="WWU300" s="16" t="s">
        <v>1487</v>
      </c>
      <c r="WWV300" s="16" t="s">
        <v>1487</v>
      </c>
      <c r="WWW300" s="16" t="s">
        <v>1487</v>
      </c>
      <c r="WWX300" s="16" t="s">
        <v>1487</v>
      </c>
      <c r="WWY300" s="16" t="s">
        <v>1487</v>
      </c>
      <c r="WWZ300" s="16" t="s">
        <v>1487</v>
      </c>
      <c r="WXA300" s="16" t="s">
        <v>1487</v>
      </c>
      <c r="WXB300" s="16" t="s">
        <v>1487</v>
      </c>
      <c r="WXC300" s="16" t="s">
        <v>1487</v>
      </c>
      <c r="WXD300" s="16" t="s">
        <v>1487</v>
      </c>
      <c r="WXE300" s="16" t="s">
        <v>1487</v>
      </c>
      <c r="WXF300" s="16" t="s">
        <v>1487</v>
      </c>
      <c r="WXG300" s="16" t="s">
        <v>1487</v>
      </c>
      <c r="WXH300" s="16" t="s">
        <v>1487</v>
      </c>
      <c r="WXI300" s="16" t="s">
        <v>1487</v>
      </c>
      <c r="WXJ300" s="16" t="s">
        <v>1487</v>
      </c>
      <c r="WXK300" s="16" t="s">
        <v>1487</v>
      </c>
      <c r="WXL300" s="16" t="s">
        <v>1487</v>
      </c>
      <c r="WXM300" s="16" t="s">
        <v>1487</v>
      </c>
      <c r="WXN300" s="16" t="s">
        <v>1487</v>
      </c>
      <c r="WXO300" s="16" t="s">
        <v>1487</v>
      </c>
      <c r="WXP300" s="16" t="s">
        <v>1487</v>
      </c>
      <c r="WXQ300" s="16" t="s">
        <v>1487</v>
      </c>
      <c r="WXR300" s="16" t="s">
        <v>1487</v>
      </c>
      <c r="WXS300" s="16" t="s">
        <v>1487</v>
      </c>
      <c r="WXT300" s="16" t="s">
        <v>1487</v>
      </c>
      <c r="WXU300" s="16" t="s">
        <v>1487</v>
      </c>
      <c r="WXV300" s="16" t="s">
        <v>1487</v>
      </c>
      <c r="WXW300" s="16" t="s">
        <v>1487</v>
      </c>
      <c r="WXX300" s="16" t="s">
        <v>1487</v>
      </c>
      <c r="WXY300" s="16" t="s">
        <v>1487</v>
      </c>
      <c r="WXZ300" s="16" t="s">
        <v>1487</v>
      </c>
      <c r="WYA300" s="16" t="s">
        <v>1487</v>
      </c>
      <c r="WYB300" s="16" t="s">
        <v>1487</v>
      </c>
      <c r="WYC300" s="16" t="s">
        <v>1487</v>
      </c>
      <c r="WYD300" s="16" t="s">
        <v>1487</v>
      </c>
      <c r="WYE300" s="16" t="s">
        <v>1487</v>
      </c>
      <c r="WYF300" s="16" t="s">
        <v>1487</v>
      </c>
      <c r="WYG300" s="16" t="s">
        <v>1487</v>
      </c>
      <c r="WYH300" s="16" t="s">
        <v>1487</v>
      </c>
      <c r="WYI300" s="16" t="s">
        <v>1487</v>
      </c>
      <c r="WYJ300" s="16" t="s">
        <v>1487</v>
      </c>
      <c r="WYK300" s="16" t="s">
        <v>1487</v>
      </c>
      <c r="WYL300" s="16" t="s">
        <v>1487</v>
      </c>
      <c r="WYM300" s="16" t="s">
        <v>1487</v>
      </c>
      <c r="WYN300" s="16" t="s">
        <v>1487</v>
      </c>
      <c r="WYO300" s="16" t="s">
        <v>1487</v>
      </c>
      <c r="WYP300" s="16" t="s">
        <v>1487</v>
      </c>
      <c r="WYQ300" s="16" t="s">
        <v>1487</v>
      </c>
      <c r="WYR300" s="16" t="s">
        <v>1487</v>
      </c>
      <c r="WYS300" s="16" t="s">
        <v>1487</v>
      </c>
      <c r="WYT300" s="16" t="s">
        <v>1487</v>
      </c>
      <c r="WYU300" s="16" t="s">
        <v>1487</v>
      </c>
      <c r="WYV300" s="16" t="s">
        <v>1487</v>
      </c>
      <c r="WYW300" s="16" t="s">
        <v>1487</v>
      </c>
      <c r="WYX300" s="16" t="s">
        <v>1487</v>
      </c>
      <c r="WYY300" s="16" t="s">
        <v>1487</v>
      </c>
      <c r="WYZ300" s="16" t="s">
        <v>1487</v>
      </c>
      <c r="WZA300" s="16" t="s">
        <v>1487</v>
      </c>
      <c r="WZB300" s="16" t="s">
        <v>1487</v>
      </c>
      <c r="WZC300" s="16" t="s">
        <v>1487</v>
      </c>
      <c r="WZD300" s="16" t="s">
        <v>1487</v>
      </c>
      <c r="WZE300" s="16" t="s">
        <v>1487</v>
      </c>
      <c r="WZF300" s="16" t="s">
        <v>1487</v>
      </c>
      <c r="WZG300" s="16" t="s">
        <v>1487</v>
      </c>
      <c r="WZH300" s="16" t="s">
        <v>1487</v>
      </c>
      <c r="WZI300" s="16" t="s">
        <v>1487</v>
      </c>
      <c r="WZJ300" s="16" t="s">
        <v>1487</v>
      </c>
      <c r="WZK300" s="16" t="s">
        <v>1487</v>
      </c>
      <c r="WZL300" s="16" t="s">
        <v>1487</v>
      </c>
      <c r="WZM300" s="16" t="s">
        <v>1487</v>
      </c>
      <c r="WZN300" s="16" t="s">
        <v>1487</v>
      </c>
      <c r="WZO300" s="16" t="s">
        <v>1487</v>
      </c>
      <c r="WZP300" s="16" t="s">
        <v>1487</v>
      </c>
      <c r="WZQ300" s="16" t="s">
        <v>1487</v>
      </c>
      <c r="WZR300" s="16" t="s">
        <v>1487</v>
      </c>
      <c r="WZS300" s="16" t="s">
        <v>1487</v>
      </c>
      <c r="WZT300" s="16" t="s">
        <v>1487</v>
      </c>
      <c r="WZU300" s="16" t="s">
        <v>1487</v>
      </c>
      <c r="WZV300" s="16" t="s">
        <v>1487</v>
      </c>
      <c r="WZW300" s="16" t="s">
        <v>1487</v>
      </c>
      <c r="WZX300" s="16" t="s">
        <v>1487</v>
      </c>
      <c r="WZY300" s="16" t="s">
        <v>1487</v>
      </c>
      <c r="WZZ300" s="16" t="s">
        <v>1487</v>
      </c>
      <c r="XAA300" s="16" t="s">
        <v>1487</v>
      </c>
      <c r="XAB300" s="16" t="s">
        <v>1487</v>
      </c>
      <c r="XAC300" s="16" t="s">
        <v>1487</v>
      </c>
      <c r="XAD300" s="16" t="s">
        <v>1487</v>
      </c>
      <c r="XAE300" s="16" t="s">
        <v>1487</v>
      </c>
      <c r="XAF300" s="16" t="s">
        <v>1487</v>
      </c>
      <c r="XAG300" s="16" t="s">
        <v>1487</v>
      </c>
      <c r="XAH300" s="16" t="s">
        <v>1487</v>
      </c>
      <c r="XAI300" s="16" t="s">
        <v>1487</v>
      </c>
      <c r="XAJ300" s="16" t="s">
        <v>1487</v>
      </c>
      <c r="XAK300" s="16" t="s">
        <v>1487</v>
      </c>
      <c r="XAL300" s="16" t="s">
        <v>1487</v>
      </c>
      <c r="XAM300" s="16" t="s">
        <v>1487</v>
      </c>
      <c r="XAN300" s="16" t="s">
        <v>1487</v>
      </c>
      <c r="XAO300" s="16" t="s">
        <v>1487</v>
      </c>
      <c r="XAP300" s="16" t="s">
        <v>1487</v>
      </c>
      <c r="XAQ300" s="16" t="s">
        <v>1487</v>
      </c>
      <c r="XAR300" s="16" t="s">
        <v>1487</v>
      </c>
      <c r="XAS300" s="16" t="s">
        <v>1487</v>
      </c>
      <c r="XAT300" s="16" t="s">
        <v>1487</v>
      </c>
      <c r="XAU300" s="16" t="s">
        <v>1487</v>
      </c>
      <c r="XAV300" s="16" t="s">
        <v>1487</v>
      </c>
      <c r="XAW300" s="16" t="s">
        <v>1487</v>
      </c>
      <c r="XAX300" s="16" t="s">
        <v>1487</v>
      </c>
      <c r="XAY300" s="16" t="s">
        <v>1487</v>
      </c>
      <c r="XAZ300" s="16" t="s">
        <v>1487</v>
      </c>
      <c r="XBA300" s="16" t="s">
        <v>1487</v>
      </c>
      <c r="XBB300" s="16" t="s">
        <v>1487</v>
      </c>
      <c r="XBC300" s="16" t="s">
        <v>1487</v>
      </c>
      <c r="XBD300" s="16" t="s">
        <v>1487</v>
      </c>
      <c r="XBE300" s="16" t="s">
        <v>1487</v>
      </c>
      <c r="XBF300" s="16" t="s">
        <v>1487</v>
      </c>
      <c r="XBG300" s="16" t="s">
        <v>1487</v>
      </c>
      <c r="XBH300" s="16" t="s">
        <v>1487</v>
      </c>
      <c r="XBI300" s="16" t="s">
        <v>1487</v>
      </c>
      <c r="XBJ300" s="16" t="s">
        <v>1487</v>
      </c>
      <c r="XBK300" s="16" t="s">
        <v>1487</v>
      </c>
      <c r="XBL300" s="16" t="s">
        <v>1487</v>
      </c>
      <c r="XBM300" s="16" t="s">
        <v>1487</v>
      </c>
      <c r="XBN300" s="16" t="s">
        <v>1487</v>
      </c>
      <c r="XBO300" s="16" t="s">
        <v>1487</v>
      </c>
      <c r="XBP300" s="16" t="s">
        <v>1487</v>
      </c>
      <c r="XBQ300" s="16" t="s">
        <v>1487</v>
      </c>
      <c r="XBR300" s="16" t="s">
        <v>1487</v>
      </c>
      <c r="XBS300" s="16" t="s">
        <v>1487</v>
      </c>
      <c r="XBT300" s="16" t="s">
        <v>1487</v>
      </c>
      <c r="XBU300" s="16" t="s">
        <v>1487</v>
      </c>
      <c r="XBV300" s="16" t="s">
        <v>1487</v>
      </c>
      <c r="XBW300" s="16" t="s">
        <v>1487</v>
      </c>
      <c r="XBX300" s="16" t="s">
        <v>1487</v>
      </c>
      <c r="XBY300" s="16" t="s">
        <v>1487</v>
      </c>
      <c r="XBZ300" s="16" t="s">
        <v>1487</v>
      </c>
      <c r="XCA300" s="16" t="s">
        <v>1487</v>
      </c>
      <c r="XCB300" s="16" t="s">
        <v>1487</v>
      </c>
      <c r="XCC300" s="16" t="s">
        <v>1487</v>
      </c>
      <c r="XCD300" s="16" t="s">
        <v>1487</v>
      </c>
      <c r="XCE300" s="16" t="s">
        <v>1487</v>
      </c>
      <c r="XCF300" s="16" t="s">
        <v>1487</v>
      </c>
      <c r="XCG300" s="16" t="s">
        <v>1487</v>
      </c>
      <c r="XCH300" s="16" t="s">
        <v>1487</v>
      </c>
      <c r="XCI300" s="16" t="s">
        <v>1487</v>
      </c>
      <c r="XCJ300" s="16" t="s">
        <v>1487</v>
      </c>
      <c r="XCK300" s="16" t="s">
        <v>1487</v>
      </c>
      <c r="XCL300" s="16" t="s">
        <v>1487</v>
      </c>
      <c r="XCM300" s="16" t="s">
        <v>1487</v>
      </c>
      <c r="XCN300" s="16" t="s">
        <v>1487</v>
      </c>
      <c r="XCO300" s="16" t="s">
        <v>1487</v>
      </c>
      <c r="XCP300" s="16" t="s">
        <v>1487</v>
      </c>
      <c r="XCQ300" s="16" t="s">
        <v>1487</v>
      </c>
      <c r="XCR300" s="16" t="s">
        <v>1487</v>
      </c>
      <c r="XCS300" s="16" t="s">
        <v>1487</v>
      </c>
      <c r="XCT300" s="16" t="s">
        <v>1487</v>
      </c>
      <c r="XCU300" s="16" t="s">
        <v>1487</v>
      </c>
      <c r="XCV300" s="16" t="s">
        <v>1487</v>
      </c>
      <c r="XCW300" s="16" t="s">
        <v>1487</v>
      </c>
      <c r="XCX300" s="16" t="s">
        <v>1487</v>
      </c>
      <c r="XCY300" s="16" t="s">
        <v>1487</v>
      </c>
      <c r="XCZ300" s="16" t="s">
        <v>1487</v>
      </c>
      <c r="XDA300" s="16" t="s">
        <v>1487</v>
      </c>
      <c r="XDB300" s="16" t="s">
        <v>1487</v>
      </c>
      <c r="XDC300" s="16" t="s">
        <v>1487</v>
      </c>
      <c r="XDD300" s="16" t="s">
        <v>1487</v>
      </c>
      <c r="XDE300" s="16" t="s">
        <v>1487</v>
      </c>
      <c r="XDF300" s="16" t="s">
        <v>1487</v>
      </c>
      <c r="XDG300" s="16" t="s">
        <v>1487</v>
      </c>
      <c r="XDH300" s="16" t="s">
        <v>1487</v>
      </c>
      <c r="XDI300" s="16" t="s">
        <v>1487</v>
      </c>
      <c r="XDJ300" s="16" t="s">
        <v>1487</v>
      </c>
      <c r="XDK300" s="16" t="s">
        <v>1487</v>
      </c>
      <c r="XDL300" s="16" t="s">
        <v>1487</v>
      </c>
      <c r="XDM300" s="16" t="s">
        <v>1487</v>
      </c>
      <c r="XDN300" s="16" t="s">
        <v>1487</v>
      </c>
      <c r="XDO300" s="16" t="s">
        <v>1487</v>
      </c>
      <c r="XDP300" s="16" t="s">
        <v>1487</v>
      </c>
      <c r="XDQ300" s="16" t="s">
        <v>1487</v>
      </c>
      <c r="XDR300" s="16" t="s">
        <v>1487</v>
      </c>
      <c r="XDS300" s="16" t="s">
        <v>1487</v>
      </c>
      <c r="XDT300" s="16" t="s">
        <v>1487</v>
      </c>
      <c r="XDU300" s="16" t="s">
        <v>1487</v>
      </c>
      <c r="XDV300" s="16" t="s">
        <v>1487</v>
      </c>
      <c r="XDW300" s="16" t="s">
        <v>1487</v>
      </c>
      <c r="XDX300" s="16" t="s">
        <v>1487</v>
      </c>
      <c r="XDY300" s="16" t="s">
        <v>1487</v>
      </c>
      <c r="XDZ300" s="16" t="s">
        <v>1487</v>
      </c>
      <c r="XEA300" s="16" t="s">
        <v>1487</v>
      </c>
      <c r="XEB300" s="16" t="s">
        <v>1487</v>
      </c>
      <c r="XEC300" s="16" t="s">
        <v>1487</v>
      </c>
      <c r="XED300" s="16" t="s">
        <v>1487</v>
      </c>
      <c r="XEE300" s="16" t="s">
        <v>1487</v>
      </c>
      <c r="XEF300" s="16" t="s">
        <v>1487</v>
      </c>
      <c r="XEG300" s="16" t="s">
        <v>1487</v>
      </c>
      <c r="XEH300" s="16" t="s">
        <v>1487</v>
      </c>
      <c r="XEI300" s="16" t="s">
        <v>1487</v>
      </c>
      <c r="XEJ300" s="16" t="s">
        <v>1487</v>
      </c>
      <c r="XEK300" s="16" t="s">
        <v>1487</v>
      </c>
      <c r="XEL300" s="16" t="s">
        <v>1487</v>
      </c>
      <c r="XEM300" s="16" t="s">
        <v>1487</v>
      </c>
      <c r="XEN300" s="16" t="s">
        <v>1487</v>
      </c>
      <c r="XEO300" s="16" t="s">
        <v>1487</v>
      </c>
      <c r="XEP300" s="16" t="s">
        <v>1487</v>
      </c>
      <c r="XEQ300" s="16" t="s">
        <v>1487</v>
      </c>
      <c r="XER300" s="16" t="s">
        <v>1487</v>
      </c>
      <c r="XES300" s="16" t="s">
        <v>1487</v>
      </c>
      <c r="XET300" s="16" t="s">
        <v>1487</v>
      </c>
      <c r="XEU300" s="16" t="s">
        <v>1487</v>
      </c>
      <c r="XEV300" s="16" t="s">
        <v>1487</v>
      </c>
      <c r="XEW300" s="16" t="s">
        <v>1487</v>
      </c>
      <c r="XEX300" s="16" t="s">
        <v>1487</v>
      </c>
      <c r="XEY300" s="16" t="s">
        <v>1487</v>
      </c>
      <c r="XEZ300" s="16" t="s">
        <v>1487</v>
      </c>
      <c r="XFA300" s="16" t="s">
        <v>1487</v>
      </c>
      <c r="XFB300" s="16" t="s">
        <v>1487</v>
      </c>
      <c r="XFC300" s="16" t="s">
        <v>1487</v>
      </c>
      <c r="XFD300" s="16" t="s">
        <v>1487</v>
      </c>
    </row>
  </sheetData>
  <autoFilter ref="A5:U297" xr:uid="{00000000-0001-0000-0400-000000000000}"/>
  <mergeCells count="6">
    <mergeCell ref="Q2:Q4"/>
    <mergeCell ref="G2:G4"/>
    <mergeCell ref="H2:H4"/>
    <mergeCell ref="I2:I4"/>
    <mergeCell ref="J2:K2"/>
    <mergeCell ref="L2:L4"/>
  </mergeCells>
  <phoneticPr fontId="37" type="noConversion"/>
  <conditionalFormatting sqref="R1:S3 R5:S6">
    <cfRule type="iconSet" priority="1184">
      <iconSet iconSet="3Symbols2" showValue="0">
        <cfvo type="percent" val="0"/>
        <cfvo type="num" val="0"/>
        <cfvo type="num" val="1"/>
      </iconSet>
    </cfRule>
  </conditionalFormatting>
  <conditionalFormatting sqref="T1:U3 T5:U6">
    <cfRule type="iconSet" priority="1136">
      <iconSet iconSet="3Symbols2" showValue="0">
        <cfvo type="percent" val="0"/>
        <cfvo type="num" val="0"/>
        <cfvo type="num" val="1"/>
      </iconSet>
    </cfRule>
  </conditionalFormatting>
  <conditionalFormatting sqref="Q298:Q1048576">
    <cfRule type="iconSet" priority="8034">
      <iconSet iconSet="3Symbols2" showValue="0">
        <cfvo type="percent" val="0"/>
        <cfvo type="num" val="0"/>
        <cfvo type="num" val="0"/>
      </iconSet>
    </cfRule>
  </conditionalFormatting>
  <conditionalFormatting sqref="R298:S1048576">
    <cfRule type="iconSet" priority="8048">
      <iconSet iconSet="3Symbols2" showValue="0">
        <cfvo type="percent" val="0"/>
        <cfvo type="num" val="0"/>
        <cfvo type="num" val="0"/>
      </iconSet>
    </cfRule>
  </conditionalFormatting>
  <conditionalFormatting sqref="T298:U1048576">
    <cfRule type="iconSet" priority="8050">
      <iconSet iconSet="3Symbols2" showValue="0">
        <cfvo type="percent" val="0"/>
        <cfvo type="num" val="0"/>
        <cfvo type="num" val="0"/>
      </iconSet>
    </cfRule>
  </conditionalFormatting>
  <conditionalFormatting sqref="Q296:Q297 Q247:Q248 Q93 Q128:Q135 Q9:Q10 Q106:Q115 Q147 Q28">
    <cfRule type="iconSet" priority="833">
      <iconSet iconSet="3Symbols2" showValue="0">
        <cfvo type="percent" val="0"/>
        <cfvo type="num" val="0"/>
        <cfvo type="num" val="0"/>
      </iconSet>
    </cfRule>
  </conditionalFormatting>
  <conditionalFormatting sqref="Q8">
    <cfRule type="iconSet" priority="831">
      <iconSet iconSet="3Symbols2" showValue="0">
        <cfvo type="percent" val="0"/>
        <cfvo type="num" val="0"/>
        <cfvo type="num" val="0"/>
      </iconSet>
    </cfRule>
  </conditionalFormatting>
  <conditionalFormatting sqref="Q105">
    <cfRule type="iconSet" priority="827">
      <iconSet iconSet="3Symbols2" showValue="0">
        <cfvo type="percent" val="0"/>
        <cfvo type="num" val="0"/>
        <cfvo type="num" val="0"/>
      </iconSet>
    </cfRule>
  </conditionalFormatting>
  <conditionalFormatting sqref="Q117">
    <cfRule type="iconSet" priority="826">
      <iconSet iconSet="3Symbols2" showValue="0">
        <cfvo type="percent" val="0"/>
        <cfvo type="num" val="0"/>
        <cfvo type="num" val="0"/>
      </iconSet>
    </cfRule>
  </conditionalFormatting>
  <conditionalFormatting sqref="Q127">
    <cfRule type="iconSet" priority="825">
      <iconSet iconSet="3Symbols2" showValue="0">
        <cfvo type="percent" val="0"/>
        <cfvo type="num" val="0"/>
        <cfvo type="num" val="0"/>
      </iconSet>
    </cfRule>
  </conditionalFormatting>
  <conditionalFormatting sqref="Q137">
    <cfRule type="iconSet" priority="824">
      <iconSet iconSet="3Symbols2" showValue="0">
        <cfvo type="percent" val="0"/>
        <cfvo type="num" val="0"/>
        <cfvo type="num" val="0"/>
      </iconSet>
    </cfRule>
  </conditionalFormatting>
  <conditionalFormatting sqref="Q229">
    <cfRule type="iconSet" priority="823">
      <iconSet iconSet="3Symbols2" showValue="0">
        <cfvo type="percent" val="0"/>
        <cfvo type="num" val="0"/>
        <cfvo type="num" val="0"/>
      </iconSet>
    </cfRule>
  </conditionalFormatting>
  <conditionalFormatting sqref="Q104">
    <cfRule type="iconSet" priority="821">
      <iconSet iconSet="3Symbols2" showValue="0">
        <cfvo type="percent" val="0"/>
        <cfvo type="num" val="0"/>
        <cfvo type="num" val="0"/>
      </iconSet>
    </cfRule>
  </conditionalFormatting>
  <conditionalFormatting sqref="Q7">
    <cfRule type="iconSet" priority="818">
      <iconSet iconSet="3Symbols2" showValue="0">
        <cfvo type="percent" val="0"/>
        <cfvo type="num" val="0"/>
        <cfvo type="num" val="0"/>
      </iconSet>
    </cfRule>
  </conditionalFormatting>
  <conditionalFormatting sqref="Q45">
    <cfRule type="iconSet" priority="815">
      <iconSet iconSet="3Symbols2" showValue="0">
        <cfvo type="percent" val="0"/>
        <cfvo type="num" val="0"/>
        <cfvo type="num" val="0"/>
      </iconSet>
    </cfRule>
  </conditionalFormatting>
  <conditionalFormatting sqref="Q116">
    <cfRule type="iconSet" priority="797">
      <iconSet iconSet="3Symbols2" showValue="0">
        <cfvo type="percent" val="0"/>
        <cfvo type="num" val="0"/>
        <cfvo type="num" val="0"/>
      </iconSet>
    </cfRule>
  </conditionalFormatting>
  <conditionalFormatting sqref="Q126">
    <cfRule type="iconSet" priority="794">
      <iconSet iconSet="3Symbols2" showValue="0">
        <cfvo type="percent" val="0"/>
        <cfvo type="num" val="0"/>
        <cfvo type="num" val="0"/>
      </iconSet>
    </cfRule>
  </conditionalFormatting>
  <conditionalFormatting sqref="Q136">
    <cfRule type="iconSet" priority="788">
      <iconSet iconSet="3Symbols2" showValue="0">
        <cfvo type="percent" val="0"/>
        <cfvo type="num" val="0"/>
        <cfvo type="num" val="0"/>
      </iconSet>
    </cfRule>
  </conditionalFormatting>
  <conditionalFormatting sqref="Q158 Q170 Q182">
    <cfRule type="iconSet" priority="785">
      <iconSet iconSet="3Symbols2" showValue="0">
        <cfvo type="percent" val="0"/>
        <cfvo type="num" val="0"/>
        <cfvo type="num" val="0"/>
      </iconSet>
    </cfRule>
  </conditionalFormatting>
  <conditionalFormatting sqref="R128:S135 R106:S115">
    <cfRule type="iconSet" priority="644">
      <iconSet iconSet="3Symbols2" showValue="0">
        <cfvo type="percent" val="0"/>
        <cfvo type="num" val="0"/>
        <cfvo type="num" val="0"/>
      </iconSet>
    </cfRule>
  </conditionalFormatting>
  <conditionalFormatting sqref="R296:S297">
    <cfRule type="iconSet" priority="614">
      <iconSet iconSet="3Symbols2" showValue="0">
        <cfvo type="percent" val="0"/>
        <cfvo type="num" val="0"/>
        <cfvo type="num" val="0"/>
      </iconSet>
    </cfRule>
  </conditionalFormatting>
  <conditionalFormatting sqref="R8:S8">
    <cfRule type="iconSet" priority="612">
      <iconSet iconSet="3Symbols2" showValue="0">
        <cfvo type="percent" val="0"/>
        <cfvo type="num" val="0"/>
        <cfvo type="num" val="0"/>
      </iconSet>
    </cfRule>
  </conditionalFormatting>
  <conditionalFormatting sqref="R105:S105">
    <cfRule type="iconSet" priority="608">
      <iconSet iconSet="3Symbols2" showValue="0">
        <cfvo type="percent" val="0"/>
        <cfvo type="num" val="0"/>
        <cfvo type="num" val="0"/>
      </iconSet>
    </cfRule>
  </conditionalFormatting>
  <conditionalFormatting sqref="R117:S117">
    <cfRule type="iconSet" priority="607">
      <iconSet iconSet="3Symbols2" showValue="0">
        <cfvo type="percent" val="0"/>
        <cfvo type="num" val="0"/>
        <cfvo type="num" val="0"/>
      </iconSet>
    </cfRule>
  </conditionalFormatting>
  <conditionalFormatting sqref="R127:S127">
    <cfRule type="iconSet" priority="606">
      <iconSet iconSet="3Symbols2" showValue="0">
        <cfvo type="percent" val="0"/>
        <cfvo type="num" val="0"/>
        <cfvo type="num" val="0"/>
      </iconSet>
    </cfRule>
  </conditionalFormatting>
  <conditionalFormatting sqref="R137:S137">
    <cfRule type="iconSet" priority="605">
      <iconSet iconSet="3Symbols2" showValue="0">
        <cfvo type="percent" val="0"/>
        <cfvo type="num" val="0"/>
        <cfvo type="num" val="0"/>
      </iconSet>
    </cfRule>
  </conditionalFormatting>
  <conditionalFormatting sqref="R229:S229">
    <cfRule type="iconSet" priority="604">
      <iconSet iconSet="3Symbols2" showValue="0">
        <cfvo type="percent" val="0"/>
        <cfvo type="num" val="0"/>
        <cfvo type="num" val="0"/>
      </iconSet>
    </cfRule>
  </conditionalFormatting>
  <conditionalFormatting sqref="R104:S104">
    <cfRule type="iconSet" priority="603">
      <iconSet iconSet="3Symbols2" showValue="0">
        <cfvo type="percent" val="0"/>
        <cfvo type="num" val="0"/>
        <cfvo type="num" val="0"/>
      </iconSet>
    </cfRule>
  </conditionalFormatting>
  <conditionalFormatting sqref="R7:S7">
    <cfRule type="iconSet" priority="602">
      <iconSet iconSet="3Symbols2" showValue="0">
        <cfvo type="percent" val="0"/>
        <cfvo type="num" val="0"/>
        <cfvo type="num" val="0"/>
      </iconSet>
    </cfRule>
  </conditionalFormatting>
  <conditionalFormatting sqref="R45:S45">
    <cfRule type="iconSet" priority="601">
      <iconSet iconSet="3Symbols2" showValue="0">
        <cfvo type="percent" val="0"/>
        <cfvo type="num" val="0"/>
        <cfvo type="num" val="0"/>
      </iconSet>
    </cfRule>
  </conditionalFormatting>
  <conditionalFormatting sqref="R116:S116">
    <cfRule type="iconSet" priority="595">
      <iconSet iconSet="3Symbols2" showValue="0">
        <cfvo type="percent" val="0"/>
        <cfvo type="num" val="0"/>
        <cfvo type="num" val="0"/>
      </iconSet>
    </cfRule>
  </conditionalFormatting>
  <conditionalFormatting sqref="R126:S126">
    <cfRule type="iconSet" priority="594">
      <iconSet iconSet="3Symbols2" showValue="0">
        <cfvo type="percent" val="0"/>
        <cfvo type="num" val="0"/>
        <cfvo type="num" val="0"/>
      </iconSet>
    </cfRule>
  </conditionalFormatting>
  <conditionalFormatting sqref="R136:S136">
    <cfRule type="iconSet" priority="592">
      <iconSet iconSet="3Symbols2" showValue="0">
        <cfvo type="percent" val="0"/>
        <cfvo type="num" val="0"/>
        <cfvo type="num" val="0"/>
      </iconSet>
    </cfRule>
  </conditionalFormatting>
  <conditionalFormatting sqref="R158:S158 R170:S170 R182:S182">
    <cfRule type="iconSet" priority="591">
      <iconSet iconSet="3Symbols2" showValue="0">
        <cfvo type="percent" val="0"/>
        <cfvo type="num" val="0"/>
        <cfvo type="num" val="0"/>
      </iconSet>
    </cfRule>
  </conditionalFormatting>
  <conditionalFormatting sqref="R93:S93">
    <cfRule type="iconSet" priority="588">
      <iconSet iconSet="3Symbols2" showValue="0">
        <cfvo type="percent" val="0"/>
        <cfvo type="num" val="0"/>
        <cfvo type="num" val="0"/>
      </iconSet>
    </cfRule>
  </conditionalFormatting>
  <conditionalFormatting sqref="R118:S125">
    <cfRule type="iconSet" priority="587">
      <iconSet iconSet="3Symbols2" showValue="0">
        <cfvo type="percent" val="0"/>
        <cfvo type="num" val="0"/>
        <cfvo type="num" val="0"/>
      </iconSet>
    </cfRule>
  </conditionalFormatting>
  <conditionalFormatting sqref="T296:U297 T128:U135 T106:U115">
    <cfRule type="iconSet" priority="584">
      <iconSet iconSet="3Symbols2" showValue="0">
        <cfvo type="percent" val="0"/>
        <cfvo type="num" val="0"/>
        <cfvo type="num" val="0"/>
      </iconSet>
    </cfRule>
  </conditionalFormatting>
  <conditionalFormatting sqref="T8:U8">
    <cfRule type="iconSet" priority="582">
      <iconSet iconSet="3Symbols2" showValue="0">
        <cfvo type="percent" val="0"/>
        <cfvo type="num" val="0"/>
        <cfvo type="num" val="0"/>
      </iconSet>
    </cfRule>
  </conditionalFormatting>
  <conditionalFormatting sqref="T105:U105">
    <cfRule type="iconSet" priority="578">
      <iconSet iconSet="3Symbols2" showValue="0">
        <cfvo type="percent" val="0"/>
        <cfvo type="num" val="0"/>
        <cfvo type="num" val="0"/>
      </iconSet>
    </cfRule>
  </conditionalFormatting>
  <conditionalFormatting sqref="T117:U117">
    <cfRule type="iconSet" priority="577">
      <iconSet iconSet="3Symbols2" showValue="0">
        <cfvo type="percent" val="0"/>
        <cfvo type="num" val="0"/>
        <cfvo type="num" val="0"/>
      </iconSet>
    </cfRule>
  </conditionalFormatting>
  <conditionalFormatting sqref="T127:U127">
    <cfRule type="iconSet" priority="576">
      <iconSet iconSet="3Symbols2" showValue="0">
        <cfvo type="percent" val="0"/>
        <cfvo type="num" val="0"/>
        <cfvo type="num" val="0"/>
      </iconSet>
    </cfRule>
  </conditionalFormatting>
  <conditionalFormatting sqref="T137:U137">
    <cfRule type="iconSet" priority="575">
      <iconSet iconSet="3Symbols2" showValue="0">
        <cfvo type="percent" val="0"/>
        <cfvo type="num" val="0"/>
        <cfvo type="num" val="0"/>
      </iconSet>
    </cfRule>
  </conditionalFormatting>
  <conditionalFormatting sqref="T229:U229">
    <cfRule type="iconSet" priority="574">
      <iconSet iconSet="3Symbols2" showValue="0">
        <cfvo type="percent" val="0"/>
        <cfvo type="num" val="0"/>
        <cfvo type="num" val="0"/>
      </iconSet>
    </cfRule>
  </conditionalFormatting>
  <conditionalFormatting sqref="T104:U104">
    <cfRule type="iconSet" priority="573">
      <iconSet iconSet="3Symbols2" showValue="0">
        <cfvo type="percent" val="0"/>
        <cfvo type="num" val="0"/>
        <cfvo type="num" val="0"/>
      </iconSet>
    </cfRule>
  </conditionalFormatting>
  <conditionalFormatting sqref="T7:U7">
    <cfRule type="iconSet" priority="572">
      <iconSet iconSet="3Symbols2" showValue="0">
        <cfvo type="percent" val="0"/>
        <cfvo type="num" val="0"/>
        <cfvo type="num" val="0"/>
      </iconSet>
    </cfRule>
  </conditionalFormatting>
  <conditionalFormatting sqref="T45:U45">
    <cfRule type="iconSet" priority="571">
      <iconSet iconSet="3Symbols2" showValue="0">
        <cfvo type="percent" val="0"/>
        <cfvo type="num" val="0"/>
        <cfvo type="num" val="0"/>
      </iconSet>
    </cfRule>
  </conditionalFormatting>
  <conditionalFormatting sqref="T116:U116">
    <cfRule type="iconSet" priority="565">
      <iconSet iconSet="3Symbols2" showValue="0">
        <cfvo type="percent" val="0"/>
        <cfvo type="num" val="0"/>
        <cfvo type="num" val="0"/>
      </iconSet>
    </cfRule>
  </conditionalFormatting>
  <conditionalFormatting sqref="T126:U126">
    <cfRule type="iconSet" priority="564">
      <iconSet iconSet="3Symbols2" showValue="0">
        <cfvo type="percent" val="0"/>
        <cfvo type="num" val="0"/>
        <cfvo type="num" val="0"/>
      </iconSet>
    </cfRule>
  </conditionalFormatting>
  <conditionalFormatting sqref="T136:U136">
    <cfRule type="iconSet" priority="562">
      <iconSet iconSet="3Symbols2" showValue="0">
        <cfvo type="percent" val="0"/>
        <cfvo type="num" val="0"/>
        <cfvo type="num" val="0"/>
      </iconSet>
    </cfRule>
  </conditionalFormatting>
  <conditionalFormatting sqref="T158:U158 T170:U170 T182:U182">
    <cfRule type="iconSet" priority="561">
      <iconSet iconSet="3Symbols2" showValue="0">
        <cfvo type="percent" val="0"/>
        <cfvo type="num" val="0"/>
        <cfvo type="num" val="0"/>
      </iconSet>
    </cfRule>
  </conditionalFormatting>
  <conditionalFormatting sqref="T93:U93">
    <cfRule type="iconSet" priority="558">
      <iconSet iconSet="3Symbols2" showValue="0">
        <cfvo type="percent" val="0"/>
        <cfvo type="num" val="0"/>
        <cfvo type="num" val="0"/>
      </iconSet>
    </cfRule>
  </conditionalFormatting>
  <conditionalFormatting sqref="T118:U125">
    <cfRule type="iconSet" priority="557">
      <iconSet iconSet="3Symbols2" showValue="0">
        <cfvo type="percent" val="0"/>
        <cfvo type="num" val="0"/>
        <cfvo type="num" val="0"/>
      </iconSet>
    </cfRule>
  </conditionalFormatting>
  <conditionalFormatting sqref="T247:U248">
    <cfRule type="iconSet" priority="893">
      <iconSet iconSet="3Symbols2" showValue="0">
        <cfvo type="percent" val="0"/>
        <cfvo type="num" val="0"/>
        <cfvo type="num" val="0"/>
      </iconSet>
    </cfRule>
  </conditionalFormatting>
  <conditionalFormatting sqref="P148:P157 Q138:Q140 O147:P147 L147:M147 Q142:Q146">
    <cfRule type="iconSet" priority="901">
      <iconSet iconSet="3Symbols2" showValue="0">
        <cfvo type="percent" val="0"/>
        <cfvo type="num" val="0"/>
        <cfvo type="num" val="0"/>
      </iconSet>
    </cfRule>
  </conditionalFormatting>
  <conditionalFormatting sqref="Q118:Q125">
    <cfRule type="iconSet" priority="412">
      <iconSet iconSet="3Symbols2" showValue="0">
        <cfvo type="percent" val="0"/>
        <cfvo type="num" val="0"/>
        <cfvo type="num" val="0"/>
      </iconSet>
    </cfRule>
  </conditionalFormatting>
  <conditionalFormatting sqref="Q94:Q98">
    <cfRule type="iconSet" priority="398">
      <iconSet iconSet="3Symbols2" showValue="0">
        <cfvo type="percent" val="0"/>
        <cfvo type="num" val="0"/>
        <cfvo type="num" val="0"/>
      </iconSet>
    </cfRule>
  </conditionalFormatting>
  <conditionalFormatting sqref="R94:S98">
    <cfRule type="iconSet" priority="402">
      <iconSet iconSet="3Symbols2" showValue="0">
        <cfvo type="percent" val="0"/>
        <cfvo type="num" val="0"/>
        <cfvo type="num" val="0"/>
      </iconSet>
    </cfRule>
  </conditionalFormatting>
  <conditionalFormatting sqref="T94:U98">
    <cfRule type="iconSet" priority="403">
      <iconSet iconSet="3Symbols2" showValue="0">
        <cfvo type="percent" val="0"/>
        <cfvo type="num" val="0"/>
        <cfvo type="num" val="0"/>
      </iconSet>
    </cfRule>
  </conditionalFormatting>
  <conditionalFormatting sqref="Q99">
    <cfRule type="iconSet" priority="384">
      <iconSet iconSet="3Symbols2" showValue="0">
        <cfvo type="percent" val="0"/>
        <cfvo type="num" val="0"/>
        <cfvo type="num" val="0"/>
      </iconSet>
    </cfRule>
  </conditionalFormatting>
  <conditionalFormatting sqref="R99:S102">
    <cfRule type="iconSet" priority="388">
      <iconSet iconSet="3Symbols2" showValue="0">
        <cfvo type="percent" val="0"/>
        <cfvo type="num" val="0"/>
        <cfvo type="num" val="0"/>
      </iconSet>
    </cfRule>
  </conditionalFormatting>
  <conditionalFormatting sqref="T99:U99 T100:T102">
    <cfRule type="iconSet" priority="389">
      <iconSet iconSet="3Symbols2" showValue="0">
        <cfvo type="percent" val="0"/>
        <cfvo type="num" val="0"/>
        <cfvo type="num" val="0"/>
      </iconSet>
    </cfRule>
  </conditionalFormatting>
  <conditionalFormatting sqref="K298:P1048576">
    <cfRule type="iconSet" priority="75466">
      <iconSet iconSet="3Symbols2" showValue="0">
        <cfvo type="percent" val="0"/>
        <cfvo type="num" val="0"/>
        <cfvo type="num" val="0"/>
      </iconSet>
    </cfRule>
  </conditionalFormatting>
  <conditionalFormatting sqref="K8">
    <cfRule type="iconSet" priority="75468">
      <iconSet iconSet="3Symbols2" showValue="0">
        <cfvo type="percent" val="0"/>
        <cfvo type="num" val="0"/>
        <cfvo type="num" val="0"/>
      </iconSet>
    </cfRule>
  </conditionalFormatting>
  <conditionalFormatting sqref="K105:P105">
    <cfRule type="iconSet" priority="75472">
      <iconSet iconSet="3Symbols2" showValue="0">
        <cfvo type="percent" val="0"/>
        <cfvo type="num" val="0"/>
        <cfvo type="num" val="0"/>
      </iconSet>
    </cfRule>
  </conditionalFormatting>
  <conditionalFormatting sqref="K117:P117">
    <cfRule type="iconSet" priority="75473">
      <iconSet iconSet="3Symbols2" showValue="0">
        <cfvo type="percent" val="0"/>
        <cfvo type="num" val="0"/>
        <cfvo type="num" val="0"/>
      </iconSet>
    </cfRule>
  </conditionalFormatting>
  <conditionalFormatting sqref="K127:P127">
    <cfRule type="iconSet" priority="75474">
      <iconSet iconSet="3Symbols2" showValue="0">
        <cfvo type="percent" val="0"/>
        <cfvo type="num" val="0"/>
        <cfvo type="num" val="0"/>
      </iconSet>
    </cfRule>
  </conditionalFormatting>
  <conditionalFormatting sqref="K137:P137">
    <cfRule type="iconSet" priority="75475">
      <iconSet iconSet="3Symbols2" showValue="0">
        <cfvo type="percent" val="0"/>
        <cfvo type="num" val="0"/>
        <cfvo type="num" val="0"/>
      </iconSet>
    </cfRule>
  </conditionalFormatting>
  <conditionalFormatting sqref="K229">
    <cfRule type="iconSet" priority="75476">
      <iconSet iconSet="3Symbols2" showValue="0">
        <cfvo type="percent" val="0"/>
        <cfvo type="num" val="0"/>
        <cfvo type="num" val="0"/>
      </iconSet>
    </cfRule>
  </conditionalFormatting>
  <conditionalFormatting sqref="K104">
    <cfRule type="iconSet" priority="75488">
      <iconSet iconSet="3Symbols2" showValue="0">
        <cfvo type="percent" val="0"/>
        <cfvo type="num" val="0"/>
        <cfvo type="num" val="0"/>
      </iconSet>
    </cfRule>
  </conditionalFormatting>
  <conditionalFormatting sqref="K7:P7">
    <cfRule type="iconSet" priority="75489">
      <iconSet iconSet="3Symbols2" showValue="0">
        <cfvo type="percent" val="0"/>
        <cfvo type="num" val="0"/>
        <cfvo type="num" val="0"/>
      </iconSet>
    </cfRule>
  </conditionalFormatting>
  <conditionalFormatting sqref="K45:M45">
    <cfRule type="iconSet" priority="75490">
      <iconSet iconSet="3Symbols2" showValue="0">
        <cfvo type="percent" val="0"/>
        <cfvo type="num" val="0"/>
        <cfvo type="num" val="0"/>
      </iconSet>
    </cfRule>
  </conditionalFormatting>
  <conditionalFormatting sqref="K116:P116">
    <cfRule type="iconSet" priority="75496">
      <iconSet iconSet="3Symbols2" showValue="0">
        <cfvo type="percent" val="0"/>
        <cfvo type="num" val="0"/>
        <cfvo type="num" val="0"/>
      </iconSet>
    </cfRule>
  </conditionalFormatting>
  <conditionalFormatting sqref="K126:P126">
    <cfRule type="iconSet" priority="75497">
      <iconSet iconSet="3Symbols2" showValue="0">
        <cfvo type="percent" val="0"/>
        <cfvo type="num" val="0"/>
        <cfvo type="num" val="0"/>
      </iconSet>
    </cfRule>
  </conditionalFormatting>
  <conditionalFormatting sqref="K136:P136">
    <cfRule type="iconSet" priority="75499">
      <iconSet iconSet="3Symbols2" showValue="0">
        <cfvo type="percent" val="0"/>
        <cfvo type="num" val="0"/>
        <cfvo type="num" val="0"/>
      </iconSet>
    </cfRule>
  </conditionalFormatting>
  <conditionalFormatting sqref="K158:P158 K170:P170 K182:P182">
    <cfRule type="iconSet" priority="75500">
      <iconSet iconSet="3Symbols2" showValue="0">
        <cfvo type="percent" val="0"/>
        <cfvo type="num" val="0"/>
        <cfvo type="num" val="0"/>
      </iconSet>
    </cfRule>
  </conditionalFormatting>
  <conditionalFormatting sqref="L93:M93">
    <cfRule type="iconSet" priority="75501">
      <iconSet iconSet="3Symbols2" showValue="0">
        <cfvo type="percent" val="0"/>
        <cfvo type="num" val="0"/>
        <cfvo type="num" val="0"/>
      </iconSet>
    </cfRule>
  </conditionalFormatting>
  <conditionalFormatting sqref="K296:P297 K93 K138:K157 K9:K19 K118:K125 K128:P135 K106:P115 K247:K248 K28">
    <cfRule type="iconSet" priority="75538">
      <iconSet iconSet="3Symbols2" showValue="0">
        <cfvo type="percent" val="0"/>
        <cfvo type="num" val="0"/>
        <cfvo type="num" val="0"/>
      </iconSet>
    </cfRule>
  </conditionalFormatting>
  <conditionalFormatting sqref="L118:M125 O118:P125">
    <cfRule type="iconSet" priority="75560">
      <iconSet iconSet="3Symbols2" showValue="0">
        <cfvo type="percent" val="0"/>
        <cfvo type="num" val="0"/>
        <cfvo type="num" val="0"/>
      </iconSet>
    </cfRule>
  </conditionalFormatting>
  <conditionalFormatting sqref="M142:M147 M1:M3 M158:M159 M170:M171 M182:M183 M194:M195 M201:M202 L38:L44 M5:M20 L21:M26 M27:M99 M103:M140 M228:M1048576">
    <cfRule type="iconSet" priority="75561">
      <iconSet iconSet="3Symbols2" showValue="0">
        <cfvo type="percent" val="0"/>
        <cfvo type="num" val="0"/>
        <cfvo type="num" val="0"/>
      </iconSet>
    </cfRule>
  </conditionalFormatting>
  <conditionalFormatting sqref="K96:K98 K94 K95:M95">
    <cfRule type="iconSet" priority="75562">
      <iconSet iconSet="3Symbols2" showValue="0">
        <cfvo type="percent" val="0"/>
        <cfvo type="num" val="0"/>
        <cfvo type="num" val="0"/>
      </iconSet>
    </cfRule>
  </conditionalFormatting>
  <conditionalFormatting sqref="L96:M98">
    <cfRule type="iconSet" priority="75564">
      <iconSet iconSet="3Symbols2" showValue="0">
        <cfvo type="percent" val="0"/>
        <cfvo type="num" val="0"/>
        <cfvo type="num" val="0"/>
      </iconSet>
    </cfRule>
  </conditionalFormatting>
  <conditionalFormatting sqref="K100:K102 K99:M99">
    <cfRule type="iconSet" priority="75565">
      <iconSet iconSet="3Symbols2" showValue="0">
        <cfvo type="percent" val="0"/>
        <cfvo type="num" val="0"/>
        <cfvo type="num" val="0"/>
      </iconSet>
    </cfRule>
  </conditionalFormatting>
  <conditionalFormatting sqref="R4:U4">
    <cfRule type="iconSet" priority="378">
      <iconSet iconSet="3Symbols2" showValue="0">
        <cfvo type="percent" val="0"/>
        <cfvo type="num" val="0"/>
        <cfvo type="num" val="1"/>
      </iconSet>
    </cfRule>
  </conditionalFormatting>
  <conditionalFormatting sqref="O148:O157">
    <cfRule type="iconSet" priority="366">
      <iconSet iconSet="3Symbols2" showValue="0">
        <cfvo type="percent" val="0"/>
        <cfvo type="num" val="0"/>
        <cfvo type="num" val="0"/>
      </iconSet>
    </cfRule>
  </conditionalFormatting>
  <conditionalFormatting sqref="R138:S140 R142:S157 S141">
    <cfRule type="iconSet" priority="93238">
      <iconSet iconSet="3Symbols2" showValue="0">
        <cfvo type="percent" val="0"/>
        <cfvo type="num" val="0"/>
        <cfvo type="num" val="0"/>
      </iconSet>
    </cfRule>
  </conditionalFormatting>
  <conditionalFormatting sqref="T138:U147 T148:T157">
    <cfRule type="iconSet" priority="93240">
      <iconSet iconSet="3Symbols2" showValue="0">
        <cfvo type="percent" val="0"/>
        <cfvo type="num" val="0"/>
        <cfvo type="num" val="0"/>
      </iconSet>
    </cfRule>
  </conditionalFormatting>
  <conditionalFormatting sqref="J296:J1048576 J1:J10 L184:L227 J20:J47 J56:J140 J142:J229 J246:J248">
    <cfRule type="iconSet" priority="334">
      <iconSet iconSet="3Symbols2" showValue="0">
        <cfvo type="percent" val="0"/>
        <cfvo type="num" val="0"/>
        <cfvo type="num" val="1"/>
      </iconSet>
    </cfRule>
  </conditionalFormatting>
  <conditionalFormatting sqref="N147:N157">
    <cfRule type="iconSet" priority="333">
      <iconSet iconSet="3Symbols2" showValue="0">
        <cfvo type="percent" val="0"/>
        <cfvo type="num" val="0"/>
        <cfvo type="num" val="0"/>
      </iconSet>
    </cfRule>
  </conditionalFormatting>
  <conditionalFormatting sqref="N118:N125">
    <cfRule type="iconSet" priority="328">
      <iconSet iconSet="3Symbols2" showValue="0">
        <cfvo type="percent" val="0"/>
        <cfvo type="num" val="0"/>
        <cfvo type="num" val="0"/>
      </iconSet>
    </cfRule>
  </conditionalFormatting>
  <conditionalFormatting sqref="N1:N3 O16:P102 N5:N1048576">
    <cfRule type="iconSet" priority="327">
      <iconSet iconSet="3Symbols2" showValue="0">
        <cfvo type="percent" val="0"/>
        <cfvo type="num" val="0"/>
        <cfvo type="num" val="0"/>
      </iconSet>
    </cfRule>
  </conditionalFormatting>
  <conditionalFormatting sqref="L148:L157 L100:L102">
    <cfRule type="iconSet" priority="322">
      <iconSet iconSet="3Symbols2" showValue="0">
        <cfvo type="percent" val="0"/>
        <cfvo type="num" val="0"/>
        <cfvo type="num" val="0"/>
      </iconSet>
    </cfRule>
  </conditionalFormatting>
  <conditionalFormatting sqref="L148:L157">
    <cfRule type="iconSet" priority="321">
      <iconSet iconSet="3Symbols2" showValue="0">
        <cfvo type="percent" val="0"/>
        <cfvo type="num" val="0"/>
        <cfvo type="num" val="0"/>
      </iconSet>
    </cfRule>
  </conditionalFormatting>
  <conditionalFormatting sqref="L141:M141">
    <cfRule type="iconSet" priority="320">
      <iconSet iconSet="3Symbols2" showValue="0">
        <cfvo type="percent" val="0"/>
        <cfvo type="num" val="0"/>
        <cfvo type="num" val="1"/>
      </iconSet>
    </cfRule>
  </conditionalFormatting>
  <conditionalFormatting sqref="Q159">
    <cfRule type="iconSet" priority="319">
      <iconSet iconSet="3Symbols2" showValue="0">
        <cfvo type="percent" val="0"/>
        <cfvo type="num" val="0"/>
        <cfvo type="num" val="0"/>
      </iconSet>
    </cfRule>
  </conditionalFormatting>
  <conditionalFormatting sqref="P160:P169 O159:P159 L159:M159">
    <cfRule type="iconSet" priority="318">
      <iconSet iconSet="3Symbols2" showValue="0">
        <cfvo type="percent" val="0"/>
        <cfvo type="num" val="0"/>
        <cfvo type="num" val="0"/>
      </iconSet>
    </cfRule>
  </conditionalFormatting>
  <conditionalFormatting sqref="K159:K169">
    <cfRule type="iconSet" priority="317">
      <iconSet iconSet="3Symbols2" showValue="0">
        <cfvo type="percent" val="0"/>
        <cfvo type="num" val="0"/>
        <cfvo type="num" val="0"/>
      </iconSet>
    </cfRule>
  </conditionalFormatting>
  <conditionalFormatting sqref="O160:O169">
    <cfRule type="iconSet" priority="316">
      <iconSet iconSet="3Symbols2" showValue="0">
        <cfvo type="percent" val="0"/>
        <cfvo type="num" val="0"/>
        <cfvo type="num" val="0"/>
      </iconSet>
    </cfRule>
  </conditionalFormatting>
  <conditionalFormatting sqref="R159:S169">
    <cfRule type="iconSet" priority="315">
      <iconSet iconSet="3Symbols2" showValue="0">
        <cfvo type="percent" val="0"/>
        <cfvo type="num" val="0"/>
        <cfvo type="num" val="0"/>
      </iconSet>
    </cfRule>
  </conditionalFormatting>
  <conditionalFormatting sqref="T159:U159 T160:T169">
    <cfRule type="iconSet" priority="314">
      <iconSet iconSet="3Symbols2" showValue="0">
        <cfvo type="percent" val="0"/>
        <cfvo type="num" val="0"/>
        <cfvo type="num" val="0"/>
      </iconSet>
    </cfRule>
  </conditionalFormatting>
  <conditionalFormatting sqref="N159:N169">
    <cfRule type="iconSet" priority="313">
      <iconSet iconSet="3Symbols2" showValue="0">
        <cfvo type="percent" val="0"/>
        <cfvo type="num" val="0"/>
        <cfvo type="num" val="0"/>
      </iconSet>
    </cfRule>
  </conditionalFormatting>
  <conditionalFormatting sqref="L160:L169">
    <cfRule type="iconSet" priority="312">
      <iconSet iconSet="3Symbols2" showValue="0">
        <cfvo type="percent" val="0"/>
        <cfvo type="num" val="0"/>
        <cfvo type="num" val="0"/>
      </iconSet>
    </cfRule>
  </conditionalFormatting>
  <conditionalFormatting sqref="L160:L169">
    <cfRule type="iconSet" priority="311">
      <iconSet iconSet="3Symbols2" showValue="0">
        <cfvo type="percent" val="0"/>
        <cfvo type="num" val="0"/>
        <cfvo type="num" val="0"/>
      </iconSet>
    </cfRule>
  </conditionalFormatting>
  <conditionalFormatting sqref="Q171">
    <cfRule type="iconSet" priority="310">
      <iconSet iconSet="3Symbols2" showValue="0">
        <cfvo type="percent" val="0"/>
        <cfvo type="num" val="0"/>
        <cfvo type="num" val="0"/>
      </iconSet>
    </cfRule>
  </conditionalFormatting>
  <conditionalFormatting sqref="P172:P181 O171:P171 L171:M171">
    <cfRule type="iconSet" priority="309">
      <iconSet iconSet="3Symbols2" showValue="0">
        <cfvo type="percent" val="0"/>
        <cfvo type="num" val="0"/>
        <cfvo type="num" val="0"/>
      </iconSet>
    </cfRule>
  </conditionalFormatting>
  <conditionalFormatting sqref="K171:K181">
    <cfRule type="iconSet" priority="308">
      <iconSet iconSet="3Symbols2" showValue="0">
        <cfvo type="percent" val="0"/>
        <cfvo type="num" val="0"/>
        <cfvo type="num" val="0"/>
      </iconSet>
    </cfRule>
  </conditionalFormatting>
  <conditionalFormatting sqref="O172:O181">
    <cfRule type="iconSet" priority="307">
      <iconSet iconSet="3Symbols2" showValue="0">
        <cfvo type="percent" val="0"/>
        <cfvo type="num" val="0"/>
        <cfvo type="num" val="0"/>
      </iconSet>
    </cfRule>
  </conditionalFormatting>
  <conditionalFormatting sqref="R171:S171">
    <cfRule type="iconSet" priority="306">
      <iconSet iconSet="3Symbols2" showValue="0">
        <cfvo type="percent" val="0"/>
        <cfvo type="num" val="0"/>
        <cfvo type="num" val="0"/>
      </iconSet>
    </cfRule>
  </conditionalFormatting>
  <conditionalFormatting sqref="T171:U171">
    <cfRule type="iconSet" priority="305">
      <iconSet iconSet="3Symbols2" showValue="0">
        <cfvo type="percent" val="0"/>
        <cfvo type="num" val="0"/>
        <cfvo type="num" val="0"/>
      </iconSet>
    </cfRule>
  </conditionalFormatting>
  <conditionalFormatting sqref="N171:N181">
    <cfRule type="iconSet" priority="304">
      <iconSet iconSet="3Symbols2" showValue="0">
        <cfvo type="percent" val="0"/>
        <cfvo type="num" val="0"/>
        <cfvo type="num" val="0"/>
      </iconSet>
    </cfRule>
  </conditionalFormatting>
  <conditionalFormatting sqref="L172:L181">
    <cfRule type="iconSet" priority="303">
      <iconSet iconSet="3Symbols2" showValue="0">
        <cfvo type="percent" val="0"/>
        <cfvo type="num" val="0"/>
        <cfvo type="num" val="0"/>
      </iconSet>
    </cfRule>
  </conditionalFormatting>
  <conditionalFormatting sqref="L172:L181">
    <cfRule type="iconSet" priority="302">
      <iconSet iconSet="3Symbols2" showValue="0">
        <cfvo type="percent" val="0"/>
        <cfvo type="num" val="0"/>
        <cfvo type="num" val="0"/>
      </iconSet>
    </cfRule>
  </conditionalFormatting>
  <conditionalFormatting sqref="E38">
    <cfRule type="expression" dxfId="104" priority="301">
      <formula>OR(CELL("col")=COLUMN(),CELL("rom")=ROW())</formula>
    </cfRule>
  </conditionalFormatting>
  <conditionalFormatting sqref="D20:E20">
    <cfRule type="expression" dxfId="103" priority="297">
      <formula>OR(CELL("col")=COLUMN(),CELL("rom")=ROW())</formula>
    </cfRule>
  </conditionalFormatting>
  <conditionalFormatting sqref="Q11:Q19">
    <cfRule type="iconSet" priority="296">
      <iconSet iconSet="3Symbols2" showValue="0">
        <cfvo type="percent" val="0"/>
        <cfvo type="num" val="0"/>
        <cfvo type="num" val="0"/>
      </iconSet>
    </cfRule>
  </conditionalFormatting>
  <conditionalFormatting sqref="R11:R19">
    <cfRule type="iconSet" priority="295">
      <iconSet iconSet="3Symbols2" showValue="0">
        <cfvo type="percent" val="0"/>
        <cfvo type="num" val="0"/>
        <cfvo type="num" val="0"/>
      </iconSet>
    </cfRule>
  </conditionalFormatting>
  <conditionalFormatting sqref="Q141:R141">
    <cfRule type="iconSet" priority="294">
      <iconSet iconSet="3Symbols2" showValue="0">
        <cfvo type="percent" val="0"/>
        <cfvo type="num" val="0"/>
        <cfvo type="num" val="1"/>
      </iconSet>
    </cfRule>
  </conditionalFormatting>
  <conditionalFormatting sqref="Q183">
    <cfRule type="iconSet" priority="292">
      <iconSet iconSet="3Symbols2" showValue="0">
        <cfvo type="percent" val="0"/>
        <cfvo type="num" val="0"/>
        <cfvo type="num" val="0"/>
      </iconSet>
    </cfRule>
  </conditionalFormatting>
  <conditionalFormatting sqref="Q195">
    <cfRule type="iconSet" priority="291">
      <iconSet iconSet="3Symbols2" showValue="0">
        <cfvo type="percent" val="0"/>
        <cfvo type="num" val="0"/>
        <cfvo type="num" val="0"/>
      </iconSet>
    </cfRule>
  </conditionalFormatting>
  <conditionalFormatting sqref="Q202">
    <cfRule type="iconSet" priority="290">
      <iconSet iconSet="3Symbols2" showValue="0">
        <cfvo type="percent" val="0"/>
        <cfvo type="num" val="0"/>
        <cfvo type="num" val="0"/>
      </iconSet>
    </cfRule>
  </conditionalFormatting>
  <conditionalFormatting sqref="Q194">
    <cfRule type="iconSet" priority="289">
      <iconSet iconSet="3Symbols2" showValue="0">
        <cfvo type="percent" val="0"/>
        <cfvo type="num" val="0"/>
        <cfvo type="num" val="0"/>
      </iconSet>
    </cfRule>
  </conditionalFormatting>
  <conditionalFormatting sqref="Q201">
    <cfRule type="iconSet" priority="287">
      <iconSet iconSet="3Symbols2" showValue="0">
        <cfvo type="percent" val="0"/>
        <cfvo type="num" val="0"/>
        <cfvo type="num" val="0"/>
      </iconSet>
    </cfRule>
  </conditionalFormatting>
  <conditionalFormatting sqref="R183:S183">
    <cfRule type="iconSet" priority="285">
      <iconSet iconSet="3Symbols2" showValue="0">
        <cfvo type="percent" val="0"/>
        <cfvo type="num" val="0"/>
        <cfvo type="num" val="0"/>
      </iconSet>
    </cfRule>
  </conditionalFormatting>
  <conditionalFormatting sqref="R195:S195">
    <cfRule type="iconSet" priority="284">
      <iconSet iconSet="3Symbols2" showValue="0">
        <cfvo type="percent" val="0"/>
        <cfvo type="num" val="0"/>
        <cfvo type="num" val="0"/>
      </iconSet>
    </cfRule>
  </conditionalFormatting>
  <conditionalFormatting sqref="R202:S202">
    <cfRule type="iconSet" priority="283">
      <iconSet iconSet="3Symbols2" showValue="0">
        <cfvo type="percent" val="0"/>
        <cfvo type="num" val="0"/>
        <cfvo type="num" val="0"/>
      </iconSet>
    </cfRule>
  </conditionalFormatting>
  <conditionalFormatting sqref="R194:S194">
    <cfRule type="iconSet" priority="282">
      <iconSet iconSet="3Symbols2" showValue="0">
        <cfvo type="percent" val="0"/>
        <cfvo type="num" val="0"/>
        <cfvo type="num" val="0"/>
      </iconSet>
    </cfRule>
  </conditionalFormatting>
  <conditionalFormatting sqref="R201:S201">
    <cfRule type="iconSet" priority="280">
      <iconSet iconSet="3Symbols2" showValue="0">
        <cfvo type="percent" val="0"/>
        <cfvo type="num" val="0"/>
        <cfvo type="num" val="0"/>
      </iconSet>
    </cfRule>
  </conditionalFormatting>
  <conditionalFormatting sqref="T183:U183">
    <cfRule type="iconSet" priority="277">
      <iconSet iconSet="3Symbols2" showValue="0">
        <cfvo type="percent" val="0"/>
        <cfvo type="num" val="0"/>
        <cfvo type="num" val="0"/>
      </iconSet>
    </cfRule>
  </conditionalFormatting>
  <conditionalFormatting sqref="T195:U195">
    <cfRule type="iconSet" priority="276">
      <iconSet iconSet="3Symbols2" showValue="0">
        <cfvo type="percent" val="0"/>
        <cfvo type="num" val="0"/>
        <cfvo type="num" val="0"/>
      </iconSet>
    </cfRule>
  </conditionalFormatting>
  <conditionalFormatting sqref="T202:U202">
    <cfRule type="iconSet" priority="275">
      <iconSet iconSet="3Symbols2" showValue="0">
        <cfvo type="percent" val="0"/>
        <cfvo type="num" val="0"/>
        <cfvo type="num" val="0"/>
      </iconSet>
    </cfRule>
  </conditionalFormatting>
  <conditionalFormatting sqref="T194:U194">
    <cfRule type="iconSet" priority="274">
      <iconSet iconSet="3Symbols2" showValue="0">
        <cfvo type="percent" val="0"/>
        <cfvo type="num" val="0"/>
        <cfvo type="num" val="0"/>
      </iconSet>
    </cfRule>
  </conditionalFormatting>
  <conditionalFormatting sqref="T201:U201">
    <cfRule type="iconSet" priority="272">
      <iconSet iconSet="3Symbols2" showValue="0">
        <cfvo type="percent" val="0"/>
        <cfvo type="num" val="0"/>
        <cfvo type="num" val="0"/>
      </iconSet>
    </cfRule>
  </conditionalFormatting>
  <conditionalFormatting sqref="Q228">
    <cfRule type="iconSet" priority="270">
      <iconSet iconSet="3Symbols2" showValue="0">
        <cfvo type="percent" val="0"/>
        <cfvo type="num" val="0"/>
        <cfvo type="num" val="0"/>
      </iconSet>
    </cfRule>
  </conditionalFormatting>
  <conditionalFormatting sqref="K183:P183">
    <cfRule type="iconSet" priority="268">
      <iconSet iconSet="3Symbols2" showValue="0">
        <cfvo type="percent" val="0"/>
        <cfvo type="num" val="0"/>
        <cfvo type="num" val="0"/>
      </iconSet>
    </cfRule>
  </conditionalFormatting>
  <conditionalFormatting sqref="K195 M195:N195 P195">
    <cfRule type="iconSet" priority="267">
      <iconSet iconSet="3Symbols2" showValue="0">
        <cfvo type="percent" val="0"/>
        <cfvo type="num" val="0"/>
        <cfvo type="num" val="0"/>
      </iconSet>
    </cfRule>
  </conditionalFormatting>
  <conditionalFormatting sqref="K202 M202:N202 P202">
    <cfRule type="iconSet" priority="266">
      <iconSet iconSet="3Symbols2" showValue="0">
        <cfvo type="percent" val="0"/>
        <cfvo type="num" val="0"/>
        <cfvo type="num" val="0"/>
      </iconSet>
    </cfRule>
  </conditionalFormatting>
  <conditionalFormatting sqref="K194 M194:N194 P194">
    <cfRule type="iconSet" priority="265">
      <iconSet iconSet="3Symbols2" showValue="0">
        <cfvo type="percent" val="0"/>
        <cfvo type="num" val="0"/>
        <cfvo type="num" val="0"/>
      </iconSet>
    </cfRule>
  </conditionalFormatting>
  <conditionalFormatting sqref="K201 M201:N201 P201">
    <cfRule type="iconSet" priority="263">
      <iconSet iconSet="3Symbols2" showValue="0">
        <cfvo type="percent" val="0"/>
        <cfvo type="num" val="0"/>
        <cfvo type="num" val="0"/>
      </iconSet>
    </cfRule>
  </conditionalFormatting>
  <conditionalFormatting sqref="K196:K200 N196:N200 P196:P200 K184:K193 K203:K228">
    <cfRule type="iconSet" priority="262">
      <iconSet iconSet="3Symbols2" showValue="0">
        <cfvo type="percent" val="0"/>
        <cfvo type="num" val="0"/>
        <cfvo type="num" val="0"/>
      </iconSet>
    </cfRule>
  </conditionalFormatting>
  <conditionalFormatting sqref="P184:P193">
    <cfRule type="iconSet" priority="261">
      <iconSet iconSet="3Symbols2" showValue="0">
        <cfvo type="percent" val="0"/>
        <cfvo type="num" val="0"/>
        <cfvo type="num" val="0"/>
      </iconSet>
    </cfRule>
  </conditionalFormatting>
  <conditionalFormatting sqref="R203:S205 S206 R207:S213 S214 R215:S221 S222 R223:S228">
    <cfRule type="iconSet" priority="260">
      <iconSet iconSet="3Symbols2" showValue="0">
        <cfvo type="percent" val="0"/>
        <cfvo type="num" val="0"/>
        <cfvo type="num" val="0"/>
      </iconSet>
    </cfRule>
  </conditionalFormatting>
  <conditionalFormatting sqref="T228:U228 T203:T227">
    <cfRule type="iconSet" priority="259">
      <iconSet iconSet="3Symbols2" showValue="0">
        <cfvo type="percent" val="0"/>
        <cfvo type="num" val="0"/>
        <cfvo type="num" val="0"/>
      </iconSet>
    </cfRule>
  </conditionalFormatting>
  <conditionalFormatting sqref="N184:N193">
    <cfRule type="iconSet" priority="258">
      <iconSet iconSet="3Symbols2" showValue="0">
        <cfvo type="percent" val="0"/>
        <cfvo type="num" val="0"/>
        <cfvo type="num" val="0"/>
      </iconSet>
    </cfRule>
  </conditionalFormatting>
  <conditionalFormatting sqref="R206">
    <cfRule type="iconSet" priority="256">
      <iconSet iconSet="3Symbols2" showValue="0">
        <cfvo type="percent" val="0"/>
        <cfvo type="num" val="0"/>
        <cfvo type="num" val="1"/>
      </iconSet>
    </cfRule>
  </conditionalFormatting>
  <conditionalFormatting sqref="M172:M181 M160:M169 M148:M157 M100:M102">
    <cfRule type="iconSet" priority="251">
      <iconSet iconSet="3Symbols2" showValue="0">
        <cfvo type="percent" val="0"/>
        <cfvo type="num" val="0"/>
        <cfvo type="num" val="0"/>
      </iconSet>
    </cfRule>
  </conditionalFormatting>
  <conditionalFormatting sqref="M172:M181">
    <cfRule type="iconSet" priority="250">
      <iconSet iconSet="3Symbols2" showValue="0">
        <cfvo type="percent" val="0"/>
        <cfvo type="num" val="0"/>
        <cfvo type="num" val="0"/>
      </iconSet>
    </cfRule>
  </conditionalFormatting>
  <conditionalFormatting sqref="M196:M200 M184:M193 M203:M227">
    <cfRule type="iconSet" priority="249">
      <iconSet iconSet="3Symbols2" showValue="0">
        <cfvo type="percent" val="0"/>
        <cfvo type="num" val="0"/>
        <cfvo type="num" val="1"/>
      </iconSet>
    </cfRule>
  </conditionalFormatting>
  <conditionalFormatting sqref="R196:R200">
    <cfRule type="iconSet" priority="108656">
      <iconSet iconSet="3Symbols2" showValue="0">
        <cfvo type="percent" val="0"/>
        <cfvo type="num" val="0"/>
        <cfvo type="num" val="0"/>
      </iconSet>
    </cfRule>
  </conditionalFormatting>
  <conditionalFormatting sqref="T196:U200">
    <cfRule type="iconSet" priority="108657">
      <iconSet iconSet="3Symbols2" showValue="0">
        <cfvo type="percent" val="0"/>
        <cfvo type="num" val="0"/>
        <cfvo type="num" val="0"/>
      </iconSet>
    </cfRule>
  </conditionalFormatting>
  <conditionalFormatting sqref="O184:O227">
    <cfRule type="iconSet" priority="108669">
      <iconSet iconSet="3Symbols2" showValue="0">
        <cfvo type="percent" val="0"/>
        <cfvo type="num" val="0"/>
        <cfvo type="num" val="1"/>
      </iconSet>
    </cfRule>
  </conditionalFormatting>
  <conditionalFormatting sqref="R214">
    <cfRule type="iconSet" priority="248">
      <iconSet iconSet="3Symbols2" showValue="0">
        <cfvo type="percent" val="0"/>
        <cfvo type="num" val="0"/>
        <cfvo type="num" val="1"/>
      </iconSet>
    </cfRule>
  </conditionalFormatting>
  <conditionalFormatting sqref="R222">
    <cfRule type="iconSet" priority="247">
      <iconSet iconSet="3Symbols2" showValue="0">
        <cfvo type="percent" val="0"/>
        <cfvo type="num" val="0"/>
        <cfvo type="num" val="1"/>
      </iconSet>
    </cfRule>
  </conditionalFormatting>
  <conditionalFormatting sqref="Q29:Q38">
    <cfRule type="iconSet" priority="108741">
      <iconSet iconSet="3Symbols2" showValue="0">
        <cfvo type="percent" val="0"/>
        <cfvo type="num" val="0"/>
        <cfvo type="num" val="0"/>
      </iconSet>
    </cfRule>
  </conditionalFormatting>
  <conditionalFormatting sqref="U29:U44">
    <cfRule type="iconSet" priority="108742">
      <iconSet iconSet="3Symbols2" showValue="0">
        <cfvo type="percent" val="0"/>
        <cfvo type="num" val="0"/>
        <cfvo type="num" val="0"/>
      </iconSet>
    </cfRule>
  </conditionalFormatting>
  <conditionalFormatting sqref="K29:K44">
    <cfRule type="iconSet" priority="108767">
      <iconSet iconSet="3Symbols2" showValue="0">
        <cfvo type="percent" val="0"/>
        <cfvo type="num" val="0"/>
        <cfvo type="num" val="0"/>
      </iconSet>
    </cfRule>
  </conditionalFormatting>
  <conditionalFormatting sqref="T29:T44 T9:U19 T28:U28 T20:T26">
    <cfRule type="iconSet" priority="108768">
      <iconSet iconSet="3Symbols2" showValue="0">
        <cfvo type="percent" val="0"/>
        <cfvo type="num" val="0"/>
        <cfvo type="num" val="0"/>
      </iconSet>
    </cfRule>
  </conditionalFormatting>
  <conditionalFormatting sqref="R28:S38 R9:S10 R20:S20 R21:R26 R39:R44">
    <cfRule type="iconSet" priority="108772">
      <iconSet iconSet="3Symbols2" showValue="0">
        <cfvo type="percent" val="0"/>
        <cfvo type="num" val="0"/>
        <cfvo type="num" val="0"/>
      </iconSet>
    </cfRule>
  </conditionalFormatting>
  <conditionalFormatting sqref="Q27">
    <cfRule type="iconSet" priority="246">
      <iconSet iconSet="3Symbols2" showValue="0">
        <cfvo type="percent" val="0"/>
        <cfvo type="num" val="0"/>
        <cfvo type="num" val="0"/>
      </iconSet>
    </cfRule>
  </conditionalFormatting>
  <conditionalFormatting sqref="R27:S27">
    <cfRule type="iconSet" priority="245">
      <iconSet iconSet="3Symbols2" showValue="0">
        <cfvo type="percent" val="0"/>
        <cfvo type="num" val="0"/>
        <cfvo type="num" val="0"/>
      </iconSet>
    </cfRule>
  </conditionalFormatting>
  <conditionalFormatting sqref="T27:U27">
    <cfRule type="iconSet" priority="244">
      <iconSet iconSet="3Symbols2" showValue="0">
        <cfvo type="percent" val="0"/>
        <cfvo type="num" val="0"/>
        <cfvo type="num" val="0"/>
      </iconSet>
    </cfRule>
  </conditionalFormatting>
  <conditionalFormatting sqref="K27:M27">
    <cfRule type="iconSet" priority="243">
      <iconSet iconSet="3Symbols2" showValue="0">
        <cfvo type="percent" val="0"/>
        <cfvo type="num" val="0"/>
        <cfvo type="num" val="0"/>
      </iconSet>
    </cfRule>
  </conditionalFormatting>
  <conditionalFormatting sqref="K21:K26">
    <cfRule type="iconSet" priority="241">
      <iconSet iconSet="3Symbols2" showValue="0">
        <cfvo type="percent" val="0"/>
        <cfvo type="num" val="0"/>
        <cfvo type="num" val="0"/>
      </iconSet>
    </cfRule>
  </conditionalFormatting>
  <conditionalFormatting sqref="K20">
    <cfRule type="iconSet" priority="108940">
      <iconSet iconSet="3Symbols2" showValue="0">
        <cfvo type="percent" val="0"/>
        <cfvo type="num" val="0"/>
        <cfvo type="num" val="0"/>
      </iconSet>
    </cfRule>
  </conditionalFormatting>
  <conditionalFormatting sqref="Q20">
    <cfRule type="iconSet" priority="108941">
      <iconSet iconSet="3Symbols2" showValue="0">
        <cfvo type="percent" val="0"/>
        <cfvo type="num" val="0"/>
        <cfvo type="num" val="0"/>
      </iconSet>
    </cfRule>
  </conditionalFormatting>
  <conditionalFormatting sqref="U20:U26">
    <cfRule type="iconSet" priority="108942">
      <iconSet iconSet="3Symbols2" showValue="0">
        <cfvo type="percent" val="0"/>
        <cfvo type="num" val="0"/>
        <cfvo type="num" val="0"/>
      </iconSet>
    </cfRule>
  </conditionalFormatting>
  <conditionalFormatting sqref="Q81:Q92 Q46:Q56 Q69">
    <cfRule type="iconSet" priority="109018">
      <iconSet iconSet="3Symbols2" showValue="0">
        <cfvo type="percent" val="0"/>
        <cfvo type="num" val="0"/>
        <cfvo type="num" val="0"/>
      </iconSet>
    </cfRule>
  </conditionalFormatting>
  <conditionalFormatting sqref="R81:S92 R46:S56 R69:S69">
    <cfRule type="iconSet" priority="109021">
      <iconSet iconSet="3Symbols2" showValue="0">
        <cfvo type="percent" val="0"/>
        <cfvo type="num" val="0"/>
        <cfvo type="num" val="0"/>
      </iconSet>
    </cfRule>
  </conditionalFormatting>
  <conditionalFormatting sqref="R70:R80">
    <cfRule type="iconSet" priority="240">
      <iconSet iconSet="3Symbols2" showValue="0">
        <cfvo type="percent" val="0"/>
        <cfvo type="num" val="0"/>
        <cfvo type="num" val="0"/>
      </iconSet>
    </cfRule>
  </conditionalFormatting>
  <conditionalFormatting sqref="Q70:Q80">
    <cfRule type="iconSet" priority="239">
      <iconSet iconSet="3Symbols2" showValue="0">
        <cfvo type="percent" val="0"/>
        <cfvo type="num" val="0"/>
        <cfvo type="num" val="0"/>
      </iconSet>
    </cfRule>
  </conditionalFormatting>
  <conditionalFormatting sqref="R70:R80">
    <cfRule type="iconSet" priority="238">
      <iconSet iconSet="3Symbols2" showValue="0">
        <cfvo type="percent" val="0"/>
        <cfvo type="num" val="0"/>
        <cfvo type="num" val="0"/>
      </iconSet>
    </cfRule>
  </conditionalFormatting>
  <conditionalFormatting sqref="S70:S80">
    <cfRule type="iconSet" priority="237">
      <iconSet iconSet="3Symbols2" showValue="0">
        <cfvo type="percent" val="0"/>
        <cfvo type="num" val="0"/>
        <cfvo type="num" val="0"/>
      </iconSet>
    </cfRule>
  </conditionalFormatting>
  <conditionalFormatting sqref="S70:S80">
    <cfRule type="iconSet" priority="236">
      <iconSet iconSet="3Symbols2" showValue="0">
        <cfvo type="percent" val="0"/>
        <cfvo type="num" val="0"/>
        <cfvo type="num" val="0"/>
      </iconSet>
    </cfRule>
  </conditionalFormatting>
  <conditionalFormatting sqref="M48:M92">
    <cfRule type="iconSet" priority="109177">
      <iconSet iconSet="3Symbols2" showValue="0">
        <cfvo type="percent" val="0"/>
        <cfvo type="num" val="0"/>
        <cfvo type="num" val="0"/>
      </iconSet>
    </cfRule>
  </conditionalFormatting>
  <conditionalFormatting sqref="K46:K92">
    <cfRule type="iconSet" priority="109292">
      <iconSet iconSet="3Symbols2" showValue="0">
        <cfvo type="percent" val="0"/>
        <cfvo type="num" val="0"/>
        <cfvo type="num" val="0"/>
      </iconSet>
    </cfRule>
  </conditionalFormatting>
  <conditionalFormatting sqref="T46:U92">
    <cfRule type="iconSet" priority="109294">
      <iconSet iconSet="3Symbols2" showValue="0">
        <cfvo type="percent" val="0"/>
        <cfvo type="num" val="0"/>
        <cfvo type="num" val="0"/>
      </iconSet>
    </cfRule>
  </conditionalFormatting>
  <conditionalFormatting sqref="Q57:Q68">
    <cfRule type="iconSet" priority="235">
      <iconSet iconSet="3Symbols2" showValue="0">
        <cfvo type="percent" val="0"/>
        <cfvo type="num" val="0"/>
        <cfvo type="num" val="0"/>
      </iconSet>
    </cfRule>
  </conditionalFormatting>
  <conditionalFormatting sqref="Q57:Q68">
    <cfRule type="iconSet" priority="234">
      <iconSet iconSet="3Symbols2" showValue="0">
        <cfvo type="percent" val="0"/>
        <cfvo type="num" val="0"/>
        <cfvo type="num" val="0"/>
      </iconSet>
    </cfRule>
  </conditionalFormatting>
  <conditionalFormatting sqref="S57:S68">
    <cfRule type="iconSet" priority="233">
      <iconSet iconSet="3Symbols2" showValue="0">
        <cfvo type="percent" val="0"/>
        <cfvo type="num" val="0"/>
        <cfvo type="num" val="0"/>
      </iconSet>
    </cfRule>
  </conditionalFormatting>
  <conditionalFormatting sqref="S57:S68">
    <cfRule type="iconSet" priority="232">
      <iconSet iconSet="3Symbols2" showValue="0">
        <cfvo type="percent" val="0"/>
        <cfvo type="num" val="0"/>
        <cfvo type="num" val="0"/>
      </iconSet>
    </cfRule>
  </conditionalFormatting>
  <conditionalFormatting sqref="R57:R68">
    <cfRule type="iconSet" priority="231">
      <iconSet iconSet="3Symbols2" showValue="0">
        <cfvo type="percent" val="0"/>
        <cfvo type="num" val="0"/>
        <cfvo type="num" val="0"/>
      </iconSet>
    </cfRule>
  </conditionalFormatting>
  <conditionalFormatting sqref="R57:R68">
    <cfRule type="iconSet" priority="230">
      <iconSet iconSet="3Symbols2" showValue="0">
        <cfvo type="percent" val="0"/>
        <cfvo type="num" val="0"/>
        <cfvo type="num" val="0"/>
      </iconSet>
    </cfRule>
  </conditionalFormatting>
  <conditionalFormatting sqref="J48:J55">
    <cfRule type="iconSet" priority="229">
      <iconSet iconSet="3Symbols2" showValue="0">
        <cfvo type="percent" val="0"/>
        <cfvo type="num" val="0"/>
        <cfvo type="num" val="0"/>
      </iconSet>
    </cfRule>
  </conditionalFormatting>
  <conditionalFormatting sqref="K239:K243">
    <cfRule type="iconSet" priority="227">
      <iconSet iconSet="3Symbols2" showValue="0">
        <cfvo type="percent" val="0"/>
        <cfvo type="num" val="0"/>
        <cfvo type="num" val="0"/>
      </iconSet>
    </cfRule>
  </conditionalFormatting>
  <conditionalFormatting sqref="K238">
    <cfRule type="iconSet" priority="226">
      <iconSet iconSet="3Symbols2" showValue="0">
        <cfvo type="percent" val="0"/>
        <cfvo type="num" val="0"/>
        <cfvo type="num" val="0"/>
      </iconSet>
    </cfRule>
  </conditionalFormatting>
  <conditionalFormatting sqref="M238:M239 O238:P239">
    <cfRule type="iconSet" priority="223">
      <iconSet iconSet="3Symbols2" showValue="0">
        <cfvo type="percent" val="0"/>
        <cfvo type="num" val="0"/>
        <cfvo type="num" val="0"/>
      </iconSet>
    </cfRule>
  </conditionalFormatting>
  <conditionalFormatting sqref="N238:N239">
    <cfRule type="iconSet" priority="220">
      <iconSet iconSet="3Symbols2" showValue="0">
        <cfvo type="percent" val="0"/>
        <cfvo type="num" val="0"/>
        <cfvo type="num" val="0"/>
      </iconSet>
    </cfRule>
  </conditionalFormatting>
  <conditionalFormatting sqref="Q238:Q245">
    <cfRule type="iconSet" priority="218">
      <iconSet iconSet="3Symbols2" showValue="0">
        <cfvo type="percent" val="0"/>
        <cfvo type="num" val="0"/>
        <cfvo type="num" val="0"/>
      </iconSet>
    </cfRule>
  </conditionalFormatting>
  <conditionalFormatting sqref="U238:U245">
    <cfRule type="iconSet" priority="217">
      <iconSet iconSet="3Symbols2" showValue="0">
        <cfvo type="percent" val="0"/>
        <cfvo type="num" val="0"/>
        <cfvo type="num" val="0"/>
      </iconSet>
    </cfRule>
  </conditionalFormatting>
  <conditionalFormatting sqref="J238:J245">
    <cfRule type="iconSet" priority="216">
      <iconSet iconSet="3Symbols2" showValue="0">
        <cfvo type="percent" val="0"/>
        <cfvo type="num" val="0"/>
        <cfvo type="num" val="0"/>
      </iconSet>
    </cfRule>
  </conditionalFormatting>
  <conditionalFormatting sqref="Q237">
    <cfRule type="iconSet" priority="215">
      <iconSet iconSet="3Symbols2" showValue="0">
        <cfvo type="percent" val="0"/>
        <cfvo type="num" val="0"/>
        <cfvo type="num" val="0"/>
      </iconSet>
    </cfRule>
  </conditionalFormatting>
  <conditionalFormatting sqref="K231:K235">
    <cfRule type="iconSet" priority="214">
      <iconSet iconSet="3Symbols2" showValue="0">
        <cfvo type="percent" val="0"/>
        <cfvo type="num" val="0"/>
        <cfvo type="num" val="0"/>
      </iconSet>
    </cfRule>
  </conditionalFormatting>
  <conditionalFormatting sqref="K230">
    <cfRule type="iconSet" priority="213">
      <iconSet iconSet="3Symbols2" showValue="0">
        <cfvo type="percent" val="0"/>
        <cfvo type="num" val="0"/>
        <cfvo type="num" val="0"/>
      </iconSet>
    </cfRule>
  </conditionalFormatting>
  <conditionalFormatting sqref="R230:S237">
    <cfRule type="iconSet" priority="212">
      <iconSet iconSet="3Symbols2" showValue="0">
        <cfvo type="percent" val="0"/>
        <cfvo type="num" val="0"/>
        <cfvo type="num" val="0"/>
      </iconSet>
    </cfRule>
  </conditionalFormatting>
  <conditionalFormatting sqref="T237:U237 T230:T236">
    <cfRule type="iconSet" priority="211">
      <iconSet iconSet="3Symbols2" showValue="0">
        <cfvo type="percent" val="0"/>
        <cfvo type="num" val="0"/>
        <cfvo type="num" val="0"/>
      </iconSet>
    </cfRule>
  </conditionalFormatting>
  <conditionalFormatting sqref="M230:M231 O230:P231">
    <cfRule type="iconSet" priority="210">
      <iconSet iconSet="3Symbols2" showValue="0">
        <cfvo type="percent" val="0"/>
        <cfvo type="num" val="0"/>
        <cfvo type="num" val="0"/>
      </iconSet>
    </cfRule>
  </conditionalFormatting>
  <conditionalFormatting sqref="O232:P237 M232:M237">
    <cfRule type="iconSet" priority="209">
      <iconSet iconSet="3Symbols2" showValue="0">
        <cfvo type="percent" val="0"/>
        <cfvo type="num" val="0"/>
        <cfvo type="num" val="0"/>
      </iconSet>
    </cfRule>
  </conditionalFormatting>
  <conditionalFormatting sqref="K236:K237">
    <cfRule type="iconSet" priority="208">
      <iconSet iconSet="3Symbols2" showValue="0">
        <cfvo type="percent" val="0"/>
        <cfvo type="num" val="0"/>
        <cfvo type="num" val="0"/>
      </iconSet>
    </cfRule>
  </conditionalFormatting>
  <conditionalFormatting sqref="N230:N231">
    <cfRule type="iconSet" priority="207">
      <iconSet iconSet="3Symbols2" showValue="0">
        <cfvo type="percent" val="0"/>
        <cfvo type="num" val="0"/>
        <cfvo type="num" val="0"/>
      </iconSet>
    </cfRule>
  </conditionalFormatting>
  <conditionalFormatting sqref="N232:N237">
    <cfRule type="iconSet" priority="206">
      <iconSet iconSet="3Symbols2" showValue="0">
        <cfvo type="percent" val="0"/>
        <cfvo type="num" val="0"/>
        <cfvo type="num" val="0"/>
      </iconSet>
    </cfRule>
  </conditionalFormatting>
  <conditionalFormatting sqref="Q230:Q236">
    <cfRule type="iconSet" priority="205">
      <iconSet iconSet="3Symbols2" showValue="0">
        <cfvo type="percent" val="0"/>
        <cfvo type="num" val="0"/>
        <cfvo type="num" val="0"/>
      </iconSet>
    </cfRule>
  </conditionalFormatting>
  <conditionalFormatting sqref="U230:U236">
    <cfRule type="iconSet" priority="204">
      <iconSet iconSet="3Symbols2" showValue="0">
        <cfvo type="percent" val="0"/>
        <cfvo type="num" val="0"/>
        <cfvo type="num" val="0"/>
      </iconSet>
    </cfRule>
  </conditionalFormatting>
  <conditionalFormatting sqref="J230:J236">
    <cfRule type="iconSet" priority="203">
      <iconSet iconSet="3Symbols2" showValue="0">
        <cfvo type="percent" val="0"/>
        <cfvo type="num" val="0"/>
        <cfvo type="num" val="0"/>
      </iconSet>
    </cfRule>
  </conditionalFormatting>
  <conditionalFormatting sqref="R247:S248">
    <cfRule type="iconSet" priority="109307">
      <iconSet iconSet="3Symbols2" showValue="0">
        <cfvo type="percent" val="0"/>
        <cfvo type="num" val="0"/>
        <cfvo type="num" val="0"/>
      </iconSet>
    </cfRule>
  </conditionalFormatting>
  <conditionalFormatting sqref="N247:N248">
    <cfRule type="iconSet" priority="109343">
      <iconSet iconSet="3Symbols2" showValue="0">
        <cfvo type="percent" val="0"/>
        <cfvo type="num" val="0"/>
        <cfvo type="num" val="0"/>
      </iconSet>
    </cfRule>
  </conditionalFormatting>
  <conditionalFormatting sqref="J141 J11:J19">
    <cfRule type="iconSet" priority="109352">
      <iconSet iconSet="3Symbols2" showValue="0">
        <cfvo type="percent" val="0"/>
        <cfvo type="num" val="0"/>
        <cfvo type="num" val="0"/>
      </iconSet>
    </cfRule>
  </conditionalFormatting>
  <conditionalFormatting sqref="R238:S245">
    <cfRule type="iconSet" priority="109354">
      <iconSet iconSet="3Symbols2" showValue="0">
        <cfvo type="percent" val="0"/>
        <cfvo type="num" val="0"/>
        <cfvo type="num" val="0"/>
      </iconSet>
    </cfRule>
  </conditionalFormatting>
  <conditionalFormatting sqref="T238:T245">
    <cfRule type="iconSet" priority="109355">
      <iconSet iconSet="3Symbols2" showValue="0">
        <cfvo type="percent" val="0"/>
        <cfvo type="num" val="0"/>
        <cfvo type="num" val="0"/>
      </iconSet>
    </cfRule>
  </conditionalFormatting>
  <conditionalFormatting sqref="O240:P245 M240:M245">
    <cfRule type="iconSet" priority="109356">
      <iconSet iconSet="3Symbols2" showValue="0">
        <cfvo type="percent" val="0"/>
        <cfvo type="num" val="0"/>
        <cfvo type="num" val="0"/>
      </iconSet>
    </cfRule>
  </conditionalFormatting>
  <conditionalFormatting sqref="K244:K245">
    <cfRule type="iconSet" priority="109358">
      <iconSet iconSet="3Symbols2" showValue="0">
        <cfvo type="percent" val="0"/>
        <cfvo type="num" val="0"/>
        <cfvo type="num" val="0"/>
      </iconSet>
    </cfRule>
  </conditionalFormatting>
  <conditionalFormatting sqref="N240:N245">
    <cfRule type="iconSet" priority="109359">
      <iconSet iconSet="3Symbols2" showValue="0">
        <cfvo type="percent" val="0"/>
        <cfvo type="num" val="0"/>
        <cfvo type="num" val="0"/>
      </iconSet>
    </cfRule>
  </conditionalFormatting>
  <conditionalFormatting sqref="J237">
    <cfRule type="iconSet" priority="202">
      <iconSet iconSet="3Symbols2" showValue="0">
        <cfvo type="percent" val="0"/>
        <cfvo type="num" val="0"/>
        <cfvo type="num" val="0"/>
      </iconSet>
    </cfRule>
  </conditionalFormatting>
  <conditionalFormatting sqref="K262">
    <cfRule type="iconSet" priority="200">
      <iconSet iconSet="3Symbols2" showValue="0">
        <cfvo type="percent" val="0"/>
        <cfvo type="num" val="0"/>
        <cfvo type="num" val="0"/>
      </iconSet>
    </cfRule>
  </conditionalFormatting>
  <conditionalFormatting sqref="O262:P263">
    <cfRule type="iconSet" priority="199">
      <iconSet iconSet="3Symbols2" showValue="0">
        <cfvo type="percent" val="0"/>
        <cfvo type="num" val="0"/>
        <cfvo type="num" val="0"/>
      </iconSet>
    </cfRule>
  </conditionalFormatting>
  <conditionalFormatting sqref="N262:N263">
    <cfRule type="iconSet" priority="198">
      <iconSet iconSet="3Symbols2" showValue="0">
        <cfvo type="percent" val="0"/>
        <cfvo type="num" val="0"/>
        <cfvo type="num" val="0"/>
      </iconSet>
    </cfRule>
  </conditionalFormatting>
  <conditionalFormatting sqref="K249:K252">
    <cfRule type="iconSet" priority="193">
      <iconSet iconSet="3Symbols2" showValue="0">
        <cfvo type="percent" val="0"/>
        <cfvo type="num" val="0"/>
        <cfvo type="num" val="0"/>
      </iconSet>
    </cfRule>
  </conditionalFormatting>
  <conditionalFormatting sqref="R249:R254">
    <cfRule type="iconSet" priority="192">
      <iconSet iconSet="3Symbols2" showValue="0">
        <cfvo type="percent" val="0"/>
        <cfvo type="num" val="0"/>
        <cfvo type="num" val="0"/>
      </iconSet>
    </cfRule>
  </conditionalFormatting>
  <conditionalFormatting sqref="T254:U254 T249:T253">
    <cfRule type="iconSet" priority="191">
      <iconSet iconSet="3Symbols2" showValue="0">
        <cfvo type="percent" val="0"/>
        <cfvo type="num" val="0"/>
        <cfvo type="num" val="0"/>
      </iconSet>
    </cfRule>
  </conditionalFormatting>
  <conditionalFormatting sqref="O249:P254">
    <cfRule type="iconSet" priority="190">
      <iconSet iconSet="3Symbols2" showValue="0">
        <cfvo type="percent" val="0"/>
        <cfvo type="num" val="0"/>
        <cfvo type="num" val="0"/>
      </iconSet>
    </cfRule>
  </conditionalFormatting>
  <conditionalFormatting sqref="K253:K254">
    <cfRule type="iconSet" priority="189">
      <iconSet iconSet="3Symbols2" showValue="0">
        <cfvo type="percent" val="0"/>
        <cfvo type="num" val="0"/>
        <cfvo type="num" val="0"/>
      </iconSet>
    </cfRule>
  </conditionalFormatting>
  <conditionalFormatting sqref="N249:N254">
    <cfRule type="iconSet" priority="188">
      <iconSet iconSet="3Symbols2" showValue="0">
        <cfvo type="percent" val="0"/>
        <cfvo type="num" val="0"/>
        <cfvo type="num" val="0"/>
      </iconSet>
    </cfRule>
  </conditionalFormatting>
  <conditionalFormatting sqref="U249:U253">
    <cfRule type="iconSet" priority="186">
      <iconSet iconSet="3Symbols2" showValue="0">
        <cfvo type="percent" val="0"/>
        <cfvo type="num" val="0"/>
        <cfvo type="num" val="0"/>
      </iconSet>
    </cfRule>
  </conditionalFormatting>
  <conditionalFormatting sqref="J249:J253">
    <cfRule type="iconSet" priority="185">
      <iconSet iconSet="3Symbols2" showValue="0">
        <cfvo type="percent" val="0"/>
        <cfvo type="num" val="0"/>
        <cfvo type="num" val="0"/>
      </iconSet>
    </cfRule>
  </conditionalFormatting>
  <conditionalFormatting sqref="J254">
    <cfRule type="iconSet" priority="179">
      <iconSet iconSet="3Symbols2" showValue="0">
        <cfvo type="percent" val="0"/>
        <cfvo type="num" val="0"/>
        <cfvo type="num" val="0"/>
      </iconSet>
    </cfRule>
  </conditionalFormatting>
  <conditionalFormatting sqref="K256:K260">
    <cfRule type="iconSet" priority="178">
      <iconSet iconSet="3Symbols2" showValue="0">
        <cfvo type="percent" val="0"/>
        <cfvo type="num" val="0"/>
        <cfvo type="num" val="0"/>
      </iconSet>
    </cfRule>
  </conditionalFormatting>
  <conditionalFormatting sqref="K255">
    <cfRule type="iconSet" priority="177">
      <iconSet iconSet="3Symbols2" showValue="0">
        <cfvo type="percent" val="0"/>
        <cfvo type="num" val="0"/>
        <cfvo type="num" val="0"/>
      </iconSet>
    </cfRule>
  </conditionalFormatting>
  <conditionalFormatting sqref="O255:P256">
    <cfRule type="iconSet" priority="176">
      <iconSet iconSet="3Symbols2" showValue="0">
        <cfvo type="percent" val="0"/>
        <cfvo type="num" val="0"/>
        <cfvo type="num" val="0"/>
      </iconSet>
    </cfRule>
  </conditionalFormatting>
  <conditionalFormatting sqref="N255:N256">
    <cfRule type="iconSet" priority="175">
      <iconSet iconSet="3Symbols2" showValue="0">
        <cfvo type="percent" val="0"/>
        <cfvo type="num" val="0"/>
        <cfvo type="num" val="0"/>
      </iconSet>
    </cfRule>
  </conditionalFormatting>
  <conditionalFormatting sqref="R255:R261">
    <cfRule type="iconSet" priority="174">
      <iconSet iconSet="3Symbols2" showValue="0">
        <cfvo type="percent" val="0"/>
        <cfvo type="num" val="0"/>
        <cfvo type="num" val="0"/>
      </iconSet>
    </cfRule>
  </conditionalFormatting>
  <conditionalFormatting sqref="O257:P261">
    <cfRule type="iconSet" priority="173">
      <iconSet iconSet="3Symbols2" showValue="0">
        <cfvo type="percent" val="0"/>
        <cfvo type="num" val="0"/>
        <cfvo type="num" val="0"/>
      </iconSet>
    </cfRule>
  </conditionalFormatting>
  <conditionalFormatting sqref="K261">
    <cfRule type="iconSet" priority="172">
      <iconSet iconSet="3Symbols2" showValue="0">
        <cfvo type="percent" val="0"/>
        <cfvo type="num" val="0"/>
        <cfvo type="num" val="0"/>
      </iconSet>
    </cfRule>
  </conditionalFormatting>
  <conditionalFormatting sqref="N257:N261">
    <cfRule type="iconSet" priority="171">
      <iconSet iconSet="3Symbols2" showValue="0">
        <cfvo type="percent" val="0"/>
        <cfvo type="num" val="0"/>
        <cfvo type="num" val="0"/>
      </iconSet>
    </cfRule>
  </conditionalFormatting>
  <conditionalFormatting sqref="Q288">
    <cfRule type="iconSet" priority="167">
      <iconSet iconSet="3Symbols2" showValue="0">
        <cfvo type="percent" val="0"/>
        <cfvo type="num" val="0"/>
        <cfvo type="num" val="0"/>
      </iconSet>
    </cfRule>
  </conditionalFormatting>
  <conditionalFormatting sqref="K285:K286">
    <cfRule type="iconSet" priority="166">
      <iconSet iconSet="3Symbols2" showValue="0">
        <cfvo type="percent" val="0"/>
        <cfvo type="num" val="0"/>
        <cfvo type="num" val="0"/>
      </iconSet>
    </cfRule>
  </conditionalFormatting>
  <conditionalFormatting sqref="R285:S288">
    <cfRule type="iconSet" priority="165">
      <iconSet iconSet="3Symbols2" showValue="0">
        <cfvo type="percent" val="0"/>
        <cfvo type="num" val="0"/>
        <cfvo type="num" val="0"/>
      </iconSet>
    </cfRule>
  </conditionalFormatting>
  <conditionalFormatting sqref="T288:U288 T285:T287">
    <cfRule type="iconSet" priority="164">
      <iconSet iconSet="3Symbols2" showValue="0">
        <cfvo type="percent" val="0"/>
        <cfvo type="num" val="0"/>
        <cfvo type="num" val="0"/>
      </iconSet>
    </cfRule>
  </conditionalFormatting>
  <conditionalFormatting sqref="O285:P288">
    <cfRule type="iconSet" priority="163">
      <iconSet iconSet="3Symbols2" showValue="0">
        <cfvo type="percent" val="0"/>
        <cfvo type="num" val="0"/>
        <cfvo type="num" val="0"/>
      </iconSet>
    </cfRule>
  </conditionalFormatting>
  <conditionalFormatting sqref="K287:K288">
    <cfRule type="iconSet" priority="162">
      <iconSet iconSet="3Symbols2" showValue="0">
        <cfvo type="percent" val="0"/>
        <cfvo type="num" val="0"/>
        <cfvo type="num" val="0"/>
      </iconSet>
    </cfRule>
  </conditionalFormatting>
  <conditionalFormatting sqref="N285:N288">
    <cfRule type="iconSet" priority="161">
      <iconSet iconSet="3Symbols2" showValue="0">
        <cfvo type="percent" val="0"/>
        <cfvo type="num" val="0"/>
        <cfvo type="num" val="0"/>
      </iconSet>
    </cfRule>
  </conditionalFormatting>
  <conditionalFormatting sqref="Q285:Q287">
    <cfRule type="iconSet" priority="160">
      <iconSet iconSet="3Symbols2" showValue="0">
        <cfvo type="percent" val="0"/>
        <cfvo type="num" val="0"/>
        <cfvo type="num" val="0"/>
      </iconSet>
    </cfRule>
  </conditionalFormatting>
  <conditionalFormatting sqref="U285:U287">
    <cfRule type="iconSet" priority="159">
      <iconSet iconSet="3Symbols2" showValue="0">
        <cfvo type="percent" val="0"/>
        <cfvo type="num" val="0"/>
        <cfvo type="num" val="0"/>
      </iconSet>
    </cfRule>
  </conditionalFormatting>
  <conditionalFormatting sqref="J285:J287">
    <cfRule type="iconSet" priority="158">
      <iconSet iconSet="3Symbols2" showValue="0">
        <cfvo type="percent" val="0"/>
        <cfvo type="num" val="0"/>
        <cfvo type="num" val="0"/>
      </iconSet>
    </cfRule>
  </conditionalFormatting>
  <conditionalFormatting sqref="J288">
    <cfRule type="iconSet" priority="157">
      <iconSet iconSet="3Symbols2" showValue="0">
        <cfvo type="percent" val="0"/>
        <cfvo type="num" val="0"/>
        <cfvo type="num" val="0"/>
      </iconSet>
    </cfRule>
  </conditionalFormatting>
  <conditionalFormatting sqref="K290:K294">
    <cfRule type="iconSet" priority="156">
      <iconSet iconSet="3Symbols2" showValue="0">
        <cfvo type="percent" val="0"/>
        <cfvo type="num" val="0"/>
        <cfvo type="num" val="0"/>
      </iconSet>
    </cfRule>
  </conditionalFormatting>
  <conditionalFormatting sqref="K289">
    <cfRule type="iconSet" priority="155">
      <iconSet iconSet="3Symbols2" showValue="0">
        <cfvo type="percent" val="0"/>
        <cfvo type="num" val="0"/>
        <cfvo type="num" val="0"/>
      </iconSet>
    </cfRule>
  </conditionalFormatting>
  <conditionalFormatting sqref="O289:P290">
    <cfRule type="iconSet" priority="154">
      <iconSet iconSet="3Symbols2" showValue="0">
        <cfvo type="percent" val="0"/>
        <cfvo type="num" val="0"/>
        <cfvo type="num" val="0"/>
      </iconSet>
    </cfRule>
  </conditionalFormatting>
  <conditionalFormatting sqref="N289:N290">
    <cfRule type="iconSet" priority="153">
      <iconSet iconSet="3Symbols2" showValue="0">
        <cfvo type="percent" val="0"/>
        <cfvo type="num" val="0"/>
        <cfvo type="num" val="0"/>
      </iconSet>
    </cfRule>
  </conditionalFormatting>
  <conditionalFormatting sqref="R289:S295">
    <cfRule type="iconSet" priority="152">
      <iconSet iconSet="3Symbols2" showValue="0">
        <cfvo type="percent" val="0"/>
        <cfvo type="num" val="0"/>
        <cfvo type="num" val="0"/>
      </iconSet>
    </cfRule>
  </conditionalFormatting>
  <conditionalFormatting sqref="O291:P295">
    <cfRule type="iconSet" priority="151">
      <iconSet iconSet="3Symbols2" showValue="0">
        <cfvo type="percent" val="0"/>
        <cfvo type="num" val="0"/>
        <cfvo type="num" val="0"/>
      </iconSet>
    </cfRule>
  </conditionalFormatting>
  <conditionalFormatting sqref="K295">
    <cfRule type="iconSet" priority="150">
      <iconSet iconSet="3Symbols2" showValue="0">
        <cfvo type="percent" val="0"/>
        <cfvo type="num" val="0"/>
        <cfvo type="num" val="0"/>
      </iconSet>
    </cfRule>
  </conditionalFormatting>
  <conditionalFormatting sqref="N291:N295">
    <cfRule type="iconSet" priority="149">
      <iconSet iconSet="3Symbols2" showValue="0">
        <cfvo type="percent" val="0"/>
        <cfvo type="num" val="0"/>
        <cfvo type="num" val="0"/>
      </iconSet>
    </cfRule>
  </conditionalFormatting>
  <conditionalFormatting sqref="O247:P248 O266:P266 M247:M283 M285:M295">
    <cfRule type="iconSet" priority="109472">
      <iconSet iconSet="3Symbols2" showValue="0">
        <cfvo type="percent" val="0"/>
        <cfvo type="num" val="0"/>
        <cfvo type="num" val="0"/>
      </iconSet>
    </cfRule>
  </conditionalFormatting>
  <conditionalFormatting sqref="L11:L20 L48:L92 L230:L245 L247:L283 L285:L295">
    <cfRule type="iconSet" priority="109474">
      <iconSet iconSet="3Symbols2" showValue="0">
        <cfvo type="percent" val="0"/>
        <cfvo type="num" val="0"/>
        <cfvo type="num" val="0"/>
      </iconSet>
    </cfRule>
  </conditionalFormatting>
  <conditionalFormatting sqref="K263:K265 K281:K283">
    <cfRule type="iconSet" priority="109477">
      <iconSet iconSet="3Symbols2" showValue="0">
        <cfvo type="percent" val="0"/>
        <cfvo type="num" val="0"/>
        <cfvo type="num" val="0"/>
      </iconSet>
    </cfRule>
  </conditionalFormatting>
  <conditionalFormatting sqref="Q289:Q295">
    <cfRule type="iconSet" priority="109478">
      <iconSet iconSet="3Symbols2" showValue="0">
        <cfvo type="percent" val="0"/>
        <cfvo type="num" val="0"/>
        <cfvo type="num" val="0"/>
      </iconSet>
    </cfRule>
  </conditionalFormatting>
  <conditionalFormatting sqref="U255:U265 U289:U295">
    <cfRule type="iconSet" priority="109480">
      <iconSet iconSet="3Symbols2" showValue="0">
        <cfvo type="percent" val="0"/>
        <cfvo type="num" val="0"/>
        <cfvo type="num" val="0"/>
      </iconSet>
    </cfRule>
  </conditionalFormatting>
  <conditionalFormatting sqref="J255:J265 J289:J295 J273:J283">
    <cfRule type="iconSet" priority="109482">
      <iconSet iconSet="3Symbols2" showValue="0">
        <cfvo type="percent" val="0"/>
        <cfvo type="num" val="0"/>
        <cfvo type="num" val="0"/>
      </iconSet>
    </cfRule>
  </conditionalFormatting>
  <conditionalFormatting sqref="R262:R265 R280:S283">
    <cfRule type="iconSet" priority="109484">
      <iconSet iconSet="3Symbols2" showValue="0">
        <cfvo type="percent" val="0"/>
        <cfvo type="num" val="0"/>
        <cfvo type="num" val="0"/>
      </iconSet>
    </cfRule>
  </conditionalFormatting>
  <conditionalFormatting sqref="T255:T265 T289:T295 T273:T283">
    <cfRule type="iconSet" priority="109485">
      <iconSet iconSet="3Symbols2" showValue="0">
        <cfvo type="percent" val="0"/>
        <cfvo type="num" val="0"/>
        <cfvo type="num" val="0"/>
      </iconSet>
    </cfRule>
  </conditionalFormatting>
  <conditionalFormatting sqref="O264:P265 O282:P283">
    <cfRule type="iconSet" priority="109487">
      <iconSet iconSet="3Symbols2" showValue="0">
        <cfvo type="percent" val="0"/>
        <cfvo type="num" val="0"/>
        <cfvo type="num" val="0"/>
      </iconSet>
    </cfRule>
  </conditionalFormatting>
  <conditionalFormatting sqref="N264:N265 N282:N283">
    <cfRule type="iconSet" priority="109488">
      <iconSet iconSet="3Symbols2" showValue="0">
        <cfvo type="percent" val="0"/>
        <cfvo type="num" val="0"/>
        <cfvo type="num" val="0"/>
      </iconSet>
    </cfRule>
  </conditionalFormatting>
  <conditionalFormatting sqref="Q103">
    <cfRule type="iconSet" priority="148">
      <iconSet iconSet="3Symbols2" showValue="0">
        <cfvo type="percent" val="0"/>
        <cfvo type="num" val="0"/>
        <cfvo type="num" val="0"/>
      </iconSet>
    </cfRule>
  </conditionalFormatting>
  <conditionalFormatting sqref="K103">
    <cfRule type="iconSet" priority="147">
      <iconSet iconSet="3Symbols2" showValue="0">
        <cfvo type="percent" val="0"/>
        <cfvo type="num" val="0"/>
        <cfvo type="num" val="0"/>
      </iconSet>
    </cfRule>
  </conditionalFormatting>
  <conditionalFormatting sqref="R103:S103">
    <cfRule type="iconSet" priority="146">
      <iconSet iconSet="3Symbols2" showValue="0">
        <cfvo type="percent" val="0"/>
        <cfvo type="num" val="0"/>
        <cfvo type="num" val="0"/>
      </iconSet>
    </cfRule>
  </conditionalFormatting>
  <conditionalFormatting sqref="T103:U103">
    <cfRule type="iconSet" priority="145">
      <iconSet iconSet="3Symbols2" showValue="0">
        <cfvo type="percent" val="0"/>
        <cfvo type="num" val="0"/>
        <cfvo type="num" val="0"/>
      </iconSet>
    </cfRule>
  </conditionalFormatting>
  <conditionalFormatting sqref="A20">
    <cfRule type="expression" dxfId="102" priority="144">
      <formula>OR(CELL("col")=COLUMN(),CELL("rom")=ROW())</formula>
    </cfRule>
  </conditionalFormatting>
  <conditionalFormatting sqref="A38">
    <cfRule type="expression" dxfId="101" priority="143">
      <formula>OR(CELL("col")=COLUMN(),CELL("rom")=ROW())</formula>
    </cfRule>
  </conditionalFormatting>
  <conditionalFormatting sqref="Q21:Q26">
    <cfRule type="iconSet" priority="142">
      <iconSet iconSet="3Symbols2" showValue="0">
        <cfvo type="percent" val="0"/>
        <cfvo type="num" val="0"/>
        <cfvo type="num" val="0"/>
      </iconSet>
    </cfRule>
  </conditionalFormatting>
  <conditionalFormatting sqref="S21:S26">
    <cfRule type="iconSet" priority="141">
      <iconSet iconSet="3Symbols2" showValue="0">
        <cfvo type="percent" val="0"/>
        <cfvo type="num" val="0"/>
        <cfvo type="num" val="0"/>
      </iconSet>
    </cfRule>
  </conditionalFormatting>
  <conditionalFormatting sqref="Q39:Q44">
    <cfRule type="iconSet" priority="140">
      <iconSet iconSet="3Symbols2" showValue="0">
        <cfvo type="percent" val="0"/>
        <cfvo type="num" val="0"/>
        <cfvo type="num" val="0"/>
      </iconSet>
    </cfRule>
  </conditionalFormatting>
  <conditionalFormatting sqref="S39:S44">
    <cfRule type="iconSet" priority="139">
      <iconSet iconSet="3Symbols2" showValue="0">
        <cfvo type="percent" val="0"/>
        <cfvo type="num" val="0"/>
        <cfvo type="num" val="0"/>
      </iconSet>
    </cfRule>
  </conditionalFormatting>
  <conditionalFormatting sqref="B9:I9">
    <cfRule type="expression" dxfId="100" priority="136">
      <formula>AND($L9=1,$Q9&lt;&gt;1)</formula>
    </cfRule>
    <cfRule type="expression" dxfId="99" priority="137">
      <formula>OR($J9=1,$Q9=1)</formula>
    </cfRule>
    <cfRule type="expression" dxfId="98" priority="138">
      <formula>($I9="NA")</formula>
    </cfRule>
  </conditionalFormatting>
  <conditionalFormatting sqref="B11:I19">
    <cfRule type="expression" dxfId="97" priority="133">
      <formula>AND($L11=1,$Q11&lt;&gt;1)</formula>
    </cfRule>
    <cfRule type="expression" dxfId="96" priority="134">
      <formula>OR($J11=1,$Q11=1)</formula>
    </cfRule>
    <cfRule type="expression" dxfId="95" priority="135">
      <formula>($I11="NA")</formula>
    </cfRule>
  </conditionalFormatting>
  <conditionalFormatting sqref="B21:I26">
    <cfRule type="expression" dxfId="94" priority="130">
      <formula>AND($L21=1,$Q21&lt;&gt;1)</formula>
    </cfRule>
    <cfRule type="expression" dxfId="93" priority="131">
      <formula>OR($J21=1,$Q21=1)</formula>
    </cfRule>
    <cfRule type="expression" dxfId="92" priority="132">
      <formula>($I21="NA")</formula>
    </cfRule>
  </conditionalFormatting>
  <conditionalFormatting sqref="B29:I37">
    <cfRule type="expression" dxfId="91" priority="124">
      <formula>AND($L29=1,$Q29&lt;&gt;1)</formula>
    </cfRule>
    <cfRule type="expression" dxfId="90" priority="125">
      <formula>OR($J29=1,$Q29=1)</formula>
    </cfRule>
    <cfRule type="expression" dxfId="89" priority="126">
      <formula>($I29="NA")</formula>
    </cfRule>
  </conditionalFormatting>
  <conditionalFormatting sqref="B39:I44">
    <cfRule type="expression" dxfId="88" priority="121">
      <formula>AND($L39=1,$Q39&lt;&gt;1)</formula>
    </cfRule>
    <cfRule type="expression" dxfId="87" priority="122">
      <formula>OR($J39=1,$Q39=1)</formula>
    </cfRule>
    <cfRule type="expression" dxfId="86" priority="123">
      <formula>($I39="NA")</formula>
    </cfRule>
  </conditionalFormatting>
  <conditionalFormatting sqref="B48:I55">
    <cfRule type="expression" dxfId="85" priority="118">
      <formula>AND($L48=1,$Q48&lt;&gt;1)</formula>
    </cfRule>
    <cfRule type="expression" dxfId="84" priority="119">
      <formula>OR($J48=1,$Q48=1)</formula>
    </cfRule>
    <cfRule type="expression" dxfId="83" priority="120">
      <formula>($I48="NA")</formula>
    </cfRule>
  </conditionalFormatting>
  <conditionalFormatting sqref="B57:I68">
    <cfRule type="expression" dxfId="82" priority="115">
      <formula>AND($L57=1,$Q57&lt;&gt;1)</formula>
    </cfRule>
    <cfRule type="expression" dxfId="81" priority="116">
      <formula>OR($J57=1,$Q57=1)</formula>
    </cfRule>
    <cfRule type="expression" dxfId="80" priority="117">
      <formula>($I57="NA")</formula>
    </cfRule>
  </conditionalFormatting>
  <conditionalFormatting sqref="B70:I80">
    <cfRule type="expression" dxfId="79" priority="112">
      <formula>AND($L70=1,$Q70&lt;&gt;1)</formula>
    </cfRule>
    <cfRule type="expression" dxfId="78" priority="113">
      <formula>OR($J70=1,$Q70=1)</formula>
    </cfRule>
    <cfRule type="expression" dxfId="77" priority="114">
      <formula>($I70="NA")</formula>
    </cfRule>
  </conditionalFormatting>
  <conditionalFormatting sqref="B82:I86">
    <cfRule type="expression" dxfId="76" priority="109">
      <formula>AND($L82=1,$Q82&lt;&gt;1)</formula>
    </cfRule>
    <cfRule type="expression" dxfId="75" priority="110">
      <formula>OR($J82=1,$Q82=1)</formula>
    </cfRule>
    <cfRule type="expression" dxfId="74" priority="111">
      <formula>($I82="NA")</formula>
    </cfRule>
  </conditionalFormatting>
  <conditionalFormatting sqref="B88:I92">
    <cfRule type="expression" dxfId="73" priority="106">
      <formula>AND($L88=1,$Q88&lt;&gt;1)</formula>
    </cfRule>
    <cfRule type="expression" dxfId="72" priority="107">
      <formula>OR($J88=1,$Q88=1)</formula>
    </cfRule>
    <cfRule type="expression" dxfId="71" priority="108">
      <formula>($I88="NA")</formula>
    </cfRule>
  </conditionalFormatting>
  <conditionalFormatting sqref="B95:I102">
    <cfRule type="expression" dxfId="70" priority="103">
      <formula>AND($L95=1,$Q95&lt;&gt;1)</formula>
    </cfRule>
    <cfRule type="expression" dxfId="69" priority="104">
      <formula>OR($J95=1,$Q95=1)</formula>
    </cfRule>
    <cfRule type="expression" dxfId="68" priority="105">
      <formula>($I95="NA")</formula>
    </cfRule>
  </conditionalFormatting>
  <conditionalFormatting sqref="B106:I115">
    <cfRule type="expression" dxfId="67" priority="100">
      <formula>AND($L106=1,$Q106&lt;&gt;1)</formula>
    </cfRule>
    <cfRule type="expression" dxfId="66" priority="101">
      <formula>OR($J106=1,$Q106=1)</formula>
    </cfRule>
    <cfRule type="expression" dxfId="65" priority="102">
      <formula>($I106="NA")</formula>
    </cfRule>
  </conditionalFormatting>
  <conditionalFormatting sqref="B118:I125">
    <cfRule type="expression" dxfId="64" priority="97">
      <formula>AND($L118=1,$Q118&lt;&gt;1)</formula>
    </cfRule>
    <cfRule type="expression" dxfId="63" priority="98">
      <formula>OR($J118=1,$Q118=1)</formula>
    </cfRule>
    <cfRule type="expression" dxfId="62" priority="99">
      <formula>($I118="NA")</formula>
    </cfRule>
  </conditionalFormatting>
  <conditionalFormatting sqref="B128:I135">
    <cfRule type="expression" dxfId="61" priority="94">
      <formula>AND($L128=1,$Q128&lt;&gt;1)</formula>
    </cfRule>
    <cfRule type="expression" dxfId="60" priority="95">
      <formula>OR($J128=1,$Q128=1)</formula>
    </cfRule>
    <cfRule type="expression" dxfId="59" priority="96">
      <formula>($I128="NA")</formula>
    </cfRule>
  </conditionalFormatting>
  <conditionalFormatting sqref="B138:I145">
    <cfRule type="expression" dxfId="58" priority="91">
      <formula>AND($L138=1,$Q138&lt;&gt;1)</formula>
    </cfRule>
    <cfRule type="expression" dxfId="57" priority="92">
      <formula>OR($J138=1,$Q138=1)</formula>
    </cfRule>
    <cfRule type="expression" dxfId="56" priority="93">
      <formula>($I138="NA")</formula>
    </cfRule>
  </conditionalFormatting>
  <conditionalFormatting sqref="B148:I157">
    <cfRule type="expression" dxfId="55" priority="88">
      <formula>AND($L148=1,$Q148&lt;&gt;1)</formula>
    </cfRule>
    <cfRule type="expression" dxfId="54" priority="89">
      <formula>OR($J148=1,$Q148=1)</formula>
    </cfRule>
    <cfRule type="expression" dxfId="53" priority="90">
      <formula>($I148="NA")</formula>
    </cfRule>
  </conditionalFormatting>
  <conditionalFormatting sqref="B160:I169">
    <cfRule type="expression" dxfId="52" priority="85">
      <formula>AND($L160=1,$Q160&lt;&gt;1)</formula>
    </cfRule>
    <cfRule type="expression" dxfId="51" priority="86">
      <formula>OR($J160=1,$Q160=1)</formula>
    </cfRule>
    <cfRule type="expression" dxfId="50" priority="87">
      <formula>($I160="NA")</formula>
    </cfRule>
  </conditionalFormatting>
  <conditionalFormatting sqref="B172:I181">
    <cfRule type="expression" dxfId="49" priority="82">
      <formula>AND($L172=1,$Q172&lt;&gt;1)</formula>
    </cfRule>
    <cfRule type="expression" dxfId="48" priority="83">
      <formula>OR($J172=1,$Q172=1)</formula>
    </cfRule>
    <cfRule type="expression" dxfId="47" priority="84">
      <formula>($I172="NA")</formula>
    </cfRule>
  </conditionalFormatting>
  <conditionalFormatting sqref="B184:I193">
    <cfRule type="expression" dxfId="46" priority="79">
      <formula>AND($L184=1,$Q184&lt;&gt;1)</formula>
    </cfRule>
    <cfRule type="expression" dxfId="45" priority="80">
      <formula>OR($J184=1,$Q184=1)</formula>
    </cfRule>
    <cfRule type="expression" dxfId="44" priority="81">
      <formula>($I184="NA")</formula>
    </cfRule>
  </conditionalFormatting>
  <conditionalFormatting sqref="B196:I200">
    <cfRule type="expression" dxfId="43" priority="76">
      <formula>AND($L196=1,$Q196&lt;&gt;1)</formula>
    </cfRule>
    <cfRule type="expression" dxfId="42" priority="77">
      <formula>OR($J196=1,$Q196=1)</formula>
    </cfRule>
    <cfRule type="expression" dxfId="41" priority="78">
      <formula>($I196="NA")</formula>
    </cfRule>
  </conditionalFormatting>
  <conditionalFormatting sqref="B203:I227">
    <cfRule type="expression" dxfId="40" priority="73">
      <formula>AND($L203=1,$Q203&lt;&gt;1)</formula>
    </cfRule>
    <cfRule type="expression" dxfId="39" priority="74">
      <formula>OR($J203=1,$Q203=1)</formula>
    </cfRule>
    <cfRule type="expression" dxfId="38" priority="75">
      <formula>($I203="NA")</formula>
    </cfRule>
  </conditionalFormatting>
  <conditionalFormatting sqref="B230:I245">
    <cfRule type="expression" dxfId="37" priority="70">
      <formula>AND($L230=1,$Q230&lt;&gt;1)</formula>
    </cfRule>
    <cfRule type="expression" dxfId="36" priority="71">
      <formula>OR($J230=1,$Q230=1)</formula>
    </cfRule>
    <cfRule type="expression" dxfId="35" priority="72">
      <formula>($I230="NA")</formula>
    </cfRule>
  </conditionalFormatting>
  <conditionalFormatting sqref="B249:I265 B267:I283">
    <cfRule type="expression" dxfId="34" priority="67">
      <formula>AND($L249=1,$Q249&lt;&gt;1)</formula>
    </cfRule>
    <cfRule type="expression" dxfId="33" priority="68">
      <formula>OR($J249=1,$Q249=1)</formula>
    </cfRule>
    <cfRule type="expression" dxfId="32" priority="69">
      <formula>($I249="NA")</formula>
    </cfRule>
  </conditionalFormatting>
  <conditionalFormatting sqref="B286:I295">
    <cfRule type="expression" dxfId="31" priority="64">
      <formula>AND($L286=1,$Q286&lt;&gt;1)</formula>
    </cfRule>
    <cfRule type="expression" dxfId="30" priority="65">
      <formula>OR($J286=1,$Q286=1)</formula>
    </cfRule>
    <cfRule type="expression" dxfId="29" priority="66">
      <formula>($I286="NA")</formula>
    </cfRule>
  </conditionalFormatting>
  <conditionalFormatting sqref="Q266">
    <cfRule type="iconSet" priority="63">
      <iconSet iconSet="3Symbols2" showValue="0">
        <cfvo type="percent" val="0"/>
        <cfvo type="num" val="0"/>
        <cfvo type="num" val="0"/>
      </iconSet>
    </cfRule>
  </conditionalFormatting>
  <conditionalFormatting sqref="T266:U266">
    <cfRule type="iconSet" priority="62">
      <iconSet iconSet="3Symbols2" showValue="0">
        <cfvo type="percent" val="0"/>
        <cfvo type="num" val="0"/>
        <cfvo type="num" val="0"/>
      </iconSet>
    </cfRule>
  </conditionalFormatting>
  <conditionalFormatting sqref="K266">
    <cfRule type="iconSet" priority="61">
      <iconSet iconSet="3Symbols2" showValue="0">
        <cfvo type="percent" val="0"/>
        <cfvo type="num" val="0"/>
        <cfvo type="num" val="0"/>
      </iconSet>
    </cfRule>
  </conditionalFormatting>
  <conditionalFormatting sqref="J266">
    <cfRule type="iconSet" priority="60">
      <iconSet iconSet="3Symbols2" showValue="0">
        <cfvo type="percent" val="0"/>
        <cfvo type="num" val="0"/>
        <cfvo type="num" val="1"/>
      </iconSet>
    </cfRule>
  </conditionalFormatting>
  <conditionalFormatting sqref="R266:S266">
    <cfRule type="iconSet" priority="59">
      <iconSet iconSet="3Symbols2" showValue="0">
        <cfvo type="percent" val="0"/>
        <cfvo type="num" val="0"/>
        <cfvo type="num" val="0"/>
      </iconSet>
    </cfRule>
  </conditionalFormatting>
  <conditionalFormatting sqref="N266">
    <cfRule type="iconSet" priority="58">
      <iconSet iconSet="3Symbols2" showValue="0">
        <cfvo type="percent" val="0"/>
        <cfvo type="num" val="0"/>
        <cfvo type="num" val="0"/>
      </iconSet>
    </cfRule>
  </conditionalFormatting>
  <conditionalFormatting sqref="K280">
    <cfRule type="iconSet" priority="57">
      <iconSet iconSet="3Symbols2" showValue="0">
        <cfvo type="percent" val="0"/>
        <cfvo type="num" val="0"/>
        <cfvo type="num" val="0"/>
      </iconSet>
    </cfRule>
  </conditionalFormatting>
  <conditionalFormatting sqref="O280:P281">
    <cfRule type="iconSet" priority="56">
      <iconSet iconSet="3Symbols2" showValue="0">
        <cfvo type="percent" val="0"/>
        <cfvo type="num" val="0"/>
        <cfvo type="num" val="0"/>
      </iconSet>
    </cfRule>
  </conditionalFormatting>
  <conditionalFormatting sqref="N280:N281">
    <cfRule type="iconSet" priority="55">
      <iconSet iconSet="3Symbols2" showValue="0">
        <cfvo type="percent" val="0"/>
        <cfvo type="num" val="0"/>
        <cfvo type="num" val="0"/>
      </iconSet>
    </cfRule>
  </conditionalFormatting>
  <conditionalFormatting sqref="K267:K270">
    <cfRule type="iconSet" priority="53">
      <iconSet iconSet="3Symbols2" showValue="0">
        <cfvo type="percent" val="0"/>
        <cfvo type="num" val="0"/>
        <cfvo type="num" val="0"/>
      </iconSet>
    </cfRule>
  </conditionalFormatting>
  <conditionalFormatting sqref="R267:S272">
    <cfRule type="iconSet" priority="52">
      <iconSet iconSet="3Symbols2" showValue="0">
        <cfvo type="percent" val="0"/>
        <cfvo type="num" val="0"/>
        <cfvo type="num" val="0"/>
      </iconSet>
    </cfRule>
  </conditionalFormatting>
  <conditionalFormatting sqref="T267:T272">
    <cfRule type="iconSet" priority="51">
      <iconSet iconSet="3Symbols2" showValue="0">
        <cfvo type="percent" val="0"/>
        <cfvo type="num" val="0"/>
        <cfvo type="num" val="0"/>
      </iconSet>
    </cfRule>
  </conditionalFormatting>
  <conditionalFormatting sqref="O267:P272">
    <cfRule type="iconSet" priority="50">
      <iconSet iconSet="3Symbols2" showValue="0">
        <cfvo type="percent" val="0"/>
        <cfvo type="num" val="0"/>
        <cfvo type="num" val="0"/>
      </iconSet>
    </cfRule>
  </conditionalFormatting>
  <conditionalFormatting sqref="K271:K272">
    <cfRule type="iconSet" priority="49">
      <iconSet iconSet="3Symbols2" showValue="0">
        <cfvo type="percent" val="0"/>
        <cfvo type="num" val="0"/>
        <cfvo type="num" val="0"/>
      </iconSet>
    </cfRule>
  </conditionalFormatting>
  <conditionalFormatting sqref="N267:N272">
    <cfRule type="iconSet" priority="48">
      <iconSet iconSet="3Symbols2" showValue="0">
        <cfvo type="percent" val="0"/>
        <cfvo type="num" val="0"/>
        <cfvo type="num" val="0"/>
      </iconSet>
    </cfRule>
  </conditionalFormatting>
  <conditionalFormatting sqref="J267:J271">
    <cfRule type="iconSet" priority="45">
      <iconSet iconSet="3Symbols2" showValue="0">
        <cfvo type="percent" val="0"/>
        <cfvo type="num" val="0"/>
        <cfvo type="num" val="0"/>
      </iconSet>
    </cfRule>
  </conditionalFormatting>
  <conditionalFormatting sqref="J272">
    <cfRule type="iconSet" priority="44">
      <iconSet iconSet="3Symbols2" showValue="0">
        <cfvo type="percent" val="0"/>
        <cfvo type="num" val="0"/>
        <cfvo type="num" val="0"/>
      </iconSet>
    </cfRule>
  </conditionalFormatting>
  <conditionalFormatting sqref="K274:K278">
    <cfRule type="iconSet" priority="43">
      <iconSet iconSet="3Symbols2" showValue="0">
        <cfvo type="percent" val="0"/>
        <cfvo type="num" val="0"/>
        <cfvo type="num" val="0"/>
      </iconSet>
    </cfRule>
  </conditionalFormatting>
  <conditionalFormatting sqref="K273">
    <cfRule type="iconSet" priority="42">
      <iconSet iconSet="3Symbols2" showValue="0">
        <cfvo type="percent" val="0"/>
        <cfvo type="num" val="0"/>
        <cfvo type="num" val="0"/>
      </iconSet>
    </cfRule>
  </conditionalFormatting>
  <conditionalFormatting sqref="O273:P274">
    <cfRule type="iconSet" priority="41">
      <iconSet iconSet="3Symbols2" showValue="0">
        <cfvo type="percent" val="0"/>
        <cfvo type="num" val="0"/>
        <cfvo type="num" val="0"/>
      </iconSet>
    </cfRule>
  </conditionalFormatting>
  <conditionalFormatting sqref="N273:N274">
    <cfRule type="iconSet" priority="40">
      <iconSet iconSet="3Symbols2" showValue="0">
        <cfvo type="percent" val="0"/>
        <cfvo type="num" val="0"/>
        <cfvo type="num" val="0"/>
      </iconSet>
    </cfRule>
  </conditionalFormatting>
  <conditionalFormatting sqref="R273:S279">
    <cfRule type="iconSet" priority="39">
      <iconSet iconSet="3Symbols2" showValue="0">
        <cfvo type="percent" val="0"/>
        <cfvo type="num" val="0"/>
        <cfvo type="num" val="0"/>
      </iconSet>
    </cfRule>
  </conditionalFormatting>
  <conditionalFormatting sqref="O275:P279">
    <cfRule type="iconSet" priority="38">
      <iconSet iconSet="3Symbols2" showValue="0">
        <cfvo type="percent" val="0"/>
        <cfvo type="num" val="0"/>
        <cfvo type="num" val="0"/>
      </iconSet>
    </cfRule>
  </conditionalFormatting>
  <conditionalFormatting sqref="K279">
    <cfRule type="iconSet" priority="37">
      <iconSet iconSet="3Symbols2" showValue="0">
        <cfvo type="percent" val="0"/>
        <cfvo type="num" val="0"/>
        <cfvo type="num" val="0"/>
      </iconSet>
    </cfRule>
  </conditionalFormatting>
  <conditionalFormatting sqref="N275:N279">
    <cfRule type="iconSet" priority="36">
      <iconSet iconSet="3Symbols2" showValue="0">
        <cfvo type="percent" val="0"/>
        <cfvo type="num" val="0"/>
        <cfvo type="num" val="0"/>
      </iconSet>
    </cfRule>
  </conditionalFormatting>
  <conditionalFormatting sqref="Q249:Q265">
    <cfRule type="iconSet" priority="35">
      <iconSet iconSet="3Symbols2" showValue="0">
        <cfvo type="percent" val="0"/>
        <cfvo type="num" val="0"/>
        <cfvo type="num" val="0"/>
      </iconSet>
    </cfRule>
  </conditionalFormatting>
  <conditionalFormatting sqref="Q249:Q265">
    <cfRule type="iconSet" priority="34">
      <iconSet iconSet="3Symbols2" showValue="0">
        <cfvo type="percent" val="0"/>
        <cfvo type="num" val="0"/>
        <cfvo type="num" val="0"/>
      </iconSet>
    </cfRule>
  </conditionalFormatting>
  <conditionalFormatting sqref="S249:S265">
    <cfRule type="iconSet" priority="33">
      <iconSet iconSet="3Symbols2" showValue="0">
        <cfvo type="percent" val="0"/>
        <cfvo type="num" val="0"/>
        <cfvo type="num" val="0"/>
      </iconSet>
    </cfRule>
  </conditionalFormatting>
  <conditionalFormatting sqref="S249:S265">
    <cfRule type="iconSet" priority="32">
      <iconSet iconSet="3Symbols2" showValue="0">
        <cfvo type="percent" val="0"/>
        <cfvo type="num" val="0"/>
        <cfvo type="num" val="0"/>
      </iconSet>
    </cfRule>
  </conditionalFormatting>
  <conditionalFormatting sqref="S196:S200">
    <cfRule type="iconSet" priority="31">
      <iconSet iconSet="3Symbols2" showValue="0">
        <cfvo type="percent" val="0"/>
        <cfvo type="num" val="0"/>
        <cfvo type="num" val="1"/>
      </iconSet>
    </cfRule>
  </conditionalFormatting>
  <conditionalFormatting sqref="Q196:Q200">
    <cfRule type="iconSet" priority="30">
      <iconSet iconSet="3Symbols2" showValue="0">
        <cfvo type="percent" val="0"/>
        <cfvo type="num" val="0"/>
        <cfvo type="num" val="1"/>
      </iconSet>
    </cfRule>
  </conditionalFormatting>
  <conditionalFormatting sqref="Q100:Q102">
    <cfRule type="iconSet" priority="29">
      <iconSet iconSet="3Symbols2" showValue="0">
        <cfvo type="percent" val="0"/>
        <cfvo type="num" val="0"/>
        <cfvo type="num" val="0"/>
      </iconSet>
    </cfRule>
  </conditionalFormatting>
  <conditionalFormatting sqref="U100:U102">
    <cfRule type="iconSet" priority="28">
      <iconSet iconSet="3Symbols2" showValue="0">
        <cfvo type="percent" val="0"/>
        <cfvo type="num" val="0"/>
        <cfvo type="num" val="0"/>
      </iconSet>
    </cfRule>
  </conditionalFormatting>
  <conditionalFormatting sqref="Q267:Q283">
    <cfRule type="iconSet" priority="27">
      <iconSet iconSet="3Symbols2" showValue="0">
        <cfvo type="percent" val="0"/>
        <cfvo type="num" val="0"/>
        <cfvo type="num" val="0"/>
      </iconSet>
    </cfRule>
  </conditionalFormatting>
  <conditionalFormatting sqref="Q267:Q283">
    <cfRule type="iconSet" priority="26">
      <iconSet iconSet="3Symbols2" showValue="0">
        <cfvo type="percent" val="0"/>
        <cfvo type="num" val="0"/>
        <cfvo type="num" val="0"/>
      </iconSet>
    </cfRule>
  </conditionalFormatting>
  <conditionalFormatting sqref="U267:U283">
    <cfRule type="iconSet" priority="25">
      <iconSet iconSet="3Symbols2" showValue="0">
        <cfvo type="percent" val="0"/>
        <cfvo type="num" val="0"/>
        <cfvo type="num" val="0"/>
      </iconSet>
    </cfRule>
  </conditionalFormatting>
  <conditionalFormatting sqref="U267:U283">
    <cfRule type="iconSet" priority="24">
      <iconSet iconSet="3Symbols2" showValue="0">
        <cfvo type="percent" val="0"/>
        <cfvo type="num" val="0"/>
        <cfvo type="num" val="0"/>
      </iconSet>
    </cfRule>
  </conditionalFormatting>
  <conditionalFormatting sqref="Q160:Q169">
    <cfRule type="iconSet" priority="23">
      <iconSet iconSet="3Symbols2" showValue="0">
        <cfvo type="percent" val="0"/>
        <cfvo type="num" val="0"/>
        <cfvo type="num" val="0"/>
      </iconSet>
    </cfRule>
  </conditionalFormatting>
  <conditionalFormatting sqref="U160:U169">
    <cfRule type="iconSet" priority="22">
      <iconSet iconSet="3Symbols2" showValue="0">
        <cfvo type="percent" val="0"/>
        <cfvo type="num" val="0"/>
        <cfvo type="num" val="0"/>
      </iconSet>
    </cfRule>
  </conditionalFormatting>
  <conditionalFormatting sqref="R172:S181">
    <cfRule type="iconSet" priority="21">
      <iconSet iconSet="3Symbols2" showValue="0">
        <cfvo type="percent" val="0"/>
        <cfvo type="num" val="0"/>
        <cfvo type="num" val="0"/>
      </iconSet>
    </cfRule>
  </conditionalFormatting>
  <conditionalFormatting sqref="T172:T181">
    <cfRule type="iconSet" priority="20">
      <iconSet iconSet="3Symbols2" showValue="0">
        <cfvo type="percent" val="0"/>
        <cfvo type="num" val="0"/>
        <cfvo type="num" val="0"/>
      </iconSet>
    </cfRule>
  </conditionalFormatting>
  <conditionalFormatting sqref="Q172:Q181">
    <cfRule type="iconSet" priority="19">
      <iconSet iconSet="3Symbols2" showValue="0">
        <cfvo type="percent" val="0"/>
        <cfvo type="num" val="0"/>
        <cfvo type="num" val="0"/>
      </iconSet>
    </cfRule>
  </conditionalFormatting>
  <conditionalFormatting sqref="U172:U181">
    <cfRule type="iconSet" priority="18">
      <iconSet iconSet="3Symbols2" showValue="0">
        <cfvo type="percent" val="0"/>
        <cfvo type="num" val="0"/>
        <cfvo type="num" val="0"/>
      </iconSet>
    </cfRule>
  </conditionalFormatting>
  <conditionalFormatting sqref="R184:S193">
    <cfRule type="iconSet" priority="17">
      <iconSet iconSet="3Symbols2" showValue="0">
        <cfvo type="percent" val="0"/>
        <cfvo type="num" val="0"/>
        <cfvo type="num" val="0"/>
      </iconSet>
    </cfRule>
  </conditionalFormatting>
  <conditionalFormatting sqref="T184:T193">
    <cfRule type="iconSet" priority="16">
      <iconSet iconSet="3Symbols2" showValue="0">
        <cfvo type="percent" val="0"/>
        <cfvo type="num" val="0"/>
        <cfvo type="num" val="0"/>
      </iconSet>
    </cfRule>
  </conditionalFormatting>
  <conditionalFormatting sqref="Q184:Q193">
    <cfRule type="iconSet" priority="15">
      <iconSet iconSet="3Symbols2" showValue="0">
        <cfvo type="percent" val="0"/>
        <cfvo type="num" val="0"/>
        <cfvo type="num" val="0"/>
      </iconSet>
    </cfRule>
  </conditionalFormatting>
  <conditionalFormatting sqref="U184:U193">
    <cfRule type="iconSet" priority="14">
      <iconSet iconSet="3Symbols2" showValue="0">
        <cfvo type="percent" val="0"/>
        <cfvo type="num" val="0"/>
        <cfvo type="num" val="0"/>
      </iconSet>
    </cfRule>
  </conditionalFormatting>
  <conditionalFormatting sqref="Q203:Q227">
    <cfRule type="iconSet" priority="13">
      <iconSet iconSet="3Symbols2" showValue="0">
        <cfvo type="percent" val="0"/>
        <cfvo type="num" val="0"/>
        <cfvo type="num" val="1"/>
      </iconSet>
    </cfRule>
  </conditionalFormatting>
  <conditionalFormatting sqref="U203:U227">
    <cfRule type="iconSet" priority="12">
      <iconSet iconSet="3Symbols2" showValue="0">
        <cfvo type="percent" val="0"/>
        <cfvo type="num" val="0"/>
        <cfvo type="num" val="1"/>
      </iconSet>
    </cfRule>
  </conditionalFormatting>
  <conditionalFormatting sqref="Q148:Q157">
    <cfRule type="iconSet" priority="11">
      <iconSet iconSet="3Symbols2" showValue="0">
        <cfvo type="percent" val="0"/>
        <cfvo type="num" val="0"/>
        <cfvo type="num" val="0"/>
      </iconSet>
    </cfRule>
  </conditionalFormatting>
  <conditionalFormatting sqref="U148:U157">
    <cfRule type="iconSet" priority="10">
      <iconSet iconSet="3Symbols2" showValue="0">
        <cfvo type="percent" val="0"/>
        <cfvo type="num" val="0"/>
        <cfvo type="num" val="0"/>
      </iconSet>
    </cfRule>
  </conditionalFormatting>
  <conditionalFormatting sqref="Q246">
    <cfRule type="iconSet" priority="9">
      <iconSet iconSet="3Symbols2" showValue="0">
        <cfvo type="percent" val="0"/>
        <cfvo type="num" val="0"/>
        <cfvo type="num" val="0"/>
      </iconSet>
    </cfRule>
  </conditionalFormatting>
  <conditionalFormatting sqref="K246">
    <cfRule type="iconSet" priority="8">
      <iconSet iconSet="3Symbols2" showValue="0">
        <cfvo type="percent" val="0"/>
        <cfvo type="num" val="0"/>
        <cfvo type="num" val="0"/>
      </iconSet>
    </cfRule>
  </conditionalFormatting>
  <conditionalFormatting sqref="R246:S246">
    <cfRule type="iconSet" priority="7">
      <iconSet iconSet="3Symbols2" showValue="0">
        <cfvo type="percent" val="0"/>
        <cfvo type="num" val="0"/>
        <cfvo type="num" val="0"/>
      </iconSet>
    </cfRule>
  </conditionalFormatting>
  <conditionalFormatting sqref="T246:U246">
    <cfRule type="iconSet" priority="6">
      <iconSet iconSet="3Symbols2" showValue="0">
        <cfvo type="percent" val="0"/>
        <cfvo type="num" val="0"/>
        <cfvo type="num" val="0"/>
      </iconSet>
    </cfRule>
  </conditionalFormatting>
  <conditionalFormatting sqref="J284">
    <cfRule type="iconSet" priority="5">
      <iconSet iconSet="3Symbols2" showValue="0">
        <cfvo type="percent" val="0"/>
        <cfvo type="num" val="0"/>
        <cfvo type="num" val="1"/>
      </iconSet>
    </cfRule>
  </conditionalFormatting>
  <conditionalFormatting sqref="Q284">
    <cfRule type="iconSet" priority="4">
      <iconSet iconSet="3Symbols2" showValue="0">
        <cfvo type="percent" val="0"/>
        <cfvo type="num" val="0"/>
        <cfvo type="num" val="0"/>
      </iconSet>
    </cfRule>
  </conditionalFormatting>
  <conditionalFormatting sqref="K284">
    <cfRule type="iconSet" priority="3">
      <iconSet iconSet="3Symbols2" showValue="0">
        <cfvo type="percent" val="0"/>
        <cfvo type="num" val="0"/>
        <cfvo type="num" val="0"/>
      </iconSet>
    </cfRule>
  </conditionalFormatting>
  <conditionalFormatting sqref="R284:S284">
    <cfRule type="iconSet" priority="2">
      <iconSet iconSet="3Symbols2" showValue="0">
        <cfvo type="percent" val="0"/>
        <cfvo type="num" val="0"/>
        <cfvo type="num" val="0"/>
      </iconSet>
    </cfRule>
  </conditionalFormatting>
  <conditionalFormatting sqref="T284:U284">
    <cfRule type="iconSet" priority="1">
      <iconSet iconSet="3Symbols2" showValue="0">
        <cfvo type="percent" val="0"/>
        <cfvo type="num" val="0"/>
        <cfvo type="num" val="0"/>
      </iconSet>
    </cfRule>
  </conditionalFormatting>
  <pageMargins left="0.7" right="0.7" top="0.75" bottom="0.75" header="0.3" footer="0.3"/>
  <pageSetup scale="6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C2:AN509"/>
  <sheetViews>
    <sheetView zoomScaleNormal="85" workbookViewId="0">
      <selection activeCell="S39" sqref="S39"/>
    </sheetView>
  </sheetViews>
  <sheetFormatPr defaultColWidth="9" defaultRowHeight="12.75"/>
  <cols>
    <col min="1" max="2" width="0.5703125" style="47" customWidth="1"/>
    <col min="3" max="3" width="9" style="47" customWidth="1"/>
    <col min="4" max="4" width="24" style="47" customWidth="1"/>
    <col min="5" max="6" width="12.5703125" style="47" customWidth="1"/>
    <col min="7" max="8" width="11.5703125" style="47" customWidth="1"/>
    <col min="9" max="10" width="0.5703125" style="47" customWidth="1"/>
    <col min="11" max="11" width="9" style="47" customWidth="1"/>
    <col min="12" max="12" width="17.42578125" style="47" customWidth="1"/>
    <col min="13" max="14" width="9" style="47" customWidth="1"/>
    <col min="15" max="16" width="0.5703125" style="47" customWidth="1"/>
    <col min="17" max="17" width="9" style="47" customWidth="1"/>
    <col min="18" max="18" width="24" style="47" customWidth="1"/>
    <col min="19" max="20" width="12.5703125" style="47" customWidth="1"/>
    <col min="21" max="22" width="11.5703125" style="47" customWidth="1"/>
    <col min="23" max="24" width="0.5703125" style="47" customWidth="1"/>
    <col min="25" max="28" width="12.42578125" style="47" customWidth="1"/>
    <col min="29" max="30" width="9" style="47" customWidth="1"/>
    <col min="31" max="33" width="9" style="47"/>
    <col min="34" max="36" width="0" style="47" hidden="1" customWidth="1"/>
    <col min="37" max="37" width="13.42578125" style="47" hidden="1" customWidth="1"/>
    <col min="38" max="38" width="20.5703125" style="689" hidden="1" customWidth="1"/>
    <col min="39" max="39" width="66" style="47" hidden="1" customWidth="1"/>
    <col min="40" max="40" width="13.7109375" style="47" hidden="1" customWidth="1"/>
    <col min="41" max="44" width="0" style="47" hidden="1" customWidth="1"/>
    <col min="45" max="16384" width="9" style="47"/>
  </cols>
  <sheetData>
    <row r="2" spans="3:39">
      <c r="D2" s="264"/>
      <c r="E2" s="265" t="s">
        <v>5</v>
      </c>
      <c r="F2" s="265" t="s">
        <v>12</v>
      </c>
      <c r="G2" s="265" t="s">
        <v>2667</v>
      </c>
      <c r="H2" s="265" t="s">
        <v>19</v>
      </c>
      <c r="R2" s="264"/>
      <c r="S2" s="265" t="s">
        <v>5</v>
      </c>
      <c r="T2" s="265" t="s">
        <v>12</v>
      </c>
      <c r="U2" s="265" t="s">
        <v>2667</v>
      </c>
      <c r="V2" s="265" t="s">
        <v>19</v>
      </c>
      <c r="Y2" s="265" t="s">
        <v>5</v>
      </c>
      <c r="Z2" s="265" t="s">
        <v>12</v>
      </c>
      <c r="AA2" s="265" t="s">
        <v>2667</v>
      </c>
      <c r="AB2" s="265" t="s">
        <v>19</v>
      </c>
      <c r="AK2" s="702" t="s">
        <v>2668</v>
      </c>
      <c r="AL2" s="703" t="s">
        <v>2669</v>
      </c>
      <c r="AM2" s="702" t="s">
        <v>2670</v>
      </c>
    </row>
    <row r="3" spans="3:39" ht="25.5">
      <c r="D3" s="264"/>
      <c r="E3" s="264"/>
      <c r="F3" s="264"/>
      <c r="G3" s="264"/>
      <c r="H3" s="264"/>
      <c r="R3" s="264"/>
      <c r="S3" s="264"/>
      <c r="T3" s="264"/>
      <c r="U3" s="264"/>
      <c r="V3" s="264"/>
      <c r="AK3" s="704" t="s">
        <v>2671</v>
      </c>
      <c r="AL3" s="705" t="s">
        <v>2672</v>
      </c>
      <c r="AM3" s="706" t="s">
        <v>2673</v>
      </c>
    </row>
    <row r="4" spans="3:39" ht="25.5">
      <c r="D4" s="264" t="s">
        <v>226</v>
      </c>
      <c r="E4" s="266">
        <f>SUM(E6:E20)</f>
        <v>1151.8861999999999</v>
      </c>
      <c r="F4" s="266">
        <f>SUM(F6:F20)</f>
        <v>449.21936316625931</v>
      </c>
      <c r="G4" s="266">
        <f>SUM(G6:G20)</f>
        <v>240.54326303129014</v>
      </c>
      <c r="H4" s="266">
        <f>SUM(H6:H20)</f>
        <v>19.065515699999999</v>
      </c>
      <c r="R4" s="264" t="s">
        <v>226</v>
      </c>
      <c r="S4" s="266">
        <f>SUM(S6:S20)</f>
        <v>1209.7517112098858</v>
      </c>
      <c r="T4" s="266">
        <f>SUM(T6:T20)</f>
        <v>451.63097631554234</v>
      </c>
      <c r="U4" s="266">
        <f>SUM(U6:U20)</f>
        <v>107.32762016664665</v>
      </c>
      <c r="V4" s="266">
        <f>SUM(V6:V20)</f>
        <v>20.786853902037858</v>
      </c>
      <c r="AK4" s="704" t="s">
        <v>2674</v>
      </c>
      <c r="AL4" s="705" t="s">
        <v>2675</v>
      </c>
      <c r="AM4" s="706" t="s">
        <v>2676</v>
      </c>
    </row>
    <row r="5" spans="3:39">
      <c r="D5" s="264"/>
      <c r="E5" s="266"/>
      <c r="F5" s="266"/>
      <c r="G5" s="266"/>
      <c r="H5" s="266"/>
      <c r="R5" s="264"/>
      <c r="S5" s="266"/>
      <c r="T5" s="266"/>
      <c r="U5" s="266"/>
      <c r="V5" s="266"/>
      <c r="AK5" s="704" t="s">
        <v>2677</v>
      </c>
      <c r="AL5" s="705" t="s">
        <v>2678</v>
      </c>
      <c r="AM5" s="704" t="s">
        <v>2679</v>
      </c>
    </row>
    <row r="6" spans="3:39">
      <c r="C6" s="285">
        <f>E6/$E$4</f>
        <v>9.2535182728988336E-2</v>
      </c>
      <c r="D6" s="264" t="s">
        <v>2680</v>
      </c>
      <c r="E6" s="266">
        <v>106.59</v>
      </c>
      <c r="F6" s="266">
        <v>82.405000000000001</v>
      </c>
      <c r="G6" s="266">
        <v>11.97</v>
      </c>
      <c r="H6" s="266"/>
      <c r="Q6" s="285">
        <f t="shared" ref="Q6:Q19" si="0">S6/$S$4</f>
        <v>9.0799835917131005E-2</v>
      </c>
      <c r="R6" s="264" t="s">
        <v>2680</v>
      </c>
      <c r="S6" s="266">
        <f>Y6/10^7</f>
        <v>109.84525687832608</v>
      </c>
      <c r="T6" s="266">
        <f t="shared" ref="T6:T19" si="1">Z6/10^7</f>
        <v>83.882509719176824</v>
      </c>
      <c r="U6" s="266">
        <f t="shared" ref="U6:U19" si="2">AA6/10^7</f>
        <v>13.0021954</v>
      </c>
      <c r="V6" s="266">
        <f t="shared" ref="V6:V19" si="3">AB6/10^7</f>
        <v>0</v>
      </c>
      <c r="Y6" s="47">
        <v>1098452568.7832608</v>
      </c>
      <c r="Z6" s="47">
        <v>838825097.19176817</v>
      </c>
      <c r="AA6" s="47">
        <v>130021954</v>
      </c>
      <c r="AK6" s="704" t="s">
        <v>2681</v>
      </c>
      <c r="AL6" s="705" t="s">
        <v>2682</v>
      </c>
      <c r="AM6" s="704" t="s">
        <v>2683</v>
      </c>
    </row>
    <row r="7" spans="3:39">
      <c r="C7" s="285">
        <f t="shared" ref="C7:C19" si="4">E7/$E$4</f>
        <v>0</v>
      </c>
      <c r="D7" s="264" t="s">
        <v>2684</v>
      </c>
      <c r="E7" s="266"/>
      <c r="F7" s="266"/>
      <c r="G7" s="266"/>
      <c r="H7" s="266"/>
      <c r="Q7" s="285">
        <f t="shared" si="0"/>
        <v>0</v>
      </c>
      <c r="R7" s="264" t="s">
        <v>2684</v>
      </c>
      <c r="S7" s="266">
        <f t="shared" ref="S7:S19" si="5">Y7/10^7</f>
        <v>0</v>
      </c>
      <c r="T7" s="266">
        <f t="shared" si="1"/>
        <v>0</v>
      </c>
      <c r="U7" s="266">
        <f t="shared" si="2"/>
        <v>0</v>
      </c>
      <c r="V7" s="266">
        <f t="shared" si="3"/>
        <v>0</v>
      </c>
      <c r="AK7" s="704" t="s">
        <v>2685</v>
      </c>
      <c r="AL7" s="705" t="s">
        <v>2678</v>
      </c>
      <c r="AM7" s="704" t="s">
        <v>2686</v>
      </c>
    </row>
    <row r="8" spans="3:39">
      <c r="C8" s="285">
        <f t="shared" si="4"/>
        <v>4.2696926137321553E-2</v>
      </c>
      <c r="D8" s="264" t="s">
        <v>2687</v>
      </c>
      <c r="E8" s="266">
        <v>49.182000000000002</v>
      </c>
      <c r="F8" s="266">
        <v>32.770000000000003</v>
      </c>
      <c r="G8" s="266">
        <v>7.9530000000000003</v>
      </c>
      <c r="H8" s="266"/>
      <c r="Q8" s="285">
        <f t="shared" si="0"/>
        <v>4.0346966368940959E-2</v>
      </c>
      <c r="R8" s="264" t="s">
        <v>2687</v>
      </c>
      <c r="S8" s="266">
        <f t="shared" si="5"/>
        <v>48.809811606954035</v>
      </c>
      <c r="T8" s="266">
        <f t="shared" si="1"/>
        <v>32.798775924220976</v>
      </c>
      <c r="U8" s="266">
        <f t="shared" si="2"/>
        <v>7.5115096456167567</v>
      </c>
      <c r="V8" s="266">
        <f t="shared" si="3"/>
        <v>1.7532171384043824E-2</v>
      </c>
      <c r="Y8" s="47">
        <v>488098116.06954032</v>
      </c>
      <c r="Z8" s="47">
        <v>327987759.24220973</v>
      </c>
      <c r="AA8" s="47">
        <v>75115096.456167564</v>
      </c>
      <c r="AB8" s="47">
        <v>175321.71384043823</v>
      </c>
      <c r="AK8" s="704" t="s">
        <v>2688</v>
      </c>
      <c r="AL8" s="705" t="s">
        <v>2689</v>
      </c>
      <c r="AM8" s="704" t="s">
        <v>2690</v>
      </c>
    </row>
    <row r="9" spans="3:39">
      <c r="C9" s="285">
        <f t="shared" si="4"/>
        <v>5.9189874833121547E-2</v>
      </c>
      <c r="D9" s="264" t="s">
        <v>2691</v>
      </c>
      <c r="E9" s="266">
        <v>68.180000000000007</v>
      </c>
      <c r="F9" s="266">
        <v>47.28</v>
      </c>
      <c r="G9" s="266">
        <v>9.7803000000000004</v>
      </c>
      <c r="H9" s="266">
        <v>0.39400000000000002</v>
      </c>
      <c r="Q9" s="285">
        <f t="shared" si="0"/>
        <v>5.7400836718134216E-2</v>
      </c>
      <c r="R9" s="264" t="s">
        <v>2691</v>
      </c>
      <c r="S9" s="266">
        <f t="shared" si="5"/>
        <v>69.440760444642109</v>
      </c>
      <c r="T9" s="266">
        <f t="shared" si="1"/>
        <v>47.453251012416459</v>
      </c>
      <c r="U9" s="266">
        <f t="shared" si="2"/>
        <v>10.080854740397417</v>
      </c>
      <c r="V9" s="266">
        <f t="shared" si="3"/>
        <v>0.40244867217852337</v>
      </c>
      <c r="Y9" s="47">
        <v>694407604.44642115</v>
      </c>
      <c r="Z9" s="47">
        <v>474532510.12416458</v>
      </c>
      <c r="AA9" s="47">
        <v>100808547.40397418</v>
      </c>
      <c r="AB9" s="47">
        <v>4024486.7217852338</v>
      </c>
    </row>
    <row r="10" spans="3:39">
      <c r="C10" s="285">
        <f t="shared" si="4"/>
        <v>5.9783683492344995E-2</v>
      </c>
      <c r="D10" s="264" t="s">
        <v>2692</v>
      </c>
      <c r="E10" s="266">
        <v>68.864000000000004</v>
      </c>
      <c r="F10" s="266">
        <v>48.006500000000003</v>
      </c>
      <c r="G10" s="266">
        <v>9.8800000000000008</v>
      </c>
      <c r="H10" s="266">
        <v>0.39400000000000002</v>
      </c>
      <c r="Q10" s="285">
        <f t="shared" si="0"/>
        <v>5.8198036473368527E-2</v>
      </c>
      <c r="R10" s="264" t="s">
        <v>2692</v>
      </c>
      <c r="S10" s="266">
        <f t="shared" si="5"/>
        <v>70.405174212712922</v>
      </c>
      <c r="T10" s="266">
        <f t="shared" si="1"/>
        <v>48.297643572990992</v>
      </c>
      <c r="U10" s="266">
        <f t="shared" si="2"/>
        <v>10.137701016397418</v>
      </c>
      <c r="V10" s="266">
        <f t="shared" si="3"/>
        <v>0.40244867217852337</v>
      </c>
      <c r="Y10" s="47">
        <v>704051742.1271292</v>
      </c>
      <c r="Z10" s="47">
        <v>482976435.7299099</v>
      </c>
      <c r="AA10" s="47">
        <v>101377010.16397418</v>
      </c>
      <c r="AB10" s="47">
        <v>4024486.7217852338</v>
      </c>
    </row>
    <row r="11" spans="3:39">
      <c r="C11" s="285">
        <f t="shared" si="4"/>
        <v>5.9783683492344995E-2</v>
      </c>
      <c r="D11" s="264" t="s">
        <v>2693</v>
      </c>
      <c r="E11" s="266">
        <v>68.864000000000004</v>
      </c>
      <c r="F11" s="266">
        <v>48.006500000000003</v>
      </c>
      <c r="G11" s="266">
        <v>9.8800000000000008</v>
      </c>
      <c r="H11" s="266">
        <v>0.39400000000000002</v>
      </c>
      <c r="Q11" s="285">
        <f t="shared" si="0"/>
        <v>5.8263099674362502E-2</v>
      </c>
      <c r="R11" s="264" t="s">
        <v>2693</v>
      </c>
      <c r="S11" s="266">
        <f t="shared" si="5"/>
        <v>70.483884531452176</v>
      </c>
      <c r="T11" s="266">
        <f t="shared" si="1"/>
        <v>48.370003096550242</v>
      </c>
      <c r="U11" s="266">
        <f t="shared" si="2"/>
        <v>10.137701016397418</v>
      </c>
      <c r="V11" s="266">
        <f t="shared" si="3"/>
        <v>0.40244867217852337</v>
      </c>
      <c r="Y11" s="47">
        <v>704838845.31452179</v>
      </c>
      <c r="Z11" s="47">
        <v>483700030.96550244</v>
      </c>
      <c r="AA11" s="47">
        <v>101377010.16397418</v>
      </c>
      <c r="AB11" s="47">
        <v>4024486.7217852338</v>
      </c>
    </row>
    <row r="12" spans="3:39">
      <c r="C12" s="285">
        <f t="shared" si="4"/>
        <v>5.9783683492344995E-2</v>
      </c>
      <c r="D12" s="264" t="s">
        <v>2694</v>
      </c>
      <c r="E12" s="266">
        <v>68.864000000000004</v>
      </c>
      <c r="F12" s="266">
        <v>48.006500000000003</v>
      </c>
      <c r="G12" s="266">
        <v>9.8800000000000008</v>
      </c>
      <c r="H12" s="266">
        <v>0.39400000000000002</v>
      </c>
      <c r="Q12" s="285">
        <f t="shared" si="0"/>
        <v>5.8198051534533835E-2</v>
      </c>
      <c r="R12" s="264" t="s">
        <v>2694</v>
      </c>
      <c r="S12" s="266">
        <f t="shared" si="5"/>
        <v>70.405192432983426</v>
      </c>
      <c r="T12" s="266">
        <f t="shared" si="1"/>
        <v>48.297661865990989</v>
      </c>
      <c r="U12" s="266">
        <f t="shared" si="2"/>
        <v>10.137700943667925</v>
      </c>
      <c r="V12" s="266">
        <f t="shared" si="3"/>
        <v>0.40244867217852337</v>
      </c>
      <c r="Y12" s="47">
        <v>704051924.32983422</v>
      </c>
      <c r="Z12" s="47">
        <v>482976618.6599099</v>
      </c>
      <c r="AA12" s="47">
        <v>101377009.43667924</v>
      </c>
      <c r="AB12" s="47">
        <v>4024486.7217852338</v>
      </c>
    </row>
    <row r="13" spans="3:39">
      <c r="C13" s="285">
        <f t="shared" si="4"/>
        <v>6.0127467452948051E-2</v>
      </c>
      <c r="D13" s="264" t="s">
        <v>2695</v>
      </c>
      <c r="E13" s="266">
        <v>69.260000000000005</v>
      </c>
      <c r="F13" s="266">
        <v>48.125999999999998</v>
      </c>
      <c r="G13" s="266">
        <v>9.8800000000000008</v>
      </c>
      <c r="H13" s="266">
        <v>0.39400000000000002</v>
      </c>
      <c r="K13" s="47" t="s">
        <v>2696</v>
      </c>
      <c r="L13" s="47" t="s">
        <v>2697</v>
      </c>
      <c r="M13" s="47" t="s">
        <v>2698</v>
      </c>
      <c r="Q13" s="285">
        <f t="shared" si="0"/>
        <v>5.8366022643091701E-2</v>
      </c>
      <c r="R13" s="264" t="s">
        <v>2695</v>
      </c>
      <c r="S13" s="266">
        <f t="shared" si="5"/>
        <v>70.608395768995123</v>
      </c>
      <c r="T13" s="266">
        <f t="shared" si="1"/>
        <v>48.489180486238411</v>
      </c>
      <c r="U13" s="266">
        <f t="shared" si="2"/>
        <v>10.137700943667925</v>
      </c>
      <c r="V13" s="266">
        <f t="shared" si="3"/>
        <v>0.40244867217852337</v>
      </c>
      <c r="Y13" s="47">
        <v>706083957.6899513</v>
      </c>
      <c r="Z13" s="47">
        <v>484891804.86238414</v>
      </c>
      <c r="AA13" s="47">
        <v>101377009.43667924</v>
      </c>
      <c r="AB13" s="47">
        <v>4024486.7217852338</v>
      </c>
    </row>
    <row r="14" spans="3:39">
      <c r="C14" s="285">
        <f t="shared" si="4"/>
        <v>4.1701168049413213E-2</v>
      </c>
      <c r="D14" s="264" t="s">
        <v>2699</v>
      </c>
      <c r="E14" s="266">
        <v>48.034999999999997</v>
      </c>
      <c r="F14" s="266">
        <v>31.6</v>
      </c>
      <c r="G14" s="266">
        <v>7.84</v>
      </c>
      <c r="H14" s="266"/>
      <c r="K14" s="47" t="s">
        <v>943</v>
      </c>
      <c r="L14" s="47">
        <v>0.11105338454237289</v>
      </c>
      <c r="M14" s="47">
        <v>524</v>
      </c>
      <c r="N14" s="47">
        <f>M14*L14</f>
        <v>58.191973500203396</v>
      </c>
      <c r="Q14" s="285">
        <f t="shared" si="0"/>
        <v>3.9238652806838782E-2</v>
      </c>
      <c r="R14" s="264" t="s">
        <v>2699</v>
      </c>
      <c r="S14" s="266">
        <f t="shared" si="5"/>
        <v>47.469027378643808</v>
      </c>
      <c r="T14" s="266">
        <f t="shared" si="1"/>
        <v>31.622783162851071</v>
      </c>
      <c r="U14" s="266">
        <f t="shared" si="2"/>
        <v>7.3460472456167567</v>
      </c>
      <c r="V14" s="266">
        <f t="shared" si="3"/>
        <v>1.7532171384043824E-2</v>
      </c>
      <c r="Y14" s="47">
        <v>474690273.78643811</v>
      </c>
      <c r="Z14" s="47">
        <v>316227831.62851071</v>
      </c>
      <c r="AA14" s="47">
        <v>73460472.456167564</v>
      </c>
      <c r="AB14" s="47">
        <v>175321.71384043823</v>
      </c>
    </row>
    <row r="15" spans="3:39">
      <c r="C15" s="285">
        <f t="shared" si="4"/>
        <v>0</v>
      </c>
      <c r="D15" s="264" t="s">
        <v>2700</v>
      </c>
      <c r="E15" s="266"/>
      <c r="F15" s="266"/>
      <c r="G15" s="266"/>
      <c r="H15" s="266"/>
      <c r="K15" s="47" t="s">
        <v>1000</v>
      </c>
      <c r="L15" s="47">
        <v>0.15194500009322034</v>
      </c>
      <c r="M15" s="47">
        <f>44*5</f>
        <v>220</v>
      </c>
      <c r="N15" s="47">
        <f t="shared" ref="N15:N20" si="6">M15*L15</f>
        <v>33.427900020508474</v>
      </c>
      <c r="Q15" s="285">
        <f t="shared" si="0"/>
        <v>0</v>
      </c>
      <c r="R15" s="264" t="s">
        <v>2700</v>
      </c>
      <c r="S15" s="266">
        <f t="shared" si="5"/>
        <v>0</v>
      </c>
      <c r="T15" s="266">
        <f t="shared" si="1"/>
        <v>0</v>
      </c>
      <c r="U15" s="266">
        <f t="shared" si="2"/>
        <v>0</v>
      </c>
      <c r="V15" s="266">
        <f t="shared" si="3"/>
        <v>0</v>
      </c>
    </row>
    <row r="16" spans="3:39">
      <c r="C16" s="285">
        <f t="shared" si="4"/>
        <v>5.0022302550373467E-2</v>
      </c>
      <c r="D16" s="264" t="s">
        <v>2701</v>
      </c>
      <c r="E16" s="266">
        <v>57.62</v>
      </c>
      <c r="F16" s="266">
        <v>37.299999999999997</v>
      </c>
      <c r="G16" s="266">
        <v>3.5</v>
      </c>
      <c r="H16" s="266">
        <v>4.4800000000000004</v>
      </c>
      <c r="K16" s="47" t="s">
        <v>2702</v>
      </c>
      <c r="L16" s="47">
        <v>9.5780134542372899E-2</v>
      </c>
      <c r="M16" s="47">
        <f>6*5</f>
        <v>30</v>
      </c>
      <c r="N16" s="47">
        <f t="shared" si="6"/>
        <v>2.8734040362711868</v>
      </c>
      <c r="Q16" s="285">
        <f t="shared" si="0"/>
        <v>4.8506702984562285E-2</v>
      </c>
      <c r="R16" s="264" t="s">
        <v>2701</v>
      </c>
      <c r="S16" s="266">
        <f t="shared" si="5"/>
        <v>58.681066940723895</v>
      </c>
      <c r="T16" s="266">
        <f t="shared" si="1"/>
        <v>38.227688373259618</v>
      </c>
      <c r="U16" s="266">
        <f t="shared" si="2"/>
        <v>7.3460472456167567</v>
      </c>
      <c r="V16" s="266">
        <f t="shared" si="3"/>
        <v>4.4781881971477553</v>
      </c>
      <c r="Y16" s="47">
        <v>586810669.40723896</v>
      </c>
      <c r="Z16" s="47">
        <v>382276883.73259616</v>
      </c>
      <c r="AA16" s="47">
        <v>73460472.456167564</v>
      </c>
      <c r="AB16" s="47">
        <v>44781881.971477553</v>
      </c>
    </row>
    <row r="17" spans="3:28">
      <c r="C17" s="285">
        <f t="shared" si="4"/>
        <v>0.41048325780793277</v>
      </c>
      <c r="D17" s="264" t="s">
        <v>185</v>
      </c>
      <c r="E17" s="266">
        <v>472.83</v>
      </c>
      <c r="F17" s="266"/>
      <c r="G17" s="266">
        <f>N21</f>
        <v>123.14336303129014</v>
      </c>
      <c r="H17" s="266">
        <f>47*76131/10^7</f>
        <v>0.35781570000000001</v>
      </c>
      <c r="K17" s="47" t="s">
        <v>2703</v>
      </c>
      <c r="L17" s="47">
        <v>0.13169323454237289</v>
      </c>
      <c r="M17" s="47">
        <f>6*5</f>
        <v>30</v>
      </c>
      <c r="N17" s="47">
        <f t="shared" si="6"/>
        <v>3.9507970362711866</v>
      </c>
      <c r="Q17" s="285">
        <f t="shared" si="0"/>
        <v>0.42979747489306241</v>
      </c>
      <c r="R17" s="264" t="s">
        <v>185</v>
      </c>
      <c r="S17" s="266">
        <f t="shared" si="5"/>
        <v>519.94823072557017</v>
      </c>
      <c r="T17" s="266">
        <f t="shared" si="1"/>
        <v>0.98416692971545416</v>
      </c>
      <c r="U17" s="266">
        <f t="shared" si="2"/>
        <v>5.4292122000000003</v>
      </c>
      <c r="V17" s="266">
        <f t="shared" si="3"/>
        <v>2.5840958999999999</v>
      </c>
      <c r="Y17" s="47">
        <v>5199482307.255702</v>
      </c>
      <c r="Z17" s="47">
        <v>9841669.2971545421</v>
      </c>
      <c r="AA17" s="47">
        <v>54292122</v>
      </c>
      <c r="AB17" s="47">
        <v>25840959</v>
      </c>
    </row>
    <row r="18" spans="3:28" ht="25.5">
      <c r="C18" s="285">
        <f t="shared" si="4"/>
        <v>5.2205677956728716E-2</v>
      </c>
      <c r="D18" s="267" t="s">
        <v>2704</v>
      </c>
      <c r="E18" s="266">
        <v>60.134999999999998</v>
      </c>
      <c r="F18" s="266">
        <v>21.163563166259259</v>
      </c>
      <c r="G18" s="266">
        <v>35.745100000000001</v>
      </c>
      <c r="H18" s="266">
        <v>9.8768999999999991</v>
      </c>
      <c r="K18" s="47" t="s">
        <v>1013</v>
      </c>
      <c r="L18" s="47">
        <v>0.18187386716101694</v>
      </c>
      <c r="M18" s="47">
        <f>12*5</f>
        <v>60</v>
      </c>
      <c r="N18" s="47">
        <f t="shared" si="6"/>
        <v>10.912432029661016</v>
      </c>
      <c r="Q18" s="285">
        <f t="shared" si="0"/>
        <v>4.9467818909603389E-2</v>
      </c>
      <c r="R18" s="267" t="s">
        <v>2704</v>
      </c>
      <c r="S18" s="266">
        <f t="shared" si="5"/>
        <v>59.843778575713444</v>
      </c>
      <c r="T18" s="266">
        <f t="shared" si="1"/>
        <v>21.843832209257876</v>
      </c>
      <c r="U18" s="266">
        <f t="shared" si="2"/>
        <v>16.060949769268298</v>
      </c>
      <c r="V18" s="266">
        <f t="shared" si="3"/>
        <v>9.2964147324059994</v>
      </c>
      <c r="Y18" s="660">
        <v>598437785.75713444</v>
      </c>
      <c r="Z18" s="47">
        <v>218438322.09257877</v>
      </c>
      <c r="AA18" s="47">
        <v>160609497.69268298</v>
      </c>
      <c r="AB18" s="47">
        <v>92964147.324059993</v>
      </c>
    </row>
    <row r="19" spans="3:28">
      <c r="C19" s="285">
        <f t="shared" si="4"/>
        <v>1.1687092006137411E-2</v>
      </c>
      <c r="D19" s="264" t="s">
        <v>209</v>
      </c>
      <c r="E19" s="266">
        <v>13.462199999999999</v>
      </c>
      <c r="F19" s="266">
        <v>4.5552999999999999</v>
      </c>
      <c r="G19" s="266">
        <v>1.0914999999999999</v>
      </c>
      <c r="H19" s="266">
        <v>2.3807999999999998</v>
      </c>
      <c r="K19" s="47" t="s">
        <v>878</v>
      </c>
      <c r="L19" s="47">
        <v>0.21094443601694918</v>
      </c>
      <c r="M19" s="47">
        <v>48</v>
      </c>
      <c r="N19" s="47">
        <f t="shared" si="6"/>
        <v>10.12533292881356</v>
      </c>
      <c r="Q19" s="285">
        <f t="shared" si="0"/>
        <v>1.1416501076370496E-2</v>
      </c>
      <c r="R19" s="264" t="s">
        <v>209</v>
      </c>
      <c r="S19" s="266">
        <f t="shared" si="5"/>
        <v>13.811131713168711</v>
      </c>
      <c r="T19" s="266">
        <f t="shared" si="1"/>
        <v>1.3634799628734</v>
      </c>
      <c r="U19" s="266">
        <f t="shared" si="2"/>
        <v>0</v>
      </c>
      <c r="V19" s="266">
        <f t="shared" si="3"/>
        <v>2.3808473688234</v>
      </c>
      <c r="Y19" s="47">
        <v>138111317.1316871</v>
      </c>
      <c r="Z19" s="47">
        <v>13634799.628734</v>
      </c>
      <c r="AB19" s="47">
        <v>23808473.688234001</v>
      </c>
    </row>
    <row r="20" spans="3:28">
      <c r="D20" s="264"/>
      <c r="E20" s="266"/>
      <c r="F20" s="266"/>
      <c r="G20" s="266"/>
      <c r="H20" s="266"/>
      <c r="K20" s="47" t="s">
        <v>935</v>
      </c>
      <c r="L20" s="47">
        <f>L19*(4500/5185)</f>
        <v>0.18307617397806583</v>
      </c>
      <c r="M20" s="47">
        <v>20</v>
      </c>
      <c r="N20" s="47">
        <f t="shared" si="6"/>
        <v>3.6615234795613167</v>
      </c>
      <c r="R20" s="264"/>
      <c r="S20" s="266"/>
      <c r="T20" s="266"/>
      <c r="U20" s="266"/>
      <c r="V20" s="266"/>
    </row>
    <row r="21" spans="3:28">
      <c r="D21" s="264"/>
      <c r="E21" s="266"/>
      <c r="F21" s="266"/>
      <c r="G21" s="266"/>
      <c r="H21" s="266"/>
      <c r="M21" s="270">
        <f>SUM(M14:M20)</f>
        <v>932</v>
      </c>
      <c r="N21" s="270">
        <f>SUM(N14:N20)</f>
        <v>123.14336303129014</v>
      </c>
      <c r="R21" s="264"/>
      <c r="S21" s="266"/>
      <c r="T21" s="266"/>
      <c r="U21" s="266"/>
      <c r="V21" s="266"/>
    </row>
    <row r="22" spans="3:28">
      <c r="D22" s="268" t="s">
        <v>2705</v>
      </c>
      <c r="E22" s="266"/>
      <c r="F22" s="266"/>
      <c r="G22" s="266"/>
      <c r="H22" s="266"/>
      <c r="R22" s="268" t="s">
        <v>2705</v>
      </c>
      <c r="S22" s="266"/>
      <c r="T22" s="266"/>
      <c r="U22" s="266"/>
      <c r="V22" s="266"/>
    </row>
    <row r="23" spans="3:28">
      <c r="D23" s="264"/>
      <c r="E23" s="266">
        <f>E4*5%*10^7</f>
        <v>575943100</v>
      </c>
      <c r="F23" s="266">
        <f>F4*3%*10^7</f>
        <v>134765808.94987777</v>
      </c>
      <c r="G23" s="266">
        <f>G4*2%*10^7</f>
        <v>48108652.606258027</v>
      </c>
      <c r="H23" s="266">
        <f>H4*7%*10^7</f>
        <v>13345860.99</v>
      </c>
      <c r="R23" s="264"/>
      <c r="S23" s="266">
        <f>S4*5%</f>
        <v>60.487585560494296</v>
      </c>
      <c r="T23" s="266">
        <f>T4*3%</f>
        <v>13.548929289466269</v>
      </c>
      <c r="U23" s="266">
        <f>U4*2%</f>
        <v>2.1465524033329331</v>
      </c>
      <c r="V23" s="266">
        <f>V4*7%</f>
        <v>1.4550797731426501</v>
      </c>
    </row>
    <row r="24" spans="3:28">
      <c r="D24" s="264"/>
      <c r="E24" s="266">
        <f>'Design Fee'!W5</f>
        <v>57.594310000000007</v>
      </c>
      <c r="F24" s="266">
        <f>'Design Fee'!BG5</f>
        <v>13.476580894987778</v>
      </c>
      <c r="G24" s="266">
        <f>'Design Fee'!CQ5</f>
        <v>4.8108652606258024</v>
      </c>
      <c r="H24" s="266">
        <f>'Design Fee'!EA5</f>
        <v>1.334586099</v>
      </c>
      <c r="R24" s="264"/>
      <c r="S24" s="266"/>
      <c r="T24" s="266"/>
      <c r="U24" s="266"/>
      <c r="V24" s="266"/>
    </row>
    <row r="25" spans="3:28">
      <c r="D25" s="264"/>
      <c r="E25" s="266">
        <f>E23-E24</f>
        <v>575943042.40568995</v>
      </c>
      <c r="F25" s="266">
        <f>F23-F24</f>
        <v>134765795.47329688</v>
      </c>
      <c r="G25" s="266">
        <f>G23-G24</f>
        <v>48108647.795392767</v>
      </c>
      <c r="H25" s="266">
        <f>H23-H24</f>
        <v>13345859.655413901</v>
      </c>
      <c r="R25" s="264"/>
      <c r="S25" s="266">
        <f>S23-S24</f>
        <v>60.487585560494296</v>
      </c>
      <c r="T25" s="266">
        <f>T23-T24</f>
        <v>13.548929289466269</v>
      </c>
      <c r="U25" s="266">
        <f>U23-U24</f>
        <v>2.1465524033329331</v>
      </c>
      <c r="V25" s="266">
        <f>V23-V24</f>
        <v>1.4550797731426501</v>
      </c>
    </row>
    <row r="56" spans="38:40" ht="18.75">
      <c r="AL56" s="690" t="s">
        <v>2706</v>
      </c>
      <c r="AM56" s="691" t="s">
        <v>2707</v>
      </c>
      <c r="AN56" s="691" t="s">
        <v>2708</v>
      </c>
    </row>
    <row r="57" spans="38:40">
      <c r="AL57" s="692"/>
      <c r="AM57" s="693" t="s">
        <v>2709</v>
      </c>
      <c r="AN57" s="692"/>
    </row>
    <row r="58" spans="38:40" ht="14.25">
      <c r="AL58" s="694">
        <v>7</v>
      </c>
      <c r="AM58" s="695" t="s">
        <v>64</v>
      </c>
      <c r="AN58" s="696">
        <v>0.21817600000000006</v>
      </c>
    </row>
    <row r="59" spans="38:40">
      <c r="AL59" s="692"/>
      <c r="AM59" s="693" t="s">
        <v>2710</v>
      </c>
      <c r="AN59" s="692"/>
    </row>
    <row r="60" spans="38:40" ht="14.25">
      <c r="AL60" s="694">
        <v>1</v>
      </c>
      <c r="AM60" s="695" t="s">
        <v>52</v>
      </c>
      <c r="AN60" s="696">
        <v>6.2334000000000014E-2</v>
      </c>
    </row>
    <row r="61" spans="38:40" ht="14.25">
      <c r="AL61" s="697">
        <v>3</v>
      </c>
      <c r="AM61" s="698" t="s">
        <v>56</v>
      </c>
      <c r="AN61" s="696">
        <v>0.12466800000000003</v>
      </c>
    </row>
    <row r="62" spans="38:40" ht="14.25">
      <c r="AL62" s="694">
        <v>4</v>
      </c>
      <c r="AM62" s="695" t="s">
        <v>88</v>
      </c>
      <c r="AN62" s="696">
        <v>6.2334000000000014E-2</v>
      </c>
    </row>
    <row r="63" spans="38:40" ht="14.25">
      <c r="AL63" s="697">
        <v>5</v>
      </c>
      <c r="AM63" s="698" t="s">
        <v>90</v>
      </c>
      <c r="AN63" s="696">
        <v>6.2334000000000014E-2</v>
      </c>
    </row>
    <row r="64" spans="38:40" ht="14.25">
      <c r="AL64" s="697">
        <v>6</v>
      </c>
      <c r="AM64" s="698" t="s">
        <v>64</v>
      </c>
      <c r="AN64" s="696">
        <v>0.12466800000000003</v>
      </c>
    </row>
    <row r="65" spans="6:40" ht="14.25">
      <c r="AL65" s="697">
        <v>7</v>
      </c>
      <c r="AM65" s="695" t="s">
        <v>67</v>
      </c>
      <c r="AN65" s="696">
        <v>6.2334000000000014E-2</v>
      </c>
    </row>
    <row r="66" spans="6:40" ht="14.25">
      <c r="AL66" s="697">
        <v>8</v>
      </c>
      <c r="AM66" s="695" t="s">
        <v>69</v>
      </c>
      <c r="AN66" s="696">
        <v>6.2334000000000014E-2</v>
      </c>
    </row>
    <row r="67" spans="6:40" ht="14.25">
      <c r="AL67" s="697">
        <v>9</v>
      </c>
      <c r="AM67" s="698" t="s">
        <v>71</v>
      </c>
      <c r="AN67" s="696">
        <v>6.2334000000000014E-2</v>
      </c>
    </row>
    <row r="68" spans="6:40">
      <c r="AL68" s="692"/>
      <c r="AM68" s="693" t="s">
        <v>2711</v>
      </c>
      <c r="AN68" s="692"/>
    </row>
    <row r="69" spans="6:40" ht="14.25">
      <c r="F69" s="739">
        <v>1011</v>
      </c>
      <c r="G69" s="757">
        <v>1011</v>
      </c>
      <c r="AL69" s="697">
        <v>3</v>
      </c>
      <c r="AM69" s="695" t="s">
        <v>154</v>
      </c>
      <c r="AN69" s="696">
        <v>0.79942500000000005</v>
      </c>
    </row>
    <row r="70" spans="6:40">
      <c r="F70" s="739">
        <v>1012</v>
      </c>
      <c r="G70" s="757">
        <v>1012</v>
      </c>
      <c r="AL70" s="692"/>
      <c r="AM70" s="693" t="s">
        <v>209</v>
      </c>
      <c r="AN70" s="692"/>
    </row>
    <row r="71" spans="6:40" ht="14.25">
      <c r="F71" s="739">
        <v>1023</v>
      </c>
      <c r="G71" s="757">
        <v>1023</v>
      </c>
      <c r="AL71" s="697">
        <v>3</v>
      </c>
      <c r="AM71" s="699" t="s">
        <v>215</v>
      </c>
      <c r="AN71" s="696">
        <v>3.3655499999999998E-2</v>
      </c>
    </row>
    <row r="72" spans="6:40" ht="15">
      <c r="F72" s="739">
        <v>1024</v>
      </c>
      <c r="G72" s="757">
        <v>1024</v>
      </c>
      <c r="AL72" s="693"/>
      <c r="AM72" s="700" t="s">
        <v>2712</v>
      </c>
      <c r="AN72" s="701">
        <f>SUM(AN58:AN71)</f>
        <v>1.6745965000000003</v>
      </c>
    </row>
    <row r="73" spans="6:40">
      <c r="F73" s="739">
        <v>1044</v>
      </c>
      <c r="G73" s="757">
        <v>1044</v>
      </c>
    </row>
    <row r="74" spans="6:40">
      <c r="F74" s="739">
        <v>1053</v>
      </c>
      <c r="G74" s="757">
        <v>1053</v>
      </c>
    </row>
    <row r="75" spans="6:40">
      <c r="F75" s="739">
        <v>1063</v>
      </c>
      <c r="G75" s="757">
        <v>1063</v>
      </c>
    </row>
    <row r="76" spans="6:40">
      <c r="F76" s="739">
        <v>1064</v>
      </c>
      <c r="G76" s="757">
        <v>1064</v>
      </c>
    </row>
    <row r="77" spans="6:40">
      <c r="F77" s="739">
        <v>1072</v>
      </c>
      <c r="G77" s="757">
        <v>1072</v>
      </c>
    </row>
    <row r="78" spans="6:40">
      <c r="F78" s="739">
        <v>1084</v>
      </c>
      <c r="G78" s="757">
        <v>1084</v>
      </c>
    </row>
    <row r="79" spans="6:40">
      <c r="F79" s="739">
        <v>3033</v>
      </c>
      <c r="G79" s="757">
        <v>3033</v>
      </c>
    </row>
    <row r="80" spans="6:40">
      <c r="F80" s="739">
        <v>1104</v>
      </c>
      <c r="G80" s="757">
        <v>1104</v>
      </c>
    </row>
    <row r="81" spans="6:7">
      <c r="F81" s="739">
        <v>1141</v>
      </c>
      <c r="G81" s="757">
        <v>1141</v>
      </c>
    </row>
    <row r="82" spans="6:7">
      <c r="F82" s="739">
        <v>1151</v>
      </c>
      <c r="G82" s="757">
        <v>1151</v>
      </c>
    </row>
    <row r="83" spans="6:7">
      <c r="F83" s="739">
        <v>1191</v>
      </c>
      <c r="G83" s="757">
        <v>1191</v>
      </c>
    </row>
    <row r="84" spans="6:7">
      <c r="F84" s="739">
        <v>2013</v>
      </c>
      <c r="G84" s="757">
        <v>2013</v>
      </c>
    </row>
    <row r="85" spans="6:7">
      <c r="F85" s="739">
        <v>2024</v>
      </c>
      <c r="G85" s="757">
        <v>2024</v>
      </c>
    </row>
    <row r="86" spans="6:7">
      <c r="F86" s="739">
        <v>2043</v>
      </c>
      <c r="G86" s="757">
        <v>2043</v>
      </c>
    </row>
    <row r="87" spans="6:7">
      <c r="F87" s="739">
        <v>2044</v>
      </c>
      <c r="G87" s="757">
        <v>2044</v>
      </c>
    </row>
    <row r="88" spans="6:7">
      <c r="F88" s="739">
        <v>2093</v>
      </c>
      <c r="G88" s="757">
        <v>2093</v>
      </c>
    </row>
    <row r="89" spans="6:7">
      <c r="F89" s="739">
        <v>2121</v>
      </c>
      <c r="G89" s="757">
        <v>2121</v>
      </c>
    </row>
    <row r="90" spans="6:7">
      <c r="F90" s="739">
        <v>2122</v>
      </c>
      <c r="G90" s="757">
        <v>2122</v>
      </c>
    </row>
    <row r="91" spans="6:7">
      <c r="F91" s="739">
        <v>2132</v>
      </c>
      <c r="G91" s="757">
        <v>2132</v>
      </c>
    </row>
    <row r="92" spans="6:7">
      <c r="F92" s="740">
        <v>2133</v>
      </c>
      <c r="G92" s="758">
        <v>2133</v>
      </c>
    </row>
    <row r="93" spans="6:7">
      <c r="F93" s="741">
        <v>2144</v>
      </c>
      <c r="G93" s="757">
        <v>2144</v>
      </c>
    </row>
    <row r="94" spans="6:7">
      <c r="F94" s="741">
        <v>2161</v>
      </c>
      <c r="G94" s="757">
        <v>2161</v>
      </c>
    </row>
    <row r="95" spans="6:7">
      <c r="F95" s="741">
        <v>2162</v>
      </c>
      <c r="G95" s="757">
        <v>2162</v>
      </c>
    </row>
    <row r="96" spans="6:7">
      <c r="F96" s="741">
        <v>2181</v>
      </c>
      <c r="G96" s="757">
        <v>2181</v>
      </c>
    </row>
    <row r="97" spans="6:7">
      <c r="F97" s="741">
        <v>2182</v>
      </c>
      <c r="G97" s="757">
        <v>2182</v>
      </c>
    </row>
    <row r="98" spans="6:7">
      <c r="F98" s="741">
        <v>2211</v>
      </c>
      <c r="G98" s="757">
        <v>2211</v>
      </c>
    </row>
    <row r="99" spans="6:7">
      <c r="F99" s="741">
        <v>2222</v>
      </c>
      <c r="G99" s="757">
        <v>2222</v>
      </c>
    </row>
    <row r="100" spans="6:7">
      <c r="F100" s="742">
        <v>2234</v>
      </c>
      <c r="G100" s="759">
        <v>2234</v>
      </c>
    </row>
    <row r="101" spans="6:7">
      <c r="F101" s="743">
        <v>2253</v>
      </c>
      <c r="G101" s="760">
        <v>2253</v>
      </c>
    </row>
    <row r="102" spans="6:7">
      <c r="F102" s="743">
        <v>2264</v>
      </c>
      <c r="G102" s="760">
        <v>2264</v>
      </c>
    </row>
    <row r="103" spans="6:7">
      <c r="F103" s="744">
        <v>17</v>
      </c>
      <c r="G103" s="761">
        <v>17</v>
      </c>
    </row>
    <row r="104" spans="6:7">
      <c r="F104" s="745">
        <v>45</v>
      </c>
      <c r="G104" s="761">
        <v>45</v>
      </c>
    </row>
    <row r="105" spans="6:7">
      <c r="F105" s="746">
        <v>2251</v>
      </c>
      <c r="G105" s="762">
        <v>2251</v>
      </c>
    </row>
    <row r="106" spans="6:7">
      <c r="F106" s="747">
        <v>1163</v>
      </c>
      <c r="G106" s="762">
        <v>1163</v>
      </c>
    </row>
    <row r="107" spans="6:7">
      <c r="F107" s="739">
        <v>1102</v>
      </c>
      <c r="G107" s="757">
        <v>1102</v>
      </c>
    </row>
    <row r="108" spans="6:7">
      <c r="F108" s="745">
        <v>3094</v>
      </c>
      <c r="G108" s="761">
        <v>3094</v>
      </c>
    </row>
    <row r="109" spans="6:7">
      <c r="F109" s="745">
        <v>3173</v>
      </c>
      <c r="G109" s="761">
        <v>3173</v>
      </c>
    </row>
    <row r="110" spans="6:7">
      <c r="F110" s="745">
        <v>7061</v>
      </c>
      <c r="G110" s="761">
        <v>7061</v>
      </c>
    </row>
    <row r="111" spans="6:7">
      <c r="F111" s="748">
        <v>7081</v>
      </c>
      <c r="G111" s="763">
        <v>7081</v>
      </c>
    </row>
    <row r="112" spans="6:7">
      <c r="F112" s="748">
        <v>7101</v>
      </c>
      <c r="G112" s="763">
        <v>7101</v>
      </c>
    </row>
    <row r="113" spans="6:7">
      <c r="F113" s="739">
        <v>2051</v>
      </c>
      <c r="G113" s="757">
        <v>2051</v>
      </c>
    </row>
    <row r="114" spans="6:7">
      <c r="F114" s="748">
        <v>1213</v>
      </c>
      <c r="G114" s="763">
        <v>1213</v>
      </c>
    </row>
    <row r="115" spans="6:7">
      <c r="F115" s="748">
        <v>1133</v>
      </c>
      <c r="G115" s="763">
        <v>1133</v>
      </c>
    </row>
    <row r="116" spans="6:7">
      <c r="F116" s="748">
        <v>34</v>
      </c>
      <c r="G116" s="763">
        <v>34</v>
      </c>
    </row>
    <row r="117" spans="6:7">
      <c r="F117" s="748">
        <v>33</v>
      </c>
      <c r="G117" s="763">
        <v>33</v>
      </c>
    </row>
    <row r="118" spans="6:7">
      <c r="F118" s="748">
        <v>3104</v>
      </c>
      <c r="G118" s="763">
        <v>3104</v>
      </c>
    </row>
    <row r="119" spans="6:7">
      <c r="F119" s="748">
        <v>1144</v>
      </c>
      <c r="G119" s="763">
        <v>1144</v>
      </c>
    </row>
    <row r="120" spans="6:7">
      <c r="F120" s="748">
        <v>1153</v>
      </c>
      <c r="G120" s="763">
        <v>1153</v>
      </c>
    </row>
    <row r="121" spans="6:7">
      <c r="F121" s="748">
        <v>1221</v>
      </c>
      <c r="G121" s="763">
        <v>1221</v>
      </c>
    </row>
    <row r="122" spans="6:7">
      <c r="F122" s="748">
        <v>7091</v>
      </c>
      <c r="G122" s="763">
        <v>7091</v>
      </c>
    </row>
    <row r="123" spans="6:7">
      <c r="F123" s="748">
        <v>7063</v>
      </c>
      <c r="G123" s="763">
        <v>7063</v>
      </c>
    </row>
    <row r="124" spans="6:7">
      <c r="F124" s="748">
        <v>2033</v>
      </c>
      <c r="G124" s="763">
        <v>2033</v>
      </c>
    </row>
    <row r="125" spans="6:7">
      <c r="F125" s="748">
        <v>2083</v>
      </c>
      <c r="G125" s="763">
        <v>2083</v>
      </c>
    </row>
    <row r="126" spans="6:7">
      <c r="F126" s="748">
        <v>7072</v>
      </c>
      <c r="G126" s="763">
        <v>7072</v>
      </c>
    </row>
    <row r="127" spans="6:7">
      <c r="F127" s="748">
        <v>7094</v>
      </c>
      <c r="G127" s="763">
        <v>7094</v>
      </c>
    </row>
    <row r="128" spans="6:7">
      <c r="F128" s="748">
        <v>2124</v>
      </c>
      <c r="G128" s="763">
        <v>2124</v>
      </c>
    </row>
    <row r="129" spans="6:7">
      <c r="F129" s="748">
        <v>2134</v>
      </c>
      <c r="G129" s="763">
        <v>2134</v>
      </c>
    </row>
    <row r="130" spans="6:7">
      <c r="F130" s="748">
        <v>4</v>
      </c>
      <c r="G130" s="763">
        <v>4</v>
      </c>
    </row>
    <row r="131" spans="6:7">
      <c r="F131" s="748">
        <v>1274</v>
      </c>
      <c r="G131" s="763">
        <v>1274</v>
      </c>
    </row>
    <row r="132" spans="6:7">
      <c r="F132" s="748">
        <v>2034</v>
      </c>
      <c r="G132" s="763">
        <v>2034</v>
      </c>
    </row>
    <row r="133" spans="6:7">
      <c r="F133" s="748">
        <v>3124</v>
      </c>
      <c r="G133" s="763">
        <v>3124</v>
      </c>
    </row>
    <row r="134" spans="6:7">
      <c r="F134" s="748">
        <v>2153</v>
      </c>
      <c r="G134" s="763">
        <v>2153</v>
      </c>
    </row>
    <row r="135" spans="6:7">
      <c r="F135" s="748">
        <v>2154</v>
      </c>
      <c r="G135" s="763">
        <v>2154</v>
      </c>
    </row>
    <row r="136" spans="6:7">
      <c r="F136" s="748">
        <v>2233</v>
      </c>
      <c r="G136" s="763">
        <v>2233</v>
      </c>
    </row>
    <row r="137" spans="6:7">
      <c r="F137" s="748">
        <v>2254</v>
      </c>
      <c r="G137" s="763">
        <v>2254</v>
      </c>
    </row>
    <row r="138" spans="6:7">
      <c r="F138" s="748">
        <v>3013</v>
      </c>
      <c r="G138" s="763">
        <v>3013</v>
      </c>
    </row>
    <row r="139" spans="6:7">
      <c r="F139" s="748">
        <v>3153</v>
      </c>
      <c r="G139" s="763">
        <v>3153</v>
      </c>
    </row>
    <row r="140" spans="6:7">
      <c r="F140" s="748">
        <v>3184</v>
      </c>
      <c r="G140" s="763">
        <v>3184</v>
      </c>
    </row>
    <row r="141" spans="6:7">
      <c r="F141" s="748">
        <v>7104</v>
      </c>
      <c r="G141" s="763">
        <v>7104</v>
      </c>
    </row>
    <row r="142" spans="6:7">
      <c r="F142" s="748">
        <v>1272</v>
      </c>
      <c r="G142" s="763">
        <v>1272</v>
      </c>
    </row>
    <row r="143" spans="6:7">
      <c r="F143" s="748">
        <v>3203</v>
      </c>
      <c r="G143" s="763">
        <v>3203</v>
      </c>
    </row>
    <row r="144" spans="6:7">
      <c r="F144" s="748">
        <v>7112</v>
      </c>
      <c r="G144" s="763">
        <v>7112</v>
      </c>
    </row>
    <row r="145" spans="6:7">
      <c r="F145" s="748">
        <v>32</v>
      </c>
      <c r="G145" s="763">
        <v>32</v>
      </c>
    </row>
    <row r="146" spans="6:7">
      <c r="F146" s="748">
        <v>35</v>
      </c>
      <c r="G146" s="763">
        <v>35</v>
      </c>
    </row>
    <row r="147" spans="6:7">
      <c r="F147" s="748">
        <v>1244</v>
      </c>
      <c r="G147" s="763">
        <v>1244</v>
      </c>
    </row>
    <row r="148" spans="6:7">
      <c r="F148" s="748">
        <v>1262</v>
      </c>
      <c r="G148" s="763">
        <v>1262</v>
      </c>
    </row>
    <row r="149" spans="6:7">
      <c r="F149" s="748">
        <v>2244</v>
      </c>
      <c r="G149" s="763">
        <v>2244</v>
      </c>
    </row>
    <row r="150" spans="6:7">
      <c r="F150" s="748">
        <v>2273</v>
      </c>
      <c r="G150" s="763">
        <v>2273</v>
      </c>
    </row>
    <row r="151" spans="6:7">
      <c r="F151" s="748">
        <v>2274</v>
      </c>
      <c r="G151" s="763">
        <v>2274</v>
      </c>
    </row>
    <row r="152" spans="6:7">
      <c r="F152" s="748">
        <v>7154</v>
      </c>
      <c r="G152" s="763">
        <v>7154</v>
      </c>
    </row>
    <row r="153" spans="6:7">
      <c r="F153" s="748">
        <v>7164</v>
      </c>
      <c r="G153" s="763">
        <v>7164</v>
      </c>
    </row>
    <row r="154" spans="6:7">
      <c r="F154" s="748">
        <v>7122</v>
      </c>
      <c r="G154" s="763">
        <v>7122</v>
      </c>
    </row>
    <row r="155" spans="6:7">
      <c r="F155" s="748">
        <v>3193</v>
      </c>
      <c r="G155" s="763">
        <v>3193</v>
      </c>
    </row>
    <row r="156" spans="6:7">
      <c r="F156" s="748">
        <v>3194</v>
      </c>
      <c r="G156" s="763">
        <v>3194</v>
      </c>
    </row>
    <row r="157" spans="6:7">
      <c r="F157" s="748">
        <v>2252</v>
      </c>
      <c r="G157" s="763">
        <v>2252</v>
      </c>
    </row>
    <row r="158" spans="6:7">
      <c r="F158" s="748">
        <v>1271</v>
      </c>
      <c r="G158" s="763">
        <v>1271</v>
      </c>
    </row>
    <row r="159" spans="6:7">
      <c r="F159" s="749">
        <v>3204</v>
      </c>
      <c r="G159" s="763">
        <v>3204</v>
      </c>
    </row>
    <row r="160" spans="6:7">
      <c r="F160" s="748">
        <v>3191</v>
      </c>
      <c r="G160" s="763">
        <v>3191</v>
      </c>
    </row>
    <row r="161" spans="6:7">
      <c r="F161" s="748">
        <v>3171</v>
      </c>
      <c r="G161" s="763">
        <v>3171</v>
      </c>
    </row>
    <row r="162" spans="6:7">
      <c r="F162" s="748">
        <v>7083</v>
      </c>
      <c r="G162" s="763">
        <v>7083</v>
      </c>
    </row>
    <row r="163" spans="6:7">
      <c r="F163" s="748">
        <v>7182</v>
      </c>
      <c r="G163" s="763">
        <v>7182</v>
      </c>
    </row>
    <row r="164" spans="6:7">
      <c r="F164" s="748">
        <v>7123</v>
      </c>
      <c r="G164" s="763">
        <v>7123</v>
      </c>
    </row>
    <row r="165" spans="6:7">
      <c r="F165" s="748">
        <v>30</v>
      </c>
      <c r="G165" s="763">
        <v>30</v>
      </c>
    </row>
    <row r="166" spans="6:7">
      <c r="F166" s="748">
        <v>31</v>
      </c>
      <c r="G166" s="763">
        <v>31</v>
      </c>
    </row>
    <row r="167" spans="6:7">
      <c r="F167" s="748">
        <v>44</v>
      </c>
      <c r="G167" s="763">
        <v>44</v>
      </c>
    </row>
    <row r="168" spans="6:7">
      <c r="F168" s="748">
        <v>2014</v>
      </c>
    </row>
    <row r="169" spans="6:7">
      <c r="F169" s="748">
        <v>2054</v>
      </c>
    </row>
    <row r="170" spans="6:7">
      <c r="F170" s="748">
        <v>2094</v>
      </c>
    </row>
    <row r="171" spans="6:7">
      <c r="F171" s="748">
        <v>2123</v>
      </c>
    </row>
    <row r="172" spans="6:7">
      <c r="F172" s="748">
        <v>2141</v>
      </c>
    </row>
    <row r="173" spans="6:7">
      <c r="F173" s="748">
        <v>2164</v>
      </c>
    </row>
    <row r="174" spans="6:7">
      <c r="F174" s="748">
        <v>2171</v>
      </c>
    </row>
    <row r="175" spans="6:7">
      <c r="F175" s="748">
        <v>2172</v>
      </c>
    </row>
    <row r="176" spans="6:7">
      <c r="F176" s="748">
        <v>2174</v>
      </c>
    </row>
    <row r="177" spans="6:6">
      <c r="F177" s="748">
        <v>2183</v>
      </c>
    </row>
    <row r="178" spans="6:6">
      <c r="F178" s="748">
        <v>2193</v>
      </c>
    </row>
    <row r="179" spans="6:6">
      <c r="F179" s="748">
        <v>2194</v>
      </c>
    </row>
    <row r="180" spans="6:6">
      <c r="F180" s="748">
        <v>2232</v>
      </c>
    </row>
    <row r="181" spans="6:6">
      <c r="F181" s="748">
        <v>2243</v>
      </c>
    </row>
    <row r="182" spans="6:6">
      <c r="F182" s="748">
        <v>2263</v>
      </c>
    </row>
    <row r="183" spans="6:6">
      <c r="F183" s="748">
        <v>2303</v>
      </c>
    </row>
    <row r="184" spans="6:6">
      <c r="F184" s="748">
        <v>3141</v>
      </c>
    </row>
    <row r="185" spans="6:6">
      <c r="F185" s="748">
        <v>3152</v>
      </c>
    </row>
    <row r="186" spans="6:6">
      <c r="F186" s="748">
        <v>3213</v>
      </c>
    </row>
    <row r="187" spans="6:6">
      <c r="F187" s="748">
        <v>3251</v>
      </c>
    </row>
    <row r="188" spans="6:6">
      <c r="F188" s="748">
        <v>7</v>
      </c>
    </row>
    <row r="189" spans="6:6">
      <c r="F189" s="748">
        <v>24</v>
      </c>
    </row>
    <row r="190" spans="6:6">
      <c r="F190" s="739">
        <v>1223</v>
      </c>
    </row>
    <row r="191" spans="6:6">
      <c r="F191" s="748">
        <v>1161</v>
      </c>
    </row>
    <row r="192" spans="6:6">
      <c r="F192" s="748">
        <v>1171</v>
      </c>
    </row>
    <row r="193" spans="6:6">
      <c r="F193" s="748">
        <v>1211</v>
      </c>
    </row>
    <row r="194" spans="6:6">
      <c r="F194" s="748">
        <v>2131</v>
      </c>
    </row>
    <row r="195" spans="6:6">
      <c r="F195" s="750">
        <v>2142</v>
      </c>
    </row>
    <row r="196" spans="6:6">
      <c r="F196" s="748">
        <v>2151</v>
      </c>
    </row>
    <row r="197" spans="6:6">
      <c r="F197" s="748">
        <v>2184</v>
      </c>
    </row>
    <row r="198" spans="6:6">
      <c r="F198" s="748">
        <v>2191</v>
      </c>
    </row>
    <row r="199" spans="6:6">
      <c r="F199" s="748">
        <v>2192</v>
      </c>
    </row>
    <row r="200" spans="6:6">
      <c r="F200" s="750">
        <v>3091</v>
      </c>
    </row>
    <row r="201" spans="6:6">
      <c r="F201" s="748">
        <v>3092</v>
      </c>
    </row>
    <row r="202" spans="6:6">
      <c r="F202" s="748">
        <v>3093</v>
      </c>
    </row>
    <row r="203" spans="6:6">
      <c r="F203" s="750">
        <v>3131</v>
      </c>
    </row>
    <row r="204" spans="6:6">
      <c r="F204" s="748">
        <v>3244</v>
      </c>
    </row>
    <row r="205" spans="6:6">
      <c r="F205" s="748">
        <v>7012</v>
      </c>
    </row>
    <row r="206" spans="6:6">
      <c r="F206" s="748">
        <v>7013</v>
      </c>
    </row>
    <row r="207" spans="6:6">
      <c r="F207" s="750">
        <v>7014</v>
      </c>
    </row>
    <row r="208" spans="6:6">
      <c r="F208" s="748">
        <v>7053</v>
      </c>
    </row>
    <row r="209" spans="6:6">
      <c r="F209" s="750">
        <v>5</v>
      </c>
    </row>
    <row r="210" spans="6:6">
      <c r="F210" s="748">
        <v>36</v>
      </c>
    </row>
    <row r="211" spans="6:6">
      <c r="F211" s="748">
        <v>3043</v>
      </c>
    </row>
    <row r="212" spans="6:6">
      <c r="F212" s="748">
        <v>3044</v>
      </c>
    </row>
    <row r="213" spans="6:6">
      <c r="F213" s="748">
        <v>3074</v>
      </c>
    </row>
    <row r="214" spans="6:6">
      <c r="F214" s="748">
        <v>3084</v>
      </c>
    </row>
    <row r="215" spans="6:6">
      <c r="F215" s="748">
        <v>3114</v>
      </c>
    </row>
    <row r="216" spans="6:6">
      <c r="F216" s="748">
        <v>3134</v>
      </c>
    </row>
    <row r="217" spans="6:6">
      <c r="F217" s="748">
        <v>3151</v>
      </c>
    </row>
    <row r="218" spans="6:6">
      <c r="F218" s="748">
        <v>3172</v>
      </c>
    </row>
    <row r="219" spans="6:6">
      <c r="F219" s="748">
        <v>3174</v>
      </c>
    </row>
    <row r="220" spans="6:6">
      <c r="F220" s="748">
        <v>3224</v>
      </c>
    </row>
    <row r="221" spans="6:6">
      <c r="F221" s="748">
        <v>3234</v>
      </c>
    </row>
    <row r="222" spans="6:6">
      <c r="F222" s="748">
        <v>3254</v>
      </c>
    </row>
    <row r="223" spans="6:6">
      <c r="F223" s="748">
        <v>7052</v>
      </c>
    </row>
    <row r="224" spans="6:6">
      <c r="F224" s="748">
        <v>7071</v>
      </c>
    </row>
    <row r="225" spans="6:6">
      <c r="F225" s="748">
        <v>7073</v>
      </c>
    </row>
    <row r="226" spans="6:6">
      <c r="F226" s="748">
        <v>7074</v>
      </c>
    </row>
    <row r="227" spans="6:6">
      <c r="F227" s="748">
        <v>7121</v>
      </c>
    </row>
    <row r="228" spans="6:6">
      <c r="F228" s="748">
        <v>7132</v>
      </c>
    </row>
    <row r="229" spans="6:6">
      <c r="F229" s="748">
        <v>7151</v>
      </c>
    </row>
    <row r="230" spans="6:6">
      <c r="F230" s="748">
        <v>7152</v>
      </c>
    </row>
    <row r="231" spans="6:6">
      <c r="F231" s="748">
        <v>7171</v>
      </c>
    </row>
    <row r="232" spans="6:6">
      <c r="F232" s="748">
        <v>7173</v>
      </c>
    </row>
    <row r="233" spans="6:6">
      <c r="F233" s="748">
        <v>7204</v>
      </c>
    </row>
    <row r="234" spans="6:6">
      <c r="F234" s="748">
        <v>11</v>
      </c>
    </row>
    <row r="235" spans="6:6">
      <c r="F235" s="748">
        <v>16</v>
      </c>
    </row>
    <row r="236" spans="6:6">
      <c r="F236" s="750">
        <v>7062</v>
      </c>
    </row>
    <row r="237" spans="6:6">
      <c r="F237" s="750">
        <v>3263</v>
      </c>
    </row>
    <row r="238" spans="6:6">
      <c r="F238" s="751">
        <v>2111</v>
      </c>
    </row>
    <row r="239" spans="6:6">
      <c r="F239" s="748">
        <v>1061</v>
      </c>
    </row>
    <row r="240" spans="6:6">
      <c r="F240" s="748">
        <v>1062</v>
      </c>
    </row>
    <row r="241" spans="6:6">
      <c r="F241" s="748">
        <v>1022</v>
      </c>
    </row>
    <row r="242" spans="6:6">
      <c r="F242" s="748">
        <v>2021</v>
      </c>
    </row>
    <row r="243" spans="6:6">
      <c r="F243" s="748">
        <v>2092</v>
      </c>
    </row>
    <row r="244" spans="6:6">
      <c r="F244" s="748">
        <v>47</v>
      </c>
    </row>
    <row r="245" spans="6:6">
      <c r="F245" s="748">
        <v>2262</v>
      </c>
    </row>
    <row r="246" spans="6:6">
      <c r="F246" s="745">
        <v>2292</v>
      </c>
    </row>
    <row r="247" spans="6:6">
      <c r="F247" s="748">
        <v>3273</v>
      </c>
    </row>
    <row r="248" spans="6:6">
      <c r="F248" s="748">
        <v>3274</v>
      </c>
    </row>
    <row r="249" spans="6:6">
      <c r="F249" s="752">
        <v>3281</v>
      </c>
    </row>
    <row r="250" spans="6:6">
      <c r="F250" s="748">
        <v>3282</v>
      </c>
    </row>
    <row r="251" spans="6:6">
      <c r="F251" s="752">
        <v>3283</v>
      </c>
    </row>
    <row r="252" spans="6:6">
      <c r="F252" s="752">
        <v>3291</v>
      </c>
    </row>
    <row r="253" spans="6:6">
      <c r="F253" s="748">
        <v>3292</v>
      </c>
    </row>
    <row r="254" spans="6:6">
      <c r="F254" s="752">
        <v>3294</v>
      </c>
    </row>
    <row r="255" spans="6:6">
      <c r="F255" s="745">
        <v>2261</v>
      </c>
    </row>
    <row r="256" spans="6:6">
      <c r="F256" s="745">
        <v>2242</v>
      </c>
    </row>
    <row r="257" spans="6:6">
      <c r="F257" s="748">
        <v>2112</v>
      </c>
    </row>
    <row r="258" spans="6:6">
      <c r="F258" s="748">
        <v>2271</v>
      </c>
    </row>
    <row r="259" spans="6:6">
      <c r="F259" s="748">
        <v>2291</v>
      </c>
    </row>
    <row r="260" spans="6:6">
      <c r="F260" s="748">
        <v>2294</v>
      </c>
    </row>
    <row r="261" spans="6:6">
      <c r="F261" s="748">
        <v>2011</v>
      </c>
    </row>
    <row r="262" spans="6:6">
      <c r="F262" s="748">
        <v>7262</v>
      </c>
    </row>
    <row r="263" spans="6:6">
      <c r="F263" s="748">
        <v>7263</v>
      </c>
    </row>
    <row r="264" spans="6:6">
      <c r="F264" s="748">
        <v>7264</v>
      </c>
    </row>
    <row r="265" spans="6:6">
      <c r="F265" s="748">
        <v>7272</v>
      </c>
    </row>
    <row r="266" spans="6:6">
      <c r="F266" s="752">
        <v>7273</v>
      </c>
    </row>
    <row r="267" spans="6:6">
      <c r="F267" s="748">
        <v>7274</v>
      </c>
    </row>
    <row r="268" spans="6:6">
      <c r="F268" s="748">
        <v>7283</v>
      </c>
    </row>
    <row r="269" spans="6:6">
      <c r="F269" s="752">
        <v>7253</v>
      </c>
    </row>
    <row r="270" spans="6:6">
      <c r="F270" s="748">
        <v>7252</v>
      </c>
    </row>
    <row r="271" spans="6:6">
      <c r="F271" s="748">
        <v>2223</v>
      </c>
    </row>
    <row r="272" spans="6:6">
      <c r="F272" s="748">
        <v>2224</v>
      </c>
    </row>
    <row r="273" spans="6:6">
      <c r="F273" s="748">
        <v>2221</v>
      </c>
    </row>
    <row r="274" spans="6:6">
      <c r="F274" s="748">
        <v>2214</v>
      </c>
    </row>
    <row r="275" spans="6:6">
      <c r="F275" s="748">
        <v>2213</v>
      </c>
    </row>
    <row r="276" spans="6:6">
      <c r="F276" s="748">
        <v>2281</v>
      </c>
    </row>
    <row r="277" spans="6:6">
      <c r="F277" s="748">
        <v>2282</v>
      </c>
    </row>
    <row r="278" spans="6:6">
      <c r="F278" s="748">
        <v>2284</v>
      </c>
    </row>
    <row r="279" spans="6:6">
      <c r="F279" s="751">
        <v>4292</v>
      </c>
    </row>
    <row r="280" spans="6:6">
      <c r="F280" s="753">
        <v>7224</v>
      </c>
    </row>
    <row r="281" spans="6:6">
      <c r="F281" s="753">
        <v>3133</v>
      </c>
    </row>
    <row r="282" spans="6:6">
      <c r="F282" s="751">
        <v>4234</v>
      </c>
    </row>
    <row r="283" spans="6:6">
      <c r="F283" s="751">
        <v>3262</v>
      </c>
    </row>
    <row r="284" spans="6:6">
      <c r="F284" s="753">
        <v>7242</v>
      </c>
    </row>
    <row r="285" spans="6:6">
      <c r="F285" s="753">
        <v>7243</v>
      </c>
    </row>
    <row r="286" spans="6:6">
      <c r="F286" s="751">
        <v>2143</v>
      </c>
    </row>
    <row r="287" spans="6:6">
      <c r="F287" s="751">
        <v>7241</v>
      </c>
    </row>
    <row r="288" spans="6:6">
      <c r="F288" s="751">
        <v>2203</v>
      </c>
    </row>
    <row r="289" spans="6:6">
      <c r="F289" s="751">
        <v>2204</v>
      </c>
    </row>
    <row r="290" spans="6:6">
      <c r="F290" s="751">
        <v>2023</v>
      </c>
    </row>
    <row r="291" spans="6:6">
      <c r="F291" s="751">
        <v>1123</v>
      </c>
    </row>
    <row r="292" spans="6:6">
      <c r="F292" s="751">
        <v>3233</v>
      </c>
    </row>
    <row r="293" spans="6:6">
      <c r="F293" s="751">
        <v>3241</v>
      </c>
    </row>
    <row r="294" spans="6:6">
      <c r="F294" s="751">
        <v>3243</v>
      </c>
    </row>
    <row r="295" spans="6:6">
      <c r="F295" s="751">
        <v>3221</v>
      </c>
    </row>
    <row r="296" spans="6:6">
      <c r="F296" s="751">
        <v>3223</v>
      </c>
    </row>
    <row r="297" spans="6:6">
      <c r="F297" s="751">
        <v>7223</v>
      </c>
    </row>
    <row r="298" spans="6:6">
      <c r="F298" s="751">
        <v>7212</v>
      </c>
    </row>
    <row r="299" spans="6:6">
      <c r="F299" s="751">
        <v>7211</v>
      </c>
    </row>
    <row r="300" spans="6:6">
      <c r="F300" s="751">
        <v>7213</v>
      </c>
    </row>
    <row r="301" spans="6:6">
      <c r="F301" s="751">
        <v>7214</v>
      </c>
    </row>
    <row r="302" spans="6:6">
      <c r="F302" s="752">
        <v>7244</v>
      </c>
    </row>
    <row r="303" spans="6:6">
      <c r="F303" s="748">
        <v>1251</v>
      </c>
    </row>
    <row r="304" spans="6:6">
      <c r="F304" s="748">
        <v>2101</v>
      </c>
    </row>
    <row r="305" spans="6:6">
      <c r="F305" s="748">
        <v>3</v>
      </c>
    </row>
    <row r="306" spans="6:6">
      <c r="F306" s="748">
        <v>42</v>
      </c>
    </row>
    <row r="307" spans="6:6">
      <c r="F307" s="748">
        <v>14</v>
      </c>
    </row>
    <row r="308" spans="6:6">
      <c r="F308" s="748">
        <v>15</v>
      </c>
    </row>
    <row r="309" spans="6:6">
      <c r="F309" s="748">
        <v>10</v>
      </c>
    </row>
    <row r="310" spans="6:6">
      <c r="F310" s="748">
        <v>3022</v>
      </c>
    </row>
    <row r="311" spans="6:6">
      <c r="F311" s="748">
        <v>43</v>
      </c>
    </row>
    <row r="312" spans="6:6">
      <c r="F312" s="748">
        <v>3264</v>
      </c>
    </row>
    <row r="313" spans="6:6">
      <c r="F313" s="752">
        <v>3232</v>
      </c>
    </row>
    <row r="314" spans="6:6">
      <c r="F314" s="748">
        <v>3242</v>
      </c>
    </row>
    <row r="315" spans="6:6">
      <c r="F315" s="748">
        <v>3252</v>
      </c>
    </row>
    <row r="316" spans="6:6">
      <c r="F316" s="748">
        <v>3253</v>
      </c>
    </row>
    <row r="317" spans="6:6">
      <c r="F317" s="748">
        <v>3261</v>
      </c>
    </row>
    <row r="318" spans="6:6">
      <c r="F318" s="752">
        <v>3222</v>
      </c>
    </row>
    <row r="319" spans="6:6">
      <c r="F319" s="752">
        <v>3231</v>
      </c>
    </row>
    <row r="320" spans="6:6">
      <c r="F320" s="752">
        <v>7221</v>
      </c>
    </row>
    <row r="321" spans="6:6">
      <c r="F321" s="752">
        <v>7222</v>
      </c>
    </row>
    <row r="322" spans="6:6">
      <c r="F322" s="752">
        <v>7231</v>
      </c>
    </row>
    <row r="323" spans="6:6">
      <c r="F323" s="752">
        <v>7232</v>
      </c>
    </row>
    <row r="324" spans="6:6">
      <c r="F324" s="752">
        <v>7233</v>
      </c>
    </row>
    <row r="325" spans="6:6">
      <c r="F325" s="748">
        <v>7234</v>
      </c>
    </row>
    <row r="326" spans="6:6">
      <c r="F326" s="748">
        <v>3051</v>
      </c>
    </row>
    <row r="327" spans="6:6">
      <c r="F327" s="748">
        <v>26</v>
      </c>
    </row>
    <row r="328" spans="6:6">
      <c r="F328" s="748">
        <v>3211</v>
      </c>
    </row>
    <row r="329" spans="6:6">
      <c r="F329" s="748">
        <v>3214</v>
      </c>
    </row>
    <row r="330" spans="6:6">
      <c r="F330" s="748">
        <v>3201</v>
      </c>
    </row>
    <row r="331" spans="6:6">
      <c r="F331" s="748">
        <v>3202</v>
      </c>
    </row>
    <row r="332" spans="6:6">
      <c r="F332" s="752">
        <v>3192</v>
      </c>
    </row>
    <row r="333" spans="6:6">
      <c r="F333" s="752">
        <v>3183</v>
      </c>
    </row>
    <row r="334" spans="6:6">
      <c r="F334" s="748">
        <v>7203</v>
      </c>
    </row>
    <row r="335" spans="6:6">
      <c r="F335" s="748">
        <v>7201</v>
      </c>
    </row>
    <row r="336" spans="6:6">
      <c r="F336" s="748">
        <v>1254</v>
      </c>
    </row>
    <row r="337" spans="6:6">
      <c r="F337" s="748">
        <v>2283</v>
      </c>
    </row>
    <row r="338" spans="6:6">
      <c r="F338" s="753">
        <v>2241</v>
      </c>
    </row>
    <row r="339" spans="6:6">
      <c r="F339" s="753">
        <v>1282</v>
      </c>
    </row>
    <row r="340" spans="6:6">
      <c r="F340" s="753">
        <v>1283</v>
      </c>
    </row>
    <row r="341" spans="6:6">
      <c r="F341" s="753">
        <v>1284</v>
      </c>
    </row>
    <row r="342" spans="6:6">
      <c r="F342" s="751">
        <v>2212</v>
      </c>
    </row>
    <row r="343" spans="6:6">
      <c r="F343" s="751">
        <v>2075</v>
      </c>
    </row>
    <row r="344" spans="6:6">
      <c r="F344" s="751">
        <v>2076</v>
      </c>
    </row>
    <row r="345" spans="6:6">
      <c r="F345" s="751">
        <v>2077</v>
      </c>
    </row>
    <row r="346" spans="6:6">
      <c r="F346" s="751">
        <v>2078</v>
      </c>
    </row>
    <row r="347" spans="6:6">
      <c r="F347" s="751">
        <v>2085</v>
      </c>
    </row>
    <row r="348" spans="6:6">
      <c r="F348" s="751">
        <v>2086</v>
      </c>
    </row>
    <row r="349" spans="6:6">
      <c r="F349" s="751">
        <v>2087</v>
      </c>
    </row>
    <row r="350" spans="6:6">
      <c r="F350" s="751">
        <v>2088</v>
      </c>
    </row>
    <row r="351" spans="6:6">
      <c r="F351" s="753">
        <v>1</v>
      </c>
    </row>
    <row r="352" spans="6:6">
      <c r="F352" s="753">
        <v>3014</v>
      </c>
    </row>
    <row r="353" spans="6:6">
      <c r="F353" s="751">
        <v>3042</v>
      </c>
    </row>
    <row r="354" spans="6:6">
      <c r="F354" s="754">
        <v>3303</v>
      </c>
    </row>
    <row r="355" spans="6:6">
      <c r="F355" s="754">
        <v>3304</v>
      </c>
    </row>
    <row r="356" spans="6:6">
      <c r="F356" s="755">
        <v>2293</v>
      </c>
    </row>
    <row r="357" spans="6:6">
      <c r="F357" s="755">
        <v>2304</v>
      </c>
    </row>
    <row r="358" spans="6:6">
      <c r="F358" s="755">
        <v>3271</v>
      </c>
    </row>
    <row r="359" spans="6:6">
      <c r="F359" s="755">
        <v>3272</v>
      </c>
    </row>
    <row r="360" spans="6:6">
      <c r="F360" s="754">
        <v>3284</v>
      </c>
    </row>
    <row r="361" spans="6:6">
      <c r="F361" s="755">
        <v>7254</v>
      </c>
    </row>
    <row r="362" spans="6:6">
      <c r="F362" s="754">
        <v>3293</v>
      </c>
    </row>
    <row r="363" spans="6:6">
      <c r="F363" s="755">
        <v>2272</v>
      </c>
    </row>
    <row r="364" spans="6:6">
      <c r="F364" s="748">
        <v>2152</v>
      </c>
    </row>
    <row r="365" spans="6:6">
      <c r="F365" s="748">
        <v>41</v>
      </c>
    </row>
    <row r="366" spans="6:6">
      <c r="F366" s="748">
        <v>3011</v>
      </c>
    </row>
    <row r="367" spans="6:6">
      <c r="F367" s="748">
        <v>3012</v>
      </c>
    </row>
    <row r="368" spans="6:6">
      <c r="F368" s="748">
        <v>3021</v>
      </c>
    </row>
    <row r="369" spans="6:6">
      <c r="F369" s="748">
        <v>3031</v>
      </c>
    </row>
    <row r="370" spans="6:6">
      <c r="F370" s="748">
        <v>3032</v>
      </c>
    </row>
    <row r="371" spans="6:6">
      <c r="F371" s="748">
        <v>3041</v>
      </c>
    </row>
    <row r="372" spans="6:6">
      <c r="F372" s="748">
        <v>2173</v>
      </c>
    </row>
    <row r="373" spans="6:6">
      <c r="F373" s="748">
        <v>3052</v>
      </c>
    </row>
    <row r="374" spans="6:6">
      <c r="F374" s="748">
        <v>7153</v>
      </c>
    </row>
    <row r="375" spans="6:6">
      <c r="F375" s="748">
        <v>7161</v>
      </c>
    </row>
    <row r="376" spans="6:6">
      <c r="F376" s="748">
        <v>7174</v>
      </c>
    </row>
    <row r="377" spans="6:6">
      <c r="F377" s="748">
        <v>7181</v>
      </c>
    </row>
    <row r="378" spans="6:6">
      <c r="F378" s="748">
        <v>7183</v>
      </c>
    </row>
    <row r="379" spans="6:6">
      <c r="F379" s="748">
        <v>3102</v>
      </c>
    </row>
    <row r="380" spans="6:6">
      <c r="F380" s="748">
        <v>3103</v>
      </c>
    </row>
    <row r="381" spans="6:6">
      <c r="F381" s="748">
        <v>3111</v>
      </c>
    </row>
    <row r="382" spans="6:6">
      <c r="F382" s="748">
        <v>3112</v>
      </c>
    </row>
    <row r="383" spans="6:6">
      <c r="F383" s="748">
        <v>3113</v>
      </c>
    </row>
    <row r="384" spans="6:6">
      <c r="F384" s="748">
        <v>3121</v>
      </c>
    </row>
    <row r="385" spans="6:6">
      <c r="F385" s="752">
        <v>3122</v>
      </c>
    </row>
    <row r="386" spans="6:6">
      <c r="F386" s="752">
        <v>3123</v>
      </c>
    </row>
    <row r="387" spans="6:6">
      <c r="F387" s="752">
        <v>3132</v>
      </c>
    </row>
    <row r="388" spans="6:6">
      <c r="F388" s="752">
        <v>3142</v>
      </c>
    </row>
    <row r="389" spans="6:6">
      <c r="F389" s="752">
        <v>3143</v>
      </c>
    </row>
    <row r="390" spans="6:6">
      <c r="F390" s="752">
        <v>3144</v>
      </c>
    </row>
    <row r="391" spans="6:6">
      <c r="F391" s="752">
        <v>3154</v>
      </c>
    </row>
    <row r="392" spans="6:6">
      <c r="F392" s="752">
        <v>3161</v>
      </c>
    </row>
    <row r="393" spans="6:6">
      <c r="F393" s="752">
        <v>3162</v>
      </c>
    </row>
    <row r="394" spans="6:6">
      <c r="F394" s="752">
        <v>3163</v>
      </c>
    </row>
    <row r="395" spans="6:6">
      <c r="F395" s="752">
        <v>3164</v>
      </c>
    </row>
    <row r="396" spans="6:6">
      <c r="F396" s="748">
        <v>2065</v>
      </c>
    </row>
    <row r="397" spans="6:6">
      <c r="F397" s="748">
        <v>2066</v>
      </c>
    </row>
    <row r="398" spans="6:6">
      <c r="F398" s="748">
        <v>2067</v>
      </c>
    </row>
    <row r="399" spans="6:6">
      <c r="F399" s="748">
        <v>2068</v>
      </c>
    </row>
    <row r="400" spans="6:6">
      <c r="F400" s="748">
        <v>21</v>
      </c>
    </row>
    <row r="401" spans="6:6">
      <c r="F401" s="748">
        <v>22</v>
      </c>
    </row>
    <row r="402" spans="6:6">
      <c r="F402" s="748">
        <v>23</v>
      </c>
    </row>
    <row r="403" spans="6:6">
      <c r="F403" s="748">
        <v>2012</v>
      </c>
    </row>
    <row r="404" spans="6:6">
      <c r="F404" s="748">
        <v>27</v>
      </c>
    </row>
    <row r="405" spans="6:6">
      <c r="F405" s="748">
        <v>6</v>
      </c>
    </row>
    <row r="406" spans="6:6">
      <c r="F406" s="748">
        <v>1212</v>
      </c>
    </row>
    <row r="407" spans="6:6">
      <c r="F407" s="748">
        <v>3101</v>
      </c>
    </row>
    <row r="408" spans="6:6">
      <c r="F408" s="748">
        <v>19</v>
      </c>
    </row>
    <row r="409" spans="6:6">
      <c r="F409" s="752">
        <v>20</v>
      </c>
    </row>
    <row r="410" spans="6:6">
      <c r="F410" s="748">
        <v>39</v>
      </c>
    </row>
    <row r="411" spans="6:6">
      <c r="F411" s="748">
        <v>2041</v>
      </c>
    </row>
    <row r="412" spans="6:6">
      <c r="F412" s="748">
        <v>2042</v>
      </c>
    </row>
    <row r="413" spans="6:6">
      <c r="F413" s="748">
        <v>7193</v>
      </c>
    </row>
    <row r="414" spans="6:6">
      <c r="F414" s="748">
        <v>7194</v>
      </c>
    </row>
    <row r="415" spans="6:6">
      <c r="F415" s="748">
        <v>7191</v>
      </c>
    </row>
    <row r="416" spans="6:6">
      <c r="F416" s="748">
        <v>7202</v>
      </c>
    </row>
    <row r="417" spans="6:6">
      <c r="F417" s="748">
        <v>7192</v>
      </c>
    </row>
    <row r="418" spans="6:6">
      <c r="F418" s="748">
        <v>7162</v>
      </c>
    </row>
    <row r="419" spans="6:6">
      <c r="F419" s="748">
        <v>7163</v>
      </c>
    </row>
    <row r="420" spans="6:6">
      <c r="F420" s="748">
        <v>7172</v>
      </c>
    </row>
    <row r="421" spans="6:6">
      <c r="F421" s="748">
        <v>7184</v>
      </c>
    </row>
    <row r="422" spans="6:6">
      <c r="F422" s="748">
        <v>1021</v>
      </c>
    </row>
    <row r="423" spans="6:6">
      <c r="F423" s="748">
        <v>7133</v>
      </c>
    </row>
    <row r="424" spans="6:6">
      <c r="F424" s="748">
        <v>7134</v>
      </c>
    </row>
    <row r="425" spans="6:6">
      <c r="F425" s="748">
        <v>7131</v>
      </c>
    </row>
    <row r="426" spans="6:6">
      <c r="F426" s="748">
        <v>7143</v>
      </c>
    </row>
    <row r="427" spans="6:6">
      <c r="F427" s="748">
        <v>7141</v>
      </c>
    </row>
    <row r="428" spans="6:6">
      <c r="F428" s="748">
        <v>7142</v>
      </c>
    </row>
    <row r="429" spans="6:6">
      <c r="F429" s="748">
        <v>7144</v>
      </c>
    </row>
    <row r="430" spans="6:6">
      <c r="F430" s="748">
        <v>7111</v>
      </c>
    </row>
    <row r="431" spans="6:6">
      <c r="F431" s="748">
        <v>7113</v>
      </c>
    </row>
    <row r="432" spans="6:6">
      <c r="F432" s="748">
        <v>7114</v>
      </c>
    </row>
    <row r="433" spans="6:6">
      <c r="F433" s="748">
        <v>7124</v>
      </c>
    </row>
    <row r="434" spans="6:6">
      <c r="F434" s="748">
        <v>7103</v>
      </c>
    </row>
    <row r="435" spans="6:6">
      <c r="F435" s="748">
        <v>7092</v>
      </c>
    </row>
    <row r="436" spans="6:6">
      <c r="F436" s="748">
        <v>7093</v>
      </c>
    </row>
    <row r="437" spans="6:6">
      <c r="F437" s="748">
        <v>7102</v>
      </c>
    </row>
    <row r="438" spans="6:6">
      <c r="F438" s="748">
        <v>7084</v>
      </c>
    </row>
    <row r="439" spans="6:6">
      <c r="F439" s="748">
        <v>7082</v>
      </c>
    </row>
    <row r="440" spans="6:6">
      <c r="F440" s="748">
        <v>7064</v>
      </c>
    </row>
    <row r="441" spans="6:6">
      <c r="F441" s="753">
        <v>2091</v>
      </c>
    </row>
    <row r="442" spans="6:6">
      <c r="F442" s="753">
        <v>2</v>
      </c>
    </row>
    <row r="443" spans="6:6">
      <c r="F443" s="753">
        <v>3181</v>
      </c>
    </row>
    <row r="444" spans="6:6">
      <c r="F444" s="753">
        <v>3182</v>
      </c>
    </row>
    <row r="445" spans="6:6">
      <c r="F445" s="748">
        <v>3212</v>
      </c>
    </row>
    <row r="446" spans="6:6">
      <c r="F446" s="748">
        <v>7011</v>
      </c>
    </row>
    <row r="447" spans="6:6">
      <c r="F447" s="748">
        <v>7021</v>
      </c>
    </row>
    <row r="448" spans="6:6">
      <c r="F448" s="748">
        <v>7022</v>
      </c>
    </row>
    <row r="449" spans="6:6">
      <c r="F449" s="748">
        <v>7023</v>
      </c>
    </row>
    <row r="450" spans="6:6">
      <c r="F450" s="748">
        <v>7024</v>
      </c>
    </row>
    <row r="451" spans="6:6">
      <c r="F451" s="748">
        <v>7031</v>
      </c>
    </row>
    <row r="452" spans="6:6">
      <c r="F452" s="748">
        <v>7032</v>
      </c>
    </row>
    <row r="453" spans="6:6">
      <c r="F453" s="748">
        <v>7033</v>
      </c>
    </row>
    <row r="454" spans="6:6">
      <c r="F454" s="748">
        <v>7034</v>
      </c>
    </row>
    <row r="455" spans="6:6">
      <c r="F455" s="748">
        <v>7041</v>
      </c>
    </row>
    <row r="456" spans="6:6">
      <c r="F456" s="748">
        <v>7042</v>
      </c>
    </row>
    <row r="457" spans="6:6">
      <c r="F457" s="748">
        <v>7043</v>
      </c>
    </row>
    <row r="458" spans="6:6">
      <c r="F458" s="748">
        <v>7044</v>
      </c>
    </row>
    <row r="459" spans="6:6">
      <c r="F459" s="748">
        <v>7051</v>
      </c>
    </row>
    <row r="460" spans="6:6">
      <c r="F460" s="748">
        <v>7054</v>
      </c>
    </row>
    <row r="461" spans="6:6">
      <c r="F461" s="748">
        <v>3088</v>
      </c>
    </row>
    <row r="462" spans="6:6">
      <c r="F462" s="748">
        <v>3085</v>
      </c>
    </row>
    <row r="463" spans="6:6">
      <c r="F463" s="748">
        <v>2022</v>
      </c>
    </row>
    <row r="464" spans="6:6">
      <c r="F464" s="748">
        <v>2032</v>
      </c>
    </row>
    <row r="465" spans="6:6">
      <c r="F465" s="748">
        <v>2031</v>
      </c>
    </row>
    <row r="466" spans="6:6">
      <c r="F466" s="748">
        <v>3065</v>
      </c>
    </row>
    <row r="467" spans="6:6">
      <c r="F467" s="748">
        <v>3066</v>
      </c>
    </row>
    <row r="468" spans="6:6">
      <c r="F468" s="748">
        <v>3067</v>
      </c>
    </row>
    <row r="469" spans="6:6">
      <c r="F469" s="748">
        <v>3068</v>
      </c>
    </row>
    <row r="470" spans="6:6">
      <c r="F470" s="748">
        <v>3075</v>
      </c>
    </row>
    <row r="471" spans="6:6">
      <c r="F471" s="748">
        <v>3076</v>
      </c>
    </row>
    <row r="472" spans="6:6">
      <c r="F472" s="748">
        <v>3077</v>
      </c>
    </row>
    <row r="473" spans="6:6">
      <c r="F473" s="748">
        <v>3078</v>
      </c>
    </row>
    <row r="474" spans="6:6">
      <c r="F474" s="748">
        <v>3054</v>
      </c>
    </row>
    <row r="475" spans="6:6">
      <c r="F475" s="748">
        <v>3083</v>
      </c>
    </row>
    <row r="476" spans="6:6">
      <c r="F476" s="748">
        <v>3086</v>
      </c>
    </row>
    <row r="477" spans="6:6">
      <c r="F477" s="748">
        <v>3087</v>
      </c>
    </row>
    <row r="478" spans="6:6">
      <c r="F478" s="748">
        <v>3073</v>
      </c>
    </row>
    <row r="479" spans="6:6">
      <c r="F479" s="748">
        <v>3063</v>
      </c>
    </row>
    <row r="480" spans="6:6">
      <c r="F480" s="748">
        <v>3064</v>
      </c>
    </row>
    <row r="481" spans="6:6">
      <c r="F481" s="748">
        <v>3023</v>
      </c>
    </row>
    <row r="482" spans="6:6">
      <c r="F482" s="748">
        <v>3024</v>
      </c>
    </row>
    <row r="483" spans="6:6">
      <c r="F483" s="748">
        <v>3034</v>
      </c>
    </row>
    <row r="484" spans="6:6">
      <c r="F484" s="748">
        <v>3053</v>
      </c>
    </row>
    <row r="485" spans="6:6">
      <c r="F485" s="748">
        <v>4034</v>
      </c>
    </row>
    <row r="486" spans="6:6">
      <c r="F486" s="748">
        <v>4044</v>
      </c>
    </row>
    <row r="487" spans="6:6">
      <c r="F487" s="748">
        <v>4064</v>
      </c>
    </row>
    <row r="488" spans="6:6">
      <c r="F488" s="748">
        <v>4104</v>
      </c>
    </row>
    <row r="489" spans="6:6">
      <c r="F489" s="748">
        <v>4214</v>
      </c>
    </row>
    <row r="490" spans="6:6">
      <c r="F490" s="748">
        <v>4134</v>
      </c>
    </row>
    <row r="491" spans="6:6">
      <c r="F491" s="748">
        <v>4084</v>
      </c>
    </row>
    <row r="492" spans="6:6">
      <c r="F492" s="748">
        <v>4142</v>
      </c>
    </row>
    <row r="493" spans="6:6">
      <c r="F493" s="748">
        <v>4182</v>
      </c>
    </row>
    <row r="494" spans="6:6">
      <c r="F494" s="748">
        <v>4283</v>
      </c>
    </row>
    <row r="495" spans="6:6">
      <c r="F495" s="748">
        <v>4284</v>
      </c>
    </row>
    <row r="496" spans="6:6">
      <c r="F496" s="748">
        <v>4291</v>
      </c>
    </row>
    <row r="497" spans="6:6">
      <c r="F497" s="748">
        <v>4293</v>
      </c>
    </row>
    <row r="498" spans="6:6">
      <c r="F498" s="748">
        <v>4294</v>
      </c>
    </row>
    <row r="499" spans="6:6">
      <c r="F499" s="748">
        <v>4303</v>
      </c>
    </row>
    <row r="500" spans="6:6">
      <c r="F500" s="748">
        <v>4304</v>
      </c>
    </row>
    <row r="501" spans="6:6">
      <c r="F501" s="756">
        <v>2201</v>
      </c>
    </row>
    <row r="502" spans="6:6">
      <c r="F502" s="756">
        <v>2202</v>
      </c>
    </row>
    <row r="503" spans="6:6">
      <c r="F503" s="756">
        <v>2052</v>
      </c>
    </row>
    <row r="504" spans="6:6">
      <c r="F504" s="756">
        <v>7251</v>
      </c>
    </row>
    <row r="505" spans="6:6">
      <c r="F505" s="756">
        <v>7284</v>
      </c>
    </row>
    <row r="506" spans="6:6">
      <c r="F506" s="756">
        <v>7281</v>
      </c>
    </row>
    <row r="507" spans="6:6">
      <c r="F507" s="756">
        <v>7261</v>
      </c>
    </row>
    <row r="508" spans="6:6">
      <c r="F508" s="756">
        <v>7271</v>
      </c>
    </row>
    <row r="509" spans="6:6">
      <c r="F509" s="756">
        <v>8</v>
      </c>
    </row>
  </sheetData>
  <sheetProtection selectLockedCells="1" selectUnlockedCells="1"/>
  <conditionalFormatting sqref="AL57:AM67">
    <cfRule type="expression" dxfId="28" priority="30">
      <formula>OR(CELL("col")=COLUMN(),CELL("rom")=ROW())</formula>
    </cfRule>
  </conditionalFormatting>
  <conditionalFormatting sqref="AL68:AM68 AM69">
    <cfRule type="expression" dxfId="27" priority="28">
      <formula>OR(CELL("col")=COLUMN(),CELL("rom")=ROW())</formula>
    </cfRule>
  </conditionalFormatting>
  <conditionalFormatting sqref="AL69">
    <cfRule type="expression" dxfId="26" priority="27">
      <formula>OR(CELL("col")=COLUMN(),CELL("rom")=ROW())</formula>
    </cfRule>
  </conditionalFormatting>
  <conditionalFormatting sqref="AL70:AM70 AM71">
    <cfRule type="expression" dxfId="25" priority="26">
      <formula>OR(CELL("col")=COLUMN(),CELL("rom")=ROW())</formula>
    </cfRule>
  </conditionalFormatting>
  <conditionalFormatting sqref="AL71">
    <cfRule type="expression" dxfId="24" priority="25">
      <formula>OR(CELL("col")=COLUMN(),CELL("rom")=ROW())</formula>
    </cfRule>
  </conditionalFormatting>
  <conditionalFormatting sqref="AL72:AM72">
    <cfRule type="expression" dxfId="23" priority="24">
      <formula>OR(CELL("col")=COLUMN(),CELL("rom")=ROW())</formula>
    </cfRule>
  </conditionalFormatting>
  <conditionalFormatting sqref="AN57">
    <cfRule type="expression" dxfId="22" priority="23">
      <formula>OR(CELL("col")=COLUMN(),CELL("rom")=ROW())</formula>
    </cfRule>
  </conditionalFormatting>
  <conditionalFormatting sqref="AN59">
    <cfRule type="expression" dxfId="21" priority="22">
      <formula>OR(CELL("col")=COLUMN(),CELL("rom")=ROW())</formula>
    </cfRule>
  </conditionalFormatting>
  <conditionalFormatting sqref="AN68">
    <cfRule type="expression" dxfId="20" priority="21">
      <formula>OR(CELL("col")=COLUMN(),CELL("rom")=ROW())</formula>
    </cfRule>
  </conditionalFormatting>
  <conditionalFormatting sqref="AN70">
    <cfRule type="expression" dxfId="19" priority="20">
      <formula>OR(CELL("col")=COLUMN(),CELL("rom")=ROW())</formula>
    </cfRule>
  </conditionalFormatting>
  <conditionalFormatting sqref="F103:F105 F83:F100">
    <cfRule type="duplicateValues" dxfId="18" priority="13"/>
  </conditionalFormatting>
  <conditionalFormatting sqref="F69:F78 F80:F509">
    <cfRule type="duplicateValues" dxfId="17" priority="18"/>
    <cfRule type="duplicateValues" dxfId="16" priority="19"/>
  </conditionalFormatting>
  <conditionalFormatting sqref="F69:F78 F80:F509">
    <cfRule type="duplicateValues" dxfId="15" priority="17"/>
  </conditionalFormatting>
  <conditionalFormatting sqref="F509 F69:F78 F80:F503">
    <cfRule type="duplicateValues" dxfId="14" priority="14"/>
  </conditionalFormatting>
  <conditionalFormatting sqref="F69:F78 F80:F509">
    <cfRule type="duplicateValues" dxfId="13" priority="16"/>
  </conditionalFormatting>
  <conditionalFormatting sqref="F509 F69:F78 F80:F503">
    <cfRule type="duplicateValues" dxfId="12" priority="15"/>
  </conditionalFormatting>
  <conditionalFormatting sqref="F105:F106 F108:F167">
    <cfRule type="duplicateValues" dxfId="11" priority="12"/>
  </conditionalFormatting>
  <conditionalFormatting sqref="F168:F237">
    <cfRule type="duplicateValues" dxfId="10" priority="10"/>
  </conditionalFormatting>
  <conditionalFormatting sqref="F168:F237">
    <cfRule type="duplicateValues" dxfId="9" priority="11"/>
  </conditionalFormatting>
  <conditionalFormatting sqref="F364:F502 F351:F353 F279:F341">
    <cfRule type="duplicateValues" dxfId="8" priority="9"/>
  </conditionalFormatting>
  <conditionalFormatting sqref="F501:F502 F442:F445 F291:F337">
    <cfRule type="duplicateValues" dxfId="7" priority="8"/>
  </conditionalFormatting>
  <conditionalFormatting sqref="F503 F509 F441 F342:F350 F354:F363 F239:F278">
    <cfRule type="duplicateValues" dxfId="6" priority="7"/>
  </conditionalFormatting>
  <conditionalFormatting sqref="F503 F509 F441 F342:F350 F354:F363 F239:F278">
    <cfRule type="duplicateValues" dxfId="5" priority="6"/>
  </conditionalFormatting>
  <conditionalFormatting sqref="F446:F500 F364:F444 F339:F341 F351:F353">
    <cfRule type="duplicateValues" dxfId="4" priority="4"/>
  </conditionalFormatting>
  <conditionalFormatting sqref="F364:F440 F353">
    <cfRule type="duplicateValues" dxfId="3" priority="3"/>
  </conditionalFormatting>
  <conditionalFormatting sqref="F302:F363">
    <cfRule type="duplicateValues" dxfId="2" priority="5"/>
  </conditionalFormatting>
  <conditionalFormatting sqref="F446:F509">
    <cfRule type="duplicateValues" dxfId="1" priority="2"/>
  </conditionalFormatting>
  <conditionalFormatting sqref="F69:F509">
    <cfRule type="duplicateValues" dxfId="0"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outlinePr summaryBelow="0" summaryRight="0"/>
  </sheetPr>
  <dimension ref="A2:AK160"/>
  <sheetViews>
    <sheetView workbookViewId="0">
      <pane xSplit="5" ySplit="4" topLeftCell="G5" activePane="bottomRight" state="frozen"/>
      <selection pane="topRight" activeCell="F1" sqref="F1"/>
      <selection pane="bottomLeft" activeCell="A5" sqref="A5"/>
      <selection pane="bottomRight" activeCell="H169" sqref="H169"/>
    </sheetView>
  </sheetViews>
  <sheetFormatPr defaultColWidth="8.5703125" defaultRowHeight="12.75" outlineLevelRow="2"/>
  <cols>
    <col min="1" max="1" width="8.5703125" style="16"/>
    <col min="2" max="2" width="3.42578125" style="17" bestFit="1" customWidth="1"/>
    <col min="3" max="3" width="5.5703125" style="17" bestFit="1" customWidth="1"/>
    <col min="4" max="4" width="7" style="20" customWidth="1"/>
    <col min="5" max="5" width="50.42578125" style="16" bestFit="1" customWidth="1"/>
    <col min="6" max="6" width="0.5703125" style="16" customWidth="1"/>
    <col min="7" max="7" width="8.42578125" style="16" bestFit="1" customWidth="1"/>
    <col min="8" max="8" width="11.42578125" style="16" bestFit="1" customWidth="1"/>
    <col min="9" max="9" width="5.5703125" style="40" bestFit="1" customWidth="1"/>
    <col min="10" max="10" width="10" style="19" bestFit="1" customWidth="1"/>
    <col min="11" max="11" width="8" style="19" customWidth="1"/>
    <col min="12" max="12" width="10.42578125" style="19" bestFit="1" customWidth="1"/>
    <col min="13" max="24" width="10.42578125" style="19" customWidth="1"/>
    <col min="25" max="25" width="10.42578125" style="19" bestFit="1" customWidth="1"/>
    <col min="26" max="37" width="10.42578125" style="19" customWidth="1"/>
    <col min="38" max="16384" width="8.5703125" style="16"/>
  </cols>
  <sheetData>
    <row r="2" spans="1:37" s="1" customFormat="1" ht="12.75" customHeight="1">
      <c r="A2" s="21" t="s">
        <v>256</v>
      </c>
      <c r="B2" s="22"/>
      <c r="C2" s="23"/>
      <c r="D2" s="24"/>
      <c r="E2" s="22"/>
      <c r="F2" s="25"/>
      <c r="G2" s="812" t="s">
        <v>257</v>
      </c>
      <c r="H2" s="812" t="s">
        <v>258</v>
      </c>
      <c r="I2" s="813" t="s">
        <v>259</v>
      </c>
      <c r="J2" s="813" t="s">
        <v>260</v>
      </c>
      <c r="K2" s="813"/>
      <c r="L2" s="814" t="s">
        <v>2713</v>
      </c>
      <c r="M2" s="44"/>
      <c r="N2" s="44"/>
      <c r="O2" s="44"/>
      <c r="P2" s="44"/>
      <c r="Q2" s="44"/>
      <c r="R2" s="44"/>
      <c r="S2" s="44"/>
      <c r="T2" s="44"/>
      <c r="U2" s="44"/>
      <c r="V2" s="44"/>
      <c r="W2" s="44"/>
      <c r="X2" s="44"/>
      <c r="Y2" s="809" t="s">
        <v>2714</v>
      </c>
      <c r="Z2" s="44"/>
      <c r="AA2" s="44"/>
      <c r="AB2" s="44"/>
      <c r="AC2" s="44"/>
      <c r="AD2" s="44"/>
      <c r="AE2" s="44"/>
      <c r="AF2" s="44"/>
      <c r="AG2" s="44"/>
      <c r="AH2" s="44"/>
      <c r="AI2" s="44"/>
      <c r="AJ2" s="44"/>
      <c r="AK2" s="44"/>
    </row>
    <row r="3" spans="1:37" s="1" customFormat="1" ht="3" customHeight="1">
      <c r="A3" s="21"/>
      <c r="B3" s="22"/>
      <c r="C3" s="23"/>
      <c r="D3" s="24"/>
      <c r="E3" s="22"/>
      <c r="F3" s="25"/>
      <c r="G3" s="812"/>
      <c r="H3" s="812"/>
      <c r="I3" s="813"/>
      <c r="J3" s="29"/>
      <c r="K3" s="30"/>
      <c r="L3" s="814"/>
      <c r="M3" s="44"/>
      <c r="N3" s="44"/>
      <c r="O3" s="44"/>
      <c r="P3" s="44"/>
      <c r="Q3" s="44"/>
      <c r="R3" s="44"/>
      <c r="S3" s="44"/>
      <c r="T3" s="44"/>
      <c r="U3" s="44"/>
      <c r="V3" s="44"/>
      <c r="W3" s="44"/>
      <c r="X3" s="44"/>
      <c r="Y3" s="810"/>
      <c r="Z3" s="44"/>
      <c r="AA3" s="44"/>
      <c r="AB3" s="44"/>
      <c r="AC3" s="44"/>
      <c r="AD3" s="44"/>
      <c r="AE3" s="44"/>
      <c r="AF3" s="44"/>
      <c r="AG3" s="44"/>
      <c r="AH3" s="44"/>
      <c r="AI3" s="44"/>
      <c r="AJ3" s="44"/>
      <c r="AK3" s="44"/>
    </row>
    <row r="4" spans="1:37" s="1" customFormat="1" ht="18">
      <c r="A4" s="31" t="s">
        <v>2451</v>
      </c>
      <c r="B4" s="32"/>
      <c r="C4" s="33"/>
      <c r="D4" s="34"/>
      <c r="E4" s="32"/>
      <c r="F4" s="25"/>
      <c r="G4" s="812"/>
      <c r="H4" s="812"/>
      <c r="I4" s="813"/>
      <c r="J4" s="45" t="s">
        <v>2715</v>
      </c>
      <c r="K4" s="5" t="s">
        <v>265</v>
      </c>
      <c r="L4" s="814"/>
      <c r="M4" s="43" t="s">
        <v>2716</v>
      </c>
      <c r="N4" s="43" t="s">
        <v>2717</v>
      </c>
      <c r="O4" s="43" t="s">
        <v>2718</v>
      </c>
      <c r="P4" s="43" t="s">
        <v>2719</v>
      </c>
      <c r="Q4" s="43" t="s">
        <v>2720</v>
      </c>
      <c r="R4" s="43" t="s">
        <v>2721</v>
      </c>
      <c r="S4" s="43" t="s">
        <v>2722</v>
      </c>
      <c r="T4" s="43" t="s">
        <v>2723</v>
      </c>
      <c r="U4" s="43" t="s">
        <v>2724</v>
      </c>
      <c r="V4" s="43" t="s">
        <v>2725</v>
      </c>
      <c r="W4" s="43" t="s">
        <v>2726</v>
      </c>
      <c r="X4" s="43" t="s">
        <v>2727</v>
      </c>
      <c r="Y4" s="811"/>
      <c r="Z4" s="43" t="s">
        <v>2716</v>
      </c>
      <c r="AA4" s="43" t="s">
        <v>2717</v>
      </c>
      <c r="AB4" s="43" t="s">
        <v>2718</v>
      </c>
      <c r="AC4" s="43" t="s">
        <v>2719</v>
      </c>
      <c r="AD4" s="43" t="s">
        <v>2720</v>
      </c>
      <c r="AE4" s="43" t="s">
        <v>2721</v>
      </c>
      <c r="AF4" s="43" t="s">
        <v>2722</v>
      </c>
      <c r="AG4" s="43" t="s">
        <v>2723</v>
      </c>
      <c r="AH4" s="43" t="s">
        <v>2724</v>
      </c>
      <c r="AI4" s="43" t="s">
        <v>2725</v>
      </c>
      <c r="AJ4" s="43" t="s">
        <v>2726</v>
      </c>
      <c r="AK4" s="43" t="s">
        <v>2727</v>
      </c>
    </row>
    <row r="5" spans="1:37" s="1" customFormat="1" ht="3" customHeight="1">
      <c r="A5" s="21"/>
      <c r="B5" s="22"/>
      <c r="C5" s="23"/>
      <c r="D5" s="24"/>
      <c r="E5" s="22"/>
      <c r="F5" s="25"/>
      <c r="G5" s="22"/>
      <c r="H5" s="26"/>
      <c r="I5" s="26"/>
      <c r="J5" s="27"/>
      <c r="K5" s="28"/>
      <c r="L5" s="29"/>
      <c r="M5" s="29"/>
      <c r="N5" s="29"/>
      <c r="O5" s="29"/>
      <c r="P5" s="29"/>
      <c r="Q5" s="29"/>
      <c r="R5" s="29"/>
      <c r="S5" s="29"/>
      <c r="T5" s="29"/>
      <c r="U5" s="29"/>
      <c r="V5" s="29"/>
      <c r="W5" s="29"/>
      <c r="X5" s="29"/>
      <c r="Y5" s="30"/>
      <c r="Z5" s="29"/>
      <c r="AA5" s="29"/>
      <c r="AB5" s="29"/>
      <c r="AC5" s="29"/>
      <c r="AD5" s="29"/>
      <c r="AE5" s="29"/>
      <c r="AF5" s="29"/>
      <c r="AG5" s="29"/>
      <c r="AH5" s="29"/>
      <c r="AI5" s="29"/>
      <c r="AJ5" s="29"/>
      <c r="AK5" s="29"/>
    </row>
    <row r="6" spans="1:37" s="18" customFormat="1">
      <c r="A6" s="21" t="s">
        <v>339</v>
      </c>
      <c r="B6" s="7"/>
      <c r="C6" s="7"/>
      <c r="D6" s="6"/>
      <c r="E6" s="8"/>
      <c r="F6" s="8"/>
      <c r="G6" s="41" t="s">
        <v>257</v>
      </c>
      <c r="H6" s="41" t="s">
        <v>258</v>
      </c>
      <c r="I6" s="42" t="s">
        <v>259</v>
      </c>
      <c r="J6" s="3"/>
      <c r="K6" s="3"/>
      <c r="L6" s="3"/>
      <c r="M6" s="3"/>
      <c r="N6" s="3"/>
      <c r="O6" s="3"/>
      <c r="P6" s="3"/>
      <c r="Q6" s="3"/>
      <c r="R6" s="3"/>
      <c r="S6" s="3"/>
      <c r="T6" s="3"/>
      <c r="U6" s="3"/>
      <c r="V6" s="3"/>
      <c r="W6" s="3"/>
      <c r="X6" s="3"/>
      <c r="Y6" s="3"/>
      <c r="Z6" s="3"/>
      <c r="AA6" s="3"/>
      <c r="AB6" s="3"/>
      <c r="AC6" s="3"/>
      <c r="AD6" s="3"/>
      <c r="AE6" s="3"/>
      <c r="AF6" s="3"/>
      <c r="AG6" s="3"/>
      <c r="AH6" s="3"/>
      <c r="AI6" s="3"/>
      <c r="AJ6" s="3"/>
      <c r="AK6" s="3"/>
    </row>
    <row r="7" spans="1:37" outlineLevel="1">
      <c r="A7" s="9"/>
      <c r="B7" s="7" t="s">
        <v>19</v>
      </c>
      <c r="C7" s="10" t="s">
        <v>341</v>
      </c>
      <c r="D7" s="6"/>
      <c r="E7" s="39" t="s">
        <v>2728</v>
      </c>
      <c r="F7" s="36"/>
      <c r="G7" s="7" t="s">
        <v>342</v>
      </c>
      <c r="H7" s="4" t="str">
        <f>CONCATENATE(B7,"-",G7,"-",I7)</f>
        <v>LS-T01-4</v>
      </c>
      <c r="I7" s="37">
        <v>4</v>
      </c>
      <c r="J7" s="12">
        <v>1</v>
      </c>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row>
    <row r="8" spans="1:37" ht="3" customHeight="1">
      <c r="A8" s="9"/>
      <c r="B8" s="7"/>
      <c r="C8" s="10"/>
      <c r="D8" s="6"/>
      <c r="E8" s="39"/>
      <c r="F8" s="36"/>
      <c r="G8" s="7"/>
      <c r="H8" s="4"/>
      <c r="I8" s="37"/>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row>
    <row r="9" spans="1:37" s="18" customFormat="1">
      <c r="A9" s="21" t="s">
        <v>486</v>
      </c>
      <c r="B9" s="7"/>
      <c r="C9" s="7"/>
      <c r="D9" s="6"/>
      <c r="E9" s="39"/>
      <c r="F9" s="8"/>
      <c r="G9" s="41" t="s">
        <v>257</v>
      </c>
      <c r="H9" s="41" t="s">
        <v>258</v>
      </c>
      <c r="I9" s="42" t="s">
        <v>259</v>
      </c>
      <c r="J9" s="3"/>
      <c r="K9" s="3"/>
      <c r="L9" s="3"/>
      <c r="M9" s="3"/>
      <c r="N9" s="3"/>
      <c r="O9" s="3"/>
      <c r="P9" s="3"/>
      <c r="Q9" s="3"/>
      <c r="R9" s="3"/>
      <c r="S9" s="3"/>
      <c r="T9" s="3"/>
      <c r="U9" s="3"/>
      <c r="V9" s="3"/>
      <c r="W9" s="3"/>
      <c r="X9" s="3"/>
      <c r="Y9" s="3"/>
      <c r="Z9" s="3"/>
      <c r="AA9" s="3"/>
      <c r="AB9" s="3"/>
      <c r="AC9" s="3"/>
      <c r="AD9" s="3"/>
      <c r="AE9" s="3"/>
      <c r="AF9" s="3"/>
      <c r="AG9" s="3"/>
      <c r="AH9" s="3"/>
      <c r="AI9" s="3"/>
      <c r="AJ9" s="3"/>
      <c r="AK9" s="3"/>
    </row>
    <row r="10" spans="1:37" outlineLevel="1">
      <c r="A10" s="9"/>
      <c r="B10" s="7" t="s">
        <v>19</v>
      </c>
      <c r="C10" s="7" t="s">
        <v>489</v>
      </c>
      <c r="D10" s="6"/>
      <c r="E10" s="39" t="s">
        <v>2729</v>
      </c>
      <c r="F10" s="36"/>
      <c r="G10" s="7" t="s">
        <v>489</v>
      </c>
      <c r="H10" s="4" t="str">
        <f>CONCATENATE(B10,"-",G10,"-",I10)</f>
        <v>LS-T2V-4</v>
      </c>
      <c r="I10" s="37">
        <v>4</v>
      </c>
      <c r="J10" s="12">
        <v>1</v>
      </c>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row>
    <row r="11" spans="1:37" ht="3" customHeight="1">
      <c r="A11" s="9"/>
      <c r="B11" s="7"/>
      <c r="C11" s="10"/>
      <c r="D11" s="6"/>
      <c r="E11" s="39"/>
      <c r="F11" s="36"/>
      <c r="G11" s="7"/>
      <c r="H11" s="4"/>
      <c r="I11" s="37"/>
      <c r="J11" s="11"/>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row>
    <row r="12" spans="1:37" s="18" customFormat="1">
      <c r="A12" s="21" t="s">
        <v>594</v>
      </c>
      <c r="B12" s="7"/>
      <c r="C12" s="7"/>
      <c r="D12" s="6"/>
      <c r="E12" s="39"/>
      <c r="F12" s="8"/>
      <c r="G12" s="41" t="s">
        <v>257</v>
      </c>
      <c r="H12" s="41" t="s">
        <v>258</v>
      </c>
      <c r="I12" s="42" t="s">
        <v>259</v>
      </c>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row>
    <row r="13" spans="1:37" outlineLevel="1">
      <c r="A13" s="9"/>
      <c r="B13" s="7" t="s">
        <v>19</v>
      </c>
      <c r="C13" s="10" t="s">
        <v>597</v>
      </c>
      <c r="D13" s="6"/>
      <c r="E13" s="39" t="s">
        <v>2452</v>
      </c>
      <c r="F13" s="36"/>
      <c r="G13" s="10" t="s">
        <v>597</v>
      </c>
      <c r="H13" s="4" t="str">
        <f>CONCATENATE(B13,"-",G13,"-",I13)</f>
        <v>LS-T2S-4</v>
      </c>
      <c r="I13" s="37">
        <v>4</v>
      </c>
      <c r="J13" s="12">
        <v>1</v>
      </c>
      <c r="K13" s="12"/>
      <c r="L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row>
    <row r="14" spans="1:37" s="18" customFormat="1" outlineLevel="2">
      <c r="A14" s="13"/>
      <c r="B14" s="7" t="s">
        <v>19</v>
      </c>
      <c r="C14" s="10" t="s">
        <v>597</v>
      </c>
      <c r="D14" s="6"/>
      <c r="E14" s="39" t="s">
        <v>2730</v>
      </c>
      <c r="F14" s="36"/>
      <c r="G14" s="10" t="s">
        <v>597</v>
      </c>
      <c r="H14" s="4" t="str">
        <f>CONCATENATE("LS-",G14,"-",I14)</f>
        <v>LS-T2S-4</v>
      </c>
      <c r="I14" s="37">
        <v>4</v>
      </c>
      <c r="J14" s="12">
        <v>1</v>
      </c>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row>
    <row r="15" spans="1:37" s="18" customFormat="1" outlineLevel="2">
      <c r="A15" s="13"/>
      <c r="B15" s="7" t="s">
        <v>19</v>
      </c>
      <c r="C15" s="10" t="s">
        <v>597</v>
      </c>
      <c r="D15" s="6"/>
      <c r="E15" s="39" t="s">
        <v>2456</v>
      </c>
      <c r="F15" s="36"/>
      <c r="G15" s="10" t="s">
        <v>597</v>
      </c>
      <c r="H15" s="4" t="str">
        <f t="shared" ref="H15:H23" si="0">CONCATENATE("LS-",G15,"-",I15)</f>
        <v>LS-T2S-4</v>
      </c>
      <c r="I15" s="37">
        <v>4</v>
      </c>
      <c r="J15" s="12">
        <v>1</v>
      </c>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row>
    <row r="16" spans="1:37" s="18" customFormat="1" outlineLevel="2">
      <c r="A16" s="13"/>
      <c r="B16" s="7" t="s">
        <v>19</v>
      </c>
      <c r="C16" s="10" t="s">
        <v>597</v>
      </c>
      <c r="D16" s="6"/>
      <c r="E16" s="39" t="s">
        <v>2457</v>
      </c>
      <c r="F16" s="36"/>
      <c r="G16" s="10" t="s">
        <v>597</v>
      </c>
      <c r="H16" s="4" t="str">
        <f t="shared" si="0"/>
        <v>LS-T2S-4</v>
      </c>
      <c r="I16" s="37">
        <v>4</v>
      </c>
      <c r="J16" s="12">
        <v>1</v>
      </c>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row>
    <row r="17" spans="1:12" s="18" customFormat="1" outlineLevel="2">
      <c r="A17" s="13"/>
      <c r="B17" s="7" t="s">
        <v>19</v>
      </c>
      <c r="C17" s="10" t="s">
        <v>597</v>
      </c>
      <c r="D17" s="6"/>
      <c r="E17" s="39" t="s">
        <v>2731</v>
      </c>
      <c r="F17" s="36"/>
      <c r="G17" s="10" t="s">
        <v>597</v>
      </c>
      <c r="H17" s="4" t="str">
        <f t="shared" si="0"/>
        <v>LS-T2S-4</v>
      </c>
      <c r="I17" s="37">
        <v>4</v>
      </c>
      <c r="J17" s="12">
        <v>1</v>
      </c>
      <c r="K17" s="12"/>
      <c r="L17" s="12"/>
    </row>
    <row r="18" spans="1:12" s="18" customFormat="1" outlineLevel="2">
      <c r="A18" s="13"/>
      <c r="B18" s="7" t="s">
        <v>19</v>
      </c>
      <c r="C18" s="10" t="s">
        <v>597</v>
      </c>
      <c r="D18" s="6"/>
      <c r="E18" s="39" t="s">
        <v>2732</v>
      </c>
      <c r="F18" s="36"/>
      <c r="G18" s="10" t="s">
        <v>597</v>
      </c>
      <c r="H18" s="4" t="str">
        <f t="shared" si="0"/>
        <v>LS-T2S-4</v>
      </c>
      <c r="I18" s="37">
        <v>4</v>
      </c>
      <c r="J18" s="12">
        <v>1</v>
      </c>
      <c r="K18" s="12"/>
      <c r="L18" s="12"/>
    </row>
    <row r="19" spans="1:12" s="18" customFormat="1" outlineLevel="2">
      <c r="A19" s="13"/>
      <c r="B19" s="7" t="s">
        <v>19</v>
      </c>
      <c r="C19" s="10" t="s">
        <v>597</v>
      </c>
      <c r="D19" s="6"/>
      <c r="E19" s="39" t="s">
        <v>2462</v>
      </c>
      <c r="F19" s="36"/>
      <c r="G19" s="10" t="s">
        <v>597</v>
      </c>
      <c r="H19" s="4" t="str">
        <f t="shared" si="0"/>
        <v>LS-T2S-4</v>
      </c>
      <c r="I19" s="37">
        <v>4</v>
      </c>
      <c r="J19" s="12">
        <v>1</v>
      </c>
      <c r="K19" s="12"/>
    </row>
    <row r="20" spans="1:12" s="18" customFormat="1" outlineLevel="2">
      <c r="A20" s="13"/>
      <c r="B20" s="7" t="s">
        <v>19</v>
      </c>
      <c r="C20" s="10" t="s">
        <v>597</v>
      </c>
      <c r="D20" s="6"/>
      <c r="E20" s="39" t="s">
        <v>2459</v>
      </c>
      <c r="F20" s="36"/>
      <c r="G20" s="10" t="s">
        <v>597</v>
      </c>
      <c r="H20" s="4" t="str">
        <f t="shared" si="0"/>
        <v>LS-T2S-4</v>
      </c>
      <c r="I20" s="37">
        <v>4</v>
      </c>
      <c r="J20" s="12">
        <v>1</v>
      </c>
      <c r="K20" s="12"/>
    </row>
    <row r="21" spans="1:12" s="18" customFormat="1" outlineLevel="2">
      <c r="A21" s="13"/>
      <c r="B21" s="7" t="s">
        <v>19</v>
      </c>
      <c r="C21" s="10" t="s">
        <v>597</v>
      </c>
      <c r="D21" s="6"/>
      <c r="E21" s="39" t="s">
        <v>2460</v>
      </c>
      <c r="F21" s="36"/>
      <c r="G21" s="10" t="s">
        <v>597</v>
      </c>
      <c r="H21" s="4" t="str">
        <f t="shared" si="0"/>
        <v>LS-T2S-4</v>
      </c>
      <c r="I21" s="37">
        <v>4</v>
      </c>
      <c r="J21" s="12">
        <v>1</v>
      </c>
      <c r="K21" s="12"/>
    </row>
    <row r="22" spans="1:12" s="18" customFormat="1" outlineLevel="2">
      <c r="A22" s="13"/>
      <c r="B22" s="7" t="s">
        <v>19</v>
      </c>
      <c r="C22" s="10" t="s">
        <v>597</v>
      </c>
      <c r="D22" s="6"/>
      <c r="E22" s="39" t="s">
        <v>2555</v>
      </c>
      <c r="F22" s="36"/>
      <c r="G22" s="10" t="s">
        <v>597</v>
      </c>
      <c r="H22" s="4" t="str">
        <f t="shared" si="0"/>
        <v>LS-T2S-4</v>
      </c>
      <c r="I22" s="37">
        <v>4</v>
      </c>
      <c r="J22" s="12">
        <v>1</v>
      </c>
      <c r="K22" s="12"/>
    </row>
    <row r="23" spans="1:12" s="18" customFormat="1" outlineLevel="2">
      <c r="A23" s="13"/>
      <c r="B23" s="7" t="s">
        <v>19</v>
      </c>
      <c r="C23" s="10" t="s">
        <v>597</v>
      </c>
      <c r="D23" s="6"/>
      <c r="E23" s="39" t="s">
        <v>2463</v>
      </c>
      <c r="F23" s="36"/>
      <c r="G23" s="10" t="s">
        <v>597</v>
      </c>
      <c r="H23" s="4" t="str">
        <f t="shared" si="0"/>
        <v>LS-T2S-4</v>
      </c>
      <c r="I23" s="37">
        <v>4</v>
      </c>
      <c r="J23" s="12">
        <v>1</v>
      </c>
      <c r="K23" s="12"/>
    </row>
    <row r="24" spans="1:12" ht="3" customHeight="1">
      <c r="A24" s="9"/>
      <c r="B24" s="7"/>
      <c r="C24" s="10"/>
      <c r="D24" s="6"/>
      <c r="E24" s="39"/>
      <c r="F24" s="36"/>
      <c r="G24" s="7"/>
      <c r="H24" s="4"/>
      <c r="I24" s="37"/>
      <c r="J24" s="11"/>
      <c r="K24" s="12"/>
      <c r="L24" s="12"/>
    </row>
    <row r="25" spans="1:12" s="18" customFormat="1">
      <c r="A25" s="21" t="s">
        <v>685</v>
      </c>
      <c r="B25" s="7"/>
      <c r="C25" s="7"/>
      <c r="D25" s="6"/>
      <c r="E25" s="39"/>
      <c r="F25" s="8"/>
      <c r="G25" s="41" t="s">
        <v>257</v>
      </c>
      <c r="H25" s="41" t="s">
        <v>258</v>
      </c>
      <c r="I25" s="42" t="s">
        <v>259</v>
      </c>
      <c r="J25" s="3"/>
      <c r="K25" s="3"/>
      <c r="L25" s="3"/>
    </row>
    <row r="26" spans="1:12" outlineLevel="1">
      <c r="A26" s="9"/>
      <c r="B26" s="7" t="s">
        <v>19</v>
      </c>
      <c r="C26" s="10" t="s">
        <v>687</v>
      </c>
      <c r="D26" s="6"/>
      <c r="E26" s="39" t="s">
        <v>2733</v>
      </c>
      <c r="F26" s="36"/>
      <c r="G26" s="10" t="s">
        <v>550</v>
      </c>
      <c r="H26" s="4" t="str">
        <f>CONCATENATE(B26,"-",G26,"-",I26)</f>
        <v>LS-TXV-4</v>
      </c>
      <c r="I26" s="37">
        <v>4</v>
      </c>
      <c r="J26" s="11"/>
      <c r="K26" s="12"/>
      <c r="L26" s="12">
        <v>1</v>
      </c>
    </row>
    <row r="27" spans="1:12" ht="3" customHeight="1">
      <c r="A27" s="9"/>
      <c r="B27" s="7"/>
      <c r="C27" s="10"/>
      <c r="D27" s="6"/>
      <c r="E27" s="39"/>
      <c r="F27" s="36"/>
      <c r="G27" s="7"/>
      <c r="H27" s="4"/>
      <c r="I27" s="37"/>
      <c r="J27" s="11"/>
      <c r="K27" s="12"/>
      <c r="L27" s="12"/>
    </row>
    <row r="28" spans="1:12" s="18" customFormat="1">
      <c r="A28" s="21" t="s">
        <v>714</v>
      </c>
      <c r="B28" s="7"/>
      <c r="C28" s="7"/>
      <c r="D28" s="6"/>
      <c r="E28" s="39"/>
      <c r="F28" s="8"/>
      <c r="G28" s="41" t="s">
        <v>257</v>
      </c>
      <c r="H28" s="41" t="s">
        <v>258</v>
      </c>
      <c r="I28" s="42" t="s">
        <v>259</v>
      </c>
      <c r="J28" s="3"/>
      <c r="K28" s="3"/>
      <c r="L28" s="3"/>
    </row>
    <row r="29" spans="1:12" outlineLevel="1">
      <c r="A29" s="9"/>
      <c r="B29" s="7" t="s">
        <v>19</v>
      </c>
      <c r="C29" s="10" t="s">
        <v>1709</v>
      </c>
      <c r="D29" s="6"/>
      <c r="E29" s="39" t="s">
        <v>2734</v>
      </c>
      <c r="F29" s="36"/>
      <c r="G29" s="10" t="s">
        <v>715</v>
      </c>
      <c r="H29" s="4" t="str">
        <f>CONCATENATE(B29,"-",G29,"-",I29)</f>
        <v>LS-TXS-4</v>
      </c>
      <c r="I29" s="37">
        <v>4</v>
      </c>
      <c r="J29" s="12"/>
      <c r="K29" s="12"/>
      <c r="L29" s="12">
        <v>1</v>
      </c>
    </row>
    <row r="30" spans="1:12" s="18" customFormat="1" outlineLevel="2">
      <c r="A30" s="13"/>
      <c r="B30" s="7" t="s">
        <v>19</v>
      </c>
      <c r="C30" s="10" t="s">
        <v>1709</v>
      </c>
      <c r="D30" s="6"/>
      <c r="E30" s="39" t="s">
        <v>2730</v>
      </c>
      <c r="F30" s="36"/>
      <c r="G30" s="10" t="s">
        <v>715</v>
      </c>
      <c r="H30" s="4" t="str">
        <f>CONCATENATE("LS-",G30,"-",I30)</f>
        <v>LS-TXS-4</v>
      </c>
      <c r="I30" s="37">
        <v>4</v>
      </c>
      <c r="J30" s="12"/>
      <c r="K30" s="12"/>
      <c r="L30" s="12">
        <v>1</v>
      </c>
    </row>
    <row r="31" spans="1:12" s="18" customFormat="1" outlineLevel="2">
      <c r="A31" s="13"/>
      <c r="B31" s="7" t="s">
        <v>19</v>
      </c>
      <c r="C31" s="10" t="s">
        <v>1709</v>
      </c>
      <c r="D31" s="6"/>
      <c r="E31" s="39" t="s">
        <v>2456</v>
      </c>
      <c r="F31" s="36"/>
      <c r="G31" s="10" t="s">
        <v>715</v>
      </c>
      <c r="H31" s="4" t="str">
        <f t="shared" ref="H31:H39" si="1">CONCATENATE("LS-",G31,"-",I31)</f>
        <v>LS-TXS-4</v>
      </c>
      <c r="I31" s="37">
        <v>4</v>
      </c>
      <c r="J31" s="12"/>
      <c r="K31" s="12"/>
      <c r="L31" s="12">
        <v>1</v>
      </c>
    </row>
    <row r="32" spans="1:12" s="18" customFormat="1" outlineLevel="2">
      <c r="A32" s="13"/>
      <c r="B32" s="7" t="s">
        <v>19</v>
      </c>
      <c r="C32" s="10" t="s">
        <v>1709</v>
      </c>
      <c r="D32" s="6"/>
      <c r="E32" s="39" t="s">
        <v>2457</v>
      </c>
      <c r="F32" s="36"/>
      <c r="G32" s="10" t="s">
        <v>715</v>
      </c>
      <c r="H32" s="4" t="str">
        <f t="shared" si="1"/>
        <v>LS-TXS-4</v>
      </c>
      <c r="I32" s="37">
        <v>4</v>
      </c>
      <c r="J32" s="12"/>
      <c r="K32" s="12"/>
      <c r="L32" s="12">
        <v>1</v>
      </c>
    </row>
    <row r="33" spans="1:12" s="18" customFormat="1" outlineLevel="2">
      <c r="A33" s="13"/>
      <c r="B33" s="7" t="s">
        <v>19</v>
      </c>
      <c r="C33" s="10" t="s">
        <v>1709</v>
      </c>
      <c r="D33" s="6"/>
      <c r="E33" s="39" t="s">
        <v>2731</v>
      </c>
      <c r="F33" s="36"/>
      <c r="G33" s="10" t="s">
        <v>715</v>
      </c>
      <c r="H33" s="4" t="str">
        <f t="shared" si="1"/>
        <v>LS-TXS-4</v>
      </c>
      <c r="I33" s="37">
        <v>4</v>
      </c>
      <c r="J33" s="12"/>
      <c r="K33" s="12"/>
      <c r="L33" s="12">
        <v>1</v>
      </c>
    </row>
    <row r="34" spans="1:12" s="18" customFormat="1" outlineLevel="2">
      <c r="A34" s="13"/>
      <c r="B34" s="7" t="s">
        <v>19</v>
      </c>
      <c r="C34" s="10" t="s">
        <v>1709</v>
      </c>
      <c r="D34" s="6"/>
      <c r="E34" s="39" t="s">
        <v>2732</v>
      </c>
      <c r="F34" s="36"/>
      <c r="G34" s="10" t="s">
        <v>715</v>
      </c>
      <c r="H34" s="4" t="str">
        <f t="shared" si="1"/>
        <v>LS-TXS-4</v>
      </c>
      <c r="I34" s="37">
        <v>4</v>
      </c>
      <c r="J34" s="12"/>
      <c r="K34" s="12"/>
      <c r="L34" s="12">
        <v>1</v>
      </c>
    </row>
    <row r="35" spans="1:12" s="18" customFormat="1" outlineLevel="2">
      <c r="A35" s="13"/>
      <c r="B35" s="7" t="s">
        <v>19</v>
      </c>
      <c r="C35" s="10" t="s">
        <v>1709</v>
      </c>
      <c r="D35" s="6"/>
      <c r="E35" s="39" t="s">
        <v>2462</v>
      </c>
      <c r="F35" s="36"/>
      <c r="G35" s="10" t="s">
        <v>715</v>
      </c>
      <c r="H35" s="4" t="str">
        <f t="shared" si="1"/>
        <v>LS-TXS-4</v>
      </c>
      <c r="I35" s="37">
        <v>4</v>
      </c>
      <c r="J35" s="12"/>
      <c r="K35" s="12"/>
      <c r="L35" s="12">
        <v>1</v>
      </c>
    </row>
    <row r="36" spans="1:12" s="18" customFormat="1" outlineLevel="2">
      <c r="A36" s="13"/>
      <c r="B36" s="7" t="s">
        <v>19</v>
      </c>
      <c r="C36" s="10" t="s">
        <v>1709</v>
      </c>
      <c r="D36" s="6"/>
      <c r="E36" s="39" t="s">
        <v>2459</v>
      </c>
      <c r="F36" s="36"/>
      <c r="G36" s="10" t="s">
        <v>715</v>
      </c>
      <c r="H36" s="4" t="str">
        <f t="shared" si="1"/>
        <v>LS-TXS-4</v>
      </c>
      <c r="I36" s="37">
        <v>4</v>
      </c>
      <c r="J36" s="12"/>
      <c r="K36" s="12"/>
      <c r="L36" s="12">
        <v>1</v>
      </c>
    </row>
    <row r="37" spans="1:12" s="18" customFormat="1" outlineLevel="2">
      <c r="A37" s="13"/>
      <c r="B37" s="7" t="s">
        <v>19</v>
      </c>
      <c r="C37" s="10" t="s">
        <v>1709</v>
      </c>
      <c r="D37" s="6"/>
      <c r="E37" s="39" t="s">
        <v>2460</v>
      </c>
      <c r="F37" s="36"/>
      <c r="G37" s="10" t="s">
        <v>715</v>
      </c>
      <c r="H37" s="4" t="str">
        <f t="shared" si="1"/>
        <v>LS-TXS-4</v>
      </c>
      <c r="I37" s="37">
        <v>4</v>
      </c>
      <c r="J37" s="12"/>
      <c r="K37" s="12"/>
      <c r="L37" s="12">
        <v>1</v>
      </c>
    </row>
    <row r="38" spans="1:12" s="18" customFormat="1" outlineLevel="2">
      <c r="A38" s="13"/>
      <c r="B38" s="7" t="s">
        <v>19</v>
      </c>
      <c r="C38" s="10" t="s">
        <v>1709</v>
      </c>
      <c r="D38" s="6"/>
      <c r="E38" s="39" t="s">
        <v>2555</v>
      </c>
      <c r="F38" s="36"/>
      <c r="G38" s="10" t="s">
        <v>715</v>
      </c>
      <c r="H38" s="4" t="str">
        <f t="shared" si="1"/>
        <v>LS-TXS-4</v>
      </c>
      <c r="I38" s="37">
        <v>4</v>
      </c>
      <c r="J38" s="12"/>
      <c r="K38" s="12"/>
      <c r="L38" s="12">
        <v>1</v>
      </c>
    </row>
    <row r="39" spans="1:12" s="18" customFormat="1" outlineLevel="2">
      <c r="A39" s="13"/>
      <c r="B39" s="7" t="s">
        <v>19</v>
      </c>
      <c r="C39" s="10" t="s">
        <v>1709</v>
      </c>
      <c r="D39" s="6"/>
      <c r="E39" s="39" t="s">
        <v>2463</v>
      </c>
      <c r="F39" s="36"/>
      <c r="G39" s="10" t="s">
        <v>715</v>
      </c>
      <c r="H39" s="4" t="str">
        <f t="shared" si="1"/>
        <v>LS-TXS-4</v>
      </c>
      <c r="I39" s="37">
        <v>4</v>
      </c>
      <c r="J39" s="12"/>
      <c r="K39" s="12"/>
      <c r="L39" s="12"/>
    </row>
    <row r="40" spans="1:12" ht="3" customHeight="1">
      <c r="A40" s="9"/>
      <c r="B40" s="7"/>
      <c r="C40" s="10"/>
      <c r="D40" s="6"/>
      <c r="E40" s="39"/>
      <c r="F40" s="36"/>
      <c r="G40" s="7"/>
      <c r="H40" s="4"/>
      <c r="I40" s="37"/>
      <c r="J40" s="11"/>
      <c r="K40" s="12"/>
      <c r="L40" s="12"/>
    </row>
    <row r="41" spans="1:12" s="18" customFormat="1">
      <c r="A41" s="21" t="s">
        <v>749</v>
      </c>
      <c r="B41" s="7"/>
      <c r="C41" s="7"/>
      <c r="D41" s="6"/>
      <c r="E41" s="39"/>
      <c r="F41" s="8"/>
      <c r="G41" s="41" t="s">
        <v>257</v>
      </c>
      <c r="H41" s="41" t="s">
        <v>258</v>
      </c>
      <c r="I41" s="42" t="s">
        <v>259</v>
      </c>
      <c r="J41" s="3"/>
      <c r="K41" s="3"/>
      <c r="L41" s="3"/>
    </row>
    <row r="42" spans="1:12" outlineLevel="1">
      <c r="A42" s="9"/>
      <c r="B42" s="7" t="s">
        <v>19</v>
      </c>
      <c r="C42" s="7" t="s">
        <v>751</v>
      </c>
      <c r="D42" s="6"/>
      <c r="E42" s="39" t="s">
        <v>2735</v>
      </c>
      <c r="F42" s="36"/>
      <c r="G42" s="7" t="s">
        <v>751</v>
      </c>
      <c r="H42" s="4" t="str">
        <f>CONCATENATE(B42,"-",G42,"-",I42)</f>
        <v>LS-T6V-4</v>
      </c>
      <c r="I42" s="37">
        <v>4</v>
      </c>
      <c r="J42" s="12">
        <v>1</v>
      </c>
      <c r="K42" s="12"/>
      <c r="L42" s="12"/>
    </row>
    <row r="43" spans="1:12" ht="3" customHeight="1">
      <c r="A43" s="9"/>
      <c r="B43" s="7"/>
      <c r="C43" s="10"/>
      <c r="D43" s="6"/>
      <c r="E43" s="39"/>
      <c r="F43" s="36"/>
      <c r="G43" s="7"/>
      <c r="H43" s="4"/>
      <c r="I43" s="37"/>
      <c r="J43" s="11"/>
      <c r="K43" s="12"/>
      <c r="L43" s="12"/>
    </row>
    <row r="44" spans="1:12" s="18" customFormat="1">
      <c r="A44" s="21" t="s">
        <v>773</v>
      </c>
      <c r="B44" s="7"/>
      <c r="C44" s="7"/>
      <c r="D44" s="6"/>
      <c r="E44" s="39"/>
      <c r="F44" s="8"/>
      <c r="G44" s="41" t="s">
        <v>257</v>
      </c>
      <c r="H44" s="41" t="s">
        <v>258</v>
      </c>
      <c r="I44" s="42" t="s">
        <v>259</v>
      </c>
      <c r="J44" s="3"/>
      <c r="K44" s="3"/>
      <c r="L44" s="3"/>
    </row>
    <row r="45" spans="1:12" outlineLevel="1">
      <c r="A45" s="9"/>
      <c r="B45" s="7" t="s">
        <v>19</v>
      </c>
      <c r="C45" s="10" t="s">
        <v>774</v>
      </c>
      <c r="D45" s="6"/>
      <c r="E45" s="39" t="s">
        <v>2736</v>
      </c>
      <c r="F45" s="36"/>
      <c r="G45" s="10" t="s">
        <v>774</v>
      </c>
      <c r="H45" s="4" t="str">
        <f>CONCATENATE(B45,"-",G45,"-",I45)</f>
        <v>LS-T6S-4</v>
      </c>
      <c r="I45" s="37">
        <v>4</v>
      </c>
      <c r="J45" s="12"/>
      <c r="K45" s="12"/>
      <c r="L45" s="12">
        <v>1</v>
      </c>
    </row>
    <row r="46" spans="1:12" s="18" customFormat="1" outlineLevel="2">
      <c r="A46" s="13"/>
      <c r="B46" s="7" t="s">
        <v>19</v>
      </c>
      <c r="C46" s="10" t="s">
        <v>774</v>
      </c>
      <c r="D46" s="6"/>
      <c r="E46" s="39" t="s">
        <v>2730</v>
      </c>
      <c r="F46" s="36"/>
      <c r="G46" s="10" t="s">
        <v>774</v>
      </c>
      <c r="H46" s="4" t="str">
        <f>CONCATENATE("LS-",G46,"-",I46)</f>
        <v>LS-T6S-4</v>
      </c>
      <c r="I46" s="37">
        <v>4</v>
      </c>
      <c r="J46" s="12"/>
      <c r="K46" s="12"/>
      <c r="L46" s="12">
        <v>1</v>
      </c>
    </row>
    <row r="47" spans="1:12" s="18" customFormat="1" outlineLevel="2">
      <c r="A47" s="13"/>
      <c r="B47" s="7" t="s">
        <v>19</v>
      </c>
      <c r="C47" s="10" t="s">
        <v>774</v>
      </c>
      <c r="D47" s="6"/>
      <c r="E47" s="39" t="s">
        <v>2456</v>
      </c>
      <c r="F47" s="36"/>
      <c r="G47" s="10" t="s">
        <v>774</v>
      </c>
      <c r="H47" s="4" t="str">
        <f t="shared" ref="H47:H55" si="2">CONCATENATE("LS-",G47,"-",I47)</f>
        <v>LS-T6S-4</v>
      </c>
      <c r="I47" s="37">
        <v>4</v>
      </c>
      <c r="J47" s="12"/>
      <c r="K47" s="12"/>
      <c r="L47" s="12">
        <v>1</v>
      </c>
    </row>
    <row r="48" spans="1:12" s="18" customFormat="1" outlineLevel="2">
      <c r="A48" s="13"/>
      <c r="B48" s="7" t="s">
        <v>19</v>
      </c>
      <c r="C48" s="10" t="s">
        <v>774</v>
      </c>
      <c r="D48" s="6"/>
      <c r="E48" s="39" t="s">
        <v>2457</v>
      </c>
      <c r="F48" s="36"/>
      <c r="G48" s="10" t="s">
        <v>774</v>
      </c>
      <c r="H48" s="4" t="str">
        <f t="shared" si="2"/>
        <v>LS-T6S-4</v>
      </c>
      <c r="I48" s="37">
        <v>4</v>
      </c>
      <c r="J48" s="12"/>
      <c r="K48" s="12"/>
      <c r="L48" s="12">
        <v>1</v>
      </c>
    </row>
    <row r="49" spans="1:12" s="18" customFormat="1" outlineLevel="2">
      <c r="A49" s="13"/>
      <c r="B49" s="7" t="s">
        <v>19</v>
      </c>
      <c r="C49" s="10" t="s">
        <v>774</v>
      </c>
      <c r="D49" s="6"/>
      <c r="E49" s="39" t="s">
        <v>2731</v>
      </c>
      <c r="F49" s="36"/>
      <c r="G49" s="10" t="s">
        <v>774</v>
      </c>
      <c r="H49" s="4" t="str">
        <f t="shared" si="2"/>
        <v>LS-T6S-4</v>
      </c>
      <c r="I49" s="37">
        <v>4</v>
      </c>
      <c r="J49" s="12"/>
      <c r="K49" s="12"/>
      <c r="L49" s="12">
        <v>1</v>
      </c>
    </row>
    <row r="50" spans="1:12" s="18" customFormat="1" outlineLevel="2">
      <c r="A50" s="13"/>
      <c r="B50" s="7" t="s">
        <v>19</v>
      </c>
      <c r="C50" s="10" t="s">
        <v>774</v>
      </c>
      <c r="D50" s="6"/>
      <c r="E50" s="39" t="s">
        <v>2732</v>
      </c>
      <c r="F50" s="36"/>
      <c r="G50" s="10" t="s">
        <v>774</v>
      </c>
      <c r="H50" s="4" t="str">
        <f t="shared" si="2"/>
        <v>LS-T6S-4</v>
      </c>
      <c r="I50" s="37">
        <v>4</v>
      </c>
      <c r="J50" s="12"/>
      <c r="K50" s="12"/>
      <c r="L50" s="12">
        <v>1</v>
      </c>
    </row>
    <row r="51" spans="1:12" s="18" customFormat="1" outlineLevel="2">
      <c r="A51" s="13"/>
      <c r="B51" s="7" t="s">
        <v>19</v>
      </c>
      <c r="C51" s="10" t="s">
        <v>774</v>
      </c>
      <c r="D51" s="6"/>
      <c r="E51" s="39" t="s">
        <v>2462</v>
      </c>
      <c r="F51" s="36"/>
      <c r="G51" s="10" t="s">
        <v>774</v>
      </c>
      <c r="H51" s="4" t="str">
        <f t="shared" si="2"/>
        <v>LS-T6S-4</v>
      </c>
      <c r="I51" s="37">
        <v>4</v>
      </c>
      <c r="J51" s="12"/>
      <c r="K51" s="12"/>
      <c r="L51" s="12">
        <v>1</v>
      </c>
    </row>
    <row r="52" spans="1:12" s="18" customFormat="1" outlineLevel="2">
      <c r="A52" s="13"/>
      <c r="B52" s="7" t="s">
        <v>19</v>
      </c>
      <c r="C52" s="10" t="s">
        <v>774</v>
      </c>
      <c r="D52" s="6"/>
      <c r="E52" s="39" t="s">
        <v>2459</v>
      </c>
      <c r="F52" s="36"/>
      <c r="G52" s="10" t="s">
        <v>774</v>
      </c>
      <c r="H52" s="4" t="str">
        <f t="shared" si="2"/>
        <v>LS-T6S-4</v>
      </c>
      <c r="I52" s="37">
        <v>4</v>
      </c>
      <c r="J52" s="12"/>
      <c r="K52" s="12"/>
      <c r="L52" s="12">
        <v>1</v>
      </c>
    </row>
    <row r="53" spans="1:12" s="18" customFormat="1" outlineLevel="2">
      <c r="A53" s="13"/>
      <c r="B53" s="7" t="s">
        <v>19</v>
      </c>
      <c r="C53" s="10" t="s">
        <v>774</v>
      </c>
      <c r="D53" s="6"/>
      <c r="E53" s="39" t="s">
        <v>2460</v>
      </c>
      <c r="F53" s="36"/>
      <c r="G53" s="10" t="s">
        <v>774</v>
      </c>
      <c r="H53" s="4" t="str">
        <f t="shared" si="2"/>
        <v>LS-T6S-4</v>
      </c>
      <c r="I53" s="37">
        <v>4</v>
      </c>
      <c r="J53" s="12"/>
      <c r="K53" s="12"/>
      <c r="L53" s="12">
        <v>1</v>
      </c>
    </row>
    <row r="54" spans="1:12" s="18" customFormat="1" outlineLevel="2">
      <c r="A54" s="13"/>
      <c r="B54" s="7" t="s">
        <v>19</v>
      </c>
      <c r="C54" s="10" t="s">
        <v>774</v>
      </c>
      <c r="D54" s="6"/>
      <c r="E54" s="39" t="s">
        <v>2555</v>
      </c>
      <c r="F54" s="36"/>
      <c r="G54" s="10" t="s">
        <v>774</v>
      </c>
      <c r="H54" s="4" t="str">
        <f t="shared" si="2"/>
        <v>LS-T6S-4</v>
      </c>
      <c r="I54" s="37">
        <v>4</v>
      </c>
      <c r="J54" s="12"/>
      <c r="K54" s="12"/>
      <c r="L54" s="12">
        <v>1</v>
      </c>
    </row>
    <row r="55" spans="1:12" s="18" customFormat="1" outlineLevel="2">
      <c r="A55" s="13"/>
      <c r="B55" s="7" t="s">
        <v>19</v>
      </c>
      <c r="C55" s="10" t="s">
        <v>774</v>
      </c>
      <c r="D55" s="6"/>
      <c r="E55" s="39" t="s">
        <v>2463</v>
      </c>
      <c r="F55" s="36"/>
      <c r="G55" s="10" t="s">
        <v>774</v>
      </c>
      <c r="H55" s="4" t="str">
        <f t="shared" si="2"/>
        <v>LS-T6S-4</v>
      </c>
      <c r="I55" s="37">
        <v>4</v>
      </c>
      <c r="J55" s="12"/>
      <c r="K55" s="12"/>
      <c r="L55" s="12">
        <v>1</v>
      </c>
    </row>
    <row r="56" spans="1:12" ht="3" customHeight="1">
      <c r="A56" s="9"/>
      <c r="B56" s="7"/>
      <c r="C56" s="10"/>
      <c r="D56" s="6"/>
      <c r="E56" s="39"/>
      <c r="F56" s="36"/>
      <c r="G56" s="7"/>
      <c r="H56" s="4"/>
      <c r="I56" s="37"/>
      <c r="J56" s="11"/>
      <c r="K56" s="12"/>
      <c r="L56" s="12"/>
    </row>
    <row r="57" spans="1:12" s="18" customFormat="1">
      <c r="A57" s="21" t="s">
        <v>797</v>
      </c>
      <c r="B57" s="7"/>
      <c r="C57" s="7"/>
      <c r="D57" s="6"/>
      <c r="E57" s="39"/>
      <c r="F57" s="8"/>
      <c r="G57" s="41" t="s">
        <v>257</v>
      </c>
      <c r="H57" s="41" t="s">
        <v>258</v>
      </c>
      <c r="I57" s="42" t="s">
        <v>259</v>
      </c>
      <c r="J57" s="3"/>
      <c r="K57" s="3"/>
      <c r="L57" s="3"/>
    </row>
    <row r="58" spans="1:12" outlineLevel="1">
      <c r="A58" s="9"/>
      <c r="B58" s="7" t="s">
        <v>19</v>
      </c>
      <c r="C58" s="10" t="s">
        <v>798</v>
      </c>
      <c r="D58" s="6"/>
      <c r="E58" s="39" t="s">
        <v>2737</v>
      </c>
      <c r="F58" s="36"/>
      <c r="G58" s="10" t="s">
        <v>799</v>
      </c>
      <c r="H58" s="4" t="str">
        <f>CONCATENATE(B58,"-",G58,"-",I58)</f>
        <v>LS-T07-4</v>
      </c>
      <c r="I58" s="37">
        <v>4</v>
      </c>
      <c r="J58" s="12">
        <v>1</v>
      </c>
      <c r="K58" s="12"/>
      <c r="L58" s="12"/>
    </row>
    <row r="59" spans="1:12" ht="3" customHeight="1">
      <c r="A59" s="9"/>
      <c r="B59" s="7"/>
      <c r="C59" s="10"/>
      <c r="D59" s="6"/>
      <c r="E59" s="39"/>
      <c r="F59" s="36"/>
      <c r="G59" s="7"/>
      <c r="H59" s="4"/>
      <c r="I59" s="37"/>
      <c r="J59" s="11"/>
      <c r="K59" s="12"/>
      <c r="L59" s="12"/>
    </row>
    <row r="60" spans="1:12" s="18" customFormat="1">
      <c r="A60" s="21" t="s">
        <v>2738</v>
      </c>
      <c r="B60" s="7"/>
      <c r="C60" s="7"/>
      <c r="D60" s="6"/>
      <c r="E60" s="8"/>
      <c r="F60" s="8"/>
      <c r="G60" s="41" t="s">
        <v>257</v>
      </c>
      <c r="H60" s="41" t="s">
        <v>258</v>
      </c>
      <c r="I60" s="42" t="s">
        <v>259</v>
      </c>
      <c r="J60" s="3"/>
      <c r="K60" s="3"/>
      <c r="L60" s="3"/>
    </row>
    <row r="61" spans="1:12" outlineLevel="1">
      <c r="A61" s="9"/>
      <c r="B61" s="7" t="s">
        <v>19</v>
      </c>
      <c r="C61" s="10" t="s">
        <v>2739</v>
      </c>
      <c r="D61" s="6"/>
      <c r="E61" s="39" t="s">
        <v>2728</v>
      </c>
      <c r="F61" s="36"/>
      <c r="G61" s="7" t="s">
        <v>2740</v>
      </c>
      <c r="H61" s="4" t="str">
        <f>CONCATENATE(B61,"-",G61,"-",I61)</f>
        <v>LS-T08-4</v>
      </c>
      <c r="I61" s="37">
        <v>4</v>
      </c>
      <c r="J61" s="12">
        <v>1</v>
      </c>
      <c r="K61" s="12"/>
      <c r="L61" s="12"/>
    </row>
    <row r="62" spans="1:12" s="18" customFormat="1">
      <c r="A62" s="21" t="s">
        <v>2741</v>
      </c>
      <c r="B62" s="7"/>
      <c r="C62" s="7"/>
      <c r="D62" s="6"/>
      <c r="E62" s="39"/>
      <c r="F62" s="8"/>
      <c r="G62" s="41" t="s">
        <v>257</v>
      </c>
      <c r="H62" s="41" t="s">
        <v>258</v>
      </c>
      <c r="I62" s="42" t="s">
        <v>259</v>
      </c>
      <c r="J62" s="3"/>
      <c r="K62" s="3"/>
      <c r="L62" s="3"/>
    </row>
    <row r="63" spans="1:12" outlineLevel="1">
      <c r="A63" s="9"/>
      <c r="B63" s="7" t="s">
        <v>19</v>
      </c>
      <c r="C63" s="10" t="s">
        <v>2742</v>
      </c>
      <c r="D63" s="6"/>
      <c r="E63" s="39" t="s">
        <v>2743</v>
      </c>
      <c r="F63" s="38"/>
      <c r="G63" s="10" t="s">
        <v>2303</v>
      </c>
      <c r="H63" s="4" t="str">
        <f>CONCATENATE(B63,"-",G63,"-",I63)</f>
        <v>LS-T09-4</v>
      </c>
      <c r="I63" s="37">
        <v>4</v>
      </c>
      <c r="J63" s="11"/>
      <c r="K63" s="12"/>
      <c r="L63" s="12">
        <v>1</v>
      </c>
    </row>
    <row r="65" spans="1:12" s="18" customFormat="1">
      <c r="A65" s="6" t="s">
        <v>2744</v>
      </c>
      <c r="B65" s="6"/>
      <c r="C65" s="7"/>
      <c r="D65" s="6"/>
      <c r="E65" s="39"/>
      <c r="F65" s="8"/>
      <c r="G65" s="8"/>
      <c r="H65" s="8"/>
      <c r="I65" s="35"/>
      <c r="J65" s="3"/>
      <c r="K65" s="3"/>
      <c r="L65" s="3"/>
    </row>
    <row r="66" spans="1:12" s="18" customFormat="1" outlineLevel="1">
      <c r="A66" s="13"/>
      <c r="B66" s="7" t="s">
        <v>19</v>
      </c>
      <c r="C66" s="10" t="s">
        <v>2745</v>
      </c>
      <c r="D66" s="6"/>
      <c r="E66" s="39" t="s">
        <v>2730</v>
      </c>
      <c r="F66" s="36"/>
      <c r="G66" s="10" t="s">
        <v>1731</v>
      </c>
      <c r="H66" s="4" t="str">
        <f>CONCATENATE("LS-",G66,"-",I66)</f>
        <v>LS-V01-3</v>
      </c>
      <c r="I66" s="37">
        <v>3</v>
      </c>
      <c r="J66" s="12"/>
      <c r="K66" s="12"/>
      <c r="L66" s="12">
        <v>1</v>
      </c>
    </row>
    <row r="67" spans="1:12" s="18" customFormat="1" outlineLevel="1">
      <c r="A67" s="13"/>
      <c r="B67" s="7" t="s">
        <v>19</v>
      </c>
      <c r="C67" s="10" t="s">
        <v>2745</v>
      </c>
      <c r="D67" s="6"/>
      <c r="E67" s="39" t="s">
        <v>2456</v>
      </c>
      <c r="F67" s="36"/>
      <c r="G67" s="10" t="s">
        <v>1731</v>
      </c>
      <c r="H67" s="4" t="str">
        <f t="shared" ref="H67:H74" si="3">CONCATENATE("LS-",G67,"-",I67)</f>
        <v>LS-V01-3</v>
      </c>
      <c r="I67" s="37">
        <v>3</v>
      </c>
      <c r="J67" s="12"/>
      <c r="K67" s="12"/>
      <c r="L67" s="12">
        <v>1</v>
      </c>
    </row>
    <row r="68" spans="1:12" s="18" customFormat="1" outlineLevel="1">
      <c r="A68" s="13"/>
      <c r="B68" s="7" t="s">
        <v>19</v>
      </c>
      <c r="C68" s="10" t="s">
        <v>2745</v>
      </c>
      <c r="D68" s="6"/>
      <c r="E68" s="39" t="s">
        <v>2457</v>
      </c>
      <c r="F68" s="36"/>
      <c r="G68" s="10" t="s">
        <v>1731</v>
      </c>
      <c r="H68" s="4" t="str">
        <f t="shared" si="3"/>
        <v>LS-V01-3</v>
      </c>
      <c r="I68" s="37">
        <v>3</v>
      </c>
      <c r="J68" s="12"/>
      <c r="K68" s="12"/>
      <c r="L68" s="12">
        <v>1</v>
      </c>
    </row>
    <row r="69" spans="1:12" s="18" customFormat="1" outlineLevel="1">
      <c r="A69" s="13"/>
      <c r="B69" s="7" t="s">
        <v>19</v>
      </c>
      <c r="C69" s="10" t="s">
        <v>2745</v>
      </c>
      <c r="D69" s="6"/>
      <c r="E69" s="39" t="s">
        <v>2731</v>
      </c>
      <c r="F69" s="36"/>
      <c r="G69" s="10" t="s">
        <v>1731</v>
      </c>
      <c r="H69" s="4" t="str">
        <f t="shared" si="3"/>
        <v>LS-V01-3</v>
      </c>
      <c r="I69" s="37">
        <v>3</v>
      </c>
      <c r="J69" s="12"/>
      <c r="K69" s="12"/>
      <c r="L69" s="12">
        <v>1</v>
      </c>
    </row>
    <row r="70" spans="1:12" s="18" customFormat="1" outlineLevel="1">
      <c r="A70" s="13"/>
      <c r="B70" s="7" t="s">
        <v>19</v>
      </c>
      <c r="C70" s="10" t="s">
        <v>2745</v>
      </c>
      <c r="D70" s="6"/>
      <c r="E70" s="39" t="s">
        <v>2732</v>
      </c>
      <c r="F70" s="36"/>
      <c r="G70" s="10" t="s">
        <v>1731</v>
      </c>
      <c r="H70" s="4" t="str">
        <f t="shared" si="3"/>
        <v>LS-V01-3</v>
      </c>
      <c r="I70" s="37">
        <v>3</v>
      </c>
      <c r="J70" s="12"/>
      <c r="K70" s="12"/>
      <c r="L70" s="12">
        <v>1</v>
      </c>
    </row>
    <row r="71" spans="1:12" s="18" customFormat="1" outlineLevel="1">
      <c r="A71" s="13"/>
      <c r="B71" s="7" t="s">
        <v>19</v>
      </c>
      <c r="C71" s="10" t="s">
        <v>2745</v>
      </c>
      <c r="D71" s="6"/>
      <c r="E71" s="39" t="s">
        <v>2462</v>
      </c>
      <c r="F71" s="36"/>
      <c r="G71" s="10" t="s">
        <v>1731</v>
      </c>
      <c r="H71" s="4" t="str">
        <f t="shared" si="3"/>
        <v>LS-V01-3</v>
      </c>
      <c r="I71" s="37">
        <v>3</v>
      </c>
      <c r="J71" s="12"/>
      <c r="K71" s="12"/>
      <c r="L71" s="12">
        <v>1</v>
      </c>
    </row>
    <row r="72" spans="1:12" s="18" customFormat="1" outlineLevel="1">
      <c r="A72" s="13"/>
      <c r="B72" s="7" t="s">
        <v>19</v>
      </c>
      <c r="C72" s="10" t="s">
        <v>2745</v>
      </c>
      <c r="D72" s="6"/>
      <c r="E72" s="39" t="s">
        <v>2459</v>
      </c>
      <c r="F72" s="36"/>
      <c r="G72" s="10" t="s">
        <v>1731</v>
      </c>
      <c r="H72" s="4" t="str">
        <f t="shared" si="3"/>
        <v>LS-V01-3</v>
      </c>
      <c r="I72" s="37">
        <v>3</v>
      </c>
      <c r="J72" s="12"/>
      <c r="K72" s="12"/>
      <c r="L72" s="12">
        <v>1</v>
      </c>
    </row>
    <row r="73" spans="1:12" s="18" customFormat="1" outlineLevel="1">
      <c r="A73" s="13"/>
      <c r="B73" s="7" t="s">
        <v>19</v>
      </c>
      <c r="C73" s="10" t="s">
        <v>2745</v>
      </c>
      <c r="D73" s="6"/>
      <c r="E73" s="39" t="s">
        <v>2460</v>
      </c>
      <c r="F73" s="36"/>
      <c r="G73" s="10" t="s">
        <v>1731</v>
      </c>
      <c r="H73" s="4" t="str">
        <f t="shared" si="3"/>
        <v>LS-V01-3</v>
      </c>
      <c r="I73" s="37">
        <v>3</v>
      </c>
      <c r="J73" s="12"/>
      <c r="K73" s="12"/>
      <c r="L73" s="12">
        <v>1</v>
      </c>
    </row>
    <row r="74" spans="1:12" s="18" customFormat="1" outlineLevel="1">
      <c r="A74" s="13"/>
      <c r="B74" s="7" t="s">
        <v>19</v>
      </c>
      <c r="C74" s="10" t="s">
        <v>2745</v>
      </c>
      <c r="D74" s="6"/>
      <c r="E74" s="39" t="s">
        <v>2463</v>
      </c>
      <c r="F74" s="36"/>
      <c r="G74" s="10" t="s">
        <v>1731</v>
      </c>
      <c r="H74" s="4" t="str">
        <f t="shared" si="3"/>
        <v>LS-V01-3</v>
      </c>
      <c r="I74" s="37">
        <v>3</v>
      </c>
      <c r="J74" s="12"/>
      <c r="K74" s="12"/>
      <c r="L74" s="12">
        <v>1</v>
      </c>
    </row>
    <row r="75" spans="1:12" s="18" customFormat="1">
      <c r="A75" s="6" t="s">
        <v>2746</v>
      </c>
      <c r="B75" s="6"/>
      <c r="C75" s="7"/>
      <c r="D75" s="6"/>
      <c r="E75" s="39"/>
      <c r="F75" s="8"/>
      <c r="G75" s="8"/>
      <c r="H75" s="8"/>
      <c r="I75" s="35"/>
      <c r="J75" s="3"/>
      <c r="K75" s="3"/>
      <c r="L75" s="3"/>
    </row>
    <row r="76" spans="1:12" s="18" customFormat="1" outlineLevel="1">
      <c r="A76" s="13"/>
      <c r="B76" s="7" t="s">
        <v>19</v>
      </c>
      <c r="C76" s="10" t="s">
        <v>2745</v>
      </c>
      <c r="D76" s="6"/>
      <c r="E76" s="39" t="s">
        <v>2730</v>
      </c>
      <c r="F76" s="36"/>
      <c r="G76" s="10" t="s">
        <v>1746</v>
      </c>
      <c r="H76" s="4" t="str">
        <f>CONCATENATE("LS-",G76,"-",I76)</f>
        <v>LS-V03-3</v>
      </c>
      <c r="I76" s="37">
        <v>3</v>
      </c>
      <c r="J76" s="12"/>
      <c r="K76" s="12"/>
      <c r="L76" s="12">
        <v>1</v>
      </c>
    </row>
    <row r="77" spans="1:12" s="18" customFormat="1" outlineLevel="1">
      <c r="A77" s="13"/>
      <c r="B77" s="7" t="s">
        <v>19</v>
      </c>
      <c r="C77" s="10" t="s">
        <v>2745</v>
      </c>
      <c r="D77" s="6"/>
      <c r="E77" s="39" t="s">
        <v>2456</v>
      </c>
      <c r="F77" s="36"/>
      <c r="G77" s="10" t="s">
        <v>1746</v>
      </c>
      <c r="H77" s="4" t="str">
        <f t="shared" ref="H77:H84" si="4">CONCATENATE("LS-",G77,"-",I77)</f>
        <v>LS-V03-3</v>
      </c>
      <c r="I77" s="37">
        <v>3</v>
      </c>
      <c r="J77" s="12"/>
      <c r="K77" s="12"/>
      <c r="L77" s="12">
        <v>1</v>
      </c>
    </row>
    <row r="78" spans="1:12" s="18" customFormat="1" outlineLevel="1">
      <c r="A78" s="13"/>
      <c r="B78" s="7" t="s">
        <v>19</v>
      </c>
      <c r="C78" s="10" t="s">
        <v>2745</v>
      </c>
      <c r="D78" s="6"/>
      <c r="E78" s="39" t="s">
        <v>2457</v>
      </c>
      <c r="F78" s="36"/>
      <c r="G78" s="10" t="s">
        <v>1746</v>
      </c>
      <c r="H78" s="4" t="str">
        <f t="shared" si="4"/>
        <v>LS-V03-3</v>
      </c>
      <c r="I78" s="37">
        <v>3</v>
      </c>
      <c r="J78" s="12"/>
      <c r="K78" s="12"/>
      <c r="L78" s="12">
        <v>1</v>
      </c>
    </row>
    <row r="79" spans="1:12" s="18" customFormat="1" outlineLevel="1">
      <c r="A79" s="13"/>
      <c r="B79" s="7" t="s">
        <v>19</v>
      </c>
      <c r="C79" s="10" t="s">
        <v>2745</v>
      </c>
      <c r="D79" s="6"/>
      <c r="E79" s="39" t="s">
        <v>2731</v>
      </c>
      <c r="F79" s="36"/>
      <c r="G79" s="10" t="s">
        <v>1746</v>
      </c>
      <c r="H79" s="4" t="str">
        <f t="shared" si="4"/>
        <v>LS-V03-3</v>
      </c>
      <c r="I79" s="37">
        <v>3</v>
      </c>
      <c r="J79" s="12"/>
      <c r="K79" s="12"/>
      <c r="L79" s="12">
        <v>1</v>
      </c>
    </row>
    <row r="80" spans="1:12" s="18" customFormat="1" outlineLevel="1">
      <c r="A80" s="13"/>
      <c r="B80" s="7" t="s">
        <v>19</v>
      </c>
      <c r="C80" s="10" t="s">
        <v>2745</v>
      </c>
      <c r="D80" s="6"/>
      <c r="E80" s="39" t="s">
        <v>2732</v>
      </c>
      <c r="F80" s="36"/>
      <c r="G80" s="10" t="s">
        <v>1746</v>
      </c>
      <c r="H80" s="4" t="str">
        <f t="shared" si="4"/>
        <v>LS-V03-3</v>
      </c>
      <c r="I80" s="37">
        <v>3</v>
      </c>
      <c r="J80" s="12"/>
      <c r="K80" s="12"/>
      <c r="L80" s="12">
        <v>1</v>
      </c>
    </row>
    <row r="81" spans="1:12" s="18" customFormat="1" outlineLevel="1">
      <c r="A81" s="13"/>
      <c r="B81" s="7" t="s">
        <v>19</v>
      </c>
      <c r="C81" s="10" t="s">
        <v>2745</v>
      </c>
      <c r="D81" s="6"/>
      <c r="E81" s="39" t="s">
        <v>2462</v>
      </c>
      <c r="F81" s="36"/>
      <c r="G81" s="10" t="s">
        <v>1746</v>
      </c>
      <c r="H81" s="4" t="str">
        <f t="shared" si="4"/>
        <v>LS-V03-3</v>
      </c>
      <c r="I81" s="37">
        <v>3</v>
      </c>
      <c r="J81" s="12"/>
      <c r="K81" s="12"/>
      <c r="L81" s="12">
        <v>1</v>
      </c>
    </row>
    <row r="82" spans="1:12" s="18" customFormat="1" outlineLevel="1">
      <c r="A82" s="13"/>
      <c r="B82" s="7" t="s">
        <v>19</v>
      </c>
      <c r="C82" s="10" t="s">
        <v>2745</v>
      </c>
      <c r="D82" s="6"/>
      <c r="E82" s="39" t="s">
        <v>2459</v>
      </c>
      <c r="F82" s="36"/>
      <c r="G82" s="10" t="s">
        <v>1746</v>
      </c>
      <c r="H82" s="4" t="str">
        <f t="shared" si="4"/>
        <v>LS-V03-3</v>
      </c>
      <c r="I82" s="37">
        <v>3</v>
      </c>
      <c r="J82" s="12"/>
      <c r="K82" s="12"/>
      <c r="L82" s="12">
        <v>1</v>
      </c>
    </row>
    <row r="83" spans="1:12" s="18" customFormat="1" outlineLevel="1">
      <c r="A83" s="13"/>
      <c r="B83" s="7" t="s">
        <v>19</v>
      </c>
      <c r="C83" s="10" t="s">
        <v>2745</v>
      </c>
      <c r="D83" s="6"/>
      <c r="E83" s="39" t="s">
        <v>2460</v>
      </c>
      <c r="F83" s="36"/>
      <c r="G83" s="10" t="s">
        <v>1746</v>
      </c>
      <c r="H83" s="4" t="str">
        <f t="shared" si="4"/>
        <v>LS-V03-3</v>
      </c>
      <c r="I83" s="37">
        <v>3</v>
      </c>
      <c r="J83" s="12"/>
      <c r="K83" s="12"/>
      <c r="L83" s="12">
        <v>1</v>
      </c>
    </row>
    <row r="84" spans="1:12" s="18" customFormat="1" outlineLevel="1">
      <c r="A84" s="13"/>
      <c r="B84" s="7" t="s">
        <v>19</v>
      </c>
      <c r="C84" s="10" t="s">
        <v>2745</v>
      </c>
      <c r="D84" s="6"/>
      <c r="E84" s="39" t="s">
        <v>2463</v>
      </c>
      <c r="F84" s="36"/>
      <c r="G84" s="10" t="s">
        <v>1746</v>
      </c>
      <c r="H84" s="4" t="str">
        <f t="shared" si="4"/>
        <v>LS-V03-3</v>
      </c>
      <c r="I84" s="37">
        <v>3</v>
      </c>
      <c r="J84" s="12"/>
      <c r="K84" s="12"/>
      <c r="L84" s="12">
        <v>1</v>
      </c>
    </row>
    <row r="85" spans="1:12" ht="3" customHeight="1">
      <c r="A85" s="9"/>
      <c r="B85" s="7"/>
      <c r="C85" s="10"/>
      <c r="D85" s="6"/>
      <c r="E85" s="39"/>
      <c r="F85" s="36"/>
      <c r="G85" s="7"/>
      <c r="H85" s="4"/>
      <c r="I85" s="37"/>
      <c r="J85" s="11"/>
      <c r="K85" s="12"/>
      <c r="L85" s="12"/>
    </row>
    <row r="86" spans="1:12">
      <c r="A86" s="2" t="s">
        <v>940</v>
      </c>
      <c r="B86" s="7"/>
      <c r="C86" s="7"/>
      <c r="D86" s="6"/>
      <c r="E86" s="39"/>
      <c r="F86" s="8"/>
      <c r="G86" s="41" t="s">
        <v>257</v>
      </c>
      <c r="H86" s="41" t="s">
        <v>258</v>
      </c>
      <c r="I86" s="42" t="s">
        <v>259</v>
      </c>
      <c r="J86" s="3"/>
      <c r="K86" s="3"/>
      <c r="L86" s="3"/>
    </row>
    <row r="87" spans="1:12" s="18" customFormat="1" outlineLevel="1">
      <c r="A87" s="6"/>
      <c r="B87" s="6" t="s">
        <v>2114</v>
      </c>
      <c r="C87" s="7"/>
      <c r="D87" s="6"/>
      <c r="E87" s="39"/>
      <c r="F87" s="8"/>
      <c r="G87" s="8"/>
      <c r="H87" s="8"/>
      <c r="I87" s="35"/>
      <c r="J87" s="3"/>
      <c r="K87" s="3"/>
      <c r="L87" s="3"/>
    </row>
    <row r="88" spans="1:12" s="18" customFormat="1" outlineLevel="2">
      <c r="A88" s="13"/>
      <c r="B88" s="7" t="s">
        <v>19</v>
      </c>
      <c r="C88" s="10" t="s">
        <v>878</v>
      </c>
      <c r="D88" s="6"/>
      <c r="E88" s="39" t="s">
        <v>2730</v>
      </c>
      <c r="F88" s="36"/>
      <c r="G88" s="10" t="s">
        <v>878</v>
      </c>
      <c r="H88" s="4" t="str">
        <f>CONCATENATE("LS-",G88,"-",I88)</f>
        <v>LS-V50-1</v>
      </c>
      <c r="I88" s="37">
        <v>1</v>
      </c>
      <c r="J88" s="12">
        <v>1</v>
      </c>
      <c r="K88" s="12"/>
      <c r="L88" s="12"/>
    </row>
    <row r="89" spans="1:12" s="18" customFormat="1" outlineLevel="2">
      <c r="A89" s="13"/>
      <c r="B89" s="7" t="s">
        <v>19</v>
      </c>
      <c r="C89" s="10" t="s">
        <v>878</v>
      </c>
      <c r="D89" s="6"/>
      <c r="E89" s="39" t="s">
        <v>2456</v>
      </c>
      <c r="F89" s="36"/>
      <c r="G89" s="10" t="s">
        <v>878</v>
      </c>
      <c r="H89" s="4" t="str">
        <f t="shared" ref="H89:H97" si="5">CONCATENATE("LS-",G89,"-",I89)</f>
        <v>LS-V50-1</v>
      </c>
      <c r="I89" s="37">
        <v>1</v>
      </c>
      <c r="J89" s="12">
        <v>1</v>
      </c>
      <c r="K89" s="12"/>
      <c r="L89" s="12"/>
    </row>
    <row r="90" spans="1:12" s="18" customFormat="1" outlineLevel="2">
      <c r="A90" s="13"/>
      <c r="B90" s="7" t="s">
        <v>19</v>
      </c>
      <c r="C90" s="10" t="s">
        <v>878</v>
      </c>
      <c r="D90" s="6"/>
      <c r="E90" s="39" t="s">
        <v>2457</v>
      </c>
      <c r="F90" s="36"/>
      <c r="G90" s="10" t="s">
        <v>878</v>
      </c>
      <c r="H90" s="4" t="str">
        <f t="shared" si="5"/>
        <v>LS-V50-1</v>
      </c>
      <c r="I90" s="37">
        <v>1</v>
      </c>
      <c r="J90" s="12">
        <v>1</v>
      </c>
      <c r="K90" s="12"/>
      <c r="L90" s="12"/>
    </row>
    <row r="91" spans="1:12" s="18" customFormat="1" outlineLevel="2">
      <c r="A91" s="13"/>
      <c r="B91" s="7" t="s">
        <v>19</v>
      </c>
      <c r="C91" s="10" t="s">
        <v>878</v>
      </c>
      <c r="D91" s="6"/>
      <c r="E91" s="39" t="s">
        <v>2731</v>
      </c>
      <c r="F91" s="36"/>
      <c r="G91" s="10" t="s">
        <v>878</v>
      </c>
      <c r="H91" s="4" t="str">
        <f t="shared" si="5"/>
        <v>LS-V50-1</v>
      </c>
      <c r="I91" s="37">
        <v>1</v>
      </c>
      <c r="J91" s="12">
        <v>1</v>
      </c>
      <c r="K91" s="12"/>
      <c r="L91" s="12"/>
    </row>
    <row r="92" spans="1:12" s="18" customFormat="1" outlineLevel="2">
      <c r="A92" s="13"/>
      <c r="B92" s="7" t="s">
        <v>19</v>
      </c>
      <c r="C92" s="10" t="s">
        <v>878</v>
      </c>
      <c r="D92" s="6"/>
      <c r="E92" s="39" t="s">
        <v>2732</v>
      </c>
      <c r="F92" s="36"/>
      <c r="G92" s="10" t="s">
        <v>878</v>
      </c>
      <c r="H92" s="4" t="str">
        <f t="shared" si="5"/>
        <v>LS-V50-1</v>
      </c>
      <c r="I92" s="37">
        <v>1</v>
      </c>
      <c r="J92" s="12">
        <v>1</v>
      </c>
      <c r="K92" s="12"/>
      <c r="L92" s="12"/>
    </row>
    <row r="93" spans="1:12" s="18" customFormat="1" outlineLevel="2">
      <c r="A93" s="13"/>
      <c r="B93" s="7" t="s">
        <v>19</v>
      </c>
      <c r="C93" s="10" t="s">
        <v>878</v>
      </c>
      <c r="D93" s="6"/>
      <c r="E93" s="39" t="s">
        <v>2462</v>
      </c>
      <c r="F93" s="36"/>
      <c r="G93" s="10" t="s">
        <v>878</v>
      </c>
      <c r="H93" s="4" t="str">
        <f t="shared" si="5"/>
        <v>LS-V50-1</v>
      </c>
      <c r="I93" s="37">
        <v>1</v>
      </c>
      <c r="J93" s="12">
        <v>1</v>
      </c>
      <c r="K93" s="12"/>
      <c r="L93" s="12"/>
    </row>
    <row r="94" spans="1:12" s="18" customFormat="1" outlineLevel="2">
      <c r="A94" s="13"/>
      <c r="B94" s="7" t="s">
        <v>19</v>
      </c>
      <c r="C94" s="10" t="s">
        <v>878</v>
      </c>
      <c r="D94" s="6"/>
      <c r="E94" s="39" t="s">
        <v>2459</v>
      </c>
      <c r="F94" s="36"/>
      <c r="G94" s="10" t="s">
        <v>878</v>
      </c>
      <c r="H94" s="4" t="str">
        <f t="shared" si="5"/>
        <v>LS-V50-1</v>
      </c>
      <c r="I94" s="37">
        <v>1</v>
      </c>
      <c r="J94" s="12">
        <v>1</v>
      </c>
      <c r="K94" s="12"/>
      <c r="L94" s="12"/>
    </row>
    <row r="95" spans="1:12" s="18" customFormat="1" outlineLevel="2">
      <c r="A95" s="13"/>
      <c r="B95" s="7" t="s">
        <v>19</v>
      </c>
      <c r="C95" s="10" t="s">
        <v>878</v>
      </c>
      <c r="D95" s="6"/>
      <c r="E95" s="39" t="s">
        <v>2460</v>
      </c>
      <c r="F95" s="36"/>
      <c r="G95" s="10" t="s">
        <v>878</v>
      </c>
      <c r="H95" s="4" t="str">
        <f t="shared" si="5"/>
        <v>LS-V50-1</v>
      </c>
      <c r="I95" s="37">
        <v>1</v>
      </c>
      <c r="J95" s="12">
        <v>1</v>
      </c>
      <c r="K95" s="12"/>
      <c r="L95" s="12"/>
    </row>
    <row r="96" spans="1:12" s="18" customFormat="1" outlineLevel="2">
      <c r="A96" s="13"/>
      <c r="B96" s="7" t="s">
        <v>19</v>
      </c>
      <c r="C96" s="10" t="s">
        <v>878</v>
      </c>
      <c r="D96" s="6"/>
      <c r="E96" s="39" t="s">
        <v>2555</v>
      </c>
      <c r="F96" s="36"/>
      <c r="G96" s="10" t="s">
        <v>878</v>
      </c>
      <c r="H96" s="4" t="str">
        <f t="shared" si="5"/>
        <v>LS-V50-1</v>
      </c>
      <c r="I96" s="37">
        <v>1</v>
      </c>
      <c r="J96" s="12">
        <v>1</v>
      </c>
      <c r="K96" s="12"/>
      <c r="L96" s="12"/>
    </row>
    <row r="97" spans="1:12" s="18" customFormat="1" outlineLevel="2">
      <c r="A97" s="13"/>
      <c r="B97" s="7" t="s">
        <v>19</v>
      </c>
      <c r="C97" s="10" t="s">
        <v>878</v>
      </c>
      <c r="D97" s="6"/>
      <c r="E97" s="39" t="s">
        <v>2463</v>
      </c>
      <c r="F97" s="36"/>
      <c r="G97" s="10" t="s">
        <v>878</v>
      </c>
      <c r="H97" s="4" t="str">
        <f t="shared" si="5"/>
        <v>LS-V50-1</v>
      </c>
      <c r="I97" s="37">
        <v>1</v>
      </c>
      <c r="J97" s="12">
        <v>1</v>
      </c>
      <c r="K97" s="12"/>
      <c r="L97" s="12"/>
    </row>
    <row r="98" spans="1:12" ht="3" customHeight="1" outlineLevel="1">
      <c r="A98" s="9"/>
      <c r="B98" s="7"/>
      <c r="C98" s="10"/>
      <c r="D98" s="6"/>
      <c r="E98" s="39"/>
      <c r="F98" s="36"/>
      <c r="G98" s="7"/>
      <c r="H98" s="4"/>
      <c r="I98" s="37"/>
      <c r="J98" s="11"/>
      <c r="K98" s="12"/>
      <c r="L98" s="12"/>
    </row>
    <row r="99" spans="1:12" s="18" customFormat="1" outlineLevel="1">
      <c r="A99" s="6"/>
      <c r="B99" s="6" t="s">
        <v>2178</v>
      </c>
      <c r="C99" s="7"/>
      <c r="D99" s="6"/>
      <c r="E99" s="39"/>
      <c r="F99" s="8"/>
      <c r="G99" s="8"/>
      <c r="H99" s="8"/>
      <c r="I99" s="35"/>
      <c r="J99" s="3"/>
      <c r="K99" s="3"/>
      <c r="L99" s="3"/>
    </row>
    <row r="100" spans="1:12" s="18" customFormat="1" outlineLevel="2">
      <c r="A100" s="13"/>
      <c r="B100" s="7" t="s">
        <v>19</v>
      </c>
      <c r="C100" s="10" t="s">
        <v>1000</v>
      </c>
      <c r="D100" s="6"/>
      <c r="E100" s="39" t="s">
        <v>2730</v>
      </c>
      <c r="F100" s="36"/>
      <c r="G100" s="10" t="s">
        <v>1000</v>
      </c>
      <c r="H100" s="4" t="str">
        <f t="shared" ref="H100:H107" si="6">CONCATENATE("LS-",G100,"-",I100)</f>
        <v>LS-L30-1</v>
      </c>
      <c r="I100" s="37">
        <v>1</v>
      </c>
      <c r="J100" s="12">
        <v>1</v>
      </c>
      <c r="K100" s="12"/>
      <c r="L100" s="12"/>
    </row>
    <row r="101" spans="1:12" s="18" customFormat="1" outlineLevel="2">
      <c r="A101" s="13"/>
      <c r="B101" s="7" t="s">
        <v>19</v>
      </c>
      <c r="C101" s="10" t="s">
        <v>1000</v>
      </c>
      <c r="D101" s="6"/>
      <c r="E101" s="39" t="s">
        <v>2456</v>
      </c>
      <c r="F101" s="36"/>
      <c r="G101" s="10" t="s">
        <v>1000</v>
      </c>
      <c r="H101" s="4" t="str">
        <f t="shared" si="6"/>
        <v>LS-L30-1</v>
      </c>
      <c r="I101" s="37">
        <v>1</v>
      </c>
      <c r="J101" s="12">
        <v>1</v>
      </c>
      <c r="K101" s="12"/>
      <c r="L101" s="12"/>
    </row>
    <row r="102" spans="1:12" s="18" customFormat="1" outlineLevel="2">
      <c r="A102" s="13"/>
      <c r="B102" s="7" t="s">
        <v>19</v>
      </c>
      <c r="C102" s="10" t="s">
        <v>1000</v>
      </c>
      <c r="D102" s="6"/>
      <c r="E102" s="39" t="s">
        <v>2457</v>
      </c>
      <c r="F102" s="36"/>
      <c r="G102" s="10" t="s">
        <v>1000</v>
      </c>
      <c r="H102" s="4" t="str">
        <f t="shared" si="6"/>
        <v>LS-L30-1</v>
      </c>
      <c r="I102" s="37">
        <v>1</v>
      </c>
      <c r="J102" s="12">
        <v>1</v>
      </c>
      <c r="K102" s="12"/>
      <c r="L102" s="12"/>
    </row>
    <row r="103" spans="1:12" s="18" customFormat="1" outlineLevel="2">
      <c r="A103" s="13"/>
      <c r="B103" s="7" t="s">
        <v>19</v>
      </c>
      <c r="C103" s="10" t="s">
        <v>1000</v>
      </c>
      <c r="D103" s="6"/>
      <c r="E103" s="39" t="s">
        <v>2731</v>
      </c>
      <c r="F103" s="36"/>
      <c r="G103" s="10" t="s">
        <v>1000</v>
      </c>
      <c r="H103" s="4" t="str">
        <f t="shared" si="6"/>
        <v>LS-L30-1</v>
      </c>
      <c r="I103" s="37">
        <v>1</v>
      </c>
      <c r="J103" s="12">
        <v>1</v>
      </c>
      <c r="K103" s="12"/>
      <c r="L103" s="12"/>
    </row>
    <row r="104" spans="1:12" s="18" customFormat="1" outlineLevel="2">
      <c r="A104" s="13"/>
      <c r="B104" s="7" t="s">
        <v>19</v>
      </c>
      <c r="C104" s="10" t="s">
        <v>1000</v>
      </c>
      <c r="D104" s="6"/>
      <c r="E104" s="39" t="s">
        <v>2732</v>
      </c>
      <c r="F104" s="36"/>
      <c r="G104" s="10" t="s">
        <v>1000</v>
      </c>
      <c r="H104" s="4" t="str">
        <f t="shared" si="6"/>
        <v>LS-L30-1</v>
      </c>
      <c r="I104" s="37">
        <v>1</v>
      </c>
      <c r="J104" s="12">
        <v>1</v>
      </c>
      <c r="K104" s="12"/>
      <c r="L104" s="12"/>
    </row>
    <row r="105" spans="1:12" s="18" customFormat="1" outlineLevel="2">
      <c r="A105" s="13"/>
      <c r="B105" s="7" t="s">
        <v>19</v>
      </c>
      <c r="C105" s="10" t="s">
        <v>1000</v>
      </c>
      <c r="D105" s="6"/>
      <c r="E105" s="39" t="s">
        <v>2462</v>
      </c>
      <c r="F105" s="36"/>
      <c r="G105" s="10" t="s">
        <v>1000</v>
      </c>
      <c r="H105" s="4" t="str">
        <f t="shared" si="6"/>
        <v>LS-L30-1</v>
      </c>
      <c r="I105" s="37">
        <v>1</v>
      </c>
      <c r="J105" s="12">
        <v>1</v>
      </c>
      <c r="K105" s="12"/>
      <c r="L105" s="12"/>
    </row>
    <row r="106" spans="1:12" s="18" customFormat="1" outlineLevel="2">
      <c r="A106" s="13"/>
      <c r="B106" s="7" t="s">
        <v>19</v>
      </c>
      <c r="C106" s="10" t="s">
        <v>1000</v>
      </c>
      <c r="D106" s="6"/>
      <c r="E106" s="39" t="s">
        <v>2459</v>
      </c>
      <c r="F106" s="36"/>
      <c r="G106" s="10" t="s">
        <v>1000</v>
      </c>
      <c r="H106" s="4" t="str">
        <f t="shared" si="6"/>
        <v>LS-L30-1</v>
      </c>
      <c r="I106" s="37">
        <v>1</v>
      </c>
      <c r="J106" s="12">
        <v>1</v>
      </c>
      <c r="K106" s="12"/>
      <c r="L106" s="12"/>
    </row>
    <row r="107" spans="1:12" s="18" customFormat="1" outlineLevel="2">
      <c r="A107" s="13"/>
      <c r="B107" s="7" t="s">
        <v>19</v>
      </c>
      <c r="C107" s="10" t="s">
        <v>1000</v>
      </c>
      <c r="D107" s="6"/>
      <c r="E107" s="39" t="s">
        <v>2460</v>
      </c>
      <c r="F107" s="36"/>
      <c r="G107" s="10" t="s">
        <v>1000</v>
      </c>
      <c r="H107" s="4" t="str">
        <f t="shared" si="6"/>
        <v>LS-L30-1</v>
      </c>
      <c r="I107" s="37">
        <v>1</v>
      </c>
      <c r="J107" s="12">
        <v>1</v>
      </c>
      <c r="K107" s="12"/>
      <c r="L107" s="12"/>
    </row>
    <row r="108" spans="1:12" ht="3" customHeight="1" outlineLevel="1">
      <c r="A108" s="9"/>
      <c r="B108" s="7"/>
      <c r="C108" s="10"/>
      <c r="D108" s="6"/>
      <c r="E108" s="39"/>
      <c r="F108" s="36"/>
      <c r="G108" s="7"/>
      <c r="H108" s="4"/>
      <c r="I108" s="37"/>
      <c r="J108" s="11"/>
      <c r="K108" s="12"/>
      <c r="L108" s="12"/>
    </row>
    <row r="109" spans="1:12" s="18" customFormat="1" outlineLevel="1">
      <c r="A109" s="6"/>
      <c r="B109" s="6" t="s">
        <v>2146</v>
      </c>
      <c r="C109" s="7"/>
      <c r="D109" s="6"/>
      <c r="E109" s="39"/>
      <c r="F109" s="8"/>
      <c r="G109" s="8"/>
      <c r="H109" s="8"/>
      <c r="I109" s="35"/>
      <c r="J109" s="3"/>
      <c r="K109" s="3"/>
      <c r="L109" s="3"/>
    </row>
    <row r="110" spans="1:12" s="18" customFormat="1" outlineLevel="2">
      <c r="A110" s="13"/>
      <c r="B110" s="7" t="s">
        <v>19</v>
      </c>
      <c r="C110" s="10" t="s">
        <v>935</v>
      </c>
      <c r="D110" s="6"/>
      <c r="E110" s="39" t="s">
        <v>2730</v>
      </c>
      <c r="F110" s="36"/>
      <c r="G110" s="10" t="s">
        <v>935</v>
      </c>
      <c r="H110" s="4" t="str">
        <f t="shared" ref="H110:H117" si="7">CONCATENATE("LS-",G110,"-",I110)</f>
        <v>LS-V40-1</v>
      </c>
      <c r="I110" s="37">
        <v>1</v>
      </c>
      <c r="J110" s="12"/>
      <c r="K110" s="12"/>
      <c r="L110" s="12">
        <v>1</v>
      </c>
    </row>
    <row r="111" spans="1:12" s="18" customFormat="1" outlineLevel="2">
      <c r="A111" s="13"/>
      <c r="B111" s="7" t="s">
        <v>19</v>
      </c>
      <c r="C111" s="10" t="s">
        <v>935</v>
      </c>
      <c r="D111" s="6"/>
      <c r="E111" s="39" t="s">
        <v>2456</v>
      </c>
      <c r="F111" s="36"/>
      <c r="G111" s="10" t="s">
        <v>935</v>
      </c>
      <c r="H111" s="4" t="str">
        <f t="shared" si="7"/>
        <v>LS-V40-1</v>
      </c>
      <c r="I111" s="37">
        <v>1</v>
      </c>
      <c r="J111" s="12"/>
      <c r="K111" s="12"/>
      <c r="L111" s="12">
        <v>1</v>
      </c>
    </row>
    <row r="112" spans="1:12" s="18" customFormat="1" outlineLevel="2">
      <c r="A112" s="13"/>
      <c r="B112" s="7" t="s">
        <v>19</v>
      </c>
      <c r="C112" s="10" t="s">
        <v>935</v>
      </c>
      <c r="D112" s="6"/>
      <c r="E112" s="39" t="s">
        <v>2457</v>
      </c>
      <c r="F112" s="36"/>
      <c r="G112" s="10" t="s">
        <v>935</v>
      </c>
      <c r="H112" s="4" t="str">
        <f t="shared" si="7"/>
        <v>LS-V40-1</v>
      </c>
      <c r="I112" s="37">
        <v>1</v>
      </c>
      <c r="J112" s="12"/>
      <c r="K112" s="12"/>
      <c r="L112" s="12">
        <v>1</v>
      </c>
    </row>
    <row r="113" spans="2:12" s="18" customFormat="1" outlineLevel="2">
      <c r="B113" s="7" t="s">
        <v>19</v>
      </c>
      <c r="C113" s="10" t="s">
        <v>935</v>
      </c>
      <c r="D113" s="6"/>
      <c r="E113" s="39" t="s">
        <v>2731</v>
      </c>
      <c r="F113" s="36"/>
      <c r="G113" s="10" t="s">
        <v>935</v>
      </c>
      <c r="H113" s="4" t="str">
        <f t="shared" si="7"/>
        <v>LS-V40-1</v>
      </c>
      <c r="I113" s="37">
        <v>1</v>
      </c>
      <c r="J113" s="12"/>
      <c r="K113" s="12"/>
      <c r="L113" s="12">
        <v>1</v>
      </c>
    </row>
    <row r="114" spans="2:12" s="18" customFormat="1" outlineLevel="2">
      <c r="B114" s="7" t="s">
        <v>19</v>
      </c>
      <c r="C114" s="10" t="s">
        <v>935</v>
      </c>
      <c r="D114" s="6"/>
      <c r="E114" s="39" t="s">
        <v>2732</v>
      </c>
      <c r="F114" s="36"/>
      <c r="G114" s="10" t="s">
        <v>935</v>
      </c>
      <c r="H114" s="4" t="str">
        <f t="shared" si="7"/>
        <v>LS-V40-1</v>
      </c>
      <c r="I114" s="37">
        <v>1</v>
      </c>
      <c r="J114" s="12"/>
      <c r="K114" s="12"/>
      <c r="L114" s="12">
        <v>1</v>
      </c>
    </row>
    <row r="115" spans="2:12" s="18" customFormat="1" outlineLevel="2">
      <c r="B115" s="7" t="s">
        <v>19</v>
      </c>
      <c r="C115" s="10" t="s">
        <v>935</v>
      </c>
      <c r="D115" s="6"/>
      <c r="E115" s="39" t="s">
        <v>2462</v>
      </c>
      <c r="F115" s="36"/>
      <c r="G115" s="10" t="s">
        <v>935</v>
      </c>
      <c r="H115" s="4" t="str">
        <f t="shared" si="7"/>
        <v>LS-V40-1</v>
      </c>
      <c r="I115" s="37">
        <v>1</v>
      </c>
      <c r="J115" s="12"/>
      <c r="K115" s="12"/>
      <c r="L115" s="12">
        <v>1</v>
      </c>
    </row>
    <row r="116" spans="2:12" s="18" customFormat="1" outlineLevel="2">
      <c r="B116" s="7" t="s">
        <v>19</v>
      </c>
      <c r="C116" s="10" t="s">
        <v>935</v>
      </c>
      <c r="D116" s="6"/>
      <c r="E116" s="39" t="s">
        <v>2459</v>
      </c>
      <c r="F116" s="36"/>
      <c r="G116" s="10" t="s">
        <v>935</v>
      </c>
      <c r="H116" s="4" t="str">
        <f t="shared" si="7"/>
        <v>LS-V40-1</v>
      </c>
      <c r="I116" s="37">
        <v>1</v>
      </c>
      <c r="J116" s="12"/>
      <c r="K116" s="12"/>
      <c r="L116" s="12">
        <v>1</v>
      </c>
    </row>
    <row r="117" spans="2:12" s="18" customFormat="1" outlineLevel="2">
      <c r="B117" s="7" t="s">
        <v>19</v>
      </c>
      <c r="C117" s="10" t="s">
        <v>935</v>
      </c>
      <c r="D117" s="6"/>
      <c r="E117" s="39" t="s">
        <v>2460</v>
      </c>
      <c r="F117" s="36"/>
      <c r="G117" s="10" t="s">
        <v>935</v>
      </c>
      <c r="H117" s="4" t="str">
        <f t="shared" si="7"/>
        <v>LS-V40-1</v>
      </c>
      <c r="I117" s="37">
        <v>1</v>
      </c>
      <c r="J117" s="12"/>
      <c r="K117" s="12"/>
      <c r="L117" s="12">
        <v>1</v>
      </c>
    </row>
    <row r="118" spans="2:12" ht="3" customHeight="1" outlineLevel="1">
      <c r="B118" s="7"/>
      <c r="C118" s="10"/>
      <c r="D118" s="6"/>
      <c r="E118" s="39"/>
      <c r="F118" s="36"/>
      <c r="G118" s="7"/>
      <c r="H118" s="4"/>
      <c r="I118" s="37"/>
      <c r="J118" s="11"/>
      <c r="K118" s="12"/>
      <c r="L118" s="12"/>
    </row>
    <row r="119" spans="2:12" s="18" customFormat="1" outlineLevel="1">
      <c r="B119" s="6" t="s">
        <v>2156</v>
      </c>
      <c r="C119" s="7"/>
      <c r="D119" s="6"/>
      <c r="E119" s="39"/>
      <c r="F119" s="8"/>
      <c r="G119" s="8"/>
      <c r="H119" s="8"/>
      <c r="I119" s="35"/>
      <c r="J119" s="3"/>
      <c r="K119" s="3"/>
      <c r="L119" s="3"/>
    </row>
    <row r="120" spans="2:12" s="18" customFormat="1" outlineLevel="2">
      <c r="B120" s="7" t="s">
        <v>19</v>
      </c>
      <c r="C120" s="10" t="s">
        <v>943</v>
      </c>
      <c r="D120" s="6"/>
      <c r="E120" s="39" t="s">
        <v>2730</v>
      </c>
      <c r="F120" s="36"/>
      <c r="G120" s="10" t="s">
        <v>943</v>
      </c>
      <c r="H120" s="4" t="str">
        <f t="shared" ref="H120:H126" si="8">CONCATENATE("LS-",G120,"-",I120)</f>
        <v>LS-C20-1</v>
      </c>
      <c r="I120" s="37">
        <v>1</v>
      </c>
      <c r="J120" s="12">
        <v>1</v>
      </c>
      <c r="K120" s="12"/>
      <c r="L120" s="12"/>
    </row>
    <row r="121" spans="2:12" s="18" customFormat="1" outlineLevel="2">
      <c r="B121" s="7" t="s">
        <v>19</v>
      </c>
      <c r="C121" s="10" t="s">
        <v>943</v>
      </c>
      <c r="D121" s="6"/>
      <c r="E121" s="39" t="s">
        <v>2456</v>
      </c>
      <c r="F121" s="36"/>
      <c r="G121" s="10" t="s">
        <v>943</v>
      </c>
      <c r="H121" s="4" t="str">
        <f t="shared" si="8"/>
        <v>LS-C20-1</v>
      </c>
      <c r="I121" s="37">
        <v>1</v>
      </c>
      <c r="J121" s="12">
        <v>1</v>
      </c>
      <c r="K121" s="12"/>
      <c r="L121" s="12"/>
    </row>
    <row r="122" spans="2:12" s="18" customFormat="1" outlineLevel="2">
      <c r="B122" s="7" t="s">
        <v>19</v>
      </c>
      <c r="C122" s="10" t="s">
        <v>943</v>
      </c>
      <c r="D122" s="6"/>
      <c r="E122" s="39" t="s">
        <v>2457</v>
      </c>
      <c r="F122" s="36"/>
      <c r="G122" s="10" t="s">
        <v>943</v>
      </c>
      <c r="H122" s="4" t="str">
        <f t="shared" si="8"/>
        <v>LS-C20-1</v>
      </c>
      <c r="I122" s="37">
        <v>1</v>
      </c>
      <c r="J122" s="12">
        <v>1</v>
      </c>
      <c r="K122" s="12"/>
      <c r="L122" s="12"/>
    </row>
    <row r="123" spans="2:12" s="18" customFormat="1" outlineLevel="2">
      <c r="B123" s="7" t="s">
        <v>19</v>
      </c>
      <c r="C123" s="10" t="s">
        <v>943</v>
      </c>
      <c r="D123" s="6"/>
      <c r="E123" s="39" t="s">
        <v>2731</v>
      </c>
      <c r="F123" s="36"/>
      <c r="G123" s="10" t="s">
        <v>943</v>
      </c>
      <c r="H123" s="4" t="str">
        <f t="shared" si="8"/>
        <v>LS-C20-1</v>
      </c>
      <c r="I123" s="37">
        <v>1</v>
      </c>
      <c r="J123" s="12">
        <v>1</v>
      </c>
      <c r="K123" s="12"/>
      <c r="L123" s="12"/>
    </row>
    <row r="124" spans="2:12" s="18" customFormat="1" outlineLevel="2">
      <c r="B124" s="7" t="s">
        <v>19</v>
      </c>
      <c r="C124" s="10" t="s">
        <v>943</v>
      </c>
      <c r="D124" s="6"/>
      <c r="E124" s="39" t="s">
        <v>2732</v>
      </c>
      <c r="F124" s="36"/>
      <c r="G124" s="10" t="s">
        <v>943</v>
      </c>
      <c r="H124" s="4" t="str">
        <f t="shared" si="8"/>
        <v>LS-C20-1</v>
      </c>
      <c r="I124" s="37">
        <v>1</v>
      </c>
      <c r="J124" s="12">
        <v>1</v>
      </c>
      <c r="K124" s="12"/>
      <c r="L124" s="12"/>
    </row>
    <row r="125" spans="2:12" s="18" customFormat="1" outlineLevel="2">
      <c r="B125" s="7" t="s">
        <v>19</v>
      </c>
      <c r="C125" s="10" t="s">
        <v>943</v>
      </c>
      <c r="D125" s="6"/>
      <c r="E125" s="39" t="s">
        <v>2459</v>
      </c>
      <c r="F125" s="36"/>
      <c r="G125" s="10" t="s">
        <v>943</v>
      </c>
      <c r="H125" s="4" t="str">
        <f t="shared" si="8"/>
        <v>LS-C20-1</v>
      </c>
      <c r="I125" s="37">
        <v>1</v>
      </c>
      <c r="J125" s="12">
        <v>1</v>
      </c>
      <c r="K125" s="12"/>
      <c r="L125" s="12"/>
    </row>
    <row r="126" spans="2:12" s="18" customFormat="1" outlineLevel="2">
      <c r="B126" s="7" t="s">
        <v>19</v>
      </c>
      <c r="C126" s="10" t="s">
        <v>943</v>
      </c>
      <c r="D126" s="6"/>
      <c r="E126" s="39" t="s">
        <v>2460</v>
      </c>
      <c r="F126" s="36"/>
      <c r="G126" s="10" t="s">
        <v>943</v>
      </c>
      <c r="H126" s="4" t="str">
        <f t="shared" si="8"/>
        <v>LS-C20-1</v>
      </c>
      <c r="I126" s="37">
        <v>1</v>
      </c>
      <c r="J126" s="12">
        <v>1</v>
      </c>
      <c r="K126" s="12"/>
      <c r="L126" s="12"/>
    </row>
    <row r="127" spans="2:12" ht="3" customHeight="1" outlineLevel="1">
      <c r="B127" s="7"/>
      <c r="C127" s="10"/>
      <c r="D127" s="6"/>
      <c r="E127" s="39"/>
      <c r="F127" s="36"/>
      <c r="G127" s="7"/>
      <c r="H127" s="4"/>
      <c r="I127" s="37"/>
      <c r="J127" s="11"/>
      <c r="K127" s="12"/>
      <c r="L127" s="12"/>
    </row>
    <row r="128" spans="2:12" s="18" customFormat="1" outlineLevel="1">
      <c r="B128" s="6" t="s">
        <v>2203</v>
      </c>
      <c r="C128" s="7"/>
      <c r="D128" s="6"/>
      <c r="E128" s="39"/>
      <c r="F128" s="8"/>
      <c r="G128" s="8"/>
      <c r="H128" s="8"/>
      <c r="I128" s="35"/>
      <c r="J128" s="3"/>
      <c r="K128" s="3"/>
      <c r="L128" s="3"/>
    </row>
    <row r="129" spans="1:12" s="18" customFormat="1" outlineLevel="2">
      <c r="A129" s="13"/>
      <c r="B129" s="7" t="s">
        <v>19</v>
      </c>
      <c r="C129" s="10" t="s">
        <v>1013</v>
      </c>
      <c r="D129" s="6"/>
      <c r="E129" s="39" t="s">
        <v>2730</v>
      </c>
      <c r="F129" s="36"/>
      <c r="G129" s="10" t="s">
        <v>1013</v>
      </c>
      <c r="H129" s="4" t="str">
        <f t="shared" ref="H129:H136" si="9">CONCATENATE("LS-",G129,"-",I129)</f>
        <v>LS-L45-1</v>
      </c>
      <c r="I129" s="37">
        <v>1</v>
      </c>
      <c r="J129" s="12"/>
      <c r="K129" s="12"/>
      <c r="L129" s="12">
        <v>1</v>
      </c>
    </row>
    <row r="130" spans="1:12" s="18" customFormat="1" outlineLevel="2">
      <c r="A130" s="13"/>
      <c r="B130" s="7" t="s">
        <v>19</v>
      </c>
      <c r="C130" s="10" t="s">
        <v>1013</v>
      </c>
      <c r="D130" s="6"/>
      <c r="E130" s="39" t="s">
        <v>2456</v>
      </c>
      <c r="F130" s="36"/>
      <c r="G130" s="10" t="s">
        <v>1013</v>
      </c>
      <c r="H130" s="4" t="str">
        <f t="shared" si="9"/>
        <v>LS-L45-1</v>
      </c>
      <c r="I130" s="37">
        <v>1</v>
      </c>
      <c r="J130" s="12"/>
      <c r="K130" s="12"/>
      <c r="L130" s="12">
        <v>1</v>
      </c>
    </row>
    <row r="131" spans="1:12" s="18" customFormat="1" outlineLevel="2">
      <c r="A131" s="13"/>
      <c r="B131" s="7" t="s">
        <v>19</v>
      </c>
      <c r="C131" s="10" t="s">
        <v>1013</v>
      </c>
      <c r="D131" s="6"/>
      <c r="E131" s="39" t="s">
        <v>2457</v>
      </c>
      <c r="F131" s="36"/>
      <c r="G131" s="10" t="s">
        <v>1013</v>
      </c>
      <c r="H131" s="4" t="str">
        <f t="shared" si="9"/>
        <v>LS-L45-1</v>
      </c>
      <c r="I131" s="37">
        <v>1</v>
      </c>
      <c r="J131" s="12"/>
      <c r="K131" s="12"/>
      <c r="L131" s="12">
        <v>1</v>
      </c>
    </row>
    <row r="132" spans="1:12" s="18" customFormat="1" outlineLevel="2">
      <c r="A132" s="13"/>
      <c r="B132" s="7" t="s">
        <v>19</v>
      </c>
      <c r="C132" s="10" t="s">
        <v>1013</v>
      </c>
      <c r="D132" s="6"/>
      <c r="E132" s="39" t="s">
        <v>2731</v>
      </c>
      <c r="F132" s="36"/>
      <c r="G132" s="10" t="s">
        <v>1013</v>
      </c>
      <c r="H132" s="4" t="str">
        <f t="shared" si="9"/>
        <v>LS-L45-1</v>
      </c>
      <c r="I132" s="37">
        <v>1</v>
      </c>
      <c r="J132" s="12"/>
      <c r="K132" s="12"/>
      <c r="L132" s="12">
        <v>1</v>
      </c>
    </row>
    <row r="133" spans="1:12" s="18" customFormat="1" outlineLevel="2">
      <c r="A133" s="13"/>
      <c r="B133" s="7" t="s">
        <v>19</v>
      </c>
      <c r="C133" s="10" t="s">
        <v>1013</v>
      </c>
      <c r="D133" s="6"/>
      <c r="E133" s="39" t="s">
        <v>2732</v>
      </c>
      <c r="F133" s="36"/>
      <c r="G133" s="10" t="s">
        <v>1013</v>
      </c>
      <c r="H133" s="4" t="str">
        <f t="shared" si="9"/>
        <v>LS-L45-1</v>
      </c>
      <c r="I133" s="37">
        <v>1</v>
      </c>
      <c r="J133" s="12"/>
      <c r="K133" s="12"/>
      <c r="L133" s="12">
        <v>1</v>
      </c>
    </row>
    <row r="134" spans="1:12" s="18" customFormat="1" outlineLevel="2">
      <c r="A134" s="13"/>
      <c r="B134" s="7" t="s">
        <v>19</v>
      </c>
      <c r="C134" s="10" t="s">
        <v>1013</v>
      </c>
      <c r="D134" s="6"/>
      <c r="E134" s="39" t="s">
        <v>2462</v>
      </c>
      <c r="F134" s="36"/>
      <c r="G134" s="10" t="s">
        <v>1013</v>
      </c>
      <c r="H134" s="4" t="str">
        <f t="shared" si="9"/>
        <v>LS-L45-1</v>
      </c>
      <c r="I134" s="37">
        <v>1</v>
      </c>
      <c r="J134" s="12"/>
      <c r="K134" s="12"/>
      <c r="L134" s="12">
        <v>1</v>
      </c>
    </row>
    <row r="135" spans="1:12" s="18" customFormat="1" outlineLevel="2">
      <c r="A135" s="13"/>
      <c r="B135" s="7" t="s">
        <v>19</v>
      </c>
      <c r="C135" s="10" t="s">
        <v>1013</v>
      </c>
      <c r="D135" s="6"/>
      <c r="E135" s="39" t="s">
        <v>2459</v>
      </c>
      <c r="F135" s="36"/>
      <c r="G135" s="10" t="s">
        <v>1013</v>
      </c>
      <c r="H135" s="4" t="str">
        <f t="shared" si="9"/>
        <v>LS-L45-1</v>
      </c>
      <c r="I135" s="37">
        <v>1</v>
      </c>
      <c r="J135" s="12"/>
      <c r="K135" s="12"/>
      <c r="L135" s="12">
        <v>1</v>
      </c>
    </row>
    <row r="136" spans="1:12" s="18" customFormat="1" outlineLevel="2">
      <c r="A136" s="13"/>
      <c r="B136" s="7" t="s">
        <v>19</v>
      </c>
      <c r="C136" s="10" t="s">
        <v>1013</v>
      </c>
      <c r="D136" s="6"/>
      <c r="E136" s="39" t="s">
        <v>2460</v>
      </c>
      <c r="F136" s="36"/>
      <c r="G136" s="10" t="s">
        <v>1013</v>
      </c>
      <c r="H136" s="4" t="str">
        <f t="shared" si="9"/>
        <v>LS-L45-1</v>
      </c>
      <c r="I136" s="37">
        <v>1</v>
      </c>
      <c r="J136" s="12"/>
      <c r="K136" s="12"/>
      <c r="L136" s="12">
        <v>1</v>
      </c>
    </row>
    <row r="137" spans="1:12" ht="3" customHeight="1">
      <c r="A137" s="9"/>
      <c r="B137" s="7"/>
      <c r="C137" s="10"/>
      <c r="D137" s="6"/>
      <c r="E137" s="39"/>
      <c r="F137" s="36"/>
      <c r="G137" s="7"/>
      <c r="H137" s="4"/>
      <c r="I137" s="37"/>
      <c r="J137" s="11"/>
      <c r="K137" s="12"/>
      <c r="L137" s="12"/>
    </row>
    <row r="138" spans="1:12" s="18" customFormat="1" ht="14.25" customHeight="1">
      <c r="A138" s="21" t="s">
        <v>204</v>
      </c>
      <c r="B138" s="7"/>
      <c r="C138" s="7"/>
      <c r="D138" s="6"/>
      <c r="E138" s="39"/>
      <c r="F138" s="8"/>
      <c r="G138" s="41" t="s">
        <v>257</v>
      </c>
      <c r="H138" s="41" t="s">
        <v>258</v>
      </c>
      <c r="I138" s="42" t="s">
        <v>259</v>
      </c>
      <c r="J138" s="3"/>
      <c r="K138" s="3"/>
      <c r="L138" s="3"/>
    </row>
    <row r="139" spans="1:12" s="18" customFormat="1" ht="14.25" customHeight="1" outlineLevel="1">
      <c r="A139" s="14"/>
      <c r="B139" s="7" t="s">
        <v>19</v>
      </c>
      <c r="C139" s="7" t="s">
        <v>1750</v>
      </c>
      <c r="D139" s="15"/>
      <c r="E139" s="39" t="s">
        <v>2747</v>
      </c>
      <c r="F139" s="36"/>
      <c r="G139" s="10" t="s">
        <v>1141</v>
      </c>
      <c r="H139" s="4" t="str">
        <f t="shared" ref="H139:H151" si="10">CONCATENATE(B139,"-",G139,"-",I139)</f>
        <v>LS-SDV-1</v>
      </c>
      <c r="I139" s="37">
        <v>1</v>
      </c>
      <c r="J139" s="11"/>
      <c r="K139" s="12"/>
      <c r="L139" s="12">
        <v>1</v>
      </c>
    </row>
    <row r="140" spans="1:12" s="18" customFormat="1" ht="14.25" customHeight="1" outlineLevel="1">
      <c r="A140" s="14"/>
      <c r="B140" s="7" t="s">
        <v>19</v>
      </c>
      <c r="C140" s="7" t="s">
        <v>1750</v>
      </c>
      <c r="D140" s="15"/>
      <c r="E140" s="39" t="s">
        <v>2730</v>
      </c>
      <c r="F140" s="36"/>
      <c r="G140" s="10" t="s">
        <v>1141</v>
      </c>
      <c r="H140" s="4" t="str">
        <f t="shared" si="10"/>
        <v>LS-SDV-2</v>
      </c>
      <c r="I140" s="37">
        <v>2</v>
      </c>
      <c r="J140" s="11"/>
      <c r="K140" s="12"/>
      <c r="L140" s="12">
        <v>1</v>
      </c>
    </row>
    <row r="141" spans="1:12" s="18" customFormat="1" ht="14.25" customHeight="1" outlineLevel="1">
      <c r="A141" s="14"/>
      <c r="B141" s="7" t="s">
        <v>19</v>
      </c>
      <c r="C141" s="7" t="s">
        <v>1750</v>
      </c>
      <c r="D141" s="15"/>
      <c r="E141" s="39" t="s">
        <v>2456</v>
      </c>
      <c r="F141" s="36"/>
      <c r="G141" s="10" t="s">
        <v>1141</v>
      </c>
      <c r="H141" s="4" t="str">
        <f t="shared" si="10"/>
        <v>LS-SDV-1</v>
      </c>
      <c r="I141" s="37">
        <v>1</v>
      </c>
      <c r="J141" s="11"/>
      <c r="K141" s="12"/>
      <c r="L141" s="12">
        <v>1</v>
      </c>
    </row>
    <row r="142" spans="1:12" s="18" customFormat="1" ht="14.25" customHeight="1" outlineLevel="1">
      <c r="A142" s="14"/>
      <c r="B142" s="7" t="s">
        <v>19</v>
      </c>
      <c r="C142" s="7" t="s">
        <v>1750</v>
      </c>
      <c r="D142" s="15"/>
      <c r="E142" s="39" t="s">
        <v>2748</v>
      </c>
      <c r="F142" s="36"/>
      <c r="G142" s="10" t="s">
        <v>1141</v>
      </c>
      <c r="H142" s="4" t="str">
        <f t="shared" si="10"/>
        <v>LS-SDV-2</v>
      </c>
      <c r="I142" s="37">
        <v>2</v>
      </c>
      <c r="J142" s="11"/>
      <c r="K142" s="12"/>
      <c r="L142" s="12">
        <v>1</v>
      </c>
    </row>
    <row r="143" spans="1:12" s="18" customFormat="1" ht="14.25" customHeight="1" outlineLevel="1">
      <c r="A143" s="14"/>
      <c r="B143" s="7" t="s">
        <v>19</v>
      </c>
      <c r="C143" s="7" t="s">
        <v>1750</v>
      </c>
      <c r="D143" s="15"/>
      <c r="E143" s="39" t="s">
        <v>2457</v>
      </c>
      <c r="F143" s="36"/>
      <c r="G143" s="10" t="s">
        <v>1141</v>
      </c>
      <c r="H143" s="4" t="str">
        <f t="shared" si="10"/>
        <v>LS-SDV-2</v>
      </c>
      <c r="I143" s="37">
        <v>2</v>
      </c>
      <c r="J143" s="11"/>
      <c r="K143" s="12"/>
      <c r="L143" s="12">
        <v>1</v>
      </c>
    </row>
    <row r="144" spans="1:12" s="18" customFormat="1" outlineLevel="1">
      <c r="A144" s="14"/>
      <c r="B144" s="7" t="s">
        <v>19</v>
      </c>
      <c r="C144" s="7" t="s">
        <v>1750</v>
      </c>
      <c r="D144" s="15"/>
      <c r="E144" s="39" t="s">
        <v>2731</v>
      </c>
      <c r="F144" s="36"/>
      <c r="G144" s="10" t="s">
        <v>1141</v>
      </c>
      <c r="H144" s="4" t="str">
        <f t="shared" si="10"/>
        <v>LS-SDV-1</v>
      </c>
      <c r="I144" s="37">
        <v>1</v>
      </c>
      <c r="J144" s="11"/>
      <c r="K144" s="12"/>
      <c r="L144" s="12">
        <v>1</v>
      </c>
    </row>
    <row r="145" spans="1:12" s="18" customFormat="1" ht="14.25" customHeight="1" outlineLevel="1">
      <c r="A145" s="14"/>
      <c r="B145" s="7" t="s">
        <v>19</v>
      </c>
      <c r="C145" s="7" t="s">
        <v>1750</v>
      </c>
      <c r="D145" s="15"/>
      <c r="E145" s="39" t="s">
        <v>2732</v>
      </c>
      <c r="F145" s="36"/>
      <c r="G145" s="10" t="s">
        <v>1141</v>
      </c>
      <c r="H145" s="4" t="str">
        <f t="shared" si="10"/>
        <v>LS-SDV-1</v>
      </c>
      <c r="I145" s="37">
        <v>1</v>
      </c>
      <c r="J145" s="11"/>
      <c r="K145" s="12"/>
      <c r="L145" s="12">
        <v>1</v>
      </c>
    </row>
    <row r="146" spans="1:12" s="18" customFormat="1" ht="14.25" customHeight="1" outlineLevel="1">
      <c r="A146" s="14"/>
      <c r="B146" s="7" t="s">
        <v>19</v>
      </c>
      <c r="C146" s="7" t="s">
        <v>1750</v>
      </c>
      <c r="D146" s="15"/>
      <c r="E146" s="39" t="s">
        <v>2749</v>
      </c>
      <c r="F146" s="36"/>
      <c r="G146" s="10" t="s">
        <v>1141</v>
      </c>
      <c r="H146" s="4" t="str">
        <f t="shared" si="10"/>
        <v>LS-SDV-1</v>
      </c>
      <c r="I146" s="37">
        <v>1</v>
      </c>
      <c r="J146" s="11"/>
      <c r="K146" s="12"/>
      <c r="L146" s="12">
        <v>1</v>
      </c>
    </row>
    <row r="147" spans="1:12" s="18" customFormat="1" ht="14.25" customHeight="1" outlineLevel="1">
      <c r="A147" s="14"/>
      <c r="B147" s="7" t="s">
        <v>19</v>
      </c>
      <c r="C147" s="7" t="s">
        <v>1750</v>
      </c>
      <c r="D147" s="15"/>
      <c r="E147" s="39" t="s">
        <v>2462</v>
      </c>
      <c r="F147" s="36"/>
      <c r="G147" s="10" t="s">
        <v>1141</v>
      </c>
      <c r="H147" s="4" t="str">
        <f t="shared" si="10"/>
        <v>LS-SDV-9</v>
      </c>
      <c r="I147" s="37">
        <v>9</v>
      </c>
      <c r="J147" s="11"/>
      <c r="K147" s="12"/>
      <c r="L147" s="12">
        <v>1</v>
      </c>
    </row>
    <row r="148" spans="1:12" s="18" customFormat="1" ht="14.25" customHeight="1" outlineLevel="1">
      <c r="A148" s="14"/>
      <c r="B148" s="7" t="s">
        <v>19</v>
      </c>
      <c r="C148" s="7" t="s">
        <v>1750</v>
      </c>
      <c r="D148" s="15"/>
      <c r="E148" s="39" t="s">
        <v>2459</v>
      </c>
      <c r="F148" s="36"/>
      <c r="G148" s="10" t="s">
        <v>1141</v>
      </c>
      <c r="H148" s="4" t="str">
        <f t="shared" si="10"/>
        <v>LS-SDV-9</v>
      </c>
      <c r="I148" s="37">
        <v>9</v>
      </c>
      <c r="J148" s="11"/>
      <c r="K148" s="12"/>
      <c r="L148" s="12">
        <v>1</v>
      </c>
    </row>
    <row r="149" spans="1:12" s="18" customFormat="1" ht="14.25" customHeight="1" outlineLevel="1">
      <c r="A149" s="14"/>
      <c r="B149" s="7" t="s">
        <v>19</v>
      </c>
      <c r="C149" s="7" t="s">
        <v>1750</v>
      </c>
      <c r="D149" s="15"/>
      <c r="E149" s="39" t="s">
        <v>2460</v>
      </c>
      <c r="F149" s="36"/>
      <c r="G149" s="10" t="s">
        <v>1141</v>
      </c>
      <c r="H149" s="4" t="str">
        <f t="shared" si="10"/>
        <v>LS-SDV-2</v>
      </c>
      <c r="I149" s="37">
        <v>2</v>
      </c>
      <c r="J149" s="11"/>
      <c r="K149" s="12"/>
      <c r="L149" s="12">
        <v>1</v>
      </c>
    </row>
    <row r="150" spans="1:12" s="18" customFormat="1" ht="14.25" customHeight="1" outlineLevel="1">
      <c r="A150" s="14"/>
      <c r="B150" s="7" t="s">
        <v>19</v>
      </c>
      <c r="C150" s="7" t="s">
        <v>1750</v>
      </c>
      <c r="D150" s="15"/>
      <c r="E150" s="39" t="s">
        <v>2750</v>
      </c>
      <c r="F150" s="36"/>
      <c r="G150" s="10" t="s">
        <v>1141</v>
      </c>
      <c r="H150" s="4" t="str">
        <f t="shared" si="10"/>
        <v>LS-SDV-9</v>
      </c>
      <c r="I150" s="37">
        <v>9</v>
      </c>
      <c r="J150" s="11"/>
      <c r="K150" s="12"/>
      <c r="L150" s="12">
        <v>1</v>
      </c>
    </row>
    <row r="151" spans="1:12" s="18" customFormat="1" ht="14.25" customHeight="1" outlineLevel="1">
      <c r="A151" s="14"/>
      <c r="B151" s="7" t="s">
        <v>19</v>
      </c>
      <c r="C151" s="7" t="s">
        <v>1750</v>
      </c>
      <c r="D151" s="15"/>
      <c r="E151" s="39" t="s">
        <v>2751</v>
      </c>
      <c r="F151" s="36"/>
      <c r="G151" s="10" t="s">
        <v>1141</v>
      </c>
      <c r="H151" s="4" t="str">
        <f t="shared" si="10"/>
        <v>LS-SDV-9</v>
      </c>
      <c r="I151" s="37">
        <v>9</v>
      </c>
      <c r="J151" s="11"/>
      <c r="K151" s="12"/>
      <c r="L151" s="12">
        <v>1</v>
      </c>
    </row>
    <row r="152" spans="1:12" ht="3" customHeight="1">
      <c r="A152" s="9"/>
      <c r="B152" s="7"/>
      <c r="C152" s="10"/>
      <c r="D152" s="6"/>
      <c r="E152" s="39"/>
      <c r="F152" s="36"/>
      <c r="G152" s="7"/>
      <c r="H152" s="4"/>
      <c r="I152" s="37"/>
      <c r="J152" s="11"/>
      <c r="K152" s="12"/>
      <c r="L152" s="12"/>
    </row>
    <row r="153" spans="1:12" s="18" customFormat="1" ht="14.25" customHeight="1">
      <c r="A153" s="21" t="s">
        <v>29</v>
      </c>
      <c r="B153" s="7"/>
      <c r="C153" s="7"/>
      <c r="D153" s="6"/>
      <c r="E153" s="39"/>
      <c r="F153" s="8"/>
      <c r="G153" s="41" t="s">
        <v>257</v>
      </c>
      <c r="H153" s="41" t="s">
        <v>258</v>
      </c>
      <c r="I153" s="42" t="s">
        <v>259</v>
      </c>
      <c r="J153" s="3"/>
      <c r="K153" s="3"/>
      <c r="L153" s="3"/>
    </row>
    <row r="154" spans="1:12" s="18" customFormat="1" ht="14.25" customHeight="1" outlineLevel="1">
      <c r="A154" s="14"/>
      <c r="B154" s="7" t="s">
        <v>19</v>
      </c>
      <c r="C154" s="7" t="s">
        <v>1313</v>
      </c>
      <c r="D154" s="15"/>
      <c r="E154" s="39" t="s">
        <v>2752</v>
      </c>
      <c r="F154" s="36"/>
      <c r="G154" s="10" t="s">
        <v>1353</v>
      </c>
      <c r="H154" s="4" t="str">
        <f t="shared" ref="H154:H160" si="11">CONCATENATE(B154,"-",G154,"-",I154)</f>
        <v>LS-AMN-2</v>
      </c>
      <c r="I154" s="37">
        <v>2</v>
      </c>
      <c r="J154" s="11"/>
      <c r="K154" s="12"/>
      <c r="L154" s="12">
        <v>1</v>
      </c>
    </row>
    <row r="155" spans="1:12" s="18" customFormat="1" ht="14.25" customHeight="1" outlineLevel="1">
      <c r="A155" s="14"/>
      <c r="B155" s="7" t="s">
        <v>19</v>
      </c>
      <c r="C155" s="7" t="s">
        <v>1313</v>
      </c>
      <c r="D155" s="15"/>
      <c r="E155" s="39" t="s">
        <v>2753</v>
      </c>
      <c r="F155" s="36"/>
      <c r="G155" s="10" t="s">
        <v>1353</v>
      </c>
      <c r="H155" s="4" t="str">
        <f t="shared" si="11"/>
        <v>LS-AMN-2</v>
      </c>
      <c r="I155" s="37">
        <v>2</v>
      </c>
      <c r="J155" s="11"/>
      <c r="K155" s="12"/>
      <c r="L155" s="12">
        <v>1</v>
      </c>
    </row>
    <row r="156" spans="1:12" s="18" customFormat="1" ht="14.25" customHeight="1" outlineLevel="1">
      <c r="A156" s="14"/>
      <c r="B156" s="7" t="s">
        <v>19</v>
      </c>
      <c r="C156" s="7" t="s">
        <v>1313</v>
      </c>
      <c r="D156" s="15"/>
      <c r="E156" s="39" t="s">
        <v>2754</v>
      </c>
      <c r="F156" s="36"/>
      <c r="G156" s="10" t="s">
        <v>1353</v>
      </c>
      <c r="H156" s="4" t="str">
        <f t="shared" si="11"/>
        <v>LS-AMN-3</v>
      </c>
      <c r="I156" s="37">
        <v>3</v>
      </c>
      <c r="J156" s="11"/>
      <c r="K156" s="12"/>
      <c r="L156" s="12">
        <v>1</v>
      </c>
    </row>
    <row r="157" spans="1:12" s="18" customFormat="1" ht="14.25" customHeight="1" outlineLevel="1">
      <c r="A157" s="14"/>
      <c r="B157" s="7" t="s">
        <v>19</v>
      </c>
      <c r="C157" s="7" t="s">
        <v>1353</v>
      </c>
      <c r="D157" s="15"/>
      <c r="E157" s="39" t="s">
        <v>2755</v>
      </c>
      <c r="F157" s="36"/>
      <c r="G157" s="10" t="s">
        <v>1353</v>
      </c>
      <c r="H157" s="4" t="str">
        <f t="shared" si="11"/>
        <v>LS-AMN-4</v>
      </c>
      <c r="I157" s="37">
        <v>4</v>
      </c>
      <c r="J157" s="11"/>
      <c r="K157" s="11"/>
      <c r="L157" s="12">
        <v>1</v>
      </c>
    </row>
    <row r="158" spans="1:12" s="18" customFormat="1" ht="14.25" customHeight="1" outlineLevel="1">
      <c r="A158" s="14"/>
      <c r="B158" s="7" t="s">
        <v>19</v>
      </c>
      <c r="C158" s="7" t="s">
        <v>1353</v>
      </c>
      <c r="D158" s="15"/>
      <c r="E158" s="39" t="s">
        <v>2756</v>
      </c>
      <c r="F158" s="36"/>
      <c r="G158" s="10" t="s">
        <v>1353</v>
      </c>
      <c r="H158" s="4" t="str">
        <f t="shared" si="11"/>
        <v>LS-AMN-4</v>
      </c>
      <c r="I158" s="37">
        <v>4</v>
      </c>
      <c r="J158" s="11"/>
      <c r="K158" s="12"/>
      <c r="L158" s="12">
        <v>1</v>
      </c>
    </row>
    <row r="159" spans="1:12" s="18" customFormat="1" ht="14.25" customHeight="1" outlineLevel="1">
      <c r="A159" s="14"/>
      <c r="B159" s="7" t="s">
        <v>19</v>
      </c>
      <c r="C159" s="7" t="s">
        <v>1353</v>
      </c>
      <c r="D159" s="15"/>
      <c r="E159" s="39" t="s">
        <v>1460</v>
      </c>
      <c r="F159" s="36"/>
      <c r="G159" s="10" t="s">
        <v>1353</v>
      </c>
      <c r="H159" s="4" t="str">
        <f t="shared" si="11"/>
        <v>LS-AMN-4</v>
      </c>
      <c r="I159" s="37">
        <v>4</v>
      </c>
      <c r="J159" s="11"/>
      <c r="K159" s="12"/>
      <c r="L159" s="12">
        <v>1</v>
      </c>
    </row>
    <row r="160" spans="1:12" s="18" customFormat="1" ht="14.25" customHeight="1" outlineLevel="1">
      <c r="A160" s="14"/>
      <c r="B160" s="7" t="s">
        <v>19</v>
      </c>
      <c r="C160" s="7" t="s">
        <v>1353</v>
      </c>
      <c r="D160" s="15"/>
      <c r="E160" s="39" t="s">
        <v>1462</v>
      </c>
      <c r="F160" s="36"/>
      <c r="G160" s="10" t="s">
        <v>1353</v>
      </c>
      <c r="H160" s="4" t="str">
        <f t="shared" si="11"/>
        <v>LS-AMN-4</v>
      </c>
      <c r="I160" s="37">
        <v>4</v>
      </c>
      <c r="J160" s="11"/>
      <c r="K160" s="12"/>
      <c r="L160" s="12">
        <v>1</v>
      </c>
    </row>
  </sheetData>
  <mergeCells count="6">
    <mergeCell ref="Y2:Y4"/>
    <mergeCell ref="G2:G4"/>
    <mergeCell ref="H2:H4"/>
    <mergeCell ref="I2:I4"/>
    <mergeCell ref="J2:K2"/>
    <mergeCell ref="L2:L4"/>
  </mergeCells>
  <conditionalFormatting sqref="K161:N1048576 K63 K139:K151 K129:K136 K120:N126 K6:N8 K10:N10 K13 K26 K29 K42:N42 K45 K58:N58 K88:N97 K100:K107 K156:K160">
    <cfRule type="iconSet" priority="652">
      <iconSet iconSet="3Symbols2" showValue="0">
        <cfvo type="percent" val="0"/>
        <cfvo type="num" val="0"/>
        <cfvo type="num" val="0"/>
      </iconSet>
    </cfRule>
  </conditionalFormatting>
  <conditionalFormatting sqref="K110:K117">
    <cfRule type="iconSet" priority="651">
      <iconSet iconSet="3Symbols2" showValue="0">
        <cfvo type="percent" val="0"/>
        <cfvo type="num" val="0"/>
        <cfvo type="num" val="0"/>
      </iconSet>
    </cfRule>
  </conditionalFormatting>
  <conditionalFormatting sqref="K9:N9">
    <cfRule type="iconSet" priority="650">
      <iconSet iconSet="3Symbols2" showValue="0">
        <cfvo type="percent" val="0"/>
        <cfvo type="num" val="0"/>
        <cfvo type="num" val="0"/>
      </iconSet>
    </cfRule>
  </conditionalFormatting>
  <conditionalFormatting sqref="K12:N12">
    <cfRule type="iconSet" priority="649">
      <iconSet iconSet="3Symbols2" showValue="0">
        <cfvo type="percent" val="0"/>
        <cfvo type="num" val="0"/>
        <cfvo type="num" val="0"/>
      </iconSet>
    </cfRule>
  </conditionalFormatting>
  <conditionalFormatting sqref="K25:N25">
    <cfRule type="iconSet" priority="648">
      <iconSet iconSet="3Symbols2" showValue="0">
        <cfvo type="percent" val="0"/>
        <cfvo type="num" val="0"/>
        <cfvo type="num" val="0"/>
      </iconSet>
    </cfRule>
  </conditionalFormatting>
  <conditionalFormatting sqref="K28:N28">
    <cfRule type="iconSet" priority="647">
      <iconSet iconSet="3Symbols2" showValue="0">
        <cfvo type="percent" val="0"/>
        <cfvo type="num" val="0"/>
        <cfvo type="num" val="0"/>
      </iconSet>
    </cfRule>
  </conditionalFormatting>
  <conditionalFormatting sqref="K41:N41">
    <cfRule type="iconSet" priority="646">
      <iconSet iconSet="3Symbols2" showValue="0">
        <cfvo type="percent" val="0"/>
        <cfvo type="num" val="0"/>
        <cfvo type="num" val="0"/>
      </iconSet>
    </cfRule>
  </conditionalFormatting>
  <conditionalFormatting sqref="K44:N44">
    <cfRule type="iconSet" priority="645">
      <iconSet iconSet="3Symbols2" showValue="0">
        <cfvo type="percent" val="0"/>
        <cfvo type="num" val="0"/>
        <cfvo type="num" val="0"/>
      </iconSet>
    </cfRule>
  </conditionalFormatting>
  <conditionalFormatting sqref="K57:N57">
    <cfRule type="iconSet" priority="644">
      <iconSet iconSet="3Symbols2" showValue="0">
        <cfvo type="percent" val="0"/>
        <cfvo type="num" val="0"/>
        <cfvo type="num" val="0"/>
      </iconSet>
    </cfRule>
  </conditionalFormatting>
  <conditionalFormatting sqref="K87:N87">
    <cfRule type="iconSet" priority="643">
      <iconSet iconSet="3Symbols2" showValue="0">
        <cfvo type="percent" val="0"/>
        <cfvo type="num" val="0"/>
        <cfvo type="num" val="0"/>
      </iconSet>
    </cfRule>
  </conditionalFormatting>
  <conditionalFormatting sqref="K99:N99">
    <cfRule type="iconSet" priority="642">
      <iconSet iconSet="3Symbols2" showValue="0">
        <cfvo type="percent" val="0"/>
        <cfvo type="num" val="0"/>
        <cfvo type="num" val="0"/>
      </iconSet>
    </cfRule>
  </conditionalFormatting>
  <conditionalFormatting sqref="K109:N109">
    <cfRule type="iconSet" priority="641">
      <iconSet iconSet="3Symbols2" showValue="0">
        <cfvo type="percent" val="0"/>
        <cfvo type="num" val="0"/>
        <cfvo type="num" val="0"/>
      </iconSet>
    </cfRule>
  </conditionalFormatting>
  <conditionalFormatting sqref="K119:N119">
    <cfRule type="iconSet" priority="640">
      <iconSet iconSet="3Symbols2" showValue="0">
        <cfvo type="percent" val="0"/>
        <cfvo type="num" val="0"/>
        <cfvo type="num" val="0"/>
      </iconSet>
    </cfRule>
  </conditionalFormatting>
  <conditionalFormatting sqref="K128:N128">
    <cfRule type="iconSet" priority="639">
      <iconSet iconSet="3Symbols2" showValue="0">
        <cfvo type="percent" val="0"/>
        <cfvo type="num" val="0"/>
        <cfvo type="num" val="0"/>
      </iconSet>
    </cfRule>
  </conditionalFormatting>
  <conditionalFormatting sqref="K62:N62">
    <cfRule type="iconSet" priority="638">
      <iconSet iconSet="3Symbols2" showValue="0">
        <cfvo type="percent" val="0"/>
        <cfvo type="num" val="0"/>
        <cfvo type="num" val="0"/>
      </iconSet>
    </cfRule>
  </conditionalFormatting>
  <conditionalFormatting sqref="K138:N138">
    <cfRule type="iconSet" priority="637">
      <iconSet iconSet="3Symbols2" showValue="0">
        <cfvo type="percent" val="0"/>
        <cfvo type="num" val="0"/>
        <cfvo type="num" val="0"/>
      </iconSet>
    </cfRule>
  </conditionalFormatting>
  <conditionalFormatting sqref="K153:N153">
    <cfRule type="iconSet" priority="636">
      <iconSet iconSet="3Symbols2" showValue="0">
        <cfvo type="percent" val="0"/>
        <cfvo type="num" val="0"/>
        <cfvo type="num" val="0"/>
      </iconSet>
    </cfRule>
  </conditionalFormatting>
  <conditionalFormatting sqref="Y156:Y1048576 Y63 Y139:Y151 Y129:Y136 Y120:Y126 Y6:Y8 Y10 Y13 Y26 Y29 Y42 Y45 Y58 Y88:Y97 Y100:Y107">
    <cfRule type="iconSet" priority="635">
      <iconSet iconSet="3Symbols2" showValue="0">
        <cfvo type="percent" val="0"/>
        <cfvo type="num" val="0"/>
        <cfvo type="num" val="0"/>
      </iconSet>
    </cfRule>
  </conditionalFormatting>
  <conditionalFormatting sqref="Y110:Y117">
    <cfRule type="iconSet" priority="634">
      <iconSet iconSet="3Symbols2" showValue="0">
        <cfvo type="percent" val="0"/>
        <cfvo type="num" val="0"/>
        <cfvo type="num" val="0"/>
      </iconSet>
    </cfRule>
  </conditionalFormatting>
  <conditionalFormatting sqref="Y9">
    <cfRule type="iconSet" priority="633">
      <iconSet iconSet="3Symbols2" showValue="0">
        <cfvo type="percent" val="0"/>
        <cfvo type="num" val="0"/>
        <cfvo type="num" val="0"/>
      </iconSet>
    </cfRule>
  </conditionalFormatting>
  <conditionalFormatting sqref="Y12">
    <cfRule type="iconSet" priority="632">
      <iconSet iconSet="3Symbols2" showValue="0">
        <cfvo type="percent" val="0"/>
        <cfvo type="num" val="0"/>
        <cfvo type="num" val="0"/>
      </iconSet>
    </cfRule>
  </conditionalFormatting>
  <conditionalFormatting sqref="Y25">
    <cfRule type="iconSet" priority="631">
      <iconSet iconSet="3Symbols2" showValue="0">
        <cfvo type="percent" val="0"/>
        <cfvo type="num" val="0"/>
        <cfvo type="num" val="0"/>
      </iconSet>
    </cfRule>
  </conditionalFormatting>
  <conditionalFormatting sqref="Y28">
    <cfRule type="iconSet" priority="630">
      <iconSet iconSet="3Symbols2" showValue="0">
        <cfvo type="percent" val="0"/>
        <cfvo type="num" val="0"/>
        <cfvo type="num" val="0"/>
      </iconSet>
    </cfRule>
  </conditionalFormatting>
  <conditionalFormatting sqref="Y41">
    <cfRule type="iconSet" priority="629">
      <iconSet iconSet="3Symbols2" showValue="0">
        <cfvo type="percent" val="0"/>
        <cfvo type="num" val="0"/>
        <cfvo type="num" val="0"/>
      </iconSet>
    </cfRule>
  </conditionalFormatting>
  <conditionalFormatting sqref="Y44">
    <cfRule type="iconSet" priority="628">
      <iconSet iconSet="3Symbols2" showValue="0">
        <cfvo type="percent" val="0"/>
        <cfvo type="num" val="0"/>
        <cfvo type="num" val="0"/>
      </iconSet>
    </cfRule>
  </conditionalFormatting>
  <conditionalFormatting sqref="Y57">
    <cfRule type="iconSet" priority="627">
      <iconSet iconSet="3Symbols2" showValue="0">
        <cfvo type="percent" val="0"/>
        <cfvo type="num" val="0"/>
        <cfvo type="num" val="0"/>
      </iconSet>
    </cfRule>
  </conditionalFormatting>
  <conditionalFormatting sqref="Y87">
    <cfRule type="iconSet" priority="626">
      <iconSet iconSet="3Symbols2" showValue="0">
        <cfvo type="percent" val="0"/>
        <cfvo type="num" val="0"/>
        <cfvo type="num" val="0"/>
      </iconSet>
    </cfRule>
  </conditionalFormatting>
  <conditionalFormatting sqref="Y99">
    <cfRule type="iconSet" priority="625">
      <iconSet iconSet="3Symbols2" showValue="0">
        <cfvo type="percent" val="0"/>
        <cfvo type="num" val="0"/>
        <cfvo type="num" val="0"/>
      </iconSet>
    </cfRule>
  </conditionalFormatting>
  <conditionalFormatting sqref="Y109">
    <cfRule type="iconSet" priority="624">
      <iconSet iconSet="3Symbols2" showValue="0">
        <cfvo type="percent" val="0"/>
        <cfvo type="num" val="0"/>
        <cfvo type="num" val="0"/>
      </iconSet>
    </cfRule>
  </conditionalFormatting>
  <conditionalFormatting sqref="Y119">
    <cfRule type="iconSet" priority="623">
      <iconSet iconSet="3Symbols2" showValue="0">
        <cfvo type="percent" val="0"/>
        <cfvo type="num" val="0"/>
        <cfvo type="num" val="0"/>
      </iconSet>
    </cfRule>
  </conditionalFormatting>
  <conditionalFormatting sqref="Y128">
    <cfRule type="iconSet" priority="622">
      <iconSet iconSet="3Symbols2" showValue="0">
        <cfvo type="percent" val="0"/>
        <cfvo type="num" val="0"/>
        <cfvo type="num" val="0"/>
      </iconSet>
    </cfRule>
  </conditionalFormatting>
  <conditionalFormatting sqref="Y62">
    <cfRule type="iconSet" priority="621">
      <iconSet iconSet="3Symbols2" showValue="0">
        <cfvo type="percent" val="0"/>
        <cfvo type="num" val="0"/>
        <cfvo type="num" val="0"/>
      </iconSet>
    </cfRule>
  </conditionalFormatting>
  <conditionalFormatting sqref="Y138">
    <cfRule type="iconSet" priority="620">
      <iconSet iconSet="3Symbols2" showValue="0">
        <cfvo type="percent" val="0"/>
        <cfvo type="num" val="0"/>
        <cfvo type="num" val="0"/>
      </iconSet>
    </cfRule>
  </conditionalFormatting>
  <conditionalFormatting sqref="Y153">
    <cfRule type="iconSet" priority="619">
      <iconSet iconSet="3Symbols2" showValue="0">
        <cfvo type="percent" val="0"/>
        <cfvo type="num" val="0"/>
        <cfvo type="num" val="0"/>
      </iconSet>
    </cfRule>
  </conditionalFormatting>
  <conditionalFormatting sqref="K86:N86">
    <cfRule type="iconSet" priority="618">
      <iconSet iconSet="3Symbols2" showValue="0">
        <cfvo type="percent" val="0"/>
        <cfvo type="num" val="0"/>
        <cfvo type="num" val="0"/>
      </iconSet>
    </cfRule>
  </conditionalFormatting>
  <conditionalFormatting sqref="Y86">
    <cfRule type="iconSet" priority="617">
      <iconSet iconSet="3Symbols2" showValue="0">
        <cfvo type="percent" val="0"/>
        <cfvo type="num" val="0"/>
        <cfvo type="num" val="0"/>
      </iconSet>
    </cfRule>
  </conditionalFormatting>
  <conditionalFormatting sqref="K1:N1 K5:N5 J1:J5 L2:N4 Y2">
    <cfRule type="iconSet" priority="616">
      <iconSet iconSet="3Symbols2" showValue="0">
        <cfvo type="percent" val="0"/>
        <cfvo type="num" val="0"/>
        <cfvo type="num" val="1"/>
      </iconSet>
    </cfRule>
  </conditionalFormatting>
  <conditionalFormatting sqref="J156:J1048576 J63 J139:J151 J129:J136 J120:J126 J26 J29 J45 J88:J97 J6">
    <cfRule type="iconSet" priority="653">
      <iconSet iconSet="3Symbols2" showValue="0">
        <cfvo type="percent" val="0"/>
        <cfvo type="num" val="0"/>
        <cfvo type="num" val="0"/>
      </iconSet>
    </cfRule>
  </conditionalFormatting>
  <conditionalFormatting sqref="J110:J117">
    <cfRule type="iconSet" priority="654">
      <iconSet iconSet="3Symbols2" showValue="0">
        <cfvo type="percent" val="0"/>
        <cfvo type="num" val="0"/>
        <cfvo type="num" val="0"/>
      </iconSet>
    </cfRule>
  </conditionalFormatting>
  <conditionalFormatting sqref="J12">
    <cfRule type="iconSet" priority="655">
      <iconSet iconSet="3Symbols2" showValue="0">
        <cfvo type="percent" val="0"/>
        <cfvo type="num" val="0"/>
        <cfvo type="num" val="0"/>
      </iconSet>
    </cfRule>
  </conditionalFormatting>
  <conditionalFormatting sqref="J25">
    <cfRule type="iconSet" priority="656">
      <iconSet iconSet="3Symbols2" showValue="0">
        <cfvo type="percent" val="0"/>
        <cfvo type="num" val="0"/>
        <cfvo type="num" val="0"/>
      </iconSet>
    </cfRule>
  </conditionalFormatting>
  <conditionalFormatting sqref="J28">
    <cfRule type="iconSet" priority="657">
      <iconSet iconSet="3Symbols2" showValue="0">
        <cfvo type="percent" val="0"/>
        <cfvo type="num" val="0"/>
        <cfvo type="num" val="0"/>
      </iconSet>
    </cfRule>
  </conditionalFormatting>
  <conditionalFormatting sqref="J41">
    <cfRule type="iconSet" priority="658">
      <iconSet iconSet="3Symbols2" showValue="0">
        <cfvo type="percent" val="0"/>
        <cfvo type="num" val="0"/>
        <cfvo type="num" val="0"/>
      </iconSet>
    </cfRule>
  </conditionalFormatting>
  <conditionalFormatting sqref="J44">
    <cfRule type="iconSet" priority="659">
      <iconSet iconSet="3Symbols2" showValue="0">
        <cfvo type="percent" val="0"/>
        <cfvo type="num" val="0"/>
        <cfvo type="num" val="0"/>
      </iconSet>
    </cfRule>
  </conditionalFormatting>
  <conditionalFormatting sqref="J57">
    <cfRule type="iconSet" priority="660">
      <iconSet iconSet="3Symbols2" showValue="0">
        <cfvo type="percent" val="0"/>
        <cfvo type="num" val="0"/>
        <cfvo type="num" val="0"/>
      </iconSet>
    </cfRule>
  </conditionalFormatting>
  <conditionalFormatting sqref="J87">
    <cfRule type="iconSet" priority="661">
      <iconSet iconSet="3Symbols2" showValue="0">
        <cfvo type="percent" val="0"/>
        <cfvo type="num" val="0"/>
        <cfvo type="num" val="0"/>
      </iconSet>
    </cfRule>
  </conditionalFormatting>
  <conditionalFormatting sqref="J99">
    <cfRule type="iconSet" priority="662">
      <iconSet iconSet="3Symbols2" showValue="0">
        <cfvo type="percent" val="0"/>
        <cfvo type="num" val="0"/>
        <cfvo type="num" val="0"/>
      </iconSet>
    </cfRule>
  </conditionalFormatting>
  <conditionalFormatting sqref="J109">
    <cfRule type="iconSet" priority="663">
      <iconSet iconSet="3Symbols2" showValue="0">
        <cfvo type="percent" val="0"/>
        <cfvo type="num" val="0"/>
        <cfvo type="num" val="0"/>
      </iconSet>
    </cfRule>
  </conditionalFormatting>
  <conditionalFormatting sqref="J119">
    <cfRule type="iconSet" priority="664">
      <iconSet iconSet="3Symbols2" showValue="0">
        <cfvo type="percent" val="0"/>
        <cfvo type="num" val="0"/>
        <cfvo type="num" val="0"/>
      </iconSet>
    </cfRule>
  </conditionalFormatting>
  <conditionalFormatting sqref="J128">
    <cfRule type="iconSet" priority="665">
      <iconSet iconSet="3Symbols2" showValue="0">
        <cfvo type="percent" val="0"/>
        <cfvo type="num" val="0"/>
        <cfvo type="num" val="0"/>
      </iconSet>
    </cfRule>
  </conditionalFormatting>
  <conditionalFormatting sqref="J62">
    <cfRule type="iconSet" priority="666">
      <iconSet iconSet="3Symbols2" showValue="0">
        <cfvo type="percent" val="0"/>
        <cfvo type="num" val="0"/>
        <cfvo type="num" val="0"/>
      </iconSet>
    </cfRule>
  </conditionalFormatting>
  <conditionalFormatting sqref="J138">
    <cfRule type="iconSet" priority="667">
      <iconSet iconSet="3Symbols2" showValue="0">
        <cfvo type="percent" val="0"/>
        <cfvo type="num" val="0"/>
        <cfvo type="num" val="0"/>
      </iconSet>
    </cfRule>
  </conditionalFormatting>
  <conditionalFormatting sqref="J153">
    <cfRule type="iconSet" priority="668">
      <iconSet iconSet="3Symbols2" showValue="0">
        <cfvo type="percent" val="0"/>
        <cfvo type="num" val="0"/>
        <cfvo type="num" val="0"/>
      </iconSet>
    </cfRule>
  </conditionalFormatting>
  <conditionalFormatting sqref="J86">
    <cfRule type="iconSet" priority="669">
      <iconSet iconSet="3Symbols2" showValue="0">
        <cfvo type="percent" val="0"/>
        <cfvo type="num" val="0"/>
        <cfvo type="num" val="0"/>
      </iconSet>
    </cfRule>
  </conditionalFormatting>
  <conditionalFormatting sqref="K11:N11">
    <cfRule type="iconSet" priority="614">
      <iconSet iconSet="3Symbols2" showValue="0">
        <cfvo type="percent" val="0"/>
        <cfvo type="num" val="0"/>
        <cfvo type="num" val="0"/>
      </iconSet>
    </cfRule>
  </conditionalFormatting>
  <conditionalFormatting sqref="Y11">
    <cfRule type="iconSet" priority="613">
      <iconSet iconSet="3Symbols2" showValue="0">
        <cfvo type="percent" val="0"/>
        <cfvo type="num" val="0"/>
        <cfvo type="num" val="0"/>
      </iconSet>
    </cfRule>
  </conditionalFormatting>
  <conditionalFormatting sqref="J11">
    <cfRule type="iconSet" priority="615">
      <iconSet iconSet="3Symbols2" showValue="0">
        <cfvo type="percent" val="0"/>
        <cfvo type="num" val="0"/>
        <cfvo type="num" val="0"/>
      </iconSet>
    </cfRule>
  </conditionalFormatting>
  <conditionalFormatting sqref="K24:N24">
    <cfRule type="iconSet" priority="611">
      <iconSet iconSet="3Symbols2" showValue="0">
        <cfvo type="percent" val="0"/>
        <cfvo type="num" val="0"/>
        <cfvo type="num" val="0"/>
      </iconSet>
    </cfRule>
  </conditionalFormatting>
  <conditionalFormatting sqref="Y24">
    <cfRule type="iconSet" priority="610">
      <iconSet iconSet="3Symbols2" showValue="0">
        <cfvo type="percent" val="0"/>
        <cfvo type="num" val="0"/>
        <cfvo type="num" val="0"/>
      </iconSet>
    </cfRule>
  </conditionalFormatting>
  <conditionalFormatting sqref="J24">
    <cfRule type="iconSet" priority="612">
      <iconSet iconSet="3Symbols2" showValue="0">
        <cfvo type="percent" val="0"/>
        <cfvo type="num" val="0"/>
        <cfvo type="num" val="0"/>
      </iconSet>
    </cfRule>
  </conditionalFormatting>
  <conditionalFormatting sqref="K27:N27">
    <cfRule type="iconSet" priority="608">
      <iconSet iconSet="3Symbols2" showValue="0">
        <cfvo type="percent" val="0"/>
        <cfvo type="num" val="0"/>
        <cfvo type="num" val="0"/>
      </iconSet>
    </cfRule>
  </conditionalFormatting>
  <conditionalFormatting sqref="Y27">
    <cfRule type="iconSet" priority="607">
      <iconSet iconSet="3Symbols2" showValue="0">
        <cfvo type="percent" val="0"/>
        <cfvo type="num" val="0"/>
        <cfvo type="num" val="0"/>
      </iconSet>
    </cfRule>
  </conditionalFormatting>
  <conditionalFormatting sqref="J27">
    <cfRule type="iconSet" priority="609">
      <iconSet iconSet="3Symbols2" showValue="0">
        <cfvo type="percent" val="0"/>
        <cfvo type="num" val="0"/>
        <cfvo type="num" val="0"/>
      </iconSet>
    </cfRule>
  </conditionalFormatting>
  <conditionalFormatting sqref="K40:N40">
    <cfRule type="iconSet" priority="605">
      <iconSet iconSet="3Symbols2" showValue="0">
        <cfvo type="percent" val="0"/>
        <cfvo type="num" val="0"/>
        <cfvo type="num" val="0"/>
      </iconSet>
    </cfRule>
  </conditionalFormatting>
  <conditionalFormatting sqref="Y40">
    <cfRule type="iconSet" priority="604">
      <iconSet iconSet="3Symbols2" showValue="0">
        <cfvo type="percent" val="0"/>
        <cfvo type="num" val="0"/>
        <cfvo type="num" val="0"/>
      </iconSet>
    </cfRule>
  </conditionalFormatting>
  <conditionalFormatting sqref="J40">
    <cfRule type="iconSet" priority="606">
      <iconSet iconSet="3Symbols2" showValue="0">
        <cfvo type="percent" val="0"/>
        <cfvo type="num" val="0"/>
        <cfvo type="num" val="0"/>
      </iconSet>
    </cfRule>
  </conditionalFormatting>
  <conditionalFormatting sqref="K43:N43">
    <cfRule type="iconSet" priority="602">
      <iconSet iconSet="3Symbols2" showValue="0">
        <cfvo type="percent" val="0"/>
        <cfvo type="num" val="0"/>
        <cfvo type="num" val="0"/>
      </iconSet>
    </cfRule>
  </conditionalFormatting>
  <conditionalFormatting sqref="Y43">
    <cfRule type="iconSet" priority="601">
      <iconSet iconSet="3Symbols2" showValue="0">
        <cfvo type="percent" val="0"/>
        <cfvo type="num" val="0"/>
        <cfvo type="num" val="0"/>
      </iconSet>
    </cfRule>
  </conditionalFormatting>
  <conditionalFormatting sqref="J43">
    <cfRule type="iconSet" priority="603">
      <iconSet iconSet="3Symbols2" showValue="0">
        <cfvo type="percent" val="0"/>
        <cfvo type="num" val="0"/>
        <cfvo type="num" val="0"/>
      </iconSet>
    </cfRule>
  </conditionalFormatting>
  <conditionalFormatting sqref="K56:N56">
    <cfRule type="iconSet" priority="599">
      <iconSet iconSet="3Symbols2" showValue="0">
        <cfvo type="percent" val="0"/>
        <cfvo type="num" val="0"/>
        <cfvo type="num" val="0"/>
      </iconSet>
    </cfRule>
  </conditionalFormatting>
  <conditionalFormatting sqref="Y56">
    <cfRule type="iconSet" priority="598">
      <iconSet iconSet="3Symbols2" showValue="0">
        <cfvo type="percent" val="0"/>
        <cfvo type="num" val="0"/>
        <cfvo type="num" val="0"/>
      </iconSet>
    </cfRule>
  </conditionalFormatting>
  <conditionalFormatting sqref="J56">
    <cfRule type="iconSet" priority="600">
      <iconSet iconSet="3Symbols2" showValue="0">
        <cfvo type="percent" val="0"/>
        <cfvo type="num" val="0"/>
        <cfvo type="num" val="0"/>
      </iconSet>
    </cfRule>
  </conditionalFormatting>
  <conditionalFormatting sqref="K59:N59">
    <cfRule type="iconSet" priority="596">
      <iconSet iconSet="3Symbols2" showValue="0">
        <cfvo type="percent" val="0"/>
        <cfvo type="num" val="0"/>
        <cfvo type="num" val="0"/>
      </iconSet>
    </cfRule>
  </conditionalFormatting>
  <conditionalFormatting sqref="Y59">
    <cfRule type="iconSet" priority="595">
      <iconSet iconSet="3Symbols2" showValue="0">
        <cfvo type="percent" val="0"/>
        <cfvo type="num" val="0"/>
        <cfvo type="num" val="0"/>
      </iconSet>
    </cfRule>
  </conditionalFormatting>
  <conditionalFormatting sqref="J59">
    <cfRule type="iconSet" priority="597">
      <iconSet iconSet="3Symbols2" showValue="0">
        <cfvo type="percent" val="0"/>
        <cfvo type="num" val="0"/>
        <cfvo type="num" val="0"/>
      </iconSet>
    </cfRule>
  </conditionalFormatting>
  <conditionalFormatting sqref="K98:N98">
    <cfRule type="iconSet" priority="593">
      <iconSet iconSet="3Symbols2" showValue="0">
        <cfvo type="percent" val="0"/>
        <cfvo type="num" val="0"/>
        <cfvo type="num" val="0"/>
      </iconSet>
    </cfRule>
  </conditionalFormatting>
  <conditionalFormatting sqref="Y98">
    <cfRule type="iconSet" priority="592">
      <iconSet iconSet="3Symbols2" showValue="0">
        <cfvo type="percent" val="0"/>
        <cfvo type="num" val="0"/>
        <cfvo type="num" val="0"/>
      </iconSet>
    </cfRule>
  </conditionalFormatting>
  <conditionalFormatting sqref="J98">
    <cfRule type="iconSet" priority="594">
      <iconSet iconSet="3Symbols2" showValue="0">
        <cfvo type="percent" val="0"/>
        <cfvo type="num" val="0"/>
        <cfvo type="num" val="0"/>
      </iconSet>
    </cfRule>
  </conditionalFormatting>
  <conditionalFormatting sqref="K108:N108">
    <cfRule type="iconSet" priority="590">
      <iconSet iconSet="3Symbols2" showValue="0">
        <cfvo type="percent" val="0"/>
        <cfvo type="num" val="0"/>
        <cfvo type="num" val="0"/>
      </iconSet>
    </cfRule>
  </conditionalFormatting>
  <conditionalFormatting sqref="Y108">
    <cfRule type="iconSet" priority="589">
      <iconSet iconSet="3Symbols2" showValue="0">
        <cfvo type="percent" val="0"/>
        <cfvo type="num" val="0"/>
        <cfvo type="num" val="0"/>
      </iconSet>
    </cfRule>
  </conditionalFormatting>
  <conditionalFormatting sqref="J108">
    <cfRule type="iconSet" priority="591">
      <iconSet iconSet="3Symbols2" showValue="0">
        <cfvo type="percent" val="0"/>
        <cfvo type="num" val="0"/>
        <cfvo type="num" val="0"/>
      </iconSet>
    </cfRule>
  </conditionalFormatting>
  <conditionalFormatting sqref="K118:N118">
    <cfRule type="iconSet" priority="587">
      <iconSet iconSet="3Symbols2" showValue="0">
        <cfvo type="percent" val="0"/>
        <cfvo type="num" val="0"/>
        <cfvo type="num" val="0"/>
      </iconSet>
    </cfRule>
  </conditionalFormatting>
  <conditionalFormatting sqref="Y118">
    <cfRule type="iconSet" priority="586">
      <iconSet iconSet="3Symbols2" showValue="0">
        <cfvo type="percent" val="0"/>
        <cfvo type="num" val="0"/>
        <cfvo type="num" val="0"/>
      </iconSet>
    </cfRule>
  </conditionalFormatting>
  <conditionalFormatting sqref="J118">
    <cfRule type="iconSet" priority="588">
      <iconSet iconSet="3Symbols2" showValue="0">
        <cfvo type="percent" val="0"/>
        <cfvo type="num" val="0"/>
        <cfvo type="num" val="0"/>
      </iconSet>
    </cfRule>
  </conditionalFormatting>
  <conditionalFormatting sqref="K127:N127">
    <cfRule type="iconSet" priority="584">
      <iconSet iconSet="3Symbols2" showValue="0">
        <cfvo type="percent" val="0"/>
        <cfvo type="num" val="0"/>
        <cfvo type="num" val="0"/>
      </iconSet>
    </cfRule>
  </conditionalFormatting>
  <conditionalFormatting sqref="Y127">
    <cfRule type="iconSet" priority="583">
      <iconSet iconSet="3Symbols2" showValue="0">
        <cfvo type="percent" val="0"/>
        <cfvo type="num" val="0"/>
        <cfvo type="num" val="0"/>
      </iconSet>
    </cfRule>
  </conditionalFormatting>
  <conditionalFormatting sqref="J127">
    <cfRule type="iconSet" priority="585">
      <iconSet iconSet="3Symbols2" showValue="0">
        <cfvo type="percent" val="0"/>
        <cfvo type="num" val="0"/>
        <cfvo type="num" val="0"/>
      </iconSet>
    </cfRule>
  </conditionalFormatting>
  <conditionalFormatting sqref="K137:N137">
    <cfRule type="iconSet" priority="581">
      <iconSet iconSet="3Symbols2" showValue="0">
        <cfvo type="percent" val="0"/>
        <cfvo type="num" val="0"/>
        <cfvo type="num" val="0"/>
      </iconSet>
    </cfRule>
  </conditionalFormatting>
  <conditionalFormatting sqref="Y137">
    <cfRule type="iconSet" priority="580">
      <iconSet iconSet="3Symbols2" showValue="0">
        <cfvo type="percent" val="0"/>
        <cfvo type="num" val="0"/>
        <cfvo type="num" val="0"/>
      </iconSet>
    </cfRule>
  </conditionalFormatting>
  <conditionalFormatting sqref="J137">
    <cfRule type="iconSet" priority="582">
      <iconSet iconSet="3Symbols2" showValue="0">
        <cfvo type="percent" val="0"/>
        <cfvo type="num" val="0"/>
        <cfvo type="num" val="0"/>
      </iconSet>
    </cfRule>
  </conditionalFormatting>
  <conditionalFormatting sqref="K152:N152">
    <cfRule type="iconSet" priority="578">
      <iconSet iconSet="3Symbols2" showValue="0">
        <cfvo type="percent" val="0"/>
        <cfvo type="num" val="0"/>
        <cfvo type="num" val="0"/>
      </iconSet>
    </cfRule>
  </conditionalFormatting>
  <conditionalFormatting sqref="Y152">
    <cfRule type="iconSet" priority="577">
      <iconSet iconSet="3Symbols2" showValue="0">
        <cfvo type="percent" val="0"/>
        <cfvo type="num" val="0"/>
        <cfvo type="num" val="0"/>
      </iconSet>
    </cfRule>
  </conditionalFormatting>
  <conditionalFormatting sqref="J152">
    <cfRule type="iconSet" priority="579">
      <iconSet iconSet="3Symbols2" showValue="0">
        <cfvo type="percent" val="0"/>
        <cfvo type="num" val="0"/>
        <cfvo type="num" val="0"/>
      </iconSet>
    </cfRule>
  </conditionalFormatting>
  <conditionalFormatting sqref="K155">
    <cfRule type="iconSet" priority="575">
      <iconSet iconSet="3Symbols2" showValue="0">
        <cfvo type="percent" val="0"/>
        <cfvo type="num" val="0"/>
        <cfvo type="num" val="0"/>
      </iconSet>
    </cfRule>
  </conditionalFormatting>
  <conditionalFormatting sqref="Y155">
    <cfRule type="iconSet" priority="574">
      <iconSet iconSet="3Symbols2" showValue="0">
        <cfvo type="percent" val="0"/>
        <cfvo type="num" val="0"/>
        <cfvo type="num" val="0"/>
      </iconSet>
    </cfRule>
  </conditionalFormatting>
  <conditionalFormatting sqref="J155">
    <cfRule type="iconSet" priority="576">
      <iconSet iconSet="3Symbols2" showValue="0">
        <cfvo type="percent" val="0"/>
        <cfvo type="num" val="0"/>
        <cfvo type="num" val="0"/>
      </iconSet>
    </cfRule>
  </conditionalFormatting>
  <conditionalFormatting sqref="K154">
    <cfRule type="iconSet" priority="572">
      <iconSet iconSet="3Symbols2" showValue="0">
        <cfvo type="percent" val="0"/>
        <cfvo type="num" val="0"/>
        <cfvo type="num" val="0"/>
      </iconSet>
    </cfRule>
  </conditionalFormatting>
  <conditionalFormatting sqref="Y154">
    <cfRule type="iconSet" priority="571">
      <iconSet iconSet="3Symbols2" showValue="0">
        <cfvo type="percent" val="0"/>
        <cfvo type="num" val="0"/>
        <cfvo type="num" val="0"/>
      </iconSet>
    </cfRule>
  </conditionalFormatting>
  <conditionalFormatting sqref="J154">
    <cfRule type="iconSet" priority="573">
      <iconSet iconSet="3Symbols2" showValue="0">
        <cfvo type="percent" val="0"/>
        <cfvo type="num" val="0"/>
        <cfvo type="num" val="0"/>
      </iconSet>
    </cfRule>
  </conditionalFormatting>
  <conditionalFormatting sqref="K65:N65">
    <cfRule type="iconSet" priority="569">
      <iconSet iconSet="3Symbols2" showValue="0">
        <cfvo type="percent" val="0"/>
        <cfvo type="num" val="0"/>
        <cfvo type="num" val="0"/>
      </iconSet>
    </cfRule>
  </conditionalFormatting>
  <conditionalFormatting sqref="Y65">
    <cfRule type="iconSet" priority="568">
      <iconSet iconSet="3Symbols2" showValue="0">
        <cfvo type="percent" val="0"/>
        <cfvo type="num" val="0"/>
        <cfvo type="num" val="0"/>
      </iconSet>
    </cfRule>
  </conditionalFormatting>
  <conditionalFormatting sqref="J65">
    <cfRule type="iconSet" priority="570">
      <iconSet iconSet="3Symbols2" showValue="0">
        <cfvo type="percent" val="0"/>
        <cfvo type="num" val="0"/>
        <cfvo type="num" val="0"/>
      </iconSet>
    </cfRule>
  </conditionalFormatting>
  <conditionalFormatting sqref="K85:N85">
    <cfRule type="iconSet" priority="566">
      <iconSet iconSet="3Symbols2" showValue="0">
        <cfvo type="percent" val="0"/>
        <cfvo type="num" val="0"/>
        <cfvo type="num" val="0"/>
      </iconSet>
    </cfRule>
  </conditionalFormatting>
  <conditionalFormatting sqref="Y85">
    <cfRule type="iconSet" priority="565">
      <iconSet iconSet="3Symbols2" showValue="0">
        <cfvo type="percent" val="0"/>
        <cfvo type="num" val="0"/>
        <cfvo type="num" val="0"/>
      </iconSet>
    </cfRule>
  </conditionalFormatting>
  <conditionalFormatting sqref="J85">
    <cfRule type="iconSet" priority="567">
      <iconSet iconSet="3Symbols2" showValue="0">
        <cfvo type="percent" val="0"/>
        <cfvo type="num" val="0"/>
        <cfvo type="num" val="0"/>
      </iconSet>
    </cfRule>
  </conditionalFormatting>
  <conditionalFormatting sqref="K64:N64">
    <cfRule type="iconSet" priority="670">
      <iconSet iconSet="3Symbols2" showValue="0">
        <cfvo type="percent" val="0"/>
        <cfvo type="num" val="0"/>
        <cfvo type="num" val="0"/>
      </iconSet>
    </cfRule>
  </conditionalFormatting>
  <conditionalFormatting sqref="Y64">
    <cfRule type="iconSet" priority="671">
      <iconSet iconSet="3Symbols2" showValue="0">
        <cfvo type="percent" val="0"/>
        <cfvo type="num" val="0"/>
        <cfvo type="num" val="0"/>
      </iconSet>
    </cfRule>
  </conditionalFormatting>
  <conditionalFormatting sqref="J64">
    <cfRule type="iconSet" priority="672">
      <iconSet iconSet="3Symbols2" showValue="0">
        <cfvo type="percent" val="0"/>
        <cfvo type="num" val="0"/>
        <cfvo type="num" val="0"/>
      </iconSet>
    </cfRule>
  </conditionalFormatting>
  <conditionalFormatting sqref="K66:K74">
    <cfRule type="iconSet" priority="673">
      <iconSet iconSet="3Symbols2" showValue="0">
        <cfvo type="percent" val="0"/>
        <cfvo type="num" val="0"/>
        <cfvo type="num" val="0"/>
      </iconSet>
    </cfRule>
  </conditionalFormatting>
  <conditionalFormatting sqref="Y66:Y74">
    <cfRule type="iconSet" priority="674">
      <iconSet iconSet="3Symbols2" showValue="0">
        <cfvo type="percent" val="0"/>
        <cfvo type="num" val="0"/>
        <cfvo type="num" val="0"/>
      </iconSet>
    </cfRule>
  </conditionalFormatting>
  <conditionalFormatting sqref="J66:J74">
    <cfRule type="iconSet" priority="675">
      <iconSet iconSet="3Symbols2" showValue="0">
        <cfvo type="percent" val="0"/>
        <cfvo type="num" val="0"/>
        <cfvo type="num" val="0"/>
      </iconSet>
    </cfRule>
  </conditionalFormatting>
  <conditionalFormatting sqref="K14:K23">
    <cfRule type="iconSet" priority="564">
      <iconSet iconSet="3Symbols2" showValue="0">
        <cfvo type="percent" val="0"/>
        <cfvo type="num" val="0"/>
        <cfvo type="num" val="0"/>
      </iconSet>
    </cfRule>
  </conditionalFormatting>
  <conditionalFormatting sqref="Y14:Y23">
    <cfRule type="iconSet" priority="563">
      <iconSet iconSet="3Symbols2" showValue="0">
        <cfvo type="percent" val="0"/>
        <cfvo type="num" val="0"/>
        <cfvo type="num" val="0"/>
      </iconSet>
    </cfRule>
  </conditionalFormatting>
  <conditionalFormatting sqref="K30:K39">
    <cfRule type="iconSet" priority="561">
      <iconSet iconSet="3Symbols2" showValue="0">
        <cfvo type="percent" val="0"/>
        <cfvo type="num" val="0"/>
        <cfvo type="num" val="0"/>
      </iconSet>
    </cfRule>
  </conditionalFormatting>
  <conditionalFormatting sqref="Y30:Y39">
    <cfRule type="iconSet" priority="560">
      <iconSet iconSet="3Symbols2" showValue="0">
        <cfvo type="percent" val="0"/>
        <cfvo type="num" val="0"/>
        <cfvo type="num" val="0"/>
      </iconSet>
    </cfRule>
  </conditionalFormatting>
  <conditionalFormatting sqref="J30:J39">
    <cfRule type="iconSet" priority="562">
      <iconSet iconSet="3Symbols2" showValue="0">
        <cfvo type="percent" val="0"/>
        <cfvo type="num" val="0"/>
        <cfvo type="num" val="0"/>
      </iconSet>
    </cfRule>
  </conditionalFormatting>
  <conditionalFormatting sqref="K46:K55">
    <cfRule type="iconSet" priority="558">
      <iconSet iconSet="3Symbols2" showValue="0">
        <cfvo type="percent" val="0"/>
        <cfvo type="num" val="0"/>
        <cfvo type="num" val="0"/>
      </iconSet>
    </cfRule>
  </conditionalFormatting>
  <conditionalFormatting sqref="Y46:Y55">
    <cfRule type="iconSet" priority="557">
      <iconSet iconSet="3Symbols2" showValue="0">
        <cfvo type="percent" val="0"/>
        <cfvo type="num" val="0"/>
        <cfvo type="num" val="0"/>
      </iconSet>
    </cfRule>
  </conditionalFormatting>
  <conditionalFormatting sqref="J46:J55">
    <cfRule type="iconSet" priority="559">
      <iconSet iconSet="3Symbols2" showValue="0">
        <cfvo type="percent" val="0"/>
        <cfvo type="num" val="0"/>
        <cfvo type="num" val="0"/>
      </iconSet>
    </cfRule>
  </conditionalFormatting>
  <conditionalFormatting sqref="J7:J8 J10">
    <cfRule type="iconSet" priority="556">
      <iconSet iconSet="3Symbols2" showValue="0">
        <cfvo type="percent" val="0"/>
        <cfvo type="num" val="0"/>
        <cfvo type="num" val="0"/>
      </iconSet>
    </cfRule>
  </conditionalFormatting>
  <conditionalFormatting sqref="J9">
    <cfRule type="iconSet" priority="555">
      <iconSet iconSet="3Symbols2" showValue="0">
        <cfvo type="percent" val="0"/>
        <cfvo type="num" val="0"/>
        <cfvo type="num" val="0"/>
      </iconSet>
    </cfRule>
  </conditionalFormatting>
  <conditionalFormatting sqref="J42">
    <cfRule type="iconSet" priority="554">
      <iconSet iconSet="3Symbols2" showValue="0">
        <cfvo type="percent" val="0"/>
        <cfvo type="num" val="0"/>
        <cfvo type="num" val="0"/>
      </iconSet>
    </cfRule>
  </conditionalFormatting>
  <conditionalFormatting sqref="J58">
    <cfRule type="iconSet" priority="553">
      <iconSet iconSet="3Symbols2" showValue="0">
        <cfvo type="percent" val="0"/>
        <cfvo type="num" val="0"/>
        <cfvo type="num" val="0"/>
      </iconSet>
    </cfRule>
  </conditionalFormatting>
  <conditionalFormatting sqref="L13:N18 M19:N23 J19:J23">
    <cfRule type="iconSet" priority="552">
      <iconSet iconSet="3Symbols2" showValue="0">
        <cfvo type="percent" val="0"/>
        <cfvo type="num" val="0"/>
        <cfvo type="num" val="0"/>
      </iconSet>
    </cfRule>
  </conditionalFormatting>
  <conditionalFormatting sqref="L26:N26">
    <cfRule type="iconSet" priority="551">
      <iconSet iconSet="3Symbols2" showValue="0">
        <cfvo type="percent" val="0"/>
        <cfvo type="num" val="0"/>
        <cfvo type="num" val="0"/>
      </iconSet>
    </cfRule>
  </conditionalFormatting>
  <conditionalFormatting sqref="L29:N39">
    <cfRule type="iconSet" priority="550">
      <iconSet iconSet="3Symbols2" showValue="0">
        <cfvo type="percent" val="0"/>
        <cfvo type="num" val="0"/>
        <cfvo type="num" val="0"/>
      </iconSet>
    </cfRule>
  </conditionalFormatting>
  <conditionalFormatting sqref="L63:N63 L45:N51 L53:N55">
    <cfRule type="iconSet" priority="549">
      <iconSet iconSet="3Symbols2" showValue="0">
        <cfvo type="percent" val="0"/>
        <cfvo type="num" val="0"/>
        <cfvo type="num" val="0"/>
      </iconSet>
    </cfRule>
  </conditionalFormatting>
  <conditionalFormatting sqref="L66:N74">
    <cfRule type="iconSet" priority="548">
      <iconSet iconSet="3Symbols2" showValue="0">
        <cfvo type="percent" val="0"/>
        <cfvo type="num" val="0"/>
        <cfvo type="num" val="0"/>
      </iconSet>
    </cfRule>
  </conditionalFormatting>
  <conditionalFormatting sqref="L100:N107">
    <cfRule type="iconSet" priority="547">
      <iconSet iconSet="3Symbols2" showValue="0">
        <cfvo type="percent" val="0"/>
        <cfvo type="num" val="0"/>
        <cfvo type="num" val="0"/>
      </iconSet>
    </cfRule>
  </conditionalFormatting>
  <conditionalFormatting sqref="L110:N117">
    <cfRule type="iconSet" priority="546">
      <iconSet iconSet="3Symbols2" showValue="0">
        <cfvo type="percent" val="0"/>
        <cfvo type="num" val="0"/>
        <cfvo type="num" val="0"/>
      </iconSet>
    </cfRule>
  </conditionalFormatting>
  <conditionalFormatting sqref="L129:N136">
    <cfRule type="iconSet" priority="545">
      <iconSet iconSet="3Symbols2" showValue="0">
        <cfvo type="percent" val="0"/>
        <cfvo type="num" val="0"/>
        <cfvo type="num" val="0"/>
      </iconSet>
    </cfRule>
  </conditionalFormatting>
  <conditionalFormatting sqref="L139:N151">
    <cfRule type="iconSet" priority="544">
      <iconSet iconSet="3Symbols2" showValue="0">
        <cfvo type="percent" val="0"/>
        <cfvo type="num" val="0"/>
        <cfvo type="num" val="0"/>
      </iconSet>
    </cfRule>
  </conditionalFormatting>
  <conditionalFormatting sqref="L154:N160">
    <cfRule type="iconSet" priority="543">
      <iconSet iconSet="3Symbols2" showValue="0">
        <cfvo type="percent" val="0"/>
        <cfvo type="num" val="0"/>
        <cfvo type="num" val="0"/>
      </iconSet>
    </cfRule>
  </conditionalFormatting>
  <conditionalFormatting sqref="K75:N75">
    <cfRule type="iconSet" priority="538">
      <iconSet iconSet="3Symbols2" showValue="0">
        <cfvo type="percent" val="0"/>
        <cfvo type="num" val="0"/>
        <cfvo type="num" val="0"/>
      </iconSet>
    </cfRule>
  </conditionalFormatting>
  <conditionalFormatting sqref="Y75">
    <cfRule type="iconSet" priority="537">
      <iconSet iconSet="3Symbols2" showValue="0">
        <cfvo type="percent" val="0"/>
        <cfvo type="num" val="0"/>
        <cfvo type="num" val="0"/>
      </iconSet>
    </cfRule>
  </conditionalFormatting>
  <conditionalFormatting sqref="J75">
    <cfRule type="iconSet" priority="539">
      <iconSet iconSet="3Symbols2" showValue="0">
        <cfvo type="percent" val="0"/>
        <cfvo type="num" val="0"/>
        <cfvo type="num" val="0"/>
      </iconSet>
    </cfRule>
  </conditionalFormatting>
  <conditionalFormatting sqref="K76:K84">
    <cfRule type="iconSet" priority="540">
      <iconSet iconSet="3Symbols2" showValue="0">
        <cfvo type="percent" val="0"/>
        <cfvo type="num" val="0"/>
        <cfvo type="num" val="0"/>
      </iconSet>
    </cfRule>
  </conditionalFormatting>
  <conditionalFormatting sqref="Y76:Y84">
    <cfRule type="iconSet" priority="541">
      <iconSet iconSet="3Symbols2" showValue="0">
        <cfvo type="percent" val="0"/>
        <cfvo type="num" val="0"/>
        <cfvo type="num" val="0"/>
      </iconSet>
    </cfRule>
  </conditionalFormatting>
  <conditionalFormatting sqref="J76:J84">
    <cfRule type="iconSet" priority="542">
      <iconSet iconSet="3Symbols2" showValue="0">
        <cfvo type="percent" val="0"/>
        <cfvo type="num" val="0"/>
        <cfvo type="num" val="0"/>
      </iconSet>
    </cfRule>
  </conditionalFormatting>
  <conditionalFormatting sqref="L76:N84">
    <cfRule type="iconSet" priority="536">
      <iconSet iconSet="3Symbols2" showValue="0">
        <cfvo type="percent" val="0"/>
        <cfvo type="num" val="0"/>
        <cfvo type="num" val="0"/>
      </iconSet>
    </cfRule>
  </conditionalFormatting>
  <conditionalFormatting sqref="K60:N61">
    <cfRule type="iconSet" priority="534">
      <iconSet iconSet="3Symbols2" showValue="0">
        <cfvo type="percent" val="0"/>
        <cfvo type="num" val="0"/>
        <cfvo type="num" val="0"/>
      </iconSet>
    </cfRule>
  </conditionalFormatting>
  <conditionalFormatting sqref="Y60:Y61">
    <cfRule type="iconSet" priority="533">
      <iconSet iconSet="3Symbols2" showValue="0">
        <cfvo type="percent" val="0"/>
        <cfvo type="num" val="0"/>
        <cfvo type="num" val="0"/>
      </iconSet>
    </cfRule>
  </conditionalFormatting>
  <conditionalFormatting sqref="J60">
    <cfRule type="iconSet" priority="535">
      <iconSet iconSet="3Symbols2" showValue="0">
        <cfvo type="percent" val="0"/>
        <cfvo type="num" val="0"/>
        <cfvo type="num" val="0"/>
      </iconSet>
    </cfRule>
  </conditionalFormatting>
  <conditionalFormatting sqref="J61">
    <cfRule type="iconSet" priority="532">
      <iconSet iconSet="3Symbols2" showValue="0">
        <cfvo type="percent" val="0"/>
        <cfvo type="num" val="0"/>
        <cfvo type="num" val="0"/>
      </iconSet>
    </cfRule>
  </conditionalFormatting>
  <conditionalFormatting sqref="L52:N52">
    <cfRule type="iconSet" priority="531">
      <iconSet iconSet="3Symbols2" showValue="0">
        <cfvo type="percent" val="0"/>
        <cfvo type="num" val="0"/>
        <cfvo type="num" val="0"/>
      </iconSet>
    </cfRule>
  </conditionalFormatting>
  <conditionalFormatting sqref="O161:P1048576 O120:P126 O6:P8 O10:P10 O42:P42 O58:P58 O88:P97">
    <cfRule type="iconSet" priority="529">
      <iconSet iconSet="3Symbols2" showValue="0">
        <cfvo type="percent" val="0"/>
        <cfvo type="num" val="0"/>
        <cfvo type="num" val="0"/>
      </iconSet>
    </cfRule>
  </conditionalFormatting>
  <conditionalFormatting sqref="O9:P9">
    <cfRule type="iconSet" priority="528">
      <iconSet iconSet="3Symbols2" showValue="0">
        <cfvo type="percent" val="0"/>
        <cfvo type="num" val="0"/>
        <cfvo type="num" val="0"/>
      </iconSet>
    </cfRule>
  </conditionalFormatting>
  <conditionalFormatting sqref="O12:P12">
    <cfRule type="iconSet" priority="527">
      <iconSet iconSet="3Symbols2" showValue="0">
        <cfvo type="percent" val="0"/>
        <cfvo type="num" val="0"/>
        <cfvo type="num" val="0"/>
      </iconSet>
    </cfRule>
  </conditionalFormatting>
  <conditionalFormatting sqref="O25:P25">
    <cfRule type="iconSet" priority="526">
      <iconSet iconSet="3Symbols2" showValue="0">
        <cfvo type="percent" val="0"/>
        <cfvo type="num" val="0"/>
        <cfvo type="num" val="0"/>
      </iconSet>
    </cfRule>
  </conditionalFormatting>
  <conditionalFormatting sqref="O28:P28">
    <cfRule type="iconSet" priority="525">
      <iconSet iconSet="3Symbols2" showValue="0">
        <cfvo type="percent" val="0"/>
        <cfvo type="num" val="0"/>
        <cfvo type="num" val="0"/>
      </iconSet>
    </cfRule>
  </conditionalFormatting>
  <conditionalFormatting sqref="O41:P41">
    <cfRule type="iconSet" priority="524">
      <iconSet iconSet="3Symbols2" showValue="0">
        <cfvo type="percent" val="0"/>
        <cfvo type="num" val="0"/>
        <cfvo type="num" val="0"/>
      </iconSet>
    </cfRule>
  </conditionalFormatting>
  <conditionalFormatting sqref="O44:P44">
    <cfRule type="iconSet" priority="523">
      <iconSet iconSet="3Symbols2" showValue="0">
        <cfvo type="percent" val="0"/>
        <cfvo type="num" val="0"/>
        <cfvo type="num" val="0"/>
      </iconSet>
    </cfRule>
  </conditionalFormatting>
  <conditionalFormatting sqref="O57:P57">
    <cfRule type="iconSet" priority="522">
      <iconSet iconSet="3Symbols2" showValue="0">
        <cfvo type="percent" val="0"/>
        <cfvo type="num" val="0"/>
        <cfvo type="num" val="0"/>
      </iconSet>
    </cfRule>
  </conditionalFormatting>
  <conditionalFormatting sqref="O87:P87">
    <cfRule type="iconSet" priority="521">
      <iconSet iconSet="3Symbols2" showValue="0">
        <cfvo type="percent" val="0"/>
        <cfvo type="num" val="0"/>
        <cfvo type="num" val="0"/>
      </iconSet>
    </cfRule>
  </conditionalFormatting>
  <conditionalFormatting sqref="O99:P99">
    <cfRule type="iconSet" priority="520">
      <iconSet iconSet="3Symbols2" showValue="0">
        <cfvo type="percent" val="0"/>
        <cfvo type="num" val="0"/>
        <cfvo type="num" val="0"/>
      </iconSet>
    </cfRule>
  </conditionalFormatting>
  <conditionalFormatting sqref="O109:P109">
    <cfRule type="iconSet" priority="519">
      <iconSet iconSet="3Symbols2" showValue="0">
        <cfvo type="percent" val="0"/>
        <cfvo type="num" val="0"/>
        <cfvo type="num" val="0"/>
      </iconSet>
    </cfRule>
  </conditionalFormatting>
  <conditionalFormatting sqref="O119:P119">
    <cfRule type="iconSet" priority="518">
      <iconSet iconSet="3Symbols2" showValue="0">
        <cfvo type="percent" val="0"/>
        <cfvo type="num" val="0"/>
        <cfvo type="num" val="0"/>
      </iconSet>
    </cfRule>
  </conditionalFormatting>
  <conditionalFormatting sqref="O128:P128">
    <cfRule type="iconSet" priority="517">
      <iconSet iconSet="3Symbols2" showValue="0">
        <cfvo type="percent" val="0"/>
        <cfvo type="num" val="0"/>
        <cfvo type="num" val="0"/>
      </iconSet>
    </cfRule>
  </conditionalFormatting>
  <conditionalFormatting sqref="O62:P62">
    <cfRule type="iconSet" priority="516">
      <iconSet iconSet="3Symbols2" showValue="0">
        <cfvo type="percent" val="0"/>
        <cfvo type="num" val="0"/>
        <cfvo type="num" val="0"/>
      </iconSet>
    </cfRule>
  </conditionalFormatting>
  <conditionalFormatting sqref="O138:P138">
    <cfRule type="iconSet" priority="515">
      <iconSet iconSet="3Symbols2" showValue="0">
        <cfvo type="percent" val="0"/>
        <cfvo type="num" val="0"/>
        <cfvo type="num" val="0"/>
      </iconSet>
    </cfRule>
  </conditionalFormatting>
  <conditionalFormatting sqref="O153:P153">
    <cfRule type="iconSet" priority="514">
      <iconSet iconSet="3Symbols2" showValue="0">
        <cfvo type="percent" val="0"/>
        <cfvo type="num" val="0"/>
        <cfvo type="num" val="0"/>
      </iconSet>
    </cfRule>
  </conditionalFormatting>
  <conditionalFormatting sqref="O86:P86">
    <cfRule type="iconSet" priority="513">
      <iconSet iconSet="3Symbols2" showValue="0">
        <cfvo type="percent" val="0"/>
        <cfvo type="num" val="0"/>
        <cfvo type="num" val="0"/>
      </iconSet>
    </cfRule>
  </conditionalFormatting>
  <conditionalFormatting sqref="O1:P5">
    <cfRule type="iconSet" priority="512">
      <iconSet iconSet="3Symbols2" showValue="0">
        <cfvo type="percent" val="0"/>
        <cfvo type="num" val="0"/>
        <cfvo type="num" val="1"/>
      </iconSet>
    </cfRule>
  </conditionalFormatting>
  <conditionalFormatting sqref="O11:P11">
    <cfRule type="iconSet" priority="511">
      <iconSet iconSet="3Symbols2" showValue="0">
        <cfvo type="percent" val="0"/>
        <cfvo type="num" val="0"/>
        <cfvo type="num" val="0"/>
      </iconSet>
    </cfRule>
  </conditionalFormatting>
  <conditionalFormatting sqref="O24:P24">
    <cfRule type="iconSet" priority="510">
      <iconSet iconSet="3Symbols2" showValue="0">
        <cfvo type="percent" val="0"/>
        <cfvo type="num" val="0"/>
        <cfvo type="num" val="0"/>
      </iconSet>
    </cfRule>
  </conditionalFormatting>
  <conditionalFormatting sqref="O27:P27">
    <cfRule type="iconSet" priority="509">
      <iconSet iconSet="3Symbols2" showValue="0">
        <cfvo type="percent" val="0"/>
        <cfvo type="num" val="0"/>
        <cfvo type="num" val="0"/>
      </iconSet>
    </cfRule>
  </conditionalFormatting>
  <conditionalFormatting sqref="O40:P40">
    <cfRule type="iconSet" priority="508">
      <iconSet iconSet="3Symbols2" showValue="0">
        <cfvo type="percent" val="0"/>
        <cfvo type="num" val="0"/>
        <cfvo type="num" val="0"/>
      </iconSet>
    </cfRule>
  </conditionalFormatting>
  <conditionalFormatting sqref="O43:P43">
    <cfRule type="iconSet" priority="507">
      <iconSet iconSet="3Symbols2" showValue="0">
        <cfvo type="percent" val="0"/>
        <cfvo type="num" val="0"/>
        <cfvo type="num" val="0"/>
      </iconSet>
    </cfRule>
  </conditionalFormatting>
  <conditionalFormatting sqref="O56:P56">
    <cfRule type="iconSet" priority="506">
      <iconSet iconSet="3Symbols2" showValue="0">
        <cfvo type="percent" val="0"/>
        <cfvo type="num" val="0"/>
        <cfvo type="num" val="0"/>
      </iconSet>
    </cfRule>
  </conditionalFormatting>
  <conditionalFormatting sqref="O59:P59">
    <cfRule type="iconSet" priority="505">
      <iconSet iconSet="3Symbols2" showValue="0">
        <cfvo type="percent" val="0"/>
        <cfvo type="num" val="0"/>
        <cfvo type="num" val="0"/>
      </iconSet>
    </cfRule>
  </conditionalFormatting>
  <conditionalFormatting sqref="O98:P98">
    <cfRule type="iconSet" priority="504">
      <iconSet iconSet="3Symbols2" showValue="0">
        <cfvo type="percent" val="0"/>
        <cfvo type="num" val="0"/>
        <cfvo type="num" val="0"/>
      </iconSet>
    </cfRule>
  </conditionalFormatting>
  <conditionalFormatting sqref="O108:P108">
    <cfRule type="iconSet" priority="503">
      <iconSet iconSet="3Symbols2" showValue="0">
        <cfvo type="percent" val="0"/>
        <cfvo type="num" val="0"/>
        <cfvo type="num" val="0"/>
      </iconSet>
    </cfRule>
  </conditionalFormatting>
  <conditionalFormatting sqref="O118:P118">
    <cfRule type="iconSet" priority="502">
      <iconSet iconSet="3Symbols2" showValue="0">
        <cfvo type="percent" val="0"/>
        <cfvo type="num" val="0"/>
        <cfvo type="num" val="0"/>
      </iconSet>
    </cfRule>
  </conditionalFormatting>
  <conditionalFormatting sqref="O127:P127">
    <cfRule type="iconSet" priority="501">
      <iconSet iconSet="3Symbols2" showValue="0">
        <cfvo type="percent" val="0"/>
        <cfvo type="num" val="0"/>
        <cfvo type="num" val="0"/>
      </iconSet>
    </cfRule>
  </conditionalFormatting>
  <conditionalFormatting sqref="O137:P137">
    <cfRule type="iconSet" priority="500">
      <iconSet iconSet="3Symbols2" showValue="0">
        <cfvo type="percent" val="0"/>
        <cfvo type="num" val="0"/>
        <cfvo type="num" val="0"/>
      </iconSet>
    </cfRule>
  </conditionalFormatting>
  <conditionalFormatting sqref="O152:P152">
    <cfRule type="iconSet" priority="499">
      <iconSet iconSet="3Symbols2" showValue="0">
        <cfvo type="percent" val="0"/>
        <cfvo type="num" val="0"/>
        <cfvo type="num" val="0"/>
      </iconSet>
    </cfRule>
  </conditionalFormatting>
  <conditionalFormatting sqref="O65:P65">
    <cfRule type="iconSet" priority="498">
      <iconSet iconSet="3Symbols2" showValue="0">
        <cfvo type="percent" val="0"/>
        <cfvo type="num" val="0"/>
        <cfvo type="num" val="0"/>
      </iconSet>
    </cfRule>
  </conditionalFormatting>
  <conditionalFormatting sqref="O85:P85">
    <cfRule type="iconSet" priority="497">
      <iconSet iconSet="3Symbols2" showValue="0">
        <cfvo type="percent" val="0"/>
        <cfvo type="num" val="0"/>
        <cfvo type="num" val="0"/>
      </iconSet>
    </cfRule>
  </conditionalFormatting>
  <conditionalFormatting sqref="O64:P64">
    <cfRule type="iconSet" priority="530">
      <iconSet iconSet="3Symbols2" showValue="0">
        <cfvo type="percent" val="0"/>
        <cfvo type="num" val="0"/>
        <cfvo type="num" val="0"/>
      </iconSet>
    </cfRule>
  </conditionalFormatting>
  <conditionalFormatting sqref="O13:P23">
    <cfRule type="iconSet" priority="496">
      <iconSet iconSet="3Symbols2" showValue="0">
        <cfvo type="percent" val="0"/>
        <cfvo type="num" val="0"/>
        <cfvo type="num" val="0"/>
      </iconSet>
    </cfRule>
  </conditionalFormatting>
  <conditionalFormatting sqref="O26:P26">
    <cfRule type="iconSet" priority="495">
      <iconSet iconSet="3Symbols2" showValue="0">
        <cfvo type="percent" val="0"/>
        <cfvo type="num" val="0"/>
        <cfvo type="num" val="0"/>
      </iconSet>
    </cfRule>
  </conditionalFormatting>
  <conditionalFormatting sqref="O29:P39">
    <cfRule type="iconSet" priority="494">
      <iconSet iconSet="3Symbols2" showValue="0">
        <cfvo type="percent" val="0"/>
        <cfvo type="num" val="0"/>
        <cfvo type="num" val="0"/>
      </iconSet>
    </cfRule>
  </conditionalFormatting>
  <conditionalFormatting sqref="O63:P63 O45:P51 O53:P55">
    <cfRule type="iconSet" priority="493">
      <iconSet iconSet="3Symbols2" showValue="0">
        <cfvo type="percent" val="0"/>
        <cfvo type="num" val="0"/>
        <cfvo type="num" val="0"/>
      </iconSet>
    </cfRule>
  </conditionalFormatting>
  <conditionalFormatting sqref="O66:P74">
    <cfRule type="iconSet" priority="492">
      <iconSet iconSet="3Symbols2" showValue="0">
        <cfvo type="percent" val="0"/>
        <cfvo type="num" val="0"/>
        <cfvo type="num" val="0"/>
      </iconSet>
    </cfRule>
  </conditionalFormatting>
  <conditionalFormatting sqref="O100:P107">
    <cfRule type="iconSet" priority="491">
      <iconSet iconSet="3Symbols2" showValue="0">
        <cfvo type="percent" val="0"/>
        <cfvo type="num" val="0"/>
        <cfvo type="num" val="0"/>
      </iconSet>
    </cfRule>
  </conditionalFormatting>
  <conditionalFormatting sqref="O110:P117">
    <cfRule type="iconSet" priority="490">
      <iconSet iconSet="3Symbols2" showValue="0">
        <cfvo type="percent" val="0"/>
        <cfvo type="num" val="0"/>
        <cfvo type="num" val="0"/>
      </iconSet>
    </cfRule>
  </conditionalFormatting>
  <conditionalFormatting sqref="O129:P136">
    <cfRule type="iconSet" priority="489">
      <iconSet iconSet="3Symbols2" showValue="0">
        <cfvo type="percent" val="0"/>
        <cfvo type="num" val="0"/>
        <cfvo type="num" val="0"/>
      </iconSet>
    </cfRule>
  </conditionalFormatting>
  <conditionalFormatting sqref="O139:P151">
    <cfRule type="iconSet" priority="488">
      <iconSet iconSet="3Symbols2" showValue="0">
        <cfvo type="percent" val="0"/>
        <cfvo type="num" val="0"/>
        <cfvo type="num" val="0"/>
      </iconSet>
    </cfRule>
  </conditionalFormatting>
  <conditionalFormatting sqref="O154:P160">
    <cfRule type="iconSet" priority="487">
      <iconSet iconSet="3Symbols2" showValue="0">
        <cfvo type="percent" val="0"/>
        <cfvo type="num" val="0"/>
        <cfvo type="num" val="0"/>
      </iconSet>
    </cfRule>
  </conditionalFormatting>
  <conditionalFormatting sqref="O75:P75">
    <cfRule type="iconSet" priority="486">
      <iconSet iconSet="3Symbols2" showValue="0">
        <cfvo type="percent" val="0"/>
        <cfvo type="num" val="0"/>
        <cfvo type="num" val="0"/>
      </iconSet>
    </cfRule>
  </conditionalFormatting>
  <conditionalFormatting sqref="O76:P84">
    <cfRule type="iconSet" priority="485">
      <iconSet iconSet="3Symbols2" showValue="0">
        <cfvo type="percent" val="0"/>
        <cfvo type="num" val="0"/>
        <cfvo type="num" val="0"/>
      </iconSet>
    </cfRule>
  </conditionalFormatting>
  <conditionalFormatting sqref="O60:P61">
    <cfRule type="iconSet" priority="484">
      <iconSet iconSet="3Symbols2" showValue="0">
        <cfvo type="percent" val="0"/>
        <cfvo type="num" val="0"/>
        <cfvo type="num" val="0"/>
      </iconSet>
    </cfRule>
  </conditionalFormatting>
  <conditionalFormatting sqref="O52:P52">
    <cfRule type="iconSet" priority="483">
      <iconSet iconSet="3Symbols2" showValue="0">
        <cfvo type="percent" val="0"/>
        <cfvo type="num" val="0"/>
        <cfvo type="num" val="0"/>
      </iconSet>
    </cfRule>
  </conditionalFormatting>
  <conditionalFormatting sqref="Q161:R1048576 Q120:R126 Q6:R8 Q10:R10 Q42:R42 Q58:R58 Q88:R97">
    <cfRule type="iconSet" priority="481">
      <iconSet iconSet="3Symbols2" showValue="0">
        <cfvo type="percent" val="0"/>
        <cfvo type="num" val="0"/>
        <cfvo type="num" val="0"/>
      </iconSet>
    </cfRule>
  </conditionalFormatting>
  <conditionalFormatting sqref="Q9:R9">
    <cfRule type="iconSet" priority="480">
      <iconSet iconSet="3Symbols2" showValue="0">
        <cfvo type="percent" val="0"/>
        <cfvo type="num" val="0"/>
        <cfvo type="num" val="0"/>
      </iconSet>
    </cfRule>
  </conditionalFormatting>
  <conditionalFormatting sqref="Q12:R12">
    <cfRule type="iconSet" priority="479">
      <iconSet iconSet="3Symbols2" showValue="0">
        <cfvo type="percent" val="0"/>
        <cfvo type="num" val="0"/>
        <cfvo type="num" val="0"/>
      </iconSet>
    </cfRule>
  </conditionalFormatting>
  <conditionalFormatting sqref="Q25:R25">
    <cfRule type="iconSet" priority="478">
      <iconSet iconSet="3Symbols2" showValue="0">
        <cfvo type="percent" val="0"/>
        <cfvo type="num" val="0"/>
        <cfvo type="num" val="0"/>
      </iconSet>
    </cfRule>
  </conditionalFormatting>
  <conditionalFormatting sqref="Q28:R28">
    <cfRule type="iconSet" priority="477">
      <iconSet iconSet="3Symbols2" showValue="0">
        <cfvo type="percent" val="0"/>
        <cfvo type="num" val="0"/>
        <cfvo type="num" val="0"/>
      </iconSet>
    </cfRule>
  </conditionalFormatting>
  <conditionalFormatting sqref="Q41:R41">
    <cfRule type="iconSet" priority="476">
      <iconSet iconSet="3Symbols2" showValue="0">
        <cfvo type="percent" val="0"/>
        <cfvo type="num" val="0"/>
        <cfvo type="num" val="0"/>
      </iconSet>
    </cfRule>
  </conditionalFormatting>
  <conditionalFormatting sqref="Q44:R44">
    <cfRule type="iconSet" priority="475">
      <iconSet iconSet="3Symbols2" showValue="0">
        <cfvo type="percent" val="0"/>
        <cfvo type="num" val="0"/>
        <cfvo type="num" val="0"/>
      </iconSet>
    </cfRule>
  </conditionalFormatting>
  <conditionalFormatting sqref="Q57:R57">
    <cfRule type="iconSet" priority="474">
      <iconSet iconSet="3Symbols2" showValue="0">
        <cfvo type="percent" val="0"/>
        <cfvo type="num" val="0"/>
        <cfvo type="num" val="0"/>
      </iconSet>
    </cfRule>
  </conditionalFormatting>
  <conditionalFormatting sqref="Q87:R87">
    <cfRule type="iconSet" priority="473">
      <iconSet iconSet="3Symbols2" showValue="0">
        <cfvo type="percent" val="0"/>
        <cfvo type="num" val="0"/>
        <cfvo type="num" val="0"/>
      </iconSet>
    </cfRule>
  </conditionalFormatting>
  <conditionalFormatting sqref="Q99:R99">
    <cfRule type="iconSet" priority="472">
      <iconSet iconSet="3Symbols2" showValue="0">
        <cfvo type="percent" val="0"/>
        <cfvo type="num" val="0"/>
        <cfvo type="num" val="0"/>
      </iconSet>
    </cfRule>
  </conditionalFormatting>
  <conditionalFormatting sqref="Q109:R109">
    <cfRule type="iconSet" priority="471">
      <iconSet iconSet="3Symbols2" showValue="0">
        <cfvo type="percent" val="0"/>
        <cfvo type="num" val="0"/>
        <cfvo type="num" val="0"/>
      </iconSet>
    </cfRule>
  </conditionalFormatting>
  <conditionalFormatting sqref="Q119:R119">
    <cfRule type="iconSet" priority="470">
      <iconSet iconSet="3Symbols2" showValue="0">
        <cfvo type="percent" val="0"/>
        <cfvo type="num" val="0"/>
        <cfvo type="num" val="0"/>
      </iconSet>
    </cfRule>
  </conditionalFormatting>
  <conditionalFormatting sqref="Q128:R128">
    <cfRule type="iconSet" priority="469">
      <iconSet iconSet="3Symbols2" showValue="0">
        <cfvo type="percent" val="0"/>
        <cfvo type="num" val="0"/>
        <cfvo type="num" val="0"/>
      </iconSet>
    </cfRule>
  </conditionalFormatting>
  <conditionalFormatting sqref="Q62:R62">
    <cfRule type="iconSet" priority="468">
      <iconSet iconSet="3Symbols2" showValue="0">
        <cfvo type="percent" val="0"/>
        <cfvo type="num" val="0"/>
        <cfvo type="num" val="0"/>
      </iconSet>
    </cfRule>
  </conditionalFormatting>
  <conditionalFormatting sqref="Q138:R138">
    <cfRule type="iconSet" priority="467">
      <iconSet iconSet="3Symbols2" showValue="0">
        <cfvo type="percent" val="0"/>
        <cfvo type="num" val="0"/>
        <cfvo type="num" val="0"/>
      </iconSet>
    </cfRule>
  </conditionalFormatting>
  <conditionalFormatting sqref="Q153:R153">
    <cfRule type="iconSet" priority="466">
      <iconSet iconSet="3Symbols2" showValue="0">
        <cfvo type="percent" val="0"/>
        <cfvo type="num" val="0"/>
        <cfvo type="num" val="0"/>
      </iconSet>
    </cfRule>
  </conditionalFormatting>
  <conditionalFormatting sqref="Q86:R86">
    <cfRule type="iconSet" priority="465">
      <iconSet iconSet="3Symbols2" showValue="0">
        <cfvo type="percent" val="0"/>
        <cfvo type="num" val="0"/>
        <cfvo type="num" val="0"/>
      </iconSet>
    </cfRule>
  </conditionalFormatting>
  <conditionalFormatting sqref="Q1:R5">
    <cfRule type="iconSet" priority="464">
      <iconSet iconSet="3Symbols2" showValue="0">
        <cfvo type="percent" val="0"/>
        <cfvo type="num" val="0"/>
        <cfvo type="num" val="1"/>
      </iconSet>
    </cfRule>
  </conditionalFormatting>
  <conditionalFormatting sqref="Q11:R11">
    <cfRule type="iconSet" priority="463">
      <iconSet iconSet="3Symbols2" showValue="0">
        <cfvo type="percent" val="0"/>
        <cfvo type="num" val="0"/>
        <cfvo type="num" val="0"/>
      </iconSet>
    </cfRule>
  </conditionalFormatting>
  <conditionalFormatting sqref="Q24:R24">
    <cfRule type="iconSet" priority="462">
      <iconSet iconSet="3Symbols2" showValue="0">
        <cfvo type="percent" val="0"/>
        <cfvo type="num" val="0"/>
        <cfvo type="num" val="0"/>
      </iconSet>
    </cfRule>
  </conditionalFormatting>
  <conditionalFormatting sqref="Q27:R27">
    <cfRule type="iconSet" priority="461">
      <iconSet iconSet="3Symbols2" showValue="0">
        <cfvo type="percent" val="0"/>
        <cfvo type="num" val="0"/>
        <cfvo type="num" val="0"/>
      </iconSet>
    </cfRule>
  </conditionalFormatting>
  <conditionalFormatting sqref="Q40:R40">
    <cfRule type="iconSet" priority="460">
      <iconSet iconSet="3Symbols2" showValue="0">
        <cfvo type="percent" val="0"/>
        <cfvo type="num" val="0"/>
        <cfvo type="num" val="0"/>
      </iconSet>
    </cfRule>
  </conditionalFormatting>
  <conditionalFormatting sqref="Q43:R43">
    <cfRule type="iconSet" priority="459">
      <iconSet iconSet="3Symbols2" showValue="0">
        <cfvo type="percent" val="0"/>
        <cfvo type="num" val="0"/>
        <cfvo type="num" val="0"/>
      </iconSet>
    </cfRule>
  </conditionalFormatting>
  <conditionalFormatting sqref="Q56:R56">
    <cfRule type="iconSet" priority="458">
      <iconSet iconSet="3Symbols2" showValue="0">
        <cfvo type="percent" val="0"/>
        <cfvo type="num" val="0"/>
        <cfvo type="num" val="0"/>
      </iconSet>
    </cfRule>
  </conditionalFormatting>
  <conditionalFormatting sqref="Q59:R59">
    <cfRule type="iconSet" priority="457">
      <iconSet iconSet="3Symbols2" showValue="0">
        <cfvo type="percent" val="0"/>
        <cfvo type="num" val="0"/>
        <cfvo type="num" val="0"/>
      </iconSet>
    </cfRule>
  </conditionalFormatting>
  <conditionalFormatting sqref="Q98:R98">
    <cfRule type="iconSet" priority="456">
      <iconSet iconSet="3Symbols2" showValue="0">
        <cfvo type="percent" val="0"/>
        <cfvo type="num" val="0"/>
        <cfvo type="num" val="0"/>
      </iconSet>
    </cfRule>
  </conditionalFormatting>
  <conditionalFormatting sqref="Q108:R108">
    <cfRule type="iconSet" priority="455">
      <iconSet iconSet="3Symbols2" showValue="0">
        <cfvo type="percent" val="0"/>
        <cfvo type="num" val="0"/>
        <cfvo type="num" val="0"/>
      </iconSet>
    </cfRule>
  </conditionalFormatting>
  <conditionalFormatting sqref="Q118:R118">
    <cfRule type="iconSet" priority="454">
      <iconSet iconSet="3Symbols2" showValue="0">
        <cfvo type="percent" val="0"/>
        <cfvo type="num" val="0"/>
        <cfvo type="num" val="0"/>
      </iconSet>
    </cfRule>
  </conditionalFormatting>
  <conditionalFormatting sqref="Q127:R127">
    <cfRule type="iconSet" priority="453">
      <iconSet iconSet="3Symbols2" showValue="0">
        <cfvo type="percent" val="0"/>
        <cfvo type="num" val="0"/>
        <cfvo type="num" val="0"/>
      </iconSet>
    </cfRule>
  </conditionalFormatting>
  <conditionalFormatting sqref="Q137:R137">
    <cfRule type="iconSet" priority="452">
      <iconSet iconSet="3Symbols2" showValue="0">
        <cfvo type="percent" val="0"/>
        <cfvo type="num" val="0"/>
        <cfvo type="num" val="0"/>
      </iconSet>
    </cfRule>
  </conditionalFormatting>
  <conditionalFormatting sqref="Q152:R152">
    <cfRule type="iconSet" priority="451">
      <iconSet iconSet="3Symbols2" showValue="0">
        <cfvo type="percent" val="0"/>
        <cfvo type="num" val="0"/>
        <cfvo type="num" val="0"/>
      </iconSet>
    </cfRule>
  </conditionalFormatting>
  <conditionalFormatting sqref="Q65:R65">
    <cfRule type="iconSet" priority="450">
      <iconSet iconSet="3Symbols2" showValue="0">
        <cfvo type="percent" val="0"/>
        <cfvo type="num" val="0"/>
        <cfvo type="num" val="0"/>
      </iconSet>
    </cfRule>
  </conditionalFormatting>
  <conditionalFormatting sqref="Q85:R85">
    <cfRule type="iconSet" priority="449">
      <iconSet iconSet="3Symbols2" showValue="0">
        <cfvo type="percent" val="0"/>
        <cfvo type="num" val="0"/>
        <cfvo type="num" val="0"/>
      </iconSet>
    </cfRule>
  </conditionalFormatting>
  <conditionalFormatting sqref="Q64:R64">
    <cfRule type="iconSet" priority="482">
      <iconSet iconSet="3Symbols2" showValue="0">
        <cfvo type="percent" val="0"/>
        <cfvo type="num" val="0"/>
        <cfvo type="num" val="0"/>
      </iconSet>
    </cfRule>
  </conditionalFormatting>
  <conditionalFormatting sqref="Q13:R23">
    <cfRule type="iconSet" priority="448">
      <iconSet iconSet="3Symbols2" showValue="0">
        <cfvo type="percent" val="0"/>
        <cfvo type="num" val="0"/>
        <cfvo type="num" val="0"/>
      </iconSet>
    </cfRule>
  </conditionalFormatting>
  <conditionalFormatting sqref="Q26:R26">
    <cfRule type="iconSet" priority="447">
      <iconSet iconSet="3Symbols2" showValue="0">
        <cfvo type="percent" val="0"/>
        <cfvo type="num" val="0"/>
        <cfvo type="num" val="0"/>
      </iconSet>
    </cfRule>
  </conditionalFormatting>
  <conditionalFormatting sqref="Q29:R39">
    <cfRule type="iconSet" priority="446">
      <iconSet iconSet="3Symbols2" showValue="0">
        <cfvo type="percent" val="0"/>
        <cfvo type="num" val="0"/>
        <cfvo type="num" val="0"/>
      </iconSet>
    </cfRule>
  </conditionalFormatting>
  <conditionalFormatting sqref="Q63:R63 Q45:R51 Q53:R55">
    <cfRule type="iconSet" priority="445">
      <iconSet iconSet="3Symbols2" showValue="0">
        <cfvo type="percent" val="0"/>
        <cfvo type="num" val="0"/>
        <cfvo type="num" val="0"/>
      </iconSet>
    </cfRule>
  </conditionalFormatting>
  <conditionalFormatting sqref="Q66:R74">
    <cfRule type="iconSet" priority="444">
      <iconSet iconSet="3Symbols2" showValue="0">
        <cfvo type="percent" val="0"/>
        <cfvo type="num" val="0"/>
        <cfvo type="num" val="0"/>
      </iconSet>
    </cfRule>
  </conditionalFormatting>
  <conditionalFormatting sqref="Q100:R107">
    <cfRule type="iconSet" priority="443">
      <iconSet iconSet="3Symbols2" showValue="0">
        <cfvo type="percent" val="0"/>
        <cfvo type="num" val="0"/>
        <cfvo type="num" val="0"/>
      </iconSet>
    </cfRule>
  </conditionalFormatting>
  <conditionalFormatting sqref="Q110:R117">
    <cfRule type="iconSet" priority="442">
      <iconSet iconSet="3Symbols2" showValue="0">
        <cfvo type="percent" val="0"/>
        <cfvo type="num" val="0"/>
        <cfvo type="num" val="0"/>
      </iconSet>
    </cfRule>
  </conditionalFormatting>
  <conditionalFormatting sqref="Q129:R136">
    <cfRule type="iconSet" priority="441">
      <iconSet iconSet="3Symbols2" showValue="0">
        <cfvo type="percent" val="0"/>
        <cfvo type="num" val="0"/>
        <cfvo type="num" val="0"/>
      </iconSet>
    </cfRule>
  </conditionalFormatting>
  <conditionalFormatting sqref="Q139:R151">
    <cfRule type="iconSet" priority="440">
      <iconSet iconSet="3Symbols2" showValue="0">
        <cfvo type="percent" val="0"/>
        <cfvo type="num" val="0"/>
        <cfvo type="num" val="0"/>
      </iconSet>
    </cfRule>
  </conditionalFormatting>
  <conditionalFormatting sqref="Q154:R160">
    <cfRule type="iconSet" priority="439">
      <iconSet iconSet="3Symbols2" showValue="0">
        <cfvo type="percent" val="0"/>
        <cfvo type="num" val="0"/>
        <cfvo type="num" val="0"/>
      </iconSet>
    </cfRule>
  </conditionalFormatting>
  <conditionalFormatting sqref="Q75:R75">
    <cfRule type="iconSet" priority="438">
      <iconSet iconSet="3Symbols2" showValue="0">
        <cfvo type="percent" val="0"/>
        <cfvo type="num" val="0"/>
        <cfvo type="num" val="0"/>
      </iconSet>
    </cfRule>
  </conditionalFormatting>
  <conditionalFormatting sqref="Q76:R84">
    <cfRule type="iconSet" priority="437">
      <iconSet iconSet="3Symbols2" showValue="0">
        <cfvo type="percent" val="0"/>
        <cfvo type="num" val="0"/>
        <cfvo type="num" val="0"/>
      </iconSet>
    </cfRule>
  </conditionalFormatting>
  <conditionalFormatting sqref="Q60:R61">
    <cfRule type="iconSet" priority="436">
      <iconSet iconSet="3Symbols2" showValue="0">
        <cfvo type="percent" val="0"/>
        <cfvo type="num" val="0"/>
        <cfvo type="num" val="0"/>
      </iconSet>
    </cfRule>
  </conditionalFormatting>
  <conditionalFormatting sqref="Q52:R52">
    <cfRule type="iconSet" priority="435">
      <iconSet iconSet="3Symbols2" showValue="0">
        <cfvo type="percent" val="0"/>
        <cfvo type="num" val="0"/>
        <cfvo type="num" val="0"/>
      </iconSet>
    </cfRule>
  </conditionalFormatting>
  <conditionalFormatting sqref="S161:T1048576 S120:T126 S6:T8 S10:T10 S42:T42 S58:T58 S88:T97">
    <cfRule type="iconSet" priority="433">
      <iconSet iconSet="3Symbols2" showValue="0">
        <cfvo type="percent" val="0"/>
        <cfvo type="num" val="0"/>
        <cfvo type="num" val="0"/>
      </iconSet>
    </cfRule>
  </conditionalFormatting>
  <conditionalFormatting sqref="S9:T9">
    <cfRule type="iconSet" priority="432">
      <iconSet iconSet="3Symbols2" showValue="0">
        <cfvo type="percent" val="0"/>
        <cfvo type="num" val="0"/>
        <cfvo type="num" val="0"/>
      </iconSet>
    </cfRule>
  </conditionalFormatting>
  <conditionalFormatting sqref="S12:T12">
    <cfRule type="iconSet" priority="431">
      <iconSet iconSet="3Symbols2" showValue="0">
        <cfvo type="percent" val="0"/>
        <cfvo type="num" val="0"/>
        <cfvo type="num" val="0"/>
      </iconSet>
    </cfRule>
  </conditionalFormatting>
  <conditionalFormatting sqref="S25:T25">
    <cfRule type="iconSet" priority="430">
      <iconSet iconSet="3Symbols2" showValue="0">
        <cfvo type="percent" val="0"/>
        <cfvo type="num" val="0"/>
        <cfvo type="num" val="0"/>
      </iconSet>
    </cfRule>
  </conditionalFormatting>
  <conditionalFormatting sqref="S28:T28">
    <cfRule type="iconSet" priority="429">
      <iconSet iconSet="3Symbols2" showValue="0">
        <cfvo type="percent" val="0"/>
        <cfvo type="num" val="0"/>
        <cfvo type="num" val="0"/>
      </iconSet>
    </cfRule>
  </conditionalFormatting>
  <conditionalFormatting sqref="S41:T41">
    <cfRule type="iconSet" priority="428">
      <iconSet iconSet="3Symbols2" showValue="0">
        <cfvo type="percent" val="0"/>
        <cfvo type="num" val="0"/>
        <cfvo type="num" val="0"/>
      </iconSet>
    </cfRule>
  </conditionalFormatting>
  <conditionalFormatting sqref="S44:T44">
    <cfRule type="iconSet" priority="427">
      <iconSet iconSet="3Symbols2" showValue="0">
        <cfvo type="percent" val="0"/>
        <cfvo type="num" val="0"/>
        <cfvo type="num" val="0"/>
      </iconSet>
    </cfRule>
  </conditionalFormatting>
  <conditionalFormatting sqref="S57:T57">
    <cfRule type="iconSet" priority="426">
      <iconSet iconSet="3Symbols2" showValue="0">
        <cfvo type="percent" val="0"/>
        <cfvo type="num" val="0"/>
        <cfvo type="num" val="0"/>
      </iconSet>
    </cfRule>
  </conditionalFormatting>
  <conditionalFormatting sqref="S87:T87">
    <cfRule type="iconSet" priority="425">
      <iconSet iconSet="3Symbols2" showValue="0">
        <cfvo type="percent" val="0"/>
        <cfvo type="num" val="0"/>
        <cfvo type="num" val="0"/>
      </iconSet>
    </cfRule>
  </conditionalFormatting>
  <conditionalFormatting sqref="S99:T99">
    <cfRule type="iconSet" priority="424">
      <iconSet iconSet="3Symbols2" showValue="0">
        <cfvo type="percent" val="0"/>
        <cfvo type="num" val="0"/>
        <cfvo type="num" val="0"/>
      </iconSet>
    </cfRule>
  </conditionalFormatting>
  <conditionalFormatting sqref="S109:T109">
    <cfRule type="iconSet" priority="423">
      <iconSet iconSet="3Symbols2" showValue="0">
        <cfvo type="percent" val="0"/>
        <cfvo type="num" val="0"/>
        <cfvo type="num" val="0"/>
      </iconSet>
    </cfRule>
  </conditionalFormatting>
  <conditionalFormatting sqref="S119:T119">
    <cfRule type="iconSet" priority="422">
      <iconSet iconSet="3Symbols2" showValue="0">
        <cfvo type="percent" val="0"/>
        <cfvo type="num" val="0"/>
        <cfvo type="num" val="0"/>
      </iconSet>
    </cfRule>
  </conditionalFormatting>
  <conditionalFormatting sqref="S128:T128">
    <cfRule type="iconSet" priority="421">
      <iconSet iconSet="3Symbols2" showValue="0">
        <cfvo type="percent" val="0"/>
        <cfvo type="num" val="0"/>
        <cfvo type="num" val="0"/>
      </iconSet>
    </cfRule>
  </conditionalFormatting>
  <conditionalFormatting sqref="S62:T62">
    <cfRule type="iconSet" priority="420">
      <iconSet iconSet="3Symbols2" showValue="0">
        <cfvo type="percent" val="0"/>
        <cfvo type="num" val="0"/>
        <cfvo type="num" val="0"/>
      </iconSet>
    </cfRule>
  </conditionalFormatting>
  <conditionalFormatting sqref="S138:T138">
    <cfRule type="iconSet" priority="419">
      <iconSet iconSet="3Symbols2" showValue="0">
        <cfvo type="percent" val="0"/>
        <cfvo type="num" val="0"/>
        <cfvo type="num" val="0"/>
      </iconSet>
    </cfRule>
  </conditionalFormatting>
  <conditionalFormatting sqref="S153:T153">
    <cfRule type="iconSet" priority="418">
      <iconSet iconSet="3Symbols2" showValue="0">
        <cfvo type="percent" val="0"/>
        <cfvo type="num" val="0"/>
        <cfvo type="num" val="0"/>
      </iconSet>
    </cfRule>
  </conditionalFormatting>
  <conditionalFormatting sqref="S86:T86">
    <cfRule type="iconSet" priority="417">
      <iconSet iconSet="3Symbols2" showValue="0">
        <cfvo type="percent" val="0"/>
        <cfvo type="num" val="0"/>
        <cfvo type="num" val="0"/>
      </iconSet>
    </cfRule>
  </conditionalFormatting>
  <conditionalFormatting sqref="S1:T5">
    <cfRule type="iconSet" priority="416">
      <iconSet iconSet="3Symbols2" showValue="0">
        <cfvo type="percent" val="0"/>
        <cfvo type="num" val="0"/>
        <cfvo type="num" val="1"/>
      </iconSet>
    </cfRule>
  </conditionalFormatting>
  <conditionalFormatting sqref="S11:T11">
    <cfRule type="iconSet" priority="415">
      <iconSet iconSet="3Symbols2" showValue="0">
        <cfvo type="percent" val="0"/>
        <cfvo type="num" val="0"/>
        <cfvo type="num" val="0"/>
      </iconSet>
    </cfRule>
  </conditionalFormatting>
  <conditionalFormatting sqref="S24:T24">
    <cfRule type="iconSet" priority="414">
      <iconSet iconSet="3Symbols2" showValue="0">
        <cfvo type="percent" val="0"/>
        <cfvo type="num" val="0"/>
        <cfvo type="num" val="0"/>
      </iconSet>
    </cfRule>
  </conditionalFormatting>
  <conditionalFormatting sqref="S27:T27">
    <cfRule type="iconSet" priority="413">
      <iconSet iconSet="3Symbols2" showValue="0">
        <cfvo type="percent" val="0"/>
        <cfvo type="num" val="0"/>
        <cfvo type="num" val="0"/>
      </iconSet>
    </cfRule>
  </conditionalFormatting>
  <conditionalFormatting sqref="S40:T40">
    <cfRule type="iconSet" priority="412">
      <iconSet iconSet="3Symbols2" showValue="0">
        <cfvo type="percent" val="0"/>
        <cfvo type="num" val="0"/>
        <cfvo type="num" val="0"/>
      </iconSet>
    </cfRule>
  </conditionalFormatting>
  <conditionalFormatting sqref="S43:T43">
    <cfRule type="iconSet" priority="411">
      <iconSet iconSet="3Symbols2" showValue="0">
        <cfvo type="percent" val="0"/>
        <cfvo type="num" val="0"/>
        <cfvo type="num" val="0"/>
      </iconSet>
    </cfRule>
  </conditionalFormatting>
  <conditionalFormatting sqref="S56:T56">
    <cfRule type="iconSet" priority="410">
      <iconSet iconSet="3Symbols2" showValue="0">
        <cfvo type="percent" val="0"/>
        <cfvo type="num" val="0"/>
        <cfvo type="num" val="0"/>
      </iconSet>
    </cfRule>
  </conditionalFormatting>
  <conditionalFormatting sqref="S59:T59">
    <cfRule type="iconSet" priority="409">
      <iconSet iconSet="3Symbols2" showValue="0">
        <cfvo type="percent" val="0"/>
        <cfvo type="num" val="0"/>
        <cfvo type="num" val="0"/>
      </iconSet>
    </cfRule>
  </conditionalFormatting>
  <conditionalFormatting sqref="S98:T98">
    <cfRule type="iconSet" priority="408">
      <iconSet iconSet="3Symbols2" showValue="0">
        <cfvo type="percent" val="0"/>
        <cfvo type="num" val="0"/>
        <cfvo type="num" val="0"/>
      </iconSet>
    </cfRule>
  </conditionalFormatting>
  <conditionalFormatting sqref="S108:T108">
    <cfRule type="iconSet" priority="407">
      <iconSet iconSet="3Symbols2" showValue="0">
        <cfvo type="percent" val="0"/>
        <cfvo type="num" val="0"/>
        <cfvo type="num" val="0"/>
      </iconSet>
    </cfRule>
  </conditionalFormatting>
  <conditionalFormatting sqref="S118:T118">
    <cfRule type="iconSet" priority="406">
      <iconSet iconSet="3Symbols2" showValue="0">
        <cfvo type="percent" val="0"/>
        <cfvo type="num" val="0"/>
        <cfvo type="num" val="0"/>
      </iconSet>
    </cfRule>
  </conditionalFormatting>
  <conditionalFormatting sqref="S127:T127">
    <cfRule type="iconSet" priority="405">
      <iconSet iconSet="3Symbols2" showValue="0">
        <cfvo type="percent" val="0"/>
        <cfvo type="num" val="0"/>
        <cfvo type="num" val="0"/>
      </iconSet>
    </cfRule>
  </conditionalFormatting>
  <conditionalFormatting sqref="S137:T137">
    <cfRule type="iconSet" priority="404">
      <iconSet iconSet="3Symbols2" showValue="0">
        <cfvo type="percent" val="0"/>
        <cfvo type="num" val="0"/>
        <cfvo type="num" val="0"/>
      </iconSet>
    </cfRule>
  </conditionalFormatting>
  <conditionalFormatting sqref="S152:T152">
    <cfRule type="iconSet" priority="403">
      <iconSet iconSet="3Symbols2" showValue="0">
        <cfvo type="percent" val="0"/>
        <cfvo type="num" val="0"/>
        <cfvo type="num" val="0"/>
      </iconSet>
    </cfRule>
  </conditionalFormatting>
  <conditionalFormatting sqref="S65:T65">
    <cfRule type="iconSet" priority="402">
      <iconSet iconSet="3Symbols2" showValue="0">
        <cfvo type="percent" val="0"/>
        <cfvo type="num" val="0"/>
        <cfvo type="num" val="0"/>
      </iconSet>
    </cfRule>
  </conditionalFormatting>
  <conditionalFormatting sqref="S85:T85">
    <cfRule type="iconSet" priority="401">
      <iconSet iconSet="3Symbols2" showValue="0">
        <cfvo type="percent" val="0"/>
        <cfvo type="num" val="0"/>
        <cfvo type="num" val="0"/>
      </iconSet>
    </cfRule>
  </conditionalFormatting>
  <conditionalFormatting sqref="S64:T64">
    <cfRule type="iconSet" priority="434">
      <iconSet iconSet="3Symbols2" showValue="0">
        <cfvo type="percent" val="0"/>
        <cfvo type="num" val="0"/>
        <cfvo type="num" val="0"/>
      </iconSet>
    </cfRule>
  </conditionalFormatting>
  <conditionalFormatting sqref="S13:T23">
    <cfRule type="iconSet" priority="400">
      <iconSet iconSet="3Symbols2" showValue="0">
        <cfvo type="percent" val="0"/>
        <cfvo type="num" val="0"/>
        <cfvo type="num" val="0"/>
      </iconSet>
    </cfRule>
  </conditionalFormatting>
  <conditionalFormatting sqref="S26:T26">
    <cfRule type="iconSet" priority="399">
      <iconSet iconSet="3Symbols2" showValue="0">
        <cfvo type="percent" val="0"/>
        <cfvo type="num" val="0"/>
        <cfvo type="num" val="0"/>
      </iconSet>
    </cfRule>
  </conditionalFormatting>
  <conditionalFormatting sqref="S29:T39">
    <cfRule type="iconSet" priority="398">
      <iconSet iconSet="3Symbols2" showValue="0">
        <cfvo type="percent" val="0"/>
        <cfvo type="num" val="0"/>
        <cfvo type="num" val="0"/>
      </iconSet>
    </cfRule>
  </conditionalFormatting>
  <conditionalFormatting sqref="S63:T63 S45:T51 S53:T55">
    <cfRule type="iconSet" priority="397">
      <iconSet iconSet="3Symbols2" showValue="0">
        <cfvo type="percent" val="0"/>
        <cfvo type="num" val="0"/>
        <cfvo type="num" val="0"/>
      </iconSet>
    </cfRule>
  </conditionalFormatting>
  <conditionalFormatting sqref="S66:T74">
    <cfRule type="iconSet" priority="396">
      <iconSet iconSet="3Symbols2" showValue="0">
        <cfvo type="percent" val="0"/>
        <cfvo type="num" val="0"/>
        <cfvo type="num" val="0"/>
      </iconSet>
    </cfRule>
  </conditionalFormatting>
  <conditionalFormatting sqref="S100:T107">
    <cfRule type="iconSet" priority="395">
      <iconSet iconSet="3Symbols2" showValue="0">
        <cfvo type="percent" val="0"/>
        <cfvo type="num" val="0"/>
        <cfvo type="num" val="0"/>
      </iconSet>
    </cfRule>
  </conditionalFormatting>
  <conditionalFormatting sqref="S110:T117">
    <cfRule type="iconSet" priority="394">
      <iconSet iconSet="3Symbols2" showValue="0">
        <cfvo type="percent" val="0"/>
        <cfvo type="num" val="0"/>
        <cfvo type="num" val="0"/>
      </iconSet>
    </cfRule>
  </conditionalFormatting>
  <conditionalFormatting sqref="S129:T136">
    <cfRule type="iconSet" priority="393">
      <iconSet iconSet="3Symbols2" showValue="0">
        <cfvo type="percent" val="0"/>
        <cfvo type="num" val="0"/>
        <cfvo type="num" val="0"/>
      </iconSet>
    </cfRule>
  </conditionalFormatting>
  <conditionalFormatting sqref="S139:T151">
    <cfRule type="iconSet" priority="392">
      <iconSet iconSet="3Symbols2" showValue="0">
        <cfvo type="percent" val="0"/>
        <cfvo type="num" val="0"/>
        <cfvo type="num" val="0"/>
      </iconSet>
    </cfRule>
  </conditionalFormatting>
  <conditionalFormatting sqref="S154:T160">
    <cfRule type="iconSet" priority="391">
      <iconSet iconSet="3Symbols2" showValue="0">
        <cfvo type="percent" val="0"/>
        <cfvo type="num" val="0"/>
        <cfvo type="num" val="0"/>
      </iconSet>
    </cfRule>
  </conditionalFormatting>
  <conditionalFormatting sqref="S75:T75">
    <cfRule type="iconSet" priority="390">
      <iconSet iconSet="3Symbols2" showValue="0">
        <cfvo type="percent" val="0"/>
        <cfvo type="num" val="0"/>
        <cfvo type="num" val="0"/>
      </iconSet>
    </cfRule>
  </conditionalFormatting>
  <conditionalFormatting sqref="S76:T84">
    <cfRule type="iconSet" priority="389">
      <iconSet iconSet="3Symbols2" showValue="0">
        <cfvo type="percent" val="0"/>
        <cfvo type="num" val="0"/>
        <cfvo type="num" val="0"/>
      </iconSet>
    </cfRule>
  </conditionalFormatting>
  <conditionalFormatting sqref="S60:T61">
    <cfRule type="iconSet" priority="388">
      <iconSet iconSet="3Symbols2" showValue="0">
        <cfvo type="percent" val="0"/>
        <cfvo type="num" val="0"/>
        <cfvo type="num" val="0"/>
      </iconSet>
    </cfRule>
  </conditionalFormatting>
  <conditionalFormatting sqref="S52:T52">
    <cfRule type="iconSet" priority="387">
      <iconSet iconSet="3Symbols2" showValue="0">
        <cfvo type="percent" val="0"/>
        <cfvo type="num" val="0"/>
        <cfvo type="num" val="0"/>
      </iconSet>
    </cfRule>
  </conditionalFormatting>
  <conditionalFormatting sqref="U161:V1048576 U120:V126 U6:V8 U10:V10 U42:V42 U58:V58 U88:V97">
    <cfRule type="iconSet" priority="385">
      <iconSet iconSet="3Symbols2" showValue="0">
        <cfvo type="percent" val="0"/>
        <cfvo type="num" val="0"/>
        <cfvo type="num" val="0"/>
      </iconSet>
    </cfRule>
  </conditionalFormatting>
  <conditionalFormatting sqref="U9:V9">
    <cfRule type="iconSet" priority="384">
      <iconSet iconSet="3Symbols2" showValue="0">
        <cfvo type="percent" val="0"/>
        <cfvo type="num" val="0"/>
        <cfvo type="num" val="0"/>
      </iconSet>
    </cfRule>
  </conditionalFormatting>
  <conditionalFormatting sqref="U12:V12">
    <cfRule type="iconSet" priority="383">
      <iconSet iconSet="3Symbols2" showValue="0">
        <cfvo type="percent" val="0"/>
        <cfvo type="num" val="0"/>
        <cfvo type="num" val="0"/>
      </iconSet>
    </cfRule>
  </conditionalFormatting>
  <conditionalFormatting sqref="U25:V25">
    <cfRule type="iconSet" priority="382">
      <iconSet iconSet="3Symbols2" showValue="0">
        <cfvo type="percent" val="0"/>
        <cfvo type="num" val="0"/>
        <cfvo type="num" val="0"/>
      </iconSet>
    </cfRule>
  </conditionalFormatting>
  <conditionalFormatting sqref="U28:V28">
    <cfRule type="iconSet" priority="381">
      <iconSet iconSet="3Symbols2" showValue="0">
        <cfvo type="percent" val="0"/>
        <cfvo type="num" val="0"/>
        <cfvo type="num" val="0"/>
      </iconSet>
    </cfRule>
  </conditionalFormatting>
  <conditionalFormatting sqref="U41:V41">
    <cfRule type="iconSet" priority="380">
      <iconSet iconSet="3Symbols2" showValue="0">
        <cfvo type="percent" val="0"/>
        <cfvo type="num" val="0"/>
        <cfvo type="num" val="0"/>
      </iconSet>
    </cfRule>
  </conditionalFormatting>
  <conditionalFormatting sqref="U44:V44">
    <cfRule type="iconSet" priority="379">
      <iconSet iconSet="3Symbols2" showValue="0">
        <cfvo type="percent" val="0"/>
        <cfvo type="num" val="0"/>
        <cfvo type="num" val="0"/>
      </iconSet>
    </cfRule>
  </conditionalFormatting>
  <conditionalFormatting sqref="U57:V57">
    <cfRule type="iconSet" priority="378">
      <iconSet iconSet="3Symbols2" showValue="0">
        <cfvo type="percent" val="0"/>
        <cfvo type="num" val="0"/>
        <cfvo type="num" val="0"/>
      </iconSet>
    </cfRule>
  </conditionalFormatting>
  <conditionalFormatting sqref="U87:V87">
    <cfRule type="iconSet" priority="377">
      <iconSet iconSet="3Symbols2" showValue="0">
        <cfvo type="percent" val="0"/>
        <cfvo type="num" val="0"/>
        <cfvo type="num" val="0"/>
      </iconSet>
    </cfRule>
  </conditionalFormatting>
  <conditionalFormatting sqref="U99:V99">
    <cfRule type="iconSet" priority="376">
      <iconSet iconSet="3Symbols2" showValue="0">
        <cfvo type="percent" val="0"/>
        <cfvo type="num" val="0"/>
        <cfvo type="num" val="0"/>
      </iconSet>
    </cfRule>
  </conditionalFormatting>
  <conditionalFormatting sqref="U109:V109">
    <cfRule type="iconSet" priority="375">
      <iconSet iconSet="3Symbols2" showValue="0">
        <cfvo type="percent" val="0"/>
        <cfvo type="num" val="0"/>
        <cfvo type="num" val="0"/>
      </iconSet>
    </cfRule>
  </conditionalFormatting>
  <conditionalFormatting sqref="U119:V119">
    <cfRule type="iconSet" priority="374">
      <iconSet iconSet="3Symbols2" showValue="0">
        <cfvo type="percent" val="0"/>
        <cfvo type="num" val="0"/>
        <cfvo type="num" val="0"/>
      </iconSet>
    </cfRule>
  </conditionalFormatting>
  <conditionalFormatting sqref="U128:V128">
    <cfRule type="iconSet" priority="373">
      <iconSet iconSet="3Symbols2" showValue="0">
        <cfvo type="percent" val="0"/>
        <cfvo type="num" val="0"/>
        <cfvo type="num" val="0"/>
      </iconSet>
    </cfRule>
  </conditionalFormatting>
  <conditionalFormatting sqref="U62:V62">
    <cfRule type="iconSet" priority="372">
      <iconSet iconSet="3Symbols2" showValue="0">
        <cfvo type="percent" val="0"/>
        <cfvo type="num" val="0"/>
        <cfvo type="num" val="0"/>
      </iconSet>
    </cfRule>
  </conditionalFormatting>
  <conditionalFormatting sqref="U138:V138">
    <cfRule type="iconSet" priority="371">
      <iconSet iconSet="3Symbols2" showValue="0">
        <cfvo type="percent" val="0"/>
        <cfvo type="num" val="0"/>
        <cfvo type="num" val="0"/>
      </iconSet>
    </cfRule>
  </conditionalFormatting>
  <conditionalFormatting sqref="U153:V153">
    <cfRule type="iconSet" priority="370">
      <iconSet iconSet="3Symbols2" showValue="0">
        <cfvo type="percent" val="0"/>
        <cfvo type="num" val="0"/>
        <cfvo type="num" val="0"/>
      </iconSet>
    </cfRule>
  </conditionalFormatting>
  <conditionalFormatting sqref="U86:V86">
    <cfRule type="iconSet" priority="369">
      <iconSet iconSet="3Symbols2" showValue="0">
        <cfvo type="percent" val="0"/>
        <cfvo type="num" val="0"/>
        <cfvo type="num" val="0"/>
      </iconSet>
    </cfRule>
  </conditionalFormatting>
  <conditionalFormatting sqref="U1:V5">
    <cfRule type="iconSet" priority="368">
      <iconSet iconSet="3Symbols2" showValue="0">
        <cfvo type="percent" val="0"/>
        <cfvo type="num" val="0"/>
        <cfvo type="num" val="1"/>
      </iconSet>
    </cfRule>
  </conditionalFormatting>
  <conditionalFormatting sqref="U11:V11">
    <cfRule type="iconSet" priority="367">
      <iconSet iconSet="3Symbols2" showValue="0">
        <cfvo type="percent" val="0"/>
        <cfvo type="num" val="0"/>
        <cfvo type="num" val="0"/>
      </iconSet>
    </cfRule>
  </conditionalFormatting>
  <conditionalFormatting sqref="U24:V24">
    <cfRule type="iconSet" priority="366">
      <iconSet iconSet="3Symbols2" showValue="0">
        <cfvo type="percent" val="0"/>
        <cfvo type="num" val="0"/>
        <cfvo type="num" val="0"/>
      </iconSet>
    </cfRule>
  </conditionalFormatting>
  <conditionalFormatting sqref="U27:V27">
    <cfRule type="iconSet" priority="365">
      <iconSet iconSet="3Symbols2" showValue="0">
        <cfvo type="percent" val="0"/>
        <cfvo type="num" val="0"/>
        <cfvo type="num" val="0"/>
      </iconSet>
    </cfRule>
  </conditionalFormatting>
  <conditionalFormatting sqref="U40:V40">
    <cfRule type="iconSet" priority="364">
      <iconSet iconSet="3Symbols2" showValue="0">
        <cfvo type="percent" val="0"/>
        <cfvo type="num" val="0"/>
        <cfvo type="num" val="0"/>
      </iconSet>
    </cfRule>
  </conditionalFormatting>
  <conditionalFormatting sqref="U43:V43">
    <cfRule type="iconSet" priority="363">
      <iconSet iconSet="3Symbols2" showValue="0">
        <cfvo type="percent" val="0"/>
        <cfvo type="num" val="0"/>
        <cfvo type="num" val="0"/>
      </iconSet>
    </cfRule>
  </conditionalFormatting>
  <conditionalFormatting sqref="U56:V56">
    <cfRule type="iconSet" priority="362">
      <iconSet iconSet="3Symbols2" showValue="0">
        <cfvo type="percent" val="0"/>
        <cfvo type="num" val="0"/>
        <cfvo type="num" val="0"/>
      </iconSet>
    </cfRule>
  </conditionalFormatting>
  <conditionalFormatting sqref="U59:V59">
    <cfRule type="iconSet" priority="361">
      <iconSet iconSet="3Symbols2" showValue="0">
        <cfvo type="percent" val="0"/>
        <cfvo type="num" val="0"/>
        <cfvo type="num" val="0"/>
      </iconSet>
    </cfRule>
  </conditionalFormatting>
  <conditionalFormatting sqref="U98:V98">
    <cfRule type="iconSet" priority="360">
      <iconSet iconSet="3Symbols2" showValue="0">
        <cfvo type="percent" val="0"/>
        <cfvo type="num" val="0"/>
        <cfvo type="num" val="0"/>
      </iconSet>
    </cfRule>
  </conditionalFormatting>
  <conditionalFormatting sqref="U108:V108">
    <cfRule type="iconSet" priority="359">
      <iconSet iconSet="3Symbols2" showValue="0">
        <cfvo type="percent" val="0"/>
        <cfvo type="num" val="0"/>
        <cfvo type="num" val="0"/>
      </iconSet>
    </cfRule>
  </conditionalFormatting>
  <conditionalFormatting sqref="U118:V118">
    <cfRule type="iconSet" priority="358">
      <iconSet iconSet="3Symbols2" showValue="0">
        <cfvo type="percent" val="0"/>
        <cfvo type="num" val="0"/>
        <cfvo type="num" val="0"/>
      </iconSet>
    </cfRule>
  </conditionalFormatting>
  <conditionalFormatting sqref="U127:V127">
    <cfRule type="iconSet" priority="357">
      <iconSet iconSet="3Symbols2" showValue="0">
        <cfvo type="percent" val="0"/>
        <cfvo type="num" val="0"/>
        <cfvo type="num" val="0"/>
      </iconSet>
    </cfRule>
  </conditionalFormatting>
  <conditionalFormatting sqref="U137:V137">
    <cfRule type="iconSet" priority="356">
      <iconSet iconSet="3Symbols2" showValue="0">
        <cfvo type="percent" val="0"/>
        <cfvo type="num" val="0"/>
        <cfvo type="num" val="0"/>
      </iconSet>
    </cfRule>
  </conditionalFormatting>
  <conditionalFormatting sqref="U152:V152">
    <cfRule type="iconSet" priority="355">
      <iconSet iconSet="3Symbols2" showValue="0">
        <cfvo type="percent" val="0"/>
        <cfvo type="num" val="0"/>
        <cfvo type="num" val="0"/>
      </iconSet>
    </cfRule>
  </conditionalFormatting>
  <conditionalFormatting sqref="U65:V65">
    <cfRule type="iconSet" priority="354">
      <iconSet iconSet="3Symbols2" showValue="0">
        <cfvo type="percent" val="0"/>
        <cfvo type="num" val="0"/>
        <cfvo type="num" val="0"/>
      </iconSet>
    </cfRule>
  </conditionalFormatting>
  <conditionalFormatting sqref="U85:V85">
    <cfRule type="iconSet" priority="353">
      <iconSet iconSet="3Symbols2" showValue="0">
        <cfvo type="percent" val="0"/>
        <cfvo type="num" val="0"/>
        <cfvo type="num" val="0"/>
      </iconSet>
    </cfRule>
  </conditionalFormatting>
  <conditionalFormatting sqref="U64:V64">
    <cfRule type="iconSet" priority="386">
      <iconSet iconSet="3Symbols2" showValue="0">
        <cfvo type="percent" val="0"/>
        <cfvo type="num" val="0"/>
        <cfvo type="num" val="0"/>
      </iconSet>
    </cfRule>
  </conditionalFormatting>
  <conditionalFormatting sqref="U13:V23">
    <cfRule type="iconSet" priority="352">
      <iconSet iconSet="3Symbols2" showValue="0">
        <cfvo type="percent" val="0"/>
        <cfvo type="num" val="0"/>
        <cfvo type="num" val="0"/>
      </iconSet>
    </cfRule>
  </conditionalFormatting>
  <conditionalFormatting sqref="U26:V26">
    <cfRule type="iconSet" priority="351">
      <iconSet iconSet="3Symbols2" showValue="0">
        <cfvo type="percent" val="0"/>
        <cfvo type="num" val="0"/>
        <cfvo type="num" val="0"/>
      </iconSet>
    </cfRule>
  </conditionalFormatting>
  <conditionalFormatting sqref="U29:V39">
    <cfRule type="iconSet" priority="350">
      <iconSet iconSet="3Symbols2" showValue="0">
        <cfvo type="percent" val="0"/>
        <cfvo type="num" val="0"/>
        <cfvo type="num" val="0"/>
      </iconSet>
    </cfRule>
  </conditionalFormatting>
  <conditionalFormatting sqref="U63:V63 U45:V51 U53:V55">
    <cfRule type="iconSet" priority="349">
      <iconSet iconSet="3Symbols2" showValue="0">
        <cfvo type="percent" val="0"/>
        <cfvo type="num" val="0"/>
        <cfvo type="num" val="0"/>
      </iconSet>
    </cfRule>
  </conditionalFormatting>
  <conditionalFormatting sqref="U66:V74">
    <cfRule type="iconSet" priority="348">
      <iconSet iconSet="3Symbols2" showValue="0">
        <cfvo type="percent" val="0"/>
        <cfvo type="num" val="0"/>
        <cfvo type="num" val="0"/>
      </iconSet>
    </cfRule>
  </conditionalFormatting>
  <conditionalFormatting sqref="U100:V107">
    <cfRule type="iconSet" priority="347">
      <iconSet iconSet="3Symbols2" showValue="0">
        <cfvo type="percent" val="0"/>
        <cfvo type="num" val="0"/>
        <cfvo type="num" val="0"/>
      </iconSet>
    </cfRule>
  </conditionalFormatting>
  <conditionalFormatting sqref="U110:V117">
    <cfRule type="iconSet" priority="346">
      <iconSet iconSet="3Symbols2" showValue="0">
        <cfvo type="percent" val="0"/>
        <cfvo type="num" val="0"/>
        <cfvo type="num" val="0"/>
      </iconSet>
    </cfRule>
  </conditionalFormatting>
  <conditionalFormatting sqref="U129:V136">
    <cfRule type="iconSet" priority="345">
      <iconSet iconSet="3Symbols2" showValue="0">
        <cfvo type="percent" val="0"/>
        <cfvo type="num" val="0"/>
        <cfvo type="num" val="0"/>
      </iconSet>
    </cfRule>
  </conditionalFormatting>
  <conditionalFormatting sqref="U139:V151">
    <cfRule type="iconSet" priority="344">
      <iconSet iconSet="3Symbols2" showValue="0">
        <cfvo type="percent" val="0"/>
        <cfvo type="num" val="0"/>
        <cfvo type="num" val="0"/>
      </iconSet>
    </cfRule>
  </conditionalFormatting>
  <conditionalFormatting sqref="U154:V160">
    <cfRule type="iconSet" priority="343">
      <iconSet iconSet="3Symbols2" showValue="0">
        <cfvo type="percent" val="0"/>
        <cfvo type="num" val="0"/>
        <cfvo type="num" val="0"/>
      </iconSet>
    </cfRule>
  </conditionalFormatting>
  <conditionalFormatting sqref="U75:V75">
    <cfRule type="iconSet" priority="342">
      <iconSet iconSet="3Symbols2" showValue="0">
        <cfvo type="percent" val="0"/>
        <cfvo type="num" val="0"/>
        <cfvo type="num" val="0"/>
      </iconSet>
    </cfRule>
  </conditionalFormatting>
  <conditionalFormatting sqref="U76:V84">
    <cfRule type="iconSet" priority="341">
      <iconSet iconSet="3Symbols2" showValue="0">
        <cfvo type="percent" val="0"/>
        <cfvo type="num" val="0"/>
        <cfvo type="num" val="0"/>
      </iconSet>
    </cfRule>
  </conditionalFormatting>
  <conditionalFormatting sqref="U60:V61">
    <cfRule type="iconSet" priority="340">
      <iconSet iconSet="3Symbols2" showValue="0">
        <cfvo type="percent" val="0"/>
        <cfvo type="num" val="0"/>
        <cfvo type="num" val="0"/>
      </iconSet>
    </cfRule>
  </conditionalFormatting>
  <conditionalFormatting sqref="U52:V52">
    <cfRule type="iconSet" priority="339">
      <iconSet iconSet="3Symbols2" showValue="0">
        <cfvo type="percent" val="0"/>
        <cfvo type="num" val="0"/>
        <cfvo type="num" val="0"/>
      </iconSet>
    </cfRule>
  </conditionalFormatting>
  <conditionalFormatting sqref="W161:X1048576 W120:X126 W6:X8 W10:X10 W42:X42 W58:X58 W88:X97">
    <cfRule type="iconSet" priority="337">
      <iconSet iconSet="3Symbols2" showValue="0">
        <cfvo type="percent" val="0"/>
        <cfvo type="num" val="0"/>
        <cfvo type="num" val="0"/>
      </iconSet>
    </cfRule>
  </conditionalFormatting>
  <conditionalFormatting sqref="W9:X9">
    <cfRule type="iconSet" priority="336">
      <iconSet iconSet="3Symbols2" showValue="0">
        <cfvo type="percent" val="0"/>
        <cfvo type="num" val="0"/>
        <cfvo type="num" val="0"/>
      </iconSet>
    </cfRule>
  </conditionalFormatting>
  <conditionalFormatting sqref="W12:X12">
    <cfRule type="iconSet" priority="335">
      <iconSet iconSet="3Symbols2" showValue="0">
        <cfvo type="percent" val="0"/>
        <cfvo type="num" val="0"/>
        <cfvo type="num" val="0"/>
      </iconSet>
    </cfRule>
  </conditionalFormatting>
  <conditionalFormatting sqref="W25:X25">
    <cfRule type="iconSet" priority="334">
      <iconSet iconSet="3Symbols2" showValue="0">
        <cfvo type="percent" val="0"/>
        <cfvo type="num" val="0"/>
        <cfvo type="num" val="0"/>
      </iconSet>
    </cfRule>
  </conditionalFormatting>
  <conditionalFormatting sqref="W28:X28">
    <cfRule type="iconSet" priority="333">
      <iconSet iconSet="3Symbols2" showValue="0">
        <cfvo type="percent" val="0"/>
        <cfvo type="num" val="0"/>
        <cfvo type="num" val="0"/>
      </iconSet>
    </cfRule>
  </conditionalFormatting>
  <conditionalFormatting sqref="W41:X41">
    <cfRule type="iconSet" priority="332">
      <iconSet iconSet="3Symbols2" showValue="0">
        <cfvo type="percent" val="0"/>
        <cfvo type="num" val="0"/>
        <cfvo type="num" val="0"/>
      </iconSet>
    </cfRule>
  </conditionalFormatting>
  <conditionalFormatting sqref="W44:X44">
    <cfRule type="iconSet" priority="331">
      <iconSet iconSet="3Symbols2" showValue="0">
        <cfvo type="percent" val="0"/>
        <cfvo type="num" val="0"/>
        <cfvo type="num" val="0"/>
      </iconSet>
    </cfRule>
  </conditionalFormatting>
  <conditionalFormatting sqref="W57:X57">
    <cfRule type="iconSet" priority="330">
      <iconSet iconSet="3Symbols2" showValue="0">
        <cfvo type="percent" val="0"/>
        <cfvo type="num" val="0"/>
        <cfvo type="num" val="0"/>
      </iconSet>
    </cfRule>
  </conditionalFormatting>
  <conditionalFormatting sqref="W87:X87">
    <cfRule type="iconSet" priority="329">
      <iconSet iconSet="3Symbols2" showValue="0">
        <cfvo type="percent" val="0"/>
        <cfvo type="num" val="0"/>
        <cfvo type="num" val="0"/>
      </iconSet>
    </cfRule>
  </conditionalFormatting>
  <conditionalFormatting sqref="W99:X99">
    <cfRule type="iconSet" priority="328">
      <iconSet iconSet="3Symbols2" showValue="0">
        <cfvo type="percent" val="0"/>
        <cfvo type="num" val="0"/>
        <cfvo type="num" val="0"/>
      </iconSet>
    </cfRule>
  </conditionalFormatting>
  <conditionalFormatting sqref="W109:X109">
    <cfRule type="iconSet" priority="327">
      <iconSet iconSet="3Symbols2" showValue="0">
        <cfvo type="percent" val="0"/>
        <cfvo type="num" val="0"/>
        <cfvo type="num" val="0"/>
      </iconSet>
    </cfRule>
  </conditionalFormatting>
  <conditionalFormatting sqref="W119:X119">
    <cfRule type="iconSet" priority="326">
      <iconSet iconSet="3Symbols2" showValue="0">
        <cfvo type="percent" val="0"/>
        <cfvo type="num" val="0"/>
        <cfvo type="num" val="0"/>
      </iconSet>
    </cfRule>
  </conditionalFormatting>
  <conditionalFormatting sqref="W128:X128">
    <cfRule type="iconSet" priority="325">
      <iconSet iconSet="3Symbols2" showValue="0">
        <cfvo type="percent" val="0"/>
        <cfvo type="num" val="0"/>
        <cfvo type="num" val="0"/>
      </iconSet>
    </cfRule>
  </conditionalFormatting>
  <conditionalFormatting sqref="W62:X62">
    <cfRule type="iconSet" priority="324">
      <iconSet iconSet="3Symbols2" showValue="0">
        <cfvo type="percent" val="0"/>
        <cfvo type="num" val="0"/>
        <cfvo type="num" val="0"/>
      </iconSet>
    </cfRule>
  </conditionalFormatting>
  <conditionalFormatting sqref="W138:X138">
    <cfRule type="iconSet" priority="323">
      <iconSet iconSet="3Symbols2" showValue="0">
        <cfvo type="percent" val="0"/>
        <cfvo type="num" val="0"/>
        <cfvo type="num" val="0"/>
      </iconSet>
    </cfRule>
  </conditionalFormatting>
  <conditionalFormatting sqref="W153:X153">
    <cfRule type="iconSet" priority="322">
      <iconSet iconSet="3Symbols2" showValue="0">
        <cfvo type="percent" val="0"/>
        <cfvo type="num" val="0"/>
        <cfvo type="num" val="0"/>
      </iconSet>
    </cfRule>
  </conditionalFormatting>
  <conditionalFormatting sqref="W86:X86">
    <cfRule type="iconSet" priority="321">
      <iconSet iconSet="3Symbols2" showValue="0">
        <cfvo type="percent" val="0"/>
        <cfvo type="num" val="0"/>
        <cfvo type="num" val="0"/>
      </iconSet>
    </cfRule>
  </conditionalFormatting>
  <conditionalFormatting sqref="W1:X5">
    <cfRule type="iconSet" priority="320">
      <iconSet iconSet="3Symbols2" showValue="0">
        <cfvo type="percent" val="0"/>
        <cfvo type="num" val="0"/>
        <cfvo type="num" val="1"/>
      </iconSet>
    </cfRule>
  </conditionalFormatting>
  <conditionalFormatting sqref="W11:X11">
    <cfRule type="iconSet" priority="319">
      <iconSet iconSet="3Symbols2" showValue="0">
        <cfvo type="percent" val="0"/>
        <cfvo type="num" val="0"/>
        <cfvo type="num" val="0"/>
      </iconSet>
    </cfRule>
  </conditionalFormatting>
  <conditionalFormatting sqref="W24:X24">
    <cfRule type="iconSet" priority="318">
      <iconSet iconSet="3Symbols2" showValue="0">
        <cfvo type="percent" val="0"/>
        <cfvo type="num" val="0"/>
        <cfvo type="num" val="0"/>
      </iconSet>
    </cfRule>
  </conditionalFormatting>
  <conditionalFormatting sqref="W27:X27">
    <cfRule type="iconSet" priority="317">
      <iconSet iconSet="3Symbols2" showValue="0">
        <cfvo type="percent" val="0"/>
        <cfvo type="num" val="0"/>
        <cfvo type="num" val="0"/>
      </iconSet>
    </cfRule>
  </conditionalFormatting>
  <conditionalFormatting sqref="W40:X40">
    <cfRule type="iconSet" priority="316">
      <iconSet iconSet="3Symbols2" showValue="0">
        <cfvo type="percent" val="0"/>
        <cfvo type="num" val="0"/>
        <cfvo type="num" val="0"/>
      </iconSet>
    </cfRule>
  </conditionalFormatting>
  <conditionalFormatting sqref="W43:X43">
    <cfRule type="iconSet" priority="315">
      <iconSet iconSet="3Symbols2" showValue="0">
        <cfvo type="percent" val="0"/>
        <cfvo type="num" val="0"/>
        <cfvo type="num" val="0"/>
      </iconSet>
    </cfRule>
  </conditionalFormatting>
  <conditionalFormatting sqref="W56:X56">
    <cfRule type="iconSet" priority="314">
      <iconSet iconSet="3Symbols2" showValue="0">
        <cfvo type="percent" val="0"/>
        <cfvo type="num" val="0"/>
        <cfvo type="num" val="0"/>
      </iconSet>
    </cfRule>
  </conditionalFormatting>
  <conditionalFormatting sqref="W59:X59">
    <cfRule type="iconSet" priority="313">
      <iconSet iconSet="3Symbols2" showValue="0">
        <cfvo type="percent" val="0"/>
        <cfvo type="num" val="0"/>
        <cfvo type="num" val="0"/>
      </iconSet>
    </cfRule>
  </conditionalFormatting>
  <conditionalFormatting sqref="W98:X98">
    <cfRule type="iconSet" priority="312">
      <iconSet iconSet="3Symbols2" showValue="0">
        <cfvo type="percent" val="0"/>
        <cfvo type="num" val="0"/>
        <cfvo type="num" val="0"/>
      </iconSet>
    </cfRule>
  </conditionalFormatting>
  <conditionalFormatting sqref="W108:X108">
    <cfRule type="iconSet" priority="311">
      <iconSet iconSet="3Symbols2" showValue="0">
        <cfvo type="percent" val="0"/>
        <cfvo type="num" val="0"/>
        <cfvo type="num" val="0"/>
      </iconSet>
    </cfRule>
  </conditionalFormatting>
  <conditionalFormatting sqref="W118:X118">
    <cfRule type="iconSet" priority="310">
      <iconSet iconSet="3Symbols2" showValue="0">
        <cfvo type="percent" val="0"/>
        <cfvo type="num" val="0"/>
        <cfvo type="num" val="0"/>
      </iconSet>
    </cfRule>
  </conditionalFormatting>
  <conditionalFormatting sqref="W127:X127">
    <cfRule type="iconSet" priority="309">
      <iconSet iconSet="3Symbols2" showValue="0">
        <cfvo type="percent" val="0"/>
        <cfvo type="num" val="0"/>
        <cfvo type="num" val="0"/>
      </iconSet>
    </cfRule>
  </conditionalFormatting>
  <conditionalFormatting sqref="W137:X137">
    <cfRule type="iconSet" priority="308">
      <iconSet iconSet="3Symbols2" showValue="0">
        <cfvo type="percent" val="0"/>
        <cfvo type="num" val="0"/>
        <cfvo type="num" val="0"/>
      </iconSet>
    </cfRule>
  </conditionalFormatting>
  <conditionalFormatting sqref="W152:X152">
    <cfRule type="iconSet" priority="307">
      <iconSet iconSet="3Symbols2" showValue="0">
        <cfvo type="percent" val="0"/>
        <cfvo type="num" val="0"/>
        <cfvo type="num" val="0"/>
      </iconSet>
    </cfRule>
  </conditionalFormatting>
  <conditionalFormatting sqref="W65:X65">
    <cfRule type="iconSet" priority="306">
      <iconSet iconSet="3Symbols2" showValue="0">
        <cfvo type="percent" val="0"/>
        <cfvo type="num" val="0"/>
        <cfvo type="num" val="0"/>
      </iconSet>
    </cfRule>
  </conditionalFormatting>
  <conditionalFormatting sqref="W85:X85">
    <cfRule type="iconSet" priority="305">
      <iconSet iconSet="3Symbols2" showValue="0">
        <cfvo type="percent" val="0"/>
        <cfvo type="num" val="0"/>
        <cfvo type="num" val="0"/>
      </iconSet>
    </cfRule>
  </conditionalFormatting>
  <conditionalFormatting sqref="W64:X64">
    <cfRule type="iconSet" priority="338">
      <iconSet iconSet="3Symbols2" showValue="0">
        <cfvo type="percent" val="0"/>
        <cfvo type="num" val="0"/>
        <cfvo type="num" val="0"/>
      </iconSet>
    </cfRule>
  </conditionalFormatting>
  <conditionalFormatting sqref="W13:X23">
    <cfRule type="iconSet" priority="304">
      <iconSet iconSet="3Symbols2" showValue="0">
        <cfvo type="percent" val="0"/>
        <cfvo type="num" val="0"/>
        <cfvo type="num" val="0"/>
      </iconSet>
    </cfRule>
  </conditionalFormatting>
  <conditionalFormatting sqref="W26:X26">
    <cfRule type="iconSet" priority="303">
      <iconSet iconSet="3Symbols2" showValue="0">
        <cfvo type="percent" val="0"/>
        <cfvo type="num" val="0"/>
        <cfvo type="num" val="0"/>
      </iconSet>
    </cfRule>
  </conditionalFormatting>
  <conditionalFormatting sqref="W29:X39">
    <cfRule type="iconSet" priority="302">
      <iconSet iconSet="3Symbols2" showValue="0">
        <cfvo type="percent" val="0"/>
        <cfvo type="num" val="0"/>
        <cfvo type="num" val="0"/>
      </iconSet>
    </cfRule>
  </conditionalFormatting>
  <conditionalFormatting sqref="W63:X63 W45:X51 W53:X55">
    <cfRule type="iconSet" priority="301">
      <iconSet iconSet="3Symbols2" showValue="0">
        <cfvo type="percent" val="0"/>
        <cfvo type="num" val="0"/>
        <cfvo type="num" val="0"/>
      </iconSet>
    </cfRule>
  </conditionalFormatting>
  <conditionalFormatting sqref="W66:X74">
    <cfRule type="iconSet" priority="300">
      <iconSet iconSet="3Symbols2" showValue="0">
        <cfvo type="percent" val="0"/>
        <cfvo type="num" val="0"/>
        <cfvo type="num" val="0"/>
      </iconSet>
    </cfRule>
  </conditionalFormatting>
  <conditionalFormatting sqref="W100:X107">
    <cfRule type="iconSet" priority="299">
      <iconSet iconSet="3Symbols2" showValue="0">
        <cfvo type="percent" val="0"/>
        <cfvo type="num" val="0"/>
        <cfvo type="num" val="0"/>
      </iconSet>
    </cfRule>
  </conditionalFormatting>
  <conditionalFormatting sqref="W110:X117">
    <cfRule type="iconSet" priority="298">
      <iconSet iconSet="3Symbols2" showValue="0">
        <cfvo type="percent" val="0"/>
        <cfvo type="num" val="0"/>
        <cfvo type="num" val="0"/>
      </iconSet>
    </cfRule>
  </conditionalFormatting>
  <conditionalFormatting sqref="W129:X136">
    <cfRule type="iconSet" priority="297">
      <iconSet iconSet="3Symbols2" showValue="0">
        <cfvo type="percent" val="0"/>
        <cfvo type="num" val="0"/>
        <cfvo type="num" val="0"/>
      </iconSet>
    </cfRule>
  </conditionalFormatting>
  <conditionalFormatting sqref="W139:X151">
    <cfRule type="iconSet" priority="296">
      <iconSet iconSet="3Symbols2" showValue="0">
        <cfvo type="percent" val="0"/>
        <cfvo type="num" val="0"/>
        <cfvo type="num" val="0"/>
      </iconSet>
    </cfRule>
  </conditionalFormatting>
  <conditionalFormatting sqref="W154:X160">
    <cfRule type="iconSet" priority="295">
      <iconSet iconSet="3Symbols2" showValue="0">
        <cfvo type="percent" val="0"/>
        <cfvo type="num" val="0"/>
        <cfvo type="num" val="0"/>
      </iconSet>
    </cfRule>
  </conditionalFormatting>
  <conditionalFormatting sqref="W75:X75">
    <cfRule type="iconSet" priority="294">
      <iconSet iconSet="3Symbols2" showValue="0">
        <cfvo type="percent" val="0"/>
        <cfvo type="num" val="0"/>
        <cfvo type="num" val="0"/>
      </iconSet>
    </cfRule>
  </conditionalFormatting>
  <conditionalFormatting sqref="W76:X84">
    <cfRule type="iconSet" priority="293">
      <iconSet iconSet="3Symbols2" showValue="0">
        <cfvo type="percent" val="0"/>
        <cfvo type="num" val="0"/>
        <cfvo type="num" val="0"/>
      </iconSet>
    </cfRule>
  </conditionalFormatting>
  <conditionalFormatting sqref="W60:X61">
    <cfRule type="iconSet" priority="292">
      <iconSet iconSet="3Symbols2" showValue="0">
        <cfvo type="percent" val="0"/>
        <cfvo type="num" val="0"/>
        <cfvo type="num" val="0"/>
      </iconSet>
    </cfRule>
  </conditionalFormatting>
  <conditionalFormatting sqref="W52:X52">
    <cfRule type="iconSet" priority="291">
      <iconSet iconSet="3Symbols2" showValue="0">
        <cfvo type="percent" val="0"/>
        <cfvo type="num" val="0"/>
        <cfvo type="num" val="0"/>
      </iconSet>
    </cfRule>
  </conditionalFormatting>
  <conditionalFormatting sqref="Z161:AA1048576 Z120:AA126 Z6:AA8 Z10:AA10 Z42:AA42 Z58:AA58 Z88:AA97">
    <cfRule type="iconSet" priority="289">
      <iconSet iconSet="3Symbols2" showValue="0">
        <cfvo type="percent" val="0"/>
        <cfvo type="num" val="0"/>
        <cfvo type="num" val="0"/>
      </iconSet>
    </cfRule>
  </conditionalFormatting>
  <conditionalFormatting sqref="Z9:AA9">
    <cfRule type="iconSet" priority="288">
      <iconSet iconSet="3Symbols2" showValue="0">
        <cfvo type="percent" val="0"/>
        <cfvo type="num" val="0"/>
        <cfvo type="num" val="0"/>
      </iconSet>
    </cfRule>
  </conditionalFormatting>
  <conditionalFormatting sqref="Z12:AA12">
    <cfRule type="iconSet" priority="287">
      <iconSet iconSet="3Symbols2" showValue="0">
        <cfvo type="percent" val="0"/>
        <cfvo type="num" val="0"/>
        <cfvo type="num" val="0"/>
      </iconSet>
    </cfRule>
  </conditionalFormatting>
  <conditionalFormatting sqref="Z25:AA25">
    <cfRule type="iconSet" priority="286">
      <iconSet iconSet="3Symbols2" showValue="0">
        <cfvo type="percent" val="0"/>
        <cfvo type="num" val="0"/>
        <cfvo type="num" val="0"/>
      </iconSet>
    </cfRule>
  </conditionalFormatting>
  <conditionalFormatting sqref="Z28:AA28">
    <cfRule type="iconSet" priority="285">
      <iconSet iconSet="3Symbols2" showValue="0">
        <cfvo type="percent" val="0"/>
        <cfvo type="num" val="0"/>
        <cfvo type="num" val="0"/>
      </iconSet>
    </cfRule>
  </conditionalFormatting>
  <conditionalFormatting sqref="Z41:AA41">
    <cfRule type="iconSet" priority="284">
      <iconSet iconSet="3Symbols2" showValue="0">
        <cfvo type="percent" val="0"/>
        <cfvo type="num" val="0"/>
        <cfvo type="num" val="0"/>
      </iconSet>
    </cfRule>
  </conditionalFormatting>
  <conditionalFormatting sqref="Z44:AA44">
    <cfRule type="iconSet" priority="283">
      <iconSet iconSet="3Symbols2" showValue="0">
        <cfvo type="percent" val="0"/>
        <cfvo type="num" val="0"/>
        <cfvo type="num" val="0"/>
      </iconSet>
    </cfRule>
  </conditionalFormatting>
  <conditionalFormatting sqref="Z57:AA57">
    <cfRule type="iconSet" priority="282">
      <iconSet iconSet="3Symbols2" showValue="0">
        <cfvo type="percent" val="0"/>
        <cfvo type="num" val="0"/>
        <cfvo type="num" val="0"/>
      </iconSet>
    </cfRule>
  </conditionalFormatting>
  <conditionalFormatting sqref="Z87:AA87">
    <cfRule type="iconSet" priority="281">
      <iconSet iconSet="3Symbols2" showValue="0">
        <cfvo type="percent" val="0"/>
        <cfvo type="num" val="0"/>
        <cfvo type="num" val="0"/>
      </iconSet>
    </cfRule>
  </conditionalFormatting>
  <conditionalFormatting sqref="Z99:AA99">
    <cfRule type="iconSet" priority="280">
      <iconSet iconSet="3Symbols2" showValue="0">
        <cfvo type="percent" val="0"/>
        <cfvo type="num" val="0"/>
        <cfvo type="num" val="0"/>
      </iconSet>
    </cfRule>
  </conditionalFormatting>
  <conditionalFormatting sqref="Z109:AA109">
    <cfRule type="iconSet" priority="279">
      <iconSet iconSet="3Symbols2" showValue="0">
        <cfvo type="percent" val="0"/>
        <cfvo type="num" val="0"/>
        <cfvo type="num" val="0"/>
      </iconSet>
    </cfRule>
  </conditionalFormatting>
  <conditionalFormatting sqref="Z119:AA119">
    <cfRule type="iconSet" priority="278">
      <iconSet iconSet="3Symbols2" showValue="0">
        <cfvo type="percent" val="0"/>
        <cfvo type="num" val="0"/>
        <cfvo type="num" val="0"/>
      </iconSet>
    </cfRule>
  </conditionalFormatting>
  <conditionalFormatting sqref="Z128:AA128">
    <cfRule type="iconSet" priority="277">
      <iconSet iconSet="3Symbols2" showValue="0">
        <cfvo type="percent" val="0"/>
        <cfvo type="num" val="0"/>
        <cfvo type="num" val="0"/>
      </iconSet>
    </cfRule>
  </conditionalFormatting>
  <conditionalFormatting sqref="Z62:AA62">
    <cfRule type="iconSet" priority="276">
      <iconSet iconSet="3Symbols2" showValue="0">
        <cfvo type="percent" val="0"/>
        <cfvo type="num" val="0"/>
        <cfvo type="num" val="0"/>
      </iconSet>
    </cfRule>
  </conditionalFormatting>
  <conditionalFormatting sqref="Z138:AA138">
    <cfRule type="iconSet" priority="275">
      <iconSet iconSet="3Symbols2" showValue="0">
        <cfvo type="percent" val="0"/>
        <cfvo type="num" val="0"/>
        <cfvo type="num" val="0"/>
      </iconSet>
    </cfRule>
  </conditionalFormatting>
  <conditionalFormatting sqref="Z153:AA153">
    <cfRule type="iconSet" priority="274">
      <iconSet iconSet="3Symbols2" showValue="0">
        <cfvo type="percent" val="0"/>
        <cfvo type="num" val="0"/>
        <cfvo type="num" val="0"/>
      </iconSet>
    </cfRule>
  </conditionalFormatting>
  <conditionalFormatting sqref="Z86:AA86">
    <cfRule type="iconSet" priority="273">
      <iconSet iconSet="3Symbols2" showValue="0">
        <cfvo type="percent" val="0"/>
        <cfvo type="num" val="0"/>
        <cfvo type="num" val="0"/>
      </iconSet>
    </cfRule>
  </conditionalFormatting>
  <conditionalFormatting sqref="Z1:AA5">
    <cfRule type="iconSet" priority="272">
      <iconSet iconSet="3Symbols2" showValue="0">
        <cfvo type="percent" val="0"/>
        <cfvo type="num" val="0"/>
        <cfvo type="num" val="1"/>
      </iconSet>
    </cfRule>
  </conditionalFormatting>
  <conditionalFormatting sqref="Z11:AA11">
    <cfRule type="iconSet" priority="271">
      <iconSet iconSet="3Symbols2" showValue="0">
        <cfvo type="percent" val="0"/>
        <cfvo type="num" val="0"/>
        <cfvo type="num" val="0"/>
      </iconSet>
    </cfRule>
  </conditionalFormatting>
  <conditionalFormatting sqref="Z24:AA24">
    <cfRule type="iconSet" priority="270">
      <iconSet iconSet="3Symbols2" showValue="0">
        <cfvo type="percent" val="0"/>
        <cfvo type="num" val="0"/>
        <cfvo type="num" val="0"/>
      </iconSet>
    </cfRule>
  </conditionalFormatting>
  <conditionalFormatting sqref="Z27:AA27">
    <cfRule type="iconSet" priority="269">
      <iconSet iconSet="3Symbols2" showValue="0">
        <cfvo type="percent" val="0"/>
        <cfvo type="num" val="0"/>
        <cfvo type="num" val="0"/>
      </iconSet>
    </cfRule>
  </conditionalFormatting>
  <conditionalFormatting sqref="Z40:AA40">
    <cfRule type="iconSet" priority="268">
      <iconSet iconSet="3Symbols2" showValue="0">
        <cfvo type="percent" val="0"/>
        <cfvo type="num" val="0"/>
        <cfvo type="num" val="0"/>
      </iconSet>
    </cfRule>
  </conditionalFormatting>
  <conditionalFormatting sqref="Z43:AA43">
    <cfRule type="iconSet" priority="267">
      <iconSet iconSet="3Symbols2" showValue="0">
        <cfvo type="percent" val="0"/>
        <cfvo type="num" val="0"/>
        <cfvo type="num" val="0"/>
      </iconSet>
    </cfRule>
  </conditionalFormatting>
  <conditionalFormatting sqref="Z56:AA56">
    <cfRule type="iconSet" priority="266">
      <iconSet iconSet="3Symbols2" showValue="0">
        <cfvo type="percent" val="0"/>
        <cfvo type="num" val="0"/>
        <cfvo type="num" val="0"/>
      </iconSet>
    </cfRule>
  </conditionalFormatting>
  <conditionalFormatting sqref="Z59:AA59">
    <cfRule type="iconSet" priority="265">
      <iconSet iconSet="3Symbols2" showValue="0">
        <cfvo type="percent" val="0"/>
        <cfvo type="num" val="0"/>
        <cfvo type="num" val="0"/>
      </iconSet>
    </cfRule>
  </conditionalFormatting>
  <conditionalFormatting sqref="Z98:AA98">
    <cfRule type="iconSet" priority="264">
      <iconSet iconSet="3Symbols2" showValue="0">
        <cfvo type="percent" val="0"/>
        <cfvo type="num" val="0"/>
        <cfvo type="num" val="0"/>
      </iconSet>
    </cfRule>
  </conditionalFormatting>
  <conditionalFormatting sqref="Z108:AA108">
    <cfRule type="iconSet" priority="263">
      <iconSet iconSet="3Symbols2" showValue="0">
        <cfvo type="percent" val="0"/>
        <cfvo type="num" val="0"/>
        <cfvo type="num" val="0"/>
      </iconSet>
    </cfRule>
  </conditionalFormatting>
  <conditionalFormatting sqref="Z118:AA118">
    <cfRule type="iconSet" priority="262">
      <iconSet iconSet="3Symbols2" showValue="0">
        <cfvo type="percent" val="0"/>
        <cfvo type="num" val="0"/>
        <cfvo type="num" val="0"/>
      </iconSet>
    </cfRule>
  </conditionalFormatting>
  <conditionalFormatting sqref="Z127:AA127">
    <cfRule type="iconSet" priority="261">
      <iconSet iconSet="3Symbols2" showValue="0">
        <cfvo type="percent" val="0"/>
        <cfvo type="num" val="0"/>
        <cfvo type="num" val="0"/>
      </iconSet>
    </cfRule>
  </conditionalFormatting>
  <conditionalFormatting sqref="Z137:AA137">
    <cfRule type="iconSet" priority="260">
      <iconSet iconSet="3Symbols2" showValue="0">
        <cfvo type="percent" val="0"/>
        <cfvo type="num" val="0"/>
        <cfvo type="num" val="0"/>
      </iconSet>
    </cfRule>
  </conditionalFormatting>
  <conditionalFormatting sqref="Z152:AA152">
    <cfRule type="iconSet" priority="259">
      <iconSet iconSet="3Symbols2" showValue="0">
        <cfvo type="percent" val="0"/>
        <cfvo type="num" val="0"/>
        <cfvo type="num" val="0"/>
      </iconSet>
    </cfRule>
  </conditionalFormatting>
  <conditionalFormatting sqref="Z65:AA65">
    <cfRule type="iconSet" priority="258">
      <iconSet iconSet="3Symbols2" showValue="0">
        <cfvo type="percent" val="0"/>
        <cfvo type="num" val="0"/>
        <cfvo type="num" val="0"/>
      </iconSet>
    </cfRule>
  </conditionalFormatting>
  <conditionalFormatting sqref="Z85:AA85">
    <cfRule type="iconSet" priority="257">
      <iconSet iconSet="3Symbols2" showValue="0">
        <cfvo type="percent" val="0"/>
        <cfvo type="num" val="0"/>
        <cfvo type="num" val="0"/>
      </iconSet>
    </cfRule>
  </conditionalFormatting>
  <conditionalFormatting sqref="Z64:AA64">
    <cfRule type="iconSet" priority="290">
      <iconSet iconSet="3Symbols2" showValue="0">
        <cfvo type="percent" val="0"/>
        <cfvo type="num" val="0"/>
        <cfvo type="num" val="0"/>
      </iconSet>
    </cfRule>
  </conditionalFormatting>
  <conditionalFormatting sqref="Z13:AA23">
    <cfRule type="iconSet" priority="256">
      <iconSet iconSet="3Symbols2" showValue="0">
        <cfvo type="percent" val="0"/>
        <cfvo type="num" val="0"/>
        <cfvo type="num" val="0"/>
      </iconSet>
    </cfRule>
  </conditionalFormatting>
  <conditionalFormatting sqref="Z26:AA26">
    <cfRule type="iconSet" priority="255">
      <iconSet iconSet="3Symbols2" showValue="0">
        <cfvo type="percent" val="0"/>
        <cfvo type="num" val="0"/>
        <cfvo type="num" val="0"/>
      </iconSet>
    </cfRule>
  </conditionalFormatting>
  <conditionalFormatting sqref="Z29:AA39">
    <cfRule type="iconSet" priority="254">
      <iconSet iconSet="3Symbols2" showValue="0">
        <cfvo type="percent" val="0"/>
        <cfvo type="num" val="0"/>
        <cfvo type="num" val="0"/>
      </iconSet>
    </cfRule>
  </conditionalFormatting>
  <conditionalFormatting sqref="Z63:AA63 Z45:AA51 Z53:AA55">
    <cfRule type="iconSet" priority="253">
      <iconSet iconSet="3Symbols2" showValue="0">
        <cfvo type="percent" val="0"/>
        <cfvo type="num" val="0"/>
        <cfvo type="num" val="0"/>
      </iconSet>
    </cfRule>
  </conditionalFormatting>
  <conditionalFormatting sqref="Z66:AA74">
    <cfRule type="iconSet" priority="252">
      <iconSet iconSet="3Symbols2" showValue="0">
        <cfvo type="percent" val="0"/>
        <cfvo type="num" val="0"/>
        <cfvo type="num" val="0"/>
      </iconSet>
    </cfRule>
  </conditionalFormatting>
  <conditionalFormatting sqref="Z100:AA107">
    <cfRule type="iconSet" priority="251">
      <iconSet iconSet="3Symbols2" showValue="0">
        <cfvo type="percent" val="0"/>
        <cfvo type="num" val="0"/>
        <cfvo type="num" val="0"/>
      </iconSet>
    </cfRule>
  </conditionalFormatting>
  <conditionalFormatting sqref="Z110:AA117">
    <cfRule type="iconSet" priority="250">
      <iconSet iconSet="3Symbols2" showValue="0">
        <cfvo type="percent" val="0"/>
        <cfvo type="num" val="0"/>
        <cfvo type="num" val="0"/>
      </iconSet>
    </cfRule>
  </conditionalFormatting>
  <conditionalFormatting sqref="Z129:AA136">
    <cfRule type="iconSet" priority="249">
      <iconSet iconSet="3Symbols2" showValue="0">
        <cfvo type="percent" val="0"/>
        <cfvo type="num" val="0"/>
        <cfvo type="num" val="0"/>
      </iconSet>
    </cfRule>
  </conditionalFormatting>
  <conditionalFormatting sqref="Z139:AA151">
    <cfRule type="iconSet" priority="248">
      <iconSet iconSet="3Symbols2" showValue="0">
        <cfvo type="percent" val="0"/>
        <cfvo type="num" val="0"/>
        <cfvo type="num" val="0"/>
      </iconSet>
    </cfRule>
  </conditionalFormatting>
  <conditionalFormatting sqref="Z154:AA160">
    <cfRule type="iconSet" priority="247">
      <iconSet iconSet="3Symbols2" showValue="0">
        <cfvo type="percent" val="0"/>
        <cfvo type="num" val="0"/>
        <cfvo type="num" val="0"/>
      </iconSet>
    </cfRule>
  </conditionalFormatting>
  <conditionalFormatting sqref="Z75:AA75">
    <cfRule type="iconSet" priority="246">
      <iconSet iconSet="3Symbols2" showValue="0">
        <cfvo type="percent" val="0"/>
        <cfvo type="num" val="0"/>
        <cfvo type="num" val="0"/>
      </iconSet>
    </cfRule>
  </conditionalFormatting>
  <conditionalFormatting sqref="Z76:AA84">
    <cfRule type="iconSet" priority="245">
      <iconSet iconSet="3Symbols2" showValue="0">
        <cfvo type="percent" val="0"/>
        <cfvo type="num" val="0"/>
        <cfvo type="num" val="0"/>
      </iconSet>
    </cfRule>
  </conditionalFormatting>
  <conditionalFormatting sqref="Z60:AA61">
    <cfRule type="iconSet" priority="244">
      <iconSet iconSet="3Symbols2" showValue="0">
        <cfvo type="percent" val="0"/>
        <cfvo type="num" val="0"/>
        <cfvo type="num" val="0"/>
      </iconSet>
    </cfRule>
  </conditionalFormatting>
  <conditionalFormatting sqref="Z52:AA52">
    <cfRule type="iconSet" priority="243">
      <iconSet iconSet="3Symbols2" showValue="0">
        <cfvo type="percent" val="0"/>
        <cfvo type="num" val="0"/>
        <cfvo type="num" val="0"/>
      </iconSet>
    </cfRule>
  </conditionalFormatting>
  <conditionalFormatting sqref="AB161:AC1048576 AB120:AC126 AB6:AC8 AB10:AC10 AB42:AC42 AB58:AC58 AB88:AC97">
    <cfRule type="iconSet" priority="241">
      <iconSet iconSet="3Symbols2" showValue="0">
        <cfvo type="percent" val="0"/>
        <cfvo type="num" val="0"/>
        <cfvo type="num" val="0"/>
      </iconSet>
    </cfRule>
  </conditionalFormatting>
  <conditionalFormatting sqref="AB9:AC9">
    <cfRule type="iconSet" priority="240">
      <iconSet iconSet="3Symbols2" showValue="0">
        <cfvo type="percent" val="0"/>
        <cfvo type="num" val="0"/>
        <cfvo type="num" val="0"/>
      </iconSet>
    </cfRule>
  </conditionalFormatting>
  <conditionalFormatting sqref="AB12:AC12">
    <cfRule type="iconSet" priority="239">
      <iconSet iconSet="3Symbols2" showValue="0">
        <cfvo type="percent" val="0"/>
        <cfvo type="num" val="0"/>
        <cfvo type="num" val="0"/>
      </iconSet>
    </cfRule>
  </conditionalFormatting>
  <conditionalFormatting sqref="AB25:AC25">
    <cfRule type="iconSet" priority="238">
      <iconSet iconSet="3Symbols2" showValue="0">
        <cfvo type="percent" val="0"/>
        <cfvo type="num" val="0"/>
        <cfvo type="num" val="0"/>
      </iconSet>
    </cfRule>
  </conditionalFormatting>
  <conditionalFormatting sqref="AB28:AC28">
    <cfRule type="iconSet" priority="237">
      <iconSet iconSet="3Symbols2" showValue="0">
        <cfvo type="percent" val="0"/>
        <cfvo type="num" val="0"/>
        <cfvo type="num" val="0"/>
      </iconSet>
    </cfRule>
  </conditionalFormatting>
  <conditionalFormatting sqref="AB41:AC41">
    <cfRule type="iconSet" priority="236">
      <iconSet iconSet="3Symbols2" showValue="0">
        <cfvo type="percent" val="0"/>
        <cfvo type="num" val="0"/>
        <cfvo type="num" val="0"/>
      </iconSet>
    </cfRule>
  </conditionalFormatting>
  <conditionalFormatting sqref="AB44:AC44">
    <cfRule type="iconSet" priority="235">
      <iconSet iconSet="3Symbols2" showValue="0">
        <cfvo type="percent" val="0"/>
        <cfvo type="num" val="0"/>
        <cfvo type="num" val="0"/>
      </iconSet>
    </cfRule>
  </conditionalFormatting>
  <conditionalFormatting sqref="AB57:AC57">
    <cfRule type="iconSet" priority="234">
      <iconSet iconSet="3Symbols2" showValue="0">
        <cfvo type="percent" val="0"/>
        <cfvo type="num" val="0"/>
        <cfvo type="num" val="0"/>
      </iconSet>
    </cfRule>
  </conditionalFormatting>
  <conditionalFormatting sqref="AB87:AC87">
    <cfRule type="iconSet" priority="233">
      <iconSet iconSet="3Symbols2" showValue="0">
        <cfvo type="percent" val="0"/>
        <cfvo type="num" val="0"/>
        <cfvo type="num" val="0"/>
      </iconSet>
    </cfRule>
  </conditionalFormatting>
  <conditionalFormatting sqref="AB99:AC99">
    <cfRule type="iconSet" priority="232">
      <iconSet iconSet="3Symbols2" showValue="0">
        <cfvo type="percent" val="0"/>
        <cfvo type="num" val="0"/>
        <cfvo type="num" val="0"/>
      </iconSet>
    </cfRule>
  </conditionalFormatting>
  <conditionalFormatting sqref="AB109:AC109">
    <cfRule type="iconSet" priority="231">
      <iconSet iconSet="3Symbols2" showValue="0">
        <cfvo type="percent" val="0"/>
        <cfvo type="num" val="0"/>
        <cfvo type="num" val="0"/>
      </iconSet>
    </cfRule>
  </conditionalFormatting>
  <conditionalFormatting sqref="AB119:AC119">
    <cfRule type="iconSet" priority="230">
      <iconSet iconSet="3Symbols2" showValue="0">
        <cfvo type="percent" val="0"/>
        <cfvo type="num" val="0"/>
        <cfvo type="num" val="0"/>
      </iconSet>
    </cfRule>
  </conditionalFormatting>
  <conditionalFormatting sqref="AB128:AC128">
    <cfRule type="iconSet" priority="229">
      <iconSet iconSet="3Symbols2" showValue="0">
        <cfvo type="percent" val="0"/>
        <cfvo type="num" val="0"/>
        <cfvo type="num" val="0"/>
      </iconSet>
    </cfRule>
  </conditionalFormatting>
  <conditionalFormatting sqref="AB62:AC62">
    <cfRule type="iconSet" priority="228">
      <iconSet iconSet="3Symbols2" showValue="0">
        <cfvo type="percent" val="0"/>
        <cfvo type="num" val="0"/>
        <cfvo type="num" val="0"/>
      </iconSet>
    </cfRule>
  </conditionalFormatting>
  <conditionalFormatting sqref="AB138:AC138">
    <cfRule type="iconSet" priority="227">
      <iconSet iconSet="3Symbols2" showValue="0">
        <cfvo type="percent" val="0"/>
        <cfvo type="num" val="0"/>
        <cfvo type="num" val="0"/>
      </iconSet>
    </cfRule>
  </conditionalFormatting>
  <conditionalFormatting sqref="AB153:AC153">
    <cfRule type="iconSet" priority="226">
      <iconSet iconSet="3Symbols2" showValue="0">
        <cfvo type="percent" val="0"/>
        <cfvo type="num" val="0"/>
        <cfvo type="num" val="0"/>
      </iconSet>
    </cfRule>
  </conditionalFormatting>
  <conditionalFormatting sqref="AB86:AC86">
    <cfRule type="iconSet" priority="225">
      <iconSet iconSet="3Symbols2" showValue="0">
        <cfvo type="percent" val="0"/>
        <cfvo type="num" val="0"/>
        <cfvo type="num" val="0"/>
      </iconSet>
    </cfRule>
  </conditionalFormatting>
  <conditionalFormatting sqref="AB1:AC5">
    <cfRule type="iconSet" priority="224">
      <iconSet iconSet="3Symbols2" showValue="0">
        <cfvo type="percent" val="0"/>
        <cfvo type="num" val="0"/>
        <cfvo type="num" val="1"/>
      </iconSet>
    </cfRule>
  </conditionalFormatting>
  <conditionalFormatting sqref="AB11:AC11">
    <cfRule type="iconSet" priority="223">
      <iconSet iconSet="3Symbols2" showValue="0">
        <cfvo type="percent" val="0"/>
        <cfvo type="num" val="0"/>
        <cfvo type="num" val="0"/>
      </iconSet>
    </cfRule>
  </conditionalFormatting>
  <conditionalFormatting sqref="AB24:AC24">
    <cfRule type="iconSet" priority="222">
      <iconSet iconSet="3Symbols2" showValue="0">
        <cfvo type="percent" val="0"/>
        <cfvo type="num" val="0"/>
        <cfvo type="num" val="0"/>
      </iconSet>
    </cfRule>
  </conditionalFormatting>
  <conditionalFormatting sqref="AB27:AC27">
    <cfRule type="iconSet" priority="221">
      <iconSet iconSet="3Symbols2" showValue="0">
        <cfvo type="percent" val="0"/>
        <cfvo type="num" val="0"/>
        <cfvo type="num" val="0"/>
      </iconSet>
    </cfRule>
  </conditionalFormatting>
  <conditionalFormatting sqref="AB40:AC40">
    <cfRule type="iconSet" priority="220">
      <iconSet iconSet="3Symbols2" showValue="0">
        <cfvo type="percent" val="0"/>
        <cfvo type="num" val="0"/>
        <cfvo type="num" val="0"/>
      </iconSet>
    </cfRule>
  </conditionalFormatting>
  <conditionalFormatting sqref="AB43:AC43">
    <cfRule type="iconSet" priority="219">
      <iconSet iconSet="3Symbols2" showValue="0">
        <cfvo type="percent" val="0"/>
        <cfvo type="num" val="0"/>
        <cfvo type="num" val="0"/>
      </iconSet>
    </cfRule>
  </conditionalFormatting>
  <conditionalFormatting sqref="AB56:AC56">
    <cfRule type="iconSet" priority="218">
      <iconSet iconSet="3Symbols2" showValue="0">
        <cfvo type="percent" val="0"/>
        <cfvo type="num" val="0"/>
        <cfvo type="num" val="0"/>
      </iconSet>
    </cfRule>
  </conditionalFormatting>
  <conditionalFormatting sqref="AB59:AC59">
    <cfRule type="iconSet" priority="217">
      <iconSet iconSet="3Symbols2" showValue="0">
        <cfvo type="percent" val="0"/>
        <cfvo type="num" val="0"/>
        <cfvo type="num" val="0"/>
      </iconSet>
    </cfRule>
  </conditionalFormatting>
  <conditionalFormatting sqref="AB98:AC98">
    <cfRule type="iconSet" priority="216">
      <iconSet iconSet="3Symbols2" showValue="0">
        <cfvo type="percent" val="0"/>
        <cfvo type="num" val="0"/>
        <cfvo type="num" val="0"/>
      </iconSet>
    </cfRule>
  </conditionalFormatting>
  <conditionalFormatting sqref="AB108:AC108">
    <cfRule type="iconSet" priority="215">
      <iconSet iconSet="3Symbols2" showValue="0">
        <cfvo type="percent" val="0"/>
        <cfvo type="num" val="0"/>
        <cfvo type="num" val="0"/>
      </iconSet>
    </cfRule>
  </conditionalFormatting>
  <conditionalFormatting sqref="AB118:AC118">
    <cfRule type="iconSet" priority="214">
      <iconSet iconSet="3Symbols2" showValue="0">
        <cfvo type="percent" val="0"/>
        <cfvo type="num" val="0"/>
        <cfvo type="num" val="0"/>
      </iconSet>
    </cfRule>
  </conditionalFormatting>
  <conditionalFormatting sqref="AB127:AC127">
    <cfRule type="iconSet" priority="213">
      <iconSet iconSet="3Symbols2" showValue="0">
        <cfvo type="percent" val="0"/>
        <cfvo type="num" val="0"/>
        <cfvo type="num" val="0"/>
      </iconSet>
    </cfRule>
  </conditionalFormatting>
  <conditionalFormatting sqref="AB137:AC137">
    <cfRule type="iconSet" priority="212">
      <iconSet iconSet="3Symbols2" showValue="0">
        <cfvo type="percent" val="0"/>
        <cfvo type="num" val="0"/>
        <cfvo type="num" val="0"/>
      </iconSet>
    </cfRule>
  </conditionalFormatting>
  <conditionalFormatting sqref="AB152:AC152">
    <cfRule type="iconSet" priority="211">
      <iconSet iconSet="3Symbols2" showValue="0">
        <cfvo type="percent" val="0"/>
        <cfvo type="num" val="0"/>
        <cfvo type="num" val="0"/>
      </iconSet>
    </cfRule>
  </conditionalFormatting>
  <conditionalFormatting sqref="AB65:AC65">
    <cfRule type="iconSet" priority="210">
      <iconSet iconSet="3Symbols2" showValue="0">
        <cfvo type="percent" val="0"/>
        <cfvo type="num" val="0"/>
        <cfvo type="num" val="0"/>
      </iconSet>
    </cfRule>
  </conditionalFormatting>
  <conditionalFormatting sqref="AB85:AC85">
    <cfRule type="iconSet" priority="209">
      <iconSet iconSet="3Symbols2" showValue="0">
        <cfvo type="percent" val="0"/>
        <cfvo type="num" val="0"/>
        <cfvo type="num" val="0"/>
      </iconSet>
    </cfRule>
  </conditionalFormatting>
  <conditionalFormatting sqref="AB64:AC64">
    <cfRule type="iconSet" priority="242">
      <iconSet iconSet="3Symbols2" showValue="0">
        <cfvo type="percent" val="0"/>
        <cfvo type="num" val="0"/>
        <cfvo type="num" val="0"/>
      </iconSet>
    </cfRule>
  </conditionalFormatting>
  <conditionalFormatting sqref="AB13:AC23">
    <cfRule type="iconSet" priority="208">
      <iconSet iconSet="3Symbols2" showValue="0">
        <cfvo type="percent" val="0"/>
        <cfvo type="num" val="0"/>
        <cfvo type="num" val="0"/>
      </iconSet>
    </cfRule>
  </conditionalFormatting>
  <conditionalFormatting sqref="AB26:AC26">
    <cfRule type="iconSet" priority="207">
      <iconSet iconSet="3Symbols2" showValue="0">
        <cfvo type="percent" val="0"/>
        <cfvo type="num" val="0"/>
        <cfvo type="num" val="0"/>
      </iconSet>
    </cfRule>
  </conditionalFormatting>
  <conditionalFormatting sqref="AB29:AC39">
    <cfRule type="iconSet" priority="206">
      <iconSet iconSet="3Symbols2" showValue="0">
        <cfvo type="percent" val="0"/>
        <cfvo type="num" val="0"/>
        <cfvo type="num" val="0"/>
      </iconSet>
    </cfRule>
  </conditionalFormatting>
  <conditionalFormatting sqref="AB63:AC63 AB45:AC51 AB53:AC55">
    <cfRule type="iconSet" priority="205">
      <iconSet iconSet="3Symbols2" showValue="0">
        <cfvo type="percent" val="0"/>
        <cfvo type="num" val="0"/>
        <cfvo type="num" val="0"/>
      </iconSet>
    </cfRule>
  </conditionalFormatting>
  <conditionalFormatting sqref="AB66:AC74">
    <cfRule type="iconSet" priority="204">
      <iconSet iconSet="3Symbols2" showValue="0">
        <cfvo type="percent" val="0"/>
        <cfvo type="num" val="0"/>
        <cfvo type="num" val="0"/>
      </iconSet>
    </cfRule>
  </conditionalFormatting>
  <conditionalFormatting sqref="AB100:AC107">
    <cfRule type="iconSet" priority="203">
      <iconSet iconSet="3Symbols2" showValue="0">
        <cfvo type="percent" val="0"/>
        <cfvo type="num" val="0"/>
        <cfvo type="num" val="0"/>
      </iconSet>
    </cfRule>
  </conditionalFormatting>
  <conditionalFormatting sqref="AB110:AC117">
    <cfRule type="iconSet" priority="202">
      <iconSet iconSet="3Symbols2" showValue="0">
        <cfvo type="percent" val="0"/>
        <cfvo type="num" val="0"/>
        <cfvo type="num" val="0"/>
      </iconSet>
    </cfRule>
  </conditionalFormatting>
  <conditionalFormatting sqref="AB129:AC136">
    <cfRule type="iconSet" priority="201">
      <iconSet iconSet="3Symbols2" showValue="0">
        <cfvo type="percent" val="0"/>
        <cfvo type="num" val="0"/>
        <cfvo type="num" val="0"/>
      </iconSet>
    </cfRule>
  </conditionalFormatting>
  <conditionalFormatting sqref="AB139:AC151">
    <cfRule type="iconSet" priority="200">
      <iconSet iconSet="3Symbols2" showValue="0">
        <cfvo type="percent" val="0"/>
        <cfvo type="num" val="0"/>
        <cfvo type="num" val="0"/>
      </iconSet>
    </cfRule>
  </conditionalFormatting>
  <conditionalFormatting sqref="AB154:AC160">
    <cfRule type="iconSet" priority="199">
      <iconSet iconSet="3Symbols2" showValue="0">
        <cfvo type="percent" val="0"/>
        <cfvo type="num" val="0"/>
        <cfvo type="num" val="0"/>
      </iconSet>
    </cfRule>
  </conditionalFormatting>
  <conditionalFormatting sqref="AB75:AC75">
    <cfRule type="iconSet" priority="198">
      <iconSet iconSet="3Symbols2" showValue="0">
        <cfvo type="percent" val="0"/>
        <cfvo type="num" val="0"/>
        <cfvo type="num" val="0"/>
      </iconSet>
    </cfRule>
  </conditionalFormatting>
  <conditionalFormatting sqref="AB76:AC84">
    <cfRule type="iconSet" priority="197">
      <iconSet iconSet="3Symbols2" showValue="0">
        <cfvo type="percent" val="0"/>
        <cfvo type="num" val="0"/>
        <cfvo type="num" val="0"/>
      </iconSet>
    </cfRule>
  </conditionalFormatting>
  <conditionalFormatting sqref="AB60:AC61">
    <cfRule type="iconSet" priority="196">
      <iconSet iconSet="3Symbols2" showValue="0">
        <cfvo type="percent" val="0"/>
        <cfvo type="num" val="0"/>
        <cfvo type="num" val="0"/>
      </iconSet>
    </cfRule>
  </conditionalFormatting>
  <conditionalFormatting sqref="AB52:AC52">
    <cfRule type="iconSet" priority="195">
      <iconSet iconSet="3Symbols2" showValue="0">
        <cfvo type="percent" val="0"/>
        <cfvo type="num" val="0"/>
        <cfvo type="num" val="0"/>
      </iconSet>
    </cfRule>
  </conditionalFormatting>
  <conditionalFormatting sqref="AD161:AE1048576 AD120:AE126 AD6:AE8 AD10:AE10 AD42:AE42 AD58:AE58 AD88:AE97">
    <cfRule type="iconSet" priority="193">
      <iconSet iconSet="3Symbols2" showValue="0">
        <cfvo type="percent" val="0"/>
        <cfvo type="num" val="0"/>
        <cfvo type="num" val="0"/>
      </iconSet>
    </cfRule>
  </conditionalFormatting>
  <conditionalFormatting sqref="AD9:AE9">
    <cfRule type="iconSet" priority="192">
      <iconSet iconSet="3Symbols2" showValue="0">
        <cfvo type="percent" val="0"/>
        <cfvo type="num" val="0"/>
        <cfvo type="num" val="0"/>
      </iconSet>
    </cfRule>
  </conditionalFormatting>
  <conditionalFormatting sqref="AD12:AE12">
    <cfRule type="iconSet" priority="191">
      <iconSet iconSet="3Symbols2" showValue="0">
        <cfvo type="percent" val="0"/>
        <cfvo type="num" val="0"/>
        <cfvo type="num" val="0"/>
      </iconSet>
    </cfRule>
  </conditionalFormatting>
  <conditionalFormatting sqref="AD25:AE25">
    <cfRule type="iconSet" priority="190">
      <iconSet iconSet="3Symbols2" showValue="0">
        <cfvo type="percent" val="0"/>
        <cfvo type="num" val="0"/>
        <cfvo type="num" val="0"/>
      </iconSet>
    </cfRule>
  </conditionalFormatting>
  <conditionalFormatting sqref="AD28:AE28">
    <cfRule type="iconSet" priority="189">
      <iconSet iconSet="3Symbols2" showValue="0">
        <cfvo type="percent" val="0"/>
        <cfvo type="num" val="0"/>
        <cfvo type="num" val="0"/>
      </iconSet>
    </cfRule>
  </conditionalFormatting>
  <conditionalFormatting sqref="AD41:AE41">
    <cfRule type="iconSet" priority="188">
      <iconSet iconSet="3Symbols2" showValue="0">
        <cfvo type="percent" val="0"/>
        <cfvo type="num" val="0"/>
        <cfvo type="num" val="0"/>
      </iconSet>
    </cfRule>
  </conditionalFormatting>
  <conditionalFormatting sqref="AD44:AE44">
    <cfRule type="iconSet" priority="187">
      <iconSet iconSet="3Symbols2" showValue="0">
        <cfvo type="percent" val="0"/>
        <cfvo type="num" val="0"/>
        <cfvo type="num" val="0"/>
      </iconSet>
    </cfRule>
  </conditionalFormatting>
  <conditionalFormatting sqref="AD57:AE57">
    <cfRule type="iconSet" priority="186">
      <iconSet iconSet="3Symbols2" showValue="0">
        <cfvo type="percent" val="0"/>
        <cfvo type="num" val="0"/>
        <cfvo type="num" val="0"/>
      </iconSet>
    </cfRule>
  </conditionalFormatting>
  <conditionalFormatting sqref="AD87:AE87">
    <cfRule type="iconSet" priority="185">
      <iconSet iconSet="3Symbols2" showValue="0">
        <cfvo type="percent" val="0"/>
        <cfvo type="num" val="0"/>
        <cfvo type="num" val="0"/>
      </iconSet>
    </cfRule>
  </conditionalFormatting>
  <conditionalFormatting sqref="AD99:AE99">
    <cfRule type="iconSet" priority="184">
      <iconSet iconSet="3Symbols2" showValue="0">
        <cfvo type="percent" val="0"/>
        <cfvo type="num" val="0"/>
        <cfvo type="num" val="0"/>
      </iconSet>
    </cfRule>
  </conditionalFormatting>
  <conditionalFormatting sqref="AD109:AE109">
    <cfRule type="iconSet" priority="183">
      <iconSet iconSet="3Symbols2" showValue="0">
        <cfvo type="percent" val="0"/>
        <cfvo type="num" val="0"/>
        <cfvo type="num" val="0"/>
      </iconSet>
    </cfRule>
  </conditionalFormatting>
  <conditionalFormatting sqref="AD119:AE119">
    <cfRule type="iconSet" priority="182">
      <iconSet iconSet="3Symbols2" showValue="0">
        <cfvo type="percent" val="0"/>
        <cfvo type="num" val="0"/>
        <cfvo type="num" val="0"/>
      </iconSet>
    </cfRule>
  </conditionalFormatting>
  <conditionalFormatting sqref="AD128:AE128">
    <cfRule type="iconSet" priority="181">
      <iconSet iconSet="3Symbols2" showValue="0">
        <cfvo type="percent" val="0"/>
        <cfvo type="num" val="0"/>
        <cfvo type="num" val="0"/>
      </iconSet>
    </cfRule>
  </conditionalFormatting>
  <conditionalFormatting sqref="AD62:AE62">
    <cfRule type="iconSet" priority="180">
      <iconSet iconSet="3Symbols2" showValue="0">
        <cfvo type="percent" val="0"/>
        <cfvo type="num" val="0"/>
        <cfvo type="num" val="0"/>
      </iconSet>
    </cfRule>
  </conditionalFormatting>
  <conditionalFormatting sqref="AD138:AE138">
    <cfRule type="iconSet" priority="179">
      <iconSet iconSet="3Symbols2" showValue="0">
        <cfvo type="percent" val="0"/>
        <cfvo type="num" val="0"/>
        <cfvo type="num" val="0"/>
      </iconSet>
    </cfRule>
  </conditionalFormatting>
  <conditionalFormatting sqref="AD153:AE153">
    <cfRule type="iconSet" priority="178">
      <iconSet iconSet="3Symbols2" showValue="0">
        <cfvo type="percent" val="0"/>
        <cfvo type="num" val="0"/>
        <cfvo type="num" val="0"/>
      </iconSet>
    </cfRule>
  </conditionalFormatting>
  <conditionalFormatting sqref="AD86:AE86">
    <cfRule type="iconSet" priority="177">
      <iconSet iconSet="3Symbols2" showValue="0">
        <cfvo type="percent" val="0"/>
        <cfvo type="num" val="0"/>
        <cfvo type="num" val="0"/>
      </iconSet>
    </cfRule>
  </conditionalFormatting>
  <conditionalFormatting sqref="AD1:AE5">
    <cfRule type="iconSet" priority="176">
      <iconSet iconSet="3Symbols2" showValue="0">
        <cfvo type="percent" val="0"/>
        <cfvo type="num" val="0"/>
        <cfvo type="num" val="1"/>
      </iconSet>
    </cfRule>
  </conditionalFormatting>
  <conditionalFormatting sqref="AD11:AE11">
    <cfRule type="iconSet" priority="175">
      <iconSet iconSet="3Symbols2" showValue="0">
        <cfvo type="percent" val="0"/>
        <cfvo type="num" val="0"/>
        <cfvo type="num" val="0"/>
      </iconSet>
    </cfRule>
  </conditionalFormatting>
  <conditionalFormatting sqref="AD24:AE24">
    <cfRule type="iconSet" priority="174">
      <iconSet iconSet="3Symbols2" showValue="0">
        <cfvo type="percent" val="0"/>
        <cfvo type="num" val="0"/>
        <cfvo type="num" val="0"/>
      </iconSet>
    </cfRule>
  </conditionalFormatting>
  <conditionalFormatting sqref="AD27:AE27">
    <cfRule type="iconSet" priority="173">
      <iconSet iconSet="3Symbols2" showValue="0">
        <cfvo type="percent" val="0"/>
        <cfvo type="num" val="0"/>
        <cfvo type="num" val="0"/>
      </iconSet>
    </cfRule>
  </conditionalFormatting>
  <conditionalFormatting sqref="AD40:AE40">
    <cfRule type="iconSet" priority="172">
      <iconSet iconSet="3Symbols2" showValue="0">
        <cfvo type="percent" val="0"/>
        <cfvo type="num" val="0"/>
        <cfvo type="num" val="0"/>
      </iconSet>
    </cfRule>
  </conditionalFormatting>
  <conditionalFormatting sqref="AD43:AE43">
    <cfRule type="iconSet" priority="171">
      <iconSet iconSet="3Symbols2" showValue="0">
        <cfvo type="percent" val="0"/>
        <cfvo type="num" val="0"/>
        <cfvo type="num" val="0"/>
      </iconSet>
    </cfRule>
  </conditionalFormatting>
  <conditionalFormatting sqref="AD56:AE56">
    <cfRule type="iconSet" priority="170">
      <iconSet iconSet="3Symbols2" showValue="0">
        <cfvo type="percent" val="0"/>
        <cfvo type="num" val="0"/>
        <cfvo type="num" val="0"/>
      </iconSet>
    </cfRule>
  </conditionalFormatting>
  <conditionalFormatting sqref="AD59:AE59">
    <cfRule type="iconSet" priority="169">
      <iconSet iconSet="3Symbols2" showValue="0">
        <cfvo type="percent" val="0"/>
        <cfvo type="num" val="0"/>
        <cfvo type="num" val="0"/>
      </iconSet>
    </cfRule>
  </conditionalFormatting>
  <conditionalFormatting sqref="AD98:AE98">
    <cfRule type="iconSet" priority="168">
      <iconSet iconSet="3Symbols2" showValue="0">
        <cfvo type="percent" val="0"/>
        <cfvo type="num" val="0"/>
        <cfvo type="num" val="0"/>
      </iconSet>
    </cfRule>
  </conditionalFormatting>
  <conditionalFormatting sqref="AD108:AE108">
    <cfRule type="iconSet" priority="167">
      <iconSet iconSet="3Symbols2" showValue="0">
        <cfvo type="percent" val="0"/>
        <cfvo type="num" val="0"/>
        <cfvo type="num" val="0"/>
      </iconSet>
    </cfRule>
  </conditionalFormatting>
  <conditionalFormatting sqref="AD118:AE118">
    <cfRule type="iconSet" priority="166">
      <iconSet iconSet="3Symbols2" showValue="0">
        <cfvo type="percent" val="0"/>
        <cfvo type="num" val="0"/>
        <cfvo type="num" val="0"/>
      </iconSet>
    </cfRule>
  </conditionalFormatting>
  <conditionalFormatting sqref="AD127:AE127">
    <cfRule type="iconSet" priority="165">
      <iconSet iconSet="3Symbols2" showValue="0">
        <cfvo type="percent" val="0"/>
        <cfvo type="num" val="0"/>
        <cfvo type="num" val="0"/>
      </iconSet>
    </cfRule>
  </conditionalFormatting>
  <conditionalFormatting sqref="AD137:AE137">
    <cfRule type="iconSet" priority="164">
      <iconSet iconSet="3Symbols2" showValue="0">
        <cfvo type="percent" val="0"/>
        <cfvo type="num" val="0"/>
        <cfvo type="num" val="0"/>
      </iconSet>
    </cfRule>
  </conditionalFormatting>
  <conditionalFormatting sqref="AD152:AE152">
    <cfRule type="iconSet" priority="163">
      <iconSet iconSet="3Symbols2" showValue="0">
        <cfvo type="percent" val="0"/>
        <cfvo type="num" val="0"/>
        <cfvo type="num" val="0"/>
      </iconSet>
    </cfRule>
  </conditionalFormatting>
  <conditionalFormatting sqref="AD65:AE65">
    <cfRule type="iconSet" priority="162">
      <iconSet iconSet="3Symbols2" showValue="0">
        <cfvo type="percent" val="0"/>
        <cfvo type="num" val="0"/>
        <cfvo type="num" val="0"/>
      </iconSet>
    </cfRule>
  </conditionalFormatting>
  <conditionalFormatting sqref="AD85:AE85">
    <cfRule type="iconSet" priority="161">
      <iconSet iconSet="3Symbols2" showValue="0">
        <cfvo type="percent" val="0"/>
        <cfvo type="num" val="0"/>
        <cfvo type="num" val="0"/>
      </iconSet>
    </cfRule>
  </conditionalFormatting>
  <conditionalFormatting sqref="AD64:AE64">
    <cfRule type="iconSet" priority="194">
      <iconSet iconSet="3Symbols2" showValue="0">
        <cfvo type="percent" val="0"/>
        <cfvo type="num" val="0"/>
        <cfvo type="num" val="0"/>
      </iconSet>
    </cfRule>
  </conditionalFormatting>
  <conditionalFormatting sqref="AD13:AE23">
    <cfRule type="iconSet" priority="160">
      <iconSet iconSet="3Symbols2" showValue="0">
        <cfvo type="percent" val="0"/>
        <cfvo type="num" val="0"/>
        <cfvo type="num" val="0"/>
      </iconSet>
    </cfRule>
  </conditionalFormatting>
  <conditionalFormatting sqref="AD26:AE26">
    <cfRule type="iconSet" priority="159">
      <iconSet iconSet="3Symbols2" showValue="0">
        <cfvo type="percent" val="0"/>
        <cfvo type="num" val="0"/>
        <cfvo type="num" val="0"/>
      </iconSet>
    </cfRule>
  </conditionalFormatting>
  <conditionalFormatting sqref="AD29:AE39">
    <cfRule type="iconSet" priority="158">
      <iconSet iconSet="3Symbols2" showValue="0">
        <cfvo type="percent" val="0"/>
        <cfvo type="num" val="0"/>
        <cfvo type="num" val="0"/>
      </iconSet>
    </cfRule>
  </conditionalFormatting>
  <conditionalFormatting sqref="AD63:AE63 AD45:AE51 AD53:AE55">
    <cfRule type="iconSet" priority="157">
      <iconSet iconSet="3Symbols2" showValue="0">
        <cfvo type="percent" val="0"/>
        <cfvo type="num" val="0"/>
        <cfvo type="num" val="0"/>
      </iconSet>
    </cfRule>
  </conditionalFormatting>
  <conditionalFormatting sqref="AD66:AE74">
    <cfRule type="iconSet" priority="156">
      <iconSet iconSet="3Symbols2" showValue="0">
        <cfvo type="percent" val="0"/>
        <cfvo type="num" val="0"/>
        <cfvo type="num" val="0"/>
      </iconSet>
    </cfRule>
  </conditionalFormatting>
  <conditionalFormatting sqref="AD100:AE107">
    <cfRule type="iconSet" priority="155">
      <iconSet iconSet="3Symbols2" showValue="0">
        <cfvo type="percent" val="0"/>
        <cfvo type="num" val="0"/>
        <cfvo type="num" val="0"/>
      </iconSet>
    </cfRule>
  </conditionalFormatting>
  <conditionalFormatting sqref="AD110:AE117">
    <cfRule type="iconSet" priority="154">
      <iconSet iconSet="3Symbols2" showValue="0">
        <cfvo type="percent" val="0"/>
        <cfvo type="num" val="0"/>
        <cfvo type="num" val="0"/>
      </iconSet>
    </cfRule>
  </conditionalFormatting>
  <conditionalFormatting sqref="AD129:AE136">
    <cfRule type="iconSet" priority="153">
      <iconSet iconSet="3Symbols2" showValue="0">
        <cfvo type="percent" val="0"/>
        <cfvo type="num" val="0"/>
        <cfvo type="num" val="0"/>
      </iconSet>
    </cfRule>
  </conditionalFormatting>
  <conditionalFormatting sqref="AD139:AE151">
    <cfRule type="iconSet" priority="152">
      <iconSet iconSet="3Symbols2" showValue="0">
        <cfvo type="percent" val="0"/>
        <cfvo type="num" val="0"/>
        <cfvo type="num" val="0"/>
      </iconSet>
    </cfRule>
  </conditionalFormatting>
  <conditionalFormatting sqref="AD154:AE160">
    <cfRule type="iconSet" priority="151">
      <iconSet iconSet="3Symbols2" showValue="0">
        <cfvo type="percent" val="0"/>
        <cfvo type="num" val="0"/>
        <cfvo type="num" val="0"/>
      </iconSet>
    </cfRule>
  </conditionalFormatting>
  <conditionalFormatting sqref="AD75:AE75">
    <cfRule type="iconSet" priority="150">
      <iconSet iconSet="3Symbols2" showValue="0">
        <cfvo type="percent" val="0"/>
        <cfvo type="num" val="0"/>
        <cfvo type="num" val="0"/>
      </iconSet>
    </cfRule>
  </conditionalFormatting>
  <conditionalFormatting sqref="AD76:AE84">
    <cfRule type="iconSet" priority="149">
      <iconSet iconSet="3Symbols2" showValue="0">
        <cfvo type="percent" val="0"/>
        <cfvo type="num" val="0"/>
        <cfvo type="num" val="0"/>
      </iconSet>
    </cfRule>
  </conditionalFormatting>
  <conditionalFormatting sqref="AD60:AE61">
    <cfRule type="iconSet" priority="148">
      <iconSet iconSet="3Symbols2" showValue="0">
        <cfvo type="percent" val="0"/>
        <cfvo type="num" val="0"/>
        <cfvo type="num" val="0"/>
      </iconSet>
    </cfRule>
  </conditionalFormatting>
  <conditionalFormatting sqref="AD52:AE52">
    <cfRule type="iconSet" priority="147">
      <iconSet iconSet="3Symbols2" showValue="0">
        <cfvo type="percent" val="0"/>
        <cfvo type="num" val="0"/>
        <cfvo type="num" val="0"/>
      </iconSet>
    </cfRule>
  </conditionalFormatting>
  <conditionalFormatting sqref="AF161:AG1048576 AF120:AG126 AF6:AG8 AF10:AG10 AF42:AG42 AF58:AG58 AF88:AG97">
    <cfRule type="iconSet" priority="145">
      <iconSet iconSet="3Symbols2" showValue="0">
        <cfvo type="percent" val="0"/>
        <cfvo type="num" val="0"/>
        <cfvo type="num" val="0"/>
      </iconSet>
    </cfRule>
  </conditionalFormatting>
  <conditionalFormatting sqref="AF9:AG9">
    <cfRule type="iconSet" priority="144">
      <iconSet iconSet="3Symbols2" showValue="0">
        <cfvo type="percent" val="0"/>
        <cfvo type="num" val="0"/>
        <cfvo type="num" val="0"/>
      </iconSet>
    </cfRule>
  </conditionalFormatting>
  <conditionalFormatting sqref="AF12:AG12">
    <cfRule type="iconSet" priority="143">
      <iconSet iconSet="3Symbols2" showValue="0">
        <cfvo type="percent" val="0"/>
        <cfvo type="num" val="0"/>
        <cfvo type="num" val="0"/>
      </iconSet>
    </cfRule>
  </conditionalFormatting>
  <conditionalFormatting sqref="AF25:AG25">
    <cfRule type="iconSet" priority="142">
      <iconSet iconSet="3Symbols2" showValue="0">
        <cfvo type="percent" val="0"/>
        <cfvo type="num" val="0"/>
        <cfvo type="num" val="0"/>
      </iconSet>
    </cfRule>
  </conditionalFormatting>
  <conditionalFormatting sqref="AF28:AG28">
    <cfRule type="iconSet" priority="141">
      <iconSet iconSet="3Symbols2" showValue="0">
        <cfvo type="percent" val="0"/>
        <cfvo type="num" val="0"/>
        <cfvo type="num" val="0"/>
      </iconSet>
    </cfRule>
  </conditionalFormatting>
  <conditionalFormatting sqref="AF41:AG41">
    <cfRule type="iconSet" priority="140">
      <iconSet iconSet="3Symbols2" showValue="0">
        <cfvo type="percent" val="0"/>
        <cfvo type="num" val="0"/>
        <cfvo type="num" val="0"/>
      </iconSet>
    </cfRule>
  </conditionalFormatting>
  <conditionalFormatting sqref="AF44:AG44">
    <cfRule type="iconSet" priority="139">
      <iconSet iconSet="3Symbols2" showValue="0">
        <cfvo type="percent" val="0"/>
        <cfvo type="num" val="0"/>
        <cfvo type="num" val="0"/>
      </iconSet>
    </cfRule>
  </conditionalFormatting>
  <conditionalFormatting sqref="AF57:AG57">
    <cfRule type="iconSet" priority="138">
      <iconSet iconSet="3Symbols2" showValue="0">
        <cfvo type="percent" val="0"/>
        <cfvo type="num" val="0"/>
        <cfvo type="num" val="0"/>
      </iconSet>
    </cfRule>
  </conditionalFormatting>
  <conditionalFormatting sqref="AF87:AG87">
    <cfRule type="iconSet" priority="137">
      <iconSet iconSet="3Symbols2" showValue="0">
        <cfvo type="percent" val="0"/>
        <cfvo type="num" val="0"/>
        <cfvo type="num" val="0"/>
      </iconSet>
    </cfRule>
  </conditionalFormatting>
  <conditionalFormatting sqref="AF99:AG99">
    <cfRule type="iconSet" priority="136">
      <iconSet iconSet="3Symbols2" showValue="0">
        <cfvo type="percent" val="0"/>
        <cfvo type="num" val="0"/>
        <cfvo type="num" val="0"/>
      </iconSet>
    </cfRule>
  </conditionalFormatting>
  <conditionalFormatting sqref="AF109:AG109">
    <cfRule type="iconSet" priority="135">
      <iconSet iconSet="3Symbols2" showValue="0">
        <cfvo type="percent" val="0"/>
        <cfvo type="num" val="0"/>
        <cfvo type="num" val="0"/>
      </iconSet>
    </cfRule>
  </conditionalFormatting>
  <conditionalFormatting sqref="AF119:AG119">
    <cfRule type="iconSet" priority="134">
      <iconSet iconSet="3Symbols2" showValue="0">
        <cfvo type="percent" val="0"/>
        <cfvo type="num" val="0"/>
        <cfvo type="num" val="0"/>
      </iconSet>
    </cfRule>
  </conditionalFormatting>
  <conditionalFormatting sqref="AF128:AG128">
    <cfRule type="iconSet" priority="133">
      <iconSet iconSet="3Symbols2" showValue="0">
        <cfvo type="percent" val="0"/>
        <cfvo type="num" val="0"/>
        <cfvo type="num" val="0"/>
      </iconSet>
    </cfRule>
  </conditionalFormatting>
  <conditionalFormatting sqref="AF62:AG62">
    <cfRule type="iconSet" priority="132">
      <iconSet iconSet="3Symbols2" showValue="0">
        <cfvo type="percent" val="0"/>
        <cfvo type="num" val="0"/>
        <cfvo type="num" val="0"/>
      </iconSet>
    </cfRule>
  </conditionalFormatting>
  <conditionalFormatting sqref="AF138:AG138">
    <cfRule type="iconSet" priority="131">
      <iconSet iconSet="3Symbols2" showValue="0">
        <cfvo type="percent" val="0"/>
        <cfvo type="num" val="0"/>
        <cfvo type="num" val="0"/>
      </iconSet>
    </cfRule>
  </conditionalFormatting>
  <conditionalFormatting sqref="AF153:AG153">
    <cfRule type="iconSet" priority="130">
      <iconSet iconSet="3Symbols2" showValue="0">
        <cfvo type="percent" val="0"/>
        <cfvo type="num" val="0"/>
        <cfvo type="num" val="0"/>
      </iconSet>
    </cfRule>
  </conditionalFormatting>
  <conditionalFormatting sqref="AF86:AG86">
    <cfRule type="iconSet" priority="129">
      <iconSet iconSet="3Symbols2" showValue="0">
        <cfvo type="percent" val="0"/>
        <cfvo type="num" val="0"/>
        <cfvo type="num" val="0"/>
      </iconSet>
    </cfRule>
  </conditionalFormatting>
  <conditionalFormatting sqref="AF1:AG5">
    <cfRule type="iconSet" priority="128">
      <iconSet iconSet="3Symbols2" showValue="0">
        <cfvo type="percent" val="0"/>
        <cfvo type="num" val="0"/>
        <cfvo type="num" val="1"/>
      </iconSet>
    </cfRule>
  </conditionalFormatting>
  <conditionalFormatting sqref="AF11:AG11">
    <cfRule type="iconSet" priority="127">
      <iconSet iconSet="3Symbols2" showValue="0">
        <cfvo type="percent" val="0"/>
        <cfvo type="num" val="0"/>
        <cfvo type="num" val="0"/>
      </iconSet>
    </cfRule>
  </conditionalFormatting>
  <conditionalFormatting sqref="AF24:AG24">
    <cfRule type="iconSet" priority="126">
      <iconSet iconSet="3Symbols2" showValue="0">
        <cfvo type="percent" val="0"/>
        <cfvo type="num" val="0"/>
        <cfvo type="num" val="0"/>
      </iconSet>
    </cfRule>
  </conditionalFormatting>
  <conditionalFormatting sqref="AF27:AG27">
    <cfRule type="iconSet" priority="125">
      <iconSet iconSet="3Symbols2" showValue="0">
        <cfvo type="percent" val="0"/>
        <cfvo type="num" val="0"/>
        <cfvo type="num" val="0"/>
      </iconSet>
    </cfRule>
  </conditionalFormatting>
  <conditionalFormatting sqref="AF40:AG40">
    <cfRule type="iconSet" priority="124">
      <iconSet iconSet="3Symbols2" showValue="0">
        <cfvo type="percent" val="0"/>
        <cfvo type="num" val="0"/>
        <cfvo type="num" val="0"/>
      </iconSet>
    </cfRule>
  </conditionalFormatting>
  <conditionalFormatting sqref="AF43:AG43">
    <cfRule type="iconSet" priority="123">
      <iconSet iconSet="3Symbols2" showValue="0">
        <cfvo type="percent" val="0"/>
        <cfvo type="num" val="0"/>
        <cfvo type="num" val="0"/>
      </iconSet>
    </cfRule>
  </conditionalFormatting>
  <conditionalFormatting sqref="AF56:AG56">
    <cfRule type="iconSet" priority="122">
      <iconSet iconSet="3Symbols2" showValue="0">
        <cfvo type="percent" val="0"/>
        <cfvo type="num" val="0"/>
        <cfvo type="num" val="0"/>
      </iconSet>
    </cfRule>
  </conditionalFormatting>
  <conditionalFormatting sqref="AF59:AG59">
    <cfRule type="iconSet" priority="121">
      <iconSet iconSet="3Symbols2" showValue="0">
        <cfvo type="percent" val="0"/>
        <cfvo type="num" val="0"/>
        <cfvo type="num" val="0"/>
      </iconSet>
    </cfRule>
  </conditionalFormatting>
  <conditionalFormatting sqref="AF98:AG98">
    <cfRule type="iconSet" priority="120">
      <iconSet iconSet="3Symbols2" showValue="0">
        <cfvo type="percent" val="0"/>
        <cfvo type="num" val="0"/>
        <cfvo type="num" val="0"/>
      </iconSet>
    </cfRule>
  </conditionalFormatting>
  <conditionalFormatting sqref="AF108:AG108">
    <cfRule type="iconSet" priority="119">
      <iconSet iconSet="3Symbols2" showValue="0">
        <cfvo type="percent" val="0"/>
        <cfvo type="num" val="0"/>
        <cfvo type="num" val="0"/>
      </iconSet>
    </cfRule>
  </conditionalFormatting>
  <conditionalFormatting sqref="AF118:AG118">
    <cfRule type="iconSet" priority="118">
      <iconSet iconSet="3Symbols2" showValue="0">
        <cfvo type="percent" val="0"/>
        <cfvo type="num" val="0"/>
        <cfvo type="num" val="0"/>
      </iconSet>
    </cfRule>
  </conditionalFormatting>
  <conditionalFormatting sqref="AF127:AG127">
    <cfRule type="iconSet" priority="117">
      <iconSet iconSet="3Symbols2" showValue="0">
        <cfvo type="percent" val="0"/>
        <cfvo type="num" val="0"/>
        <cfvo type="num" val="0"/>
      </iconSet>
    </cfRule>
  </conditionalFormatting>
  <conditionalFormatting sqref="AF137:AG137">
    <cfRule type="iconSet" priority="116">
      <iconSet iconSet="3Symbols2" showValue="0">
        <cfvo type="percent" val="0"/>
        <cfvo type="num" val="0"/>
        <cfvo type="num" val="0"/>
      </iconSet>
    </cfRule>
  </conditionalFormatting>
  <conditionalFormatting sqref="AF152:AG152">
    <cfRule type="iconSet" priority="115">
      <iconSet iconSet="3Symbols2" showValue="0">
        <cfvo type="percent" val="0"/>
        <cfvo type="num" val="0"/>
        <cfvo type="num" val="0"/>
      </iconSet>
    </cfRule>
  </conditionalFormatting>
  <conditionalFormatting sqref="AF65:AG65">
    <cfRule type="iconSet" priority="114">
      <iconSet iconSet="3Symbols2" showValue="0">
        <cfvo type="percent" val="0"/>
        <cfvo type="num" val="0"/>
        <cfvo type="num" val="0"/>
      </iconSet>
    </cfRule>
  </conditionalFormatting>
  <conditionalFormatting sqref="AF85:AG85">
    <cfRule type="iconSet" priority="113">
      <iconSet iconSet="3Symbols2" showValue="0">
        <cfvo type="percent" val="0"/>
        <cfvo type="num" val="0"/>
        <cfvo type="num" val="0"/>
      </iconSet>
    </cfRule>
  </conditionalFormatting>
  <conditionalFormatting sqref="AF64:AG64">
    <cfRule type="iconSet" priority="146">
      <iconSet iconSet="3Symbols2" showValue="0">
        <cfvo type="percent" val="0"/>
        <cfvo type="num" val="0"/>
        <cfvo type="num" val="0"/>
      </iconSet>
    </cfRule>
  </conditionalFormatting>
  <conditionalFormatting sqref="AF13:AG23">
    <cfRule type="iconSet" priority="112">
      <iconSet iconSet="3Symbols2" showValue="0">
        <cfvo type="percent" val="0"/>
        <cfvo type="num" val="0"/>
        <cfvo type="num" val="0"/>
      </iconSet>
    </cfRule>
  </conditionalFormatting>
  <conditionalFormatting sqref="AF26:AG26">
    <cfRule type="iconSet" priority="111">
      <iconSet iconSet="3Symbols2" showValue="0">
        <cfvo type="percent" val="0"/>
        <cfvo type="num" val="0"/>
        <cfvo type="num" val="0"/>
      </iconSet>
    </cfRule>
  </conditionalFormatting>
  <conditionalFormatting sqref="AF29:AG39">
    <cfRule type="iconSet" priority="110">
      <iconSet iconSet="3Symbols2" showValue="0">
        <cfvo type="percent" val="0"/>
        <cfvo type="num" val="0"/>
        <cfvo type="num" val="0"/>
      </iconSet>
    </cfRule>
  </conditionalFormatting>
  <conditionalFormatting sqref="AF63:AG63 AF45:AG51 AF53:AG55">
    <cfRule type="iconSet" priority="109">
      <iconSet iconSet="3Symbols2" showValue="0">
        <cfvo type="percent" val="0"/>
        <cfvo type="num" val="0"/>
        <cfvo type="num" val="0"/>
      </iconSet>
    </cfRule>
  </conditionalFormatting>
  <conditionalFormatting sqref="AF66:AG74">
    <cfRule type="iconSet" priority="108">
      <iconSet iconSet="3Symbols2" showValue="0">
        <cfvo type="percent" val="0"/>
        <cfvo type="num" val="0"/>
        <cfvo type="num" val="0"/>
      </iconSet>
    </cfRule>
  </conditionalFormatting>
  <conditionalFormatting sqref="AF100:AG107">
    <cfRule type="iconSet" priority="107">
      <iconSet iconSet="3Symbols2" showValue="0">
        <cfvo type="percent" val="0"/>
        <cfvo type="num" val="0"/>
        <cfvo type="num" val="0"/>
      </iconSet>
    </cfRule>
  </conditionalFormatting>
  <conditionalFormatting sqref="AF110:AG117">
    <cfRule type="iconSet" priority="106">
      <iconSet iconSet="3Symbols2" showValue="0">
        <cfvo type="percent" val="0"/>
        <cfvo type="num" val="0"/>
        <cfvo type="num" val="0"/>
      </iconSet>
    </cfRule>
  </conditionalFormatting>
  <conditionalFormatting sqref="AF129:AG136">
    <cfRule type="iconSet" priority="105">
      <iconSet iconSet="3Symbols2" showValue="0">
        <cfvo type="percent" val="0"/>
        <cfvo type="num" val="0"/>
        <cfvo type="num" val="0"/>
      </iconSet>
    </cfRule>
  </conditionalFormatting>
  <conditionalFormatting sqref="AF139:AG151">
    <cfRule type="iconSet" priority="104">
      <iconSet iconSet="3Symbols2" showValue="0">
        <cfvo type="percent" val="0"/>
        <cfvo type="num" val="0"/>
        <cfvo type="num" val="0"/>
      </iconSet>
    </cfRule>
  </conditionalFormatting>
  <conditionalFormatting sqref="AF154:AG160">
    <cfRule type="iconSet" priority="103">
      <iconSet iconSet="3Symbols2" showValue="0">
        <cfvo type="percent" val="0"/>
        <cfvo type="num" val="0"/>
        <cfvo type="num" val="0"/>
      </iconSet>
    </cfRule>
  </conditionalFormatting>
  <conditionalFormatting sqref="AF75:AG75">
    <cfRule type="iconSet" priority="102">
      <iconSet iconSet="3Symbols2" showValue="0">
        <cfvo type="percent" val="0"/>
        <cfvo type="num" val="0"/>
        <cfvo type="num" val="0"/>
      </iconSet>
    </cfRule>
  </conditionalFormatting>
  <conditionalFormatting sqref="AF76:AG84">
    <cfRule type="iconSet" priority="101">
      <iconSet iconSet="3Symbols2" showValue="0">
        <cfvo type="percent" val="0"/>
        <cfvo type="num" val="0"/>
        <cfvo type="num" val="0"/>
      </iconSet>
    </cfRule>
  </conditionalFormatting>
  <conditionalFormatting sqref="AF60:AG61">
    <cfRule type="iconSet" priority="100">
      <iconSet iconSet="3Symbols2" showValue="0">
        <cfvo type="percent" val="0"/>
        <cfvo type="num" val="0"/>
        <cfvo type="num" val="0"/>
      </iconSet>
    </cfRule>
  </conditionalFormatting>
  <conditionalFormatting sqref="AF52:AG52">
    <cfRule type="iconSet" priority="99">
      <iconSet iconSet="3Symbols2" showValue="0">
        <cfvo type="percent" val="0"/>
        <cfvo type="num" val="0"/>
        <cfvo type="num" val="0"/>
      </iconSet>
    </cfRule>
  </conditionalFormatting>
  <conditionalFormatting sqref="AH161:AI1048576 AH120:AI126 AH6:AI8 AH10:AI10 AH42:AI42 AH58:AI58 AH88:AI97">
    <cfRule type="iconSet" priority="97">
      <iconSet iconSet="3Symbols2" showValue="0">
        <cfvo type="percent" val="0"/>
        <cfvo type="num" val="0"/>
        <cfvo type="num" val="0"/>
      </iconSet>
    </cfRule>
  </conditionalFormatting>
  <conditionalFormatting sqref="AH9:AI9">
    <cfRule type="iconSet" priority="96">
      <iconSet iconSet="3Symbols2" showValue="0">
        <cfvo type="percent" val="0"/>
        <cfvo type="num" val="0"/>
        <cfvo type="num" val="0"/>
      </iconSet>
    </cfRule>
  </conditionalFormatting>
  <conditionalFormatting sqref="AH12:AI12">
    <cfRule type="iconSet" priority="95">
      <iconSet iconSet="3Symbols2" showValue="0">
        <cfvo type="percent" val="0"/>
        <cfvo type="num" val="0"/>
        <cfvo type="num" val="0"/>
      </iconSet>
    </cfRule>
  </conditionalFormatting>
  <conditionalFormatting sqref="AH25:AI25">
    <cfRule type="iconSet" priority="94">
      <iconSet iconSet="3Symbols2" showValue="0">
        <cfvo type="percent" val="0"/>
        <cfvo type="num" val="0"/>
        <cfvo type="num" val="0"/>
      </iconSet>
    </cfRule>
  </conditionalFormatting>
  <conditionalFormatting sqref="AH28:AI28">
    <cfRule type="iconSet" priority="93">
      <iconSet iconSet="3Symbols2" showValue="0">
        <cfvo type="percent" val="0"/>
        <cfvo type="num" val="0"/>
        <cfvo type="num" val="0"/>
      </iconSet>
    </cfRule>
  </conditionalFormatting>
  <conditionalFormatting sqref="AH41:AI41">
    <cfRule type="iconSet" priority="92">
      <iconSet iconSet="3Symbols2" showValue="0">
        <cfvo type="percent" val="0"/>
        <cfvo type="num" val="0"/>
        <cfvo type="num" val="0"/>
      </iconSet>
    </cfRule>
  </conditionalFormatting>
  <conditionalFormatting sqref="AH44:AI44">
    <cfRule type="iconSet" priority="91">
      <iconSet iconSet="3Symbols2" showValue="0">
        <cfvo type="percent" val="0"/>
        <cfvo type="num" val="0"/>
        <cfvo type="num" val="0"/>
      </iconSet>
    </cfRule>
  </conditionalFormatting>
  <conditionalFormatting sqref="AH57:AI57">
    <cfRule type="iconSet" priority="90">
      <iconSet iconSet="3Symbols2" showValue="0">
        <cfvo type="percent" val="0"/>
        <cfvo type="num" val="0"/>
        <cfvo type="num" val="0"/>
      </iconSet>
    </cfRule>
  </conditionalFormatting>
  <conditionalFormatting sqref="AH87:AI87">
    <cfRule type="iconSet" priority="89">
      <iconSet iconSet="3Symbols2" showValue="0">
        <cfvo type="percent" val="0"/>
        <cfvo type="num" val="0"/>
        <cfvo type="num" val="0"/>
      </iconSet>
    </cfRule>
  </conditionalFormatting>
  <conditionalFormatting sqref="AH99:AI99">
    <cfRule type="iconSet" priority="88">
      <iconSet iconSet="3Symbols2" showValue="0">
        <cfvo type="percent" val="0"/>
        <cfvo type="num" val="0"/>
        <cfvo type="num" val="0"/>
      </iconSet>
    </cfRule>
  </conditionalFormatting>
  <conditionalFormatting sqref="AH109:AI109">
    <cfRule type="iconSet" priority="87">
      <iconSet iconSet="3Symbols2" showValue="0">
        <cfvo type="percent" val="0"/>
        <cfvo type="num" val="0"/>
        <cfvo type="num" val="0"/>
      </iconSet>
    </cfRule>
  </conditionalFormatting>
  <conditionalFormatting sqref="AH119:AI119">
    <cfRule type="iconSet" priority="86">
      <iconSet iconSet="3Symbols2" showValue="0">
        <cfvo type="percent" val="0"/>
        <cfvo type="num" val="0"/>
        <cfvo type="num" val="0"/>
      </iconSet>
    </cfRule>
  </conditionalFormatting>
  <conditionalFormatting sqref="AH128:AI128">
    <cfRule type="iconSet" priority="85">
      <iconSet iconSet="3Symbols2" showValue="0">
        <cfvo type="percent" val="0"/>
        <cfvo type="num" val="0"/>
        <cfvo type="num" val="0"/>
      </iconSet>
    </cfRule>
  </conditionalFormatting>
  <conditionalFormatting sqref="AH62:AI62">
    <cfRule type="iconSet" priority="84">
      <iconSet iconSet="3Symbols2" showValue="0">
        <cfvo type="percent" val="0"/>
        <cfvo type="num" val="0"/>
        <cfvo type="num" val="0"/>
      </iconSet>
    </cfRule>
  </conditionalFormatting>
  <conditionalFormatting sqref="AH138:AI138">
    <cfRule type="iconSet" priority="83">
      <iconSet iconSet="3Symbols2" showValue="0">
        <cfvo type="percent" val="0"/>
        <cfvo type="num" val="0"/>
        <cfvo type="num" val="0"/>
      </iconSet>
    </cfRule>
  </conditionalFormatting>
  <conditionalFormatting sqref="AH153:AI153">
    <cfRule type="iconSet" priority="82">
      <iconSet iconSet="3Symbols2" showValue="0">
        <cfvo type="percent" val="0"/>
        <cfvo type="num" val="0"/>
        <cfvo type="num" val="0"/>
      </iconSet>
    </cfRule>
  </conditionalFormatting>
  <conditionalFormatting sqref="AH86:AI86">
    <cfRule type="iconSet" priority="81">
      <iconSet iconSet="3Symbols2" showValue="0">
        <cfvo type="percent" val="0"/>
        <cfvo type="num" val="0"/>
        <cfvo type="num" val="0"/>
      </iconSet>
    </cfRule>
  </conditionalFormatting>
  <conditionalFormatting sqref="AH1:AI5">
    <cfRule type="iconSet" priority="80">
      <iconSet iconSet="3Symbols2" showValue="0">
        <cfvo type="percent" val="0"/>
        <cfvo type="num" val="0"/>
        <cfvo type="num" val="1"/>
      </iconSet>
    </cfRule>
  </conditionalFormatting>
  <conditionalFormatting sqref="AH11:AI11">
    <cfRule type="iconSet" priority="79">
      <iconSet iconSet="3Symbols2" showValue="0">
        <cfvo type="percent" val="0"/>
        <cfvo type="num" val="0"/>
        <cfvo type="num" val="0"/>
      </iconSet>
    </cfRule>
  </conditionalFormatting>
  <conditionalFormatting sqref="AH24:AI24">
    <cfRule type="iconSet" priority="78">
      <iconSet iconSet="3Symbols2" showValue="0">
        <cfvo type="percent" val="0"/>
        <cfvo type="num" val="0"/>
        <cfvo type="num" val="0"/>
      </iconSet>
    </cfRule>
  </conditionalFormatting>
  <conditionalFormatting sqref="AH27:AI27">
    <cfRule type="iconSet" priority="77">
      <iconSet iconSet="3Symbols2" showValue="0">
        <cfvo type="percent" val="0"/>
        <cfvo type="num" val="0"/>
        <cfvo type="num" val="0"/>
      </iconSet>
    </cfRule>
  </conditionalFormatting>
  <conditionalFormatting sqref="AH40:AI40">
    <cfRule type="iconSet" priority="76">
      <iconSet iconSet="3Symbols2" showValue="0">
        <cfvo type="percent" val="0"/>
        <cfvo type="num" val="0"/>
        <cfvo type="num" val="0"/>
      </iconSet>
    </cfRule>
  </conditionalFormatting>
  <conditionalFormatting sqref="AH43:AI43">
    <cfRule type="iconSet" priority="75">
      <iconSet iconSet="3Symbols2" showValue="0">
        <cfvo type="percent" val="0"/>
        <cfvo type="num" val="0"/>
        <cfvo type="num" val="0"/>
      </iconSet>
    </cfRule>
  </conditionalFormatting>
  <conditionalFormatting sqref="AH56:AI56">
    <cfRule type="iconSet" priority="74">
      <iconSet iconSet="3Symbols2" showValue="0">
        <cfvo type="percent" val="0"/>
        <cfvo type="num" val="0"/>
        <cfvo type="num" val="0"/>
      </iconSet>
    </cfRule>
  </conditionalFormatting>
  <conditionalFormatting sqref="AH59:AI59">
    <cfRule type="iconSet" priority="73">
      <iconSet iconSet="3Symbols2" showValue="0">
        <cfvo type="percent" val="0"/>
        <cfvo type="num" val="0"/>
        <cfvo type="num" val="0"/>
      </iconSet>
    </cfRule>
  </conditionalFormatting>
  <conditionalFormatting sqref="AH98:AI98">
    <cfRule type="iconSet" priority="72">
      <iconSet iconSet="3Symbols2" showValue="0">
        <cfvo type="percent" val="0"/>
        <cfvo type="num" val="0"/>
        <cfvo type="num" val="0"/>
      </iconSet>
    </cfRule>
  </conditionalFormatting>
  <conditionalFormatting sqref="AH108:AI108">
    <cfRule type="iconSet" priority="71">
      <iconSet iconSet="3Symbols2" showValue="0">
        <cfvo type="percent" val="0"/>
        <cfvo type="num" val="0"/>
        <cfvo type="num" val="0"/>
      </iconSet>
    </cfRule>
  </conditionalFormatting>
  <conditionalFormatting sqref="AH118:AI118">
    <cfRule type="iconSet" priority="70">
      <iconSet iconSet="3Symbols2" showValue="0">
        <cfvo type="percent" val="0"/>
        <cfvo type="num" val="0"/>
        <cfvo type="num" val="0"/>
      </iconSet>
    </cfRule>
  </conditionalFormatting>
  <conditionalFormatting sqref="AH127:AI127">
    <cfRule type="iconSet" priority="69">
      <iconSet iconSet="3Symbols2" showValue="0">
        <cfvo type="percent" val="0"/>
        <cfvo type="num" val="0"/>
        <cfvo type="num" val="0"/>
      </iconSet>
    </cfRule>
  </conditionalFormatting>
  <conditionalFormatting sqref="AH137:AI137">
    <cfRule type="iconSet" priority="68">
      <iconSet iconSet="3Symbols2" showValue="0">
        <cfvo type="percent" val="0"/>
        <cfvo type="num" val="0"/>
        <cfvo type="num" val="0"/>
      </iconSet>
    </cfRule>
  </conditionalFormatting>
  <conditionalFormatting sqref="AH152:AI152">
    <cfRule type="iconSet" priority="67">
      <iconSet iconSet="3Symbols2" showValue="0">
        <cfvo type="percent" val="0"/>
        <cfvo type="num" val="0"/>
        <cfvo type="num" val="0"/>
      </iconSet>
    </cfRule>
  </conditionalFormatting>
  <conditionalFormatting sqref="AH65:AI65">
    <cfRule type="iconSet" priority="66">
      <iconSet iconSet="3Symbols2" showValue="0">
        <cfvo type="percent" val="0"/>
        <cfvo type="num" val="0"/>
        <cfvo type="num" val="0"/>
      </iconSet>
    </cfRule>
  </conditionalFormatting>
  <conditionalFormatting sqref="AH85:AI85">
    <cfRule type="iconSet" priority="65">
      <iconSet iconSet="3Symbols2" showValue="0">
        <cfvo type="percent" val="0"/>
        <cfvo type="num" val="0"/>
        <cfvo type="num" val="0"/>
      </iconSet>
    </cfRule>
  </conditionalFormatting>
  <conditionalFormatting sqref="AH64:AI64">
    <cfRule type="iconSet" priority="98">
      <iconSet iconSet="3Symbols2" showValue="0">
        <cfvo type="percent" val="0"/>
        <cfvo type="num" val="0"/>
        <cfvo type="num" val="0"/>
      </iconSet>
    </cfRule>
  </conditionalFormatting>
  <conditionalFormatting sqref="AH13:AI23">
    <cfRule type="iconSet" priority="64">
      <iconSet iconSet="3Symbols2" showValue="0">
        <cfvo type="percent" val="0"/>
        <cfvo type="num" val="0"/>
        <cfvo type="num" val="0"/>
      </iconSet>
    </cfRule>
  </conditionalFormatting>
  <conditionalFormatting sqref="AH26:AI26">
    <cfRule type="iconSet" priority="63">
      <iconSet iconSet="3Symbols2" showValue="0">
        <cfvo type="percent" val="0"/>
        <cfvo type="num" val="0"/>
        <cfvo type="num" val="0"/>
      </iconSet>
    </cfRule>
  </conditionalFormatting>
  <conditionalFormatting sqref="AH29:AI39">
    <cfRule type="iconSet" priority="62">
      <iconSet iconSet="3Symbols2" showValue="0">
        <cfvo type="percent" val="0"/>
        <cfvo type="num" val="0"/>
        <cfvo type="num" val="0"/>
      </iconSet>
    </cfRule>
  </conditionalFormatting>
  <conditionalFormatting sqref="AH63:AI63 AH45:AI51 AH53:AI55">
    <cfRule type="iconSet" priority="61">
      <iconSet iconSet="3Symbols2" showValue="0">
        <cfvo type="percent" val="0"/>
        <cfvo type="num" val="0"/>
        <cfvo type="num" val="0"/>
      </iconSet>
    </cfRule>
  </conditionalFormatting>
  <conditionalFormatting sqref="AH66:AI74">
    <cfRule type="iconSet" priority="60">
      <iconSet iconSet="3Symbols2" showValue="0">
        <cfvo type="percent" val="0"/>
        <cfvo type="num" val="0"/>
        <cfvo type="num" val="0"/>
      </iconSet>
    </cfRule>
  </conditionalFormatting>
  <conditionalFormatting sqref="AH100:AI107">
    <cfRule type="iconSet" priority="59">
      <iconSet iconSet="3Symbols2" showValue="0">
        <cfvo type="percent" val="0"/>
        <cfvo type="num" val="0"/>
        <cfvo type="num" val="0"/>
      </iconSet>
    </cfRule>
  </conditionalFormatting>
  <conditionalFormatting sqref="AH110:AI117">
    <cfRule type="iconSet" priority="58">
      <iconSet iconSet="3Symbols2" showValue="0">
        <cfvo type="percent" val="0"/>
        <cfvo type="num" val="0"/>
        <cfvo type="num" val="0"/>
      </iconSet>
    </cfRule>
  </conditionalFormatting>
  <conditionalFormatting sqref="AH129:AI136">
    <cfRule type="iconSet" priority="57">
      <iconSet iconSet="3Symbols2" showValue="0">
        <cfvo type="percent" val="0"/>
        <cfvo type="num" val="0"/>
        <cfvo type="num" val="0"/>
      </iconSet>
    </cfRule>
  </conditionalFormatting>
  <conditionalFormatting sqref="AH139:AI151">
    <cfRule type="iconSet" priority="56">
      <iconSet iconSet="3Symbols2" showValue="0">
        <cfvo type="percent" val="0"/>
        <cfvo type="num" val="0"/>
        <cfvo type="num" val="0"/>
      </iconSet>
    </cfRule>
  </conditionalFormatting>
  <conditionalFormatting sqref="AH154:AI160">
    <cfRule type="iconSet" priority="55">
      <iconSet iconSet="3Symbols2" showValue="0">
        <cfvo type="percent" val="0"/>
        <cfvo type="num" val="0"/>
        <cfvo type="num" val="0"/>
      </iconSet>
    </cfRule>
  </conditionalFormatting>
  <conditionalFormatting sqref="AH75:AI75">
    <cfRule type="iconSet" priority="54">
      <iconSet iconSet="3Symbols2" showValue="0">
        <cfvo type="percent" val="0"/>
        <cfvo type="num" val="0"/>
        <cfvo type="num" val="0"/>
      </iconSet>
    </cfRule>
  </conditionalFormatting>
  <conditionalFormatting sqref="AH76:AI84">
    <cfRule type="iconSet" priority="53">
      <iconSet iconSet="3Symbols2" showValue="0">
        <cfvo type="percent" val="0"/>
        <cfvo type="num" val="0"/>
        <cfvo type="num" val="0"/>
      </iconSet>
    </cfRule>
  </conditionalFormatting>
  <conditionalFormatting sqref="AH60:AI61">
    <cfRule type="iconSet" priority="52">
      <iconSet iconSet="3Symbols2" showValue="0">
        <cfvo type="percent" val="0"/>
        <cfvo type="num" val="0"/>
        <cfvo type="num" val="0"/>
      </iconSet>
    </cfRule>
  </conditionalFormatting>
  <conditionalFormatting sqref="AH52:AI52">
    <cfRule type="iconSet" priority="51">
      <iconSet iconSet="3Symbols2" showValue="0">
        <cfvo type="percent" val="0"/>
        <cfvo type="num" val="0"/>
        <cfvo type="num" val="0"/>
      </iconSet>
    </cfRule>
  </conditionalFormatting>
  <conditionalFormatting sqref="AJ161:AK1048576 AJ120:AK126 AJ6:AK8 AJ10:AK10 AJ42:AK42 AJ58:AK58 AJ88:AK97">
    <cfRule type="iconSet" priority="49">
      <iconSet iconSet="3Symbols2" showValue="0">
        <cfvo type="percent" val="0"/>
        <cfvo type="num" val="0"/>
        <cfvo type="num" val="0"/>
      </iconSet>
    </cfRule>
  </conditionalFormatting>
  <conditionalFormatting sqref="AJ9:AK9">
    <cfRule type="iconSet" priority="48">
      <iconSet iconSet="3Symbols2" showValue="0">
        <cfvo type="percent" val="0"/>
        <cfvo type="num" val="0"/>
        <cfvo type="num" val="0"/>
      </iconSet>
    </cfRule>
  </conditionalFormatting>
  <conditionalFormatting sqref="AJ12:AK12">
    <cfRule type="iconSet" priority="47">
      <iconSet iconSet="3Symbols2" showValue="0">
        <cfvo type="percent" val="0"/>
        <cfvo type="num" val="0"/>
        <cfvo type="num" val="0"/>
      </iconSet>
    </cfRule>
  </conditionalFormatting>
  <conditionalFormatting sqref="AJ25:AK25">
    <cfRule type="iconSet" priority="46">
      <iconSet iconSet="3Symbols2" showValue="0">
        <cfvo type="percent" val="0"/>
        <cfvo type="num" val="0"/>
        <cfvo type="num" val="0"/>
      </iconSet>
    </cfRule>
  </conditionalFormatting>
  <conditionalFormatting sqref="AJ28:AK28">
    <cfRule type="iconSet" priority="45">
      <iconSet iconSet="3Symbols2" showValue="0">
        <cfvo type="percent" val="0"/>
        <cfvo type="num" val="0"/>
        <cfvo type="num" val="0"/>
      </iconSet>
    </cfRule>
  </conditionalFormatting>
  <conditionalFormatting sqref="AJ41:AK41">
    <cfRule type="iconSet" priority="44">
      <iconSet iconSet="3Symbols2" showValue="0">
        <cfvo type="percent" val="0"/>
        <cfvo type="num" val="0"/>
        <cfvo type="num" val="0"/>
      </iconSet>
    </cfRule>
  </conditionalFormatting>
  <conditionalFormatting sqref="AJ44:AK44">
    <cfRule type="iconSet" priority="43">
      <iconSet iconSet="3Symbols2" showValue="0">
        <cfvo type="percent" val="0"/>
        <cfvo type="num" val="0"/>
        <cfvo type="num" val="0"/>
      </iconSet>
    </cfRule>
  </conditionalFormatting>
  <conditionalFormatting sqref="AJ57:AK57">
    <cfRule type="iconSet" priority="42">
      <iconSet iconSet="3Symbols2" showValue="0">
        <cfvo type="percent" val="0"/>
        <cfvo type="num" val="0"/>
        <cfvo type="num" val="0"/>
      </iconSet>
    </cfRule>
  </conditionalFormatting>
  <conditionalFormatting sqref="AJ87:AK87">
    <cfRule type="iconSet" priority="41">
      <iconSet iconSet="3Symbols2" showValue="0">
        <cfvo type="percent" val="0"/>
        <cfvo type="num" val="0"/>
        <cfvo type="num" val="0"/>
      </iconSet>
    </cfRule>
  </conditionalFormatting>
  <conditionalFormatting sqref="AJ99:AK99">
    <cfRule type="iconSet" priority="40">
      <iconSet iconSet="3Symbols2" showValue="0">
        <cfvo type="percent" val="0"/>
        <cfvo type="num" val="0"/>
        <cfvo type="num" val="0"/>
      </iconSet>
    </cfRule>
  </conditionalFormatting>
  <conditionalFormatting sqref="AJ109:AK109">
    <cfRule type="iconSet" priority="39">
      <iconSet iconSet="3Symbols2" showValue="0">
        <cfvo type="percent" val="0"/>
        <cfvo type="num" val="0"/>
        <cfvo type="num" val="0"/>
      </iconSet>
    </cfRule>
  </conditionalFormatting>
  <conditionalFormatting sqref="AJ119:AK119">
    <cfRule type="iconSet" priority="38">
      <iconSet iconSet="3Symbols2" showValue="0">
        <cfvo type="percent" val="0"/>
        <cfvo type="num" val="0"/>
        <cfvo type="num" val="0"/>
      </iconSet>
    </cfRule>
  </conditionalFormatting>
  <conditionalFormatting sqref="AJ128:AK128">
    <cfRule type="iconSet" priority="37">
      <iconSet iconSet="3Symbols2" showValue="0">
        <cfvo type="percent" val="0"/>
        <cfvo type="num" val="0"/>
        <cfvo type="num" val="0"/>
      </iconSet>
    </cfRule>
  </conditionalFormatting>
  <conditionalFormatting sqref="AJ62:AK62">
    <cfRule type="iconSet" priority="36">
      <iconSet iconSet="3Symbols2" showValue="0">
        <cfvo type="percent" val="0"/>
        <cfvo type="num" val="0"/>
        <cfvo type="num" val="0"/>
      </iconSet>
    </cfRule>
  </conditionalFormatting>
  <conditionalFormatting sqref="AJ138:AK138">
    <cfRule type="iconSet" priority="35">
      <iconSet iconSet="3Symbols2" showValue="0">
        <cfvo type="percent" val="0"/>
        <cfvo type="num" val="0"/>
        <cfvo type="num" val="0"/>
      </iconSet>
    </cfRule>
  </conditionalFormatting>
  <conditionalFormatting sqref="AJ153:AK153">
    <cfRule type="iconSet" priority="34">
      <iconSet iconSet="3Symbols2" showValue="0">
        <cfvo type="percent" val="0"/>
        <cfvo type="num" val="0"/>
        <cfvo type="num" val="0"/>
      </iconSet>
    </cfRule>
  </conditionalFormatting>
  <conditionalFormatting sqref="AJ86:AK86">
    <cfRule type="iconSet" priority="33">
      <iconSet iconSet="3Symbols2" showValue="0">
        <cfvo type="percent" val="0"/>
        <cfvo type="num" val="0"/>
        <cfvo type="num" val="0"/>
      </iconSet>
    </cfRule>
  </conditionalFormatting>
  <conditionalFormatting sqref="AJ1:AK5">
    <cfRule type="iconSet" priority="32">
      <iconSet iconSet="3Symbols2" showValue="0">
        <cfvo type="percent" val="0"/>
        <cfvo type="num" val="0"/>
        <cfvo type="num" val="1"/>
      </iconSet>
    </cfRule>
  </conditionalFormatting>
  <conditionalFormatting sqref="AJ11:AK11">
    <cfRule type="iconSet" priority="31">
      <iconSet iconSet="3Symbols2" showValue="0">
        <cfvo type="percent" val="0"/>
        <cfvo type="num" val="0"/>
        <cfvo type="num" val="0"/>
      </iconSet>
    </cfRule>
  </conditionalFormatting>
  <conditionalFormatting sqref="AJ24:AK24">
    <cfRule type="iconSet" priority="30">
      <iconSet iconSet="3Symbols2" showValue="0">
        <cfvo type="percent" val="0"/>
        <cfvo type="num" val="0"/>
        <cfvo type="num" val="0"/>
      </iconSet>
    </cfRule>
  </conditionalFormatting>
  <conditionalFormatting sqref="AJ27:AK27">
    <cfRule type="iconSet" priority="29">
      <iconSet iconSet="3Symbols2" showValue="0">
        <cfvo type="percent" val="0"/>
        <cfvo type="num" val="0"/>
        <cfvo type="num" val="0"/>
      </iconSet>
    </cfRule>
  </conditionalFormatting>
  <conditionalFormatting sqref="AJ40:AK40">
    <cfRule type="iconSet" priority="28">
      <iconSet iconSet="3Symbols2" showValue="0">
        <cfvo type="percent" val="0"/>
        <cfvo type="num" val="0"/>
        <cfvo type="num" val="0"/>
      </iconSet>
    </cfRule>
  </conditionalFormatting>
  <conditionalFormatting sqref="AJ43:AK43">
    <cfRule type="iconSet" priority="27">
      <iconSet iconSet="3Symbols2" showValue="0">
        <cfvo type="percent" val="0"/>
        <cfvo type="num" val="0"/>
        <cfvo type="num" val="0"/>
      </iconSet>
    </cfRule>
  </conditionalFormatting>
  <conditionalFormatting sqref="AJ56:AK56">
    <cfRule type="iconSet" priority="26">
      <iconSet iconSet="3Symbols2" showValue="0">
        <cfvo type="percent" val="0"/>
        <cfvo type="num" val="0"/>
        <cfvo type="num" val="0"/>
      </iconSet>
    </cfRule>
  </conditionalFormatting>
  <conditionalFormatting sqref="AJ59:AK59">
    <cfRule type="iconSet" priority="25">
      <iconSet iconSet="3Symbols2" showValue="0">
        <cfvo type="percent" val="0"/>
        <cfvo type="num" val="0"/>
        <cfvo type="num" val="0"/>
      </iconSet>
    </cfRule>
  </conditionalFormatting>
  <conditionalFormatting sqref="AJ98:AK98">
    <cfRule type="iconSet" priority="24">
      <iconSet iconSet="3Symbols2" showValue="0">
        <cfvo type="percent" val="0"/>
        <cfvo type="num" val="0"/>
        <cfvo type="num" val="0"/>
      </iconSet>
    </cfRule>
  </conditionalFormatting>
  <conditionalFormatting sqref="AJ108:AK108">
    <cfRule type="iconSet" priority="23">
      <iconSet iconSet="3Symbols2" showValue="0">
        <cfvo type="percent" val="0"/>
        <cfvo type="num" val="0"/>
        <cfvo type="num" val="0"/>
      </iconSet>
    </cfRule>
  </conditionalFormatting>
  <conditionalFormatting sqref="AJ118:AK118">
    <cfRule type="iconSet" priority="22">
      <iconSet iconSet="3Symbols2" showValue="0">
        <cfvo type="percent" val="0"/>
        <cfvo type="num" val="0"/>
        <cfvo type="num" val="0"/>
      </iconSet>
    </cfRule>
  </conditionalFormatting>
  <conditionalFormatting sqref="AJ127:AK127">
    <cfRule type="iconSet" priority="21">
      <iconSet iconSet="3Symbols2" showValue="0">
        <cfvo type="percent" val="0"/>
        <cfvo type="num" val="0"/>
        <cfvo type="num" val="0"/>
      </iconSet>
    </cfRule>
  </conditionalFormatting>
  <conditionalFormatting sqref="AJ137:AK137">
    <cfRule type="iconSet" priority="20">
      <iconSet iconSet="3Symbols2" showValue="0">
        <cfvo type="percent" val="0"/>
        <cfvo type="num" val="0"/>
        <cfvo type="num" val="0"/>
      </iconSet>
    </cfRule>
  </conditionalFormatting>
  <conditionalFormatting sqref="AJ152:AK152">
    <cfRule type="iconSet" priority="19">
      <iconSet iconSet="3Symbols2" showValue="0">
        <cfvo type="percent" val="0"/>
        <cfvo type="num" val="0"/>
        <cfvo type="num" val="0"/>
      </iconSet>
    </cfRule>
  </conditionalFormatting>
  <conditionalFormatting sqref="AJ65:AK65">
    <cfRule type="iconSet" priority="18">
      <iconSet iconSet="3Symbols2" showValue="0">
        <cfvo type="percent" val="0"/>
        <cfvo type="num" val="0"/>
        <cfvo type="num" val="0"/>
      </iconSet>
    </cfRule>
  </conditionalFormatting>
  <conditionalFormatting sqref="AJ85:AK85">
    <cfRule type="iconSet" priority="17">
      <iconSet iconSet="3Symbols2" showValue="0">
        <cfvo type="percent" val="0"/>
        <cfvo type="num" val="0"/>
        <cfvo type="num" val="0"/>
      </iconSet>
    </cfRule>
  </conditionalFormatting>
  <conditionalFormatting sqref="AJ64:AK64">
    <cfRule type="iconSet" priority="50">
      <iconSet iconSet="3Symbols2" showValue="0">
        <cfvo type="percent" val="0"/>
        <cfvo type="num" val="0"/>
        <cfvo type="num" val="0"/>
      </iconSet>
    </cfRule>
  </conditionalFormatting>
  <conditionalFormatting sqref="AJ13:AK23">
    <cfRule type="iconSet" priority="16">
      <iconSet iconSet="3Symbols2" showValue="0">
        <cfvo type="percent" val="0"/>
        <cfvo type="num" val="0"/>
        <cfvo type="num" val="0"/>
      </iconSet>
    </cfRule>
  </conditionalFormatting>
  <conditionalFormatting sqref="AJ26:AK26">
    <cfRule type="iconSet" priority="15">
      <iconSet iconSet="3Symbols2" showValue="0">
        <cfvo type="percent" val="0"/>
        <cfvo type="num" val="0"/>
        <cfvo type="num" val="0"/>
      </iconSet>
    </cfRule>
  </conditionalFormatting>
  <conditionalFormatting sqref="AJ29:AK39">
    <cfRule type="iconSet" priority="14">
      <iconSet iconSet="3Symbols2" showValue="0">
        <cfvo type="percent" val="0"/>
        <cfvo type="num" val="0"/>
        <cfvo type="num" val="0"/>
      </iconSet>
    </cfRule>
  </conditionalFormatting>
  <conditionalFormatting sqref="AJ63:AK63 AJ45:AK51 AJ53:AK55">
    <cfRule type="iconSet" priority="13">
      <iconSet iconSet="3Symbols2" showValue="0">
        <cfvo type="percent" val="0"/>
        <cfvo type="num" val="0"/>
        <cfvo type="num" val="0"/>
      </iconSet>
    </cfRule>
  </conditionalFormatting>
  <conditionalFormatting sqref="AJ66:AK74">
    <cfRule type="iconSet" priority="12">
      <iconSet iconSet="3Symbols2" showValue="0">
        <cfvo type="percent" val="0"/>
        <cfvo type="num" val="0"/>
        <cfvo type="num" val="0"/>
      </iconSet>
    </cfRule>
  </conditionalFormatting>
  <conditionalFormatting sqref="AJ100:AK107">
    <cfRule type="iconSet" priority="11">
      <iconSet iconSet="3Symbols2" showValue="0">
        <cfvo type="percent" val="0"/>
        <cfvo type="num" val="0"/>
        <cfvo type="num" val="0"/>
      </iconSet>
    </cfRule>
  </conditionalFormatting>
  <conditionalFormatting sqref="AJ110:AK117">
    <cfRule type="iconSet" priority="10">
      <iconSet iconSet="3Symbols2" showValue="0">
        <cfvo type="percent" val="0"/>
        <cfvo type="num" val="0"/>
        <cfvo type="num" val="0"/>
      </iconSet>
    </cfRule>
  </conditionalFormatting>
  <conditionalFormatting sqref="AJ129:AK136">
    <cfRule type="iconSet" priority="9">
      <iconSet iconSet="3Symbols2" showValue="0">
        <cfvo type="percent" val="0"/>
        <cfvo type="num" val="0"/>
        <cfvo type="num" val="0"/>
      </iconSet>
    </cfRule>
  </conditionalFormatting>
  <conditionalFormatting sqref="AJ139:AK151">
    <cfRule type="iconSet" priority="8">
      <iconSet iconSet="3Symbols2" showValue="0">
        <cfvo type="percent" val="0"/>
        <cfvo type="num" val="0"/>
        <cfvo type="num" val="0"/>
      </iconSet>
    </cfRule>
  </conditionalFormatting>
  <conditionalFormatting sqref="AJ154:AK160">
    <cfRule type="iconSet" priority="7">
      <iconSet iconSet="3Symbols2" showValue="0">
        <cfvo type="percent" val="0"/>
        <cfvo type="num" val="0"/>
        <cfvo type="num" val="0"/>
      </iconSet>
    </cfRule>
  </conditionalFormatting>
  <conditionalFormatting sqref="AJ75:AK75">
    <cfRule type="iconSet" priority="6">
      <iconSet iconSet="3Symbols2" showValue="0">
        <cfvo type="percent" val="0"/>
        <cfvo type="num" val="0"/>
        <cfvo type="num" val="0"/>
      </iconSet>
    </cfRule>
  </conditionalFormatting>
  <conditionalFormatting sqref="AJ76:AK84">
    <cfRule type="iconSet" priority="5">
      <iconSet iconSet="3Symbols2" showValue="0">
        <cfvo type="percent" val="0"/>
        <cfvo type="num" val="0"/>
        <cfvo type="num" val="0"/>
      </iconSet>
    </cfRule>
  </conditionalFormatting>
  <conditionalFormatting sqref="AJ60:AK61">
    <cfRule type="iconSet" priority="4">
      <iconSet iconSet="3Symbols2" showValue="0">
        <cfvo type="percent" val="0"/>
        <cfvo type="num" val="0"/>
        <cfvo type="num" val="0"/>
      </iconSet>
    </cfRule>
  </conditionalFormatting>
  <conditionalFormatting sqref="AJ52:AK52">
    <cfRule type="iconSet" priority="3">
      <iconSet iconSet="3Symbols2" showValue="0">
        <cfvo type="percent" val="0"/>
        <cfvo type="num" val="0"/>
        <cfvo type="num" val="0"/>
      </iconSet>
    </cfRule>
  </conditionalFormatting>
  <conditionalFormatting sqref="J100:J107">
    <cfRule type="iconSet" priority="2">
      <iconSet iconSet="3Symbols2" showValue="0">
        <cfvo type="percent" val="0"/>
        <cfvo type="num" val="0"/>
        <cfvo type="num" val="0"/>
      </iconSet>
    </cfRule>
  </conditionalFormatting>
  <conditionalFormatting sqref="J13:J18">
    <cfRule type="iconSet" priority="1">
      <iconSet iconSet="3Symbols2" showValue="0">
        <cfvo type="percent" val="0"/>
        <cfvo type="num" val="0"/>
        <cfvo type="num" val="0"/>
      </iconSet>
    </cfRule>
  </conditionalFormatting>
  <pageMargins left="0.7" right="0.7" top="0.75" bottom="0.75" header="0.3" footer="0.3"/>
  <pageSetup scale="6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DD897DA54605B49B405063084F36B18" ma:contentTypeVersion="20" ma:contentTypeDescription="Create a new document." ma:contentTypeScope="" ma:versionID="8e49a77346c11593ab61173684718027">
  <xsd:schema xmlns:xsd="http://www.w3.org/2001/XMLSchema" xmlns:xs="http://www.w3.org/2001/XMLSchema" xmlns:p="http://schemas.microsoft.com/office/2006/metadata/properties" xmlns:ns2="49aa8661-6080-4b43-bc71-085039b820b1" xmlns:ns3="1c3b6138-399c-48b0-9249-b80d30773e06" targetNamespace="http://schemas.microsoft.com/office/2006/metadata/properties" ma:root="true" ma:fieldsID="09eda505c641c40898b9000e5b821d33" ns2:_="" ns3:_="">
    <xsd:import namespace="49aa8661-6080-4b43-bc71-085039b820b1"/>
    <xsd:import namespace="1c3b6138-399c-48b0-9249-b80d30773e06"/>
    <xsd:element name="properties">
      <xsd:complexType>
        <xsd:sequence>
          <xsd:element name="documentManagement">
            <xsd:complexType>
              <xsd:all>
                <xsd:element ref="ns2:Project_x0020_ID" minOccurs="0"/>
                <xsd:element ref="ns2:MediaServiceMetadata" minOccurs="0"/>
                <xsd:element ref="ns2:MediaServiceFastMetadata" minOccurs="0"/>
                <xsd:element ref="ns3:SharedWithUsers" minOccurs="0"/>
                <xsd:element ref="ns3:SharedWithDetails" minOccurs="0"/>
                <xsd:element ref="ns2:MediaServiceEventHashCode" minOccurs="0"/>
                <xsd:element ref="ns2:MediaServiceGenerationTime" minOccurs="0"/>
                <xsd:element ref="ns2:MediaServiceAutoTags" minOccurs="0"/>
                <xsd:element ref="ns2:MediaServiceOCR" minOccurs="0"/>
                <xsd:element ref="ns2:MediaServiceDateTaken" minOccurs="0"/>
                <xsd:element ref="ns2:MediaServiceLocation"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ObjectDetectorVersions" minOccurs="0"/>
                <xsd:element ref="ns2:Date"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9aa8661-6080-4b43-bc71-085039b820b1" elementFormDefault="qualified">
    <xsd:import namespace="http://schemas.microsoft.com/office/2006/documentManagement/types"/>
    <xsd:import namespace="http://schemas.microsoft.com/office/infopath/2007/PartnerControls"/>
    <xsd:element name="Project_x0020_ID" ma:index="8" nillable="true" ma:displayName="Project ID" ma:description="Choose the project this file belongs to." ma:format="Dropdown" ma:internalName="Project_x0020_ID">
      <xsd:simpleType>
        <xsd:restriction base="dms:Choice">
          <xsd:enumeration value="0053"/>
          <xsd:enumeration value="53P2"/>
          <xsd:enumeration value="0056"/>
          <xsd:enumeration value="0057"/>
          <xsd:enumeration value="0059"/>
          <xsd:enumeration value="0063"/>
          <xsd:enumeration value="0064"/>
          <xsd:enumeration value="0065"/>
          <xsd:enumeration value="0066"/>
          <xsd:enumeration value="0068"/>
          <xsd:enumeration value="0072"/>
          <xsd:enumeration value="0072P2"/>
        </xsd:restriction>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AutoTags" ma:index="15" nillable="true" ma:displayName="MediaServiceAutoTags" ma:internalName="MediaServiceAutoTags"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MediaLengthInSeconds" ma:hidden="true"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847c990-d389-4210-8462-c9e2e523623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Date" ma:index="26" nillable="true" ma:displayName="Date" ma:format="DateOnly" ma:internalName="Date">
      <xsd:simpleType>
        <xsd:restriction base="dms:DateTime"/>
      </xsd:simpleType>
    </xsd:element>
    <xsd:element name="MediaServiceSearchProperties" ma:index="27"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c3b6138-399c-48b0-9249-b80d30773e06"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24" nillable="true" ma:displayName="Taxonomy Catch All Column" ma:hidden="true" ma:list="{95ca2bca-3b04-4f84-afc4-e9479d6563b0}" ma:internalName="TaxCatchAll" ma:showField="CatchAllData" ma:web="1c3b6138-399c-48b0-9249-b80d30773e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roject_x0020_ID xmlns="49aa8661-6080-4b43-bc71-085039b820b1" xsi:nil="true"/>
    <SharedWithUsers xmlns="1c3b6138-399c-48b0-9249-b80d30773e06">
      <UserInfo>
        <DisplayName>Intern Cpmo</DisplayName>
        <AccountId>640</AccountId>
        <AccountType/>
      </UserInfo>
      <UserInfo>
        <DisplayName>Praveen Kumar T</DisplayName>
        <AccountId>276</AccountId>
        <AccountType/>
      </UserInfo>
    </SharedWithUsers>
    <lcf76f155ced4ddcb4097134ff3c332f xmlns="49aa8661-6080-4b43-bc71-085039b820b1">
      <Terms xmlns="http://schemas.microsoft.com/office/infopath/2007/PartnerControls"/>
    </lcf76f155ced4ddcb4097134ff3c332f>
    <TaxCatchAll xmlns="1c3b6138-399c-48b0-9249-b80d30773e06" xsi:nil="true"/>
    <Date xmlns="49aa8661-6080-4b43-bc71-085039b820b1" xsi:nil="true"/>
  </documentManagement>
</p:properties>
</file>

<file path=customXml/itemProps1.xml><?xml version="1.0" encoding="utf-8"?>
<ds:datastoreItem xmlns:ds="http://schemas.openxmlformats.org/officeDocument/2006/customXml" ds:itemID="{50B48EFA-3873-4DF7-BB79-02FB1319E280}"/>
</file>

<file path=customXml/itemProps2.xml><?xml version="1.0" encoding="utf-8"?>
<ds:datastoreItem xmlns:ds="http://schemas.openxmlformats.org/officeDocument/2006/customXml" ds:itemID="{07B51EE0-0FDF-4F89-8149-E751F8B26C96}">
  <ds:schemaRefs>
    <ds:schemaRef ds:uri="http://schemas.microsoft.com/sharepoint/v3/contenttype/forms"/>
  </ds:schemaRefs>
</ds:datastoreItem>
</file>

<file path=customXml/itemProps3.xml><?xml version="1.0" encoding="utf-8"?>
<ds:datastoreItem xmlns:ds="http://schemas.openxmlformats.org/officeDocument/2006/customXml" ds:itemID="{2C7A6D57-C275-4E2C-923D-F4DA147A8FF6}">
  <ds:schemaRefs>
    <ds:schemaRef ds:uri="http://schemas.microsoft.com/office/2006/metadata/properties"/>
    <ds:schemaRef ds:uri="http://schemas.microsoft.com/office/infopath/2007/PartnerControls"/>
    <ds:schemaRef ds:uri="49aa8661-6080-4b43-bc71-085039b820b1"/>
    <ds:schemaRef ds:uri="1c3b6138-399c-48b0-9249-b80d30773e0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Pkgs Summary</vt:lpstr>
      <vt:lpstr>Design Fee</vt:lpstr>
      <vt:lpstr>AR | Drawing List</vt:lpstr>
      <vt:lpstr>ST | Drawing List</vt:lpstr>
      <vt:lpstr>MEP | Drawing List</vt:lpstr>
      <vt:lpstr>LS | Drawing List</vt:lpstr>
      <vt:lpstr>BOQ COST</vt:lpstr>
      <vt:lpstr>old LS</vt:lpstr>
      <vt:lpstr>'Design Fee'!Print_Area</vt:lpstr>
      <vt:lpstr>'Pkgs Summary'!Print_Area</vt:lpstr>
      <vt:lpstr>'Pkgs Summary'!Print_Titles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Kamal Sagar</dc:creator>
  <cp:keywords/>
  <dc:description/>
  <cp:lastModifiedBy>Vinod Appanna Soudi</cp:lastModifiedBy>
  <cp:revision/>
  <dcterms:created xsi:type="dcterms:W3CDTF">2019-10-13T06:20:14Z</dcterms:created>
  <dcterms:modified xsi:type="dcterms:W3CDTF">2026-03-25T07:04:53Z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0x010100FDD897DA54605B49B405063084F36B18</vt:lpwstr>
  </property>
  <property fmtid="{D5CDD505-2E9C-101B-9397-08002B2CF9AE}" pid="3" name="MediaServiceImageTags">
    <vt:lpwstr/>
  </property>
</Properties>
</file>